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5815" windowHeight="14025" tabRatio="889" activeTab="2"/>
  </bookViews>
  <sheets>
    <sheet name="Legende" sheetId="1" r:id="rId1"/>
    <sheet name="Données de base - Grunddaten" sheetId="8" r:id="rId2"/>
    <sheet name="Charriage - Geschiebehaushalt" sheetId="2" r:id="rId3"/>
    <sheet name="Débit - Abfluss" sheetId="6" r:id="rId4"/>
    <sheet name="Eclusée - Schwall-Sunk" sheetId="18" r:id="rId5"/>
    <sheet name="Revitalisation-Revitalisierung" sheetId="5" r:id="rId6"/>
    <sheet name="Tableau général - Gesamttabelle" sheetId="7" r:id="rId7"/>
    <sheet name="Synthèse 2018" sheetId="12" r:id="rId8"/>
    <sheet name="Graphiques - Grafiken FINAL a-b" sheetId="26" r:id="rId9"/>
    <sheet name="Graphiques - Grafiken FINAL a-e" sheetId="10" r:id="rId10"/>
    <sheet name="_______________________________" sheetId="25" r:id="rId11"/>
    <sheet name="Graphiques - Grafiken 2014" sheetId="16" r:id="rId12"/>
    <sheet name="Synthèse 2014" sheetId="14" r:id="rId13"/>
    <sheet name="Synthèse TOTAL" sheetId="24" r:id="rId14"/>
    <sheet name="Table Conversion Charriage" sheetId="11" r:id="rId15"/>
    <sheet name="RestwasserAuen_Datenbank" sheetId="17" r:id="rId16"/>
    <sheet name="Strat_Plan_Revit" sheetId="3" r:id="rId17"/>
  </sheets>
  <externalReferences>
    <externalReference r:id="rId18"/>
  </externalReferences>
  <definedNames>
    <definedName name="_xlnm._FilterDatabase" localSheetId="2" hidden="1">'Charriage - Geschiebehaushalt'!$A$3:$AG$275</definedName>
    <definedName name="_xlnm._FilterDatabase" localSheetId="3" hidden="1">'Débit - Abfluss'!$A$3:$W$275</definedName>
    <definedName name="_xlnm._FilterDatabase" localSheetId="1" hidden="1">'Données de base - Grunddaten'!$A$1:$M$273</definedName>
    <definedName name="_xlnm._FilterDatabase" localSheetId="4" hidden="1">'Eclusée - Schwall-Sunk'!$A$1:$F$273</definedName>
    <definedName name="_xlnm._FilterDatabase" localSheetId="15" hidden="1">RestwasserAuen_Datenbank!$A$1:$T$1</definedName>
    <definedName name="_xlnm._FilterDatabase" localSheetId="5" hidden="1">'Revitalisation-Revitalisierung'!$A$3:$AK$275</definedName>
    <definedName name="_xlnm._FilterDatabase" localSheetId="16" hidden="1">Strat_Plan_Revit!$A$9:$S$9</definedName>
    <definedName name="_xlnm._FilterDatabase" localSheetId="12" hidden="1">'Synthèse 2014'!$A$32:$J$32</definedName>
    <definedName name="_xlnm._FilterDatabase" localSheetId="7" hidden="1">'Synthèse 2018'!$A$32:$J$304</definedName>
    <definedName name="_xlnm._FilterDatabase" localSheetId="13" hidden="1">'Synthèse TOTAL'!$A$32:$AE$304</definedName>
    <definedName name="_xlnm._FilterDatabase" localSheetId="6" hidden="1">'Tableau général - Gesamttabelle'!$A$3:$BW$275</definedName>
    <definedName name="_xlnm.Print_Area" localSheetId="6">'Tableau général - Gesamttabelle'!$A$1:$BW$275</definedName>
    <definedName name="_xlnm.Print_Titles" localSheetId="6">'Tableau général - Gesamttabelle'!$1:$3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5" l="1"/>
  <c r="AA6" i="5"/>
  <c r="AA7" i="5"/>
  <c r="AA8" i="5"/>
  <c r="AA9" i="5"/>
  <c r="AA10" i="5"/>
  <c r="AA11" i="5"/>
  <c r="AA12" i="5"/>
  <c r="AA13" i="5"/>
  <c r="AA14" i="5"/>
  <c r="AA15" i="5"/>
  <c r="AA16" i="5"/>
  <c r="AA17" i="5"/>
  <c r="AA18" i="5"/>
  <c r="AA19" i="5"/>
  <c r="AA20" i="5"/>
  <c r="AA21" i="5"/>
  <c r="J50" i="12" s="1"/>
  <c r="AA22" i="5"/>
  <c r="AA23" i="5"/>
  <c r="AA24" i="5"/>
  <c r="AA25" i="5"/>
  <c r="AA26" i="5"/>
  <c r="AA27" i="5"/>
  <c r="AA28" i="5"/>
  <c r="AA29" i="5"/>
  <c r="AA30" i="5"/>
  <c r="AA31" i="5"/>
  <c r="AA33" i="5"/>
  <c r="AA35" i="5"/>
  <c r="AA36" i="5"/>
  <c r="AA37" i="5"/>
  <c r="AA38" i="5"/>
  <c r="AA39" i="5"/>
  <c r="AA40" i="5"/>
  <c r="AA41" i="5"/>
  <c r="AA42" i="5"/>
  <c r="AA43" i="5"/>
  <c r="AA44" i="5"/>
  <c r="AA45" i="5"/>
  <c r="AA46" i="5"/>
  <c r="AA48" i="5"/>
  <c r="AA49" i="5"/>
  <c r="AA50" i="5"/>
  <c r="AA51" i="5"/>
  <c r="AA52" i="5"/>
  <c r="AA53" i="5"/>
  <c r="AA54" i="5"/>
  <c r="AA55" i="5"/>
  <c r="AA56" i="5"/>
  <c r="AA57" i="5"/>
  <c r="AA58" i="5"/>
  <c r="AA59" i="5"/>
  <c r="AA60" i="5"/>
  <c r="AA61" i="5"/>
  <c r="AA62" i="5"/>
  <c r="AA63" i="5"/>
  <c r="AA64" i="5"/>
  <c r="AA65" i="5"/>
  <c r="AA67" i="5"/>
  <c r="AA68" i="5"/>
  <c r="AA69" i="5"/>
  <c r="J98" i="12" s="1"/>
  <c r="AA70" i="5"/>
  <c r="AA71" i="5"/>
  <c r="AA72" i="5"/>
  <c r="AA73" i="5"/>
  <c r="AA74" i="5"/>
  <c r="AA75" i="5"/>
  <c r="AA76" i="5"/>
  <c r="AA77" i="5"/>
  <c r="AA78" i="5"/>
  <c r="BW78" i="7" s="1"/>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15" i="5"/>
  <c r="AA116" i="5"/>
  <c r="AA117" i="5"/>
  <c r="AA118" i="5"/>
  <c r="AA120" i="5"/>
  <c r="AA121" i="5"/>
  <c r="AA122" i="5"/>
  <c r="AA124" i="5"/>
  <c r="AA125" i="5"/>
  <c r="AA126" i="5"/>
  <c r="AA127" i="5"/>
  <c r="AA128" i="5"/>
  <c r="AA129" i="5"/>
  <c r="AA130" i="5"/>
  <c r="AA131" i="5"/>
  <c r="AA132" i="5"/>
  <c r="AA133" i="5"/>
  <c r="AA134" i="5"/>
  <c r="AA135" i="5"/>
  <c r="AA137" i="5"/>
  <c r="AA138" i="5"/>
  <c r="AA139" i="5"/>
  <c r="AA140" i="5"/>
  <c r="AA141" i="5"/>
  <c r="AA142" i="5"/>
  <c r="AA143" i="5"/>
  <c r="AA144" i="5"/>
  <c r="AA145" i="5"/>
  <c r="AA146" i="5"/>
  <c r="AA147" i="5"/>
  <c r="AA148" i="5"/>
  <c r="AA149" i="5"/>
  <c r="AA150" i="5"/>
  <c r="AA151" i="5"/>
  <c r="AA152" i="5"/>
  <c r="AA153" i="5"/>
  <c r="AA154" i="5"/>
  <c r="J183" i="12" s="1"/>
  <c r="AA155" i="5"/>
  <c r="AA156" i="5"/>
  <c r="AA157" i="5"/>
  <c r="AA158" i="5"/>
  <c r="AA159" i="5"/>
  <c r="AA160" i="5"/>
  <c r="AA161" i="5"/>
  <c r="AA162" i="5"/>
  <c r="AA163" i="5"/>
  <c r="AA164" i="5"/>
  <c r="AA165" i="5"/>
  <c r="AA166" i="5"/>
  <c r="AA167" i="5"/>
  <c r="AA168" i="5"/>
  <c r="AA169" i="5"/>
  <c r="AA170" i="5"/>
  <c r="AA171" i="5"/>
  <c r="AA172" i="5"/>
  <c r="AA173" i="5"/>
  <c r="AA174" i="5"/>
  <c r="AA175" i="5"/>
  <c r="AA176" i="5"/>
  <c r="AA177" i="5"/>
  <c r="AA178" i="5"/>
  <c r="AA179" i="5"/>
  <c r="AA180" i="5"/>
  <c r="AA181" i="5"/>
  <c r="AA182" i="5"/>
  <c r="AA183" i="5"/>
  <c r="AA184" i="5"/>
  <c r="AA185" i="5"/>
  <c r="AA186" i="5"/>
  <c r="AA187" i="5"/>
  <c r="AA188" i="5"/>
  <c r="AA189" i="5"/>
  <c r="AA190" i="5"/>
  <c r="AA191" i="5"/>
  <c r="AA192" i="5"/>
  <c r="AA193" i="5"/>
  <c r="AA194" i="5"/>
  <c r="AA195" i="5"/>
  <c r="AA196" i="5"/>
  <c r="AA197" i="5"/>
  <c r="AA198" i="5"/>
  <c r="AA199" i="5"/>
  <c r="AA200" i="5"/>
  <c r="AA202" i="5"/>
  <c r="AA203" i="5"/>
  <c r="AA204" i="5"/>
  <c r="AA205" i="5"/>
  <c r="AA206" i="5"/>
  <c r="AA207" i="5"/>
  <c r="AA208" i="5"/>
  <c r="AA209" i="5"/>
  <c r="AA210" i="5"/>
  <c r="AA211" i="5"/>
  <c r="AA212" i="5"/>
  <c r="AA213" i="5"/>
  <c r="AA214" i="5"/>
  <c r="AA215" i="5"/>
  <c r="AA216" i="5"/>
  <c r="AA217" i="5"/>
  <c r="AA218" i="5"/>
  <c r="AA219" i="5"/>
  <c r="AA220" i="5"/>
  <c r="AA221" i="5"/>
  <c r="AA222" i="5"/>
  <c r="AA223" i="5"/>
  <c r="AA224" i="5"/>
  <c r="AA225" i="5"/>
  <c r="AA226" i="5"/>
  <c r="AA227" i="5"/>
  <c r="AA228" i="5"/>
  <c r="AA229" i="5"/>
  <c r="AA230" i="5"/>
  <c r="AA231" i="5"/>
  <c r="AA232" i="5"/>
  <c r="AA233" i="5"/>
  <c r="AA234" i="5"/>
  <c r="AA235" i="5"/>
  <c r="AA236" i="5"/>
  <c r="AA237" i="5"/>
  <c r="AA238" i="5"/>
  <c r="AA239" i="5"/>
  <c r="AA240" i="5"/>
  <c r="AA241" i="5"/>
  <c r="AA242" i="5"/>
  <c r="AA243" i="5"/>
  <c r="AA244" i="5"/>
  <c r="AA245" i="5"/>
  <c r="AA246" i="5"/>
  <c r="AA247" i="5"/>
  <c r="AA248" i="5"/>
  <c r="AA249" i="5"/>
  <c r="AA250" i="5"/>
  <c r="AA251" i="5"/>
  <c r="AA252" i="5"/>
  <c r="AA253" i="5"/>
  <c r="AA254" i="5"/>
  <c r="AA255" i="5"/>
  <c r="AA256" i="5"/>
  <c r="AA257" i="5"/>
  <c r="AA258" i="5"/>
  <c r="AA259" i="5"/>
  <c r="AA260" i="5"/>
  <c r="AA261" i="5"/>
  <c r="AA262" i="5"/>
  <c r="BW262" i="7" s="1"/>
  <c r="AA263" i="5"/>
  <c r="AA264" i="5"/>
  <c r="BW264" i="7" s="1"/>
  <c r="AA265" i="5"/>
  <c r="AA266" i="5"/>
  <c r="BW266" i="7" s="1"/>
  <c r="AA267" i="5"/>
  <c r="AA268" i="5"/>
  <c r="BW268" i="7" s="1"/>
  <c r="AA269" i="5"/>
  <c r="BW270" i="7"/>
  <c r="AA271" i="5"/>
  <c r="AA272" i="5"/>
  <c r="BW272" i="7" s="1"/>
  <c r="AA273" i="5"/>
  <c r="AA274" i="5"/>
  <c r="BW274" i="7" s="1"/>
  <c r="AA275" i="5"/>
  <c r="AA4" i="5"/>
  <c r="J33" i="12" s="1"/>
  <c r="AD5" i="2"/>
  <c r="AD6" i="2"/>
  <c r="AD7" i="2"/>
  <c r="F36" i="12" s="1"/>
  <c r="AD8" i="2"/>
  <c r="AD13" i="2"/>
  <c r="AD14" i="2"/>
  <c r="F43" i="12" s="1"/>
  <c r="AD15" i="2"/>
  <c r="F44" i="12" s="1"/>
  <c r="AD16" i="2"/>
  <c r="F45" i="12" s="1"/>
  <c r="AD17" i="2"/>
  <c r="AD18" i="2"/>
  <c r="F47" i="12" s="1"/>
  <c r="AD19" i="2"/>
  <c r="F48" i="12" s="1"/>
  <c r="AD20" i="2"/>
  <c r="F49" i="12" s="1"/>
  <c r="AD21" i="2"/>
  <c r="AD22" i="2"/>
  <c r="AL22" i="7" s="1"/>
  <c r="AD23" i="2"/>
  <c r="F52" i="12" s="1"/>
  <c r="AD24" i="2"/>
  <c r="F53" i="12" s="1"/>
  <c r="AD25" i="2"/>
  <c r="AD26" i="2"/>
  <c r="F55" i="12" s="1"/>
  <c r="AD27" i="2"/>
  <c r="AD28" i="2"/>
  <c r="F57" i="12" s="1"/>
  <c r="AD29" i="2"/>
  <c r="AD30" i="2"/>
  <c r="AL30" i="7" s="1"/>
  <c r="AD31" i="2"/>
  <c r="F60" i="12" s="1"/>
  <c r="AD32" i="2"/>
  <c r="AL32" i="7" s="1"/>
  <c r="AD33" i="2"/>
  <c r="AD34" i="2"/>
  <c r="F63" i="12" s="1"/>
  <c r="AD35" i="2"/>
  <c r="AD36" i="2"/>
  <c r="F65" i="12" s="1"/>
  <c r="AD37" i="2"/>
  <c r="AD38" i="2"/>
  <c r="F67" i="12" s="1"/>
  <c r="AD39" i="2"/>
  <c r="F68" i="12" s="1"/>
  <c r="AD40" i="2"/>
  <c r="F69" i="12" s="1"/>
  <c r="AD41" i="2"/>
  <c r="AD42" i="2"/>
  <c r="F71" i="12" s="1"/>
  <c r="AD43" i="2"/>
  <c r="AD44" i="2"/>
  <c r="F73" i="12" s="1"/>
  <c r="AD45" i="2"/>
  <c r="AD46" i="2"/>
  <c r="AL46" i="7" s="1"/>
  <c r="AD47" i="2"/>
  <c r="F76" i="12" s="1"/>
  <c r="AD48" i="2"/>
  <c r="AL48" i="7" s="1"/>
  <c r="AD49" i="2"/>
  <c r="AD50" i="2"/>
  <c r="F79" i="12" s="1"/>
  <c r="AD51" i="2"/>
  <c r="AD52" i="2"/>
  <c r="F81" i="12" s="1"/>
  <c r="AD53" i="2"/>
  <c r="AD54" i="2"/>
  <c r="F83" i="12" s="1"/>
  <c r="AD55" i="2"/>
  <c r="F84" i="12" s="1"/>
  <c r="AD56" i="2"/>
  <c r="F85" i="12" s="1"/>
  <c r="AD57" i="2"/>
  <c r="F86" i="12" s="1"/>
  <c r="AD58" i="2"/>
  <c r="F87" i="12" s="1"/>
  <c r="AD59" i="2"/>
  <c r="F88" i="12" s="1"/>
  <c r="AD60" i="2"/>
  <c r="F89" i="12" s="1"/>
  <c r="AD61" i="2"/>
  <c r="AD62" i="2"/>
  <c r="AL62" i="7" s="1"/>
  <c r="AD63" i="2"/>
  <c r="F92" i="12" s="1"/>
  <c r="AD64" i="2"/>
  <c r="AL64" i="7" s="1"/>
  <c r="AD65" i="2"/>
  <c r="AD66" i="2"/>
  <c r="F95" i="12" s="1"/>
  <c r="AD67" i="2"/>
  <c r="AD68" i="2"/>
  <c r="F97" i="12" s="1"/>
  <c r="AD69" i="2"/>
  <c r="AD70" i="2"/>
  <c r="F99" i="12" s="1"/>
  <c r="AD71" i="2"/>
  <c r="F100" i="12" s="1"/>
  <c r="AD72" i="2"/>
  <c r="F101" i="12" s="1"/>
  <c r="AD73" i="2"/>
  <c r="AD74" i="2"/>
  <c r="F103" i="12" s="1"/>
  <c r="AD75" i="2"/>
  <c r="AD76" i="2"/>
  <c r="F105" i="12" s="1"/>
  <c r="AD77" i="2"/>
  <c r="AD78" i="2"/>
  <c r="AL78" i="7" s="1"/>
  <c r="AD79" i="2"/>
  <c r="F108" i="12" s="1"/>
  <c r="AD80" i="2"/>
  <c r="AL80" i="7" s="1"/>
  <c r="AD81" i="2"/>
  <c r="AD82" i="2"/>
  <c r="F111" i="12" s="1"/>
  <c r="AD83" i="2"/>
  <c r="AD84" i="2"/>
  <c r="F113" i="12" s="1"/>
  <c r="AD85" i="2"/>
  <c r="AD86" i="2"/>
  <c r="AL86" i="7" s="1"/>
  <c r="AD87" i="2"/>
  <c r="F116" i="12" s="1"/>
  <c r="AD88" i="2"/>
  <c r="AL88" i="7" s="1"/>
  <c r="AD89" i="2"/>
  <c r="AD90" i="2"/>
  <c r="F119" i="12" s="1"/>
  <c r="AD91" i="2"/>
  <c r="F120" i="12" s="1"/>
  <c r="AD92" i="2"/>
  <c r="F121" i="12" s="1"/>
  <c r="AD93" i="2"/>
  <c r="AD94" i="2"/>
  <c r="F123" i="12" s="1"/>
  <c r="AD95" i="2"/>
  <c r="F124" i="12" s="1"/>
  <c r="AD96" i="2"/>
  <c r="F125" i="12" s="1"/>
  <c r="AD97" i="2"/>
  <c r="AD98" i="2"/>
  <c r="F127" i="12" s="1"/>
  <c r="AD99" i="2"/>
  <c r="AD100" i="2"/>
  <c r="F129" i="12" s="1"/>
  <c r="AD101" i="2"/>
  <c r="AD102" i="2"/>
  <c r="F131" i="12" s="1"/>
  <c r="AD103" i="2"/>
  <c r="F132" i="12" s="1"/>
  <c r="AD104" i="2"/>
  <c r="F133" i="12" s="1"/>
  <c r="AD105" i="2"/>
  <c r="AD106" i="2"/>
  <c r="F135" i="12" s="1"/>
  <c r="AD107" i="2"/>
  <c r="AD108" i="2"/>
  <c r="F137" i="12" s="1"/>
  <c r="AD109" i="2"/>
  <c r="AD110" i="2"/>
  <c r="AL110" i="7" s="1"/>
  <c r="AD111" i="2"/>
  <c r="F140" i="12" s="1"/>
  <c r="AD112" i="2"/>
  <c r="AL112" i="7" s="1"/>
  <c r="AD113" i="2"/>
  <c r="AD114" i="2"/>
  <c r="F143" i="12" s="1"/>
  <c r="AD115" i="2"/>
  <c r="AD116" i="2"/>
  <c r="F145" i="12" s="1"/>
  <c r="AD117" i="2"/>
  <c r="AD118" i="2"/>
  <c r="F147" i="12" s="1"/>
  <c r="AD119" i="2"/>
  <c r="F148" i="12" s="1"/>
  <c r="AD120" i="2"/>
  <c r="AL120" i="7" s="1"/>
  <c r="AD121" i="2"/>
  <c r="AD122" i="2"/>
  <c r="F151" i="12" s="1"/>
  <c r="AD123" i="2"/>
  <c r="AD124" i="2"/>
  <c r="F153" i="12" s="1"/>
  <c r="AD125" i="2"/>
  <c r="AD126" i="2"/>
  <c r="F155" i="12" s="1"/>
  <c r="AD127" i="2"/>
  <c r="F156" i="12" s="1"/>
  <c r="AD128" i="2"/>
  <c r="F157" i="12" s="1"/>
  <c r="AD129" i="2"/>
  <c r="AD130" i="2"/>
  <c r="F159" i="12" s="1"/>
  <c r="AD131" i="2"/>
  <c r="AD132" i="2"/>
  <c r="F161" i="12" s="1"/>
  <c r="AD133" i="2"/>
  <c r="AD134" i="2"/>
  <c r="AL134" i="7" s="1"/>
  <c r="AD135" i="2"/>
  <c r="F164" i="12" s="1"/>
  <c r="AD136" i="2"/>
  <c r="F165" i="12" s="1"/>
  <c r="AD137" i="2"/>
  <c r="AD138" i="2"/>
  <c r="F167" i="12" s="1"/>
  <c r="AD139" i="2"/>
  <c r="AD140" i="2"/>
  <c r="F169" i="12" s="1"/>
  <c r="AD141" i="2"/>
  <c r="AD142" i="2"/>
  <c r="F171" i="12" s="1"/>
  <c r="AD143" i="2"/>
  <c r="F172" i="12" s="1"/>
  <c r="AD144" i="2"/>
  <c r="AL144" i="7" s="1"/>
  <c r="AD145" i="2"/>
  <c r="AD146" i="2"/>
  <c r="F175" i="12" s="1"/>
  <c r="AD147" i="2"/>
  <c r="AD148" i="2"/>
  <c r="F177" i="12" s="1"/>
  <c r="AD149" i="2"/>
  <c r="AD150" i="2"/>
  <c r="AL150" i="7" s="1"/>
  <c r="AD151" i="2"/>
  <c r="F180" i="12" s="1"/>
  <c r="AD152" i="2"/>
  <c r="AL152" i="7" s="1"/>
  <c r="AD153" i="2"/>
  <c r="AD154" i="2"/>
  <c r="F183" i="12" s="1"/>
  <c r="AD155" i="2"/>
  <c r="AD156" i="2"/>
  <c r="F185" i="12" s="1"/>
  <c r="AD157" i="2"/>
  <c r="AD158" i="2"/>
  <c r="F187" i="12" s="1"/>
  <c r="AD159" i="2"/>
  <c r="F188" i="12" s="1"/>
  <c r="AD160" i="2"/>
  <c r="AL160" i="7" s="1"/>
  <c r="AD161" i="2"/>
  <c r="AD162" i="2"/>
  <c r="F191" i="12" s="1"/>
  <c r="AD163" i="2"/>
  <c r="AD164" i="2"/>
  <c r="F193" i="12" s="1"/>
  <c r="AD165" i="2"/>
  <c r="AD166" i="2"/>
  <c r="F195" i="12" s="1"/>
  <c r="AD167" i="2"/>
  <c r="F196" i="12" s="1"/>
  <c r="AD168" i="2"/>
  <c r="F197" i="12" s="1"/>
  <c r="AD169" i="2"/>
  <c r="AD170" i="2"/>
  <c r="F199" i="12" s="1"/>
  <c r="AD171" i="2"/>
  <c r="AD172" i="2"/>
  <c r="F201" i="12" s="1"/>
  <c r="AD173" i="2"/>
  <c r="AD174" i="2"/>
  <c r="AL174" i="7" s="1"/>
  <c r="AD175" i="2"/>
  <c r="F204" i="12" s="1"/>
  <c r="AD176" i="2"/>
  <c r="F205" i="12" s="1"/>
  <c r="AD177" i="2"/>
  <c r="AD178" i="2"/>
  <c r="F207" i="12" s="1"/>
  <c r="AD179" i="2"/>
  <c r="AD180" i="2"/>
  <c r="F209" i="12" s="1"/>
  <c r="AD181" i="2"/>
  <c r="AD182" i="2"/>
  <c r="F211" i="12" s="1"/>
  <c r="AD183" i="2"/>
  <c r="F212" i="12" s="1"/>
  <c r="AD184" i="2"/>
  <c r="AL184" i="7" s="1"/>
  <c r="AD185" i="2"/>
  <c r="AD186" i="2"/>
  <c r="F215" i="12" s="1"/>
  <c r="AD187" i="2"/>
  <c r="AD188" i="2"/>
  <c r="F217" i="12" s="1"/>
  <c r="AD189" i="2"/>
  <c r="AD190" i="2"/>
  <c r="F219" i="12" s="1"/>
  <c r="AD191" i="2"/>
  <c r="F220" i="12" s="1"/>
  <c r="AD192" i="2"/>
  <c r="F221" i="12" s="1"/>
  <c r="AD193" i="2"/>
  <c r="AD194" i="2"/>
  <c r="F223" i="12" s="1"/>
  <c r="AD195" i="2"/>
  <c r="AD196" i="2"/>
  <c r="F225" i="12" s="1"/>
  <c r="AD197" i="2"/>
  <c r="AD198" i="2"/>
  <c r="AL198" i="7" s="1"/>
  <c r="AD199" i="2"/>
  <c r="F228" i="12" s="1"/>
  <c r="AD200" i="2"/>
  <c r="AL200" i="7" s="1"/>
  <c r="AD201" i="2"/>
  <c r="AD202" i="2"/>
  <c r="F231" i="12" s="1"/>
  <c r="AD203" i="2"/>
  <c r="AD204" i="2"/>
  <c r="F233" i="12" s="1"/>
  <c r="AD205" i="2"/>
  <c r="AD206" i="2"/>
  <c r="F235" i="12" s="1"/>
  <c r="AD207" i="2"/>
  <c r="F236" i="12" s="1"/>
  <c r="AD208" i="2"/>
  <c r="F237" i="12" s="1"/>
  <c r="AD209" i="2"/>
  <c r="AD210" i="2"/>
  <c r="F239" i="12" s="1"/>
  <c r="AD211" i="2"/>
  <c r="AD212" i="2"/>
  <c r="F241" i="12" s="1"/>
  <c r="AD213" i="2"/>
  <c r="AD214" i="2"/>
  <c r="AL214" i="7" s="1"/>
  <c r="AD215" i="2"/>
  <c r="F244" i="12" s="1"/>
  <c r="AD216" i="2"/>
  <c r="AL216" i="7" s="1"/>
  <c r="AD217" i="2"/>
  <c r="AD218" i="2"/>
  <c r="F247" i="12" s="1"/>
  <c r="AD219" i="2"/>
  <c r="AD220" i="2"/>
  <c r="F249" i="12" s="1"/>
  <c r="AD221" i="2"/>
  <c r="AD222" i="2"/>
  <c r="AL222" i="7" s="1"/>
  <c r="AD223" i="2"/>
  <c r="F252" i="12" s="1"/>
  <c r="AD224" i="2"/>
  <c r="AL224" i="7" s="1"/>
  <c r="AD225" i="2"/>
  <c r="AD226" i="2"/>
  <c r="F255" i="12" s="1"/>
  <c r="AD227" i="2"/>
  <c r="AD228" i="2"/>
  <c r="AD229" i="2"/>
  <c r="AD230" i="2"/>
  <c r="AL230" i="7" s="1"/>
  <c r="AD231" i="2"/>
  <c r="F260" i="12" s="1"/>
  <c r="AD232" i="2"/>
  <c r="F261" i="12" s="1"/>
  <c r="AD233" i="2"/>
  <c r="AD234" i="2"/>
  <c r="F263" i="12" s="1"/>
  <c r="AD235" i="2"/>
  <c r="AD236" i="2"/>
  <c r="F265" i="12" s="1"/>
  <c r="AD237" i="2"/>
  <c r="AD238" i="2"/>
  <c r="F267" i="12" s="1"/>
  <c r="AD239" i="2"/>
  <c r="F268" i="12" s="1"/>
  <c r="AD240" i="2"/>
  <c r="AL240" i="7" s="1"/>
  <c r="AD241" i="2"/>
  <c r="AD242" i="2"/>
  <c r="F271" i="12" s="1"/>
  <c r="AD243" i="2"/>
  <c r="AD244" i="2"/>
  <c r="AD245" i="2"/>
  <c r="AD246" i="2"/>
  <c r="AL246" i="7" s="1"/>
  <c r="AD247" i="2"/>
  <c r="F276" i="12" s="1"/>
  <c r="AD248" i="2"/>
  <c r="F277" i="12" s="1"/>
  <c r="AD249" i="2"/>
  <c r="AD250" i="2"/>
  <c r="F279" i="12" s="1"/>
  <c r="AD251" i="2"/>
  <c r="AD252" i="2"/>
  <c r="F281" i="12" s="1"/>
  <c r="AD253" i="2"/>
  <c r="AD254" i="2"/>
  <c r="F283" i="12" s="1"/>
  <c r="AD255" i="2"/>
  <c r="F284" i="12" s="1"/>
  <c r="AD256" i="2"/>
  <c r="AL256" i="7" s="1"/>
  <c r="AD257" i="2"/>
  <c r="AD258" i="2"/>
  <c r="F287" i="12" s="1"/>
  <c r="AD259" i="2"/>
  <c r="AD260" i="2"/>
  <c r="F289" i="12" s="1"/>
  <c r="AD261" i="2"/>
  <c r="AD262" i="2"/>
  <c r="AL262" i="7" s="1"/>
  <c r="AD263" i="2"/>
  <c r="F292" i="12" s="1"/>
  <c r="AD264" i="2"/>
  <c r="F293" i="12" s="1"/>
  <c r="AD265" i="2"/>
  <c r="AD266" i="2"/>
  <c r="F295" i="12" s="1"/>
  <c r="AD267" i="2"/>
  <c r="AD268" i="2"/>
  <c r="F297" i="12" s="1"/>
  <c r="AD269" i="2"/>
  <c r="AD270" i="2"/>
  <c r="F299" i="12" s="1"/>
  <c r="AD271" i="2"/>
  <c r="F300" i="12" s="1"/>
  <c r="AD272" i="2"/>
  <c r="F301" i="12" s="1"/>
  <c r="AD273" i="2"/>
  <c r="AD274" i="2"/>
  <c r="F303" i="12" s="1"/>
  <c r="AD275" i="2"/>
  <c r="AD4" i="2"/>
  <c r="J60" i="12"/>
  <c r="J96" i="12"/>
  <c r="F34" i="12"/>
  <c r="F35" i="12"/>
  <c r="F37" i="12"/>
  <c r="F38" i="12"/>
  <c r="F39" i="12"/>
  <c r="F40" i="12"/>
  <c r="F41" i="12"/>
  <c r="F42" i="12"/>
  <c r="F46" i="12"/>
  <c r="F50" i="12"/>
  <c r="F54" i="12"/>
  <c r="F56" i="12"/>
  <c r="F58" i="12"/>
  <c r="F62" i="12"/>
  <c r="F64" i="12"/>
  <c r="F66" i="12"/>
  <c r="F70" i="12"/>
  <c r="F72" i="12"/>
  <c r="F74" i="12"/>
  <c r="F75" i="12"/>
  <c r="F78" i="12"/>
  <c r="F80" i="12"/>
  <c r="F82" i="12"/>
  <c r="F90" i="12"/>
  <c r="F94" i="12"/>
  <c r="F96" i="12"/>
  <c r="F98" i="12"/>
  <c r="F102" i="12"/>
  <c r="F104" i="12"/>
  <c r="F106" i="12"/>
  <c r="F110" i="12"/>
  <c r="F112" i="12"/>
  <c r="F114" i="12"/>
  <c r="F118" i="12"/>
  <c r="F122" i="12"/>
  <c r="F126" i="12"/>
  <c r="F128" i="12"/>
  <c r="F130" i="12"/>
  <c r="F134" i="12"/>
  <c r="F136" i="12"/>
  <c r="F138" i="12"/>
  <c r="F142" i="12"/>
  <c r="F144" i="12"/>
  <c r="F146" i="12"/>
  <c r="F150" i="12"/>
  <c r="F152" i="12"/>
  <c r="F154" i="12"/>
  <c r="F158" i="12"/>
  <c r="F160" i="12"/>
  <c r="F162" i="12"/>
  <c r="F166" i="12"/>
  <c r="F168" i="12"/>
  <c r="F170" i="12"/>
  <c r="F174" i="12"/>
  <c r="F176" i="12"/>
  <c r="F178" i="12"/>
  <c r="F182" i="12"/>
  <c r="F184" i="12"/>
  <c r="F186" i="12"/>
  <c r="F190" i="12"/>
  <c r="F192" i="12"/>
  <c r="F194" i="12"/>
  <c r="F198" i="12"/>
  <c r="F200" i="12"/>
  <c r="F202" i="12"/>
  <c r="F203" i="12"/>
  <c r="F206" i="12"/>
  <c r="F208" i="12"/>
  <c r="F210" i="12"/>
  <c r="F214" i="12"/>
  <c r="F216" i="12"/>
  <c r="F218" i="12"/>
  <c r="F222" i="12"/>
  <c r="F224" i="12"/>
  <c r="F226" i="12"/>
  <c r="F230" i="12"/>
  <c r="F232" i="12"/>
  <c r="F234" i="12"/>
  <c r="F238" i="12"/>
  <c r="F240" i="12"/>
  <c r="F242" i="12"/>
  <c r="F246" i="12"/>
  <c r="F248" i="12"/>
  <c r="F250" i="12"/>
  <c r="F254" i="12"/>
  <c r="F256" i="12"/>
  <c r="F257" i="12"/>
  <c r="F258" i="12"/>
  <c r="F262" i="12"/>
  <c r="F264" i="12"/>
  <c r="F266" i="12"/>
  <c r="F270" i="12"/>
  <c r="F272" i="12"/>
  <c r="F273" i="12"/>
  <c r="F274" i="12"/>
  <c r="F278" i="12"/>
  <c r="F280" i="12"/>
  <c r="F282" i="12"/>
  <c r="F286" i="12"/>
  <c r="F288" i="12"/>
  <c r="F290" i="12"/>
  <c r="F294" i="12"/>
  <c r="F296" i="12"/>
  <c r="F298" i="12"/>
  <c r="F302" i="12"/>
  <c r="F304" i="12"/>
  <c r="F33" i="12"/>
  <c r="B57" i="26"/>
  <c r="B56" i="26"/>
  <c r="B55" i="26"/>
  <c r="B81" i="26"/>
  <c r="B83" i="26"/>
  <c r="B82" i="26"/>
  <c r="B80" i="26"/>
  <c r="E385" i="26"/>
  <c r="D385" i="26"/>
  <c r="C385" i="26"/>
  <c r="B385" i="26"/>
  <c r="E384" i="26"/>
  <c r="D384" i="26"/>
  <c r="C384" i="26"/>
  <c r="B384" i="26"/>
  <c r="E383" i="26"/>
  <c r="D383" i="26"/>
  <c r="C383" i="26"/>
  <c r="B383" i="26"/>
  <c r="E382" i="26"/>
  <c r="D382" i="26"/>
  <c r="C382" i="26"/>
  <c r="B382" i="26"/>
  <c r="E381" i="26"/>
  <c r="D381" i="26"/>
  <c r="C381" i="26"/>
  <c r="B381" i="26"/>
  <c r="E380" i="26"/>
  <c r="D380" i="26"/>
  <c r="C380" i="26"/>
  <c r="B380" i="26"/>
  <c r="E379" i="26"/>
  <c r="D379" i="26"/>
  <c r="C379" i="26"/>
  <c r="B379" i="26"/>
  <c r="E378" i="26"/>
  <c r="D378" i="26"/>
  <c r="C378" i="26"/>
  <c r="B378" i="26"/>
  <c r="E377" i="26"/>
  <c r="D377" i="26"/>
  <c r="C377" i="26"/>
  <c r="B377" i="26"/>
  <c r="E376" i="26"/>
  <c r="D376" i="26"/>
  <c r="C376" i="26"/>
  <c r="B376" i="26"/>
  <c r="E375" i="26"/>
  <c r="D375" i="26"/>
  <c r="C375" i="26"/>
  <c r="B375" i="26"/>
  <c r="E374" i="26"/>
  <c r="D374" i="26"/>
  <c r="C374" i="26"/>
  <c r="B374" i="26"/>
  <c r="E373" i="26"/>
  <c r="D373" i="26"/>
  <c r="C373" i="26"/>
  <c r="B373" i="26"/>
  <c r="E372" i="26"/>
  <c r="D372" i="26"/>
  <c r="C372" i="26"/>
  <c r="B372" i="26"/>
  <c r="E371" i="26"/>
  <c r="D371" i="26"/>
  <c r="C371" i="26"/>
  <c r="B371" i="26"/>
  <c r="E370" i="26"/>
  <c r="D370" i="26"/>
  <c r="C370" i="26"/>
  <c r="B370" i="26"/>
  <c r="E369" i="26"/>
  <c r="D369" i="26"/>
  <c r="C369" i="26"/>
  <c r="B369" i="26"/>
  <c r="E368" i="26"/>
  <c r="D368" i="26"/>
  <c r="C368" i="26"/>
  <c r="B368" i="26"/>
  <c r="E367" i="26"/>
  <c r="D367" i="26"/>
  <c r="C367" i="26"/>
  <c r="B367" i="26"/>
  <c r="E366" i="26"/>
  <c r="D366" i="26"/>
  <c r="C366" i="26"/>
  <c r="B366" i="26"/>
  <c r="E365" i="26"/>
  <c r="D365" i="26"/>
  <c r="C365" i="26"/>
  <c r="B365" i="26"/>
  <c r="E364" i="26"/>
  <c r="D364" i="26"/>
  <c r="C364" i="26"/>
  <c r="B364" i="26"/>
  <c r="E363" i="26"/>
  <c r="D363" i="26"/>
  <c r="C363" i="26"/>
  <c r="B363" i="26"/>
  <c r="E362" i="26"/>
  <c r="D362" i="26"/>
  <c r="C362" i="26"/>
  <c r="B362" i="26"/>
  <c r="E361" i="26"/>
  <c r="D361" i="26"/>
  <c r="C361" i="26"/>
  <c r="B361" i="26"/>
  <c r="E360" i="26"/>
  <c r="D360" i="26"/>
  <c r="C360" i="26"/>
  <c r="B360" i="26"/>
  <c r="E359" i="26"/>
  <c r="D359" i="26"/>
  <c r="C359" i="26"/>
  <c r="B359" i="26"/>
  <c r="E358" i="26"/>
  <c r="D358" i="26"/>
  <c r="C358" i="26"/>
  <c r="B358" i="26"/>
  <c r="E357" i="26"/>
  <c r="D357" i="26"/>
  <c r="C357" i="26"/>
  <c r="B357" i="26"/>
  <c r="E356" i="26"/>
  <c r="D356" i="26"/>
  <c r="C356" i="26"/>
  <c r="B356" i="26"/>
  <c r="E355" i="26"/>
  <c r="D355" i="26"/>
  <c r="C355" i="26"/>
  <c r="B355" i="26"/>
  <c r="E354" i="26"/>
  <c r="D354" i="26"/>
  <c r="C354" i="26"/>
  <c r="B354" i="26"/>
  <c r="E353" i="26"/>
  <c r="D353" i="26"/>
  <c r="C353" i="26"/>
  <c r="B353" i="26"/>
  <c r="E352" i="26"/>
  <c r="D352" i="26"/>
  <c r="C352" i="26"/>
  <c r="B352" i="26"/>
  <c r="E351" i="26"/>
  <c r="D351" i="26"/>
  <c r="C351" i="26"/>
  <c r="B351" i="26"/>
  <c r="E350" i="26"/>
  <c r="D350" i="26"/>
  <c r="C350" i="26"/>
  <c r="B350" i="26"/>
  <c r="E349" i="26"/>
  <c r="D349" i="26"/>
  <c r="C349" i="26"/>
  <c r="B349" i="26"/>
  <c r="E348" i="26"/>
  <c r="D348" i="26"/>
  <c r="C348" i="26"/>
  <c r="B348" i="26"/>
  <c r="E347" i="26"/>
  <c r="D347" i="26"/>
  <c r="C347" i="26"/>
  <c r="B347" i="26"/>
  <c r="E346" i="26"/>
  <c r="D346" i="26"/>
  <c r="C346" i="26"/>
  <c r="B346" i="26"/>
  <c r="E345" i="26"/>
  <c r="D345" i="26"/>
  <c r="C345" i="26"/>
  <c r="B345" i="26"/>
  <c r="E344" i="26"/>
  <c r="D344" i="26"/>
  <c r="C344" i="26"/>
  <c r="B344" i="26"/>
  <c r="E343" i="26"/>
  <c r="D343" i="26"/>
  <c r="C343" i="26"/>
  <c r="B343" i="26"/>
  <c r="E342" i="26"/>
  <c r="D342" i="26"/>
  <c r="C342" i="26"/>
  <c r="B342" i="26"/>
  <c r="E341" i="26"/>
  <c r="D341" i="26"/>
  <c r="C341" i="26"/>
  <c r="B341" i="26"/>
  <c r="E340" i="26"/>
  <c r="D340" i="26"/>
  <c r="C340" i="26"/>
  <c r="B340" i="26"/>
  <c r="E339" i="26"/>
  <c r="D339" i="26"/>
  <c r="C339" i="26"/>
  <c r="B339" i="26"/>
  <c r="E338" i="26"/>
  <c r="D338" i="26"/>
  <c r="C338" i="26"/>
  <c r="B338" i="26"/>
  <c r="E337" i="26"/>
  <c r="D337" i="26"/>
  <c r="C337" i="26"/>
  <c r="B337" i="26"/>
  <c r="E336" i="26"/>
  <c r="D336" i="26"/>
  <c r="C336" i="26"/>
  <c r="B336" i="26"/>
  <c r="E335" i="26"/>
  <c r="D335" i="26"/>
  <c r="C335" i="26"/>
  <c r="B335" i="26"/>
  <c r="E334" i="26"/>
  <c r="D334" i="26"/>
  <c r="C334" i="26"/>
  <c r="B334" i="26"/>
  <c r="E333" i="26"/>
  <c r="D333" i="26"/>
  <c r="C333" i="26"/>
  <c r="B333" i="26"/>
  <c r="E332" i="26"/>
  <c r="D332" i="26"/>
  <c r="C332" i="26"/>
  <c r="B332" i="26"/>
  <c r="E331" i="26"/>
  <c r="D331" i="26"/>
  <c r="C331" i="26"/>
  <c r="B331" i="26"/>
  <c r="E330" i="26"/>
  <c r="D330" i="26"/>
  <c r="C330" i="26"/>
  <c r="B330" i="26"/>
  <c r="E329" i="26"/>
  <c r="D329" i="26"/>
  <c r="C329" i="26"/>
  <c r="B329" i="26"/>
  <c r="E328" i="26"/>
  <c r="D328" i="26"/>
  <c r="C328" i="26"/>
  <c r="B328" i="26"/>
  <c r="E327" i="26"/>
  <c r="D327" i="26"/>
  <c r="C327" i="26"/>
  <c r="B327" i="26"/>
  <c r="E326" i="26"/>
  <c r="D326" i="26"/>
  <c r="C326" i="26"/>
  <c r="B326" i="26"/>
  <c r="E325" i="26"/>
  <c r="D325" i="26"/>
  <c r="C325" i="26"/>
  <c r="B325" i="26"/>
  <c r="E324" i="26"/>
  <c r="D324" i="26"/>
  <c r="C324" i="26"/>
  <c r="B324" i="26"/>
  <c r="E323" i="26"/>
  <c r="D323" i="26"/>
  <c r="C323" i="26"/>
  <c r="B323" i="26"/>
  <c r="E322" i="26"/>
  <c r="D322" i="26"/>
  <c r="C322" i="26"/>
  <c r="B322" i="26"/>
  <c r="E321" i="26"/>
  <c r="D321" i="26"/>
  <c r="C321" i="26"/>
  <c r="B321" i="26"/>
  <c r="E320" i="26"/>
  <c r="D320" i="26"/>
  <c r="C320" i="26"/>
  <c r="B320" i="26"/>
  <c r="E319" i="26"/>
  <c r="D319" i="26"/>
  <c r="C319" i="26"/>
  <c r="B319" i="26"/>
  <c r="E318" i="26"/>
  <c r="D318" i="26"/>
  <c r="C318" i="26"/>
  <c r="B318" i="26"/>
  <c r="E317" i="26"/>
  <c r="D317" i="26"/>
  <c r="C317" i="26"/>
  <c r="B317" i="26"/>
  <c r="E316" i="26"/>
  <c r="D316" i="26"/>
  <c r="C316" i="26"/>
  <c r="B316" i="26"/>
  <c r="E315" i="26"/>
  <c r="D315" i="26"/>
  <c r="C315" i="26"/>
  <c r="B315" i="26"/>
  <c r="E314" i="26"/>
  <c r="D314" i="26"/>
  <c r="C314" i="26"/>
  <c r="B314" i="26"/>
  <c r="E313" i="26"/>
  <c r="D313" i="26"/>
  <c r="C313" i="26"/>
  <c r="B313" i="26"/>
  <c r="E312" i="26"/>
  <c r="D312" i="26"/>
  <c r="C312" i="26"/>
  <c r="B312" i="26"/>
  <c r="E311" i="26"/>
  <c r="D311" i="26"/>
  <c r="C311" i="26"/>
  <c r="B311" i="26"/>
  <c r="E310" i="26"/>
  <c r="D310" i="26"/>
  <c r="C310" i="26"/>
  <c r="B310" i="26"/>
  <c r="E309" i="26"/>
  <c r="D309" i="26"/>
  <c r="C309" i="26"/>
  <c r="B309" i="26"/>
  <c r="E308" i="26"/>
  <c r="D308" i="26"/>
  <c r="C308" i="26"/>
  <c r="B308" i="26"/>
  <c r="E307" i="26"/>
  <c r="D307" i="26"/>
  <c r="C307" i="26"/>
  <c r="B307" i="26"/>
  <c r="E306" i="26"/>
  <c r="D306" i="26"/>
  <c r="C306" i="26"/>
  <c r="B306" i="26"/>
  <c r="E305" i="26"/>
  <c r="D305" i="26"/>
  <c r="C305" i="26"/>
  <c r="B305" i="26"/>
  <c r="E304" i="26"/>
  <c r="D304" i="26"/>
  <c r="C304" i="26"/>
  <c r="B304" i="26"/>
  <c r="E303" i="26"/>
  <c r="D303" i="26"/>
  <c r="C303" i="26"/>
  <c r="B303" i="26"/>
  <c r="E302" i="26"/>
  <c r="D302" i="26"/>
  <c r="C302" i="26"/>
  <c r="B302" i="26"/>
  <c r="E301" i="26"/>
  <c r="D301" i="26"/>
  <c r="C301" i="26"/>
  <c r="B301" i="26"/>
  <c r="E300" i="26"/>
  <c r="D300" i="26"/>
  <c r="C300" i="26"/>
  <c r="B300" i="26"/>
  <c r="E299" i="26"/>
  <c r="D299" i="26"/>
  <c r="C299" i="26"/>
  <c r="B299" i="26"/>
  <c r="E298" i="26"/>
  <c r="D298" i="26"/>
  <c r="C298" i="26"/>
  <c r="B298" i="26"/>
  <c r="E297" i="26"/>
  <c r="D297" i="26"/>
  <c r="C297" i="26"/>
  <c r="B297" i="26"/>
  <c r="E296" i="26"/>
  <c r="D296" i="26"/>
  <c r="C296" i="26"/>
  <c r="B296" i="26"/>
  <c r="E295" i="26"/>
  <c r="D295" i="26"/>
  <c r="C295" i="26"/>
  <c r="B295" i="26"/>
  <c r="E294" i="26"/>
  <c r="D294" i="26"/>
  <c r="C294" i="26"/>
  <c r="B294" i="26"/>
  <c r="E293" i="26"/>
  <c r="D293" i="26"/>
  <c r="C293" i="26"/>
  <c r="B293" i="26"/>
  <c r="E292" i="26"/>
  <c r="D292" i="26"/>
  <c r="C292" i="26"/>
  <c r="B292" i="26"/>
  <c r="E291" i="26"/>
  <c r="D291" i="26"/>
  <c r="C291" i="26"/>
  <c r="B291" i="26"/>
  <c r="E290" i="26"/>
  <c r="D290" i="26"/>
  <c r="C290" i="26"/>
  <c r="B290" i="26"/>
  <c r="E289" i="26"/>
  <c r="D289" i="26"/>
  <c r="C289" i="26"/>
  <c r="B289" i="26"/>
  <c r="E288" i="26"/>
  <c r="D288" i="26"/>
  <c r="C288" i="26"/>
  <c r="B288" i="26"/>
  <c r="E287" i="26"/>
  <c r="D287" i="26"/>
  <c r="C287" i="26"/>
  <c r="B287" i="26"/>
  <c r="E286" i="26"/>
  <c r="D286" i="26"/>
  <c r="C286" i="26"/>
  <c r="B286" i="26"/>
  <c r="E285" i="26"/>
  <c r="D285" i="26"/>
  <c r="C285" i="26"/>
  <c r="B285" i="26"/>
  <c r="E284" i="26"/>
  <c r="D284" i="26"/>
  <c r="C284" i="26"/>
  <c r="B284" i="26"/>
  <c r="E283" i="26"/>
  <c r="D283" i="26"/>
  <c r="C283" i="26"/>
  <c r="B283" i="26"/>
  <c r="E282" i="26"/>
  <c r="D282" i="26"/>
  <c r="C282" i="26"/>
  <c r="B282" i="26"/>
  <c r="E281" i="26"/>
  <c r="D281" i="26"/>
  <c r="C281" i="26"/>
  <c r="B281" i="26"/>
  <c r="E280" i="26"/>
  <c r="D280" i="26"/>
  <c r="C280" i="26"/>
  <c r="B280" i="26"/>
  <c r="E279" i="26"/>
  <c r="D279" i="26"/>
  <c r="C279" i="26"/>
  <c r="B279" i="26"/>
  <c r="E278" i="26"/>
  <c r="D278" i="26"/>
  <c r="C278" i="26"/>
  <c r="B278" i="26"/>
  <c r="E277" i="26"/>
  <c r="D277" i="26"/>
  <c r="C277" i="26"/>
  <c r="B277" i="26"/>
  <c r="E276" i="26"/>
  <c r="D276" i="26"/>
  <c r="C276" i="26"/>
  <c r="B276" i="26"/>
  <c r="E275" i="26"/>
  <c r="D275" i="26"/>
  <c r="C275" i="26"/>
  <c r="B275" i="26"/>
  <c r="E274" i="26"/>
  <c r="D274" i="26"/>
  <c r="C274" i="26"/>
  <c r="B274" i="26"/>
  <c r="E273" i="26"/>
  <c r="D273" i="26"/>
  <c r="C273" i="26"/>
  <c r="B273" i="26"/>
  <c r="E272" i="26"/>
  <c r="D272" i="26"/>
  <c r="C272" i="26"/>
  <c r="B272" i="26"/>
  <c r="E271" i="26"/>
  <c r="D271" i="26"/>
  <c r="C271" i="26"/>
  <c r="B271" i="26"/>
  <c r="E270" i="26"/>
  <c r="D270" i="26"/>
  <c r="C270" i="26"/>
  <c r="B270" i="26"/>
  <c r="E269" i="26"/>
  <c r="D269" i="26"/>
  <c r="C269" i="26"/>
  <c r="B269" i="26"/>
  <c r="E268" i="26"/>
  <c r="D268" i="26"/>
  <c r="C268" i="26"/>
  <c r="B268" i="26"/>
  <c r="E267" i="26"/>
  <c r="D267" i="26"/>
  <c r="C267" i="26"/>
  <c r="B267" i="26"/>
  <c r="E266" i="26"/>
  <c r="D266" i="26"/>
  <c r="C266" i="26"/>
  <c r="B266" i="26"/>
  <c r="E265" i="26"/>
  <c r="D265" i="26"/>
  <c r="C265" i="26"/>
  <c r="B265" i="26"/>
  <c r="E264" i="26"/>
  <c r="D264" i="26"/>
  <c r="C264" i="26"/>
  <c r="B264" i="26"/>
  <c r="E263" i="26"/>
  <c r="D263" i="26"/>
  <c r="C263" i="26"/>
  <c r="B263" i="26"/>
  <c r="E262" i="26"/>
  <c r="D262" i="26"/>
  <c r="C262" i="26"/>
  <c r="B262" i="26"/>
  <c r="E261" i="26"/>
  <c r="D261" i="26"/>
  <c r="C261" i="26"/>
  <c r="B261" i="26"/>
  <c r="E260" i="26"/>
  <c r="D260" i="26"/>
  <c r="C260" i="26"/>
  <c r="B260" i="26"/>
  <c r="E259" i="26"/>
  <c r="D259" i="26"/>
  <c r="C259" i="26"/>
  <c r="B259" i="26"/>
  <c r="E258" i="26"/>
  <c r="D258" i="26"/>
  <c r="C258" i="26"/>
  <c r="B258" i="26"/>
  <c r="E257" i="26"/>
  <c r="D257" i="26"/>
  <c r="C257" i="26"/>
  <c r="B257" i="26"/>
  <c r="E256" i="26"/>
  <c r="D256" i="26"/>
  <c r="C256" i="26"/>
  <c r="B256" i="26"/>
  <c r="E255" i="26"/>
  <c r="D255" i="26"/>
  <c r="C255" i="26"/>
  <c r="B255" i="26"/>
  <c r="E254" i="26"/>
  <c r="D254" i="26"/>
  <c r="C254" i="26"/>
  <c r="B254" i="26"/>
  <c r="E253" i="26"/>
  <c r="D253" i="26"/>
  <c r="C253" i="26"/>
  <c r="B253" i="26"/>
  <c r="E252" i="26"/>
  <c r="D252" i="26"/>
  <c r="C252" i="26"/>
  <c r="B252" i="26"/>
  <c r="E251" i="26"/>
  <c r="D251" i="26"/>
  <c r="C251" i="26"/>
  <c r="B251" i="26"/>
  <c r="E250" i="26"/>
  <c r="D250" i="26"/>
  <c r="C250" i="26"/>
  <c r="B250" i="26"/>
  <c r="E249" i="26"/>
  <c r="D249" i="26"/>
  <c r="C249" i="26"/>
  <c r="B249" i="26"/>
  <c r="E248" i="26"/>
  <c r="D248" i="26"/>
  <c r="C248" i="26"/>
  <c r="B248" i="26"/>
  <c r="E247" i="26"/>
  <c r="D247" i="26"/>
  <c r="C247" i="26"/>
  <c r="B247" i="26"/>
  <c r="E246" i="26"/>
  <c r="D246" i="26"/>
  <c r="C246" i="26"/>
  <c r="B246" i="26"/>
  <c r="E245" i="26"/>
  <c r="D245" i="26"/>
  <c r="C245" i="26"/>
  <c r="B245" i="26"/>
  <c r="E244" i="26"/>
  <c r="D244" i="26"/>
  <c r="C244" i="26"/>
  <c r="B244" i="26"/>
  <c r="E243" i="26"/>
  <c r="D243" i="26"/>
  <c r="C243" i="26"/>
  <c r="B243" i="26"/>
  <c r="E242" i="26"/>
  <c r="D242" i="26"/>
  <c r="C242" i="26"/>
  <c r="B242" i="26"/>
  <c r="E241" i="26"/>
  <c r="D241" i="26"/>
  <c r="C241" i="26"/>
  <c r="B241" i="26"/>
  <c r="E240" i="26"/>
  <c r="D240" i="26"/>
  <c r="C240" i="26"/>
  <c r="B240" i="26"/>
  <c r="E239" i="26"/>
  <c r="D239" i="26"/>
  <c r="C239" i="26"/>
  <c r="B239" i="26"/>
  <c r="E238" i="26"/>
  <c r="D238" i="26"/>
  <c r="C238" i="26"/>
  <c r="B238" i="26"/>
  <c r="E237" i="26"/>
  <c r="D237" i="26"/>
  <c r="C237" i="26"/>
  <c r="B237" i="26"/>
  <c r="E236" i="26"/>
  <c r="D236" i="26"/>
  <c r="C236" i="26"/>
  <c r="B236" i="26"/>
  <c r="E235" i="26"/>
  <c r="D235" i="26"/>
  <c r="C235" i="26"/>
  <c r="B235" i="26"/>
  <c r="E234" i="26"/>
  <c r="D234" i="26"/>
  <c r="C234" i="26"/>
  <c r="B234" i="26"/>
  <c r="E233" i="26"/>
  <c r="D233" i="26"/>
  <c r="C233" i="26"/>
  <c r="B233" i="26"/>
  <c r="E232" i="26"/>
  <c r="D232" i="26"/>
  <c r="C232" i="26"/>
  <c r="B232" i="26"/>
  <c r="E231" i="26"/>
  <c r="D231" i="26"/>
  <c r="C231" i="26"/>
  <c r="B231" i="26"/>
  <c r="E230" i="26"/>
  <c r="D230" i="26"/>
  <c r="C230" i="26"/>
  <c r="B230" i="26"/>
  <c r="E229" i="26"/>
  <c r="D229" i="26"/>
  <c r="C229" i="26"/>
  <c r="B229" i="26"/>
  <c r="E228" i="26"/>
  <c r="D228" i="26"/>
  <c r="C228" i="26"/>
  <c r="B228" i="26"/>
  <c r="E227" i="26"/>
  <c r="D227" i="26"/>
  <c r="C227" i="26"/>
  <c r="B227" i="26"/>
  <c r="E226" i="26"/>
  <c r="D226" i="26"/>
  <c r="C226" i="26"/>
  <c r="B226" i="26"/>
  <c r="E225" i="26"/>
  <c r="D225" i="26"/>
  <c r="C225" i="26"/>
  <c r="B225" i="26"/>
  <c r="E224" i="26"/>
  <c r="D224" i="26"/>
  <c r="C224" i="26"/>
  <c r="B224" i="26"/>
  <c r="E223" i="26"/>
  <c r="D223" i="26"/>
  <c r="C223" i="26"/>
  <c r="B223" i="26"/>
  <c r="E222" i="26"/>
  <c r="D222" i="26"/>
  <c r="C222" i="26"/>
  <c r="B222" i="26"/>
  <c r="E221" i="26"/>
  <c r="D221" i="26"/>
  <c r="C221" i="26"/>
  <c r="B221" i="26"/>
  <c r="E220" i="26"/>
  <c r="D220" i="26"/>
  <c r="C220" i="26"/>
  <c r="B220" i="26"/>
  <c r="E219" i="26"/>
  <c r="D219" i="26"/>
  <c r="C219" i="26"/>
  <c r="B219" i="26"/>
  <c r="E218" i="26"/>
  <c r="D218" i="26"/>
  <c r="C218" i="26"/>
  <c r="B218" i="26"/>
  <c r="E217" i="26"/>
  <c r="D217" i="26"/>
  <c r="C217" i="26"/>
  <c r="B217" i="26"/>
  <c r="E216" i="26"/>
  <c r="D216" i="26"/>
  <c r="C216" i="26"/>
  <c r="B216" i="26"/>
  <c r="E215" i="26"/>
  <c r="D215" i="26"/>
  <c r="C215" i="26"/>
  <c r="B215" i="26"/>
  <c r="E214" i="26"/>
  <c r="D214" i="26"/>
  <c r="C214" i="26"/>
  <c r="B214" i="26"/>
  <c r="E213" i="26"/>
  <c r="D213" i="26"/>
  <c r="C213" i="26"/>
  <c r="B213" i="26"/>
  <c r="E212" i="26"/>
  <c r="D212" i="26"/>
  <c r="C212" i="26"/>
  <c r="B212" i="26"/>
  <c r="E211" i="26"/>
  <c r="D211" i="26"/>
  <c r="C211" i="26"/>
  <c r="B211" i="26"/>
  <c r="E210" i="26"/>
  <c r="D210" i="26"/>
  <c r="C210" i="26"/>
  <c r="B210" i="26"/>
  <c r="E209" i="26"/>
  <c r="D209" i="26"/>
  <c r="C209" i="26"/>
  <c r="B209" i="26"/>
  <c r="E208" i="26"/>
  <c r="D208" i="26"/>
  <c r="C208" i="26"/>
  <c r="B208" i="26"/>
  <c r="E207" i="26"/>
  <c r="D207" i="26"/>
  <c r="C207" i="26"/>
  <c r="B207" i="26"/>
  <c r="E206" i="26"/>
  <c r="D206" i="26"/>
  <c r="C206" i="26"/>
  <c r="B206" i="26"/>
  <c r="E205" i="26"/>
  <c r="D205" i="26"/>
  <c r="C205" i="26"/>
  <c r="B205" i="26"/>
  <c r="E204" i="26"/>
  <c r="D204" i="26"/>
  <c r="C204" i="26"/>
  <c r="B204" i="26"/>
  <c r="E203" i="26"/>
  <c r="D203" i="26"/>
  <c r="C203" i="26"/>
  <c r="B203" i="26"/>
  <c r="E202" i="26"/>
  <c r="D202" i="26"/>
  <c r="C202" i="26"/>
  <c r="B202" i="26"/>
  <c r="E201" i="26"/>
  <c r="D201" i="26"/>
  <c r="C201" i="26"/>
  <c r="B201" i="26"/>
  <c r="E200" i="26"/>
  <c r="D200" i="26"/>
  <c r="C200" i="26"/>
  <c r="B200" i="26"/>
  <c r="E199" i="26"/>
  <c r="D199" i="26"/>
  <c r="C199" i="26"/>
  <c r="B199" i="26"/>
  <c r="E198" i="26"/>
  <c r="D198" i="26"/>
  <c r="C198" i="26"/>
  <c r="B198" i="26"/>
  <c r="E197" i="26"/>
  <c r="D197" i="26"/>
  <c r="C197" i="26"/>
  <c r="B197" i="26"/>
  <c r="E196" i="26"/>
  <c r="D196" i="26"/>
  <c r="C196" i="26"/>
  <c r="B196" i="26"/>
  <c r="E195" i="26"/>
  <c r="D195" i="26"/>
  <c r="C195" i="26"/>
  <c r="B195" i="26"/>
  <c r="E194" i="26"/>
  <c r="D194" i="26"/>
  <c r="C194" i="26"/>
  <c r="B194" i="26"/>
  <c r="E193" i="26"/>
  <c r="D193" i="26"/>
  <c r="C193" i="26"/>
  <c r="B193" i="26"/>
  <c r="E192" i="26"/>
  <c r="D192" i="26"/>
  <c r="C192" i="26"/>
  <c r="B192" i="26"/>
  <c r="E191" i="26"/>
  <c r="D191" i="26"/>
  <c r="C191" i="26"/>
  <c r="B191" i="26"/>
  <c r="E190" i="26"/>
  <c r="D190" i="26"/>
  <c r="C190" i="26"/>
  <c r="B190" i="26"/>
  <c r="E189" i="26"/>
  <c r="D189" i="26"/>
  <c r="C189" i="26"/>
  <c r="B189" i="26"/>
  <c r="E188" i="26"/>
  <c r="D188" i="26"/>
  <c r="C188" i="26"/>
  <c r="B188" i="26"/>
  <c r="E187" i="26"/>
  <c r="D187" i="26"/>
  <c r="C187" i="26"/>
  <c r="B187" i="26"/>
  <c r="E186" i="26"/>
  <c r="D186" i="26"/>
  <c r="C186" i="26"/>
  <c r="B186" i="26"/>
  <c r="E185" i="26"/>
  <c r="D185" i="26"/>
  <c r="C185" i="26"/>
  <c r="B185" i="26"/>
  <c r="E184" i="26"/>
  <c r="D184" i="26"/>
  <c r="C184" i="26"/>
  <c r="B184" i="26"/>
  <c r="E183" i="26"/>
  <c r="D183" i="26"/>
  <c r="C183" i="26"/>
  <c r="B183" i="26"/>
  <c r="E182" i="26"/>
  <c r="D182" i="26"/>
  <c r="C182" i="26"/>
  <c r="B182" i="26"/>
  <c r="E181" i="26"/>
  <c r="D181" i="26"/>
  <c r="C181" i="26"/>
  <c r="B181" i="26"/>
  <c r="E180" i="26"/>
  <c r="D180" i="26"/>
  <c r="C180" i="26"/>
  <c r="B180" i="26"/>
  <c r="E179" i="26"/>
  <c r="D179" i="26"/>
  <c r="C179" i="26"/>
  <c r="B179" i="26"/>
  <c r="E178" i="26"/>
  <c r="D178" i="26"/>
  <c r="C178" i="26"/>
  <c r="B178" i="26"/>
  <c r="E177" i="26"/>
  <c r="D177" i="26"/>
  <c r="C177" i="26"/>
  <c r="B177" i="26"/>
  <c r="E176" i="26"/>
  <c r="D176" i="26"/>
  <c r="C176" i="26"/>
  <c r="B176" i="26"/>
  <c r="E175" i="26"/>
  <c r="D175" i="26"/>
  <c r="C175" i="26"/>
  <c r="B175" i="26"/>
  <c r="E174" i="26"/>
  <c r="D174" i="26"/>
  <c r="C174" i="26"/>
  <c r="B174" i="26"/>
  <c r="E173" i="26"/>
  <c r="D173" i="26"/>
  <c r="C173" i="26"/>
  <c r="B173" i="26"/>
  <c r="E172" i="26"/>
  <c r="D172" i="26"/>
  <c r="C172" i="26"/>
  <c r="B172" i="26"/>
  <c r="E171" i="26"/>
  <c r="D171" i="26"/>
  <c r="C171" i="26"/>
  <c r="B171" i="26"/>
  <c r="E170" i="26"/>
  <c r="D170" i="26"/>
  <c r="C170" i="26"/>
  <c r="B170" i="26"/>
  <c r="E169" i="26"/>
  <c r="D169" i="26"/>
  <c r="C169" i="26"/>
  <c r="B169" i="26"/>
  <c r="E168" i="26"/>
  <c r="D168" i="26"/>
  <c r="C168" i="26"/>
  <c r="B168" i="26"/>
  <c r="E167" i="26"/>
  <c r="D167" i="26"/>
  <c r="C167" i="26"/>
  <c r="B167" i="26"/>
  <c r="E166" i="26"/>
  <c r="D166" i="26"/>
  <c r="C166" i="26"/>
  <c r="B166" i="26"/>
  <c r="E165" i="26"/>
  <c r="D165" i="26"/>
  <c r="C165" i="26"/>
  <c r="B165" i="26"/>
  <c r="E164" i="26"/>
  <c r="D164" i="26"/>
  <c r="C164" i="26"/>
  <c r="B164" i="26"/>
  <c r="E163" i="26"/>
  <c r="D163" i="26"/>
  <c r="C163" i="26"/>
  <c r="B163" i="26"/>
  <c r="E162" i="26"/>
  <c r="D162" i="26"/>
  <c r="C162" i="26"/>
  <c r="B162" i="26"/>
  <c r="E161" i="26"/>
  <c r="D161" i="26"/>
  <c r="C161" i="26"/>
  <c r="B161" i="26"/>
  <c r="E160" i="26"/>
  <c r="D160" i="26"/>
  <c r="C160" i="26"/>
  <c r="B160" i="26"/>
  <c r="E159" i="26"/>
  <c r="D159" i="26"/>
  <c r="C159" i="26"/>
  <c r="B159" i="26"/>
  <c r="E158" i="26"/>
  <c r="D158" i="26"/>
  <c r="C158" i="26"/>
  <c r="B158" i="26"/>
  <c r="E157" i="26"/>
  <c r="D157" i="26"/>
  <c r="C157" i="26"/>
  <c r="B157" i="26"/>
  <c r="E156" i="26"/>
  <c r="D156" i="26"/>
  <c r="C156" i="26"/>
  <c r="B156" i="26"/>
  <c r="E155" i="26"/>
  <c r="D155" i="26"/>
  <c r="C155" i="26"/>
  <c r="B155" i="26"/>
  <c r="E154" i="26"/>
  <c r="D154" i="26"/>
  <c r="C154" i="26"/>
  <c r="B154" i="26"/>
  <c r="E153" i="26"/>
  <c r="D153" i="26"/>
  <c r="C153" i="26"/>
  <c r="B153" i="26"/>
  <c r="E152" i="26"/>
  <c r="D152" i="26"/>
  <c r="C152" i="26"/>
  <c r="B152" i="26"/>
  <c r="E151" i="26"/>
  <c r="D151" i="26"/>
  <c r="C151" i="26"/>
  <c r="B151" i="26"/>
  <c r="E150" i="26"/>
  <c r="D150" i="26"/>
  <c r="C150" i="26"/>
  <c r="B150" i="26"/>
  <c r="E149" i="26"/>
  <c r="D149" i="26"/>
  <c r="C149" i="26"/>
  <c r="B149" i="26"/>
  <c r="E148" i="26"/>
  <c r="D148" i="26"/>
  <c r="C148" i="26"/>
  <c r="B148" i="26"/>
  <c r="E147" i="26"/>
  <c r="D147" i="26"/>
  <c r="C147" i="26"/>
  <c r="B147" i="26"/>
  <c r="E146" i="26"/>
  <c r="D146" i="26"/>
  <c r="C146" i="26"/>
  <c r="B146" i="26"/>
  <c r="E145" i="26"/>
  <c r="D145" i="26"/>
  <c r="C145" i="26"/>
  <c r="B145" i="26"/>
  <c r="E144" i="26"/>
  <c r="D144" i="26"/>
  <c r="C144" i="26"/>
  <c r="B144" i="26"/>
  <c r="E143" i="26"/>
  <c r="D143" i="26"/>
  <c r="C143" i="26"/>
  <c r="B143" i="26"/>
  <c r="E142" i="26"/>
  <c r="D142" i="26"/>
  <c r="C142" i="26"/>
  <c r="B142" i="26"/>
  <c r="E141" i="26"/>
  <c r="D141" i="26"/>
  <c r="C141" i="26"/>
  <c r="B141" i="26"/>
  <c r="E140" i="26"/>
  <c r="D140" i="26"/>
  <c r="C140" i="26"/>
  <c r="B140" i="26"/>
  <c r="E139" i="26"/>
  <c r="D139" i="26"/>
  <c r="C139" i="26"/>
  <c r="B139" i="26"/>
  <c r="E138" i="26"/>
  <c r="D138" i="26"/>
  <c r="C138" i="26"/>
  <c r="B138" i="26"/>
  <c r="E137" i="26"/>
  <c r="D137" i="26"/>
  <c r="C137" i="26"/>
  <c r="B137" i="26"/>
  <c r="E136" i="26"/>
  <c r="D136" i="26"/>
  <c r="C136" i="26"/>
  <c r="B136" i="26"/>
  <c r="E135" i="26"/>
  <c r="D135" i="26"/>
  <c r="C135" i="26"/>
  <c r="B135" i="26"/>
  <c r="E134" i="26"/>
  <c r="D134" i="26"/>
  <c r="C134" i="26"/>
  <c r="B134" i="26"/>
  <c r="E133" i="26"/>
  <c r="D133" i="26"/>
  <c r="C133" i="26"/>
  <c r="B133" i="26"/>
  <c r="E132" i="26"/>
  <c r="D132" i="26"/>
  <c r="C132" i="26"/>
  <c r="B132" i="26"/>
  <c r="E131" i="26"/>
  <c r="D131" i="26"/>
  <c r="C131" i="26"/>
  <c r="B131" i="26"/>
  <c r="E130" i="26"/>
  <c r="D130" i="26"/>
  <c r="C130" i="26"/>
  <c r="B130" i="26"/>
  <c r="E129" i="26"/>
  <c r="D129" i="26"/>
  <c r="C129" i="26"/>
  <c r="B129" i="26"/>
  <c r="E128" i="26"/>
  <c r="D128" i="26"/>
  <c r="C128" i="26"/>
  <c r="B128" i="26"/>
  <c r="E127" i="26"/>
  <c r="D127" i="26"/>
  <c r="C127" i="26"/>
  <c r="B127" i="26"/>
  <c r="E126" i="26"/>
  <c r="D126" i="26"/>
  <c r="C126" i="26"/>
  <c r="B126" i="26"/>
  <c r="E125" i="26"/>
  <c r="D125" i="26"/>
  <c r="C125" i="26"/>
  <c r="B125" i="26"/>
  <c r="E124" i="26"/>
  <c r="D124" i="26"/>
  <c r="C124" i="26"/>
  <c r="B124" i="26"/>
  <c r="E123" i="26"/>
  <c r="D123" i="26"/>
  <c r="C123" i="26"/>
  <c r="B123" i="26"/>
  <c r="E122" i="26"/>
  <c r="D122" i="26"/>
  <c r="C122" i="26"/>
  <c r="B122" i="26"/>
  <c r="E121" i="26"/>
  <c r="D121" i="26"/>
  <c r="C121" i="26"/>
  <c r="B121" i="26"/>
  <c r="E120" i="26"/>
  <c r="D120" i="26"/>
  <c r="C120" i="26"/>
  <c r="B120" i="26"/>
  <c r="E119" i="26"/>
  <c r="D119" i="26"/>
  <c r="C119" i="26"/>
  <c r="B119" i="26"/>
  <c r="E118" i="26"/>
  <c r="D118" i="26"/>
  <c r="C118" i="26"/>
  <c r="B118" i="26"/>
  <c r="E117" i="26"/>
  <c r="D117" i="26"/>
  <c r="C117" i="26"/>
  <c r="B117" i="26"/>
  <c r="E116" i="26"/>
  <c r="D116" i="26"/>
  <c r="C116" i="26"/>
  <c r="B116" i="26"/>
  <c r="E115" i="26"/>
  <c r="D115" i="26"/>
  <c r="C115" i="26"/>
  <c r="B115" i="26"/>
  <c r="E114" i="26"/>
  <c r="D114" i="26"/>
  <c r="C114" i="26"/>
  <c r="B114" i="26"/>
  <c r="B79" i="26"/>
  <c r="B78" i="26"/>
  <c r="B40" i="26"/>
  <c r="B39" i="26"/>
  <c r="B38" i="26"/>
  <c r="B37" i="26"/>
  <c r="B36" i="26"/>
  <c r="B35" i="26"/>
  <c r="B7" i="26"/>
  <c r="B6" i="26"/>
  <c r="B5" i="26"/>
  <c r="B4" i="26"/>
  <c r="B3" i="26"/>
  <c r="BW31" i="7"/>
  <c r="BW67" i="7"/>
  <c r="BW69" i="7"/>
  <c r="BW3" i="7"/>
  <c r="AL3" i="7"/>
  <c r="J34" i="12"/>
  <c r="J36" i="12"/>
  <c r="AL5" i="7"/>
  <c r="AL7" i="7"/>
  <c r="AL8" i="7"/>
  <c r="AL9" i="7"/>
  <c r="AL10" i="7"/>
  <c r="AL11" i="7"/>
  <c r="AL12" i="7"/>
  <c r="AL13" i="7"/>
  <c r="AL14" i="7"/>
  <c r="AL15" i="7"/>
  <c r="AL17" i="7"/>
  <c r="AL19" i="7"/>
  <c r="AL20" i="7"/>
  <c r="AL21" i="7"/>
  <c r="AL23" i="7"/>
  <c r="AL25" i="7"/>
  <c r="AL27" i="7"/>
  <c r="AL28" i="7"/>
  <c r="AL31" i="7"/>
  <c r="AL33" i="7"/>
  <c r="AL35" i="7"/>
  <c r="AL36" i="7"/>
  <c r="AL37" i="7"/>
  <c r="AL39" i="7"/>
  <c r="AL41" i="7"/>
  <c r="AL43" i="7"/>
  <c r="AL44" i="7"/>
  <c r="AL45" i="7"/>
  <c r="AL47" i="7"/>
  <c r="AL49" i="7"/>
  <c r="AL51" i="7"/>
  <c r="AL52" i="7"/>
  <c r="AL53" i="7"/>
  <c r="AL55" i="7"/>
  <c r="AL57" i="7"/>
  <c r="AL59" i="7"/>
  <c r="AL60" i="7"/>
  <c r="AL61" i="7"/>
  <c r="AL63" i="7"/>
  <c r="AL65" i="7"/>
  <c r="AL67" i="7"/>
  <c r="AL68" i="7"/>
  <c r="AL69" i="7"/>
  <c r="AL70" i="7"/>
  <c r="AL71" i="7"/>
  <c r="AL73" i="7"/>
  <c r="AL75" i="7"/>
  <c r="AL76" i="7"/>
  <c r="AL77" i="7"/>
  <c r="AL79" i="7"/>
  <c r="AL81" i="7"/>
  <c r="AL83" i="7"/>
  <c r="AL84" i="7"/>
  <c r="AL85" i="7"/>
  <c r="AL87" i="7"/>
  <c r="AL89" i="7"/>
  <c r="AL91" i="7"/>
  <c r="AL92" i="7"/>
  <c r="AL93" i="7"/>
  <c r="AL95" i="7"/>
  <c r="AL97" i="7"/>
  <c r="AL99" i="7"/>
  <c r="AL100" i="7"/>
  <c r="AL101" i="7"/>
  <c r="AL103" i="7"/>
  <c r="AL105" i="7"/>
  <c r="AL107" i="7"/>
  <c r="AL108" i="7"/>
  <c r="AL109" i="7"/>
  <c r="AL111" i="7"/>
  <c r="AL113" i="7"/>
  <c r="AL115" i="7"/>
  <c r="AL116" i="7"/>
  <c r="AL117" i="7"/>
  <c r="AL119" i="7"/>
  <c r="AL121" i="7"/>
  <c r="AL123" i="7"/>
  <c r="AL124" i="7"/>
  <c r="AL125" i="7"/>
  <c r="AL126" i="7"/>
  <c r="AL127" i="7"/>
  <c r="AL129" i="7"/>
  <c r="AL131" i="7"/>
  <c r="AL132" i="7"/>
  <c r="AL133" i="7"/>
  <c r="AL135" i="7"/>
  <c r="AL137" i="7"/>
  <c r="AL139" i="7"/>
  <c r="AL140" i="7"/>
  <c r="AL141" i="7"/>
  <c r="AL143" i="7"/>
  <c r="AL145" i="7"/>
  <c r="AL147" i="7"/>
  <c r="AL148" i="7"/>
  <c r="AL149" i="7"/>
  <c r="AL151" i="7"/>
  <c r="AL153" i="7"/>
  <c r="AL155" i="7"/>
  <c r="AL156" i="7"/>
  <c r="AL157" i="7"/>
  <c r="AL159" i="7"/>
  <c r="AL161" i="7"/>
  <c r="AL163" i="7"/>
  <c r="AL164" i="7"/>
  <c r="AL165" i="7"/>
  <c r="AL167" i="7"/>
  <c r="AL169" i="7"/>
  <c r="AL171" i="7"/>
  <c r="AL172" i="7"/>
  <c r="AL173" i="7"/>
  <c r="AL175" i="7"/>
  <c r="AL177" i="7"/>
  <c r="AL179" i="7"/>
  <c r="AL180" i="7"/>
  <c r="AL181" i="7"/>
  <c r="AL183" i="7"/>
  <c r="AL185" i="7"/>
  <c r="AL187" i="7"/>
  <c r="AL188" i="7"/>
  <c r="AL189" i="7"/>
  <c r="AL190" i="7"/>
  <c r="AL191" i="7"/>
  <c r="AL193" i="7"/>
  <c r="AL195" i="7"/>
  <c r="AL196" i="7"/>
  <c r="AL197" i="7"/>
  <c r="AL199" i="7"/>
  <c r="AL201" i="7"/>
  <c r="AL203" i="7"/>
  <c r="AL204" i="7"/>
  <c r="AL205" i="7"/>
  <c r="AL207" i="7"/>
  <c r="AL209" i="7"/>
  <c r="AL211" i="7"/>
  <c r="AL212" i="7"/>
  <c r="AL213" i="7"/>
  <c r="AL215" i="7"/>
  <c r="AL217" i="7"/>
  <c r="AL219" i="7"/>
  <c r="AL220" i="7"/>
  <c r="AL221" i="7"/>
  <c r="AL223" i="7"/>
  <c r="AL225" i="7"/>
  <c r="AL227" i="7"/>
  <c r="AL228" i="7"/>
  <c r="AL229" i="7"/>
  <c r="AL231" i="7"/>
  <c r="AL233" i="7"/>
  <c r="AL235" i="7"/>
  <c r="AL236" i="7"/>
  <c r="AL237" i="7"/>
  <c r="AL239" i="7"/>
  <c r="AL241" i="7"/>
  <c r="AL243" i="7"/>
  <c r="AL244" i="7"/>
  <c r="AL245" i="7"/>
  <c r="AL247" i="7"/>
  <c r="AL249" i="7"/>
  <c r="AL251" i="7"/>
  <c r="AL252" i="7"/>
  <c r="AL253" i="7"/>
  <c r="AL254" i="7"/>
  <c r="AL255" i="7"/>
  <c r="AL257" i="7"/>
  <c r="AL259" i="7"/>
  <c r="AL260" i="7"/>
  <c r="AL261" i="7"/>
  <c r="AL263" i="7"/>
  <c r="AL265" i="7"/>
  <c r="AL267" i="7"/>
  <c r="AL268" i="7"/>
  <c r="AL269" i="7"/>
  <c r="AL271" i="7"/>
  <c r="AL273" i="7"/>
  <c r="AL275" i="7"/>
  <c r="AL4" i="7"/>
  <c r="F141" i="12" l="1"/>
  <c r="AL264" i="7"/>
  <c r="F285" i="12"/>
  <c r="AL128" i="7"/>
  <c r="AL56" i="7"/>
  <c r="F139" i="12"/>
  <c r="F77" i="12"/>
  <c r="F173" i="12"/>
  <c r="F189" i="12"/>
  <c r="AL96" i="7"/>
  <c r="F109" i="12"/>
  <c r="F93" i="12"/>
  <c r="F61" i="12"/>
  <c r="AL232" i="7"/>
  <c r="AL136" i="7"/>
  <c r="F245" i="12"/>
  <c r="AL104" i="7"/>
  <c r="AL72" i="7"/>
  <c r="F269" i="12"/>
  <c r="F229" i="12"/>
  <c r="F213" i="12"/>
  <c r="AL168" i="7"/>
  <c r="AL208" i="7"/>
  <c r="AL176" i="7"/>
  <c r="AL40" i="7"/>
  <c r="C6" i="26"/>
  <c r="F253" i="12"/>
  <c r="F181" i="12"/>
  <c r="F149" i="12"/>
  <c r="AL248" i="7"/>
  <c r="AL16" i="7"/>
  <c r="F251" i="12"/>
  <c r="F117" i="12"/>
  <c r="AL272" i="7"/>
  <c r="AL192" i="7"/>
  <c r="AL24" i="7"/>
  <c r="AL158" i="7"/>
  <c r="AL94" i="7"/>
  <c r="AL38" i="7"/>
  <c r="AL238" i="7"/>
  <c r="AL54" i="7"/>
  <c r="B60" i="26"/>
  <c r="C56" i="26" s="1"/>
  <c r="F275" i="12"/>
  <c r="F243" i="12"/>
  <c r="F91" i="12"/>
  <c r="J107" i="12"/>
  <c r="AL182" i="7"/>
  <c r="AL118" i="7"/>
  <c r="F179" i="12"/>
  <c r="F115" i="12"/>
  <c r="F51" i="12"/>
  <c r="F227" i="12"/>
  <c r="F163" i="12"/>
  <c r="AL142" i="7"/>
  <c r="F291" i="12"/>
  <c r="F259" i="12"/>
  <c r="F59" i="12"/>
  <c r="AL270" i="7"/>
  <c r="AL206" i="7"/>
  <c r="F107" i="12"/>
  <c r="C4" i="26"/>
  <c r="AL166" i="7"/>
  <c r="AL102" i="7"/>
  <c r="D3" i="26"/>
  <c r="AL26" i="7"/>
  <c r="AL18" i="7"/>
  <c r="D5" i="26"/>
  <c r="AL74" i="7"/>
  <c r="AL66" i="7"/>
  <c r="AL58" i="7"/>
  <c r="AL50" i="7"/>
  <c r="AL42" i="7"/>
  <c r="AL34" i="7"/>
  <c r="AL274" i="7"/>
  <c r="AL266" i="7"/>
  <c r="AL258" i="7"/>
  <c r="AL250" i="7"/>
  <c r="AL242" i="7"/>
  <c r="AL234" i="7"/>
  <c r="AL226" i="7"/>
  <c r="AL218" i="7"/>
  <c r="AL210" i="7"/>
  <c r="AL202" i="7"/>
  <c r="AL194" i="7"/>
  <c r="AL186" i="7"/>
  <c r="AL178" i="7"/>
  <c r="AL170" i="7"/>
  <c r="AL162" i="7"/>
  <c r="AL154" i="7"/>
  <c r="AL146" i="7"/>
  <c r="AL138" i="7"/>
  <c r="AL130" i="7"/>
  <c r="AL122" i="7"/>
  <c r="AL114" i="7"/>
  <c r="AL106" i="7"/>
  <c r="AL98" i="7"/>
  <c r="AL90" i="7"/>
  <c r="AL82" i="7"/>
  <c r="AL6" i="7"/>
  <c r="B43" i="26"/>
  <c r="G38" i="26" s="1"/>
  <c r="D7" i="26"/>
  <c r="C7" i="26"/>
  <c r="D6" i="26"/>
  <c r="C5" i="26"/>
  <c r="D4" i="26"/>
  <c r="BW260" i="7"/>
  <c r="J289" i="12"/>
  <c r="BW256" i="7"/>
  <c r="J285" i="12"/>
  <c r="BW254" i="7"/>
  <c r="J283" i="12"/>
  <c r="BW250" i="7"/>
  <c r="J279" i="12"/>
  <c r="BW246" i="7"/>
  <c r="J275" i="12"/>
  <c r="BW244" i="7"/>
  <c r="J273" i="12"/>
  <c r="BW240" i="7"/>
  <c r="J269" i="12"/>
  <c r="BW236" i="7"/>
  <c r="J265" i="12"/>
  <c r="BW232" i="7"/>
  <c r="J261" i="12"/>
  <c r="BW228" i="7"/>
  <c r="J257" i="12"/>
  <c r="BW224" i="7"/>
  <c r="J253" i="12"/>
  <c r="BW220" i="7"/>
  <c r="J249" i="12"/>
  <c r="BW216" i="7"/>
  <c r="J245" i="12"/>
  <c r="BW212" i="7"/>
  <c r="J241" i="12"/>
  <c r="BW208" i="7"/>
  <c r="J237" i="12"/>
  <c r="BW204" i="7"/>
  <c r="J233" i="12"/>
  <c r="BW200" i="7"/>
  <c r="J229" i="12"/>
  <c r="BW194" i="7"/>
  <c r="J223" i="12"/>
  <c r="BW190" i="7"/>
  <c r="J219" i="12"/>
  <c r="BW184" i="7"/>
  <c r="J213" i="12"/>
  <c r="BW180" i="7"/>
  <c r="J209" i="12"/>
  <c r="BW178" i="7"/>
  <c r="J207" i="12"/>
  <c r="BW170" i="7"/>
  <c r="J199" i="12"/>
  <c r="BW165" i="7"/>
  <c r="J194" i="12"/>
  <c r="BW161" i="7"/>
  <c r="J190" i="12"/>
  <c r="BW157" i="7"/>
  <c r="J186" i="12"/>
  <c r="BW155" i="7"/>
  <c r="J184" i="12"/>
  <c r="BW151" i="7"/>
  <c r="J180" i="12"/>
  <c r="BW147" i="7"/>
  <c r="J176" i="12"/>
  <c r="BW143" i="7"/>
  <c r="J172" i="12"/>
  <c r="BW139" i="7"/>
  <c r="J168" i="12"/>
  <c r="BW135" i="7"/>
  <c r="J164" i="12"/>
  <c r="BW131" i="7"/>
  <c r="J160" i="12"/>
  <c r="BW127" i="7"/>
  <c r="J156" i="12"/>
  <c r="BW123" i="7"/>
  <c r="J152" i="12"/>
  <c r="BW119" i="7"/>
  <c r="J148" i="12"/>
  <c r="BW115" i="7"/>
  <c r="J144" i="12"/>
  <c r="BW111" i="7"/>
  <c r="J140" i="12"/>
  <c r="BW107" i="7"/>
  <c r="J136" i="12"/>
  <c r="BW103" i="7"/>
  <c r="J132" i="12"/>
  <c r="BW99" i="7"/>
  <c r="J128" i="12"/>
  <c r="BW95" i="7"/>
  <c r="J124" i="12"/>
  <c r="BW91" i="7"/>
  <c r="J120" i="12"/>
  <c r="BW89" i="7"/>
  <c r="J118" i="12"/>
  <c r="BW85" i="7"/>
  <c r="J114" i="12"/>
  <c r="BW81" i="7"/>
  <c r="J110" i="12"/>
  <c r="BW76" i="7"/>
  <c r="J105" i="12"/>
  <c r="BW72" i="7"/>
  <c r="J101" i="12"/>
  <c r="BW66" i="7"/>
  <c r="J95" i="12"/>
  <c r="BW62" i="7"/>
  <c r="J91" i="12"/>
  <c r="BW58" i="7"/>
  <c r="J87" i="12"/>
  <c r="BW54" i="7"/>
  <c r="J83" i="12"/>
  <c r="BW50" i="7"/>
  <c r="J79" i="12"/>
  <c r="BW48" i="7"/>
  <c r="J77" i="12"/>
  <c r="BW44" i="7"/>
  <c r="J73" i="12"/>
  <c r="BW40" i="7"/>
  <c r="J69" i="12"/>
  <c r="BW36" i="7"/>
  <c r="J65" i="12"/>
  <c r="BW33" i="7"/>
  <c r="J62" i="12"/>
  <c r="BW29" i="7"/>
  <c r="J58" i="12"/>
  <c r="BW27" i="7"/>
  <c r="J56" i="12"/>
  <c r="BW23" i="7"/>
  <c r="J52" i="12"/>
  <c r="BW19" i="7"/>
  <c r="J48" i="12"/>
  <c r="BW17" i="7"/>
  <c r="J46" i="12"/>
  <c r="BW15" i="7"/>
  <c r="J44" i="12"/>
  <c r="BW13" i="7"/>
  <c r="J42" i="12"/>
  <c r="BW11" i="7"/>
  <c r="J40" i="12"/>
  <c r="J38" i="12"/>
  <c r="D83" i="26"/>
  <c r="BW32" i="7"/>
  <c r="J61" i="12"/>
  <c r="C81" i="26"/>
  <c r="J301" i="12"/>
  <c r="J297" i="12"/>
  <c r="J293" i="12"/>
  <c r="BW258" i="7"/>
  <c r="J287" i="12"/>
  <c r="BW252" i="7"/>
  <c r="J281" i="12"/>
  <c r="BW248" i="7"/>
  <c r="J277" i="12"/>
  <c r="BW242" i="7"/>
  <c r="J271" i="12"/>
  <c r="BW238" i="7"/>
  <c r="J267" i="12"/>
  <c r="BW234" i="7"/>
  <c r="J263" i="12"/>
  <c r="BW230" i="7"/>
  <c r="J259" i="12"/>
  <c r="BW226" i="7"/>
  <c r="J255" i="12"/>
  <c r="BW222" i="7"/>
  <c r="J251" i="12"/>
  <c r="BW218" i="7"/>
  <c r="J247" i="12"/>
  <c r="BW214" i="7"/>
  <c r="J243" i="12"/>
  <c r="BW210" i="7"/>
  <c r="J239" i="12"/>
  <c r="BW206" i="7"/>
  <c r="J235" i="12"/>
  <c r="BW202" i="7"/>
  <c r="J231" i="12"/>
  <c r="BW198" i="7"/>
  <c r="J227" i="12"/>
  <c r="BW196" i="7"/>
  <c r="J225" i="12"/>
  <c r="BW192" i="7"/>
  <c r="J221" i="12"/>
  <c r="BW188" i="7"/>
  <c r="J217" i="12"/>
  <c r="BW186" i="7"/>
  <c r="J215" i="12"/>
  <c r="BW182" i="7"/>
  <c r="J211" i="12"/>
  <c r="BW176" i="7"/>
  <c r="J205" i="12"/>
  <c r="BW174" i="7"/>
  <c r="J203" i="12"/>
  <c r="BW172" i="7"/>
  <c r="J201" i="12"/>
  <c r="BW168" i="7"/>
  <c r="J197" i="12"/>
  <c r="BW163" i="7"/>
  <c r="J192" i="12"/>
  <c r="BW159" i="7"/>
  <c r="J188" i="12"/>
  <c r="BW153" i="7"/>
  <c r="J182" i="12"/>
  <c r="BW149" i="7"/>
  <c r="J178" i="12"/>
  <c r="BW145" i="7"/>
  <c r="J174" i="12"/>
  <c r="BW141" i="7"/>
  <c r="J170" i="12"/>
  <c r="BW137" i="7"/>
  <c r="J166" i="12"/>
  <c r="BW133" i="7"/>
  <c r="J162" i="12"/>
  <c r="BW129" i="7"/>
  <c r="J158" i="12"/>
  <c r="BW125" i="7"/>
  <c r="J154" i="12"/>
  <c r="BW121" i="7"/>
  <c r="J150" i="12"/>
  <c r="BW117" i="7"/>
  <c r="J146" i="12"/>
  <c r="BW113" i="7"/>
  <c r="J142" i="12"/>
  <c r="BW109" i="7"/>
  <c r="J138" i="12"/>
  <c r="BW105" i="7"/>
  <c r="J134" i="12"/>
  <c r="BW101" i="7"/>
  <c r="J130" i="12"/>
  <c r="BW97" i="7"/>
  <c r="J126" i="12"/>
  <c r="BW93" i="7"/>
  <c r="J122" i="12"/>
  <c r="BW87" i="7"/>
  <c r="J116" i="12"/>
  <c r="BW83" i="7"/>
  <c r="J112" i="12"/>
  <c r="BW79" i="7"/>
  <c r="J108" i="12"/>
  <c r="BW74" i="7"/>
  <c r="J103" i="12"/>
  <c r="BW70" i="7"/>
  <c r="J99" i="12"/>
  <c r="BW64" i="7"/>
  <c r="J93" i="12"/>
  <c r="BW60" i="7"/>
  <c r="J89" i="12"/>
  <c r="BW56" i="7"/>
  <c r="J85" i="12"/>
  <c r="BW52" i="7"/>
  <c r="J81" i="12"/>
  <c r="BW46" i="7"/>
  <c r="J75" i="12"/>
  <c r="BW42" i="7"/>
  <c r="J71" i="12"/>
  <c r="BW38" i="7"/>
  <c r="J67" i="12"/>
  <c r="BW25" i="7"/>
  <c r="J54" i="12"/>
  <c r="D80" i="26"/>
  <c r="C82" i="26"/>
  <c r="BW275" i="7"/>
  <c r="J304" i="12"/>
  <c r="BW273" i="7"/>
  <c r="J302" i="12"/>
  <c r="BW271" i="7"/>
  <c r="J300" i="12"/>
  <c r="BW269" i="7"/>
  <c r="J298" i="12"/>
  <c r="BW267" i="7"/>
  <c r="J296" i="12"/>
  <c r="BW265" i="7"/>
  <c r="J294" i="12"/>
  <c r="BW263" i="7"/>
  <c r="J292" i="12"/>
  <c r="BW261" i="7"/>
  <c r="J290" i="12"/>
  <c r="BW259" i="7"/>
  <c r="J288" i="12"/>
  <c r="BW257" i="7"/>
  <c r="J286" i="12"/>
  <c r="BW255" i="7"/>
  <c r="J284" i="12"/>
  <c r="BW253" i="7"/>
  <c r="J282" i="12"/>
  <c r="BW251" i="7"/>
  <c r="J280" i="12"/>
  <c r="BW249" i="7"/>
  <c r="J278" i="12"/>
  <c r="BW247" i="7"/>
  <c r="J276" i="12"/>
  <c r="BW245" i="7"/>
  <c r="J274" i="12"/>
  <c r="BW243" i="7"/>
  <c r="J272" i="12"/>
  <c r="BW241" i="7"/>
  <c r="J270" i="12"/>
  <c r="BW239" i="7"/>
  <c r="J268" i="12"/>
  <c r="BW237" i="7"/>
  <c r="J266" i="12"/>
  <c r="BW235" i="7"/>
  <c r="J264" i="12"/>
  <c r="BW233" i="7"/>
  <c r="J262" i="12"/>
  <c r="BW231" i="7"/>
  <c r="J260" i="12"/>
  <c r="BW229" i="7"/>
  <c r="J258" i="12"/>
  <c r="BW227" i="7"/>
  <c r="J256" i="12"/>
  <c r="BW225" i="7"/>
  <c r="J254" i="12"/>
  <c r="BW223" i="7"/>
  <c r="J252" i="12"/>
  <c r="BW221" i="7"/>
  <c r="J250" i="12"/>
  <c r="BW219" i="7"/>
  <c r="J248" i="12"/>
  <c r="BW217" i="7"/>
  <c r="J246" i="12"/>
  <c r="BW215" i="7"/>
  <c r="J244" i="12"/>
  <c r="BW213" i="7"/>
  <c r="J242" i="12"/>
  <c r="BW211" i="7"/>
  <c r="J240" i="12"/>
  <c r="BW209" i="7"/>
  <c r="J238" i="12"/>
  <c r="BW207" i="7"/>
  <c r="J236" i="12"/>
  <c r="BW205" i="7"/>
  <c r="J234" i="12"/>
  <c r="BW203" i="7"/>
  <c r="J232" i="12"/>
  <c r="BW201" i="7"/>
  <c r="J230" i="12"/>
  <c r="BW199" i="7"/>
  <c r="J228" i="12"/>
  <c r="BW197" i="7"/>
  <c r="J226" i="12"/>
  <c r="BW195" i="7"/>
  <c r="J224" i="12"/>
  <c r="BW193" i="7"/>
  <c r="J222" i="12"/>
  <c r="BW191" i="7"/>
  <c r="J220" i="12"/>
  <c r="BW189" i="7"/>
  <c r="J218" i="12"/>
  <c r="BW187" i="7"/>
  <c r="J216" i="12"/>
  <c r="BW185" i="7"/>
  <c r="J214" i="12"/>
  <c r="BW183" i="7"/>
  <c r="J212" i="12"/>
  <c r="BW181" i="7"/>
  <c r="J210" i="12"/>
  <c r="BW179" i="7"/>
  <c r="J208" i="12"/>
  <c r="BW177" i="7"/>
  <c r="J206" i="12"/>
  <c r="BW175" i="7"/>
  <c r="J204" i="12"/>
  <c r="BW173" i="7"/>
  <c r="J202" i="12"/>
  <c r="BW171" i="7"/>
  <c r="J200" i="12"/>
  <c r="BW169" i="7"/>
  <c r="J198" i="12"/>
  <c r="BW166" i="7"/>
  <c r="J195" i="12"/>
  <c r="BW164" i="7"/>
  <c r="J193" i="12"/>
  <c r="BW162" i="7"/>
  <c r="J191" i="12"/>
  <c r="BW160" i="7"/>
  <c r="J189" i="12"/>
  <c r="BW158" i="7"/>
  <c r="J187" i="12"/>
  <c r="BW156" i="7"/>
  <c r="J185" i="12"/>
  <c r="BW152" i="7"/>
  <c r="J181" i="12"/>
  <c r="BW150" i="7"/>
  <c r="J179" i="12"/>
  <c r="BW148" i="7"/>
  <c r="J177" i="12"/>
  <c r="BW146" i="7"/>
  <c r="J175" i="12"/>
  <c r="BW144" i="7"/>
  <c r="J173" i="12"/>
  <c r="BW142" i="7"/>
  <c r="J171" i="12"/>
  <c r="BW140" i="7"/>
  <c r="J169" i="12"/>
  <c r="BW138" i="7"/>
  <c r="J167" i="12"/>
  <c r="BW136" i="7"/>
  <c r="J165" i="12"/>
  <c r="BW134" i="7"/>
  <c r="J163" i="12"/>
  <c r="BW132" i="7"/>
  <c r="J161" i="12"/>
  <c r="BW130" i="7"/>
  <c r="J159" i="12"/>
  <c r="BW128" i="7"/>
  <c r="J157" i="12"/>
  <c r="BW126" i="7"/>
  <c r="J155" i="12"/>
  <c r="BW124" i="7"/>
  <c r="J153" i="12"/>
  <c r="BW122" i="7"/>
  <c r="J151" i="12"/>
  <c r="BW120" i="7"/>
  <c r="J149" i="12"/>
  <c r="BW118" i="7"/>
  <c r="J147" i="12"/>
  <c r="BW116" i="7"/>
  <c r="J145" i="12"/>
  <c r="BW114" i="7"/>
  <c r="J143" i="12"/>
  <c r="BW112" i="7"/>
  <c r="J141" i="12"/>
  <c r="BW110" i="7"/>
  <c r="J139" i="12"/>
  <c r="BW108" i="7"/>
  <c r="J137" i="12"/>
  <c r="BW106" i="7"/>
  <c r="J135" i="12"/>
  <c r="BW104" i="7"/>
  <c r="J133" i="12"/>
  <c r="BW102" i="7"/>
  <c r="J131" i="12"/>
  <c r="BW100" i="7"/>
  <c r="J129" i="12"/>
  <c r="BW98" i="7"/>
  <c r="J127" i="12"/>
  <c r="BW96" i="7"/>
  <c r="J125" i="12"/>
  <c r="BW94" i="7"/>
  <c r="J123" i="12"/>
  <c r="BW92" i="7"/>
  <c r="J121" i="12"/>
  <c r="BW90" i="7"/>
  <c r="J119" i="12"/>
  <c r="BW88" i="7"/>
  <c r="J117" i="12"/>
  <c r="BW86" i="7"/>
  <c r="J115" i="12"/>
  <c r="BW84" i="7"/>
  <c r="J113" i="12"/>
  <c r="BW82" i="7"/>
  <c r="J111" i="12"/>
  <c r="BW80" i="7"/>
  <c r="J109" i="12"/>
  <c r="BW77" i="7"/>
  <c r="J106" i="12"/>
  <c r="BW75" i="7"/>
  <c r="J104" i="12"/>
  <c r="BW73" i="7"/>
  <c r="J102" i="12"/>
  <c r="BW71" i="7"/>
  <c r="J100" i="12"/>
  <c r="BW68" i="7"/>
  <c r="J97" i="12"/>
  <c r="BW65" i="7"/>
  <c r="J94" i="12"/>
  <c r="BW63" i="7"/>
  <c r="J92" i="12"/>
  <c r="BW61" i="7"/>
  <c r="J90" i="12"/>
  <c r="BW59" i="7"/>
  <c r="J88" i="12"/>
  <c r="BW57" i="7"/>
  <c r="J86" i="12"/>
  <c r="BW55" i="7"/>
  <c r="J84" i="12"/>
  <c r="BW53" i="7"/>
  <c r="J82" i="12"/>
  <c r="BW51" i="7"/>
  <c r="J80" i="12"/>
  <c r="BW49" i="7"/>
  <c r="J78" i="12"/>
  <c r="BW47" i="7"/>
  <c r="J76" i="12"/>
  <c r="BW45" i="7"/>
  <c r="J74" i="12"/>
  <c r="BW43" i="7"/>
  <c r="J72" i="12"/>
  <c r="BW41" i="7"/>
  <c r="J70" i="12"/>
  <c r="BW39" i="7"/>
  <c r="J68" i="12"/>
  <c r="BW37" i="7"/>
  <c r="J66" i="12"/>
  <c r="BW35" i="7"/>
  <c r="J64" i="12"/>
  <c r="BW30" i="7"/>
  <c r="J59" i="12"/>
  <c r="BW28" i="7"/>
  <c r="J57" i="12"/>
  <c r="BW26" i="7"/>
  <c r="J55" i="12"/>
  <c r="BW24" i="7"/>
  <c r="J53" i="12"/>
  <c r="BW22" i="7"/>
  <c r="J51" i="12"/>
  <c r="BW20" i="7"/>
  <c r="J49" i="12"/>
  <c r="BW18" i="7"/>
  <c r="J47" i="12"/>
  <c r="BW16" i="7"/>
  <c r="J45" i="12"/>
  <c r="BW14" i="7"/>
  <c r="J43" i="12"/>
  <c r="BW12" i="7"/>
  <c r="J41" i="12"/>
  <c r="BW10" i="7"/>
  <c r="J39" i="12"/>
  <c r="BW8" i="7"/>
  <c r="J37" i="12"/>
  <c r="BW6" i="7"/>
  <c r="J35" i="12"/>
  <c r="BW34" i="7"/>
  <c r="J63" i="12"/>
  <c r="BW167" i="7"/>
  <c r="J196" i="12"/>
  <c r="D81" i="26"/>
  <c r="C80" i="26"/>
  <c r="D82" i="26"/>
  <c r="C83" i="26"/>
  <c r="J303" i="12"/>
  <c r="J299" i="12"/>
  <c r="J295" i="12"/>
  <c r="J291" i="12"/>
  <c r="D79" i="26"/>
  <c r="C79" i="26"/>
  <c r="BW4" i="7"/>
  <c r="BW21" i="7"/>
  <c r="BW9" i="7"/>
  <c r="BW7" i="7"/>
  <c r="BW5" i="7"/>
  <c r="BW154" i="7"/>
  <c r="D78" i="26"/>
  <c r="C78" i="26"/>
  <c r="B86" i="26"/>
  <c r="H80" i="26" s="1"/>
  <c r="C3" i="26"/>
  <c r="AL29" i="7"/>
  <c r="B10" i="26"/>
  <c r="H4" i="26" s="1"/>
  <c r="C57" i="26"/>
  <c r="G35" i="26"/>
  <c r="AY184" i="7"/>
  <c r="G39" i="26" l="1"/>
  <c r="G37" i="26"/>
  <c r="C55" i="26"/>
  <c r="C60" i="26" s="1"/>
  <c r="G40" i="26"/>
  <c r="G36" i="26"/>
  <c r="H5" i="26"/>
  <c r="H79" i="26"/>
  <c r="H83" i="26"/>
  <c r="H81" i="26"/>
  <c r="H78" i="26"/>
  <c r="H82" i="26"/>
  <c r="C86" i="26"/>
  <c r="D86" i="26"/>
  <c r="H3" i="26"/>
  <c r="H7" i="26"/>
  <c r="D10" i="26"/>
  <c r="H6" i="26"/>
  <c r="C10" i="26"/>
  <c r="R5" i="6"/>
  <c r="S5" i="6"/>
  <c r="R6" i="6"/>
  <c r="S6" i="6"/>
  <c r="R7" i="6"/>
  <c r="S7" i="6"/>
  <c r="R8" i="6"/>
  <c r="S8" i="6"/>
  <c r="R9" i="6"/>
  <c r="S9" i="6"/>
  <c r="R10" i="6"/>
  <c r="S10" i="6"/>
  <c r="R11" i="6"/>
  <c r="S11" i="6"/>
  <c r="R12" i="6"/>
  <c r="S12" i="6"/>
  <c r="R13" i="6"/>
  <c r="S13" i="6"/>
  <c r="R14" i="6"/>
  <c r="S14" i="6"/>
  <c r="R15" i="6"/>
  <c r="S15" i="6"/>
  <c r="R16" i="6"/>
  <c r="S16" i="6"/>
  <c r="R17" i="6"/>
  <c r="S17" i="6"/>
  <c r="R18" i="6"/>
  <c r="S18" i="6"/>
  <c r="R19" i="6"/>
  <c r="S19" i="6"/>
  <c r="R20" i="6"/>
  <c r="S20" i="6"/>
  <c r="R21" i="6"/>
  <c r="S21" i="6"/>
  <c r="R22" i="6"/>
  <c r="S22" i="6"/>
  <c r="R23" i="6"/>
  <c r="S23" i="6"/>
  <c r="R24" i="6"/>
  <c r="S24" i="6"/>
  <c r="R25" i="6"/>
  <c r="S25" i="6"/>
  <c r="R26" i="6"/>
  <c r="S26" i="6"/>
  <c r="R27" i="6"/>
  <c r="S27" i="6"/>
  <c r="R28" i="6"/>
  <c r="S28" i="6"/>
  <c r="R29" i="6"/>
  <c r="S29" i="6"/>
  <c r="R30" i="6"/>
  <c r="S30" i="6"/>
  <c r="R31" i="6"/>
  <c r="S31" i="6"/>
  <c r="R32" i="6"/>
  <c r="S32" i="6"/>
  <c r="R33" i="6"/>
  <c r="S33" i="6"/>
  <c r="R34" i="6"/>
  <c r="S34" i="6"/>
  <c r="R35" i="6"/>
  <c r="S35" i="6"/>
  <c r="R36" i="6"/>
  <c r="S36" i="6"/>
  <c r="R37" i="6"/>
  <c r="S37" i="6"/>
  <c r="R38" i="6"/>
  <c r="S38" i="6"/>
  <c r="R39" i="6"/>
  <c r="S39" i="6"/>
  <c r="R40" i="6"/>
  <c r="S40" i="6"/>
  <c r="R41" i="6"/>
  <c r="S41" i="6"/>
  <c r="R42" i="6"/>
  <c r="S42" i="6"/>
  <c r="R43" i="6"/>
  <c r="S43" i="6"/>
  <c r="R44" i="6"/>
  <c r="S44" i="6"/>
  <c r="R45" i="6"/>
  <c r="S45" i="6"/>
  <c r="R46" i="6"/>
  <c r="S46" i="6"/>
  <c r="R47" i="6"/>
  <c r="S47" i="6"/>
  <c r="R48" i="6"/>
  <c r="S48" i="6"/>
  <c r="R49" i="6"/>
  <c r="S49" i="6"/>
  <c r="R50" i="6"/>
  <c r="S50" i="6"/>
  <c r="R51" i="6"/>
  <c r="S51" i="6"/>
  <c r="R52" i="6"/>
  <c r="S52" i="6"/>
  <c r="R53" i="6"/>
  <c r="S53" i="6"/>
  <c r="R54" i="6"/>
  <c r="S54" i="6"/>
  <c r="R55" i="6"/>
  <c r="S55" i="6"/>
  <c r="R56" i="6"/>
  <c r="S56" i="6"/>
  <c r="R57" i="6"/>
  <c r="S57" i="6"/>
  <c r="R58" i="6"/>
  <c r="S58" i="6"/>
  <c r="R59" i="6"/>
  <c r="S59" i="6"/>
  <c r="R60" i="6"/>
  <c r="S60" i="6"/>
  <c r="R61" i="6"/>
  <c r="S61" i="6"/>
  <c r="R62" i="6"/>
  <c r="S62" i="6"/>
  <c r="R63" i="6"/>
  <c r="S63" i="6"/>
  <c r="R64" i="6"/>
  <c r="S64" i="6"/>
  <c r="R65" i="6"/>
  <c r="S65" i="6"/>
  <c r="R66" i="6"/>
  <c r="S66" i="6"/>
  <c r="R67" i="6"/>
  <c r="S67" i="6"/>
  <c r="R68" i="6"/>
  <c r="S68" i="6"/>
  <c r="R69" i="6"/>
  <c r="S69" i="6"/>
  <c r="R70" i="6"/>
  <c r="S70" i="6"/>
  <c r="R71" i="6"/>
  <c r="S71" i="6"/>
  <c r="R72" i="6"/>
  <c r="S72" i="6"/>
  <c r="R73" i="6"/>
  <c r="S73" i="6"/>
  <c r="R74" i="6"/>
  <c r="S74" i="6"/>
  <c r="R75" i="6"/>
  <c r="S75" i="6"/>
  <c r="R76" i="6"/>
  <c r="S76" i="6"/>
  <c r="R77" i="6"/>
  <c r="S77" i="6"/>
  <c r="R78" i="6"/>
  <c r="S78" i="6"/>
  <c r="R79" i="6"/>
  <c r="S79" i="6"/>
  <c r="R80" i="6"/>
  <c r="S80" i="6"/>
  <c r="R81" i="6"/>
  <c r="S81" i="6"/>
  <c r="R82" i="6"/>
  <c r="S82" i="6"/>
  <c r="R83" i="6"/>
  <c r="S83" i="6"/>
  <c r="R84" i="6"/>
  <c r="S84" i="6"/>
  <c r="R85" i="6"/>
  <c r="S85" i="6"/>
  <c r="R86" i="6"/>
  <c r="S86" i="6"/>
  <c r="R87" i="6"/>
  <c r="S87" i="6"/>
  <c r="R88" i="6"/>
  <c r="S88" i="6"/>
  <c r="R89" i="6"/>
  <c r="S89" i="6"/>
  <c r="R90" i="6"/>
  <c r="S90" i="6"/>
  <c r="R91" i="6"/>
  <c r="S91" i="6"/>
  <c r="R92" i="6"/>
  <c r="S92" i="6"/>
  <c r="R93" i="6"/>
  <c r="S93" i="6"/>
  <c r="R94" i="6"/>
  <c r="S94" i="6"/>
  <c r="R95" i="6"/>
  <c r="S95" i="6"/>
  <c r="R96" i="6"/>
  <c r="S96" i="6"/>
  <c r="R97" i="6"/>
  <c r="S97" i="6"/>
  <c r="R98" i="6"/>
  <c r="S98" i="6"/>
  <c r="R99" i="6"/>
  <c r="S99" i="6"/>
  <c r="R100" i="6"/>
  <c r="S100" i="6"/>
  <c r="R101" i="6"/>
  <c r="S101" i="6"/>
  <c r="R102" i="6"/>
  <c r="S102" i="6"/>
  <c r="R103" i="6"/>
  <c r="S103" i="6"/>
  <c r="R104" i="6"/>
  <c r="S104" i="6"/>
  <c r="R105" i="6"/>
  <c r="S105" i="6"/>
  <c r="R106" i="6"/>
  <c r="S106" i="6"/>
  <c r="R107" i="6"/>
  <c r="S107" i="6"/>
  <c r="R108" i="6"/>
  <c r="S108" i="6"/>
  <c r="R109" i="6"/>
  <c r="S109" i="6"/>
  <c r="R110" i="6"/>
  <c r="S110" i="6"/>
  <c r="R111" i="6"/>
  <c r="S111" i="6"/>
  <c r="R112" i="6"/>
  <c r="S112" i="6"/>
  <c r="R113" i="6"/>
  <c r="S113" i="6"/>
  <c r="R114" i="6"/>
  <c r="S114" i="6"/>
  <c r="R115" i="6"/>
  <c r="S115" i="6"/>
  <c r="R116" i="6"/>
  <c r="S116" i="6"/>
  <c r="R117" i="6"/>
  <c r="S117" i="6"/>
  <c r="R118" i="6"/>
  <c r="S118" i="6"/>
  <c r="R119" i="6"/>
  <c r="S119" i="6"/>
  <c r="R120" i="6"/>
  <c r="S120" i="6"/>
  <c r="R121" i="6"/>
  <c r="S121" i="6"/>
  <c r="R122" i="6"/>
  <c r="S122" i="6"/>
  <c r="R123" i="6"/>
  <c r="S123" i="6"/>
  <c r="R124" i="6"/>
  <c r="S124" i="6"/>
  <c r="R125" i="6"/>
  <c r="S125" i="6"/>
  <c r="R126" i="6"/>
  <c r="S126" i="6"/>
  <c r="R127" i="6"/>
  <c r="S127" i="6"/>
  <c r="R128" i="6"/>
  <c r="S128" i="6"/>
  <c r="R129" i="6"/>
  <c r="S129" i="6"/>
  <c r="R130" i="6"/>
  <c r="S130" i="6"/>
  <c r="R131" i="6"/>
  <c r="S131" i="6"/>
  <c r="R132" i="6"/>
  <c r="S132" i="6"/>
  <c r="R133" i="6"/>
  <c r="S133" i="6"/>
  <c r="R134" i="6"/>
  <c r="S134" i="6"/>
  <c r="R135" i="6"/>
  <c r="S135" i="6"/>
  <c r="R136" i="6"/>
  <c r="S136" i="6"/>
  <c r="R137" i="6"/>
  <c r="S137" i="6"/>
  <c r="R138" i="6"/>
  <c r="S138" i="6"/>
  <c r="R139" i="6"/>
  <c r="S139" i="6"/>
  <c r="R140" i="6"/>
  <c r="S140" i="6"/>
  <c r="R141" i="6"/>
  <c r="S141" i="6"/>
  <c r="R142" i="6"/>
  <c r="S142" i="6"/>
  <c r="R143" i="6"/>
  <c r="S143" i="6"/>
  <c r="R144" i="6"/>
  <c r="S144" i="6"/>
  <c r="R145" i="6"/>
  <c r="S145" i="6"/>
  <c r="R146" i="6"/>
  <c r="S146" i="6"/>
  <c r="R147" i="6"/>
  <c r="S147" i="6"/>
  <c r="R148" i="6"/>
  <c r="S148" i="6"/>
  <c r="R149" i="6"/>
  <c r="S149" i="6"/>
  <c r="R150" i="6"/>
  <c r="S150" i="6"/>
  <c r="R151" i="6"/>
  <c r="S151" i="6"/>
  <c r="R152" i="6"/>
  <c r="S152" i="6"/>
  <c r="R153" i="6"/>
  <c r="S153" i="6"/>
  <c r="R154" i="6"/>
  <c r="S154" i="6"/>
  <c r="R155" i="6"/>
  <c r="S155" i="6"/>
  <c r="R156" i="6"/>
  <c r="S156" i="6"/>
  <c r="R157" i="6"/>
  <c r="S157" i="6"/>
  <c r="R158" i="6"/>
  <c r="S158" i="6"/>
  <c r="R159" i="6"/>
  <c r="S159" i="6"/>
  <c r="R160" i="6"/>
  <c r="S160" i="6"/>
  <c r="R161" i="6"/>
  <c r="S161" i="6"/>
  <c r="R162" i="6"/>
  <c r="S162" i="6"/>
  <c r="R163" i="6"/>
  <c r="S163" i="6"/>
  <c r="R164" i="6"/>
  <c r="S164" i="6"/>
  <c r="R165" i="6"/>
  <c r="S165" i="6"/>
  <c r="R166" i="6"/>
  <c r="S166" i="6"/>
  <c r="R167" i="6"/>
  <c r="S167" i="6"/>
  <c r="R168" i="6"/>
  <c r="S168" i="6"/>
  <c r="R169" i="6"/>
  <c r="S169" i="6"/>
  <c r="R170" i="6"/>
  <c r="S170" i="6"/>
  <c r="R171" i="6"/>
  <c r="S171" i="6"/>
  <c r="R172" i="6"/>
  <c r="S172" i="6"/>
  <c r="R173" i="6"/>
  <c r="S173" i="6"/>
  <c r="R174" i="6"/>
  <c r="S174" i="6"/>
  <c r="R175" i="6"/>
  <c r="S175" i="6"/>
  <c r="R176" i="6"/>
  <c r="S176" i="6"/>
  <c r="R177" i="6"/>
  <c r="S177" i="6"/>
  <c r="R178" i="6"/>
  <c r="S178" i="6"/>
  <c r="R179" i="6"/>
  <c r="S179" i="6"/>
  <c r="R180" i="6"/>
  <c r="S180" i="6"/>
  <c r="R181" i="6"/>
  <c r="S181" i="6"/>
  <c r="R182" i="6"/>
  <c r="S182" i="6"/>
  <c r="R183" i="6"/>
  <c r="S183" i="6"/>
  <c r="R184" i="6"/>
  <c r="S184" i="6"/>
  <c r="R185" i="6"/>
  <c r="S185" i="6"/>
  <c r="R186" i="6"/>
  <c r="S186" i="6"/>
  <c r="R187" i="6"/>
  <c r="S187" i="6"/>
  <c r="R188" i="6"/>
  <c r="S188" i="6"/>
  <c r="R189" i="6"/>
  <c r="S189" i="6"/>
  <c r="R190" i="6"/>
  <c r="S190" i="6"/>
  <c r="R191" i="6"/>
  <c r="S191" i="6"/>
  <c r="R192" i="6"/>
  <c r="S192" i="6"/>
  <c r="R193" i="6"/>
  <c r="S193" i="6"/>
  <c r="R194" i="6"/>
  <c r="S194" i="6"/>
  <c r="R195" i="6"/>
  <c r="S195" i="6"/>
  <c r="R196" i="6"/>
  <c r="S196" i="6"/>
  <c r="R197" i="6"/>
  <c r="S197" i="6"/>
  <c r="R198" i="6"/>
  <c r="S198" i="6"/>
  <c r="R199" i="6"/>
  <c r="S199" i="6"/>
  <c r="R200" i="6"/>
  <c r="S200" i="6"/>
  <c r="R201" i="6"/>
  <c r="S201" i="6"/>
  <c r="R202" i="6"/>
  <c r="S202" i="6"/>
  <c r="R203" i="6"/>
  <c r="S203" i="6"/>
  <c r="R204" i="6"/>
  <c r="S204" i="6"/>
  <c r="R205" i="6"/>
  <c r="S205" i="6"/>
  <c r="R206" i="6"/>
  <c r="S206" i="6"/>
  <c r="R207" i="6"/>
  <c r="S207" i="6"/>
  <c r="R208" i="6"/>
  <c r="S208" i="6"/>
  <c r="R209" i="6"/>
  <c r="S209" i="6"/>
  <c r="R210" i="6"/>
  <c r="S210" i="6"/>
  <c r="R211" i="6"/>
  <c r="S211" i="6"/>
  <c r="R212" i="6"/>
  <c r="S212" i="6"/>
  <c r="R213" i="6"/>
  <c r="S213" i="6"/>
  <c r="R214" i="6"/>
  <c r="S214" i="6"/>
  <c r="R215" i="6"/>
  <c r="S215" i="6"/>
  <c r="R216" i="6"/>
  <c r="S216" i="6"/>
  <c r="R217" i="6"/>
  <c r="S217" i="6"/>
  <c r="R218" i="6"/>
  <c r="S218" i="6"/>
  <c r="R219" i="6"/>
  <c r="S219" i="6"/>
  <c r="R220" i="6"/>
  <c r="S220" i="6"/>
  <c r="R221" i="6"/>
  <c r="S221" i="6"/>
  <c r="R222" i="6"/>
  <c r="S222" i="6"/>
  <c r="R223" i="6"/>
  <c r="S223" i="6"/>
  <c r="R224" i="6"/>
  <c r="S224" i="6"/>
  <c r="R225" i="6"/>
  <c r="S225" i="6"/>
  <c r="R226" i="6"/>
  <c r="S226" i="6"/>
  <c r="R227" i="6"/>
  <c r="S227" i="6"/>
  <c r="R228" i="6"/>
  <c r="S228" i="6"/>
  <c r="R229" i="6"/>
  <c r="S229" i="6"/>
  <c r="R230" i="6"/>
  <c r="S230" i="6"/>
  <c r="R231" i="6"/>
  <c r="S231" i="6"/>
  <c r="R232" i="6"/>
  <c r="S232" i="6"/>
  <c r="R233" i="6"/>
  <c r="S233" i="6"/>
  <c r="R234" i="6"/>
  <c r="S234" i="6"/>
  <c r="R235" i="6"/>
  <c r="S235" i="6"/>
  <c r="R236" i="6"/>
  <c r="S236" i="6"/>
  <c r="R237" i="6"/>
  <c r="S237" i="6"/>
  <c r="R238" i="6"/>
  <c r="S238" i="6"/>
  <c r="R239" i="6"/>
  <c r="S239" i="6"/>
  <c r="R240" i="6"/>
  <c r="S240" i="6"/>
  <c r="R241" i="6"/>
  <c r="S241" i="6"/>
  <c r="R242" i="6"/>
  <c r="S242" i="6"/>
  <c r="R243" i="6"/>
  <c r="S243" i="6"/>
  <c r="R244" i="6"/>
  <c r="S244" i="6"/>
  <c r="R245" i="6"/>
  <c r="S245" i="6"/>
  <c r="R246" i="6"/>
  <c r="S246" i="6"/>
  <c r="R247" i="6"/>
  <c r="S247" i="6"/>
  <c r="R248" i="6"/>
  <c r="S248" i="6"/>
  <c r="R249" i="6"/>
  <c r="S249" i="6"/>
  <c r="R250" i="6"/>
  <c r="S250" i="6"/>
  <c r="R251" i="6"/>
  <c r="S251" i="6"/>
  <c r="R252" i="6"/>
  <c r="S252" i="6"/>
  <c r="R253" i="6"/>
  <c r="S253" i="6"/>
  <c r="R254" i="6"/>
  <c r="S254" i="6"/>
  <c r="R255" i="6"/>
  <c r="S255" i="6"/>
  <c r="R256" i="6"/>
  <c r="S256" i="6"/>
  <c r="R257" i="6"/>
  <c r="S257" i="6"/>
  <c r="R258" i="6"/>
  <c r="S258" i="6"/>
  <c r="R259" i="6"/>
  <c r="S259" i="6"/>
  <c r="R260" i="6"/>
  <c r="S260" i="6"/>
  <c r="R261" i="6"/>
  <c r="S261" i="6"/>
  <c r="R262" i="6"/>
  <c r="S262" i="6"/>
  <c r="R263" i="6"/>
  <c r="S263" i="6"/>
  <c r="R264" i="6"/>
  <c r="S264" i="6"/>
  <c r="R265" i="6"/>
  <c r="S265" i="6"/>
  <c r="R266" i="6"/>
  <c r="S266" i="6"/>
  <c r="R267" i="6"/>
  <c r="S267" i="6"/>
  <c r="R268" i="6"/>
  <c r="S268" i="6"/>
  <c r="R269" i="6"/>
  <c r="S269" i="6"/>
  <c r="R270" i="6"/>
  <c r="S270" i="6"/>
  <c r="R271" i="6"/>
  <c r="S271" i="6"/>
  <c r="R272" i="6"/>
  <c r="S272" i="6"/>
  <c r="R273" i="6"/>
  <c r="S273" i="6"/>
  <c r="R274" i="6"/>
  <c r="S274" i="6"/>
  <c r="R275" i="6"/>
  <c r="S275" i="6"/>
  <c r="S4" i="6"/>
  <c r="R4" i="6"/>
  <c r="G43" i="26" l="1"/>
  <c r="H86" i="26"/>
  <c r="H10" i="26"/>
  <c r="N34" i="24"/>
  <c r="N35" i="24"/>
  <c r="N36" i="24"/>
  <c r="N37" i="24"/>
  <c r="N38" i="24"/>
  <c r="N39" i="24"/>
  <c r="N40" i="24"/>
  <c r="N41" i="24"/>
  <c r="N42" i="24"/>
  <c r="N43" i="24"/>
  <c r="N44" i="24"/>
  <c r="N45" i="24"/>
  <c r="N46" i="24"/>
  <c r="N47" i="24"/>
  <c r="N48" i="24"/>
  <c r="N49" i="24"/>
  <c r="N50" i="24"/>
  <c r="N51" i="24"/>
  <c r="N52" i="24"/>
  <c r="N53" i="24"/>
  <c r="N54"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6" i="24"/>
  <c r="N87" i="24"/>
  <c r="N88" i="24"/>
  <c r="N89" i="24"/>
  <c r="N90" i="24"/>
  <c r="N91" i="24"/>
  <c r="N92" i="24"/>
  <c r="N93" i="24"/>
  <c r="N94" i="24"/>
  <c r="N95" i="24"/>
  <c r="N96" i="24"/>
  <c r="N97" i="24"/>
  <c r="N98" i="24"/>
  <c r="N99" i="24"/>
  <c r="N100" i="24"/>
  <c r="N101" i="24"/>
  <c r="N102" i="24"/>
  <c r="N103" i="24"/>
  <c r="N104" i="24"/>
  <c r="N105" i="24"/>
  <c r="N106" i="24"/>
  <c r="N107" i="24"/>
  <c r="N108" i="24"/>
  <c r="N109" i="24"/>
  <c r="N110" i="24"/>
  <c r="N111" i="24"/>
  <c r="N112" i="24"/>
  <c r="N113" i="24"/>
  <c r="N114" i="24"/>
  <c r="N115" i="24"/>
  <c r="N116" i="24"/>
  <c r="N117" i="24"/>
  <c r="N118" i="24"/>
  <c r="N119" i="24"/>
  <c r="N120" i="24"/>
  <c r="N121" i="24"/>
  <c r="N122" i="24"/>
  <c r="N123" i="24"/>
  <c r="N124" i="24"/>
  <c r="N125" i="24"/>
  <c r="N126" i="24"/>
  <c r="N127" i="24"/>
  <c r="N128" i="24"/>
  <c r="N129" i="24"/>
  <c r="N130" i="24"/>
  <c r="N131" i="24"/>
  <c r="N132" i="24"/>
  <c r="N133" i="24"/>
  <c r="N134" i="24"/>
  <c r="N135" i="24"/>
  <c r="N136" i="24"/>
  <c r="N137" i="24"/>
  <c r="N138" i="24"/>
  <c r="N139" i="24"/>
  <c r="N140" i="24"/>
  <c r="N141" i="24"/>
  <c r="N142" i="24"/>
  <c r="N143" i="24"/>
  <c r="N144" i="24"/>
  <c r="N145" i="24"/>
  <c r="N146" i="24"/>
  <c r="N147" i="24"/>
  <c r="N148" i="24"/>
  <c r="N149" i="24"/>
  <c r="N150" i="24"/>
  <c r="N151" i="24"/>
  <c r="N152" i="24"/>
  <c r="N153" i="24"/>
  <c r="N154" i="24"/>
  <c r="N155" i="24"/>
  <c r="N156" i="24"/>
  <c r="N157" i="24"/>
  <c r="N158" i="24"/>
  <c r="N159" i="24"/>
  <c r="N160" i="24"/>
  <c r="N161" i="24"/>
  <c r="N162" i="24"/>
  <c r="N163" i="24"/>
  <c r="N164" i="24"/>
  <c r="N165" i="24"/>
  <c r="N166" i="24"/>
  <c r="N167" i="24"/>
  <c r="N168" i="24"/>
  <c r="N169" i="24"/>
  <c r="N170" i="24"/>
  <c r="N171" i="24"/>
  <c r="N172" i="24"/>
  <c r="N173" i="24"/>
  <c r="N174" i="24"/>
  <c r="N175" i="24"/>
  <c r="N176" i="24"/>
  <c r="N177" i="24"/>
  <c r="N178" i="24"/>
  <c r="N179" i="24"/>
  <c r="N180" i="24"/>
  <c r="N181" i="24"/>
  <c r="N182" i="24"/>
  <c r="N183" i="24"/>
  <c r="N184" i="24"/>
  <c r="N185" i="24"/>
  <c r="N186" i="24"/>
  <c r="N187" i="24"/>
  <c r="N188" i="24"/>
  <c r="N189" i="24"/>
  <c r="N190" i="24"/>
  <c r="N191" i="24"/>
  <c r="N192" i="24"/>
  <c r="N193" i="24"/>
  <c r="N194" i="24"/>
  <c r="N195" i="24"/>
  <c r="N196" i="24"/>
  <c r="N197" i="24"/>
  <c r="N198" i="24"/>
  <c r="N199" i="24"/>
  <c r="N200" i="24"/>
  <c r="N201" i="24"/>
  <c r="N202" i="24"/>
  <c r="N203" i="24"/>
  <c r="N204" i="24"/>
  <c r="N205" i="24"/>
  <c r="N206" i="24"/>
  <c r="N207" i="24"/>
  <c r="N208" i="24"/>
  <c r="N209" i="24"/>
  <c r="N210" i="24"/>
  <c r="N211" i="24"/>
  <c r="N212" i="24"/>
  <c r="N213" i="24"/>
  <c r="N214" i="24"/>
  <c r="N215" i="24"/>
  <c r="N216" i="24"/>
  <c r="N217" i="24"/>
  <c r="N218" i="24"/>
  <c r="N219" i="24"/>
  <c r="N220" i="24"/>
  <c r="N221" i="24"/>
  <c r="N222" i="24"/>
  <c r="N223" i="24"/>
  <c r="N224" i="24"/>
  <c r="N225" i="24"/>
  <c r="N226" i="24"/>
  <c r="N227" i="24"/>
  <c r="N228" i="24"/>
  <c r="N229" i="24"/>
  <c r="N230" i="24"/>
  <c r="N231" i="24"/>
  <c r="N232" i="24"/>
  <c r="N233" i="24"/>
  <c r="N234" i="24"/>
  <c r="N235" i="24"/>
  <c r="N236" i="24"/>
  <c r="N237" i="24"/>
  <c r="N238" i="24"/>
  <c r="N239" i="24"/>
  <c r="N240" i="24"/>
  <c r="N241" i="24"/>
  <c r="N242" i="24"/>
  <c r="N243" i="24"/>
  <c r="N244" i="24"/>
  <c r="N245" i="24"/>
  <c r="N246" i="24"/>
  <c r="N247" i="24"/>
  <c r="N248" i="24"/>
  <c r="N249" i="24"/>
  <c r="N250" i="24"/>
  <c r="N251" i="24"/>
  <c r="N252" i="24"/>
  <c r="N253" i="24"/>
  <c r="N254" i="24"/>
  <c r="N255" i="24"/>
  <c r="N256" i="24"/>
  <c r="N257" i="24"/>
  <c r="N258" i="24"/>
  <c r="N259" i="24"/>
  <c r="N260" i="24"/>
  <c r="N261" i="24"/>
  <c r="N262" i="24"/>
  <c r="N263" i="24"/>
  <c r="N264" i="24"/>
  <c r="N265" i="24"/>
  <c r="N266" i="24"/>
  <c r="N267" i="24"/>
  <c r="N268" i="24"/>
  <c r="N269" i="24"/>
  <c r="N270" i="24"/>
  <c r="N271" i="24"/>
  <c r="N272" i="24"/>
  <c r="N273" i="24"/>
  <c r="N274" i="24"/>
  <c r="N275" i="24"/>
  <c r="N276" i="24"/>
  <c r="N277" i="24"/>
  <c r="N278" i="24"/>
  <c r="N279" i="24"/>
  <c r="N280" i="24"/>
  <c r="N281" i="24"/>
  <c r="N282" i="24"/>
  <c r="N283" i="24"/>
  <c r="N284" i="24"/>
  <c r="N285" i="24"/>
  <c r="N286" i="24"/>
  <c r="N287" i="24"/>
  <c r="N288" i="24"/>
  <c r="N289" i="24"/>
  <c r="N290" i="24"/>
  <c r="N291" i="24"/>
  <c r="N292" i="24"/>
  <c r="N293" i="24"/>
  <c r="N294" i="24"/>
  <c r="N295" i="24"/>
  <c r="N296" i="24"/>
  <c r="N297" i="24"/>
  <c r="N298" i="24"/>
  <c r="N299" i="24"/>
  <c r="N300" i="24"/>
  <c r="N301" i="24"/>
  <c r="N302" i="24"/>
  <c r="N303" i="24"/>
  <c r="N304" i="24"/>
  <c r="N33" i="24"/>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5" i="12"/>
  <c r="H206" i="12"/>
  <c r="H207" i="12"/>
  <c r="H208" i="12"/>
  <c r="H209"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58" i="12"/>
  <c r="H259" i="12"/>
  <c r="H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90" i="12"/>
  <c r="H291" i="12"/>
  <c r="H292" i="12"/>
  <c r="H293" i="12"/>
  <c r="H294" i="12"/>
  <c r="H295" i="12"/>
  <c r="H296" i="12"/>
  <c r="H297" i="12"/>
  <c r="H298" i="12"/>
  <c r="H299" i="12"/>
  <c r="H300" i="12"/>
  <c r="H301" i="12"/>
  <c r="H302" i="12"/>
  <c r="H303" i="12"/>
  <c r="H304" i="12"/>
  <c r="H33" i="12"/>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185" i="14"/>
  <c r="H186" i="14"/>
  <c r="H187" i="14"/>
  <c r="H188" i="14"/>
  <c r="H189" i="14"/>
  <c r="H190" i="14"/>
  <c r="H191" i="14"/>
  <c r="H192" i="14"/>
  <c r="H193" i="14"/>
  <c r="H194" i="14"/>
  <c r="H195" i="14"/>
  <c r="H196" i="14"/>
  <c r="H197" i="14"/>
  <c r="H198" i="14"/>
  <c r="H199" i="14"/>
  <c r="H200" i="14"/>
  <c r="H201" i="14"/>
  <c r="H202" i="14"/>
  <c r="H203" i="14"/>
  <c r="H204" i="14"/>
  <c r="H205" i="14"/>
  <c r="H206" i="14"/>
  <c r="H207" i="14"/>
  <c r="H208" i="14"/>
  <c r="H209" i="14"/>
  <c r="H210" i="14"/>
  <c r="H211" i="14"/>
  <c r="H212" i="14"/>
  <c r="H213" i="14"/>
  <c r="H214" i="14"/>
  <c r="H215" i="14"/>
  <c r="H216" i="14"/>
  <c r="H217" i="14"/>
  <c r="H218" i="14"/>
  <c r="H219" i="14"/>
  <c r="H220" i="14"/>
  <c r="H221" i="14"/>
  <c r="H222" i="14"/>
  <c r="H223" i="14"/>
  <c r="H224" i="14"/>
  <c r="H225" i="14"/>
  <c r="H226" i="14"/>
  <c r="H227" i="14"/>
  <c r="H228" i="14"/>
  <c r="H229" i="14"/>
  <c r="H230" i="14"/>
  <c r="H231" i="14"/>
  <c r="H232"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6"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H281" i="14"/>
  <c r="H282" i="14"/>
  <c r="H283" i="14"/>
  <c r="H284" i="14"/>
  <c r="H285" i="14"/>
  <c r="H286" i="14"/>
  <c r="H287" i="14"/>
  <c r="H288" i="14"/>
  <c r="H289" i="14"/>
  <c r="H290" i="14"/>
  <c r="H291" i="14"/>
  <c r="H292" i="14"/>
  <c r="H293" i="14"/>
  <c r="H294" i="14"/>
  <c r="H295" i="14"/>
  <c r="H296" i="14"/>
  <c r="H297" i="14"/>
  <c r="H298" i="14"/>
  <c r="H299" i="14"/>
  <c r="H300" i="14"/>
  <c r="H301" i="14"/>
  <c r="H302" i="14"/>
  <c r="H303" i="14"/>
  <c r="H304" i="14"/>
  <c r="H33" i="14"/>
  <c r="BA5" i="7"/>
  <c r="BA6" i="7"/>
  <c r="BA7" i="7"/>
  <c r="BA8" i="7"/>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40" i="7"/>
  <c r="BA41" i="7"/>
  <c r="BA42" i="7"/>
  <c r="BA43" i="7"/>
  <c r="BA44" i="7"/>
  <c r="BA45" i="7"/>
  <c r="BA46" i="7"/>
  <c r="BA47" i="7"/>
  <c r="BA48" i="7"/>
  <c r="BA49" i="7"/>
  <c r="BA50" i="7"/>
  <c r="BA51" i="7"/>
  <c r="BA52" i="7"/>
  <c r="BA53" i="7"/>
  <c r="BA54" i="7"/>
  <c r="BA55" i="7"/>
  <c r="BA56" i="7"/>
  <c r="BA57" i="7"/>
  <c r="BA58" i="7"/>
  <c r="BA59" i="7"/>
  <c r="BA60" i="7"/>
  <c r="BA61" i="7"/>
  <c r="BA62" i="7"/>
  <c r="BA63" i="7"/>
  <c r="BA64" i="7"/>
  <c r="BA65" i="7"/>
  <c r="BA66" i="7"/>
  <c r="BA67" i="7"/>
  <c r="BA68" i="7"/>
  <c r="BA69" i="7"/>
  <c r="BA70" i="7"/>
  <c r="BA71" i="7"/>
  <c r="BA72" i="7"/>
  <c r="BA73" i="7"/>
  <c r="BA74" i="7"/>
  <c r="BA75" i="7"/>
  <c r="BA76" i="7"/>
  <c r="BA77" i="7"/>
  <c r="BA78" i="7"/>
  <c r="BA79" i="7"/>
  <c r="BA80" i="7"/>
  <c r="BA81" i="7"/>
  <c r="BA82" i="7"/>
  <c r="BA83" i="7"/>
  <c r="BA84" i="7"/>
  <c r="BA85" i="7"/>
  <c r="BA86" i="7"/>
  <c r="BA87" i="7"/>
  <c r="BA88" i="7"/>
  <c r="BA89" i="7"/>
  <c r="BA90" i="7"/>
  <c r="BA91" i="7"/>
  <c r="BA92" i="7"/>
  <c r="BA93" i="7"/>
  <c r="BA94" i="7"/>
  <c r="BA95" i="7"/>
  <c r="BA96" i="7"/>
  <c r="BA97" i="7"/>
  <c r="BA98" i="7"/>
  <c r="BA99" i="7"/>
  <c r="BA100" i="7"/>
  <c r="BA101" i="7"/>
  <c r="BA102" i="7"/>
  <c r="BA103" i="7"/>
  <c r="BA104" i="7"/>
  <c r="BA105" i="7"/>
  <c r="BA106" i="7"/>
  <c r="BA107" i="7"/>
  <c r="BA108" i="7"/>
  <c r="BA109" i="7"/>
  <c r="BA110" i="7"/>
  <c r="BA111" i="7"/>
  <c r="BA112" i="7"/>
  <c r="BA113" i="7"/>
  <c r="BA114" i="7"/>
  <c r="BA115" i="7"/>
  <c r="BA116" i="7"/>
  <c r="BA117" i="7"/>
  <c r="BA118" i="7"/>
  <c r="BA119" i="7"/>
  <c r="BA120" i="7"/>
  <c r="BA121" i="7"/>
  <c r="BA122" i="7"/>
  <c r="BA123" i="7"/>
  <c r="BA124" i="7"/>
  <c r="BA125" i="7"/>
  <c r="BA126" i="7"/>
  <c r="BA127" i="7"/>
  <c r="BA128" i="7"/>
  <c r="BA129" i="7"/>
  <c r="BA130" i="7"/>
  <c r="BA131" i="7"/>
  <c r="BA132" i="7"/>
  <c r="BA133" i="7"/>
  <c r="BA134" i="7"/>
  <c r="BA135" i="7"/>
  <c r="BA136" i="7"/>
  <c r="BA137" i="7"/>
  <c r="BA138" i="7"/>
  <c r="BA139" i="7"/>
  <c r="BA140" i="7"/>
  <c r="BA141" i="7"/>
  <c r="BA142" i="7"/>
  <c r="BA143" i="7"/>
  <c r="BA144" i="7"/>
  <c r="BA145" i="7"/>
  <c r="BA146" i="7"/>
  <c r="BA147" i="7"/>
  <c r="BA148" i="7"/>
  <c r="BA149" i="7"/>
  <c r="BA150" i="7"/>
  <c r="BA151" i="7"/>
  <c r="BA152" i="7"/>
  <c r="BA153" i="7"/>
  <c r="BA154" i="7"/>
  <c r="BA155" i="7"/>
  <c r="BA156" i="7"/>
  <c r="BA157" i="7"/>
  <c r="BA158" i="7"/>
  <c r="BA159" i="7"/>
  <c r="BA160" i="7"/>
  <c r="BA161" i="7"/>
  <c r="BA162" i="7"/>
  <c r="BA163" i="7"/>
  <c r="BA164" i="7"/>
  <c r="BA165" i="7"/>
  <c r="BA166" i="7"/>
  <c r="BA167" i="7"/>
  <c r="BA168" i="7"/>
  <c r="BA169" i="7"/>
  <c r="BA170" i="7"/>
  <c r="BA171" i="7"/>
  <c r="BA172" i="7"/>
  <c r="BA173" i="7"/>
  <c r="BA174" i="7"/>
  <c r="BA175" i="7"/>
  <c r="BA176" i="7"/>
  <c r="BA177" i="7"/>
  <c r="BA178" i="7"/>
  <c r="BA179" i="7"/>
  <c r="BA180" i="7"/>
  <c r="BA181" i="7"/>
  <c r="BA182" i="7"/>
  <c r="BA183" i="7"/>
  <c r="BA184" i="7"/>
  <c r="BA185" i="7"/>
  <c r="BA186" i="7"/>
  <c r="BA187" i="7"/>
  <c r="BA188" i="7"/>
  <c r="BA189" i="7"/>
  <c r="BA190" i="7"/>
  <c r="BA191" i="7"/>
  <c r="BA192" i="7"/>
  <c r="BA193" i="7"/>
  <c r="BA194" i="7"/>
  <c r="BA195" i="7"/>
  <c r="BA196" i="7"/>
  <c r="BA197" i="7"/>
  <c r="BA198" i="7"/>
  <c r="BA199" i="7"/>
  <c r="BA200" i="7"/>
  <c r="BA201" i="7"/>
  <c r="BA202" i="7"/>
  <c r="BA203" i="7"/>
  <c r="BA204" i="7"/>
  <c r="BA205" i="7"/>
  <c r="BA206" i="7"/>
  <c r="BA207" i="7"/>
  <c r="BA208" i="7"/>
  <c r="BA209" i="7"/>
  <c r="BA210" i="7"/>
  <c r="BA211" i="7"/>
  <c r="BA212" i="7"/>
  <c r="BA213" i="7"/>
  <c r="BA214" i="7"/>
  <c r="BA215" i="7"/>
  <c r="BA216" i="7"/>
  <c r="BA217" i="7"/>
  <c r="BA218" i="7"/>
  <c r="BA219" i="7"/>
  <c r="BA220" i="7"/>
  <c r="BA221" i="7"/>
  <c r="BA222" i="7"/>
  <c r="BA223" i="7"/>
  <c r="BA224" i="7"/>
  <c r="BA225" i="7"/>
  <c r="BA226" i="7"/>
  <c r="BA227" i="7"/>
  <c r="BA228" i="7"/>
  <c r="BA229" i="7"/>
  <c r="BA230" i="7"/>
  <c r="BA231" i="7"/>
  <c r="BA232" i="7"/>
  <c r="BA233" i="7"/>
  <c r="BA234" i="7"/>
  <c r="BA235" i="7"/>
  <c r="BA236" i="7"/>
  <c r="BA237" i="7"/>
  <c r="BA238" i="7"/>
  <c r="BA239" i="7"/>
  <c r="BA240" i="7"/>
  <c r="BA241" i="7"/>
  <c r="BA242" i="7"/>
  <c r="BA243" i="7"/>
  <c r="BA244" i="7"/>
  <c r="BA245" i="7"/>
  <c r="BA246" i="7"/>
  <c r="BA247" i="7"/>
  <c r="BA248" i="7"/>
  <c r="BA249" i="7"/>
  <c r="BA250" i="7"/>
  <c r="BA251" i="7"/>
  <c r="BA252" i="7"/>
  <c r="BA253" i="7"/>
  <c r="BA254" i="7"/>
  <c r="BA255" i="7"/>
  <c r="BA256" i="7"/>
  <c r="BA257" i="7"/>
  <c r="BA258" i="7"/>
  <c r="BA259" i="7"/>
  <c r="BA260" i="7"/>
  <c r="BA261" i="7"/>
  <c r="BA262" i="7"/>
  <c r="BA263" i="7"/>
  <c r="BA264" i="7"/>
  <c r="BA265" i="7"/>
  <c r="BA266" i="7"/>
  <c r="BA267" i="7"/>
  <c r="BA268" i="7"/>
  <c r="BA269" i="7"/>
  <c r="BA270" i="7"/>
  <c r="BA271" i="7"/>
  <c r="BA272" i="7"/>
  <c r="BA273" i="7"/>
  <c r="BA274" i="7"/>
  <c r="BA275" i="7"/>
  <c r="BA4" i="7"/>
  <c r="AB309" i="24" l="1"/>
  <c r="AB310" i="24"/>
  <c r="AB311" i="24"/>
  <c r="AB308" i="24"/>
  <c r="AB307" i="24"/>
  <c r="AZ4" i="7"/>
  <c r="AZ265" i="7"/>
  <c r="AY269" i="7"/>
  <c r="AB32" i="24"/>
  <c r="AZ5" i="7"/>
  <c r="AZ6" i="7"/>
  <c r="AZ7" i="7"/>
  <c r="AZ8" i="7"/>
  <c r="AZ9" i="7"/>
  <c r="AZ10" i="7"/>
  <c r="AZ11" i="7"/>
  <c r="AZ12" i="7"/>
  <c r="AZ13" i="7"/>
  <c r="AZ14" i="7"/>
  <c r="AZ15" i="7"/>
  <c r="AZ16" i="7"/>
  <c r="AZ17" i="7"/>
  <c r="AZ18" i="7"/>
  <c r="AZ19" i="7"/>
  <c r="AZ20" i="7"/>
  <c r="AZ21" i="7"/>
  <c r="AZ22" i="7"/>
  <c r="AZ23" i="7"/>
  <c r="AZ24" i="7"/>
  <c r="AZ25" i="7"/>
  <c r="AZ26" i="7"/>
  <c r="AZ27" i="7"/>
  <c r="AZ28" i="7"/>
  <c r="AZ29" i="7"/>
  <c r="AZ30" i="7"/>
  <c r="AZ31" i="7"/>
  <c r="AZ32" i="7"/>
  <c r="AZ33" i="7"/>
  <c r="AZ34" i="7"/>
  <c r="AZ35" i="7"/>
  <c r="AZ36" i="7"/>
  <c r="AZ37" i="7"/>
  <c r="AZ38" i="7"/>
  <c r="AZ39" i="7"/>
  <c r="AZ40" i="7"/>
  <c r="AZ41" i="7"/>
  <c r="AZ42" i="7"/>
  <c r="AZ43" i="7"/>
  <c r="AZ44" i="7"/>
  <c r="AZ45" i="7"/>
  <c r="AZ46" i="7"/>
  <c r="AZ47" i="7"/>
  <c r="AZ48" i="7"/>
  <c r="AZ49" i="7"/>
  <c r="AZ50" i="7"/>
  <c r="AZ51" i="7"/>
  <c r="AZ52" i="7"/>
  <c r="AZ53" i="7"/>
  <c r="AZ54" i="7"/>
  <c r="AZ55" i="7"/>
  <c r="AZ56" i="7"/>
  <c r="AZ57" i="7"/>
  <c r="AZ58" i="7"/>
  <c r="AZ59" i="7"/>
  <c r="AZ60" i="7"/>
  <c r="AZ61" i="7"/>
  <c r="AZ62" i="7"/>
  <c r="AZ63" i="7"/>
  <c r="AZ64" i="7"/>
  <c r="AZ65" i="7"/>
  <c r="AZ66" i="7"/>
  <c r="AZ67" i="7"/>
  <c r="AZ68" i="7"/>
  <c r="AZ69" i="7"/>
  <c r="AZ70" i="7"/>
  <c r="AZ71" i="7"/>
  <c r="AZ72" i="7"/>
  <c r="AZ73" i="7"/>
  <c r="AZ74" i="7"/>
  <c r="AZ75" i="7"/>
  <c r="AZ76" i="7"/>
  <c r="AZ77" i="7"/>
  <c r="AZ78" i="7"/>
  <c r="AZ79" i="7"/>
  <c r="AZ80" i="7"/>
  <c r="AZ81" i="7"/>
  <c r="AZ82" i="7"/>
  <c r="AZ83" i="7"/>
  <c r="AZ84" i="7"/>
  <c r="AZ85" i="7"/>
  <c r="AZ86" i="7"/>
  <c r="AZ87" i="7"/>
  <c r="AZ88" i="7"/>
  <c r="AZ89" i="7"/>
  <c r="AZ90" i="7"/>
  <c r="AZ91" i="7"/>
  <c r="AZ92" i="7"/>
  <c r="AZ93" i="7"/>
  <c r="AZ94" i="7"/>
  <c r="AZ95" i="7"/>
  <c r="AZ96" i="7"/>
  <c r="AZ97" i="7"/>
  <c r="AZ98" i="7"/>
  <c r="AZ99" i="7"/>
  <c r="AZ100" i="7"/>
  <c r="AZ101" i="7"/>
  <c r="AZ102" i="7"/>
  <c r="AZ103" i="7"/>
  <c r="AZ104" i="7"/>
  <c r="AZ105" i="7"/>
  <c r="AZ106" i="7"/>
  <c r="AZ107" i="7"/>
  <c r="AZ108" i="7"/>
  <c r="AZ109" i="7"/>
  <c r="AZ110" i="7"/>
  <c r="AZ111" i="7"/>
  <c r="AZ112" i="7"/>
  <c r="AZ113" i="7"/>
  <c r="AZ114" i="7"/>
  <c r="AZ115" i="7"/>
  <c r="AZ116" i="7"/>
  <c r="AZ117" i="7"/>
  <c r="AZ118" i="7"/>
  <c r="AZ119" i="7"/>
  <c r="AZ120" i="7"/>
  <c r="AZ121" i="7"/>
  <c r="AZ122" i="7"/>
  <c r="AZ123" i="7"/>
  <c r="AZ124" i="7"/>
  <c r="AZ125" i="7"/>
  <c r="AZ126" i="7"/>
  <c r="AZ127" i="7"/>
  <c r="AZ128" i="7"/>
  <c r="AZ129" i="7"/>
  <c r="AZ130" i="7"/>
  <c r="AZ131" i="7"/>
  <c r="AZ132" i="7"/>
  <c r="AZ133" i="7"/>
  <c r="AZ134" i="7"/>
  <c r="AZ135" i="7"/>
  <c r="AZ136" i="7"/>
  <c r="AZ137" i="7"/>
  <c r="AZ138" i="7"/>
  <c r="AZ139" i="7"/>
  <c r="AZ140" i="7"/>
  <c r="AZ141" i="7"/>
  <c r="AZ142" i="7"/>
  <c r="AZ143" i="7"/>
  <c r="AZ144" i="7"/>
  <c r="AZ145" i="7"/>
  <c r="AZ146" i="7"/>
  <c r="AZ147" i="7"/>
  <c r="AZ148" i="7"/>
  <c r="AZ149" i="7"/>
  <c r="AZ150" i="7"/>
  <c r="AZ151" i="7"/>
  <c r="AZ152" i="7"/>
  <c r="AZ153" i="7"/>
  <c r="AZ154" i="7"/>
  <c r="AZ155" i="7"/>
  <c r="AZ156" i="7"/>
  <c r="AZ157" i="7"/>
  <c r="AZ158" i="7"/>
  <c r="AZ159" i="7"/>
  <c r="AZ160" i="7"/>
  <c r="AZ161" i="7"/>
  <c r="AZ162" i="7"/>
  <c r="AZ163" i="7"/>
  <c r="AZ164" i="7"/>
  <c r="AZ165" i="7"/>
  <c r="AZ166" i="7"/>
  <c r="AZ167" i="7"/>
  <c r="AZ168" i="7"/>
  <c r="AZ169" i="7"/>
  <c r="AZ170" i="7"/>
  <c r="AZ171" i="7"/>
  <c r="AZ172" i="7"/>
  <c r="AZ173" i="7"/>
  <c r="AZ174" i="7"/>
  <c r="AZ175" i="7"/>
  <c r="AZ176" i="7"/>
  <c r="AZ177" i="7"/>
  <c r="AZ178" i="7"/>
  <c r="AZ179" i="7"/>
  <c r="AZ180" i="7"/>
  <c r="AZ181" i="7"/>
  <c r="AZ182" i="7"/>
  <c r="AZ183" i="7"/>
  <c r="AZ184" i="7"/>
  <c r="AZ185" i="7"/>
  <c r="AZ186" i="7"/>
  <c r="AZ187" i="7"/>
  <c r="AZ188" i="7"/>
  <c r="AZ189" i="7"/>
  <c r="AZ190" i="7"/>
  <c r="AZ191" i="7"/>
  <c r="AZ192" i="7"/>
  <c r="AZ193" i="7"/>
  <c r="AZ194" i="7"/>
  <c r="AZ195" i="7"/>
  <c r="AZ196" i="7"/>
  <c r="AZ197" i="7"/>
  <c r="AZ198" i="7"/>
  <c r="AZ199" i="7"/>
  <c r="AZ200" i="7"/>
  <c r="AZ201" i="7"/>
  <c r="AZ202" i="7"/>
  <c r="AZ203" i="7"/>
  <c r="AZ204" i="7"/>
  <c r="AZ205" i="7"/>
  <c r="AZ206" i="7"/>
  <c r="AZ207" i="7"/>
  <c r="AZ208" i="7"/>
  <c r="AZ209" i="7"/>
  <c r="AZ210" i="7"/>
  <c r="AZ211" i="7"/>
  <c r="AZ212" i="7"/>
  <c r="AZ213" i="7"/>
  <c r="AZ214" i="7"/>
  <c r="AZ215" i="7"/>
  <c r="AZ216" i="7"/>
  <c r="AZ217" i="7"/>
  <c r="AZ218" i="7"/>
  <c r="AZ219" i="7"/>
  <c r="AZ220" i="7"/>
  <c r="AZ221" i="7"/>
  <c r="AZ222" i="7"/>
  <c r="AZ223" i="7"/>
  <c r="AZ224" i="7"/>
  <c r="AZ225" i="7"/>
  <c r="AZ226" i="7"/>
  <c r="AZ227" i="7"/>
  <c r="AZ228" i="7"/>
  <c r="AZ229" i="7"/>
  <c r="AZ230" i="7"/>
  <c r="AZ231" i="7"/>
  <c r="AZ232" i="7"/>
  <c r="AZ233" i="7"/>
  <c r="AZ234" i="7"/>
  <c r="AZ235" i="7"/>
  <c r="AZ236" i="7"/>
  <c r="AZ237" i="7"/>
  <c r="AZ238" i="7"/>
  <c r="AZ239" i="7"/>
  <c r="AZ240" i="7"/>
  <c r="AZ241" i="7"/>
  <c r="AZ242" i="7"/>
  <c r="AZ243" i="7"/>
  <c r="AZ244" i="7"/>
  <c r="AZ245" i="7"/>
  <c r="AZ246" i="7"/>
  <c r="AZ247" i="7"/>
  <c r="AZ248" i="7"/>
  <c r="AZ249" i="7"/>
  <c r="AZ250" i="7"/>
  <c r="AZ251" i="7"/>
  <c r="AZ252" i="7"/>
  <c r="AZ253" i="7"/>
  <c r="AZ254" i="7"/>
  <c r="AZ255" i="7"/>
  <c r="AZ256" i="7"/>
  <c r="AZ257" i="7"/>
  <c r="AZ258" i="7"/>
  <c r="AZ259" i="7"/>
  <c r="AZ260" i="7"/>
  <c r="AZ261" i="7"/>
  <c r="AZ262" i="7"/>
  <c r="AZ263" i="7"/>
  <c r="AZ264" i="7"/>
  <c r="AZ266" i="7"/>
  <c r="AZ267" i="7"/>
  <c r="AZ268" i="7"/>
  <c r="AZ269" i="7"/>
  <c r="AZ270" i="7"/>
  <c r="AZ271" i="7"/>
  <c r="AZ272" i="7"/>
  <c r="AZ273" i="7"/>
  <c r="AZ274" i="7"/>
  <c r="AZ275" i="7"/>
  <c r="AY4" i="7"/>
  <c r="AC32" i="24" l="1"/>
  <c r="AA32" i="24"/>
  <c r="Y32" i="24"/>
  <c r="Y31" i="24"/>
  <c r="B226" i="5" l="1"/>
  <c r="P131" i="5"/>
  <c r="G3" i="16" l="1"/>
  <c r="F3" i="16"/>
  <c r="E3" i="16"/>
  <c r="D3" i="16"/>
  <c r="C3" i="16"/>
  <c r="B7" i="16"/>
  <c r="C7" i="16"/>
  <c r="B6" i="16"/>
  <c r="C6" i="16"/>
  <c r="B5" i="16"/>
  <c r="C5" i="16"/>
  <c r="B4" i="16"/>
  <c r="C4" i="16"/>
  <c r="B3" i="16"/>
  <c r="G7" i="16"/>
  <c r="F7" i="16"/>
  <c r="E7" i="16"/>
  <c r="D7" i="16"/>
  <c r="G6" i="16"/>
  <c r="G5" i="16"/>
  <c r="G4" i="16"/>
  <c r="F6" i="16"/>
  <c r="F5" i="16"/>
  <c r="F4" i="16"/>
  <c r="E6" i="16"/>
  <c r="E5" i="16"/>
  <c r="E4" i="16"/>
  <c r="D6" i="16"/>
  <c r="D5" i="16"/>
  <c r="D4" i="16"/>
  <c r="C3" i="10"/>
  <c r="B36" i="16"/>
  <c r="AB34" i="24"/>
  <c r="AB35" i="24"/>
  <c r="AB36" i="24"/>
  <c r="AB37" i="24"/>
  <c r="AB38" i="24"/>
  <c r="AB39" i="24"/>
  <c r="AB40" i="24"/>
  <c r="AB41" i="24"/>
  <c r="AB42" i="24"/>
  <c r="AB43" i="24"/>
  <c r="AB44" i="24"/>
  <c r="AB45" i="24"/>
  <c r="AB46" i="24"/>
  <c r="AB47" i="24"/>
  <c r="AB48" i="24"/>
  <c r="AB49" i="24"/>
  <c r="AB50" i="24"/>
  <c r="AB51" i="24"/>
  <c r="AB52" i="24"/>
  <c r="AB53" i="24"/>
  <c r="AB54" i="24"/>
  <c r="AB55" i="24"/>
  <c r="AB56" i="24"/>
  <c r="AB57" i="24"/>
  <c r="AB58" i="24"/>
  <c r="AB59" i="24"/>
  <c r="AB60" i="24"/>
  <c r="AB61" i="24"/>
  <c r="AB62" i="24"/>
  <c r="AB63" i="24"/>
  <c r="AB64" i="24"/>
  <c r="AB65" i="24"/>
  <c r="AB66" i="24"/>
  <c r="AB67" i="24"/>
  <c r="AB68" i="24"/>
  <c r="AB69" i="24"/>
  <c r="AB70" i="24"/>
  <c r="AB71" i="24"/>
  <c r="AB72" i="24"/>
  <c r="AB73" i="24"/>
  <c r="AB74" i="24"/>
  <c r="AB75" i="24"/>
  <c r="AB76" i="24"/>
  <c r="AB77" i="24"/>
  <c r="AB78" i="24"/>
  <c r="AB79" i="24"/>
  <c r="AB80" i="24"/>
  <c r="AB81" i="24"/>
  <c r="AB82" i="24"/>
  <c r="AB83" i="24"/>
  <c r="AB84" i="24"/>
  <c r="AB85" i="24"/>
  <c r="AB86" i="24"/>
  <c r="AB87" i="24"/>
  <c r="AB88" i="24"/>
  <c r="AB89" i="24"/>
  <c r="AB90" i="24"/>
  <c r="AB91" i="24"/>
  <c r="AB92" i="24"/>
  <c r="AB93" i="24"/>
  <c r="AB94" i="24"/>
  <c r="AB95" i="24"/>
  <c r="AB96" i="24"/>
  <c r="AB97" i="24"/>
  <c r="AB98" i="24"/>
  <c r="AB99" i="24"/>
  <c r="AB100" i="24"/>
  <c r="AB101" i="24"/>
  <c r="AB102" i="24"/>
  <c r="AB103" i="24"/>
  <c r="AB104" i="24"/>
  <c r="AB105" i="24"/>
  <c r="AB106" i="24"/>
  <c r="AB107" i="24"/>
  <c r="AB108" i="24"/>
  <c r="AB109" i="24"/>
  <c r="AB110" i="24"/>
  <c r="AB111" i="24"/>
  <c r="AB112" i="24"/>
  <c r="AB113" i="24"/>
  <c r="AB114" i="24"/>
  <c r="AB115" i="24"/>
  <c r="AB116" i="24"/>
  <c r="AB117" i="24"/>
  <c r="AB118" i="24"/>
  <c r="AB119" i="24"/>
  <c r="AB120" i="24"/>
  <c r="AB121" i="24"/>
  <c r="AB122" i="24"/>
  <c r="AB123" i="24"/>
  <c r="AB124" i="24"/>
  <c r="AB125" i="24"/>
  <c r="AB126" i="24"/>
  <c r="AB127" i="24"/>
  <c r="AB128" i="24"/>
  <c r="AB129" i="24"/>
  <c r="AB130" i="24"/>
  <c r="AB131" i="24"/>
  <c r="AB132" i="24"/>
  <c r="AB133" i="24"/>
  <c r="AB134" i="24"/>
  <c r="AB135" i="24"/>
  <c r="AB136" i="24"/>
  <c r="AB137" i="24"/>
  <c r="AB138" i="24"/>
  <c r="AB139" i="24"/>
  <c r="AB140" i="24"/>
  <c r="AB141" i="24"/>
  <c r="AB142" i="24"/>
  <c r="AB143" i="24"/>
  <c r="AB144" i="24"/>
  <c r="AB145" i="24"/>
  <c r="AB146" i="24"/>
  <c r="AB147" i="24"/>
  <c r="AB148" i="24"/>
  <c r="AB149" i="24"/>
  <c r="AB150" i="24"/>
  <c r="AB151" i="24"/>
  <c r="AB152" i="24"/>
  <c r="AB153" i="24"/>
  <c r="AB154" i="24"/>
  <c r="AB155" i="24"/>
  <c r="AB156" i="24"/>
  <c r="AB157" i="24"/>
  <c r="AB158" i="24"/>
  <c r="AB159" i="24"/>
  <c r="AB160" i="24"/>
  <c r="AB161" i="24"/>
  <c r="AB162" i="24"/>
  <c r="AB163" i="24"/>
  <c r="AB164" i="24"/>
  <c r="AB165" i="24"/>
  <c r="AB166" i="24"/>
  <c r="AB167" i="24"/>
  <c r="AB168" i="24"/>
  <c r="AB169" i="24"/>
  <c r="AB170" i="24"/>
  <c r="AB171" i="24"/>
  <c r="AB172" i="24"/>
  <c r="AB173" i="24"/>
  <c r="AB174" i="24"/>
  <c r="AB175" i="24"/>
  <c r="AB176" i="24"/>
  <c r="AB177" i="24"/>
  <c r="AB178" i="24"/>
  <c r="AB179" i="24"/>
  <c r="AB180" i="24"/>
  <c r="AB181" i="24"/>
  <c r="AB182" i="24"/>
  <c r="AB183" i="24"/>
  <c r="AB184" i="24"/>
  <c r="AB185" i="24"/>
  <c r="AB186" i="24"/>
  <c r="AB187" i="24"/>
  <c r="AB188" i="24"/>
  <c r="AB189" i="24"/>
  <c r="AB190" i="24"/>
  <c r="AB191" i="24"/>
  <c r="AB192" i="24"/>
  <c r="AB193" i="24"/>
  <c r="AB194" i="24"/>
  <c r="AB195" i="24"/>
  <c r="AB196" i="24"/>
  <c r="AB197" i="24"/>
  <c r="AB198" i="24"/>
  <c r="AB199" i="24"/>
  <c r="AB200" i="24"/>
  <c r="AB201" i="24"/>
  <c r="AB202" i="24"/>
  <c r="AB203" i="24"/>
  <c r="AB204" i="24"/>
  <c r="AB205" i="24"/>
  <c r="AB206" i="24"/>
  <c r="AB207" i="24"/>
  <c r="AB208" i="24"/>
  <c r="AB209" i="24"/>
  <c r="AB210" i="24"/>
  <c r="AB211" i="24"/>
  <c r="AB212" i="24"/>
  <c r="AB213" i="24"/>
  <c r="AB214" i="24"/>
  <c r="AB215" i="24"/>
  <c r="AB216" i="24"/>
  <c r="AB217" i="24"/>
  <c r="AB218" i="24"/>
  <c r="AB219" i="24"/>
  <c r="AB220" i="24"/>
  <c r="AB221" i="24"/>
  <c r="AB222" i="24"/>
  <c r="AB223" i="24"/>
  <c r="AB224" i="24"/>
  <c r="AB225" i="24"/>
  <c r="AB226" i="24"/>
  <c r="AB227" i="24"/>
  <c r="AB228" i="24"/>
  <c r="AB229" i="24"/>
  <c r="AB230" i="24"/>
  <c r="AB231" i="24"/>
  <c r="AB232" i="24"/>
  <c r="AB233" i="24"/>
  <c r="AB234" i="24"/>
  <c r="AB235" i="24"/>
  <c r="AB236" i="24"/>
  <c r="AB237" i="24"/>
  <c r="AB238" i="24"/>
  <c r="AB239" i="24"/>
  <c r="AB240" i="24"/>
  <c r="AB241" i="24"/>
  <c r="AB242" i="24"/>
  <c r="AB243" i="24"/>
  <c r="AB244" i="24"/>
  <c r="AB245" i="24"/>
  <c r="AB246" i="24"/>
  <c r="AB247" i="24"/>
  <c r="AB248" i="24"/>
  <c r="AB249" i="24"/>
  <c r="AB250" i="24"/>
  <c r="AB251" i="24"/>
  <c r="AB252" i="24"/>
  <c r="AB253" i="24"/>
  <c r="AB254" i="24"/>
  <c r="AB255" i="24"/>
  <c r="AB256" i="24"/>
  <c r="AB257" i="24"/>
  <c r="AB258" i="24"/>
  <c r="AB259" i="24"/>
  <c r="AB260" i="24"/>
  <c r="AB261" i="24"/>
  <c r="AB262" i="24"/>
  <c r="AB263" i="24"/>
  <c r="AB264" i="24"/>
  <c r="AB265" i="24"/>
  <c r="AB266" i="24"/>
  <c r="AB267" i="24"/>
  <c r="AB268" i="24"/>
  <c r="AB269" i="24"/>
  <c r="AB270" i="24"/>
  <c r="AB271" i="24"/>
  <c r="AB272" i="24"/>
  <c r="AB273" i="24"/>
  <c r="AB274" i="24"/>
  <c r="AB275" i="24"/>
  <c r="AB276" i="24"/>
  <c r="AB277" i="24"/>
  <c r="AB278" i="24"/>
  <c r="AB279" i="24"/>
  <c r="AB280" i="24"/>
  <c r="AB281" i="24"/>
  <c r="AB282" i="24"/>
  <c r="AB283" i="24"/>
  <c r="AB284" i="24"/>
  <c r="AB285" i="24"/>
  <c r="AB286" i="24"/>
  <c r="AB287" i="24"/>
  <c r="AB288" i="24"/>
  <c r="AB289" i="24"/>
  <c r="AB290" i="24"/>
  <c r="AB291" i="24"/>
  <c r="AB292" i="24"/>
  <c r="AB293" i="24"/>
  <c r="AB294" i="24"/>
  <c r="AB295" i="24"/>
  <c r="AB296" i="24"/>
  <c r="AB297" i="24"/>
  <c r="AB298" i="24"/>
  <c r="AB299" i="24"/>
  <c r="AB300" i="24"/>
  <c r="AB301" i="24"/>
  <c r="AB302" i="24"/>
  <c r="AB303" i="24"/>
  <c r="AB304" i="24"/>
  <c r="AB33" i="24"/>
  <c r="K33" i="24"/>
  <c r="E34" i="24" l="1"/>
  <c r="F34" i="24"/>
  <c r="G34" i="24"/>
  <c r="H34" i="24"/>
  <c r="I34" i="24"/>
  <c r="Y34" i="24" s="1"/>
  <c r="J34" i="24"/>
  <c r="Z34" i="24" s="1"/>
  <c r="K34" i="24"/>
  <c r="L34" i="24"/>
  <c r="M34" i="24"/>
  <c r="AA34" i="24" s="1"/>
  <c r="Q34" i="24"/>
  <c r="R34" i="24"/>
  <c r="S34" i="24"/>
  <c r="T34" i="24"/>
  <c r="U34" i="24"/>
  <c r="AC34" i="24" s="1"/>
  <c r="V34" i="24"/>
  <c r="AD34" i="24" s="1"/>
  <c r="E35" i="24"/>
  <c r="F35" i="24"/>
  <c r="G35" i="24"/>
  <c r="H35" i="24"/>
  <c r="I35" i="24"/>
  <c r="Y35" i="24" s="1"/>
  <c r="J35" i="24"/>
  <c r="Z35" i="24" s="1"/>
  <c r="K35" i="24"/>
  <c r="L35" i="24"/>
  <c r="M35" i="24"/>
  <c r="AA35" i="24" s="1"/>
  <c r="Q35" i="24"/>
  <c r="R35" i="24"/>
  <c r="S35" i="24"/>
  <c r="T35" i="24"/>
  <c r="U35" i="24"/>
  <c r="AC35" i="24" s="1"/>
  <c r="V35" i="24"/>
  <c r="AD35" i="24" s="1"/>
  <c r="E36" i="24"/>
  <c r="F36" i="24"/>
  <c r="G36" i="24"/>
  <c r="H36" i="24"/>
  <c r="I36" i="24"/>
  <c r="Y36" i="24" s="1"/>
  <c r="J36" i="24"/>
  <c r="Z36" i="24" s="1"/>
  <c r="K36" i="24"/>
  <c r="L36" i="24"/>
  <c r="M36" i="24"/>
  <c r="AA36" i="24" s="1"/>
  <c r="Q36" i="24"/>
  <c r="R36" i="24"/>
  <c r="S36" i="24"/>
  <c r="T36" i="24"/>
  <c r="U36" i="24"/>
  <c r="AC36" i="24" s="1"/>
  <c r="V36" i="24"/>
  <c r="AD36" i="24" s="1"/>
  <c r="E37" i="24"/>
  <c r="F37" i="24"/>
  <c r="G37" i="24"/>
  <c r="H37" i="24"/>
  <c r="I37" i="24"/>
  <c r="Y37" i="24" s="1"/>
  <c r="J37" i="24"/>
  <c r="Z37" i="24" s="1"/>
  <c r="K37" i="24"/>
  <c r="L37" i="24"/>
  <c r="M37" i="24"/>
  <c r="AA37" i="24" s="1"/>
  <c r="Q37" i="24"/>
  <c r="R37" i="24"/>
  <c r="S37" i="24"/>
  <c r="T37" i="24"/>
  <c r="U37" i="24"/>
  <c r="AC37" i="24" s="1"/>
  <c r="V37" i="24"/>
  <c r="AD37" i="24" s="1"/>
  <c r="E38" i="24"/>
  <c r="F38" i="24"/>
  <c r="G38" i="24"/>
  <c r="H38" i="24"/>
  <c r="I38" i="24"/>
  <c r="Y38" i="24" s="1"/>
  <c r="J38" i="24"/>
  <c r="Z38" i="24" s="1"/>
  <c r="K38" i="24"/>
  <c r="L38" i="24"/>
  <c r="M38" i="24"/>
  <c r="AA38" i="24" s="1"/>
  <c r="Q38" i="24"/>
  <c r="R38" i="24"/>
  <c r="S38" i="24"/>
  <c r="T38" i="24"/>
  <c r="U38" i="24"/>
  <c r="AC38" i="24" s="1"/>
  <c r="V38" i="24"/>
  <c r="AD38" i="24" s="1"/>
  <c r="E39" i="24"/>
  <c r="F39" i="24"/>
  <c r="G39" i="24"/>
  <c r="H39" i="24"/>
  <c r="I39" i="24"/>
  <c r="Y39" i="24" s="1"/>
  <c r="J39" i="24"/>
  <c r="Z39" i="24" s="1"/>
  <c r="K39" i="24"/>
  <c r="L39" i="24"/>
  <c r="M39" i="24"/>
  <c r="AA39" i="24" s="1"/>
  <c r="Q39" i="24"/>
  <c r="R39" i="24"/>
  <c r="S39" i="24"/>
  <c r="T39" i="24"/>
  <c r="U39" i="24"/>
  <c r="AC39" i="24" s="1"/>
  <c r="V39" i="24"/>
  <c r="AD39" i="24" s="1"/>
  <c r="E40" i="24"/>
  <c r="F40" i="24"/>
  <c r="G40" i="24"/>
  <c r="H40" i="24"/>
  <c r="I40" i="24"/>
  <c r="Y40" i="24" s="1"/>
  <c r="J40" i="24"/>
  <c r="Z40" i="24" s="1"/>
  <c r="K40" i="24"/>
  <c r="L40" i="24"/>
  <c r="M40" i="24"/>
  <c r="AA40" i="24" s="1"/>
  <c r="Q40" i="24"/>
  <c r="R40" i="24"/>
  <c r="S40" i="24"/>
  <c r="T40" i="24"/>
  <c r="U40" i="24"/>
  <c r="AC40" i="24" s="1"/>
  <c r="V40" i="24"/>
  <c r="AD40" i="24" s="1"/>
  <c r="E41" i="24"/>
  <c r="F41" i="24"/>
  <c r="G41" i="24"/>
  <c r="H41" i="24"/>
  <c r="I41" i="24"/>
  <c r="Y41" i="24" s="1"/>
  <c r="J41" i="24"/>
  <c r="Z41" i="24" s="1"/>
  <c r="K41" i="24"/>
  <c r="L41" i="24"/>
  <c r="M41" i="24"/>
  <c r="AA41" i="24" s="1"/>
  <c r="Q41" i="24"/>
  <c r="R41" i="24"/>
  <c r="S41" i="24"/>
  <c r="T41" i="24"/>
  <c r="U41" i="24"/>
  <c r="AC41" i="24" s="1"/>
  <c r="V41" i="24"/>
  <c r="AD41" i="24" s="1"/>
  <c r="E42" i="24"/>
  <c r="F42" i="24"/>
  <c r="G42" i="24"/>
  <c r="H42" i="24"/>
  <c r="I42" i="24"/>
  <c r="Y42" i="24" s="1"/>
  <c r="J42" i="24"/>
  <c r="Z42" i="24" s="1"/>
  <c r="K42" i="24"/>
  <c r="L42" i="24"/>
  <c r="M42" i="24"/>
  <c r="AA42" i="24" s="1"/>
  <c r="Q42" i="24"/>
  <c r="R42" i="24"/>
  <c r="S42" i="24"/>
  <c r="T42" i="24"/>
  <c r="U42" i="24"/>
  <c r="AC42" i="24" s="1"/>
  <c r="V42" i="24"/>
  <c r="AD42" i="24" s="1"/>
  <c r="E43" i="24"/>
  <c r="F43" i="24"/>
  <c r="G43" i="24"/>
  <c r="H43" i="24"/>
  <c r="I43" i="24"/>
  <c r="Y43" i="24" s="1"/>
  <c r="J43" i="24"/>
  <c r="Z43" i="24" s="1"/>
  <c r="K43" i="24"/>
  <c r="L43" i="24"/>
  <c r="M43" i="24"/>
  <c r="AA43" i="24" s="1"/>
  <c r="Q43" i="24"/>
  <c r="R43" i="24"/>
  <c r="S43" i="24"/>
  <c r="T43" i="24"/>
  <c r="U43" i="24"/>
  <c r="AC43" i="24" s="1"/>
  <c r="V43" i="24"/>
  <c r="AD43" i="24" s="1"/>
  <c r="E44" i="24"/>
  <c r="F44" i="24"/>
  <c r="G44" i="24"/>
  <c r="H44" i="24"/>
  <c r="I44" i="24"/>
  <c r="Y44" i="24" s="1"/>
  <c r="J44" i="24"/>
  <c r="Z44" i="24" s="1"/>
  <c r="K44" i="24"/>
  <c r="L44" i="24"/>
  <c r="M44" i="24"/>
  <c r="AA44" i="24" s="1"/>
  <c r="Q44" i="24"/>
  <c r="R44" i="24"/>
  <c r="S44" i="24"/>
  <c r="T44" i="24"/>
  <c r="U44" i="24"/>
  <c r="AC44" i="24" s="1"/>
  <c r="V44" i="24"/>
  <c r="AD44" i="24" s="1"/>
  <c r="E45" i="24"/>
  <c r="F45" i="24"/>
  <c r="G45" i="24"/>
  <c r="H45" i="24"/>
  <c r="I45" i="24"/>
  <c r="Y45" i="24" s="1"/>
  <c r="J45" i="24"/>
  <c r="Z45" i="24" s="1"/>
  <c r="K45" i="24"/>
  <c r="L45" i="24"/>
  <c r="M45" i="24"/>
  <c r="AA45" i="24" s="1"/>
  <c r="Q45" i="24"/>
  <c r="R45" i="24"/>
  <c r="S45" i="24"/>
  <c r="T45" i="24"/>
  <c r="U45" i="24"/>
  <c r="AC45" i="24" s="1"/>
  <c r="V45" i="24"/>
  <c r="AD45" i="24" s="1"/>
  <c r="E46" i="24"/>
  <c r="F46" i="24"/>
  <c r="G46" i="24"/>
  <c r="H46" i="24"/>
  <c r="I46" i="24"/>
  <c r="Y46" i="24" s="1"/>
  <c r="J46" i="24"/>
  <c r="Z46" i="24" s="1"/>
  <c r="K46" i="24"/>
  <c r="L46" i="24"/>
  <c r="M46" i="24"/>
  <c r="AA46" i="24" s="1"/>
  <c r="Q46" i="24"/>
  <c r="R46" i="24"/>
  <c r="S46" i="24"/>
  <c r="T46" i="24"/>
  <c r="U46" i="24"/>
  <c r="AC46" i="24" s="1"/>
  <c r="V46" i="24"/>
  <c r="AD46" i="24" s="1"/>
  <c r="E47" i="24"/>
  <c r="F47" i="24"/>
  <c r="G47" i="24"/>
  <c r="H47" i="24"/>
  <c r="I47" i="24"/>
  <c r="Y47" i="24" s="1"/>
  <c r="J47" i="24"/>
  <c r="Z47" i="24" s="1"/>
  <c r="K47" i="24"/>
  <c r="L47" i="24"/>
  <c r="M47" i="24"/>
  <c r="AA47" i="24" s="1"/>
  <c r="Q47" i="24"/>
  <c r="R47" i="24"/>
  <c r="S47" i="24"/>
  <c r="T47" i="24"/>
  <c r="U47" i="24"/>
  <c r="AC47" i="24" s="1"/>
  <c r="V47" i="24"/>
  <c r="AD47" i="24" s="1"/>
  <c r="E48" i="24"/>
  <c r="F48" i="24"/>
  <c r="G48" i="24"/>
  <c r="H48" i="24"/>
  <c r="I48" i="24"/>
  <c r="Y48" i="24" s="1"/>
  <c r="J48" i="24"/>
  <c r="Z48" i="24" s="1"/>
  <c r="K48" i="24"/>
  <c r="L48" i="24"/>
  <c r="M48" i="24"/>
  <c r="AA48" i="24" s="1"/>
  <c r="Q48" i="24"/>
  <c r="R48" i="24"/>
  <c r="S48" i="24"/>
  <c r="T48" i="24"/>
  <c r="U48" i="24"/>
  <c r="AC48" i="24" s="1"/>
  <c r="V48" i="24"/>
  <c r="AD48" i="24" s="1"/>
  <c r="E49" i="24"/>
  <c r="F49" i="24"/>
  <c r="G49" i="24"/>
  <c r="H49" i="24"/>
  <c r="I49" i="24"/>
  <c r="Y49" i="24" s="1"/>
  <c r="J49" i="24"/>
  <c r="Z49" i="24" s="1"/>
  <c r="K49" i="24"/>
  <c r="L49" i="24"/>
  <c r="M49" i="24"/>
  <c r="AA49" i="24" s="1"/>
  <c r="Q49" i="24"/>
  <c r="R49" i="24"/>
  <c r="S49" i="24"/>
  <c r="T49" i="24"/>
  <c r="U49" i="24"/>
  <c r="AC49" i="24" s="1"/>
  <c r="V49" i="24"/>
  <c r="AD49" i="24" s="1"/>
  <c r="E50" i="24"/>
  <c r="F50" i="24"/>
  <c r="G50" i="24"/>
  <c r="H50" i="24"/>
  <c r="I50" i="24"/>
  <c r="Y50" i="24" s="1"/>
  <c r="J50" i="24"/>
  <c r="Z50" i="24" s="1"/>
  <c r="K50" i="24"/>
  <c r="L50" i="24"/>
  <c r="M50" i="24"/>
  <c r="AA50" i="24" s="1"/>
  <c r="Q50" i="24"/>
  <c r="R50" i="24"/>
  <c r="S50" i="24"/>
  <c r="T50" i="24"/>
  <c r="U50" i="24"/>
  <c r="AC50" i="24" s="1"/>
  <c r="V50" i="24"/>
  <c r="AD50" i="24" s="1"/>
  <c r="E51" i="24"/>
  <c r="F51" i="24"/>
  <c r="G51" i="24"/>
  <c r="H51" i="24"/>
  <c r="I51" i="24"/>
  <c r="Y51" i="24" s="1"/>
  <c r="J51" i="24"/>
  <c r="Z51" i="24" s="1"/>
  <c r="K51" i="24"/>
  <c r="L51" i="24"/>
  <c r="M51" i="24"/>
  <c r="AA51" i="24" s="1"/>
  <c r="Q51" i="24"/>
  <c r="R51" i="24"/>
  <c r="S51" i="24"/>
  <c r="T51" i="24"/>
  <c r="U51" i="24"/>
  <c r="AC51" i="24" s="1"/>
  <c r="V51" i="24"/>
  <c r="AD51" i="24" s="1"/>
  <c r="E52" i="24"/>
  <c r="F52" i="24"/>
  <c r="G52" i="24"/>
  <c r="H52" i="24"/>
  <c r="I52" i="24"/>
  <c r="Y52" i="24" s="1"/>
  <c r="J52" i="24"/>
  <c r="Z52" i="24" s="1"/>
  <c r="K52" i="24"/>
  <c r="L52" i="24"/>
  <c r="M52" i="24"/>
  <c r="AA52" i="24" s="1"/>
  <c r="Q52" i="24"/>
  <c r="R52" i="24"/>
  <c r="S52" i="24"/>
  <c r="T52" i="24"/>
  <c r="U52" i="24"/>
  <c r="AC52" i="24" s="1"/>
  <c r="V52" i="24"/>
  <c r="AD52" i="24" s="1"/>
  <c r="E53" i="24"/>
  <c r="F53" i="24"/>
  <c r="G53" i="24"/>
  <c r="H53" i="24"/>
  <c r="I53" i="24"/>
  <c r="Y53" i="24" s="1"/>
  <c r="J53" i="24"/>
  <c r="Z53" i="24" s="1"/>
  <c r="K53" i="24"/>
  <c r="L53" i="24"/>
  <c r="M53" i="24"/>
  <c r="AA53" i="24" s="1"/>
  <c r="Q53" i="24"/>
  <c r="R53" i="24"/>
  <c r="S53" i="24"/>
  <c r="T53" i="24"/>
  <c r="U53" i="24"/>
  <c r="AC53" i="24" s="1"/>
  <c r="V53" i="24"/>
  <c r="AD53" i="24" s="1"/>
  <c r="E54" i="24"/>
  <c r="F54" i="24"/>
  <c r="G54" i="24"/>
  <c r="H54" i="24"/>
  <c r="I54" i="24"/>
  <c r="Y54" i="24" s="1"/>
  <c r="J54" i="24"/>
  <c r="Z54" i="24" s="1"/>
  <c r="K54" i="24"/>
  <c r="L54" i="24"/>
  <c r="M54" i="24"/>
  <c r="AA54" i="24" s="1"/>
  <c r="Q54" i="24"/>
  <c r="R54" i="24"/>
  <c r="S54" i="24"/>
  <c r="T54" i="24"/>
  <c r="U54" i="24"/>
  <c r="AC54" i="24" s="1"/>
  <c r="V54" i="24"/>
  <c r="AD54" i="24" s="1"/>
  <c r="E55" i="24"/>
  <c r="F55" i="24"/>
  <c r="G55" i="24"/>
  <c r="H55" i="24"/>
  <c r="I55" i="24"/>
  <c r="Y55" i="24" s="1"/>
  <c r="J55" i="24"/>
  <c r="Z55" i="24" s="1"/>
  <c r="K55" i="24"/>
  <c r="L55" i="24"/>
  <c r="M55" i="24"/>
  <c r="AA55" i="24" s="1"/>
  <c r="Q55" i="24"/>
  <c r="R55" i="24"/>
  <c r="S55" i="24"/>
  <c r="T55" i="24"/>
  <c r="U55" i="24"/>
  <c r="AC55" i="24" s="1"/>
  <c r="V55" i="24"/>
  <c r="AD55" i="24" s="1"/>
  <c r="E56" i="24"/>
  <c r="F56" i="24"/>
  <c r="G56" i="24"/>
  <c r="H56" i="24"/>
  <c r="I56" i="24"/>
  <c r="Y56" i="24" s="1"/>
  <c r="J56" i="24"/>
  <c r="Z56" i="24" s="1"/>
  <c r="K56" i="24"/>
  <c r="L56" i="24"/>
  <c r="M56" i="24"/>
  <c r="AA56" i="24" s="1"/>
  <c r="Q56" i="24"/>
  <c r="R56" i="24"/>
  <c r="S56" i="24"/>
  <c r="T56" i="24"/>
  <c r="U56" i="24"/>
  <c r="AC56" i="24" s="1"/>
  <c r="V56" i="24"/>
  <c r="AD56" i="24" s="1"/>
  <c r="E57" i="24"/>
  <c r="F57" i="24"/>
  <c r="G57" i="24"/>
  <c r="H57" i="24"/>
  <c r="I57" i="24"/>
  <c r="Y57" i="24" s="1"/>
  <c r="J57" i="24"/>
  <c r="Z57" i="24" s="1"/>
  <c r="K57" i="24"/>
  <c r="L57" i="24"/>
  <c r="M57" i="24"/>
  <c r="AA57" i="24" s="1"/>
  <c r="Q57" i="24"/>
  <c r="R57" i="24"/>
  <c r="S57" i="24"/>
  <c r="T57" i="24"/>
  <c r="U57" i="24"/>
  <c r="AC57" i="24" s="1"/>
  <c r="V57" i="24"/>
  <c r="AD57" i="24" s="1"/>
  <c r="E58" i="24"/>
  <c r="F58" i="24"/>
  <c r="G58" i="24"/>
  <c r="H58" i="24"/>
  <c r="I58" i="24"/>
  <c r="Y58" i="24" s="1"/>
  <c r="J58" i="24"/>
  <c r="Z58" i="24" s="1"/>
  <c r="K58" i="24"/>
  <c r="L58" i="24"/>
  <c r="M58" i="24"/>
  <c r="AA58" i="24" s="1"/>
  <c r="Q58" i="24"/>
  <c r="R58" i="24"/>
  <c r="S58" i="24"/>
  <c r="T58" i="24"/>
  <c r="U58" i="24"/>
  <c r="AC58" i="24" s="1"/>
  <c r="V58" i="24"/>
  <c r="AD58" i="24" s="1"/>
  <c r="E59" i="24"/>
  <c r="F59" i="24"/>
  <c r="G59" i="24"/>
  <c r="H59" i="24"/>
  <c r="I59" i="24"/>
  <c r="Y59" i="24" s="1"/>
  <c r="J59" i="24"/>
  <c r="Z59" i="24" s="1"/>
  <c r="K59" i="24"/>
  <c r="L59" i="24"/>
  <c r="M59" i="24"/>
  <c r="AA59" i="24" s="1"/>
  <c r="Q59" i="24"/>
  <c r="R59" i="24"/>
  <c r="S59" i="24"/>
  <c r="T59" i="24"/>
  <c r="U59" i="24"/>
  <c r="AC59" i="24" s="1"/>
  <c r="V59" i="24"/>
  <c r="AD59" i="24" s="1"/>
  <c r="E60" i="24"/>
  <c r="F60" i="24"/>
  <c r="G60" i="24"/>
  <c r="H60" i="24"/>
  <c r="I60" i="24"/>
  <c r="Y60" i="24" s="1"/>
  <c r="J60" i="24"/>
  <c r="Z60" i="24" s="1"/>
  <c r="K60" i="24"/>
  <c r="L60" i="24"/>
  <c r="M60" i="24"/>
  <c r="AA60" i="24" s="1"/>
  <c r="Q60" i="24"/>
  <c r="R60" i="24"/>
  <c r="S60" i="24"/>
  <c r="T60" i="24"/>
  <c r="U60" i="24"/>
  <c r="AC60" i="24" s="1"/>
  <c r="V60" i="24"/>
  <c r="AD60" i="24" s="1"/>
  <c r="E61" i="24"/>
  <c r="F61" i="24"/>
  <c r="G61" i="24"/>
  <c r="H61" i="24"/>
  <c r="I61" i="24"/>
  <c r="Y61" i="24" s="1"/>
  <c r="J61" i="24"/>
  <c r="Z61" i="24" s="1"/>
  <c r="K61" i="24"/>
  <c r="L61" i="24"/>
  <c r="M61" i="24"/>
  <c r="AA61" i="24" s="1"/>
  <c r="Q61" i="24"/>
  <c r="R61" i="24"/>
  <c r="S61" i="24"/>
  <c r="T61" i="24"/>
  <c r="U61" i="24"/>
  <c r="AC61" i="24" s="1"/>
  <c r="V61" i="24"/>
  <c r="AD61" i="24" s="1"/>
  <c r="E62" i="24"/>
  <c r="F62" i="24"/>
  <c r="G62" i="24"/>
  <c r="H62" i="24"/>
  <c r="I62" i="24"/>
  <c r="Y62" i="24" s="1"/>
  <c r="J62" i="24"/>
  <c r="Z62" i="24" s="1"/>
  <c r="K62" i="24"/>
  <c r="L62" i="24"/>
  <c r="M62" i="24"/>
  <c r="AA62" i="24" s="1"/>
  <c r="Q62" i="24"/>
  <c r="R62" i="24"/>
  <c r="S62" i="24"/>
  <c r="T62" i="24"/>
  <c r="U62" i="24"/>
  <c r="AC62" i="24" s="1"/>
  <c r="V62" i="24"/>
  <c r="AD62" i="24" s="1"/>
  <c r="E63" i="24"/>
  <c r="F63" i="24"/>
  <c r="G63" i="24"/>
  <c r="H63" i="24"/>
  <c r="I63" i="24"/>
  <c r="Y63" i="24" s="1"/>
  <c r="J63" i="24"/>
  <c r="Z63" i="24" s="1"/>
  <c r="K63" i="24"/>
  <c r="L63" i="24"/>
  <c r="M63" i="24"/>
  <c r="AA63" i="24" s="1"/>
  <c r="Q63" i="24"/>
  <c r="R63" i="24"/>
  <c r="S63" i="24"/>
  <c r="T63" i="24"/>
  <c r="U63" i="24"/>
  <c r="AC63" i="24" s="1"/>
  <c r="V63" i="24"/>
  <c r="AD63" i="24" s="1"/>
  <c r="E64" i="24"/>
  <c r="F64" i="24"/>
  <c r="G64" i="24"/>
  <c r="H64" i="24"/>
  <c r="I64" i="24"/>
  <c r="Y64" i="24" s="1"/>
  <c r="J64" i="24"/>
  <c r="Z64" i="24" s="1"/>
  <c r="K64" i="24"/>
  <c r="L64" i="24"/>
  <c r="M64" i="24"/>
  <c r="AA64" i="24" s="1"/>
  <c r="Q64" i="24"/>
  <c r="R64" i="24"/>
  <c r="S64" i="24"/>
  <c r="T64" i="24"/>
  <c r="U64" i="24"/>
  <c r="AC64" i="24" s="1"/>
  <c r="V64" i="24"/>
  <c r="AD64" i="24" s="1"/>
  <c r="E65" i="24"/>
  <c r="F65" i="24"/>
  <c r="G65" i="24"/>
  <c r="H65" i="24"/>
  <c r="I65" i="24"/>
  <c r="Y65" i="24" s="1"/>
  <c r="J65" i="24"/>
  <c r="Z65" i="24" s="1"/>
  <c r="K65" i="24"/>
  <c r="L65" i="24"/>
  <c r="M65" i="24"/>
  <c r="AA65" i="24" s="1"/>
  <c r="Q65" i="24"/>
  <c r="R65" i="24"/>
  <c r="S65" i="24"/>
  <c r="T65" i="24"/>
  <c r="U65" i="24"/>
  <c r="AC65" i="24" s="1"/>
  <c r="V65" i="24"/>
  <c r="AD65" i="24" s="1"/>
  <c r="E66" i="24"/>
  <c r="F66" i="24"/>
  <c r="G66" i="24"/>
  <c r="H66" i="24"/>
  <c r="I66" i="24"/>
  <c r="Y66" i="24" s="1"/>
  <c r="J66" i="24"/>
  <c r="Z66" i="24" s="1"/>
  <c r="K66" i="24"/>
  <c r="L66" i="24"/>
  <c r="M66" i="24"/>
  <c r="AA66" i="24" s="1"/>
  <c r="Q66" i="24"/>
  <c r="R66" i="24"/>
  <c r="S66" i="24"/>
  <c r="T66" i="24"/>
  <c r="U66" i="24"/>
  <c r="AC66" i="24" s="1"/>
  <c r="V66" i="24"/>
  <c r="AD66" i="24" s="1"/>
  <c r="E67" i="24"/>
  <c r="F67" i="24"/>
  <c r="G67" i="24"/>
  <c r="H67" i="24"/>
  <c r="I67" i="24"/>
  <c r="Y67" i="24" s="1"/>
  <c r="J67" i="24"/>
  <c r="Z67" i="24" s="1"/>
  <c r="K67" i="24"/>
  <c r="L67" i="24"/>
  <c r="M67" i="24"/>
  <c r="AA67" i="24" s="1"/>
  <c r="Q67" i="24"/>
  <c r="R67" i="24"/>
  <c r="S67" i="24"/>
  <c r="T67" i="24"/>
  <c r="U67" i="24"/>
  <c r="AC67" i="24" s="1"/>
  <c r="V67" i="24"/>
  <c r="AD67" i="24" s="1"/>
  <c r="E68" i="24"/>
  <c r="F68" i="24"/>
  <c r="G68" i="24"/>
  <c r="H68" i="24"/>
  <c r="I68" i="24"/>
  <c r="Y68" i="24" s="1"/>
  <c r="J68" i="24"/>
  <c r="Z68" i="24" s="1"/>
  <c r="K68" i="24"/>
  <c r="L68" i="24"/>
  <c r="M68" i="24"/>
  <c r="AA68" i="24" s="1"/>
  <c r="Q68" i="24"/>
  <c r="R68" i="24"/>
  <c r="S68" i="24"/>
  <c r="T68" i="24"/>
  <c r="U68" i="24"/>
  <c r="AC68" i="24" s="1"/>
  <c r="V68" i="24"/>
  <c r="AD68" i="24" s="1"/>
  <c r="E69" i="24"/>
  <c r="F69" i="24"/>
  <c r="G69" i="24"/>
  <c r="H69" i="24"/>
  <c r="I69" i="24"/>
  <c r="Y69" i="24" s="1"/>
  <c r="J69" i="24"/>
  <c r="Z69" i="24" s="1"/>
  <c r="K69" i="24"/>
  <c r="L69" i="24"/>
  <c r="M69" i="24"/>
  <c r="AA69" i="24" s="1"/>
  <c r="Q69" i="24"/>
  <c r="R69" i="24"/>
  <c r="S69" i="24"/>
  <c r="T69" i="24"/>
  <c r="U69" i="24"/>
  <c r="AC69" i="24" s="1"/>
  <c r="V69" i="24"/>
  <c r="AD69" i="24" s="1"/>
  <c r="E70" i="24"/>
  <c r="F70" i="24"/>
  <c r="G70" i="24"/>
  <c r="H70" i="24"/>
  <c r="I70" i="24"/>
  <c r="Y70" i="24" s="1"/>
  <c r="J70" i="24"/>
  <c r="Z70" i="24" s="1"/>
  <c r="K70" i="24"/>
  <c r="L70" i="24"/>
  <c r="M70" i="24"/>
  <c r="AA70" i="24" s="1"/>
  <c r="Q70" i="24"/>
  <c r="R70" i="24"/>
  <c r="S70" i="24"/>
  <c r="T70" i="24"/>
  <c r="U70" i="24"/>
  <c r="AC70" i="24" s="1"/>
  <c r="V70" i="24"/>
  <c r="AD70" i="24" s="1"/>
  <c r="E71" i="24"/>
  <c r="F71" i="24"/>
  <c r="G71" i="24"/>
  <c r="H71" i="24"/>
  <c r="I71" i="24"/>
  <c r="Y71" i="24" s="1"/>
  <c r="J71" i="24"/>
  <c r="Z71" i="24" s="1"/>
  <c r="K71" i="24"/>
  <c r="L71" i="24"/>
  <c r="M71" i="24"/>
  <c r="AA71" i="24" s="1"/>
  <c r="Q71" i="24"/>
  <c r="R71" i="24"/>
  <c r="S71" i="24"/>
  <c r="T71" i="24"/>
  <c r="U71" i="24"/>
  <c r="AC71" i="24" s="1"/>
  <c r="V71" i="24"/>
  <c r="AD71" i="24" s="1"/>
  <c r="E72" i="24"/>
  <c r="F72" i="24"/>
  <c r="G72" i="24"/>
  <c r="H72" i="24"/>
  <c r="I72" i="24"/>
  <c r="Y72" i="24" s="1"/>
  <c r="J72" i="24"/>
  <c r="Z72" i="24" s="1"/>
  <c r="K72" i="24"/>
  <c r="L72" i="24"/>
  <c r="M72" i="24"/>
  <c r="AA72" i="24" s="1"/>
  <c r="Q72" i="24"/>
  <c r="R72" i="24"/>
  <c r="S72" i="24"/>
  <c r="T72" i="24"/>
  <c r="U72" i="24"/>
  <c r="AC72" i="24" s="1"/>
  <c r="V72" i="24"/>
  <c r="AD72" i="24" s="1"/>
  <c r="E73" i="24"/>
  <c r="F73" i="24"/>
  <c r="G73" i="24"/>
  <c r="H73" i="24"/>
  <c r="I73" i="24"/>
  <c r="Y73" i="24" s="1"/>
  <c r="J73" i="24"/>
  <c r="Z73" i="24" s="1"/>
  <c r="K73" i="24"/>
  <c r="L73" i="24"/>
  <c r="M73" i="24"/>
  <c r="AA73" i="24" s="1"/>
  <c r="Q73" i="24"/>
  <c r="R73" i="24"/>
  <c r="S73" i="24"/>
  <c r="T73" i="24"/>
  <c r="U73" i="24"/>
  <c r="AC73" i="24" s="1"/>
  <c r="V73" i="24"/>
  <c r="AD73" i="24" s="1"/>
  <c r="E74" i="24"/>
  <c r="F74" i="24"/>
  <c r="G74" i="24"/>
  <c r="H74" i="24"/>
  <c r="I74" i="24"/>
  <c r="Y74" i="24" s="1"/>
  <c r="J74" i="24"/>
  <c r="Z74" i="24" s="1"/>
  <c r="K74" i="24"/>
  <c r="L74" i="24"/>
  <c r="M74" i="24"/>
  <c r="AA74" i="24" s="1"/>
  <c r="Q74" i="24"/>
  <c r="R74" i="24"/>
  <c r="S74" i="24"/>
  <c r="T74" i="24"/>
  <c r="U74" i="24"/>
  <c r="AC74" i="24" s="1"/>
  <c r="V74" i="24"/>
  <c r="AD74" i="24" s="1"/>
  <c r="E75" i="24"/>
  <c r="F75" i="24"/>
  <c r="G75" i="24"/>
  <c r="H75" i="24"/>
  <c r="I75" i="24"/>
  <c r="Y75" i="24" s="1"/>
  <c r="J75" i="24"/>
  <c r="Z75" i="24" s="1"/>
  <c r="K75" i="24"/>
  <c r="L75" i="24"/>
  <c r="M75" i="24"/>
  <c r="AA75" i="24" s="1"/>
  <c r="Q75" i="24"/>
  <c r="R75" i="24"/>
  <c r="S75" i="24"/>
  <c r="T75" i="24"/>
  <c r="U75" i="24"/>
  <c r="AC75" i="24" s="1"/>
  <c r="V75" i="24"/>
  <c r="AD75" i="24" s="1"/>
  <c r="E76" i="24"/>
  <c r="F76" i="24"/>
  <c r="G76" i="24"/>
  <c r="H76" i="24"/>
  <c r="I76" i="24"/>
  <c r="Y76" i="24" s="1"/>
  <c r="J76" i="24"/>
  <c r="Z76" i="24" s="1"/>
  <c r="K76" i="24"/>
  <c r="L76" i="24"/>
  <c r="M76" i="24"/>
  <c r="AA76" i="24" s="1"/>
  <c r="Q76" i="24"/>
  <c r="R76" i="24"/>
  <c r="S76" i="24"/>
  <c r="T76" i="24"/>
  <c r="U76" i="24"/>
  <c r="AC76" i="24" s="1"/>
  <c r="V76" i="24"/>
  <c r="AD76" i="24" s="1"/>
  <c r="E77" i="24"/>
  <c r="F77" i="24"/>
  <c r="G77" i="24"/>
  <c r="H77" i="24"/>
  <c r="I77" i="24"/>
  <c r="Y77" i="24" s="1"/>
  <c r="J77" i="24"/>
  <c r="Z77" i="24" s="1"/>
  <c r="K77" i="24"/>
  <c r="L77" i="24"/>
  <c r="M77" i="24"/>
  <c r="AA77" i="24" s="1"/>
  <c r="Q77" i="24"/>
  <c r="R77" i="24"/>
  <c r="S77" i="24"/>
  <c r="T77" i="24"/>
  <c r="U77" i="24"/>
  <c r="AC77" i="24" s="1"/>
  <c r="V77" i="24"/>
  <c r="AD77" i="24" s="1"/>
  <c r="E78" i="24"/>
  <c r="F78" i="24"/>
  <c r="G78" i="24"/>
  <c r="H78" i="24"/>
  <c r="I78" i="24"/>
  <c r="Y78" i="24" s="1"/>
  <c r="J78" i="24"/>
  <c r="Z78" i="24" s="1"/>
  <c r="K78" i="24"/>
  <c r="L78" i="24"/>
  <c r="M78" i="24"/>
  <c r="AA78" i="24" s="1"/>
  <c r="Q78" i="24"/>
  <c r="R78" i="24"/>
  <c r="S78" i="24"/>
  <c r="T78" i="24"/>
  <c r="U78" i="24"/>
  <c r="AC78" i="24" s="1"/>
  <c r="V78" i="24"/>
  <c r="AD78" i="24" s="1"/>
  <c r="E79" i="24"/>
  <c r="F79" i="24"/>
  <c r="G79" i="24"/>
  <c r="H79" i="24"/>
  <c r="I79" i="24"/>
  <c r="Y79" i="24" s="1"/>
  <c r="J79" i="24"/>
  <c r="Z79" i="24" s="1"/>
  <c r="K79" i="24"/>
  <c r="L79" i="24"/>
  <c r="M79" i="24"/>
  <c r="AA79" i="24" s="1"/>
  <c r="Q79" i="24"/>
  <c r="R79" i="24"/>
  <c r="S79" i="24"/>
  <c r="T79" i="24"/>
  <c r="U79" i="24"/>
  <c r="AC79" i="24" s="1"/>
  <c r="V79" i="24"/>
  <c r="AD79" i="24" s="1"/>
  <c r="E80" i="24"/>
  <c r="F80" i="24"/>
  <c r="G80" i="24"/>
  <c r="H80" i="24"/>
  <c r="I80" i="24"/>
  <c r="Y80" i="24" s="1"/>
  <c r="J80" i="24"/>
  <c r="Z80" i="24" s="1"/>
  <c r="K80" i="24"/>
  <c r="L80" i="24"/>
  <c r="M80" i="24"/>
  <c r="AA80" i="24" s="1"/>
  <c r="Q80" i="24"/>
  <c r="R80" i="24"/>
  <c r="S80" i="24"/>
  <c r="T80" i="24"/>
  <c r="U80" i="24"/>
  <c r="AC80" i="24" s="1"/>
  <c r="V80" i="24"/>
  <c r="AD80" i="24" s="1"/>
  <c r="E81" i="24"/>
  <c r="F81" i="24"/>
  <c r="G81" i="24"/>
  <c r="H81" i="24"/>
  <c r="I81" i="24"/>
  <c r="Y81" i="24" s="1"/>
  <c r="J81" i="24"/>
  <c r="Z81" i="24" s="1"/>
  <c r="K81" i="24"/>
  <c r="L81" i="24"/>
  <c r="M81" i="24"/>
  <c r="AA81" i="24" s="1"/>
  <c r="Q81" i="24"/>
  <c r="R81" i="24"/>
  <c r="S81" i="24"/>
  <c r="T81" i="24"/>
  <c r="U81" i="24"/>
  <c r="AC81" i="24" s="1"/>
  <c r="V81" i="24"/>
  <c r="AD81" i="24" s="1"/>
  <c r="E82" i="24"/>
  <c r="F82" i="24"/>
  <c r="G82" i="24"/>
  <c r="H82" i="24"/>
  <c r="I82" i="24"/>
  <c r="Y82" i="24" s="1"/>
  <c r="J82" i="24"/>
  <c r="Z82" i="24" s="1"/>
  <c r="K82" i="24"/>
  <c r="L82" i="24"/>
  <c r="M82" i="24"/>
  <c r="AA82" i="24" s="1"/>
  <c r="Q82" i="24"/>
  <c r="R82" i="24"/>
  <c r="S82" i="24"/>
  <c r="T82" i="24"/>
  <c r="U82" i="24"/>
  <c r="AC82" i="24" s="1"/>
  <c r="V82" i="24"/>
  <c r="AD82" i="24" s="1"/>
  <c r="E83" i="24"/>
  <c r="F83" i="24"/>
  <c r="G83" i="24"/>
  <c r="H83" i="24"/>
  <c r="I83" i="24"/>
  <c r="Y83" i="24" s="1"/>
  <c r="J83" i="24"/>
  <c r="Z83" i="24" s="1"/>
  <c r="K83" i="24"/>
  <c r="L83" i="24"/>
  <c r="M83" i="24"/>
  <c r="AA83" i="24" s="1"/>
  <c r="Q83" i="24"/>
  <c r="R83" i="24"/>
  <c r="S83" i="24"/>
  <c r="T83" i="24"/>
  <c r="U83" i="24"/>
  <c r="AC83" i="24" s="1"/>
  <c r="V83" i="24"/>
  <c r="AD83" i="24" s="1"/>
  <c r="E84" i="24"/>
  <c r="F84" i="24"/>
  <c r="G84" i="24"/>
  <c r="H84" i="24"/>
  <c r="I84" i="24"/>
  <c r="Y84" i="24" s="1"/>
  <c r="J84" i="24"/>
  <c r="Z84" i="24" s="1"/>
  <c r="K84" i="24"/>
  <c r="L84" i="24"/>
  <c r="M84" i="24"/>
  <c r="AA84" i="24" s="1"/>
  <c r="Q84" i="24"/>
  <c r="R84" i="24"/>
  <c r="S84" i="24"/>
  <c r="T84" i="24"/>
  <c r="U84" i="24"/>
  <c r="AC84" i="24" s="1"/>
  <c r="V84" i="24"/>
  <c r="AD84" i="24" s="1"/>
  <c r="E85" i="24"/>
  <c r="F85" i="24"/>
  <c r="G85" i="24"/>
  <c r="H85" i="24"/>
  <c r="I85" i="24"/>
  <c r="Y85" i="24" s="1"/>
  <c r="J85" i="24"/>
  <c r="Z85" i="24" s="1"/>
  <c r="K85" i="24"/>
  <c r="L85" i="24"/>
  <c r="M85" i="24"/>
  <c r="AA85" i="24" s="1"/>
  <c r="Q85" i="24"/>
  <c r="R85" i="24"/>
  <c r="S85" i="24"/>
  <c r="T85" i="24"/>
  <c r="U85" i="24"/>
  <c r="AC85" i="24" s="1"/>
  <c r="V85" i="24"/>
  <c r="AD85" i="24" s="1"/>
  <c r="E86" i="24"/>
  <c r="F86" i="24"/>
  <c r="G86" i="24"/>
  <c r="H86" i="24"/>
  <c r="I86" i="24"/>
  <c r="Y86" i="24" s="1"/>
  <c r="J86" i="24"/>
  <c r="Z86" i="24" s="1"/>
  <c r="K86" i="24"/>
  <c r="L86" i="24"/>
  <c r="M86" i="24"/>
  <c r="AA86" i="24" s="1"/>
  <c r="Q86" i="24"/>
  <c r="R86" i="24"/>
  <c r="S86" i="24"/>
  <c r="T86" i="24"/>
  <c r="U86" i="24"/>
  <c r="AC86" i="24" s="1"/>
  <c r="V86" i="24"/>
  <c r="AD86" i="24" s="1"/>
  <c r="E87" i="24"/>
  <c r="F87" i="24"/>
  <c r="G87" i="24"/>
  <c r="H87" i="24"/>
  <c r="I87" i="24"/>
  <c r="Y87" i="24" s="1"/>
  <c r="J87" i="24"/>
  <c r="Z87" i="24" s="1"/>
  <c r="K87" i="24"/>
  <c r="L87" i="24"/>
  <c r="M87" i="24"/>
  <c r="AA87" i="24" s="1"/>
  <c r="Q87" i="24"/>
  <c r="R87" i="24"/>
  <c r="S87" i="24"/>
  <c r="T87" i="24"/>
  <c r="U87" i="24"/>
  <c r="AC87" i="24" s="1"/>
  <c r="V87" i="24"/>
  <c r="AD87" i="24" s="1"/>
  <c r="E88" i="24"/>
  <c r="F88" i="24"/>
  <c r="G88" i="24"/>
  <c r="H88" i="24"/>
  <c r="I88" i="24"/>
  <c r="Y88" i="24" s="1"/>
  <c r="J88" i="24"/>
  <c r="Z88" i="24" s="1"/>
  <c r="K88" i="24"/>
  <c r="L88" i="24"/>
  <c r="M88" i="24"/>
  <c r="AA88" i="24" s="1"/>
  <c r="Q88" i="24"/>
  <c r="R88" i="24"/>
  <c r="S88" i="24"/>
  <c r="T88" i="24"/>
  <c r="U88" i="24"/>
  <c r="AC88" i="24" s="1"/>
  <c r="V88" i="24"/>
  <c r="AD88" i="24" s="1"/>
  <c r="E89" i="24"/>
  <c r="F89" i="24"/>
  <c r="G89" i="24"/>
  <c r="H89" i="24"/>
  <c r="I89" i="24"/>
  <c r="Y89" i="24" s="1"/>
  <c r="J89" i="24"/>
  <c r="Z89" i="24" s="1"/>
  <c r="K89" i="24"/>
  <c r="L89" i="24"/>
  <c r="M89" i="24"/>
  <c r="AA89" i="24" s="1"/>
  <c r="Q89" i="24"/>
  <c r="R89" i="24"/>
  <c r="S89" i="24"/>
  <c r="T89" i="24"/>
  <c r="U89" i="24"/>
  <c r="AC89" i="24" s="1"/>
  <c r="V89" i="24"/>
  <c r="AD89" i="24" s="1"/>
  <c r="E90" i="24"/>
  <c r="F90" i="24"/>
  <c r="G90" i="24"/>
  <c r="H90" i="24"/>
  <c r="I90" i="24"/>
  <c r="Y90" i="24" s="1"/>
  <c r="J90" i="24"/>
  <c r="Z90" i="24" s="1"/>
  <c r="K90" i="24"/>
  <c r="L90" i="24"/>
  <c r="M90" i="24"/>
  <c r="AA90" i="24" s="1"/>
  <c r="Q90" i="24"/>
  <c r="R90" i="24"/>
  <c r="S90" i="24"/>
  <c r="T90" i="24"/>
  <c r="U90" i="24"/>
  <c r="AC90" i="24" s="1"/>
  <c r="V90" i="24"/>
  <c r="AD90" i="24" s="1"/>
  <c r="E91" i="24"/>
  <c r="F91" i="24"/>
  <c r="G91" i="24"/>
  <c r="H91" i="24"/>
  <c r="I91" i="24"/>
  <c r="Y91" i="24" s="1"/>
  <c r="J91" i="24"/>
  <c r="Z91" i="24" s="1"/>
  <c r="K91" i="24"/>
  <c r="L91" i="24"/>
  <c r="M91" i="24"/>
  <c r="AA91" i="24" s="1"/>
  <c r="Q91" i="24"/>
  <c r="R91" i="24"/>
  <c r="S91" i="24"/>
  <c r="T91" i="24"/>
  <c r="U91" i="24"/>
  <c r="AC91" i="24" s="1"/>
  <c r="V91" i="24"/>
  <c r="AD91" i="24" s="1"/>
  <c r="E92" i="24"/>
  <c r="F92" i="24"/>
  <c r="G92" i="24"/>
  <c r="H92" i="24"/>
  <c r="I92" i="24"/>
  <c r="Y92" i="24" s="1"/>
  <c r="J92" i="24"/>
  <c r="Z92" i="24" s="1"/>
  <c r="K92" i="24"/>
  <c r="L92" i="24"/>
  <c r="M92" i="24"/>
  <c r="AA92" i="24" s="1"/>
  <c r="Q92" i="24"/>
  <c r="R92" i="24"/>
  <c r="S92" i="24"/>
  <c r="T92" i="24"/>
  <c r="U92" i="24"/>
  <c r="AC92" i="24" s="1"/>
  <c r="V92" i="24"/>
  <c r="AD92" i="24" s="1"/>
  <c r="E93" i="24"/>
  <c r="F93" i="24"/>
  <c r="G93" i="24"/>
  <c r="H93" i="24"/>
  <c r="I93" i="24"/>
  <c r="Y93" i="24" s="1"/>
  <c r="J93" i="24"/>
  <c r="Z93" i="24" s="1"/>
  <c r="K93" i="24"/>
  <c r="L93" i="24"/>
  <c r="M93" i="24"/>
  <c r="AA93" i="24" s="1"/>
  <c r="Q93" i="24"/>
  <c r="R93" i="24"/>
  <c r="S93" i="24"/>
  <c r="T93" i="24"/>
  <c r="U93" i="24"/>
  <c r="AC93" i="24" s="1"/>
  <c r="V93" i="24"/>
  <c r="AD93" i="24" s="1"/>
  <c r="E94" i="24"/>
  <c r="F94" i="24"/>
  <c r="G94" i="24"/>
  <c r="H94" i="24"/>
  <c r="I94" i="24"/>
  <c r="Y94" i="24" s="1"/>
  <c r="J94" i="24"/>
  <c r="Z94" i="24" s="1"/>
  <c r="K94" i="24"/>
  <c r="L94" i="24"/>
  <c r="M94" i="24"/>
  <c r="AA94" i="24" s="1"/>
  <c r="Q94" i="24"/>
  <c r="R94" i="24"/>
  <c r="S94" i="24"/>
  <c r="T94" i="24"/>
  <c r="U94" i="24"/>
  <c r="AC94" i="24" s="1"/>
  <c r="V94" i="24"/>
  <c r="AD94" i="24" s="1"/>
  <c r="E95" i="24"/>
  <c r="F95" i="24"/>
  <c r="G95" i="24"/>
  <c r="H95" i="24"/>
  <c r="I95" i="24"/>
  <c r="Y95" i="24" s="1"/>
  <c r="J95" i="24"/>
  <c r="Z95" i="24" s="1"/>
  <c r="K95" i="24"/>
  <c r="L95" i="24"/>
  <c r="M95" i="24"/>
  <c r="AA95" i="24" s="1"/>
  <c r="Q95" i="24"/>
  <c r="R95" i="24"/>
  <c r="S95" i="24"/>
  <c r="T95" i="24"/>
  <c r="U95" i="24"/>
  <c r="AC95" i="24" s="1"/>
  <c r="V95" i="24"/>
  <c r="AD95" i="24" s="1"/>
  <c r="E96" i="24"/>
  <c r="F96" i="24"/>
  <c r="G96" i="24"/>
  <c r="H96" i="24"/>
  <c r="I96" i="24"/>
  <c r="Y96" i="24" s="1"/>
  <c r="J96" i="24"/>
  <c r="Z96" i="24" s="1"/>
  <c r="K96" i="24"/>
  <c r="L96" i="24"/>
  <c r="M96" i="24"/>
  <c r="AA96" i="24" s="1"/>
  <c r="Q96" i="24"/>
  <c r="R96" i="24"/>
  <c r="S96" i="24"/>
  <c r="T96" i="24"/>
  <c r="U96" i="24"/>
  <c r="AC96" i="24" s="1"/>
  <c r="V96" i="24"/>
  <c r="AD96" i="24" s="1"/>
  <c r="E97" i="24"/>
  <c r="F97" i="24"/>
  <c r="G97" i="24"/>
  <c r="H97" i="24"/>
  <c r="I97" i="24"/>
  <c r="Y97" i="24" s="1"/>
  <c r="J97" i="24"/>
  <c r="Z97" i="24" s="1"/>
  <c r="K97" i="24"/>
  <c r="L97" i="24"/>
  <c r="M97" i="24"/>
  <c r="AA97" i="24" s="1"/>
  <c r="Q97" i="24"/>
  <c r="R97" i="24"/>
  <c r="S97" i="24"/>
  <c r="T97" i="24"/>
  <c r="U97" i="24"/>
  <c r="AC97" i="24" s="1"/>
  <c r="V97" i="24"/>
  <c r="AD97" i="24" s="1"/>
  <c r="E98" i="24"/>
  <c r="F98" i="24"/>
  <c r="G98" i="24"/>
  <c r="H98" i="24"/>
  <c r="I98" i="24"/>
  <c r="Y98" i="24" s="1"/>
  <c r="J98" i="24"/>
  <c r="Z98" i="24" s="1"/>
  <c r="K98" i="24"/>
  <c r="L98" i="24"/>
  <c r="M98" i="24"/>
  <c r="AA98" i="24" s="1"/>
  <c r="Q98" i="24"/>
  <c r="R98" i="24"/>
  <c r="S98" i="24"/>
  <c r="T98" i="24"/>
  <c r="U98" i="24"/>
  <c r="AC98" i="24" s="1"/>
  <c r="V98" i="24"/>
  <c r="AD98" i="24" s="1"/>
  <c r="E99" i="24"/>
  <c r="F99" i="24"/>
  <c r="G99" i="24"/>
  <c r="H99" i="24"/>
  <c r="I99" i="24"/>
  <c r="Y99" i="24" s="1"/>
  <c r="J99" i="24"/>
  <c r="Z99" i="24" s="1"/>
  <c r="K99" i="24"/>
  <c r="L99" i="24"/>
  <c r="M99" i="24"/>
  <c r="AA99" i="24" s="1"/>
  <c r="Q99" i="24"/>
  <c r="R99" i="24"/>
  <c r="S99" i="24"/>
  <c r="T99" i="24"/>
  <c r="U99" i="24"/>
  <c r="AC99" i="24" s="1"/>
  <c r="V99" i="24"/>
  <c r="AD99" i="24" s="1"/>
  <c r="E100" i="24"/>
  <c r="F100" i="24"/>
  <c r="G100" i="24"/>
  <c r="H100" i="24"/>
  <c r="I100" i="24"/>
  <c r="Y100" i="24" s="1"/>
  <c r="J100" i="24"/>
  <c r="Z100" i="24" s="1"/>
  <c r="K100" i="24"/>
  <c r="L100" i="24"/>
  <c r="M100" i="24"/>
  <c r="AA100" i="24" s="1"/>
  <c r="Q100" i="24"/>
  <c r="R100" i="24"/>
  <c r="S100" i="24"/>
  <c r="T100" i="24"/>
  <c r="U100" i="24"/>
  <c r="AC100" i="24" s="1"/>
  <c r="V100" i="24"/>
  <c r="AD100" i="24" s="1"/>
  <c r="E101" i="24"/>
  <c r="F101" i="24"/>
  <c r="G101" i="24"/>
  <c r="H101" i="24"/>
  <c r="I101" i="24"/>
  <c r="Y101" i="24" s="1"/>
  <c r="J101" i="24"/>
  <c r="Z101" i="24" s="1"/>
  <c r="K101" i="24"/>
  <c r="L101" i="24"/>
  <c r="M101" i="24"/>
  <c r="AA101" i="24" s="1"/>
  <c r="Q101" i="24"/>
  <c r="R101" i="24"/>
  <c r="S101" i="24"/>
  <c r="T101" i="24"/>
  <c r="U101" i="24"/>
  <c r="AC101" i="24" s="1"/>
  <c r="V101" i="24"/>
  <c r="AD101" i="24" s="1"/>
  <c r="E102" i="24"/>
  <c r="F102" i="24"/>
  <c r="G102" i="24"/>
  <c r="H102" i="24"/>
  <c r="I102" i="24"/>
  <c r="Y102" i="24" s="1"/>
  <c r="J102" i="24"/>
  <c r="Z102" i="24" s="1"/>
  <c r="K102" i="24"/>
  <c r="L102" i="24"/>
  <c r="M102" i="24"/>
  <c r="AA102" i="24" s="1"/>
  <c r="Q102" i="24"/>
  <c r="R102" i="24"/>
  <c r="S102" i="24"/>
  <c r="T102" i="24"/>
  <c r="U102" i="24"/>
  <c r="AC102" i="24" s="1"/>
  <c r="V102" i="24"/>
  <c r="AD102" i="24" s="1"/>
  <c r="E103" i="24"/>
  <c r="F103" i="24"/>
  <c r="G103" i="24"/>
  <c r="H103" i="24"/>
  <c r="I103" i="24"/>
  <c r="Y103" i="24" s="1"/>
  <c r="J103" i="24"/>
  <c r="Z103" i="24" s="1"/>
  <c r="K103" i="24"/>
  <c r="L103" i="24"/>
  <c r="M103" i="24"/>
  <c r="AA103" i="24" s="1"/>
  <c r="Q103" i="24"/>
  <c r="R103" i="24"/>
  <c r="S103" i="24"/>
  <c r="T103" i="24"/>
  <c r="U103" i="24"/>
  <c r="AC103" i="24" s="1"/>
  <c r="V103" i="24"/>
  <c r="AD103" i="24" s="1"/>
  <c r="E104" i="24"/>
  <c r="F104" i="24"/>
  <c r="G104" i="24"/>
  <c r="H104" i="24"/>
  <c r="I104" i="24"/>
  <c r="Y104" i="24" s="1"/>
  <c r="J104" i="24"/>
  <c r="Z104" i="24" s="1"/>
  <c r="K104" i="24"/>
  <c r="L104" i="24"/>
  <c r="M104" i="24"/>
  <c r="AA104" i="24" s="1"/>
  <c r="Q104" i="24"/>
  <c r="R104" i="24"/>
  <c r="S104" i="24"/>
  <c r="T104" i="24"/>
  <c r="U104" i="24"/>
  <c r="AC104" i="24" s="1"/>
  <c r="V104" i="24"/>
  <c r="AD104" i="24" s="1"/>
  <c r="E105" i="24"/>
  <c r="F105" i="24"/>
  <c r="G105" i="24"/>
  <c r="H105" i="24"/>
  <c r="I105" i="24"/>
  <c r="Y105" i="24" s="1"/>
  <c r="J105" i="24"/>
  <c r="Z105" i="24" s="1"/>
  <c r="K105" i="24"/>
  <c r="L105" i="24"/>
  <c r="M105" i="24"/>
  <c r="AA105" i="24" s="1"/>
  <c r="Q105" i="24"/>
  <c r="R105" i="24"/>
  <c r="S105" i="24"/>
  <c r="T105" i="24"/>
  <c r="U105" i="24"/>
  <c r="AC105" i="24" s="1"/>
  <c r="V105" i="24"/>
  <c r="AD105" i="24" s="1"/>
  <c r="E106" i="24"/>
  <c r="F106" i="24"/>
  <c r="G106" i="24"/>
  <c r="H106" i="24"/>
  <c r="I106" i="24"/>
  <c r="Y106" i="24" s="1"/>
  <c r="J106" i="24"/>
  <c r="Z106" i="24" s="1"/>
  <c r="K106" i="24"/>
  <c r="L106" i="24"/>
  <c r="M106" i="24"/>
  <c r="AA106" i="24" s="1"/>
  <c r="Q106" i="24"/>
  <c r="R106" i="24"/>
  <c r="S106" i="24"/>
  <c r="T106" i="24"/>
  <c r="U106" i="24"/>
  <c r="AC106" i="24" s="1"/>
  <c r="V106" i="24"/>
  <c r="AD106" i="24" s="1"/>
  <c r="E107" i="24"/>
  <c r="F107" i="24"/>
  <c r="G107" i="24"/>
  <c r="H107" i="24"/>
  <c r="I107" i="24"/>
  <c r="Y107" i="24" s="1"/>
  <c r="J107" i="24"/>
  <c r="Z107" i="24" s="1"/>
  <c r="K107" i="24"/>
  <c r="L107" i="24"/>
  <c r="M107" i="24"/>
  <c r="AA107" i="24" s="1"/>
  <c r="Q107" i="24"/>
  <c r="R107" i="24"/>
  <c r="S107" i="24"/>
  <c r="T107" i="24"/>
  <c r="U107" i="24"/>
  <c r="AC107" i="24" s="1"/>
  <c r="V107" i="24"/>
  <c r="AD107" i="24" s="1"/>
  <c r="E108" i="24"/>
  <c r="F108" i="24"/>
  <c r="G108" i="24"/>
  <c r="H108" i="24"/>
  <c r="I108" i="24"/>
  <c r="Y108" i="24" s="1"/>
  <c r="J108" i="24"/>
  <c r="Z108" i="24" s="1"/>
  <c r="K108" i="24"/>
  <c r="L108" i="24"/>
  <c r="M108" i="24"/>
  <c r="AA108" i="24" s="1"/>
  <c r="Q108" i="24"/>
  <c r="R108" i="24"/>
  <c r="S108" i="24"/>
  <c r="T108" i="24"/>
  <c r="U108" i="24"/>
  <c r="AC108" i="24" s="1"/>
  <c r="V108" i="24"/>
  <c r="AD108" i="24" s="1"/>
  <c r="E109" i="24"/>
  <c r="F109" i="24"/>
  <c r="G109" i="24"/>
  <c r="H109" i="24"/>
  <c r="I109" i="24"/>
  <c r="Y109" i="24" s="1"/>
  <c r="J109" i="24"/>
  <c r="Z109" i="24" s="1"/>
  <c r="K109" i="24"/>
  <c r="L109" i="24"/>
  <c r="M109" i="24"/>
  <c r="AA109" i="24" s="1"/>
  <c r="Q109" i="24"/>
  <c r="R109" i="24"/>
  <c r="S109" i="24"/>
  <c r="T109" i="24"/>
  <c r="U109" i="24"/>
  <c r="AC109" i="24" s="1"/>
  <c r="V109" i="24"/>
  <c r="AD109" i="24" s="1"/>
  <c r="E110" i="24"/>
  <c r="F110" i="24"/>
  <c r="G110" i="24"/>
  <c r="H110" i="24"/>
  <c r="I110" i="24"/>
  <c r="Y110" i="24" s="1"/>
  <c r="J110" i="24"/>
  <c r="Z110" i="24" s="1"/>
  <c r="K110" i="24"/>
  <c r="L110" i="24"/>
  <c r="M110" i="24"/>
  <c r="AA110" i="24" s="1"/>
  <c r="Q110" i="24"/>
  <c r="R110" i="24"/>
  <c r="S110" i="24"/>
  <c r="T110" i="24"/>
  <c r="U110" i="24"/>
  <c r="AC110" i="24" s="1"/>
  <c r="V110" i="24"/>
  <c r="AD110" i="24" s="1"/>
  <c r="E111" i="24"/>
  <c r="F111" i="24"/>
  <c r="G111" i="24"/>
  <c r="H111" i="24"/>
  <c r="I111" i="24"/>
  <c r="Y111" i="24" s="1"/>
  <c r="J111" i="24"/>
  <c r="Z111" i="24" s="1"/>
  <c r="K111" i="24"/>
  <c r="L111" i="24"/>
  <c r="M111" i="24"/>
  <c r="AA111" i="24" s="1"/>
  <c r="Q111" i="24"/>
  <c r="R111" i="24"/>
  <c r="S111" i="24"/>
  <c r="T111" i="24"/>
  <c r="U111" i="24"/>
  <c r="AC111" i="24" s="1"/>
  <c r="V111" i="24"/>
  <c r="AD111" i="24" s="1"/>
  <c r="E112" i="24"/>
  <c r="F112" i="24"/>
  <c r="G112" i="24"/>
  <c r="H112" i="24"/>
  <c r="I112" i="24"/>
  <c r="Y112" i="24" s="1"/>
  <c r="J112" i="24"/>
  <c r="Z112" i="24" s="1"/>
  <c r="K112" i="24"/>
  <c r="L112" i="24"/>
  <c r="M112" i="24"/>
  <c r="AA112" i="24" s="1"/>
  <c r="Q112" i="24"/>
  <c r="R112" i="24"/>
  <c r="S112" i="24"/>
  <c r="T112" i="24"/>
  <c r="U112" i="24"/>
  <c r="AC112" i="24" s="1"/>
  <c r="V112" i="24"/>
  <c r="AD112" i="24" s="1"/>
  <c r="E113" i="24"/>
  <c r="F113" i="24"/>
  <c r="G113" i="24"/>
  <c r="H113" i="24"/>
  <c r="I113" i="24"/>
  <c r="Y113" i="24" s="1"/>
  <c r="J113" i="24"/>
  <c r="Z113" i="24" s="1"/>
  <c r="K113" i="24"/>
  <c r="L113" i="24"/>
  <c r="M113" i="24"/>
  <c r="AA113" i="24" s="1"/>
  <c r="Q113" i="24"/>
  <c r="R113" i="24"/>
  <c r="S113" i="24"/>
  <c r="T113" i="24"/>
  <c r="U113" i="24"/>
  <c r="AC113" i="24" s="1"/>
  <c r="V113" i="24"/>
  <c r="AD113" i="24" s="1"/>
  <c r="E114" i="24"/>
  <c r="F114" i="24"/>
  <c r="G114" i="24"/>
  <c r="H114" i="24"/>
  <c r="I114" i="24"/>
  <c r="Y114" i="24" s="1"/>
  <c r="J114" i="24"/>
  <c r="Z114" i="24" s="1"/>
  <c r="K114" i="24"/>
  <c r="L114" i="24"/>
  <c r="M114" i="24"/>
  <c r="AA114" i="24" s="1"/>
  <c r="Q114" i="24"/>
  <c r="R114" i="24"/>
  <c r="S114" i="24"/>
  <c r="T114" i="24"/>
  <c r="U114" i="24"/>
  <c r="AC114" i="24" s="1"/>
  <c r="V114" i="24"/>
  <c r="AD114" i="24" s="1"/>
  <c r="E115" i="24"/>
  <c r="F115" i="24"/>
  <c r="G115" i="24"/>
  <c r="H115" i="24"/>
  <c r="I115" i="24"/>
  <c r="Y115" i="24" s="1"/>
  <c r="J115" i="24"/>
  <c r="Z115" i="24" s="1"/>
  <c r="K115" i="24"/>
  <c r="L115" i="24"/>
  <c r="M115" i="24"/>
  <c r="AA115" i="24" s="1"/>
  <c r="Q115" i="24"/>
  <c r="R115" i="24"/>
  <c r="S115" i="24"/>
  <c r="T115" i="24"/>
  <c r="U115" i="24"/>
  <c r="AC115" i="24" s="1"/>
  <c r="V115" i="24"/>
  <c r="AD115" i="24" s="1"/>
  <c r="E116" i="24"/>
  <c r="F116" i="24"/>
  <c r="G116" i="24"/>
  <c r="H116" i="24"/>
  <c r="I116" i="24"/>
  <c r="Y116" i="24" s="1"/>
  <c r="J116" i="24"/>
  <c r="Z116" i="24" s="1"/>
  <c r="K116" i="24"/>
  <c r="L116" i="24"/>
  <c r="M116" i="24"/>
  <c r="AA116" i="24" s="1"/>
  <c r="Q116" i="24"/>
  <c r="R116" i="24"/>
  <c r="S116" i="24"/>
  <c r="T116" i="24"/>
  <c r="U116" i="24"/>
  <c r="AC116" i="24" s="1"/>
  <c r="V116" i="24"/>
  <c r="AD116" i="24" s="1"/>
  <c r="E117" i="24"/>
  <c r="F117" i="24"/>
  <c r="G117" i="24"/>
  <c r="H117" i="24"/>
  <c r="I117" i="24"/>
  <c r="Y117" i="24" s="1"/>
  <c r="J117" i="24"/>
  <c r="Z117" i="24" s="1"/>
  <c r="K117" i="24"/>
  <c r="L117" i="24"/>
  <c r="M117" i="24"/>
  <c r="AA117" i="24" s="1"/>
  <c r="Q117" i="24"/>
  <c r="R117" i="24"/>
  <c r="S117" i="24"/>
  <c r="T117" i="24"/>
  <c r="U117" i="24"/>
  <c r="AC117" i="24" s="1"/>
  <c r="V117" i="24"/>
  <c r="AD117" i="24" s="1"/>
  <c r="E118" i="24"/>
  <c r="F118" i="24"/>
  <c r="G118" i="24"/>
  <c r="H118" i="24"/>
  <c r="I118" i="24"/>
  <c r="Y118" i="24" s="1"/>
  <c r="J118" i="24"/>
  <c r="Z118" i="24" s="1"/>
  <c r="K118" i="24"/>
  <c r="L118" i="24"/>
  <c r="M118" i="24"/>
  <c r="AA118" i="24" s="1"/>
  <c r="Q118" i="24"/>
  <c r="R118" i="24"/>
  <c r="S118" i="24"/>
  <c r="T118" i="24"/>
  <c r="U118" i="24"/>
  <c r="AC118" i="24" s="1"/>
  <c r="V118" i="24"/>
  <c r="AD118" i="24" s="1"/>
  <c r="E119" i="24"/>
  <c r="F119" i="24"/>
  <c r="G119" i="24"/>
  <c r="H119" i="24"/>
  <c r="I119" i="24"/>
  <c r="Y119" i="24" s="1"/>
  <c r="J119" i="24"/>
  <c r="Z119" i="24" s="1"/>
  <c r="K119" i="24"/>
  <c r="L119" i="24"/>
  <c r="M119" i="24"/>
  <c r="AA119" i="24" s="1"/>
  <c r="Q119" i="24"/>
  <c r="R119" i="24"/>
  <c r="S119" i="24"/>
  <c r="T119" i="24"/>
  <c r="U119" i="24"/>
  <c r="AC119" i="24" s="1"/>
  <c r="V119" i="24"/>
  <c r="AD119" i="24" s="1"/>
  <c r="E120" i="24"/>
  <c r="F120" i="24"/>
  <c r="G120" i="24"/>
  <c r="H120" i="24"/>
  <c r="I120" i="24"/>
  <c r="Y120" i="24" s="1"/>
  <c r="J120" i="24"/>
  <c r="Z120" i="24" s="1"/>
  <c r="K120" i="24"/>
  <c r="L120" i="24"/>
  <c r="M120" i="24"/>
  <c r="AA120" i="24" s="1"/>
  <c r="Q120" i="24"/>
  <c r="R120" i="24"/>
  <c r="S120" i="24"/>
  <c r="T120" i="24"/>
  <c r="U120" i="24"/>
  <c r="AC120" i="24" s="1"/>
  <c r="V120" i="24"/>
  <c r="AD120" i="24" s="1"/>
  <c r="E121" i="24"/>
  <c r="F121" i="24"/>
  <c r="G121" i="24"/>
  <c r="H121" i="24"/>
  <c r="I121" i="24"/>
  <c r="Y121" i="24" s="1"/>
  <c r="J121" i="24"/>
  <c r="Z121" i="24" s="1"/>
  <c r="K121" i="24"/>
  <c r="L121" i="24"/>
  <c r="M121" i="24"/>
  <c r="AA121" i="24" s="1"/>
  <c r="Q121" i="24"/>
  <c r="R121" i="24"/>
  <c r="S121" i="24"/>
  <c r="T121" i="24"/>
  <c r="U121" i="24"/>
  <c r="AC121" i="24" s="1"/>
  <c r="V121" i="24"/>
  <c r="AD121" i="24" s="1"/>
  <c r="E122" i="24"/>
  <c r="F122" i="24"/>
  <c r="G122" i="24"/>
  <c r="H122" i="24"/>
  <c r="I122" i="24"/>
  <c r="Y122" i="24" s="1"/>
  <c r="J122" i="24"/>
  <c r="Z122" i="24" s="1"/>
  <c r="K122" i="24"/>
  <c r="L122" i="24"/>
  <c r="M122" i="24"/>
  <c r="AA122" i="24" s="1"/>
  <c r="Q122" i="24"/>
  <c r="R122" i="24"/>
  <c r="S122" i="24"/>
  <c r="T122" i="24"/>
  <c r="U122" i="24"/>
  <c r="AC122" i="24" s="1"/>
  <c r="V122" i="24"/>
  <c r="AD122" i="24" s="1"/>
  <c r="E123" i="24"/>
  <c r="F123" i="24"/>
  <c r="G123" i="24"/>
  <c r="H123" i="24"/>
  <c r="I123" i="24"/>
  <c r="Y123" i="24" s="1"/>
  <c r="J123" i="24"/>
  <c r="Z123" i="24" s="1"/>
  <c r="K123" i="24"/>
  <c r="L123" i="24"/>
  <c r="M123" i="24"/>
  <c r="AA123" i="24" s="1"/>
  <c r="Q123" i="24"/>
  <c r="R123" i="24"/>
  <c r="S123" i="24"/>
  <c r="T123" i="24"/>
  <c r="U123" i="24"/>
  <c r="AC123" i="24" s="1"/>
  <c r="V123" i="24"/>
  <c r="AD123" i="24" s="1"/>
  <c r="E124" i="24"/>
  <c r="F124" i="24"/>
  <c r="G124" i="24"/>
  <c r="H124" i="24"/>
  <c r="I124" i="24"/>
  <c r="Y124" i="24" s="1"/>
  <c r="J124" i="24"/>
  <c r="Z124" i="24" s="1"/>
  <c r="K124" i="24"/>
  <c r="L124" i="24"/>
  <c r="M124" i="24"/>
  <c r="AA124" i="24" s="1"/>
  <c r="Q124" i="24"/>
  <c r="R124" i="24"/>
  <c r="S124" i="24"/>
  <c r="T124" i="24"/>
  <c r="U124" i="24"/>
  <c r="AC124" i="24" s="1"/>
  <c r="V124" i="24"/>
  <c r="AD124" i="24" s="1"/>
  <c r="E125" i="24"/>
  <c r="F125" i="24"/>
  <c r="G125" i="24"/>
  <c r="H125" i="24"/>
  <c r="I125" i="24"/>
  <c r="Y125" i="24" s="1"/>
  <c r="J125" i="24"/>
  <c r="Z125" i="24" s="1"/>
  <c r="K125" i="24"/>
  <c r="L125" i="24"/>
  <c r="M125" i="24"/>
  <c r="AA125" i="24" s="1"/>
  <c r="Q125" i="24"/>
  <c r="R125" i="24"/>
  <c r="S125" i="24"/>
  <c r="T125" i="24"/>
  <c r="U125" i="24"/>
  <c r="AC125" i="24" s="1"/>
  <c r="V125" i="24"/>
  <c r="AD125" i="24" s="1"/>
  <c r="E126" i="24"/>
  <c r="F126" i="24"/>
  <c r="G126" i="24"/>
  <c r="H126" i="24"/>
  <c r="I126" i="24"/>
  <c r="Y126" i="24" s="1"/>
  <c r="J126" i="24"/>
  <c r="Z126" i="24" s="1"/>
  <c r="K126" i="24"/>
  <c r="L126" i="24"/>
  <c r="M126" i="24"/>
  <c r="AA126" i="24" s="1"/>
  <c r="Q126" i="24"/>
  <c r="R126" i="24"/>
  <c r="S126" i="24"/>
  <c r="T126" i="24"/>
  <c r="U126" i="24"/>
  <c r="AC126" i="24" s="1"/>
  <c r="V126" i="24"/>
  <c r="AD126" i="24" s="1"/>
  <c r="E127" i="24"/>
  <c r="F127" i="24"/>
  <c r="G127" i="24"/>
  <c r="H127" i="24"/>
  <c r="I127" i="24"/>
  <c r="Y127" i="24" s="1"/>
  <c r="J127" i="24"/>
  <c r="Z127" i="24" s="1"/>
  <c r="K127" i="24"/>
  <c r="L127" i="24"/>
  <c r="M127" i="24"/>
  <c r="AA127" i="24" s="1"/>
  <c r="Q127" i="24"/>
  <c r="R127" i="24"/>
  <c r="S127" i="24"/>
  <c r="T127" i="24"/>
  <c r="U127" i="24"/>
  <c r="AC127" i="24" s="1"/>
  <c r="V127" i="24"/>
  <c r="AD127" i="24" s="1"/>
  <c r="E128" i="24"/>
  <c r="F128" i="24"/>
  <c r="G128" i="24"/>
  <c r="H128" i="24"/>
  <c r="I128" i="24"/>
  <c r="Y128" i="24" s="1"/>
  <c r="J128" i="24"/>
  <c r="Z128" i="24" s="1"/>
  <c r="K128" i="24"/>
  <c r="L128" i="24"/>
  <c r="M128" i="24"/>
  <c r="AA128" i="24" s="1"/>
  <c r="Q128" i="24"/>
  <c r="R128" i="24"/>
  <c r="S128" i="24"/>
  <c r="T128" i="24"/>
  <c r="U128" i="24"/>
  <c r="AC128" i="24" s="1"/>
  <c r="V128" i="24"/>
  <c r="AD128" i="24" s="1"/>
  <c r="E129" i="24"/>
  <c r="F129" i="24"/>
  <c r="G129" i="24"/>
  <c r="H129" i="24"/>
  <c r="I129" i="24"/>
  <c r="Y129" i="24" s="1"/>
  <c r="J129" i="24"/>
  <c r="Z129" i="24" s="1"/>
  <c r="K129" i="24"/>
  <c r="L129" i="24"/>
  <c r="M129" i="24"/>
  <c r="AA129" i="24" s="1"/>
  <c r="Q129" i="24"/>
  <c r="R129" i="24"/>
  <c r="S129" i="24"/>
  <c r="T129" i="24"/>
  <c r="U129" i="24"/>
  <c r="AC129" i="24" s="1"/>
  <c r="V129" i="24"/>
  <c r="AD129" i="24" s="1"/>
  <c r="E130" i="24"/>
  <c r="F130" i="24"/>
  <c r="G130" i="24"/>
  <c r="H130" i="24"/>
  <c r="I130" i="24"/>
  <c r="Y130" i="24" s="1"/>
  <c r="J130" i="24"/>
  <c r="Z130" i="24" s="1"/>
  <c r="K130" i="24"/>
  <c r="L130" i="24"/>
  <c r="M130" i="24"/>
  <c r="AA130" i="24" s="1"/>
  <c r="Q130" i="24"/>
  <c r="R130" i="24"/>
  <c r="S130" i="24"/>
  <c r="T130" i="24"/>
  <c r="U130" i="24"/>
  <c r="AC130" i="24" s="1"/>
  <c r="V130" i="24"/>
  <c r="AD130" i="24" s="1"/>
  <c r="E131" i="24"/>
  <c r="F131" i="24"/>
  <c r="G131" i="24"/>
  <c r="H131" i="24"/>
  <c r="I131" i="24"/>
  <c r="Y131" i="24" s="1"/>
  <c r="J131" i="24"/>
  <c r="Z131" i="24" s="1"/>
  <c r="K131" i="24"/>
  <c r="L131" i="24"/>
  <c r="M131" i="24"/>
  <c r="AA131" i="24" s="1"/>
  <c r="Q131" i="24"/>
  <c r="R131" i="24"/>
  <c r="S131" i="24"/>
  <c r="T131" i="24"/>
  <c r="U131" i="24"/>
  <c r="AC131" i="24" s="1"/>
  <c r="V131" i="24"/>
  <c r="AD131" i="24" s="1"/>
  <c r="E132" i="24"/>
  <c r="F132" i="24"/>
  <c r="G132" i="24"/>
  <c r="H132" i="24"/>
  <c r="I132" i="24"/>
  <c r="Y132" i="24" s="1"/>
  <c r="J132" i="24"/>
  <c r="Z132" i="24" s="1"/>
  <c r="K132" i="24"/>
  <c r="L132" i="24"/>
  <c r="M132" i="24"/>
  <c r="AA132" i="24" s="1"/>
  <c r="Q132" i="24"/>
  <c r="R132" i="24"/>
  <c r="S132" i="24"/>
  <c r="T132" i="24"/>
  <c r="U132" i="24"/>
  <c r="AC132" i="24" s="1"/>
  <c r="V132" i="24"/>
  <c r="AD132" i="24" s="1"/>
  <c r="E133" i="24"/>
  <c r="F133" i="24"/>
  <c r="G133" i="24"/>
  <c r="H133" i="24"/>
  <c r="I133" i="24"/>
  <c r="Y133" i="24" s="1"/>
  <c r="J133" i="24"/>
  <c r="Z133" i="24" s="1"/>
  <c r="K133" i="24"/>
  <c r="L133" i="24"/>
  <c r="M133" i="24"/>
  <c r="AA133" i="24" s="1"/>
  <c r="Q133" i="24"/>
  <c r="R133" i="24"/>
  <c r="S133" i="24"/>
  <c r="T133" i="24"/>
  <c r="U133" i="24"/>
  <c r="AC133" i="24" s="1"/>
  <c r="V133" i="24"/>
  <c r="AD133" i="24" s="1"/>
  <c r="E134" i="24"/>
  <c r="F134" i="24"/>
  <c r="G134" i="24"/>
  <c r="H134" i="24"/>
  <c r="I134" i="24"/>
  <c r="Y134" i="24" s="1"/>
  <c r="J134" i="24"/>
  <c r="Z134" i="24" s="1"/>
  <c r="K134" i="24"/>
  <c r="L134" i="24"/>
  <c r="M134" i="24"/>
  <c r="AA134" i="24" s="1"/>
  <c r="Q134" i="24"/>
  <c r="R134" i="24"/>
  <c r="S134" i="24"/>
  <c r="T134" i="24"/>
  <c r="U134" i="24"/>
  <c r="AC134" i="24" s="1"/>
  <c r="V134" i="24"/>
  <c r="AD134" i="24" s="1"/>
  <c r="E135" i="24"/>
  <c r="F135" i="24"/>
  <c r="G135" i="24"/>
  <c r="H135" i="24"/>
  <c r="I135" i="24"/>
  <c r="Y135" i="24" s="1"/>
  <c r="J135" i="24"/>
  <c r="Z135" i="24" s="1"/>
  <c r="K135" i="24"/>
  <c r="L135" i="24"/>
  <c r="M135" i="24"/>
  <c r="AA135" i="24" s="1"/>
  <c r="Q135" i="24"/>
  <c r="R135" i="24"/>
  <c r="S135" i="24"/>
  <c r="T135" i="24"/>
  <c r="U135" i="24"/>
  <c r="AC135" i="24" s="1"/>
  <c r="V135" i="24"/>
  <c r="AD135" i="24" s="1"/>
  <c r="E136" i="24"/>
  <c r="F136" i="24"/>
  <c r="G136" i="24"/>
  <c r="H136" i="24"/>
  <c r="I136" i="24"/>
  <c r="Y136" i="24" s="1"/>
  <c r="J136" i="24"/>
  <c r="Z136" i="24" s="1"/>
  <c r="K136" i="24"/>
  <c r="L136" i="24"/>
  <c r="M136" i="24"/>
  <c r="AA136" i="24" s="1"/>
  <c r="Q136" i="24"/>
  <c r="R136" i="24"/>
  <c r="S136" i="24"/>
  <c r="T136" i="24"/>
  <c r="U136" i="24"/>
  <c r="AC136" i="24" s="1"/>
  <c r="V136" i="24"/>
  <c r="AD136" i="24" s="1"/>
  <c r="E137" i="24"/>
  <c r="F137" i="24"/>
  <c r="G137" i="24"/>
  <c r="H137" i="24"/>
  <c r="I137" i="24"/>
  <c r="Y137" i="24" s="1"/>
  <c r="J137" i="24"/>
  <c r="Z137" i="24" s="1"/>
  <c r="K137" i="24"/>
  <c r="L137" i="24"/>
  <c r="M137" i="24"/>
  <c r="AA137" i="24" s="1"/>
  <c r="Q137" i="24"/>
  <c r="R137" i="24"/>
  <c r="S137" i="24"/>
  <c r="T137" i="24"/>
  <c r="U137" i="24"/>
  <c r="AC137" i="24" s="1"/>
  <c r="V137" i="24"/>
  <c r="AD137" i="24" s="1"/>
  <c r="E138" i="24"/>
  <c r="F138" i="24"/>
  <c r="G138" i="24"/>
  <c r="H138" i="24"/>
  <c r="I138" i="24"/>
  <c r="Y138" i="24" s="1"/>
  <c r="J138" i="24"/>
  <c r="Z138" i="24" s="1"/>
  <c r="K138" i="24"/>
  <c r="L138" i="24"/>
  <c r="M138" i="24"/>
  <c r="AA138" i="24" s="1"/>
  <c r="Q138" i="24"/>
  <c r="R138" i="24"/>
  <c r="S138" i="24"/>
  <c r="T138" i="24"/>
  <c r="U138" i="24"/>
  <c r="AC138" i="24" s="1"/>
  <c r="V138" i="24"/>
  <c r="AD138" i="24" s="1"/>
  <c r="E139" i="24"/>
  <c r="F139" i="24"/>
  <c r="G139" i="24"/>
  <c r="H139" i="24"/>
  <c r="I139" i="24"/>
  <c r="Y139" i="24" s="1"/>
  <c r="J139" i="24"/>
  <c r="Z139" i="24" s="1"/>
  <c r="K139" i="24"/>
  <c r="L139" i="24"/>
  <c r="M139" i="24"/>
  <c r="AA139" i="24" s="1"/>
  <c r="Q139" i="24"/>
  <c r="R139" i="24"/>
  <c r="S139" i="24"/>
  <c r="T139" i="24"/>
  <c r="U139" i="24"/>
  <c r="AC139" i="24" s="1"/>
  <c r="V139" i="24"/>
  <c r="AD139" i="24" s="1"/>
  <c r="E140" i="24"/>
  <c r="F140" i="24"/>
  <c r="G140" i="24"/>
  <c r="H140" i="24"/>
  <c r="I140" i="24"/>
  <c r="Y140" i="24" s="1"/>
  <c r="J140" i="24"/>
  <c r="Z140" i="24" s="1"/>
  <c r="K140" i="24"/>
  <c r="L140" i="24"/>
  <c r="M140" i="24"/>
  <c r="AA140" i="24" s="1"/>
  <c r="Q140" i="24"/>
  <c r="R140" i="24"/>
  <c r="S140" i="24"/>
  <c r="T140" i="24"/>
  <c r="U140" i="24"/>
  <c r="AC140" i="24" s="1"/>
  <c r="V140" i="24"/>
  <c r="AD140" i="24" s="1"/>
  <c r="E141" i="24"/>
  <c r="F141" i="24"/>
  <c r="G141" i="24"/>
  <c r="H141" i="24"/>
  <c r="I141" i="24"/>
  <c r="Y141" i="24" s="1"/>
  <c r="J141" i="24"/>
  <c r="Z141" i="24" s="1"/>
  <c r="K141" i="24"/>
  <c r="L141" i="24"/>
  <c r="M141" i="24"/>
  <c r="AA141" i="24" s="1"/>
  <c r="Q141" i="24"/>
  <c r="R141" i="24"/>
  <c r="S141" i="24"/>
  <c r="T141" i="24"/>
  <c r="U141" i="24"/>
  <c r="AC141" i="24" s="1"/>
  <c r="V141" i="24"/>
  <c r="AD141" i="24" s="1"/>
  <c r="E142" i="24"/>
  <c r="F142" i="24"/>
  <c r="G142" i="24"/>
  <c r="H142" i="24"/>
  <c r="I142" i="24"/>
  <c r="Y142" i="24" s="1"/>
  <c r="J142" i="24"/>
  <c r="Z142" i="24" s="1"/>
  <c r="K142" i="24"/>
  <c r="L142" i="24"/>
  <c r="M142" i="24"/>
  <c r="AA142" i="24" s="1"/>
  <c r="Q142" i="24"/>
  <c r="R142" i="24"/>
  <c r="S142" i="24"/>
  <c r="T142" i="24"/>
  <c r="U142" i="24"/>
  <c r="AC142" i="24" s="1"/>
  <c r="V142" i="24"/>
  <c r="AD142" i="24" s="1"/>
  <c r="E143" i="24"/>
  <c r="F143" i="24"/>
  <c r="G143" i="24"/>
  <c r="H143" i="24"/>
  <c r="I143" i="24"/>
  <c r="Y143" i="24" s="1"/>
  <c r="J143" i="24"/>
  <c r="Z143" i="24" s="1"/>
  <c r="K143" i="24"/>
  <c r="L143" i="24"/>
  <c r="M143" i="24"/>
  <c r="AA143" i="24" s="1"/>
  <c r="Q143" i="24"/>
  <c r="R143" i="24"/>
  <c r="S143" i="24"/>
  <c r="T143" i="24"/>
  <c r="U143" i="24"/>
  <c r="AC143" i="24" s="1"/>
  <c r="V143" i="24"/>
  <c r="AD143" i="24" s="1"/>
  <c r="E144" i="24"/>
  <c r="F144" i="24"/>
  <c r="G144" i="24"/>
  <c r="H144" i="24"/>
  <c r="I144" i="24"/>
  <c r="Y144" i="24" s="1"/>
  <c r="J144" i="24"/>
  <c r="Z144" i="24" s="1"/>
  <c r="K144" i="24"/>
  <c r="L144" i="24"/>
  <c r="M144" i="24"/>
  <c r="AA144" i="24" s="1"/>
  <c r="Q144" i="24"/>
  <c r="R144" i="24"/>
  <c r="S144" i="24"/>
  <c r="T144" i="24"/>
  <c r="U144" i="24"/>
  <c r="AC144" i="24" s="1"/>
  <c r="V144" i="24"/>
  <c r="AD144" i="24" s="1"/>
  <c r="E145" i="24"/>
  <c r="F145" i="24"/>
  <c r="G145" i="24"/>
  <c r="H145" i="24"/>
  <c r="I145" i="24"/>
  <c r="Y145" i="24" s="1"/>
  <c r="J145" i="24"/>
  <c r="Z145" i="24" s="1"/>
  <c r="K145" i="24"/>
  <c r="L145" i="24"/>
  <c r="M145" i="24"/>
  <c r="AA145" i="24" s="1"/>
  <c r="Q145" i="24"/>
  <c r="R145" i="24"/>
  <c r="S145" i="24"/>
  <c r="T145" i="24"/>
  <c r="U145" i="24"/>
  <c r="AC145" i="24" s="1"/>
  <c r="V145" i="24"/>
  <c r="AD145" i="24" s="1"/>
  <c r="E146" i="24"/>
  <c r="F146" i="24"/>
  <c r="G146" i="24"/>
  <c r="H146" i="24"/>
  <c r="I146" i="24"/>
  <c r="Y146" i="24" s="1"/>
  <c r="J146" i="24"/>
  <c r="Z146" i="24" s="1"/>
  <c r="K146" i="24"/>
  <c r="L146" i="24"/>
  <c r="M146" i="24"/>
  <c r="AA146" i="24" s="1"/>
  <c r="Q146" i="24"/>
  <c r="R146" i="24"/>
  <c r="S146" i="24"/>
  <c r="T146" i="24"/>
  <c r="U146" i="24"/>
  <c r="AC146" i="24" s="1"/>
  <c r="V146" i="24"/>
  <c r="AD146" i="24" s="1"/>
  <c r="E147" i="24"/>
  <c r="F147" i="24"/>
  <c r="G147" i="24"/>
  <c r="H147" i="24"/>
  <c r="I147" i="24"/>
  <c r="Y147" i="24" s="1"/>
  <c r="J147" i="24"/>
  <c r="Z147" i="24" s="1"/>
  <c r="K147" i="24"/>
  <c r="L147" i="24"/>
  <c r="M147" i="24"/>
  <c r="AA147" i="24" s="1"/>
  <c r="Q147" i="24"/>
  <c r="R147" i="24"/>
  <c r="S147" i="24"/>
  <c r="T147" i="24"/>
  <c r="U147" i="24"/>
  <c r="AC147" i="24" s="1"/>
  <c r="V147" i="24"/>
  <c r="AD147" i="24" s="1"/>
  <c r="E148" i="24"/>
  <c r="F148" i="24"/>
  <c r="G148" i="24"/>
  <c r="H148" i="24"/>
  <c r="I148" i="24"/>
  <c r="Y148" i="24" s="1"/>
  <c r="J148" i="24"/>
  <c r="Z148" i="24" s="1"/>
  <c r="K148" i="24"/>
  <c r="L148" i="24"/>
  <c r="M148" i="24"/>
  <c r="AA148" i="24" s="1"/>
  <c r="Q148" i="24"/>
  <c r="R148" i="24"/>
  <c r="S148" i="24"/>
  <c r="T148" i="24"/>
  <c r="U148" i="24"/>
  <c r="AC148" i="24" s="1"/>
  <c r="V148" i="24"/>
  <c r="AD148" i="24" s="1"/>
  <c r="E149" i="24"/>
  <c r="F149" i="24"/>
  <c r="G149" i="24"/>
  <c r="H149" i="24"/>
  <c r="I149" i="24"/>
  <c r="Y149" i="24" s="1"/>
  <c r="J149" i="24"/>
  <c r="Z149" i="24" s="1"/>
  <c r="K149" i="24"/>
  <c r="L149" i="24"/>
  <c r="M149" i="24"/>
  <c r="AA149" i="24" s="1"/>
  <c r="Q149" i="24"/>
  <c r="R149" i="24"/>
  <c r="S149" i="24"/>
  <c r="T149" i="24"/>
  <c r="U149" i="24"/>
  <c r="AC149" i="24" s="1"/>
  <c r="V149" i="24"/>
  <c r="AD149" i="24" s="1"/>
  <c r="E150" i="24"/>
  <c r="F150" i="24"/>
  <c r="G150" i="24"/>
  <c r="H150" i="24"/>
  <c r="I150" i="24"/>
  <c r="Y150" i="24" s="1"/>
  <c r="J150" i="24"/>
  <c r="Z150" i="24" s="1"/>
  <c r="K150" i="24"/>
  <c r="L150" i="24"/>
  <c r="M150" i="24"/>
  <c r="AA150" i="24" s="1"/>
  <c r="Q150" i="24"/>
  <c r="R150" i="24"/>
  <c r="S150" i="24"/>
  <c r="T150" i="24"/>
  <c r="U150" i="24"/>
  <c r="AC150" i="24" s="1"/>
  <c r="V150" i="24"/>
  <c r="AD150" i="24" s="1"/>
  <c r="E151" i="24"/>
  <c r="F151" i="24"/>
  <c r="G151" i="24"/>
  <c r="H151" i="24"/>
  <c r="I151" i="24"/>
  <c r="Y151" i="24" s="1"/>
  <c r="J151" i="24"/>
  <c r="Z151" i="24" s="1"/>
  <c r="K151" i="24"/>
  <c r="L151" i="24"/>
  <c r="M151" i="24"/>
  <c r="AA151" i="24" s="1"/>
  <c r="Q151" i="24"/>
  <c r="R151" i="24"/>
  <c r="S151" i="24"/>
  <c r="T151" i="24"/>
  <c r="U151" i="24"/>
  <c r="AC151" i="24" s="1"/>
  <c r="V151" i="24"/>
  <c r="AD151" i="24" s="1"/>
  <c r="E152" i="24"/>
  <c r="F152" i="24"/>
  <c r="G152" i="24"/>
  <c r="H152" i="24"/>
  <c r="I152" i="24"/>
  <c r="Y152" i="24" s="1"/>
  <c r="J152" i="24"/>
  <c r="Z152" i="24" s="1"/>
  <c r="K152" i="24"/>
  <c r="L152" i="24"/>
  <c r="M152" i="24"/>
  <c r="AA152" i="24" s="1"/>
  <c r="Q152" i="24"/>
  <c r="R152" i="24"/>
  <c r="S152" i="24"/>
  <c r="T152" i="24"/>
  <c r="U152" i="24"/>
  <c r="AC152" i="24" s="1"/>
  <c r="V152" i="24"/>
  <c r="AD152" i="24" s="1"/>
  <c r="E153" i="24"/>
  <c r="F153" i="24"/>
  <c r="G153" i="24"/>
  <c r="H153" i="24"/>
  <c r="I153" i="24"/>
  <c r="Y153" i="24" s="1"/>
  <c r="J153" i="24"/>
  <c r="Z153" i="24" s="1"/>
  <c r="K153" i="24"/>
  <c r="L153" i="24"/>
  <c r="M153" i="24"/>
  <c r="AA153" i="24" s="1"/>
  <c r="Q153" i="24"/>
  <c r="R153" i="24"/>
  <c r="S153" i="24"/>
  <c r="T153" i="24"/>
  <c r="U153" i="24"/>
  <c r="AC153" i="24" s="1"/>
  <c r="V153" i="24"/>
  <c r="AD153" i="24" s="1"/>
  <c r="E154" i="24"/>
  <c r="F154" i="24"/>
  <c r="G154" i="24"/>
  <c r="H154" i="24"/>
  <c r="I154" i="24"/>
  <c r="Y154" i="24" s="1"/>
  <c r="J154" i="24"/>
  <c r="Z154" i="24" s="1"/>
  <c r="K154" i="24"/>
  <c r="L154" i="24"/>
  <c r="M154" i="24"/>
  <c r="AA154" i="24" s="1"/>
  <c r="Q154" i="24"/>
  <c r="R154" i="24"/>
  <c r="S154" i="24"/>
  <c r="T154" i="24"/>
  <c r="U154" i="24"/>
  <c r="AC154" i="24" s="1"/>
  <c r="V154" i="24"/>
  <c r="AD154" i="24" s="1"/>
  <c r="E155" i="24"/>
  <c r="F155" i="24"/>
  <c r="G155" i="24"/>
  <c r="H155" i="24"/>
  <c r="I155" i="24"/>
  <c r="Y155" i="24" s="1"/>
  <c r="J155" i="24"/>
  <c r="Z155" i="24" s="1"/>
  <c r="K155" i="24"/>
  <c r="L155" i="24"/>
  <c r="M155" i="24"/>
  <c r="AA155" i="24" s="1"/>
  <c r="Q155" i="24"/>
  <c r="R155" i="24"/>
  <c r="S155" i="24"/>
  <c r="T155" i="24"/>
  <c r="U155" i="24"/>
  <c r="AC155" i="24" s="1"/>
  <c r="V155" i="24"/>
  <c r="AD155" i="24" s="1"/>
  <c r="E156" i="24"/>
  <c r="F156" i="24"/>
  <c r="G156" i="24"/>
  <c r="H156" i="24"/>
  <c r="I156" i="24"/>
  <c r="Y156" i="24" s="1"/>
  <c r="J156" i="24"/>
  <c r="Z156" i="24" s="1"/>
  <c r="K156" i="24"/>
  <c r="L156" i="24"/>
  <c r="M156" i="24"/>
  <c r="AA156" i="24" s="1"/>
  <c r="Q156" i="24"/>
  <c r="R156" i="24"/>
  <c r="S156" i="24"/>
  <c r="T156" i="24"/>
  <c r="U156" i="24"/>
  <c r="AC156" i="24" s="1"/>
  <c r="V156" i="24"/>
  <c r="AD156" i="24" s="1"/>
  <c r="E157" i="24"/>
  <c r="F157" i="24"/>
  <c r="G157" i="24"/>
  <c r="H157" i="24"/>
  <c r="I157" i="24"/>
  <c r="Y157" i="24" s="1"/>
  <c r="J157" i="24"/>
  <c r="Z157" i="24" s="1"/>
  <c r="K157" i="24"/>
  <c r="L157" i="24"/>
  <c r="M157" i="24"/>
  <c r="AA157" i="24" s="1"/>
  <c r="Q157" i="24"/>
  <c r="R157" i="24"/>
  <c r="S157" i="24"/>
  <c r="T157" i="24"/>
  <c r="U157" i="24"/>
  <c r="AC157" i="24" s="1"/>
  <c r="V157" i="24"/>
  <c r="AD157" i="24" s="1"/>
  <c r="E158" i="24"/>
  <c r="F158" i="24"/>
  <c r="G158" i="24"/>
  <c r="H158" i="24"/>
  <c r="I158" i="24"/>
  <c r="Y158" i="24" s="1"/>
  <c r="J158" i="24"/>
  <c r="Z158" i="24" s="1"/>
  <c r="K158" i="24"/>
  <c r="L158" i="24"/>
  <c r="M158" i="24"/>
  <c r="AA158" i="24" s="1"/>
  <c r="Q158" i="24"/>
  <c r="R158" i="24"/>
  <c r="S158" i="24"/>
  <c r="T158" i="24"/>
  <c r="U158" i="24"/>
  <c r="AC158" i="24" s="1"/>
  <c r="V158" i="24"/>
  <c r="AD158" i="24" s="1"/>
  <c r="E159" i="24"/>
  <c r="F159" i="24"/>
  <c r="G159" i="24"/>
  <c r="H159" i="24"/>
  <c r="I159" i="24"/>
  <c r="Y159" i="24" s="1"/>
  <c r="J159" i="24"/>
  <c r="Z159" i="24" s="1"/>
  <c r="K159" i="24"/>
  <c r="L159" i="24"/>
  <c r="M159" i="24"/>
  <c r="AA159" i="24" s="1"/>
  <c r="Q159" i="24"/>
  <c r="R159" i="24"/>
  <c r="S159" i="24"/>
  <c r="T159" i="24"/>
  <c r="U159" i="24"/>
  <c r="AC159" i="24" s="1"/>
  <c r="V159" i="24"/>
  <c r="AD159" i="24" s="1"/>
  <c r="E160" i="24"/>
  <c r="F160" i="24"/>
  <c r="G160" i="24"/>
  <c r="H160" i="24"/>
  <c r="I160" i="24"/>
  <c r="Y160" i="24" s="1"/>
  <c r="J160" i="24"/>
  <c r="Z160" i="24" s="1"/>
  <c r="K160" i="24"/>
  <c r="L160" i="24"/>
  <c r="M160" i="24"/>
  <c r="AA160" i="24" s="1"/>
  <c r="Q160" i="24"/>
  <c r="R160" i="24"/>
  <c r="S160" i="24"/>
  <c r="T160" i="24"/>
  <c r="U160" i="24"/>
  <c r="AC160" i="24" s="1"/>
  <c r="V160" i="24"/>
  <c r="AD160" i="24" s="1"/>
  <c r="E161" i="24"/>
  <c r="F161" i="24"/>
  <c r="G161" i="24"/>
  <c r="H161" i="24"/>
  <c r="I161" i="24"/>
  <c r="Y161" i="24" s="1"/>
  <c r="J161" i="24"/>
  <c r="Z161" i="24" s="1"/>
  <c r="K161" i="24"/>
  <c r="L161" i="24"/>
  <c r="M161" i="24"/>
  <c r="AA161" i="24" s="1"/>
  <c r="Q161" i="24"/>
  <c r="R161" i="24"/>
  <c r="S161" i="24"/>
  <c r="T161" i="24"/>
  <c r="U161" i="24"/>
  <c r="AC161" i="24" s="1"/>
  <c r="V161" i="24"/>
  <c r="AD161" i="24" s="1"/>
  <c r="E162" i="24"/>
  <c r="F162" i="24"/>
  <c r="G162" i="24"/>
  <c r="H162" i="24"/>
  <c r="I162" i="24"/>
  <c r="Y162" i="24" s="1"/>
  <c r="J162" i="24"/>
  <c r="Z162" i="24" s="1"/>
  <c r="K162" i="24"/>
  <c r="L162" i="24"/>
  <c r="M162" i="24"/>
  <c r="AA162" i="24" s="1"/>
  <c r="Q162" i="24"/>
  <c r="R162" i="24"/>
  <c r="S162" i="24"/>
  <c r="T162" i="24"/>
  <c r="U162" i="24"/>
  <c r="AC162" i="24" s="1"/>
  <c r="V162" i="24"/>
  <c r="AD162" i="24" s="1"/>
  <c r="E163" i="24"/>
  <c r="F163" i="24"/>
  <c r="G163" i="24"/>
  <c r="H163" i="24"/>
  <c r="I163" i="24"/>
  <c r="Y163" i="24" s="1"/>
  <c r="J163" i="24"/>
  <c r="Z163" i="24" s="1"/>
  <c r="K163" i="24"/>
  <c r="L163" i="24"/>
  <c r="M163" i="24"/>
  <c r="AA163" i="24" s="1"/>
  <c r="Q163" i="24"/>
  <c r="R163" i="24"/>
  <c r="S163" i="24"/>
  <c r="T163" i="24"/>
  <c r="U163" i="24"/>
  <c r="AC163" i="24" s="1"/>
  <c r="V163" i="24"/>
  <c r="AD163" i="24" s="1"/>
  <c r="E164" i="24"/>
  <c r="F164" i="24"/>
  <c r="G164" i="24"/>
  <c r="H164" i="24"/>
  <c r="I164" i="24"/>
  <c r="Y164" i="24" s="1"/>
  <c r="J164" i="24"/>
  <c r="Z164" i="24" s="1"/>
  <c r="K164" i="24"/>
  <c r="L164" i="24"/>
  <c r="M164" i="24"/>
  <c r="AA164" i="24" s="1"/>
  <c r="Q164" i="24"/>
  <c r="R164" i="24"/>
  <c r="S164" i="24"/>
  <c r="T164" i="24"/>
  <c r="U164" i="24"/>
  <c r="AC164" i="24" s="1"/>
  <c r="V164" i="24"/>
  <c r="AD164" i="24" s="1"/>
  <c r="E165" i="24"/>
  <c r="F165" i="24"/>
  <c r="G165" i="24"/>
  <c r="H165" i="24"/>
  <c r="I165" i="24"/>
  <c r="Y165" i="24" s="1"/>
  <c r="J165" i="24"/>
  <c r="Z165" i="24" s="1"/>
  <c r="K165" i="24"/>
  <c r="L165" i="24"/>
  <c r="M165" i="24"/>
  <c r="AA165" i="24" s="1"/>
  <c r="Q165" i="24"/>
  <c r="R165" i="24"/>
  <c r="S165" i="24"/>
  <c r="T165" i="24"/>
  <c r="U165" i="24"/>
  <c r="AC165" i="24" s="1"/>
  <c r="V165" i="24"/>
  <c r="AD165" i="24" s="1"/>
  <c r="E166" i="24"/>
  <c r="F166" i="24"/>
  <c r="G166" i="24"/>
  <c r="H166" i="24"/>
  <c r="I166" i="24"/>
  <c r="Y166" i="24" s="1"/>
  <c r="J166" i="24"/>
  <c r="Z166" i="24" s="1"/>
  <c r="K166" i="24"/>
  <c r="L166" i="24"/>
  <c r="M166" i="24"/>
  <c r="AA166" i="24" s="1"/>
  <c r="Q166" i="24"/>
  <c r="R166" i="24"/>
  <c r="S166" i="24"/>
  <c r="T166" i="24"/>
  <c r="U166" i="24"/>
  <c r="AC166" i="24" s="1"/>
  <c r="V166" i="24"/>
  <c r="AD166" i="24" s="1"/>
  <c r="E167" i="24"/>
  <c r="F167" i="24"/>
  <c r="G167" i="24"/>
  <c r="H167" i="24"/>
  <c r="I167" i="24"/>
  <c r="Y167" i="24" s="1"/>
  <c r="J167" i="24"/>
  <c r="Z167" i="24" s="1"/>
  <c r="K167" i="24"/>
  <c r="L167" i="24"/>
  <c r="M167" i="24"/>
  <c r="AA167" i="24" s="1"/>
  <c r="Q167" i="24"/>
  <c r="R167" i="24"/>
  <c r="S167" i="24"/>
  <c r="T167" i="24"/>
  <c r="U167" i="24"/>
  <c r="AC167" i="24" s="1"/>
  <c r="V167" i="24"/>
  <c r="AD167" i="24" s="1"/>
  <c r="E168" i="24"/>
  <c r="F168" i="24"/>
  <c r="G168" i="24"/>
  <c r="H168" i="24"/>
  <c r="I168" i="24"/>
  <c r="Y168" i="24" s="1"/>
  <c r="J168" i="24"/>
  <c r="Z168" i="24" s="1"/>
  <c r="K168" i="24"/>
  <c r="L168" i="24"/>
  <c r="M168" i="24"/>
  <c r="AA168" i="24" s="1"/>
  <c r="Q168" i="24"/>
  <c r="R168" i="24"/>
  <c r="S168" i="24"/>
  <c r="T168" i="24"/>
  <c r="U168" i="24"/>
  <c r="AC168" i="24" s="1"/>
  <c r="V168" i="24"/>
  <c r="AD168" i="24" s="1"/>
  <c r="E169" i="24"/>
  <c r="F169" i="24"/>
  <c r="G169" i="24"/>
  <c r="H169" i="24"/>
  <c r="I169" i="24"/>
  <c r="Y169" i="24" s="1"/>
  <c r="J169" i="24"/>
  <c r="Z169" i="24" s="1"/>
  <c r="K169" i="24"/>
  <c r="L169" i="24"/>
  <c r="M169" i="24"/>
  <c r="AA169" i="24" s="1"/>
  <c r="Q169" i="24"/>
  <c r="R169" i="24"/>
  <c r="S169" i="24"/>
  <c r="T169" i="24"/>
  <c r="U169" i="24"/>
  <c r="AC169" i="24" s="1"/>
  <c r="V169" i="24"/>
  <c r="AD169" i="24" s="1"/>
  <c r="E170" i="24"/>
  <c r="F170" i="24"/>
  <c r="G170" i="24"/>
  <c r="H170" i="24"/>
  <c r="I170" i="24"/>
  <c r="Y170" i="24" s="1"/>
  <c r="J170" i="24"/>
  <c r="Z170" i="24" s="1"/>
  <c r="K170" i="24"/>
  <c r="L170" i="24"/>
  <c r="M170" i="24"/>
  <c r="AA170" i="24" s="1"/>
  <c r="Q170" i="24"/>
  <c r="R170" i="24"/>
  <c r="S170" i="24"/>
  <c r="T170" i="24"/>
  <c r="U170" i="24"/>
  <c r="AC170" i="24" s="1"/>
  <c r="V170" i="24"/>
  <c r="AD170" i="24" s="1"/>
  <c r="E171" i="24"/>
  <c r="F171" i="24"/>
  <c r="G171" i="24"/>
  <c r="H171" i="24"/>
  <c r="I171" i="24"/>
  <c r="Y171" i="24" s="1"/>
  <c r="J171" i="24"/>
  <c r="Z171" i="24" s="1"/>
  <c r="K171" i="24"/>
  <c r="L171" i="24"/>
  <c r="M171" i="24"/>
  <c r="AA171" i="24" s="1"/>
  <c r="Q171" i="24"/>
  <c r="R171" i="24"/>
  <c r="S171" i="24"/>
  <c r="T171" i="24"/>
  <c r="U171" i="24"/>
  <c r="AC171" i="24" s="1"/>
  <c r="V171" i="24"/>
  <c r="AD171" i="24" s="1"/>
  <c r="E172" i="24"/>
  <c r="F172" i="24"/>
  <c r="G172" i="24"/>
  <c r="H172" i="24"/>
  <c r="I172" i="24"/>
  <c r="Y172" i="24" s="1"/>
  <c r="J172" i="24"/>
  <c r="Z172" i="24" s="1"/>
  <c r="K172" i="24"/>
  <c r="L172" i="24"/>
  <c r="M172" i="24"/>
  <c r="AA172" i="24" s="1"/>
  <c r="Q172" i="24"/>
  <c r="R172" i="24"/>
  <c r="S172" i="24"/>
  <c r="T172" i="24"/>
  <c r="U172" i="24"/>
  <c r="AC172" i="24" s="1"/>
  <c r="V172" i="24"/>
  <c r="AD172" i="24" s="1"/>
  <c r="E173" i="24"/>
  <c r="F173" i="24"/>
  <c r="G173" i="24"/>
  <c r="H173" i="24"/>
  <c r="I173" i="24"/>
  <c r="Y173" i="24" s="1"/>
  <c r="J173" i="24"/>
  <c r="Z173" i="24" s="1"/>
  <c r="K173" i="24"/>
  <c r="L173" i="24"/>
  <c r="M173" i="24"/>
  <c r="AA173" i="24" s="1"/>
  <c r="Q173" i="24"/>
  <c r="R173" i="24"/>
  <c r="S173" i="24"/>
  <c r="T173" i="24"/>
  <c r="U173" i="24"/>
  <c r="AC173" i="24" s="1"/>
  <c r="V173" i="24"/>
  <c r="AD173" i="24" s="1"/>
  <c r="E174" i="24"/>
  <c r="F174" i="24"/>
  <c r="G174" i="24"/>
  <c r="H174" i="24"/>
  <c r="I174" i="24"/>
  <c r="Y174" i="24" s="1"/>
  <c r="J174" i="24"/>
  <c r="Z174" i="24" s="1"/>
  <c r="K174" i="24"/>
  <c r="L174" i="24"/>
  <c r="M174" i="24"/>
  <c r="AA174" i="24" s="1"/>
  <c r="Q174" i="24"/>
  <c r="R174" i="24"/>
  <c r="S174" i="24"/>
  <c r="T174" i="24"/>
  <c r="U174" i="24"/>
  <c r="AC174" i="24" s="1"/>
  <c r="V174" i="24"/>
  <c r="AD174" i="24" s="1"/>
  <c r="E175" i="24"/>
  <c r="F175" i="24"/>
  <c r="G175" i="24"/>
  <c r="H175" i="24"/>
  <c r="I175" i="24"/>
  <c r="Y175" i="24" s="1"/>
  <c r="J175" i="24"/>
  <c r="Z175" i="24" s="1"/>
  <c r="K175" i="24"/>
  <c r="L175" i="24"/>
  <c r="M175" i="24"/>
  <c r="AA175" i="24" s="1"/>
  <c r="Q175" i="24"/>
  <c r="R175" i="24"/>
  <c r="S175" i="24"/>
  <c r="T175" i="24"/>
  <c r="U175" i="24"/>
  <c r="AC175" i="24" s="1"/>
  <c r="V175" i="24"/>
  <c r="AD175" i="24" s="1"/>
  <c r="E176" i="24"/>
  <c r="F176" i="24"/>
  <c r="G176" i="24"/>
  <c r="H176" i="24"/>
  <c r="I176" i="24"/>
  <c r="Y176" i="24" s="1"/>
  <c r="J176" i="24"/>
  <c r="Z176" i="24" s="1"/>
  <c r="K176" i="24"/>
  <c r="L176" i="24"/>
  <c r="M176" i="24"/>
  <c r="AA176" i="24" s="1"/>
  <c r="Q176" i="24"/>
  <c r="R176" i="24"/>
  <c r="S176" i="24"/>
  <c r="T176" i="24"/>
  <c r="U176" i="24"/>
  <c r="AC176" i="24" s="1"/>
  <c r="V176" i="24"/>
  <c r="AD176" i="24" s="1"/>
  <c r="E177" i="24"/>
  <c r="F177" i="24"/>
  <c r="G177" i="24"/>
  <c r="H177" i="24"/>
  <c r="I177" i="24"/>
  <c r="Y177" i="24" s="1"/>
  <c r="J177" i="24"/>
  <c r="Z177" i="24" s="1"/>
  <c r="K177" i="24"/>
  <c r="L177" i="24"/>
  <c r="M177" i="24"/>
  <c r="AA177" i="24" s="1"/>
  <c r="Q177" i="24"/>
  <c r="R177" i="24"/>
  <c r="S177" i="24"/>
  <c r="T177" i="24"/>
  <c r="U177" i="24"/>
  <c r="AC177" i="24" s="1"/>
  <c r="V177" i="24"/>
  <c r="AD177" i="24" s="1"/>
  <c r="E178" i="24"/>
  <c r="F178" i="24"/>
  <c r="G178" i="24"/>
  <c r="H178" i="24"/>
  <c r="I178" i="24"/>
  <c r="Y178" i="24" s="1"/>
  <c r="J178" i="24"/>
  <c r="Z178" i="24" s="1"/>
  <c r="K178" i="24"/>
  <c r="L178" i="24"/>
  <c r="M178" i="24"/>
  <c r="AA178" i="24" s="1"/>
  <c r="Q178" i="24"/>
  <c r="R178" i="24"/>
  <c r="S178" i="24"/>
  <c r="T178" i="24"/>
  <c r="U178" i="24"/>
  <c r="AC178" i="24" s="1"/>
  <c r="V178" i="24"/>
  <c r="AD178" i="24" s="1"/>
  <c r="E179" i="24"/>
  <c r="F179" i="24"/>
  <c r="G179" i="24"/>
  <c r="H179" i="24"/>
  <c r="I179" i="24"/>
  <c r="Y179" i="24" s="1"/>
  <c r="J179" i="24"/>
  <c r="Z179" i="24" s="1"/>
  <c r="K179" i="24"/>
  <c r="L179" i="24"/>
  <c r="M179" i="24"/>
  <c r="AA179" i="24" s="1"/>
  <c r="Q179" i="24"/>
  <c r="R179" i="24"/>
  <c r="S179" i="24"/>
  <c r="T179" i="24"/>
  <c r="U179" i="24"/>
  <c r="AC179" i="24" s="1"/>
  <c r="V179" i="24"/>
  <c r="AD179" i="24" s="1"/>
  <c r="E180" i="24"/>
  <c r="F180" i="24"/>
  <c r="G180" i="24"/>
  <c r="H180" i="24"/>
  <c r="I180" i="24"/>
  <c r="Y180" i="24" s="1"/>
  <c r="J180" i="24"/>
  <c r="Z180" i="24" s="1"/>
  <c r="K180" i="24"/>
  <c r="L180" i="24"/>
  <c r="M180" i="24"/>
  <c r="AA180" i="24" s="1"/>
  <c r="Q180" i="24"/>
  <c r="R180" i="24"/>
  <c r="S180" i="24"/>
  <c r="T180" i="24"/>
  <c r="U180" i="24"/>
  <c r="AC180" i="24" s="1"/>
  <c r="V180" i="24"/>
  <c r="AD180" i="24" s="1"/>
  <c r="E181" i="24"/>
  <c r="F181" i="24"/>
  <c r="G181" i="24"/>
  <c r="H181" i="24"/>
  <c r="I181" i="24"/>
  <c r="Y181" i="24" s="1"/>
  <c r="J181" i="24"/>
  <c r="Z181" i="24" s="1"/>
  <c r="K181" i="24"/>
  <c r="L181" i="24"/>
  <c r="M181" i="24"/>
  <c r="AA181" i="24" s="1"/>
  <c r="Q181" i="24"/>
  <c r="R181" i="24"/>
  <c r="S181" i="24"/>
  <c r="T181" i="24"/>
  <c r="U181" i="24"/>
  <c r="AC181" i="24" s="1"/>
  <c r="V181" i="24"/>
  <c r="AD181" i="24" s="1"/>
  <c r="E182" i="24"/>
  <c r="F182" i="24"/>
  <c r="G182" i="24"/>
  <c r="H182" i="24"/>
  <c r="I182" i="24"/>
  <c r="Y182" i="24" s="1"/>
  <c r="J182" i="24"/>
  <c r="Z182" i="24" s="1"/>
  <c r="K182" i="24"/>
  <c r="L182" i="24"/>
  <c r="M182" i="24"/>
  <c r="AA182" i="24" s="1"/>
  <c r="Q182" i="24"/>
  <c r="R182" i="24"/>
  <c r="S182" i="24"/>
  <c r="T182" i="24"/>
  <c r="U182" i="24"/>
  <c r="AC182" i="24" s="1"/>
  <c r="V182" i="24"/>
  <c r="AD182" i="24" s="1"/>
  <c r="E183" i="24"/>
  <c r="F183" i="24"/>
  <c r="G183" i="24"/>
  <c r="H183" i="24"/>
  <c r="I183" i="24"/>
  <c r="Y183" i="24" s="1"/>
  <c r="J183" i="24"/>
  <c r="Z183" i="24" s="1"/>
  <c r="K183" i="24"/>
  <c r="L183" i="24"/>
  <c r="M183" i="24"/>
  <c r="AA183" i="24" s="1"/>
  <c r="Q183" i="24"/>
  <c r="R183" i="24"/>
  <c r="S183" i="24"/>
  <c r="T183" i="24"/>
  <c r="U183" i="24"/>
  <c r="AC183" i="24" s="1"/>
  <c r="V183" i="24"/>
  <c r="AD183" i="24" s="1"/>
  <c r="E184" i="24"/>
  <c r="F184" i="24"/>
  <c r="G184" i="24"/>
  <c r="H184" i="24"/>
  <c r="I184" i="24"/>
  <c r="Y184" i="24" s="1"/>
  <c r="J184" i="24"/>
  <c r="Z184" i="24" s="1"/>
  <c r="K184" i="24"/>
  <c r="L184" i="24"/>
  <c r="M184" i="24"/>
  <c r="AA184" i="24" s="1"/>
  <c r="Q184" i="24"/>
  <c r="R184" i="24"/>
  <c r="S184" i="24"/>
  <c r="T184" i="24"/>
  <c r="U184" i="24"/>
  <c r="AC184" i="24" s="1"/>
  <c r="V184" i="24"/>
  <c r="AD184" i="24" s="1"/>
  <c r="E185" i="24"/>
  <c r="F185" i="24"/>
  <c r="G185" i="24"/>
  <c r="H185" i="24"/>
  <c r="I185" i="24"/>
  <c r="Y185" i="24" s="1"/>
  <c r="J185" i="24"/>
  <c r="Z185" i="24" s="1"/>
  <c r="K185" i="24"/>
  <c r="L185" i="24"/>
  <c r="M185" i="24"/>
  <c r="AA185" i="24" s="1"/>
  <c r="Q185" i="24"/>
  <c r="R185" i="24"/>
  <c r="S185" i="24"/>
  <c r="T185" i="24"/>
  <c r="U185" i="24"/>
  <c r="AC185" i="24" s="1"/>
  <c r="V185" i="24"/>
  <c r="AD185" i="24" s="1"/>
  <c r="E186" i="24"/>
  <c r="F186" i="24"/>
  <c r="G186" i="24"/>
  <c r="H186" i="24"/>
  <c r="I186" i="24"/>
  <c r="Y186" i="24" s="1"/>
  <c r="J186" i="24"/>
  <c r="Z186" i="24" s="1"/>
  <c r="K186" i="24"/>
  <c r="L186" i="24"/>
  <c r="M186" i="24"/>
  <c r="AA186" i="24" s="1"/>
  <c r="Q186" i="24"/>
  <c r="R186" i="24"/>
  <c r="S186" i="24"/>
  <c r="T186" i="24"/>
  <c r="U186" i="24"/>
  <c r="AC186" i="24" s="1"/>
  <c r="V186" i="24"/>
  <c r="AD186" i="24" s="1"/>
  <c r="E187" i="24"/>
  <c r="F187" i="24"/>
  <c r="G187" i="24"/>
  <c r="H187" i="24"/>
  <c r="I187" i="24"/>
  <c r="Y187" i="24" s="1"/>
  <c r="J187" i="24"/>
  <c r="Z187" i="24" s="1"/>
  <c r="K187" i="24"/>
  <c r="L187" i="24"/>
  <c r="M187" i="24"/>
  <c r="AA187" i="24" s="1"/>
  <c r="Q187" i="24"/>
  <c r="R187" i="24"/>
  <c r="S187" i="24"/>
  <c r="T187" i="24"/>
  <c r="U187" i="24"/>
  <c r="AC187" i="24" s="1"/>
  <c r="V187" i="24"/>
  <c r="AD187" i="24" s="1"/>
  <c r="E188" i="24"/>
  <c r="F188" i="24"/>
  <c r="G188" i="24"/>
  <c r="H188" i="24"/>
  <c r="I188" i="24"/>
  <c r="Y188" i="24" s="1"/>
  <c r="J188" i="24"/>
  <c r="Z188" i="24" s="1"/>
  <c r="K188" i="24"/>
  <c r="L188" i="24"/>
  <c r="M188" i="24"/>
  <c r="AA188" i="24" s="1"/>
  <c r="Q188" i="24"/>
  <c r="R188" i="24"/>
  <c r="S188" i="24"/>
  <c r="T188" i="24"/>
  <c r="U188" i="24"/>
  <c r="AC188" i="24" s="1"/>
  <c r="V188" i="24"/>
  <c r="AD188" i="24" s="1"/>
  <c r="E189" i="24"/>
  <c r="F189" i="24"/>
  <c r="G189" i="24"/>
  <c r="H189" i="24"/>
  <c r="I189" i="24"/>
  <c r="Y189" i="24" s="1"/>
  <c r="J189" i="24"/>
  <c r="Z189" i="24" s="1"/>
  <c r="K189" i="24"/>
  <c r="L189" i="24"/>
  <c r="M189" i="24"/>
  <c r="AA189" i="24" s="1"/>
  <c r="Q189" i="24"/>
  <c r="R189" i="24"/>
  <c r="S189" i="24"/>
  <c r="T189" i="24"/>
  <c r="U189" i="24"/>
  <c r="AC189" i="24" s="1"/>
  <c r="V189" i="24"/>
  <c r="AD189" i="24" s="1"/>
  <c r="E190" i="24"/>
  <c r="F190" i="24"/>
  <c r="G190" i="24"/>
  <c r="H190" i="24"/>
  <c r="I190" i="24"/>
  <c r="Y190" i="24" s="1"/>
  <c r="J190" i="24"/>
  <c r="Z190" i="24" s="1"/>
  <c r="K190" i="24"/>
  <c r="L190" i="24"/>
  <c r="M190" i="24"/>
  <c r="AA190" i="24" s="1"/>
  <c r="Q190" i="24"/>
  <c r="R190" i="24"/>
  <c r="S190" i="24"/>
  <c r="T190" i="24"/>
  <c r="U190" i="24"/>
  <c r="AC190" i="24" s="1"/>
  <c r="V190" i="24"/>
  <c r="AD190" i="24" s="1"/>
  <c r="E191" i="24"/>
  <c r="F191" i="24"/>
  <c r="G191" i="24"/>
  <c r="H191" i="24"/>
  <c r="I191" i="24"/>
  <c r="Y191" i="24" s="1"/>
  <c r="J191" i="24"/>
  <c r="Z191" i="24" s="1"/>
  <c r="K191" i="24"/>
  <c r="L191" i="24"/>
  <c r="M191" i="24"/>
  <c r="AA191" i="24" s="1"/>
  <c r="Q191" i="24"/>
  <c r="R191" i="24"/>
  <c r="S191" i="24"/>
  <c r="T191" i="24"/>
  <c r="U191" i="24"/>
  <c r="AC191" i="24" s="1"/>
  <c r="V191" i="24"/>
  <c r="AD191" i="24" s="1"/>
  <c r="E192" i="24"/>
  <c r="F192" i="24"/>
  <c r="G192" i="24"/>
  <c r="H192" i="24"/>
  <c r="I192" i="24"/>
  <c r="Y192" i="24" s="1"/>
  <c r="J192" i="24"/>
  <c r="Z192" i="24" s="1"/>
  <c r="K192" i="24"/>
  <c r="L192" i="24"/>
  <c r="M192" i="24"/>
  <c r="AA192" i="24" s="1"/>
  <c r="Q192" i="24"/>
  <c r="R192" i="24"/>
  <c r="S192" i="24"/>
  <c r="T192" i="24"/>
  <c r="U192" i="24"/>
  <c r="AC192" i="24" s="1"/>
  <c r="V192" i="24"/>
  <c r="AD192" i="24" s="1"/>
  <c r="E193" i="24"/>
  <c r="F193" i="24"/>
  <c r="G193" i="24"/>
  <c r="H193" i="24"/>
  <c r="I193" i="24"/>
  <c r="Y193" i="24" s="1"/>
  <c r="J193" i="24"/>
  <c r="Z193" i="24" s="1"/>
  <c r="K193" i="24"/>
  <c r="L193" i="24"/>
  <c r="M193" i="24"/>
  <c r="AA193" i="24" s="1"/>
  <c r="Q193" i="24"/>
  <c r="R193" i="24"/>
  <c r="S193" i="24"/>
  <c r="T193" i="24"/>
  <c r="U193" i="24"/>
  <c r="AC193" i="24" s="1"/>
  <c r="V193" i="24"/>
  <c r="AD193" i="24" s="1"/>
  <c r="E194" i="24"/>
  <c r="F194" i="24"/>
  <c r="G194" i="24"/>
  <c r="H194" i="24"/>
  <c r="I194" i="24"/>
  <c r="Y194" i="24" s="1"/>
  <c r="J194" i="24"/>
  <c r="Z194" i="24" s="1"/>
  <c r="K194" i="24"/>
  <c r="L194" i="24"/>
  <c r="M194" i="24"/>
  <c r="AA194" i="24" s="1"/>
  <c r="Q194" i="24"/>
  <c r="R194" i="24"/>
  <c r="S194" i="24"/>
  <c r="T194" i="24"/>
  <c r="U194" i="24"/>
  <c r="AC194" i="24" s="1"/>
  <c r="V194" i="24"/>
  <c r="AD194" i="24" s="1"/>
  <c r="E195" i="24"/>
  <c r="F195" i="24"/>
  <c r="G195" i="24"/>
  <c r="H195" i="24"/>
  <c r="I195" i="24"/>
  <c r="Y195" i="24" s="1"/>
  <c r="J195" i="24"/>
  <c r="Z195" i="24" s="1"/>
  <c r="K195" i="24"/>
  <c r="L195" i="24"/>
  <c r="M195" i="24"/>
  <c r="AA195" i="24" s="1"/>
  <c r="Q195" i="24"/>
  <c r="R195" i="24"/>
  <c r="S195" i="24"/>
  <c r="T195" i="24"/>
  <c r="U195" i="24"/>
  <c r="AC195" i="24" s="1"/>
  <c r="V195" i="24"/>
  <c r="AD195" i="24" s="1"/>
  <c r="E196" i="24"/>
  <c r="F196" i="24"/>
  <c r="G196" i="24"/>
  <c r="H196" i="24"/>
  <c r="I196" i="24"/>
  <c r="Y196" i="24" s="1"/>
  <c r="J196" i="24"/>
  <c r="Z196" i="24" s="1"/>
  <c r="K196" i="24"/>
  <c r="L196" i="24"/>
  <c r="M196" i="24"/>
  <c r="AA196" i="24" s="1"/>
  <c r="Q196" i="24"/>
  <c r="R196" i="24"/>
  <c r="S196" i="24"/>
  <c r="T196" i="24"/>
  <c r="U196" i="24"/>
  <c r="AC196" i="24" s="1"/>
  <c r="V196" i="24"/>
  <c r="AD196" i="24" s="1"/>
  <c r="E197" i="24"/>
  <c r="F197" i="24"/>
  <c r="G197" i="24"/>
  <c r="H197" i="24"/>
  <c r="I197" i="24"/>
  <c r="Y197" i="24" s="1"/>
  <c r="J197" i="24"/>
  <c r="Z197" i="24" s="1"/>
  <c r="K197" i="24"/>
  <c r="L197" i="24"/>
  <c r="M197" i="24"/>
  <c r="AA197" i="24" s="1"/>
  <c r="Q197" i="24"/>
  <c r="R197" i="24"/>
  <c r="S197" i="24"/>
  <c r="T197" i="24"/>
  <c r="U197" i="24"/>
  <c r="AC197" i="24" s="1"/>
  <c r="V197" i="24"/>
  <c r="AD197" i="24" s="1"/>
  <c r="E198" i="24"/>
  <c r="F198" i="24"/>
  <c r="G198" i="24"/>
  <c r="H198" i="24"/>
  <c r="I198" i="24"/>
  <c r="Y198" i="24" s="1"/>
  <c r="J198" i="24"/>
  <c r="Z198" i="24" s="1"/>
  <c r="K198" i="24"/>
  <c r="L198" i="24"/>
  <c r="M198" i="24"/>
  <c r="AA198" i="24" s="1"/>
  <c r="Q198" i="24"/>
  <c r="R198" i="24"/>
  <c r="S198" i="24"/>
  <c r="T198" i="24"/>
  <c r="U198" i="24"/>
  <c r="AC198" i="24" s="1"/>
  <c r="V198" i="24"/>
  <c r="AD198" i="24" s="1"/>
  <c r="E199" i="24"/>
  <c r="F199" i="24"/>
  <c r="G199" i="24"/>
  <c r="H199" i="24"/>
  <c r="I199" i="24"/>
  <c r="Y199" i="24" s="1"/>
  <c r="J199" i="24"/>
  <c r="Z199" i="24" s="1"/>
  <c r="K199" i="24"/>
  <c r="L199" i="24"/>
  <c r="M199" i="24"/>
  <c r="AA199" i="24" s="1"/>
  <c r="Q199" i="24"/>
  <c r="R199" i="24"/>
  <c r="S199" i="24"/>
  <c r="T199" i="24"/>
  <c r="U199" i="24"/>
  <c r="AC199" i="24" s="1"/>
  <c r="V199" i="24"/>
  <c r="AD199" i="24" s="1"/>
  <c r="E200" i="24"/>
  <c r="F200" i="24"/>
  <c r="G200" i="24"/>
  <c r="H200" i="24"/>
  <c r="I200" i="24"/>
  <c r="Y200" i="24" s="1"/>
  <c r="J200" i="24"/>
  <c r="Z200" i="24" s="1"/>
  <c r="K200" i="24"/>
  <c r="L200" i="24"/>
  <c r="M200" i="24"/>
  <c r="AA200" i="24" s="1"/>
  <c r="Q200" i="24"/>
  <c r="R200" i="24"/>
  <c r="S200" i="24"/>
  <c r="T200" i="24"/>
  <c r="U200" i="24"/>
  <c r="AC200" i="24" s="1"/>
  <c r="V200" i="24"/>
  <c r="AD200" i="24" s="1"/>
  <c r="E201" i="24"/>
  <c r="F201" i="24"/>
  <c r="G201" i="24"/>
  <c r="H201" i="24"/>
  <c r="I201" i="24"/>
  <c r="Y201" i="24" s="1"/>
  <c r="J201" i="24"/>
  <c r="Z201" i="24" s="1"/>
  <c r="K201" i="24"/>
  <c r="L201" i="24"/>
  <c r="M201" i="24"/>
  <c r="AA201" i="24" s="1"/>
  <c r="Q201" i="24"/>
  <c r="R201" i="24"/>
  <c r="S201" i="24"/>
  <c r="T201" i="24"/>
  <c r="U201" i="24"/>
  <c r="AC201" i="24" s="1"/>
  <c r="V201" i="24"/>
  <c r="AD201" i="24" s="1"/>
  <c r="E202" i="24"/>
  <c r="F202" i="24"/>
  <c r="G202" i="24"/>
  <c r="H202" i="24"/>
  <c r="I202" i="24"/>
  <c r="Y202" i="24" s="1"/>
  <c r="J202" i="24"/>
  <c r="Z202" i="24" s="1"/>
  <c r="K202" i="24"/>
  <c r="L202" i="24"/>
  <c r="M202" i="24"/>
  <c r="AA202" i="24" s="1"/>
  <c r="Q202" i="24"/>
  <c r="R202" i="24"/>
  <c r="S202" i="24"/>
  <c r="T202" i="24"/>
  <c r="U202" i="24"/>
  <c r="AC202" i="24" s="1"/>
  <c r="V202" i="24"/>
  <c r="AD202" i="24" s="1"/>
  <c r="E203" i="24"/>
  <c r="F203" i="24"/>
  <c r="G203" i="24"/>
  <c r="H203" i="24"/>
  <c r="I203" i="24"/>
  <c r="Y203" i="24" s="1"/>
  <c r="J203" i="24"/>
  <c r="Z203" i="24" s="1"/>
  <c r="K203" i="24"/>
  <c r="L203" i="24"/>
  <c r="M203" i="24"/>
  <c r="AA203" i="24" s="1"/>
  <c r="Q203" i="24"/>
  <c r="R203" i="24"/>
  <c r="S203" i="24"/>
  <c r="T203" i="24"/>
  <c r="U203" i="24"/>
  <c r="AC203" i="24" s="1"/>
  <c r="V203" i="24"/>
  <c r="AD203" i="24" s="1"/>
  <c r="E204" i="24"/>
  <c r="F204" i="24"/>
  <c r="G204" i="24"/>
  <c r="H204" i="24"/>
  <c r="I204" i="24"/>
  <c r="Y204" i="24" s="1"/>
  <c r="J204" i="24"/>
  <c r="Z204" i="24" s="1"/>
  <c r="K204" i="24"/>
  <c r="L204" i="24"/>
  <c r="M204" i="24"/>
  <c r="AA204" i="24" s="1"/>
  <c r="Q204" i="24"/>
  <c r="R204" i="24"/>
  <c r="S204" i="24"/>
  <c r="T204" i="24"/>
  <c r="U204" i="24"/>
  <c r="AC204" i="24" s="1"/>
  <c r="V204" i="24"/>
  <c r="AD204" i="24" s="1"/>
  <c r="E205" i="24"/>
  <c r="F205" i="24"/>
  <c r="G205" i="24"/>
  <c r="H205" i="24"/>
  <c r="I205" i="24"/>
  <c r="Y205" i="24" s="1"/>
  <c r="J205" i="24"/>
  <c r="Z205" i="24" s="1"/>
  <c r="K205" i="24"/>
  <c r="L205" i="24"/>
  <c r="M205" i="24"/>
  <c r="AA205" i="24" s="1"/>
  <c r="Q205" i="24"/>
  <c r="R205" i="24"/>
  <c r="S205" i="24"/>
  <c r="T205" i="24"/>
  <c r="U205" i="24"/>
  <c r="AC205" i="24" s="1"/>
  <c r="V205" i="24"/>
  <c r="AD205" i="24" s="1"/>
  <c r="E206" i="24"/>
  <c r="F206" i="24"/>
  <c r="G206" i="24"/>
  <c r="H206" i="24"/>
  <c r="I206" i="24"/>
  <c r="Y206" i="24" s="1"/>
  <c r="J206" i="24"/>
  <c r="Z206" i="24" s="1"/>
  <c r="K206" i="24"/>
  <c r="L206" i="24"/>
  <c r="M206" i="24"/>
  <c r="AA206" i="24" s="1"/>
  <c r="Q206" i="24"/>
  <c r="R206" i="24"/>
  <c r="S206" i="24"/>
  <c r="T206" i="24"/>
  <c r="U206" i="24"/>
  <c r="AC206" i="24" s="1"/>
  <c r="V206" i="24"/>
  <c r="AD206" i="24" s="1"/>
  <c r="E207" i="24"/>
  <c r="F207" i="24"/>
  <c r="G207" i="24"/>
  <c r="H207" i="24"/>
  <c r="I207" i="24"/>
  <c r="Y207" i="24" s="1"/>
  <c r="J207" i="24"/>
  <c r="Z207" i="24" s="1"/>
  <c r="K207" i="24"/>
  <c r="L207" i="24"/>
  <c r="M207" i="24"/>
  <c r="AA207" i="24" s="1"/>
  <c r="Q207" i="24"/>
  <c r="R207" i="24"/>
  <c r="S207" i="24"/>
  <c r="T207" i="24"/>
  <c r="U207" i="24"/>
  <c r="AC207" i="24" s="1"/>
  <c r="V207" i="24"/>
  <c r="AD207" i="24" s="1"/>
  <c r="E208" i="24"/>
  <c r="F208" i="24"/>
  <c r="G208" i="24"/>
  <c r="H208" i="24"/>
  <c r="I208" i="24"/>
  <c r="Y208" i="24" s="1"/>
  <c r="J208" i="24"/>
  <c r="Z208" i="24" s="1"/>
  <c r="K208" i="24"/>
  <c r="L208" i="24"/>
  <c r="M208" i="24"/>
  <c r="AA208" i="24" s="1"/>
  <c r="Q208" i="24"/>
  <c r="R208" i="24"/>
  <c r="S208" i="24"/>
  <c r="T208" i="24"/>
  <c r="U208" i="24"/>
  <c r="AC208" i="24" s="1"/>
  <c r="V208" i="24"/>
  <c r="AD208" i="24" s="1"/>
  <c r="E209" i="24"/>
  <c r="F209" i="24"/>
  <c r="G209" i="24"/>
  <c r="H209" i="24"/>
  <c r="I209" i="24"/>
  <c r="Y209" i="24" s="1"/>
  <c r="J209" i="24"/>
  <c r="Z209" i="24" s="1"/>
  <c r="K209" i="24"/>
  <c r="L209" i="24"/>
  <c r="M209" i="24"/>
  <c r="AA209" i="24" s="1"/>
  <c r="Q209" i="24"/>
  <c r="R209" i="24"/>
  <c r="S209" i="24"/>
  <c r="T209" i="24"/>
  <c r="U209" i="24"/>
  <c r="AC209" i="24" s="1"/>
  <c r="V209" i="24"/>
  <c r="AD209" i="24" s="1"/>
  <c r="E210" i="24"/>
  <c r="F210" i="24"/>
  <c r="G210" i="24"/>
  <c r="H210" i="24"/>
  <c r="I210" i="24"/>
  <c r="Y210" i="24" s="1"/>
  <c r="J210" i="24"/>
  <c r="Z210" i="24" s="1"/>
  <c r="K210" i="24"/>
  <c r="L210" i="24"/>
  <c r="M210" i="24"/>
  <c r="AA210" i="24" s="1"/>
  <c r="Q210" i="24"/>
  <c r="R210" i="24"/>
  <c r="S210" i="24"/>
  <c r="T210" i="24"/>
  <c r="U210" i="24"/>
  <c r="AC210" i="24" s="1"/>
  <c r="V210" i="24"/>
  <c r="AD210" i="24" s="1"/>
  <c r="E211" i="24"/>
  <c r="F211" i="24"/>
  <c r="G211" i="24"/>
  <c r="H211" i="24"/>
  <c r="I211" i="24"/>
  <c r="Y211" i="24" s="1"/>
  <c r="J211" i="24"/>
  <c r="Z211" i="24" s="1"/>
  <c r="K211" i="24"/>
  <c r="L211" i="24"/>
  <c r="M211" i="24"/>
  <c r="AA211" i="24" s="1"/>
  <c r="Q211" i="24"/>
  <c r="R211" i="24"/>
  <c r="S211" i="24"/>
  <c r="T211" i="24"/>
  <c r="U211" i="24"/>
  <c r="AC211" i="24" s="1"/>
  <c r="V211" i="24"/>
  <c r="AD211" i="24" s="1"/>
  <c r="E212" i="24"/>
  <c r="F212" i="24"/>
  <c r="G212" i="24"/>
  <c r="H212" i="24"/>
  <c r="I212" i="24"/>
  <c r="Y212" i="24" s="1"/>
  <c r="J212" i="24"/>
  <c r="Z212" i="24" s="1"/>
  <c r="K212" i="24"/>
  <c r="L212" i="24"/>
  <c r="M212" i="24"/>
  <c r="AA212" i="24" s="1"/>
  <c r="Q212" i="24"/>
  <c r="R212" i="24"/>
  <c r="S212" i="24"/>
  <c r="T212" i="24"/>
  <c r="U212" i="24"/>
  <c r="AC212" i="24" s="1"/>
  <c r="V212" i="24"/>
  <c r="AD212" i="24" s="1"/>
  <c r="E213" i="24"/>
  <c r="F213" i="24"/>
  <c r="G213" i="24"/>
  <c r="H213" i="24"/>
  <c r="I213" i="24"/>
  <c r="Y213" i="24" s="1"/>
  <c r="J213" i="24"/>
  <c r="Z213" i="24" s="1"/>
  <c r="K213" i="24"/>
  <c r="L213" i="24"/>
  <c r="M213" i="24"/>
  <c r="AA213" i="24" s="1"/>
  <c r="Q213" i="24"/>
  <c r="R213" i="24"/>
  <c r="S213" i="24"/>
  <c r="T213" i="24"/>
  <c r="U213" i="24"/>
  <c r="AC213" i="24" s="1"/>
  <c r="V213" i="24"/>
  <c r="AD213" i="24" s="1"/>
  <c r="E214" i="24"/>
  <c r="F214" i="24"/>
  <c r="G214" i="24"/>
  <c r="H214" i="24"/>
  <c r="I214" i="24"/>
  <c r="Y214" i="24" s="1"/>
  <c r="J214" i="24"/>
  <c r="Z214" i="24" s="1"/>
  <c r="K214" i="24"/>
  <c r="L214" i="24"/>
  <c r="M214" i="24"/>
  <c r="AA214" i="24" s="1"/>
  <c r="Q214" i="24"/>
  <c r="R214" i="24"/>
  <c r="S214" i="24"/>
  <c r="T214" i="24"/>
  <c r="U214" i="24"/>
  <c r="AC214" i="24" s="1"/>
  <c r="V214" i="24"/>
  <c r="AD214" i="24" s="1"/>
  <c r="E215" i="24"/>
  <c r="F215" i="24"/>
  <c r="G215" i="24"/>
  <c r="H215" i="24"/>
  <c r="I215" i="24"/>
  <c r="Y215" i="24" s="1"/>
  <c r="J215" i="24"/>
  <c r="Z215" i="24" s="1"/>
  <c r="K215" i="24"/>
  <c r="L215" i="24"/>
  <c r="M215" i="24"/>
  <c r="AA215" i="24" s="1"/>
  <c r="Q215" i="24"/>
  <c r="R215" i="24"/>
  <c r="S215" i="24"/>
  <c r="T215" i="24"/>
  <c r="U215" i="24"/>
  <c r="AC215" i="24" s="1"/>
  <c r="V215" i="24"/>
  <c r="AD215" i="24" s="1"/>
  <c r="E216" i="24"/>
  <c r="F216" i="24"/>
  <c r="G216" i="24"/>
  <c r="H216" i="24"/>
  <c r="I216" i="24"/>
  <c r="Y216" i="24" s="1"/>
  <c r="J216" i="24"/>
  <c r="Z216" i="24" s="1"/>
  <c r="K216" i="24"/>
  <c r="L216" i="24"/>
  <c r="M216" i="24"/>
  <c r="AA216" i="24" s="1"/>
  <c r="Q216" i="24"/>
  <c r="R216" i="24"/>
  <c r="S216" i="24"/>
  <c r="T216" i="24"/>
  <c r="U216" i="24"/>
  <c r="AC216" i="24" s="1"/>
  <c r="V216" i="24"/>
  <c r="AD216" i="24" s="1"/>
  <c r="E217" i="24"/>
  <c r="F217" i="24"/>
  <c r="G217" i="24"/>
  <c r="H217" i="24"/>
  <c r="I217" i="24"/>
  <c r="Y217" i="24" s="1"/>
  <c r="J217" i="24"/>
  <c r="Z217" i="24" s="1"/>
  <c r="K217" i="24"/>
  <c r="L217" i="24"/>
  <c r="M217" i="24"/>
  <c r="AA217" i="24" s="1"/>
  <c r="Q217" i="24"/>
  <c r="R217" i="24"/>
  <c r="S217" i="24"/>
  <c r="T217" i="24"/>
  <c r="U217" i="24"/>
  <c r="AC217" i="24" s="1"/>
  <c r="V217" i="24"/>
  <c r="AD217" i="24" s="1"/>
  <c r="E218" i="24"/>
  <c r="F218" i="24"/>
  <c r="G218" i="24"/>
  <c r="H218" i="24"/>
  <c r="I218" i="24"/>
  <c r="Y218" i="24" s="1"/>
  <c r="J218" i="24"/>
  <c r="Z218" i="24" s="1"/>
  <c r="K218" i="24"/>
  <c r="L218" i="24"/>
  <c r="M218" i="24"/>
  <c r="AA218" i="24" s="1"/>
  <c r="Q218" i="24"/>
  <c r="R218" i="24"/>
  <c r="S218" i="24"/>
  <c r="T218" i="24"/>
  <c r="U218" i="24"/>
  <c r="AC218" i="24" s="1"/>
  <c r="V218" i="24"/>
  <c r="AD218" i="24" s="1"/>
  <c r="E219" i="24"/>
  <c r="F219" i="24"/>
  <c r="G219" i="24"/>
  <c r="H219" i="24"/>
  <c r="I219" i="24"/>
  <c r="Y219" i="24" s="1"/>
  <c r="J219" i="24"/>
  <c r="Z219" i="24" s="1"/>
  <c r="K219" i="24"/>
  <c r="L219" i="24"/>
  <c r="M219" i="24"/>
  <c r="AA219" i="24" s="1"/>
  <c r="Q219" i="24"/>
  <c r="R219" i="24"/>
  <c r="S219" i="24"/>
  <c r="T219" i="24"/>
  <c r="U219" i="24"/>
  <c r="AC219" i="24" s="1"/>
  <c r="V219" i="24"/>
  <c r="AD219" i="24" s="1"/>
  <c r="E220" i="24"/>
  <c r="F220" i="24"/>
  <c r="G220" i="24"/>
  <c r="H220" i="24"/>
  <c r="I220" i="24"/>
  <c r="Y220" i="24" s="1"/>
  <c r="J220" i="24"/>
  <c r="Z220" i="24" s="1"/>
  <c r="K220" i="24"/>
  <c r="L220" i="24"/>
  <c r="M220" i="24"/>
  <c r="AA220" i="24" s="1"/>
  <c r="Q220" i="24"/>
  <c r="R220" i="24"/>
  <c r="S220" i="24"/>
  <c r="T220" i="24"/>
  <c r="U220" i="24"/>
  <c r="AC220" i="24" s="1"/>
  <c r="V220" i="24"/>
  <c r="AD220" i="24" s="1"/>
  <c r="E221" i="24"/>
  <c r="F221" i="24"/>
  <c r="G221" i="24"/>
  <c r="H221" i="24"/>
  <c r="I221" i="24"/>
  <c r="Y221" i="24" s="1"/>
  <c r="J221" i="24"/>
  <c r="Z221" i="24" s="1"/>
  <c r="K221" i="24"/>
  <c r="L221" i="24"/>
  <c r="M221" i="24"/>
  <c r="AA221" i="24" s="1"/>
  <c r="Q221" i="24"/>
  <c r="R221" i="24"/>
  <c r="S221" i="24"/>
  <c r="T221" i="24"/>
  <c r="U221" i="24"/>
  <c r="AC221" i="24" s="1"/>
  <c r="V221" i="24"/>
  <c r="AD221" i="24" s="1"/>
  <c r="E222" i="24"/>
  <c r="F222" i="24"/>
  <c r="G222" i="24"/>
  <c r="H222" i="24"/>
  <c r="I222" i="24"/>
  <c r="Y222" i="24" s="1"/>
  <c r="J222" i="24"/>
  <c r="Z222" i="24" s="1"/>
  <c r="K222" i="24"/>
  <c r="L222" i="24"/>
  <c r="M222" i="24"/>
  <c r="AA222" i="24" s="1"/>
  <c r="Q222" i="24"/>
  <c r="R222" i="24"/>
  <c r="S222" i="24"/>
  <c r="T222" i="24"/>
  <c r="U222" i="24"/>
  <c r="AC222" i="24" s="1"/>
  <c r="V222" i="24"/>
  <c r="AD222" i="24" s="1"/>
  <c r="E223" i="24"/>
  <c r="F223" i="24"/>
  <c r="G223" i="24"/>
  <c r="H223" i="24"/>
  <c r="I223" i="24"/>
  <c r="Y223" i="24" s="1"/>
  <c r="J223" i="24"/>
  <c r="Z223" i="24" s="1"/>
  <c r="K223" i="24"/>
  <c r="L223" i="24"/>
  <c r="M223" i="24"/>
  <c r="AA223" i="24" s="1"/>
  <c r="Q223" i="24"/>
  <c r="R223" i="24"/>
  <c r="S223" i="24"/>
  <c r="T223" i="24"/>
  <c r="U223" i="24"/>
  <c r="AC223" i="24" s="1"/>
  <c r="V223" i="24"/>
  <c r="AD223" i="24" s="1"/>
  <c r="E224" i="24"/>
  <c r="F224" i="24"/>
  <c r="G224" i="24"/>
  <c r="H224" i="24"/>
  <c r="I224" i="24"/>
  <c r="Y224" i="24" s="1"/>
  <c r="J224" i="24"/>
  <c r="Z224" i="24" s="1"/>
  <c r="K224" i="24"/>
  <c r="L224" i="24"/>
  <c r="M224" i="24"/>
  <c r="AA224" i="24" s="1"/>
  <c r="Q224" i="24"/>
  <c r="R224" i="24"/>
  <c r="S224" i="24"/>
  <c r="T224" i="24"/>
  <c r="U224" i="24"/>
  <c r="AC224" i="24" s="1"/>
  <c r="V224" i="24"/>
  <c r="AD224" i="24" s="1"/>
  <c r="E225" i="24"/>
  <c r="F225" i="24"/>
  <c r="G225" i="24"/>
  <c r="H225" i="24"/>
  <c r="I225" i="24"/>
  <c r="Y225" i="24" s="1"/>
  <c r="J225" i="24"/>
  <c r="Z225" i="24" s="1"/>
  <c r="K225" i="24"/>
  <c r="L225" i="24"/>
  <c r="M225" i="24"/>
  <c r="AA225" i="24" s="1"/>
  <c r="Q225" i="24"/>
  <c r="R225" i="24"/>
  <c r="S225" i="24"/>
  <c r="T225" i="24"/>
  <c r="U225" i="24"/>
  <c r="AC225" i="24" s="1"/>
  <c r="V225" i="24"/>
  <c r="AD225" i="24" s="1"/>
  <c r="E226" i="24"/>
  <c r="F226" i="24"/>
  <c r="G226" i="24"/>
  <c r="H226" i="24"/>
  <c r="I226" i="24"/>
  <c r="Y226" i="24" s="1"/>
  <c r="J226" i="24"/>
  <c r="Z226" i="24" s="1"/>
  <c r="K226" i="24"/>
  <c r="L226" i="24"/>
  <c r="M226" i="24"/>
  <c r="AA226" i="24" s="1"/>
  <c r="Q226" i="24"/>
  <c r="R226" i="24"/>
  <c r="S226" i="24"/>
  <c r="T226" i="24"/>
  <c r="U226" i="24"/>
  <c r="AC226" i="24" s="1"/>
  <c r="V226" i="24"/>
  <c r="AD226" i="24" s="1"/>
  <c r="E227" i="24"/>
  <c r="F227" i="24"/>
  <c r="G227" i="24"/>
  <c r="H227" i="24"/>
  <c r="I227" i="24"/>
  <c r="Y227" i="24" s="1"/>
  <c r="J227" i="24"/>
  <c r="Z227" i="24" s="1"/>
  <c r="K227" i="24"/>
  <c r="L227" i="24"/>
  <c r="M227" i="24"/>
  <c r="AA227" i="24" s="1"/>
  <c r="Q227" i="24"/>
  <c r="R227" i="24"/>
  <c r="S227" i="24"/>
  <c r="T227" i="24"/>
  <c r="U227" i="24"/>
  <c r="AC227" i="24" s="1"/>
  <c r="V227" i="24"/>
  <c r="AD227" i="24" s="1"/>
  <c r="E228" i="24"/>
  <c r="F228" i="24"/>
  <c r="G228" i="24"/>
  <c r="H228" i="24"/>
  <c r="I228" i="24"/>
  <c r="Y228" i="24" s="1"/>
  <c r="J228" i="24"/>
  <c r="Z228" i="24" s="1"/>
  <c r="K228" i="24"/>
  <c r="L228" i="24"/>
  <c r="M228" i="24"/>
  <c r="AA228" i="24" s="1"/>
  <c r="Q228" i="24"/>
  <c r="R228" i="24"/>
  <c r="S228" i="24"/>
  <c r="T228" i="24"/>
  <c r="U228" i="24"/>
  <c r="AC228" i="24" s="1"/>
  <c r="V228" i="24"/>
  <c r="AD228" i="24" s="1"/>
  <c r="E229" i="24"/>
  <c r="F229" i="24"/>
  <c r="G229" i="24"/>
  <c r="H229" i="24"/>
  <c r="I229" i="24"/>
  <c r="Y229" i="24" s="1"/>
  <c r="J229" i="24"/>
  <c r="Z229" i="24" s="1"/>
  <c r="K229" i="24"/>
  <c r="L229" i="24"/>
  <c r="M229" i="24"/>
  <c r="AA229" i="24" s="1"/>
  <c r="Q229" i="24"/>
  <c r="R229" i="24"/>
  <c r="S229" i="24"/>
  <c r="T229" i="24"/>
  <c r="U229" i="24"/>
  <c r="AC229" i="24" s="1"/>
  <c r="V229" i="24"/>
  <c r="AD229" i="24" s="1"/>
  <c r="E230" i="24"/>
  <c r="F230" i="24"/>
  <c r="G230" i="24"/>
  <c r="H230" i="24"/>
  <c r="I230" i="24"/>
  <c r="Y230" i="24" s="1"/>
  <c r="J230" i="24"/>
  <c r="Z230" i="24" s="1"/>
  <c r="K230" i="24"/>
  <c r="L230" i="24"/>
  <c r="M230" i="24"/>
  <c r="AA230" i="24" s="1"/>
  <c r="Q230" i="24"/>
  <c r="R230" i="24"/>
  <c r="S230" i="24"/>
  <c r="T230" i="24"/>
  <c r="U230" i="24"/>
  <c r="AC230" i="24" s="1"/>
  <c r="V230" i="24"/>
  <c r="AD230" i="24" s="1"/>
  <c r="E231" i="24"/>
  <c r="F231" i="24"/>
  <c r="G231" i="24"/>
  <c r="H231" i="24"/>
  <c r="I231" i="24"/>
  <c r="Y231" i="24" s="1"/>
  <c r="J231" i="24"/>
  <c r="Z231" i="24" s="1"/>
  <c r="K231" i="24"/>
  <c r="L231" i="24"/>
  <c r="M231" i="24"/>
  <c r="AA231" i="24" s="1"/>
  <c r="Q231" i="24"/>
  <c r="R231" i="24"/>
  <c r="S231" i="24"/>
  <c r="T231" i="24"/>
  <c r="U231" i="24"/>
  <c r="AC231" i="24" s="1"/>
  <c r="V231" i="24"/>
  <c r="AD231" i="24" s="1"/>
  <c r="E232" i="24"/>
  <c r="F232" i="24"/>
  <c r="G232" i="24"/>
  <c r="H232" i="24"/>
  <c r="I232" i="24"/>
  <c r="Y232" i="24" s="1"/>
  <c r="J232" i="24"/>
  <c r="Z232" i="24" s="1"/>
  <c r="K232" i="24"/>
  <c r="L232" i="24"/>
  <c r="M232" i="24"/>
  <c r="AA232" i="24" s="1"/>
  <c r="Q232" i="24"/>
  <c r="R232" i="24"/>
  <c r="S232" i="24"/>
  <c r="T232" i="24"/>
  <c r="U232" i="24"/>
  <c r="AC232" i="24" s="1"/>
  <c r="V232" i="24"/>
  <c r="AD232" i="24" s="1"/>
  <c r="E233" i="24"/>
  <c r="F233" i="24"/>
  <c r="G233" i="24"/>
  <c r="H233" i="24"/>
  <c r="I233" i="24"/>
  <c r="Y233" i="24" s="1"/>
  <c r="J233" i="24"/>
  <c r="Z233" i="24" s="1"/>
  <c r="K233" i="24"/>
  <c r="L233" i="24"/>
  <c r="M233" i="24"/>
  <c r="AA233" i="24" s="1"/>
  <c r="Q233" i="24"/>
  <c r="R233" i="24"/>
  <c r="S233" i="24"/>
  <c r="T233" i="24"/>
  <c r="U233" i="24"/>
  <c r="AC233" i="24" s="1"/>
  <c r="V233" i="24"/>
  <c r="AD233" i="24" s="1"/>
  <c r="E234" i="24"/>
  <c r="F234" i="24"/>
  <c r="G234" i="24"/>
  <c r="H234" i="24"/>
  <c r="I234" i="24"/>
  <c r="Y234" i="24" s="1"/>
  <c r="J234" i="24"/>
  <c r="Z234" i="24" s="1"/>
  <c r="K234" i="24"/>
  <c r="L234" i="24"/>
  <c r="M234" i="24"/>
  <c r="AA234" i="24" s="1"/>
  <c r="Q234" i="24"/>
  <c r="R234" i="24"/>
  <c r="S234" i="24"/>
  <c r="T234" i="24"/>
  <c r="U234" i="24"/>
  <c r="AC234" i="24" s="1"/>
  <c r="V234" i="24"/>
  <c r="AD234" i="24" s="1"/>
  <c r="E235" i="24"/>
  <c r="F235" i="24"/>
  <c r="G235" i="24"/>
  <c r="H235" i="24"/>
  <c r="I235" i="24"/>
  <c r="Y235" i="24" s="1"/>
  <c r="J235" i="24"/>
  <c r="Z235" i="24" s="1"/>
  <c r="K235" i="24"/>
  <c r="L235" i="24"/>
  <c r="M235" i="24"/>
  <c r="AA235" i="24" s="1"/>
  <c r="Q235" i="24"/>
  <c r="R235" i="24"/>
  <c r="S235" i="24"/>
  <c r="T235" i="24"/>
  <c r="U235" i="24"/>
  <c r="AC235" i="24" s="1"/>
  <c r="V235" i="24"/>
  <c r="AD235" i="24" s="1"/>
  <c r="E236" i="24"/>
  <c r="F236" i="24"/>
  <c r="G236" i="24"/>
  <c r="H236" i="24"/>
  <c r="I236" i="24"/>
  <c r="Y236" i="24" s="1"/>
  <c r="J236" i="24"/>
  <c r="Z236" i="24" s="1"/>
  <c r="K236" i="24"/>
  <c r="L236" i="24"/>
  <c r="M236" i="24"/>
  <c r="AA236" i="24" s="1"/>
  <c r="Q236" i="24"/>
  <c r="R236" i="24"/>
  <c r="S236" i="24"/>
  <c r="T236" i="24"/>
  <c r="U236" i="24"/>
  <c r="AC236" i="24" s="1"/>
  <c r="V236" i="24"/>
  <c r="AD236" i="24" s="1"/>
  <c r="E237" i="24"/>
  <c r="F237" i="24"/>
  <c r="G237" i="24"/>
  <c r="H237" i="24"/>
  <c r="I237" i="24"/>
  <c r="Y237" i="24" s="1"/>
  <c r="J237" i="24"/>
  <c r="Z237" i="24" s="1"/>
  <c r="K237" i="24"/>
  <c r="L237" i="24"/>
  <c r="M237" i="24"/>
  <c r="AA237" i="24" s="1"/>
  <c r="Q237" i="24"/>
  <c r="R237" i="24"/>
  <c r="S237" i="24"/>
  <c r="T237" i="24"/>
  <c r="U237" i="24"/>
  <c r="AC237" i="24" s="1"/>
  <c r="V237" i="24"/>
  <c r="AD237" i="24" s="1"/>
  <c r="E238" i="24"/>
  <c r="F238" i="24"/>
  <c r="G238" i="24"/>
  <c r="H238" i="24"/>
  <c r="I238" i="24"/>
  <c r="Y238" i="24" s="1"/>
  <c r="J238" i="24"/>
  <c r="Z238" i="24" s="1"/>
  <c r="K238" i="24"/>
  <c r="L238" i="24"/>
  <c r="M238" i="24"/>
  <c r="AA238" i="24" s="1"/>
  <c r="Q238" i="24"/>
  <c r="R238" i="24"/>
  <c r="S238" i="24"/>
  <c r="T238" i="24"/>
  <c r="U238" i="24"/>
  <c r="AC238" i="24" s="1"/>
  <c r="V238" i="24"/>
  <c r="AD238" i="24" s="1"/>
  <c r="E239" i="24"/>
  <c r="F239" i="24"/>
  <c r="G239" i="24"/>
  <c r="H239" i="24"/>
  <c r="I239" i="24"/>
  <c r="Y239" i="24" s="1"/>
  <c r="J239" i="24"/>
  <c r="Z239" i="24" s="1"/>
  <c r="K239" i="24"/>
  <c r="L239" i="24"/>
  <c r="M239" i="24"/>
  <c r="AA239" i="24" s="1"/>
  <c r="Q239" i="24"/>
  <c r="R239" i="24"/>
  <c r="S239" i="24"/>
  <c r="T239" i="24"/>
  <c r="U239" i="24"/>
  <c r="AC239" i="24" s="1"/>
  <c r="V239" i="24"/>
  <c r="AD239" i="24" s="1"/>
  <c r="E240" i="24"/>
  <c r="F240" i="24"/>
  <c r="G240" i="24"/>
  <c r="H240" i="24"/>
  <c r="I240" i="24"/>
  <c r="Y240" i="24" s="1"/>
  <c r="J240" i="24"/>
  <c r="Z240" i="24" s="1"/>
  <c r="K240" i="24"/>
  <c r="L240" i="24"/>
  <c r="M240" i="24"/>
  <c r="AA240" i="24" s="1"/>
  <c r="Q240" i="24"/>
  <c r="R240" i="24"/>
  <c r="S240" i="24"/>
  <c r="T240" i="24"/>
  <c r="U240" i="24"/>
  <c r="AC240" i="24" s="1"/>
  <c r="V240" i="24"/>
  <c r="AD240" i="24" s="1"/>
  <c r="E241" i="24"/>
  <c r="F241" i="24"/>
  <c r="G241" i="24"/>
  <c r="H241" i="24"/>
  <c r="I241" i="24"/>
  <c r="Y241" i="24" s="1"/>
  <c r="J241" i="24"/>
  <c r="Z241" i="24" s="1"/>
  <c r="K241" i="24"/>
  <c r="L241" i="24"/>
  <c r="M241" i="24"/>
  <c r="AA241" i="24" s="1"/>
  <c r="Q241" i="24"/>
  <c r="R241" i="24"/>
  <c r="S241" i="24"/>
  <c r="T241" i="24"/>
  <c r="U241" i="24"/>
  <c r="AC241" i="24" s="1"/>
  <c r="V241" i="24"/>
  <c r="AD241" i="24" s="1"/>
  <c r="E242" i="24"/>
  <c r="F242" i="24"/>
  <c r="G242" i="24"/>
  <c r="H242" i="24"/>
  <c r="I242" i="24"/>
  <c r="Y242" i="24" s="1"/>
  <c r="J242" i="24"/>
  <c r="Z242" i="24" s="1"/>
  <c r="K242" i="24"/>
  <c r="L242" i="24"/>
  <c r="M242" i="24"/>
  <c r="AA242" i="24" s="1"/>
  <c r="Q242" i="24"/>
  <c r="R242" i="24"/>
  <c r="S242" i="24"/>
  <c r="T242" i="24"/>
  <c r="U242" i="24"/>
  <c r="AC242" i="24" s="1"/>
  <c r="V242" i="24"/>
  <c r="AD242" i="24" s="1"/>
  <c r="E243" i="24"/>
  <c r="F243" i="24"/>
  <c r="G243" i="24"/>
  <c r="H243" i="24"/>
  <c r="I243" i="24"/>
  <c r="Y243" i="24" s="1"/>
  <c r="J243" i="24"/>
  <c r="Z243" i="24" s="1"/>
  <c r="K243" i="24"/>
  <c r="L243" i="24"/>
  <c r="M243" i="24"/>
  <c r="AA243" i="24" s="1"/>
  <c r="Q243" i="24"/>
  <c r="R243" i="24"/>
  <c r="S243" i="24"/>
  <c r="T243" i="24"/>
  <c r="U243" i="24"/>
  <c r="AC243" i="24" s="1"/>
  <c r="V243" i="24"/>
  <c r="AD243" i="24" s="1"/>
  <c r="E244" i="24"/>
  <c r="F244" i="24"/>
  <c r="G244" i="24"/>
  <c r="H244" i="24"/>
  <c r="I244" i="24"/>
  <c r="Y244" i="24" s="1"/>
  <c r="J244" i="24"/>
  <c r="Z244" i="24" s="1"/>
  <c r="K244" i="24"/>
  <c r="L244" i="24"/>
  <c r="M244" i="24"/>
  <c r="AA244" i="24" s="1"/>
  <c r="Q244" i="24"/>
  <c r="R244" i="24"/>
  <c r="S244" i="24"/>
  <c r="T244" i="24"/>
  <c r="U244" i="24"/>
  <c r="AC244" i="24" s="1"/>
  <c r="V244" i="24"/>
  <c r="AD244" i="24" s="1"/>
  <c r="E245" i="24"/>
  <c r="F245" i="24"/>
  <c r="G245" i="24"/>
  <c r="H245" i="24"/>
  <c r="I245" i="24"/>
  <c r="Y245" i="24" s="1"/>
  <c r="J245" i="24"/>
  <c r="Z245" i="24" s="1"/>
  <c r="K245" i="24"/>
  <c r="L245" i="24"/>
  <c r="M245" i="24"/>
  <c r="AA245" i="24" s="1"/>
  <c r="Q245" i="24"/>
  <c r="R245" i="24"/>
  <c r="S245" i="24"/>
  <c r="T245" i="24"/>
  <c r="U245" i="24"/>
  <c r="AC245" i="24" s="1"/>
  <c r="V245" i="24"/>
  <c r="AD245" i="24" s="1"/>
  <c r="E246" i="24"/>
  <c r="F246" i="24"/>
  <c r="G246" i="24"/>
  <c r="H246" i="24"/>
  <c r="I246" i="24"/>
  <c r="Y246" i="24" s="1"/>
  <c r="J246" i="24"/>
  <c r="Z246" i="24" s="1"/>
  <c r="K246" i="24"/>
  <c r="L246" i="24"/>
  <c r="M246" i="24"/>
  <c r="AA246" i="24" s="1"/>
  <c r="Q246" i="24"/>
  <c r="R246" i="24"/>
  <c r="S246" i="24"/>
  <c r="T246" i="24"/>
  <c r="U246" i="24"/>
  <c r="AC246" i="24" s="1"/>
  <c r="V246" i="24"/>
  <c r="AD246" i="24" s="1"/>
  <c r="E247" i="24"/>
  <c r="F247" i="24"/>
  <c r="G247" i="24"/>
  <c r="H247" i="24"/>
  <c r="I247" i="24"/>
  <c r="Y247" i="24" s="1"/>
  <c r="J247" i="24"/>
  <c r="Z247" i="24" s="1"/>
  <c r="K247" i="24"/>
  <c r="L247" i="24"/>
  <c r="M247" i="24"/>
  <c r="AA247" i="24" s="1"/>
  <c r="Q247" i="24"/>
  <c r="R247" i="24"/>
  <c r="S247" i="24"/>
  <c r="T247" i="24"/>
  <c r="U247" i="24"/>
  <c r="AC247" i="24" s="1"/>
  <c r="V247" i="24"/>
  <c r="AD247" i="24" s="1"/>
  <c r="E248" i="24"/>
  <c r="F248" i="24"/>
  <c r="G248" i="24"/>
  <c r="H248" i="24"/>
  <c r="I248" i="24"/>
  <c r="Y248" i="24" s="1"/>
  <c r="J248" i="24"/>
  <c r="Z248" i="24" s="1"/>
  <c r="K248" i="24"/>
  <c r="L248" i="24"/>
  <c r="M248" i="24"/>
  <c r="AA248" i="24" s="1"/>
  <c r="Q248" i="24"/>
  <c r="R248" i="24"/>
  <c r="S248" i="24"/>
  <c r="T248" i="24"/>
  <c r="U248" i="24"/>
  <c r="AC248" i="24" s="1"/>
  <c r="V248" i="24"/>
  <c r="AD248" i="24" s="1"/>
  <c r="E249" i="24"/>
  <c r="F249" i="24"/>
  <c r="G249" i="24"/>
  <c r="H249" i="24"/>
  <c r="I249" i="24"/>
  <c r="Y249" i="24" s="1"/>
  <c r="J249" i="24"/>
  <c r="Z249" i="24" s="1"/>
  <c r="K249" i="24"/>
  <c r="L249" i="24"/>
  <c r="M249" i="24"/>
  <c r="AA249" i="24" s="1"/>
  <c r="Q249" i="24"/>
  <c r="R249" i="24"/>
  <c r="S249" i="24"/>
  <c r="T249" i="24"/>
  <c r="U249" i="24"/>
  <c r="AC249" i="24" s="1"/>
  <c r="V249" i="24"/>
  <c r="AD249" i="24" s="1"/>
  <c r="E250" i="24"/>
  <c r="F250" i="24"/>
  <c r="G250" i="24"/>
  <c r="H250" i="24"/>
  <c r="I250" i="24"/>
  <c r="Y250" i="24" s="1"/>
  <c r="J250" i="24"/>
  <c r="Z250" i="24" s="1"/>
  <c r="K250" i="24"/>
  <c r="L250" i="24"/>
  <c r="M250" i="24"/>
  <c r="AA250" i="24" s="1"/>
  <c r="Q250" i="24"/>
  <c r="R250" i="24"/>
  <c r="S250" i="24"/>
  <c r="T250" i="24"/>
  <c r="U250" i="24"/>
  <c r="AC250" i="24" s="1"/>
  <c r="V250" i="24"/>
  <c r="AD250" i="24" s="1"/>
  <c r="E251" i="24"/>
  <c r="F251" i="24"/>
  <c r="G251" i="24"/>
  <c r="H251" i="24"/>
  <c r="I251" i="24"/>
  <c r="Y251" i="24" s="1"/>
  <c r="J251" i="24"/>
  <c r="Z251" i="24" s="1"/>
  <c r="K251" i="24"/>
  <c r="L251" i="24"/>
  <c r="M251" i="24"/>
  <c r="AA251" i="24" s="1"/>
  <c r="Q251" i="24"/>
  <c r="R251" i="24"/>
  <c r="S251" i="24"/>
  <c r="T251" i="24"/>
  <c r="U251" i="24"/>
  <c r="AC251" i="24" s="1"/>
  <c r="V251" i="24"/>
  <c r="AD251" i="24" s="1"/>
  <c r="E252" i="24"/>
  <c r="F252" i="24"/>
  <c r="G252" i="24"/>
  <c r="H252" i="24"/>
  <c r="I252" i="24"/>
  <c r="Y252" i="24" s="1"/>
  <c r="J252" i="24"/>
  <c r="Z252" i="24" s="1"/>
  <c r="K252" i="24"/>
  <c r="L252" i="24"/>
  <c r="M252" i="24"/>
  <c r="AA252" i="24" s="1"/>
  <c r="Q252" i="24"/>
  <c r="R252" i="24"/>
  <c r="S252" i="24"/>
  <c r="T252" i="24"/>
  <c r="U252" i="24"/>
  <c r="AC252" i="24" s="1"/>
  <c r="V252" i="24"/>
  <c r="AD252" i="24" s="1"/>
  <c r="E253" i="24"/>
  <c r="F253" i="24"/>
  <c r="G253" i="24"/>
  <c r="H253" i="24"/>
  <c r="I253" i="24"/>
  <c r="Y253" i="24" s="1"/>
  <c r="J253" i="24"/>
  <c r="Z253" i="24" s="1"/>
  <c r="K253" i="24"/>
  <c r="L253" i="24"/>
  <c r="M253" i="24"/>
  <c r="AA253" i="24" s="1"/>
  <c r="Q253" i="24"/>
  <c r="R253" i="24"/>
  <c r="S253" i="24"/>
  <c r="T253" i="24"/>
  <c r="U253" i="24"/>
  <c r="AC253" i="24" s="1"/>
  <c r="V253" i="24"/>
  <c r="AD253" i="24" s="1"/>
  <c r="E254" i="24"/>
  <c r="F254" i="24"/>
  <c r="G254" i="24"/>
  <c r="H254" i="24"/>
  <c r="I254" i="24"/>
  <c r="Y254" i="24" s="1"/>
  <c r="J254" i="24"/>
  <c r="Z254" i="24" s="1"/>
  <c r="K254" i="24"/>
  <c r="L254" i="24"/>
  <c r="M254" i="24"/>
  <c r="AA254" i="24" s="1"/>
  <c r="Q254" i="24"/>
  <c r="R254" i="24"/>
  <c r="S254" i="24"/>
  <c r="T254" i="24"/>
  <c r="U254" i="24"/>
  <c r="AC254" i="24" s="1"/>
  <c r="V254" i="24"/>
  <c r="AD254" i="24" s="1"/>
  <c r="E255" i="24"/>
  <c r="F255" i="24"/>
  <c r="G255" i="24"/>
  <c r="H255" i="24"/>
  <c r="I255" i="24"/>
  <c r="Y255" i="24" s="1"/>
  <c r="J255" i="24"/>
  <c r="Z255" i="24" s="1"/>
  <c r="K255" i="24"/>
  <c r="L255" i="24"/>
  <c r="M255" i="24"/>
  <c r="AA255" i="24" s="1"/>
  <c r="Q255" i="24"/>
  <c r="R255" i="24"/>
  <c r="S255" i="24"/>
  <c r="T255" i="24"/>
  <c r="U255" i="24"/>
  <c r="AC255" i="24" s="1"/>
  <c r="V255" i="24"/>
  <c r="AD255" i="24" s="1"/>
  <c r="E256" i="24"/>
  <c r="F256" i="24"/>
  <c r="G256" i="24"/>
  <c r="H256" i="24"/>
  <c r="I256" i="24"/>
  <c r="Y256" i="24" s="1"/>
  <c r="J256" i="24"/>
  <c r="Z256" i="24" s="1"/>
  <c r="K256" i="24"/>
  <c r="L256" i="24"/>
  <c r="M256" i="24"/>
  <c r="AA256" i="24" s="1"/>
  <c r="Q256" i="24"/>
  <c r="R256" i="24"/>
  <c r="S256" i="24"/>
  <c r="T256" i="24"/>
  <c r="U256" i="24"/>
  <c r="AC256" i="24" s="1"/>
  <c r="V256" i="24"/>
  <c r="AD256" i="24" s="1"/>
  <c r="E257" i="24"/>
  <c r="F257" i="24"/>
  <c r="G257" i="24"/>
  <c r="H257" i="24"/>
  <c r="I257" i="24"/>
  <c r="Y257" i="24" s="1"/>
  <c r="J257" i="24"/>
  <c r="Z257" i="24" s="1"/>
  <c r="K257" i="24"/>
  <c r="L257" i="24"/>
  <c r="M257" i="24"/>
  <c r="AA257" i="24" s="1"/>
  <c r="Q257" i="24"/>
  <c r="R257" i="24"/>
  <c r="S257" i="24"/>
  <c r="T257" i="24"/>
  <c r="U257" i="24"/>
  <c r="AC257" i="24" s="1"/>
  <c r="V257" i="24"/>
  <c r="AD257" i="24" s="1"/>
  <c r="E258" i="24"/>
  <c r="F258" i="24"/>
  <c r="G258" i="24"/>
  <c r="H258" i="24"/>
  <c r="I258" i="24"/>
  <c r="Y258" i="24" s="1"/>
  <c r="J258" i="24"/>
  <c r="Z258" i="24" s="1"/>
  <c r="K258" i="24"/>
  <c r="L258" i="24"/>
  <c r="M258" i="24"/>
  <c r="AA258" i="24" s="1"/>
  <c r="Q258" i="24"/>
  <c r="R258" i="24"/>
  <c r="S258" i="24"/>
  <c r="T258" i="24"/>
  <c r="U258" i="24"/>
  <c r="AC258" i="24" s="1"/>
  <c r="V258" i="24"/>
  <c r="AD258" i="24" s="1"/>
  <c r="E259" i="24"/>
  <c r="F259" i="24"/>
  <c r="G259" i="24"/>
  <c r="H259" i="24"/>
  <c r="I259" i="24"/>
  <c r="Y259" i="24" s="1"/>
  <c r="J259" i="24"/>
  <c r="Z259" i="24" s="1"/>
  <c r="K259" i="24"/>
  <c r="L259" i="24"/>
  <c r="M259" i="24"/>
  <c r="AA259" i="24" s="1"/>
  <c r="Q259" i="24"/>
  <c r="R259" i="24"/>
  <c r="S259" i="24"/>
  <c r="T259" i="24"/>
  <c r="U259" i="24"/>
  <c r="AC259" i="24" s="1"/>
  <c r="V259" i="24"/>
  <c r="AD259" i="24" s="1"/>
  <c r="E260" i="24"/>
  <c r="F260" i="24"/>
  <c r="G260" i="24"/>
  <c r="H260" i="24"/>
  <c r="I260" i="24"/>
  <c r="Y260" i="24" s="1"/>
  <c r="J260" i="24"/>
  <c r="Z260" i="24" s="1"/>
  <c r="K260" i="24"/>
  <c r="L260" i="24"/>
  <c r="M260" i="24"/>
  <c r="AA260" i="24" s="1"/>
  <c r="Q260" i="24"/>
  <c r="R260" i="24"/>
  <c r="S260" i="24"/>
  <c r="T260" i="24"/>
  <c r="U260" i="24"/>
  <c r="AC260" i="24" s="1"/>
  <c r="V260" i="24"/>
  <c r="AD260" i="24" s="1"/>
  <c r="E261" i="24"/>
  <c r="F261" i="24"/>
  <c r="G261" i="24"/>
  <c r="H261" i="24"/>
  <c r="I261" i="24"/>
  <c r="Y261" i="24" s="1"/>
  <c r="J261" i="24"/>
  <c r="Z261" i="24" s="1"/>
  <c r="K261" i="24"/>
  <c r="L261" i="24"/>
  <c r="M261" i="24"/>
  <c r="AA261" i="24" s="1"/>
  <c r="Q261" i="24"/>
  <c r="R261" i="24"/>
  <c r="S261" i="24"/>
  <c r="T261" i="24"/>
  <c r="U261" i="24"/>
  <c r="AC261" i="24" s="1"/>
  <c r="V261" i="24"/>
  <c r="AD261" i="24" s="1"/>
  <c r="E262" i="24"/>
  <c r="F262" i="24"/>
  <c r="G262" i="24"/>
  <c r="H262" i="24"/>
  <c r="I262" i="24"/>
  <c r="Y262" i="24" s="1"/>
  <c r="J262" i="24"/>
  <c r="Z262" i="24" s="1"/>
  <c r="K262" i="24"/>
  <c r="L262" i="24"/>
  <c r="M262" i="24"/>
  <c r="AA262" i="24" s="1"/>
  <c r="Q262" i="24"/>
  <c r="R262" i="24"/>
  <c r="S262" i="24"/>
  <c r="T262" i="24"/>
  <c r="U262" i="24"/>
  <c r="AC262" i="24" s="1"/>
  <c r="V262" i="24"/>
  <c r="AD262" i="24" s="1"/>
  <c r="E263" i="24"/>
  <c r="F263" i="24"/>
  <c r="G263" i="24"/>
  <c r="H263" i="24"/>
  <c r="I263" i="24"/>
  <c r="Y263" i="24" s="1"/>
  <c r="J263" i="24"/>
  <c r="Z263" i="24" s="1"/>
  <c r="K263" i="24"/>
  <c r="L263" i="24"/>
  <c r="M263" i="24"/>
  <c r="AA263" i="24" s="1"/>
  <c r="Q263" i="24"/>
  <c r="R263" i="24"/>
  <c r="S263" i="24"/>
  <c r="T263" i="24"/>
  <c r="U263" i="24"/>
  <c r="AC263" i="24" s="1"/>
  <c r="V263" i="24"/>
  <c r="AD263" i="24" s="1"/>
  <c r="E264" i="24"/>
  <c r="F264" i="24"/>
  <c r="G264" i="24"/>
  <c r="H264" i="24"/>
  <c r="I264" i="24"/>
  <c r="Y264" i="24" s="1"/>
  <c r="J264" i="24"/>
  <c r="Z264" i="24" s="1"/>
  <c r="K264" i="24"/>
  <c r="L264" i="24"/>
  <c r="M264" i="24"/>
  <c r="AA264" i="24" s="1"/>
  <c r="Q264" i="24"/>
  <c r="R264" i="24"/>
  <c r="S264" i="24"/>
  <c r="T264" i="24"/>
  <c r="U264" i="24"/>
  <c r="AC264" i="24" s="1"/>
  <c r="V264" i="24"/>
  <c r="AD264" i="24" s="1"/>
  <c r="E265" i="24"/>
  <c r="F265" i="24"/>
  <c r="G265" i="24"/>
  <c r="H265" i="24"/>
  <c r="I265" i="24"/>
  <c r="Y265" i="24" s="1"/>
  <c r="J265" i="24"/>
  <c r="Z265" i="24" s="1"/>
  <c r="K265" i="24"/>
  <c r="L265" i="24"/>
  <c r="M265" i="24"/>
  <c r="AA265" i="24" s="1"/>
  <c r="Q265" i="24"/>
  <c r="R265" i="24"/>
  <c r="S265" i="24"/>
  <c r="T265" i="24"/>
  <c r="U265" i="24"/>
  <c r="AC265" i="24" s="1"/>
  <c r="V265" i="24"/>
  <c r="AD265" i="24" s="1"/>
  <c r="E266" i="24"/>
  <c r="F266" i="24"/>
  <c r="G266" i="24"/>
  <c r="H266" i="24"/>
  <c r="I266" i="24"/>
  <c r="Y266" i="24" s="1"/>
  <c r="J266" i="24"/>
  <c r="Z266" i="24" s="1"/>
  <c r="K266" i="24"/>
  <c r="L266" i="24"/>
  <c r="M266" i="24"/>
  <c r="AA266" i="24" s="1"/>
  <c r="Q266" i="24"/>
  <c r="R266" i="24"/>
  <c r="S266" i="24"/>
  <c r="T266" i="24"/>
  <c r="U266" i="24"/>
  <c r="AC266" i="24" s="1"/>
  <c r="V266" i="24"/>
  <c r="AD266" i="24" s="1"/>
  <c r="E267" i="24"/>
  <c r="F267" i="24"/>
  <c r="G267" i="24"/>
  <c r="H267" i="24"/>
  <c r="I267" i="24"/>
  <c r="Y267" i="24" s="1"/>
  <c r="J267" i="24"/>
  <c r="Z267" i="24" s="1"/>
  <c r="K267" i="24"/>
  <c r="L267" i="24"/>
  <c r="M267" i="24"/>
  <c r="AA267" i="24" s="1"/>
  <c r="Q267" i="24"/>
  <c r="R267" i="24"/>
  <c r="S267" i="24"/>
  <c r="T267" i="24"/>
  <c r="U267" i="24"/>
  <c r="AC267" i="24" s="1"/>
  <c r="V267" i="24"/>
  <c r="AD267" i="24" s="1"/>
  <c r="E268" i="24"/>
  <c r="F268" i="24"/>
  <c r="G268" i="24"/>
  <c r="H268" i="24"/>
  <c r="I268" i="24"/>
  <c r="Y268" i="24" s="1"/>
  <c r="J268" i="24"/>
  <c r="Z268" i="24" s="1"/>
  <c r="K268" i="24"/>
  <c r="L268" i="24"/>
  <c r="M268" i="24"/>
  <c r="AA268" i="24" s="1"/>
  <c r="Q268" i="24"/>
  <c r="R268" i="24"/>
  <c r="S268" i="24"/>
  <c r="T268" i="24"/>
  <c r="U268" i="24"/>
  <c r="AC268" i="24" s="1"/>
  <c r="V268" i="24"/>
  <c r="AD268" i="24" s="1"/>
  <c r="E269" i="24"/>
  <c r="F269" i="24"/>
  <c r="G269" i="24"/>
  <c r="H269" i="24"/>
  <c r="I269" i="24"/>
  <c r="Y269" i="24" s="1"/>
  <c r="J269" i="24"/>
  <c r="Z269" i="24" s="1"/>
  <c r="K269" i="24"/>
  <c r="L269" i="24"/>
  <c r="M269" i="24"/>
  <c r="AA269" i="24" s="1"/>
  <c r="Q269" i="24"/>
  <c r="R269" i="24"/>
  <c r="S269" i="24"/>
  <c r="T269" i="24"/>
  <c r="U269" i="24"/>
  <c r="AC269" i="24" s="1"/>
  <c r="V269" i="24"/>
  <c r="AD269" i="24" s="1"/>
  <c r="E270" i="24"/>
  <c r="F270" i="24"/>
  <c r="G270" i="24"/>
  <c r="H270" i="24"/>
  <c r="I270" i="24"/>
  <c r="Y270" i="24" s="1"/>
  <c r="J270" i="24"/>
  <c r="Z270" i="24" s="1"/>
  <c r="K270" i="24"/>
  <c r="L270" i="24"/>
  <c r="M270" i="24"/>
  <c r="AA270" i="24" s="1"/>
  <c r="Q270" i="24"/>
  <c r="R270" i="24"/>
  <c r="S270" i="24"/>
  <c r="T270" i="24"/>
  <c r="U270" i="24"/>
  <c r="AC270" i="24" s="1"/>
  <c r="V270" i="24"/>
  <c r="AD270" i="24" s="1"/>
  <c r="E271" i="24"/>
  <c r="F271" i="24"/>
  <c r="G271" i="24"/>
  <c r="H271" i="24"/>
  <c r="I271" i="24"/>
  <c r="Y271" i="24" s="1"/>
  <c r="J271" i="24"/>
  <c r="Z271" i="24" s="1"/>
  <c r="K271" i="24"/>
  <c r="L271" i="24"/>
  <c r="M271" i="24"/>
  <c r="AA271" i="24" s="1"/>
  <c r="Q271" i="24"/>
  <c r="R271" i="24"/>
  <c r="S271" i="24"/>
  <c r="T271" i="24"/>
  <c r="U271" i="24"/>
  <c r="AC271" i="24" s="1"/>
  <c r="V271" i="24"/>
  <c r="AD271" i="24" s="1"/>
  <c r="E272" i="24"/>
  <c r="F272" i="24"/>
  <c r="G272" i="24"/>
  <c r="H272" i="24"/>
  <c r="I272" i="24"/>
  <c r="Y272" i="24" s="1"/>
  <c r="J272" i="24"/>
  <c r="Z272" i="24" s="1"/>
  <c r="K272" i="24"/>
  <c r="L272" i="24"/>
  <c r="M272" i="24"/>
  <c r="AA272" i="24" s="1"/>
  <c r="Q272" i="24"/>
  <c r="R272" i="24"/>
  <c r="S272" i="24"/>
  <c r="T272" i="24"/>
  <c r="U272" i="24"/>
  <c r="AC272" i="24" s="1"/>
  <c r="V272" i="24"/>
  <c r="AD272" i="24" s="1"/>
  <c r="E273" i="24"/>
  <c r="F273" i="24"/>
  <c r="G273" i="24"/>
  <c r="H273" i="24"/>
  <c r="I273" i="24"/>
  <c r="Y273" i="24" s="1"/>
  <c r="J273" i="24"/>
  <c r="Z273" i="24" s="1"/>
  <c r="K273" i="24"/>
  <c r="L273" i="24"/>
  <c r="M273" i="24"/>
  <c r="AA273" i="24" s="1"/>
  <c r="Q273" i="24"/>
  <c r="R273" i="24"/>
  <c r="S273" i="24"/>
  <c r="T273" i="24"/>
  <c r="U273" i="24"/>
  <c r="AC273" i="24" s="1"/>
  <c r="V273" i="24"/>
  <c r="AD273" i="24" s="1"/>
  <c r="E274" i="24"/>
  <c r="F274" i="24"/>
  <c r="G274" i="24"/>
  <c r="H274" i="24"/>
  <c r="I274" i="24"/>
  <c r="Y274" i="24" s="1"/>
  <c r="J274" i="24"/>
  <c r="Z274" i="24" s="1"/>
  <c r="K274" i="24"/>
  <c r="L274" i="24"/>
  <c r="M274" i="24"/>
  <c r="AA274" i="24" s="1"/>
  <c r="Q274" i="24"/>
  <c r="R274" i="24"/>
  <c r="S274" i="24"/>
  <c r="T274" i="24"/>
  <c r="U274" i="24"/>
  <c r="AC274" i="24" s="1"/>
  <c r="V274" i="24"/>
  <c r="AD274" i="24" s="1"/>
  <c r="E275" i="24"/>
  <c r="F275" i="24"/>
  <c r="G275" i="24"/>
  <c r="H275" i="24"/>
  <c r="I275" i="24"/>
  <c r="Y275" i="24" s="1"/>
  <c r="J275" i="24"/>
  <c r="Z275" i="24" s="1"/>
  <c r="K275" i="24"/>
  <c r="L275" i="24"/>
  <c r="M275" i="24"/>
  <c r="AA275" i="24" s="1"/>
  <c r="Q275" i="24"/>
  <c r="R275" i="24"/>
  <c r="S275" i="24"/>
  <c r="T275" i="24"/>
  <c r="U275" i="24"/>
  <c r="AC275" i="24" s="1"/>
  <c r="V275" i="24"/>
  <c r="AD275" i="24" s="1"/>
  <c r="E276" i="24"/>
  <c r="F276" i="24"/>
  <c r="G276" i="24"/>
  <c r="H276" i="24"/>
  <c r="I276" i="24"/>
  <c r="Y276" i="24" s="1"/>
  <c r="J276" i="24"/>
  <c r="Z276" i="24" s="1"/>
  <c r="K276" i="24"/>
  <c r="L276" i="24"/>
  <c r="M276" i="24"/>
  <c r="AA276" i="24" s="1"/>
  <c r="Q276" i="24"/>
  <c r="R276" i="24"/>
  <c r="S276" i="24"/>
  <c r="T276" i="24"/>
  <c r="U276" i="24"/>
  <c r="AC276" i="24" s="1"/>
  <c r="V276" i="24"/>
  <c r="AD276" i="24" s="1"/>
  <c r="E277" i="24"/>
  <c r="F277" i="24"/>
  <c r="G277" i="24"/>
  <c r="H277" i="24"/>
  <c r="I277" i="24"/>
  <c r="Y277" i="24" s="1"/>
  <c r="J277" i="24"/>
  <c r="Z277" i="24" s="1"/>
  <c r="K277" i="24"/>
  <c r="L277" i="24"/>
  <c r="M277" i="24"/>
  <c r="AA277" i="24" s="1"/>
  <c r="Q277" i="24"/>
  <c r="R277" i="24"/>
  <c r="S277" i="24"/>
  <c r="T277" i="24"/>
  <c r="U277" i="24"/>
  <c r="AC277" i="24" s="1"/>
  <c r="V277" i="24"/>
  <c r="AD277" i="24" s="1"/>
  <c r="E278" i="24"/>
  <c r="F278" i="24"/>
  <c r="G278" i="24"/>
  <c r="H278" i="24"/>
  <c r="I278" i="24"/>
  <c r="Y278" i="24" s="1"/>
  <c r="J278" i="24"/>
  <c r="Z278" i="24" s="1"/>
  <c r="K278" i="24"/>
  <c r="L278" i="24"/>
  <c r="M278" i="24"/>
  <c r="AA278" i="24" s="1"/>
  <c r="Q278" i="24"/>
  <c r="R278" i="24"/>
  <c r="S278" i="24"/>
  <c r="T278" i="24"/>
  <c r="U278" i="24"/>
  <c r="AC278" i="24" s="1"/>
  <c r="V278" i="24"/>
  <c r="AD278" i="24" s="1"/>
  <c r="E279" i="24"/>
  <c r="F279" i="24"/>
  <c r="G279" i="24"/>
  <c r="H279" i="24"/>
  <c r="I279" i="24"/>
  <c r="Y279" i="24" s="1"/>
  <c r="J279" i="24"/>
  <c r="Z279" i="24" s="1"/>
  <c r="K279" i="24"/>
  <c r="L279" i="24"/>
  <c r="M279" i="24"/>
  <c r="AA279" i="24" s="1"/>
  <c r="Q279" i="24"/>
  <c r="R279" i="24"/>
  <c r="S279" i="24"/>
  <c r="T279" i="24"/>
  <c r="U279" i="24"/>
  <c r="AC279" i="24" s="1"/>
  <c r="V279" i="24"/>
  <c r="AD279" i="24" s="1"/>
  <c r="E280" i="24"/>
  <c r="F280" i="24"/>
  <c r="G280" i="24"/>
  <c r="H280" i="24"/>
  <c r="I280" i="24"/>
  <c r="Y280" i="24" s="1"/>
  <c r="J280" i="24"/>
  <c r="Z280" i="24" s="1"/>
  <c r="K280" i="24"/>
  <c r="L280" i="24"/>
  <c r="M280" i="24"/>
  <c r="AA280" i="24" s="1"/>
  <c r="Q280" i="24"/>
  <c r="R280" i="24"/>
  <c r="S280" i="24"/>
  <c r="T280" i="24"/>
  <c r="U280" i="24"/>
  <c r="AC280" i="24" s="1"/>
  <c r="V280" i="24"/>
  <c r="AD280" i="24" s="1"/>
  <c r="E281" i="24"/>
  <c r="F281" i="24"/>
  <c r="G281" i="24"/>
  <c r="H281" i="24"/>
  <c r="I281" i="24"/>
  <c r="Y281" i="24" s="1"/>
  <c r="J281" i="24"/>
  <c r="Z281" i="24" s="1"/>
  <c r="K281" i="24"/>
  <c r="L281" i="24"/>
  <c r="M281" i="24"/>
  <c r="AA281" i="24" s="1"/>
  <c r="Q281" i="24"/>
  <c r="R281" i="24"/>
  <c r="S281" i="24"/>
  <c r="T281" i="24"/>
  <c r="U281" i="24"/>
  <c r="AC281" i="24" s="1"/>
  <c r="V281" i="24"/>
  <c r="AD281" i="24" s="1"/>
  <c r="E282" i="24"/>
  <c r="F282" i="24"/>
  <c r="G282" i="24"/>
  <c r="H282" i="24"/>
  <c r="I282" i="24"/>
  <c r="Y282" i="24" s="1"/>
  <c r="J282" i="24"/>
  <c r="Z282" i="24" s="1"/>
  <c r="K282" i="24"/>
  <c r="L282" i="24"/>
  <c r="M282" i="24"/>
  <c r="AA282" i="24" s="1"/>
  <c r="Q282" i="24"/>
  <c r="R282" i="24"/>
  <c r="S282" i="24"/>
  <c r="T282" i="24"/>
  <c r="U282" i="24"/>
  <c r="AC282" i="24" s="1"/>
  <c r="V282" i="24"/>
  <c r="AD282" i="24" s="1"/>
  <c r="E283" i="24"/>
  <c r="F283" i="24"/>
  <c r="G283" i="24"/>
  <c r="H283" i="24"/>
  <c r="I283" i="24"/>
  <c r="Y283" i="24" s="1"/>
  <c r="J283" i="24"/>
  <c r="Z283" i="24" s="1"/>
  <c r="K283" i="24"/>
  <c r="L283" i="24"/>
  <c r="M283" i="24"/>
  <c r="AA283" i="24" s="1"/>
  <c r="Q283" i="24"/>
  <c r="R283" i="24"/>
  <c r="S283" i="24"/>
  <c r="T283" i="24"/>
  <c r="U283" i="24"/>
  <c r="AC283" i="24" s="1"/>
  <c r="V283" i="24"/>
  <c r="AD283" i="24" s="1"/>
  <c r="E284" i="24"/>
  <c r="F284" i="24"/>
  <c r="G284" i="24"/>
  <c r="H284" i="24"/>
  <c r="I284" i="24"/>
  <c r="Y284" i="24" s="1"/>
  <c r="J284" i="24"/>
  <c r="Z284" i="24" s="1"/>
  <c r="K284" i="24"/>
  <c r="L284" i="24"/>
  <c r="M284" i="24"/>
  <c r="AA284" i="24" s="1"/>
  <c r="Q284" i="24"/>
  <c r="R284" i="24"/>
  <c r="S284" i="24"/>
  <c r="T284" i="24"/>
  <c r="U284" i="24"/>
  <c r="AC284" i="24" s="1"/>
  <c r="V284" i="24"/>
  <c r="AD284" i="24" s="1"/>
  <c r="E285" i="24"/>
  <c r="F285" i="24"/>
  <c r="G285" i="24"/>
  <c r="H285" i="24"/>
  <c r="I285" i="24"/>
  <c r="Y285" i="24" s="1"/>
  <c r="J285" i="24"/>
  <c r="Z285" i="24" s="1"/>
  <c r="K285" i="24"/>
  <c r="L285" i="24"/>
  <c r="M285" i="24"/>
  <c r="AA285" i="24" s="1"/>
  <c r="Q285" i="24"/>
  <c r="R285" i="24"/>
  <c r="S285" i="24"/>
  <c r="T285" i="24"/>
  <c r="U285" i="24"/>
  <c r="AC285" i="24" s="1"/>
  <c r="V285" i="24"/>
  <c r="AD285" i="24" s="1"/>
  <c r="E286" i="24"/>
  <c r="F286" i="24"/>
  <c r="G286" i="24"/>
  <c r="H286" i="24"/>
  <c r="I286" i="24"/>
  <c r="Y286" i="24" s="1"/>
  <c r="J286" i="24"/>
  <c r="Z286" i="24" s="1"/>
  <c r="K286" i="24"/>
  <c r="L286" i="24"/>
  <c r="M286" i="24"/>
  <c r="AA286" i="24" s="1"/>
  <c r="Q286" i="24"/>
  <c r="R286" i="24"/>
  <c r="S286" i="24"/>
  <c r="T286" i="24"/>
  <c r="U286" i="24"/>
  <c r="AC286" i="24" s="1"/>
  <c r="V286" i="24"/>
  <c r="AD286" i="24" s="1"/>
  <c r="E287" i="24"/>
  <c r="F287" i="24"/>
  <c r="G287" i="24"/>
  <c r="H287" i="24"/>
  <c r="I287" i="24"/>
  <c r="Y287" i="24" s="1"/>
  <c r="J287" i="24"/>
  <c r="Z287" i="24" s="1"/>
  <c r="K287" i="24"/>
  <c r="L287" i="24"/>
  <c r="M287" i="24"/>
  <c r="AA287" i="24" s="1"/>
  <c r="Q287" i="24"/>
  <c r="R287" i="24"/>
  <c r="S287" i="24"/>
  <c r="T287" i="24"/>
  <c r="U287" i="24"/>
  <c r="AC287" i="24" s="1"/>
  <c r="V287" i="24"/>
  <c r="AD287" i="24" s="1"/>
  <c r="E288" i="24"/>
  <c r="F288" i="24"/>
  <c r="G288" i="24"/>
  <c r="H288" i="24"/>
  <c r="I288" i="24"/>
  <c r="Y288" i="24" s="1"/>
  <c r="J288" i="24"/>
  <c r="Z288" i="24" s="1"/>
  <c r="K288" i="24"/>
  <c r="L288" i="24"/>
  <c r="M288" i="24"/>
  <c r="AA288" i="24" s="1"/>
  <c r="Q288" i="24"/>
  <c r="R288" i="24"/>
  <c r="S288" i="24"/>
  <c r="T288" i="24"/>
  <c r="U288" i="24"/>
  <c r="AC288" i="24" s="1"/>
  <c r="V288" i="24"/>
  <c r="AD288" i="24" s="1"/>
  <c r="E289" i="24"/>
  <c r="F289" i="24"/>
  <c r="G289" i="24"/>
  <c r="H289" i="24"/>
  <c r="I289" i="24"/>
  <c r="Y289" i="24" s="1"/>
  <c r="J289" i="24"/>
  <c r="Z289" i="24" s="1"/>
  <c r="K289" i="24"/>
  <c r="L289" i="24"/>
  <c r="M289" i="24"/>
  <c r="AA289" i="24" s="1"/>
  <c r="Q289" i="24"/>
  <c r="R289" i="24"/>
  <c r="S289" i="24"/>
  <c r="T289" i="24"/>
  <c r="U289" i="24"/>
  <c r="AC289" i="24" s="1"/>
  <c r="V289" i="24"/>
  <c r="AD289" i="24" s="1"/>
  <c r="E290" i="24"/>
  <c r="F290" i="24"/>
  <c r="G290" i="24"/>
  <c r="H290" i="24"/>
  <c r="I290" i="24"/>
  <c r="Y290" i="24" s="1"/>
  <c r="J290" i="24"/>
  <c r="Z290" i="24" s="1"/>
  <c r="K290" i="24"/>
  <c r="L290" i="24"/>
  <c r="M290" i="24"/>
  <c r="AA290" i="24" s="1"/>
  <c r="Q290" i="24"/>
  <c r="R290" i="24"/>
  <c r="S290" i="24"/>
  <c r="T290" i="24"/>
  <c r="U290" i="24"/>
  <c r="AC290" i="24" s="1"/>
  <c r="V290" i="24"/>
  <c r="AD290" i="24" s="1"/>
  <c r="E291" i="24"/>
  <c r="F291" i="24"/>
  <c r="G291" i="24"/>
  <c r="H291" i="24"/>
  <c r="I291" i="24"/>
  <c r="Y291" i="24" s="1"/>
  <c r="J291" i="24"/>
  <c r="Z291" i="24" s="1"/>
  <c r="K291" i="24"/>
  <c r="L291" i="24"/>
  <c r="M291" i="24"/>
  <c r="AA291" i="24" s="1"/>
  <c r="Q291" i="24"/>
  <c r="R291" i="24"/>
  <c r="S291" i="24"/>
  <c r="T291" i="24"/>
  <c r="U291" i="24"/>
  <c r="AC291" i="24" s="1"/>
  <c r="V291" i="24"/>
  <c r="AD291" i="24" s="1"/>
  <c r="E292" i="24"/>
  <c r="F292" i="24"/>
  <c r="G292" i="24"/>
  <c r="H292" i="24"/>
  <c r="I292" i="24"/>
  <c r="Y292" i="24" s="1"/>
  <c r="J292" i="24"/>
  <c r="Z292" i="24" s="1"/>
  <c r="K292" i="24"/>
  <c r="L292" i="24"/>
  <c r="M292" i="24"/>
  <c r="AA292" i="24" s="1"/>
  <c r="Q292" i="24"/>
  <c r="R292" i="24"/>
  <c r="S292" i="24"/>
  <c r="T292" i="24"/>
  <c r="U292" i="24"/>
  <c r="AC292" i="24" s="1"/>
  <c r="V292" i="24"/>
  <c r="AD292" i="24" s="1"/>
  <c r="E293" i="24"/>
  <c r="F293" i="24"/>
  <c r="G293" i="24"/>
  <c r="H293" i="24"/>
  <c r="I293" i="24"/>
  <c r="Y293" i="24" s="1"/>
  <c r="J293" i="24"/>
  <c r="Z293" i="24" s="1"/>
  <c r="K293" i="24"/>
  <c r="L293" i="24"/>
  <c r="M293" i="24"/>
  <c r="AA293" i="24" s="1"/>
  <c r="Q293" i="24"/>
  <c r="R293" i="24"/>
  <c r="S293" i="24"/>
  <c r="T293" i="24"/>
  <c r="U293" i="24"/>
  <c r="AC293" i="24" s="1"/>
  <c r="V293" i="24"/>
  <c r="AD293" i="24" s="1"/>
  <c r="E294" i="24"/>
  <c r="F294" i="24"/>
  <c r="G294" i="24"/>
  <c r="H294" i="24"/>
  <c r="I294" i="24"/>
  <c r="Y294" i="24" s="1"/>
  <c r="J294" i="24"/>
  <c r="Z294" i="24" s="1"/>
  <c r="K294" i="24"/>
  <c r="L294" i="24"/>
  <c r="M294" i="24"/>
  <c r="AA294" i="24" s="1"/>
  <c r="Q294" i="24"/>
  <c r="R294" i="24"/>
  <c r="S294" i="24"/>
  <c r="T294" i="24"/>
  <c r="U294" i="24"/>
  <c r="AC294" i="24" s="1"/>
  <c r="V294" i="24"/>
  <c r="AD294" i="24" s="1"/>
  <c r="E295" i="24"/>
  <c r="F295" i="24"/>
  <c r="G295" i="24"/>
  <c r="H295" i="24"/>
  <c r="I295" i="24"/>
  <c r="Y295" i="24" s="1"/>
  <c r="J295" i="24"/>
  <c r="Z295" i="24" s="1"/>
  <c r="K295" i="24"/>
  <c r="L295" i="24"/>
  <c r="M295" i="24"/>
  <c r="AA295" i="24" s="1"/>
  <c r="Q295" i="24"/>
  <c r="R295" i="24"/>
  <c r="S295" i="24"/>
  <c r="T295" i="24"/>
  <c r="U295" i="24"/>
  <c r="AC295" i="24" s="1"/>
  <c r="V295" i="24"/>
  <c r="AD295" i="24" s="1"/>
  <c r="E296" i="24"/>
  <c r="F296" i="24"/>
  <c r="G296" i="24"/>
  <c r="H296" i="24"/>
  <c r="I296" i="24"/>
  <c r="Y296" i="24" s="1"/>
  <c r="J296" i="24"/>
  <c r="Z296" i="24" s="1"/>
  <c r="K296" i="24"/>
  <c r="L296" i="24"/>
  <c r="M296" i="24"/>
  <c r="AA296" i="24" s="1"/>
  <c r="Q296" i="24"/>
  <c r="R296" i="24"/>
  <c r="S296" i="24"/>
  <c r="T296" i="24"/>
  <c r="U296" i="24"/>
  <c r="AC296" i="24" s="1"/>
  <c r="V296" i="24"/>
  <c r="AD296" i="24" s="1"/>
  <c r="E297" i="24"/>
  <c r="F297" i="24"/>
  <c r="G297" i="24"/>
  <c r="H297" i="24"/>
  <c r="I297" i="24"/>
  <c r="Y297" i="24" s="1"/>
  <c r="J297" i="24"/>
  <c r="Z297" i="24" s="1"/>
  <c r="K297" i="24"/>
  <c r="L297" i="24"/>
  <c r="M297" i="24"/>
  <c r="AA297" i="24" s="1"/>
  <c r="Q297" i="24"/>
  <c r="R297" i="24"/>
  <c r="S297" i="24"/>
  <c r="T297" i="24"/>
  <c r="U297" i="24"/>
  <c r="AC297" i="24" s="1"/>
  <c r="V297" i="24"/>
  <c r="AD297" i="24" s="1"/>
  <c r="E298" i="24"/>
  <c r="F298" i="24"/>
  <c r="G298" i="24"/>
  <c r="H298" i="24"/>
  <c r="I298" i="24"/>
  <c r="Y298" i="24" s="1"/>
  <c r="J298" i="24"/>
  <c r="Z298" i="24" s="1"/>
  <c r="K298" i="24"/>
  <c r="L298" i="24"/>
  <c r="M298" i="24"/>
  <c r="AA298" i="24" s="1"/>
  <c r="Q298" i="24"/>
  <c r="R298" i="24"/>
  <c r="S298" i="24"/>
  <c r="T298" i="24"/>
  <c r="U298" i="24"/>
  <c r="AC298" i="24" s="1"/>
  <c r="V298" i="24"/>
  <c r="AD298" i="24" s="1"/>
  <c r="E299" i="24"/>
  <c r="F299" i="24"/>
  <c r="G299" i="24"/>
  <c r="H299" i="24"/>
  <c r="I299" i="24"/>
  <c r="Y299" i="24" s="1"/>
  <c r="J299" i="24"/>
  <c r="Z299" i="24" s="1"/>
  <c r="K299" i="24"/>
  <c r="L299" i="24"/>
  <c r="M299" i="24"/>
  <c r="AA299" i="24" s="1"/>
  <c r="Q299" i="24"/>
  <c r="R299" i="24"/>
  <c r="S299" i="24"/>
  <c r="T299" i="24"/>
  <c r="U299" i="24"/>
  <c r="AC299" i="24" s="1"/>
  <c r="V299" i="24"/>
  <c r="AD299" i="24" s="1"/>
  <c r="E300" i="24"/>
  <c r="F300" i="24"/>
  <c r="G300" i="24"/>
  <c r="H300" i="24"/>
  <c r="I300" i="24"/>
  <c r="Y300" i="24" s="1"/>
  <c r="J300" i="24"/>
  <c r="Z300" i="24" s="1"/>
  <c r="K300" i="24"/>
  <c r="L300" i="24"/>
  <c r="M300" i="24"/>
  <c r="AA300" i="24" s="1"/>
  <c r="Q300" i="24"/>
  <c r="R300" i="24"/>
  <c r="S300" i="24"/>
  <c r="T300" i="24"/>
  <c r="U300" i="24"/>
  <c r="AC300" i="24" s="1"/>
  <c r="V300" i="24"/>
  <c r="AD300" i="24" s="1"/>
  <c r="E301" i="24"/>
  <c r="F301" i="24"/>
  <c r="G301" i="24"/>
  <c r="H301" i="24"/>
  <c r="I301" i="24"/>
  <c r="Y301" i="24" s="1"/>
  <c r="J301" i="24"/>
  <c r="Z301" i="24" s="1"/>
  <c r="K301" i="24"/>
  <c r="L301" i="24"/>
  <c r="M301" i="24"/>
  <c r="AA301" i="24" s="1"/>
  <c r="Q301" i="24"/>
  <c r="R301" i="24"/>
  <c r="S301" i="24"/>
  <c r="T301" i="24"/>
  <c r="U301" i="24"/>
  <c r="AC301" i="24" s="1"/>
  <c r="V301" i="24"/>
  <c r="AD301" i="24" s="1"/>
  <c r="E302" i="24"/>
  <c r="F302" i="24"/>
  <c r="G302" i="24"/>
  <c r="H302" i="24"/>
  <c r="I302" i="24"/>
  <c r="Y302" i="24" s="1"/>
  <c r="J302" i="24"/>
  <c r="Z302" i="24" s="1"/>
  <c r="K302" i="24"/>
  <c r="L302" i="24"/>
  <c r="M302" i="24"/>
  <c r="AA302" i="24" s="1"/>
  <c r="Q302" i="24"/>
  <c r="R302" i="24"/>
  <c r="S302" i="24"/>
  <c r="T302" i="24"/>
  <c r="U302" i="24"/>
  <c r="AC302" i="24" s="1"/>
  <c r="V302" i="24"/>
  <c r="AD302" i="24" s="1"/>
  <c r="E303" i="24"/>
  <c r="F303" i="24"/>
  <c r="G303" i="24"/>
  <c r="H303" i="24"/>
  <c r="I303" i="24"/>
  <c r="Y303" i="24" s="1"/>
  <c r="J303" i="24"/>
  <c r="Z303" i="24" s="1"/>
  <c r="K303" i="24"/>
  <c r="L303" i="24"/>
  <c r="M303" i="24"/>
  <c r="AA303" i="24" s="1"/>
  <c r="Q303" i="24"/>
  <c r="R303" i="24"/>
  <c r="S303" i="24"/>
  <c r="T303" i="24"/>
  <c r="U303" i="24"/>
  <c r="AC303" i="24" s="1"/>
  <c r="V303" i="24"/>
  <c r="AD303" i="24" s="1"/>
  <c r="E304" i="24"/>
  <c r="F304" i="24"/>
  <c r="G304" i="24"/>
  <c r="H304" i="24"/>
  <c r="I304" i="24"/>
  <c r="Y304" i="24" s="1"/>
  <c r="J304" i="24"/>
  <c r="Z304" i="24" s="1"/>
  <c r="K304" i="24"/>
  <c r="L304" i="24"/>
  <c r="M304" i="24"/>
  <c r="AA304" i="24" s="1"/>
  <c r="Q304" i="24"/>
  <c r="R304" i="24"/>
  <c r="S304" i="24"/>
  <c r="T304" i="24"/>
  <c r="U304" i="24"/>
  <c r="AC304" i="24" s="1"/>
  <c r="V304" i="24"/>
  <c r="AD304" i="24" s="1"/>
  <c r="I33" i="24"/>
  <c r="Y33" i="24" s="1"/>
  <c r="E33" i="12"/>
  <c r="V33" i="24"/>
  <c r="AD33" i="24" s="1"/>
  <c r="U33" i="24"/>
  <c r="AC33" i="24" s="1"/>
  <c r="I33" i="12"/>
  <c r="M33" i="24"/>
  <c r="AA33" i="24" s="1"/>
  <c r="G33" i="12"/>
  <c r="E33" i="24"/>
  <c r="J33" i="24"/>
  <c r="Z33" i="24" s="1"/>
  <c r="T33" i="24"/>
  <c r="S33" i="24"/>
  <c r="L33" i="24"/>
  <c r="H33" i="24"/>
  <c r="G33" i="24"/>
  <c r="R33" i="24"/>
  <c r="J33" i="14"/>
  <c r="Q33" i="24"/>
  <c r="I33" i="14"/>
  <c r="G33" i="14"/>
  <c r="F33" i="24"/>
  <c r="F33" i="14"/>
  <c r="E33" i="14"/>
  <c r="O275" i="5" l="1"/>
  <c r="P275" i="5"/>
  <c r="Q275" i="5"/>
  <c r="O50" i="5"/>
  <c r="P50" i="5"/>
  <c r="Q50" i="5"/>
  <c r="O51" i="5"/>
  <c r="P51" i="5"/>
  <c r="Q51" i="5"/>
  <c r="O52" i="5"/>
  <c r="P52" i="5"/>
  <c r="Q52" i="5"/>
  <c r="O53" i="5"/>
  <c r="P53" i="5"/>
  <c r="Q53" i="5"/>
  <c r="O54" i="5"/>
  <c r="P54" i="5"/>
  <c r="Q54" i="5"/>
  <c r="O55" i="5"/>
  <c r="P55" i="5"/>
  <c r="Q55" i="5"/>
  <c r="O56" i="5"/>
  <c r="P56" i="5"/>
  <c r="Q56" i="5"/>
  <c r="O57" i="5"/>
  <c r="P57" i="5"/>
  <c r="Q57" i="5"/>
  <c r="O58" i="5"/>
  <c r="P58" i="5"/>
  <c r="Q58" i="5"/>
  <c r="O59" i="5"/>
  <c r="P59" i="5"/>
  <c r="Q59" i="5"/>
  <c r="O60" i="5"/>
  <c r="P60" i="5"/>
  <c r="Q60" i="5"/>
  <c r="O61" i="5"/>
  <c r="P61" i="5"/>
  <c r="Q61" i="5"/>
  <c r="O62" i="5"/>
  <c r="P62" i="5"/>
  <c r="Q62" i="5"/>
  <c r="O63" i="5"/>
  <c r="P63" i="5"/>
  <c r="Q63" i="5"/>
  <c r="O64" i="5"/>
  <c r="P64" i="5"/>
  <c r="Q64" i="5"/>
  <c r="O65" i="5"/>
  <c r="P65" i="5"/>
  <c r="Q65" i="5"/>
  <c r="O66" i="5"/>
  <c r="P66" i="5"/>
  <c r="Q66" i="5"/>
  <c r="O67" i="5"/>
  <c r="P67" i="5"/>
  <c r="Q67" i="5"/>
  <c r="O68" i="5"/>
  <c r="P68" i="5"/>
  <c r="Q68" i="5"/>
  <c r="O69" i="5"/>
  <c r="P69" i="5"/>
  <c r="Q69" i="5"/>
  <c r="O70" i="5"/>
  <c r="P70" i="5"/>
  <c r="Q70" i="5"/>
  <c r="O71" i="5"/>
  <c r="P71" i="5"/>
  <c r="Q71" i="5"/>
  <c r="O72" i="5"/>
  <c r="P72" i="5"/>
  <c r="Q72" i="5"/>
  <c r="O75" i="5"/>
  <c r="P75" i="5"/>
  <c r="Q75" i="5"/>
  <c r="O76" i="5"/>
  <c r="P76" i="5"/>
  <c r="Q76" i="5"/>
  <c r="O77" i="5"/>
  <c r="P77" i="5"/>
  <c r="Q77" i="5"/>
  <c r="O78" i="5"/>
  <c r="P78" i="5"/>
  <c r="Q78" i="5"/>
  <c r="O79" i="5"/>
  <c r="P79" i="5"/>
  <c r="Q79" i="5"/>
  <c r="O80" i="5"/>
  <c r="P80" i="5"/>
  <c r="Q80" i="5"/>
  <c r="O81" i="5"/>
  <c r="P81" i="5"/>
  <c r="Q81" i="5"/>
  <c r="O82" i="5"/>
  <c r="P82" i="5"/>
  <c r="Q82" i="5"/>
  <c r="O83" i="5"/>
  <c r="P83" i="5"/>
  <c r="Q83" i="5"/>
  <c r="O84" i="5"/>
  <c r="P84" i="5"/>
  <c r="Q84" i="5"/>
  <c r="O85" i="5"/>
  <c r="P85" i="5"/>
  <c r="Q85" i="5"/>
  <c r="O86" i="5"/>
  <c r="P86" i="5"/>
  <c r="Q86" i="5"/>
  <c r="O87" i="5"/>
  <c r="P87" i="5"/>
  <c r="Q87" i="5"/>
  <c r="O89" i="5"/>
  <c r="P89" i="5"/>
  <c r="Q89" i="5"/>
  <c r="O90" i="5"/>
  <c r="P90" i="5"/>
  <c r="Q90" i="5"/>
  <c r="O91" i="5"/>
  <c r="P91" i="5"/>
  <c r="Q91" i="5"/>
  <c r="O92" i="5"/>
  <c r="P92" i="5"/>
  <c r="Q92" i="5"/>
  <c r="O93" i="5"/>
  <c r="P93" i="5"/>
  <c r="Q93" i="5"/>
  <c r="O94" i="5"/>
  <c r="P94" i="5"/>
  <c r="Q94" i="5"/>
  <c r="O95" i="5"/>
  <c r="P95" i="5"/>
  <c r="Q95" i="5"/>
  <c r="O96" i="5"/>
  <c r="P96" i="5"/>
  <c r="Q96" i="5"/>
  <c r="O97" i="5"/>
  <c r="P97" i="5"/>
  <c r="Q97" i="5"/>
  <c r="O98" i="5"/>
  <c r="P98" i="5"/>
  <c r="Q98" i="5"/>
  <c r="O99" i="5"/>
  <c r="P99" i="5"/>
  <c r="Q99" i="5"/>
  <c r="O100" i="5"/>
  <c r="P100" i="5"/>
  <c r="Q100" i="5"/>
  <c r="O101" i="5"/>
  <c r="P101" i="5"/>
  <c r="Q101" i="5"/>
  <c r="O102" i="5"/>
  <c r="P102" i="5"/>
  <c r="Q102" i="5"/>
  <c r="O103" i="5"/>
  <c r="P103" i="5"/>
  <c r="Q103" i="5"/>
  <c r="O104" i="5"/>
  <c r="P104" i="5"/>
  <c r="Q104" i="5"/>
  <c r="O105" i="5"/>
  <c r="P105" i="5"/>
  <c r="Q105" i="5"/>
  <c r="O106" i="5"/>
  <c r="P106" i="5"/>
  <c r="Q106" i="5"/>
  <c r="O107" i="5"/>
  <c r="P107" i="5"/>
  <c r="Q107" i="5"/>
  <c r="O108" i="5"/>
  <c r="P108" i="5"/>
  <c r="Q108" i="5"/>
  <c r="O109" i="5"/>
  <c r="P109" i="5"/>
  <c r="Q109" i="5"/>
  <c r="O110" i="5"/>
  <c r="P110" i="5"/>
  <c r="Q110" i="5"/>
  <c r="O111" i="5"/>
  <c r="P111" i="5"/>
  <c r="Q111" i="5"/>
  <c r="O112" i="5"/>
  <c r="P112" i="5"/>
  <c r="Q112" i="5"/>
  <c r="O113" i="5"/>
  <c r="P113" i="5"/>
  <c r="Q113" i="5"/>
  <c r="O114" i="5"/>
  <c r="P114" i="5"/>
  <c r="Q114" i="5"/>
  <c r="O115" i="5"/>
  <c r="P115" i="5"/>
  <c r="Q115" i="5"/>
  <c r="O116" i="5"/>
  <c r="P116" i="5"/>
  <c r="Q116" i="5"/>
  <c r="O117" i="5"/>
  <c r="P117" i="5"/>
  <c r="Q117" i="5"/>
  <c r="O118" i="5"/>
  <c r="P118" i="5"/>
  <c r="Q118" i="5"/>
  <c r="O119" i="5"/>
  <c r="P119" i="5"/>
  <c r="Q119" i="5"/>
  <c r="O120" i="5"/>
  <c r="P120" i="5"/>
  <c r="Q120" i="5"/>
  <c r="O121" i="5"/>
  <c r="P121" i="5"/>
  <c r="Q121" i="5"/>
  <c r="O122" i="5"/>
  <c r="P122" i="5"/>
  <c r="Q122" i="5"/>
  <c r="O123" i="5"/>
  <c r="P123" i="5"/>
  <c r="Q123" i="5"/>
  <c r="O124" i="5"/>
  <c r="P124" i="5"/>
  <c r="Q124" i="5"/>
  <c r="O125" i="5"/>
  <c r="P125" i="5"/>
  <c r="Q125" i="5"/>
  <c r="O126" i="5"/>
  <c r="P126" i="5"/>
  <c r="Q126" i="5"/>
  <c r="O127" i="5"/>
  <c r="P127" i="5"/>
  <c r="Q127" i="5"/>
  <c r="O128" i="5"/>
  <c r="P128" i="5"/>
  <c r="Q128" i="5"/>
  <c r="O129" i="5"/>
  <c r="P129" i="5"/>
  <c r="Q129" i="5"/>
  <c r="O131" i="5"/>
  <c r="Q131" i="5"/>
  <c r="O132" i="5"/>
  <c r="P132" i="5"/>
  <c r="Q132" i="5"/>
  <c r="O133" i="5"/>
  <c r="P133" i="5"/>
  <c r="Q133" i="5"/>
  <c r="O134" i="5"/>
  <c r="P134" i="5"/>
  <c r="Q134" i="5"/>
  <c r="O135" i="5"/>
  <c r="P135" i="5"/>
  <c r="Q135" i="5"/>
  <c r="O136" i="5"/>
  <c r="P136" i="5"/>
  <c r="Q136" i="5"/>
  <c r="O137" i="5"/>
  <c r="P137" i="5"/>
  <c r="Q137" i="5"/>
  <c r="O138" i="5"/>
  <c r="P138" i="5"/>
  <c r="Q138" i="5"/>
  <c r="O139" i="5"/>
  <c r="P139" i="5"/>
  <c r="Q139" i="5"/>
  <c r="O140" i="5"/>
  <c r="P140" i="5"/>
  <c r="Q140" i="5"/>
  <c r="O141" i="5"/>
  <c r="P141" i="5"/>
  <c r="Q141" i="5"/>
  <c r="O142" i="5"/>
  <c r="P142" i="5"/>
  <c r="Q142" i="5"/>
  <c r="O143" i="5"/>
  <c r="P143" i="5"/>
  <c r="Q143" i="5"/>
  <c r="O144" i="5"/>
  <c r="P144" i="5"/>
  <c r="Q144" i="5"/>
  <c r="O145" i="5"/>
  <c r="P145" i="5"/>
  <c r="Q145" i="5"/>
  <c r="O146" i="5"/>
  <c r="P146" i="5"/>
  <c r="Q146" i="5"/>
  <c r="O147" i="5"/>
  <c r="P147" i="5"/>
  <c r="Q147" i="5"/>
  <c r="O148" i="5"/>
  <c r="P148" i="5"/>
  <c r="Q148" i="5"/>
  <c r="O149" i="5"/>
  <c r="P149" i="5"/>
  <c r="Q149" i="5"/>
  <c r="O150" i="5"/>
  <c r="P150" i="5"/>
  <c r="Q150" i="5"/>
  <c r="O151" i="5"/>
  <c r="P151" i="5"/>
  <c r="Q151" i="5"/>
  <c r="O152" i="5"/>
  <c r="P152" i="5"/>
  <c r="Q152" i="5"/>
  <c r="O153" i="5"/>
  <c r="P153" i="5"/>
  <c r="Q153" i="5"/>
  <c r="O154" i="5"/>
  <c r="P154" i="5"/>
  <c r="Q154" i="5"/>
  <c r="O155" i="5"/>
  <c r="P155" i="5"/>
  <c r="Q155" i="5"/>
  <c r="O156" i="5"/>
  <c r="P156" i="5"/>
  <c r="Q156" i="5"/>
  <c r="O157" i="5"/>
  <c r="P157" i="5"/>
  <c r="Q157" i="5"/>
  <c r="O159" i="5"/>
  <c r="O166" i="5"/>
  <c r="P166" i="5"/>
  <c r="Q166" i="5"/>
  <c r="O167" i="5"/>
  <c r="P167" i="5"/>
  <c r="Q167" i="5"/>
  <c r="O168" i="5"/>
  <c r="P168" i="5"/>
  <c r="Q168" i="5"/>
  <c r="O169" i="5"/>
  <c r="P169" i="5"/>
  <c r="Q169" i="5"/>
  <c r="O170" i="5"/>
  <c r="P170" i="5"/>
  <c r="Q170" i="5"/>
  <c r="O172" i="5"/>
  <c r="P172" i="5"/>
  <c r="Q172" i="5"/>
  <c r="O173" i="5"/>
  <c r="P173" i="5"/>
  <c r="Q173" i="5"/>
  <c r="O174" i="5"/>
  <c r="P174" i="5"/>
  <c r="Q174" i="5"/>
  <c r="O175" i="5"/>
  <c r="P175" i="5"/>
  <c r="Q175" i="5"/>
  <c r="O176" i="5"/>
  <c r="P176" i="5"/>
  <c r="Q176" i="5"/>
  <c r="O177" i="5"/>
  <c r="P177" i="5"/>
  <c r="Q177" i="5"/>
  <c r="O178" i="5"/>
  <c r="P178" i="5"/>
  <c r="Q178" i="5"/>
  <c r="O179" i="5"/>
  <c r="P179" i="5"/>
  <c r="Q179" i="5"/>
  <c r="O180" i="5"/>
  <c r="P180" i="5"/>
  <c r="Q180" i="5"/>
  <c r="O181" i="5"/>
  <c r="P181" i="5"/>
  <c r="Q181" i="5"/>
  <c r="O182" i="5"/>
  <c r="P182" i="5"/>
  <c r="Q182" i="5"/>
  <c r="O183" i="5"/>
  <c r="P183" i="5"/>
  <c r="Q183" i="5"/>
  <c r="O184" i="5"/>
  <c r="P184" i="5"/>
  <c r="Q184" i="5"/>
  <c r="O185" i="5"/>
  <c r="P185" i="5"/>
  <c r="Q185" i="5"/>
  <c r="O186" i="5"/>
  <c r="P186" i="5"/>
  <c r="Q186" i="5"/>
  <c r="O187" i="5"/>
  <c r="P187" i="5"/>
  <c r="Q187" i="5"/>
  <c r="O188" i="5"/>
  <c r="P188" i="5"/>
  <c r="Q188" i="5"/>
  <c r="O189" i="5"/>
  <c r="P189" i="5"/>
  <c r="Q189" i="5"/>
  <c r="O190" i="5"/>
  <c r="P190" i="5"/>
  <c r="Q190" i="5"/>
  <c r="O191" i="5"/>
  <c r="P191" i="5"/>
  <c r="Q191" i="5"/>
  <c r="O193" i="5"/>
  <c r="P193" i="5"/>
  <c r="Q193" i="5"/>
  <c r="O194" i="5"/>
  <c r="P194" i="5"/>
  <c r="Q194" i="5"/>
  <c r="O195" i="5"/>
  <c r="P195" i="5"/>
  <c r="Q195" i="5"/>
  <c r="O196" i="5"/>
  <c r="P196" i="5"/>
  <c r="Q196" i="5"/>
  <c r="O197" i="5"/>
  <c r="P197" i="5"/>
  <c r="Q197" i="5"/>
  <c r="O198" i="5"/>
  <c r="P198" i="5"/>
  <c r="Q198" i="5"/>
  <c r="O199" i="5"/>
  <c r="P199" i="5"/>
  <c r="Q199" i="5"/>
  <c r="O200" i="5"/>
  <c r="P200" i="5"/>
  <c r="Q200" i="5"/>
  <c r="O201" i="5"/>
  <c r="P201" i="5"/>
  <c r="Q201" i="5"/>
  <c r="O202" i="5"/>
  <c r="P202" i="5"/>
  <c r="Q202" i="5"/>
  <c r="O203" i="5"/>
  <c r="P203" i="5"/>
  <c r="Q203" i="5"/>
  <c r="O204" i="5"/>
  <c r="P204" i="5"/>
  <c r="Q204" i="5"/>
  <c r="O205" i="5"/>
  <c r="P205" i="5"/>
  <c r="Q205" i="5"/>
  <c r="O206" i="5"/>
  <c r="P206" i="5"/>
  <c r="Q206" i="5"/>
  <c r="O207" i="5"/>
  <c r="P207" i="5"/>
  <c r="Q207" i="5"/>
  <c r="O208" i="5"/>
  <c r="P208" i="5"/>
  <c r="Q208" i="5"/>
  <c r="O209" i="5"/>
  <c r="P209" i="5"/>
  <c r="Q209" i="5"/>
  <c r="O210" i="5"/>
  <c r="P210" i="5"/>
  <c r="Q210" i="5"/>
  <c r="O211" i="5"/>
  <c r="P211" i="5"/>
  <c r="Q211" i="5"/>
  <c r="O212" i="5"/>
  <c r="P212" i="5"/>
  <c r="Q212" i="5"/>
  <c r="O213" i="5"/>
  <c r="P213" i="5"/>
  <c r="Q213" i="5"/>
  <c r="O214" i="5"/>
  <c r="P214" i="5"/>
  <c r="Q214" i="5"/>
  <c r="O215" i="5"/>
  <c r="P215" i="5"/>
  <c r="Q215" i="5"/>
  <c r="O216" i="5"/>
  <c r="P216" i="5"/>
  <c r="Q216" i="5"/>
  <c r="O217" i="5"/>
  <c r="P217" i="5"/>
  <c r="Q217" i="5"/>
  <c r="O218" i="5"/>
  <c r="P218" i="5"/>
  <c r="Q218" i="5"/>
  <c r="O219" i="5"/>
  <c r="P219" i="5"/>
  <c r="Q219" i="5"/>
  <c r="O220" i="5"/>
  <c r="P220" i="5"/>
  <c r="Q220" i="5"/>
  <c r="O221" i="5"/>
  <c r="P221" i="5"/>
  <c r="Q221" i="5"/>
  <c r="O222" i="5"/>
  <c r="P222" i="5"/>
  <c r="Q222" i="5"/>
  <c r="O223" i="5"/>
  <c r="P223" i="5"/>
  <c r="Q223" i="5"/>
  <c r="O224" i="5"/>
  <c r="P224" i="5"/>
  <c r="Q224" i="5"/>
  <c r="O225" i="5"/>
  <c r="P225" i="5"/>
  <c r="Q225" i="5"/>
  <c r="O227" i="5"/>
  <c r="P227" i="5"/>
  <c r="Q227" i="5"/>
  <c r="O228" i="5"/>
  <c r="P228" i="5"/>
  <c r="Q228" i="5"/>
  <c r="O229" i="5"/>
  <c r="P229" i="5"/>
  <c r="Q229" i="5"/>
  <c r="O230" i="5"/>
  <c r="P230" i="5"/>
  <c r="Q230" i="5"/>
  <c r="O232" i="5"/>
  <c r="P232" i="5"/>
  <c r="Q232" i="5"/>
  <c r="O233" i="5"/>
  <c r="P233" i="5"/>
  <c r="Q233" i="5"/>
  <c r="O234" i="5"/>
  <c r="P234" i="5"/>
  <c r="Q234" i="5"/>
  <c r="O235" i="5"/>
  <c r="P235" i="5"/>
  <c r="Q235" i="5"/>
  <c r="O236" i="5"/>
  <c r="P236" i="5"/>
  <c r="Q236" i="5"/>
  <c r="O237" i="5"/>
  <c r="P237" i="5"/>
  <c r="Q237" i="5"/>
  <c r="O238" i="5"/>
  <c r="P238" i="5"/>
  <c r="Q238" i="5"/>
  <c r="O239" i="5"/>
  <c r="P239" i="5"/>
  <c r="Q239" i="5"/>
  <c r="O240" i="5"/>
  <c r="P240" i="5"/>
  <c r="Q240" i="5"/>
  <c r="O241" i="5"/>
  <c r="P241" i="5"/>
  <c r="Q241" i="5"/>
  <c r="O242" i="5"/>
  <c r="P242" i="5"/>
  <c r="Q242" i="5"/>
  <c r="O243" i="5"/>
  <c r="P243" i="5"/>
  <c r="Q243" i="5"/>
  <c r="O244" i="5"/>
  <c r="P244" i="5"/>
  <c r="Q244" i="5"/>
  <c r="O245" i="5"/>
  <c r="P245" i="5"/>
  <c r="Q245" i="5"/>
  <c r="O246" i="5"/>
  <c r="P246" i="5"/>
  <c r="Q246" i="5"/>
  <c r="O247" i="5"/>
  <c r="P247" i="5"/>
  <c r="Q247" i="5"/>
  <c r="O248" i="5"/>
  <c r="P248" i="5"/>
  <c r="Q248" i="5"/>
  <c r="O250" i="5"/>
  <c r="P250" i="5"/>
  <c r="Q250" i="5"/>
  <c r="O251" i="5"/>
  <c r="P251" i="5"/>
  <c r="Q251" i="5"/>
  <c r="O252" i="5"/>
  <c r="P252" i="5"/>
  <c r="Q252" i="5"/>
  <c r="O253" i="5"/>
  <c r="P253" i="5"/>
  <c r="Q253" i="5"/>
  <c r="O254" i="5"/>
  <c r="P254" i="5"/>
  <c r="Q254" i="5"/>
  <c r="O255" i="5"/>
  <c r="P255" i="5"/>
  <c r="Q255" i="5"/>
  <c r="O256" i="5"/>
  <c r="P256" i="5"/>
  <c r="Q256" i="5"/>
  <c r="O257" i="5"/>
  <c r="P257" i="5"/>
  <c r="Q257" i="5"/>
  <c r="O258" i="5"/>
  <c r="P258" i="5"/>
  <c r="Q258" i="5"/>
  <c r="O259" i="5"/>
  <c r="P259" i="5"/>
  <c r="Q259" i="5"/>
  <c r="O260" i="5"/>
  <c r="P260" i="5"/>
  <c r="Q260" i="5"/>
  <c r="O261" i="5"/>
  <c r="P261" i="5"/>
  <c r="Q261" i="5"/>
  <c r="O262" i="5"/>
  <c r="P262" i="5"/>
  <c r="Q262" i="5"/>
  <c r="O263" i="5"/>
  <c r="P263" i="5"/>
  <c r="Q263" i="5"/>
  <c r="O264" i="5"/>
  <c r="P264" i="5"/>
  <c r="Q264" i="5"/>
  <c r="O265" i="5"/>
  <c r="P265" i="5"/>
  <c r="Q265" i="5"/>
  <c r="O266" i="5"/>
  <c r="P266" i="5"/>
  <c r="Q266" i="5"/>
  <c r="O267" i="5"/>
  <c r="P267" i="5"/>
  <c r="Q267" i="5"/>
  <c r="O268" i="5"/>
  <c r="P268" i="5"/>
  <c r="Q268" i="5"/>
  <c r="O269" i="5"/>
  <c r="P269" i="5"/>
  <c r="Q269" i="5"/>
  <c r="O270" i="5"/>
  <c r="P270" i="5"/>
  <c r="Q270" i="5"/>
  <c r="O271" i="5"/>
  <c r="P271" i="5"/>
  <c r="Q271" i="5"/>
  <c r="O272" i="5"/>
  <c r="P272" i="5"/>
  <c r="Q272" i="5"/>
  <c r="O273" i="5"/>
  <c r="P273" i="5"/>
  <c r="Q273" i="5"/>
  <c r="O274" i="5"/>
  <c r="P274" i="5"/>
  <c r="Q274" i="5"/>
  <c r="O44" i="5"/>
  <c r="O45" i="5"/>
  <c r="P45" i="5"/>
  <c r="Q45" i="5"/>
  <c r="O46" i="5"/>
  <c r="P46" i="5"/>
  <c r="Q46" i="5"/>
  <c r="O47" i="5"/>
  <c r="P47" i="5"/>
  <c r="Q47" i="5"/>
  <c r="O48" i="5"/>
  <c r="P48" i="5"/>
  <c r="Q48" i="5"/>
  <c r="O49" i="5"/>
  <c r="P49" i="5"/>
  <c r="Q49" i="5"/>
  <c r="O42" i="5"/>
  <c r="P42" i="5"/>
  <c r="Q42" i="5"/>
  <c r="P43" i="5"/>
  <c r="Q43" i="5"/>
  <c r="O40" i="5"/>
  <c r="P40" i="5"/>
  <c r="Q40" i="5"/>
  <c r="O38" i="5"/>
  <c r="P38" i="5"/>
  <c r="Q38" i="5"/>
  <c r="O39" i="5"/>
  <c r="P39" i="5"/>
  <c r="Q39" i="5"/>
  <c r="O37" i="5"/>
  <c r="P37" i="5"/>
  <c r="Q37" i="5"/>
  <c r="O36" i="5"/>
  <c r="P36" i="5"/>
  <c r="Q36" i="5"/>
  <c r="O33" i="5"/>
  <c r="P33" i="5"/>
  <c r="Q33" i="5"/>
  <c r="O34" i="5"/>
  <c r="P34" i="5"/>
  <c r="Q34" i="5"/>
  <c r="O35" i="5"/>
  <c r="P35" i="5"/>
  <c r="Q35" i="5"/>
  <c r="O30" i="5"/>
  <c r="P30" i="5"/>
  <c r="Q30" i="5"/>
  <c r="O31" i="5"/>
  <c r="P31" i="5"/>
  <c r="Q31" i="5"/>
  <c r="O32" i="5"/>
  <c r="P32" i="5"/>
  <c r="Q32" i="5"/>
  <c r="O23" i="5"/>
  <c r="P23" i="5"/>
  <c r="Q23" i="5"/>
  <c r="O24" i="5"/>
  <c r="P24" i="5"/>
  <c r="Q24" i="5"/>
  <c r="O25" i="5"/>
  <c r="P25" i="5"/>
  <c r="Q25" i="5"/>
  <c r="O26" i="5"/>
  <c r="P26" i="5"/>
  <c r="Q26" i="5"/>
  <c r="O27" i="5"/>
  <c r="P27" i="5"/>
  <c r="Q27" i="5"/>
  <c r="O28" i="5"/>
  <c r="P28" i="5"/>
  <c r="Q28" i="5"/>
  <c r="O29" i="5"/>
  <c r="P29" i="5"/>
  <c r="Q29" i="5"/>
  <c r="O20" i="5"/>
  <c r="P20" i="5"/>
  <c r="Q20" i="5"/>
  <c r="O21" i="5"/>
  <c r="P21" i="5"/>
  <c r="Q21" i="5"/>
  <c r="O22" i="5"/>
  <c r="P22" i="5"/>
  <c r="Q22" i="5"/>
  <c r="O17" i="5"/>
  <c r="P17" i="5"/>
  <c r="Q17" i="5"/>
  <c r="O18" i="5"/>
  <c r="P18" i="5"/>
  <c r="Q18" i="5"/>
  <c r="O19" i="5"/>
  <c r="P19" i="5"/>
  <c r="Q19" i="5"/>
  <c r="O15" i="5"/>
  <c r="P15" i="5"/>
  <c r="Q15" i="5"/>
  <c r="O16" i="5"/>
  <c r="P16" i="5"/>
  <c r="Q16" i="5"/>
  <c r="O11" i="5"/>
  <c r="P11" i="5"/>
  <c r="Q11" i="5"/>
  <c r="O12" i="5"/>
  <c r="P12" i="5"/>
  <c r="Q12" i="5"/>
  <c r="O14" i="5"/>
  <c r="P14" i="5"/>
  <c r="Q14" i="5"/>
  <c r="O5" i="5"/>
  <c r="P5" i="5"/>
  <c r="Q5" i="5"/>
  <c r="O6" i="5"/>
  <c r="P6" i="5"/>
  <c r="Q6" i="5"/>
  <c r="O8" i="5"/>
  <c r="P8" i="5"/>
  <c r="Q8" i="5"/>
  <c r="O9" i="5"/>
  <c r="P9" i="5"/>
  <c r="Q9" i="5"/>
  <c r="O10" i="5"/>
  <c r="P10" i="5"/>
  <c r="Q10" i="5"/>
  <c r="Q4" i="5"/>
  <c r="P4" i="5"/>
  <c r="O4" i="5"/>
  <c r="S4" i="2"/>
  <c r="B78" i="16" l="1"/>
  <c r="B79" i="16"/>
  <c r="C81" i="16"/>
  <c r="G83" i="16" l="1"/>
  <c r="G82" i="16"/>
  <c r="F83" i="16"/>
  <c r="F82" i="16"/>
  <c r="E83" i="16"/>
  <c r="E82" i="16"/>
  <c r="D83" i="16"/>
  <c r="D82" i="16"/>
  <c r="C83" i="16"/>
  <c r="C82" i="16"/>
  <c r="B83" i="16"/>
  <c r="B82" i="16"/>
  <c r="N8" i="7"/>
  <c r="O8" i="7"/>
  <c r="P8" i="7"/>
  <c r="Q8" i="7"/>
  <c r="R8" i="7"/>
  <c r="S8" i="7"/>
  <c r="T8" i="7"/>
  <c r="U8" i="7"/>
  <c r="V8" i="7"/>
  <c r="W8" i="7"/>
  <c r="X8" i="7"/>
  <c r="Y8" i="7"/>
  <c r="Z8" i="7"/>
  <c r="AE8" i="7"/>
  <c r="AF8" i="7"/>
  <c r="AG8" i="7"/>
  <c r="AH8" i="7"/>
  <c r="AI8" i="7"/>
  <c r="AJ8" i="7"/>
  <c r="AK8" i="7"/>
  <c r="N9" i="7"/>
  <c r="O9" i="7"/>
  <c r="P9" i="7"/>
  <c r="Q9" i="7"/>
  <c r="R9" i="7"/>
  <c r="S9" i="7"/>
  <c r="T9" i="7"/>
  <c r="U9" i="7"/>
  <c r="V9" i="7"/>
  <c r="W9" i="7"/>
  <c r="X9" i="7"/>
  <c r="Y9" i="7"/>
  <c r="Z9" i="7"/>
  <c r="AE9" i="7"/>
  <c r="AF9" i="7"/>
  <c r="AG9" i="7"/>
  <c r="AH9" i="7"/>
  <c r="AI9" i="7"/>
  <c r="AJ9" i="7"/>
  <c r="AK9" i="7"/>
  <c r="N10" i="7"/>
  <c r="O10" i="7"/>
  <c r="P10" i="7"/>
  <c r="Q10" i="7"/>
  <c r="R10" i="7"/>
  <c r="S10" i="7"/>
  <c r="T10" i="7"/>
  <c r="U10" i="7"/>
  <c r="V10" i="7"/>
  <c r="W10" i="7"/>
  <c r="X10" i="7"/>
  <c r="Y10" i="7"/>
  <c r="Z10" i="7"/>
  <c r="AE10" i="7"/>
  <c r="AF10" i="7"/>
  <c r="AG10" i="7"/>
  <c r="AH10" i="7"/>
  <c r="AI10" i="7"/>
  <c r="AJ10" i="7"/>
  <c r="AK10" i="7"/>
  <c r="N11" i="7"/>
  <c r="O11" i="7"/>
  <c r="P11" i="7"/>
  <c r="Q11" i="7"/>
  <c r="R11" i="7"/>
  <c r="S11" i="7"/>
  <c r="T11" i="7"/>
  <c r="U11" i="7"/>
  <c r="V11" i="7"/>
  <c r="W11" i="7"/>
  <c r="X11" i="7"/>
  <c r="Y11" i="7"/>
  <c r="Z11" i="7"/>
  <c r="AE11" i="7"/>
  <c r="AF11" i="7"/>
  <c r="AG11" i="7"/>
  <c r="AH11" i="7"/>
  <c r="AI11" i="7"/>
  <c r="AJ11" i="7"/>
  <c r="AK11" i="7"/>
  <c r="N12" i="7"/>
  <c r="O12" i="7"/>
  <c r="P12" i="7"/>
  <c r="Q12" i="7"/>
  <c r="R12" i="7"/>
  <c r="S12" i="7"/>
  <c r="T12" i="7"/>
  <c r="U12" i="7"/>
  <c r="V12" i="7"/>
  <c r="W12" i="7"/>
  <c r="X12" i="7"/>
  <c r="Y12" i="7"/>
  <c r="Z12" i="7"/>
  <c r="AE12" i="7"/>
  <c r="AF12" i="7"/>
  <c r="AG12" i="7"/>
  <c r="AH12" i="7"/>
  <c r="AI12" i="7"/>
  <c r="AJ12" i="7"/>
  <c r="AK12" i="7"/>
  <c r="N13" i="7"/>
  <c r="O13" i="7"/>
  <c r="P13" i="7"/>
  <c r="Q13" i="7"/>
  <c r="R13" i="7"/>
  <c r="S13" i="7"/>
  <c r="T13" i="7"/>
  <c r="U13" i="7"/>
  <c r="V13" i="7"/>
  <c r="W13" i="7"/>
  <c r="X13" i="7"/>
  <c r="Y13" i="7"/>
  <c r="Z13" i="7"/>
  <c r="AE13" i="7"/>
  <c r="AF13" i="7"/>
  <c r="AG13" i="7"/>
  <c r="AH13" i="7"/>
  <c r="AI13" i="7"/>
  <c r="AJ13" i="7"/>
  <c r="AK13" i="7"/>
  <c r="N14" i="7"/>
  <c r="O14" i="7"/>
  <c r="P14" i="7"/>
  <c r="Q14" i="7"/>
  <c r="R14" i="7"/>
  <c r="S14" i="7"/>
  <c r="T14" i="7"/>
  <c r="U14" i="7"/>
  <c r="V14" i="7"/>
  <c r="W14" i="7"/>
  <c r="X14" i="7"/>
  <c r="Y14" i="7"/>
  <c r="Z14" i="7"/>
  <c r="AE14" i="7"/>
  <c r="AF14" i="7"/>
  <c r="AG14" i="7"/>
  <c r="AH14" i="7"/>
  <c r="AI14" i="7"/>
  <c r="AJ14" i="7"/>
  <c r="AK14" i="7"/>
  <c r="N15" i="7"/>
  <c r="O15" i="7"/>
  <c r="P15" i="7"/>
  <c r="Q15" i="7"/>
  <c r="R15" i="7"/>
  <c r="S15" i="7"/>
  <c r="T15" i="7"/>
  <c r="U15" i="7"/>
  <c r="V15" i="7"/>
  <c r="W15" i="7"/>
  <c r="X15" i="7"/>
  <c r="Y15" i="7"/>
  <c r="Z15" i="7"/>
  <c r="AE15" i="7"/>
  <c r="AF15" i="7"/>
  <c r="AG15" i="7"/>
  <c r="AH15" i="7"/>
  <c r="AI15" i="7"/>
  <c r="AJ15" i="7"/>
  <c r="AK15" i="7"/>
  <c r="N16" i="7"/>
  <c r="O16" i="7"/>
  <c r="P16" i="7"/>
  <c r="Q16" i="7"/>
  <c r="R16" i="7"/>
  <c r="S16" i="7"/>
  <c r="T16" i="7"/>
  <c r="U16" i="7"/>
  <c r="V16" i="7"/>
  <c r="W16" i="7"/>
  <c r="X16" i="7"/>
  <c r="Y16" i="7"/>
  <c r="Z16" i="7"/>
  <c r="AE16" i="7"/>
  <c r="AF16" i="7"/>
  <c r="AG16" i="7"/>
  <c r="AH16" i="7"/>
  <c r="AI16" i="7"/>
  <c r="AJ16" i="7"/>
  <c r="AK16" i="7"/>
  <c r="N17" i="7"/>
  <c r="O17" i="7"/>
  <c r="P17" i="7"/>
  <c r="Q17" i="7"/>
  <c r="R17" i="7"/>
  <c r="S17" i="7"/>
  <c r="T17" i="7"/>
  <c r="U17" i="7"/>
  <c r="V17" i="7"/>
  <c r="W17" i="7"/>
  <c r="X17" i="7"/>
  <c r="Y17" i="7"/>
  <c r="Z17" i="7"/>
  <c r="AE17" i="7"/>
  <c r="AF17" i="7"/>
  <c r="AG17" i="7"/>
  <c r="AH17" i="7"/>
  <c r="AI17" i="7"/>
  <c r="AJ17" i="7"/>
  <c r="AK17" i="7"/>
  <c r="N18" i="7"/>
  <c r="O18" i="7"/>
  <c r="P18" i="7"/>
  <c r="Q18" i="7"/>
  <c r="R18" i="7"/>
  <c r="S18" i="7"/>
  <c r="T18" i="7"/>
  <c r="U18" i="7"/>
  <c r="V18" i="7"/>
  <c r="W18" i="7"/>
  <c r="X18" i="7"/>
  <c r="Y18" i="7"/>
  <c r="Z18" i="7"/>
  <c r="AE18" i="7"/>
  <c r="AF18" i="7"/>
  <c r="AG18" i="7"/>
  <c r="AH18" i="7"/>
  <c r="AI18" i="7"/>
  <c r="AJ18" i="7"/>
  <c r="AK18" i="7"/>
  <c r="N19" i="7"/>
  <c r="O19" i="7"/>
  <c r="P19" i="7"/>
  <c r="Q19" i="7"/>
  <c r="R19" i="7"/>
  <c r="S19" i="7"/>
  <c r="T19" i="7"/>
  <c r="U19" i="7"/>
  <c r="V19" i="7"/>
  <c r="W19" i="7"/>
  <c r="X19" i="7"/>
  <c r="Y19" i="7"/>
  <c r="Z19" i="7"/>
  <c r="AE19" i="7"/>
  <c r="AF19" i="7"/>
  <c r="AG19" i="7"/>
  <c r="AH19" i="7"/>
  <c r="AI19" i="7"/>
  <c r="AJ19" i="7"/>
  <c r="AK19" i="7"/>
  <c r="N20" i="7"/>
  <c r="O20" i="7"/>
  <c r="P20" i="7"/>
  <c r="Q20" i="7"/>
  <c r="R20" i="7"/>
  <c r="S20" i="7"/>
  <c r="T20" i="7"/>
  <c r="U20" i="7"/>
  <c r="V20" i="7"/>
  <c r="W20" i="7"/>
  <c r="X20" i="7"/>
  <c r="Y20" i="7"/>
  <c r="Z20" i="7"/>
  <c r="AE20" i="7"/>
  <c r="AF20" i="7"/>
  <c r="AG20" i="7"/>
  <c r="AH20" i="7"/>
  <c r="AI20" i="7"/>
  <c r="AJ20" i="7"/>
  <c r="AK20" i="7"/>
  <c r="N21" i="7"/>
  <c r="O21" i="7"/>
  <c r="P21" i="7"/>
  <c r="Q21" i="7"/>
  <c r="R21" i="7"/>
  <c r="S21" i="7"/>
  <c r="T21" i="7"/>
  <c r="U21" i="7"/>
  <c r="V21" i="7"/>
  <c r="W21" i="7"/>
  <c r="X21" i="7"/>
  <c r="Y21" i="7"/>
  <c r="Z21" i="7"/>
  <c r="AE21" i="7"/>
  <c r="AF21" i="7"/>
  <c r="AG21" i="7"/>
  <c r="AH21" i="7"/>
  <c r="AI21" i="7"/>
  <c r="AJ21" i="7"/>
  <c r="AK21" i="7"/>
  <c r="N22" i="7"/>
  <c r="O22" i="7"/>
  <c r="P22" i="7"/>
  <c r="Q22" i="7"/>
  <c r="R22" i="7"/>
  <c r="S22" i="7"/>
  <c r="T22" i="7"/>
  <c r="U22" i="7"/>
  <c r="V22" i="7"/>
  <c r="W22" i="7"/>
  <c r="X22" i="7"/>
  <c r="Y22" i="7"/>
  <c r="Z22" i="7"/>
  <c r="AE22" i="7"/>
  <c r="AF22" i="7"/>
  <c r="AG22" i="7"/>
  <c r="AH22" i="7"/>
  <c r="AI22" i="7"/>
  <c r="AJ22" i="7"/>
  <c r="AK22" i="7"/>
  <c r="N23" i="7"/>
  <c r="O23" i="7"/>
  <c r="P23" i="7"/>
  <c r="Q23" i="7"/>
  <c r="R23" i="7"/>
  <c r="S23" i="7"/>
  <c r="T23" i="7"/>
  <c r="U23" i="7"/>
  <c r="V23" i="7"/>
  <c r="W23" i="7"/>
  <c r="X23" i="7"/>
  <c r="Y23" i="7"/>
  <c r="Z23" i="7"/>
  <c r="AE23" i="7"/>
  <c r="AF23" i="7"/>
  <c r="AG23" i="7"/>
  <c r="AH23" i="7"/>
  <c r="AI23" i="7"/>
  <c r="AJ23" i="7"/>
  <c r="AK23" i="7"/>
  <c r="N24" i="7"/>
  <c r="O24" i="7"/>
  <c r="P24" i="7"/>
  <c r="Q24" i="7"/>
  <c r="R24" i="7"/>
  <c r="S24" i="7"/>
  <c r="T24" i="7"/>
  <c r="U24" i="7"/>
  <c r="V24" i="7"/>
  <c r="W24" i="7"/>
  <c r="X24" i="7"/>
  <c r="Y24" i="7"/>
  <c r="Z24" i="7"/>
  <c r="AE24" i="7"/>
  <c r="AF24" i="7"/>
  <c r="AG24" i="7"/>
  <c r="AH24" i="7"/>
  <c r="AI24" i="7"/>
  <c r="AJ24" i="7"/>
  <c r="AK24" i="7"/>
  <c r="N25" i="7"/>
  <c r="O25" i="7"/>
  <c r="P25" i="7"/>
  <c r="Q25" i="7"/>
  <c r="R25" i="7"/>
  <c r="S25" i="7"/>
  <c r="T25" i="7"/>
  <c r="U25" i="7"/>
  <c r="V25" i="7"/>
  <c r="W25" i="7"/>
  <c r="X25" i="7"/>
  <c r="Y25" i="7"/>
  <c r="Z25" i="7"/>
  <c r="AE25" i="7"/>
  <c r="AF25" i="7"/>
  <c r="AG25" i="7"/>
  <c r="AH25" i="7"/>
  <c r="AI25" i="7"/>
  <c r="AJ25" i="7"/>
  <c r="AK25" i="7"/>
  <c r="N26" i="7"/>
  <c r="O26" i="7"/>
  <c r="P26" i="7"/>
  <c r="Q26" i="7"/>
  <c r="R26" i="7"/>
  <c r="S26" i="7"/>
  <c r="T26" i="7"/>
  <c r="U26" i="7"/>
  <c r="V26" i="7"/>
  <c r="W26" i="7"/>
  <c r="X26" i="7"/>
  <c r="Y26" i="7"/>
  <c r="Z26" i="7"/>
  <c r="AE26" i="7"/>
  <c r="AF26" i="7"/>
  <c r="AG26" i="7"/>
  <c r="AH26" i="7"/>
  <c r="AI26" i="7"/>
  <c r="AJ26" i="7"/>
  <c r="AK26" i="7"/>
  <c r="N27" i="7"/>
  <c r="O27" i="7"/>
  <c r="P27" i="7"/>
  <c r="Q27" i="7"/>
  <c r="R27" i="7"/>
  <c r="S27" i="7"/>
  <c r="T27" i="7"/>
  <c r="U27" i="7"/>
  <c r="V27" i="7"/>
  <c r="W27" i="7"/>
  <c r="X27" i="7"/>
  <c r="Y27" i="7"/>
  <c r="Z27" i="7"/>
  <c r="AE27" i="7"/>
  <c r="AF27" i="7"/>
  <c r="AG27" i="7"/>
  <c r="AH27" i="7"/>
  <c r="AI27" i="7"/>
  <c r="AJ27" i="7"/>
  <c r="AK27" i="7"/>
  <c r="N28" i="7"/>
  <c r="O28" i="7"/>
  <c r="P28" i="7"/>
  <c r="Q28" i="7"/>
  <c r="R28" i="7"/>
  <c r="S28" i="7"/>
  <c r="T28" i="7"/>
  <c r="U28" i="7"/>
  <c r="V28" i="7"/>
  <c r="W28" i="7"/>
  <c r="X28" i="7"/>
  <c r="Y28" i="7"/>
  <c r="Z28" i="7"/>
  <c r="AE28" i="7"/>
  <c r="AF28" i="7"/>
  <c r="AG28" i="7"/>
  <c r="AH28" i="7"/>
  <c r="AI28" i="7"/>
  <c r="AJ28" i="7"/>
  <c r="AK28" i="7"/>
  <c r="N29" i="7"/>
  <c r="O29" i="7"/>
  <c r="P29" i="7"/>
  <c r="Q29" i="7"/>
  <c r="R29" i="7"/>
  <c r="S29" i="7"/>
  <c r="T29" i="7"/>
  <c r="U29" i="7"/>
  <c r="V29" i="7"/>
  <c r="W29" i="7"/>
  <c r="X29" i="7"/>
  <c r="Y29" i="7"/>
  <c r="Z29" i="7"/>
  <c r="AE29" i="7"/>
  <c r="AF29" i="7"/>
  <c r="AG29" i="7"/>
  <c r="AH29" i="7"/>
  <c r="AI29" i="7"/>
  <c r="AJ29" i="7"/>
  <c r="AK29" i="7"/>
  <c r="N30" i="7"/>
  <c r="O30" i="7"/>
  <c r="P30" i="7"/>
  <c r="Q30" i="7"/>
  <c r="R30" i="7"/>
  <c r="S30" i="7"/>
  <c r="T30" i="7"/>
  <c r="U30" i="7"/>
  <c r="V30" i="7"/>
  <c r="W30" i="7"/>
  <c r="X30" i="7"/>
  <c r="Y30" i="7"/>
  <c r="Z30" i="7"/>
  <c r="AE30" i="7"/>
  <c r="AF30" i="7"/>
  <c r="AG30" i="7"/>
  <c r="AH30" i="7"/>
  <c r="AI30" i="7"/>
  <c r="AJ30" i="7"/>
  <c r="AK30" i="7"/>
  <c r="N31" i="7"/>
  <c r="O31" i="7"/>
  <c r="P31" i="7"/>
  <c r="Q31" i="7"/>
  <c r="R31" i="7"/>
  <c r="S31" i="7"/>
  <c r="T31" i="7"/>
  <c r="U31" i="7"/>
  <c r="V31" i="7"/>
  <c r="W31" i="7"/>
  <c r="X31" i="7"/>
  <c r="Y31" i="7"/>
  <c r="Z31" i="7"/>
  <c r="AE31" i="7"/>
  <c r="AF31" i="7"/>
  <c r="AG31" i="7"/>
  <c r="AH31" i="7"/>
  <c r="AI31" i="7"/>
  <c r="AJ31" i="7"/>
  <c r="AK31" i="7"/>
  <c r="N32" i="7"/>
  <c r="O32" i="7"/>
  <c r="P32" i="7"/>
  <c r="Q32" i="7"/>
  <c r="R32" i="7"/>
  <c r="S32" i="7"/>
  <c r="T32" i="7"/>
  <c r="U32" i="7"/>
  <c r="V32" i="7"/>
  <c r="W32" i="7"/>
  <c r="X32" i="7"/>
  <c r="Y32" i="7"/>
  <c r="Z32" i="7"/>
  <c r="AE32" i="7"/>
  <c r="AF32" i="7"/>
  <c r="AG32" i="7"/>
  <c r="AH32" i="7"/>
  <c r="AI32" i="7"/>
  <c r="AJ32" i="7"/>
  <c r="AK32" i="7"/>
  <c r="N33" i="7"/>
  <c r="O33" i="7"/>
  <c r="P33" i="7"/>
  <c r="Q33" i="7"/>
  <c r="R33" i="7"/>
  <c r="S33" i="7"/>
  <c r="T33" i="7"/>
  <c r="U33" i="7"/>
  <c r="V33" i="7"/>
  <c r="W33" i="7"/>
  <c r="X33" i="7"/>
  <c r="Y33" i="7"/>
  <c r="Z33" i="7"/>
  <c r="AE33" i="7"/>
  <c r="AF33" i="7"/>
  <c r="AG33" i="7"/>
  <c r="AH33" i="7"/>
  <c r="AI33" i="7"/>
  <c r="AJ33" i="7"/>
  <c r="AK33" i="7"/>
  <c r="N34" i="7"/>
  <c r="O34" i="7"/>
  <c r="P34" i="7"/>
  <c r="Q34" i="7"/>
  <c r="R34" i="7"/>
  <c r="S34" i="7"/>
  <c r="T34" i="7"/>
  <c r="U34" i="7"/>
  <c r="V34" i="7"/>
  <c r="W34" i="7"/>
  <c r="X34" i="7"/>
  <c r="Y34" i="7"/>
  <c r="Z34" i="7"/>
  <c r="AE34" i="7"/>
  <c r="AF34" i="7"/>
  <c r="AG34" i="7"/>
  <c r="AH34" i="7"/>
  <c r="AI34" i="7"/>
  <c r="AJ34" i="7"/>
  <c r="AK34" i="7"/>
  <c r="N35" i="7"/>
  <c r="O35" i="7"/>
  <c r="P35" i="7"/>
  <c r="Q35" i="7"/>
  <c r="R35" i="7"/>
  <c r="S35" i="7"/>
  <c r="T35" i="7"/>
  <c r="U35" i="7"/>
  <c r="V35" i="7"/>
  <c r="W35" i="7"/>
  <c r="X35" i="7"/>
  <c r="Y35" i="7"/>
  <c r="Z35" i="7"/>
  <c r="AE35" i="7"/>
  <c r="AF35" i="7"/>
  <c r="AG35" i="7"/>
  <c r="AH35" i="7"/>
  <c r="AI35" i="7"/>
  <c r="AJ35" i="7"/>
  <c r="AK35" i="7"/>
  <c r="N36" i="7"/>
  <c r="O36" i="7"/>
  <c r="P36" i="7"/>
  <c r="Q36" i="7"/>
  <c r="R36" i="7"/>
  <c r="S36" i="7"/>
  <c r="T36" i="7"/>
  <c r="U36" i="7"/>
  <c r="V36" i="7"/>
  <c r="W36" i="7"/>
  <c r="X36" i="7"/>
  <c r="Y36" i="7"/>
  <c r="Z36" i="7"/>
  <c r="AE36" i="7"/>
  <c r="AF36" i="7"/>
  <c r="AG36" i="7"/>
  <c r="AH36" i="7"/>
  <c r="AI36" i="7"/>
  <c r="AJ36" i="7"/>
  <c r="AK36" i="7"/>
  <c r="N37" i="7"/>
  <c r="O37" i="7"/>
  <c r="P37" i="7"/>
  <c r="Q37" i="7"/>
  <c r="R37" i="7"/>
  <c r="S37" i="7"/>
  <c r="T37" i="7"/>
  <c r="U37" i="7"/>
  <c r="V37" i="7"/>
  <c r="W37" i="7"/>
  <c r="X37" i="7"/>
  <c r="Y37" i="7"/>
  <c r="Z37" i="7"/>
  <c r="AE37" i="7"/>
  <c r="AF37" i="7"/>
  <c r="AG37" i="7"/>
  <c r="AH37" i="7"/>
  <c r="AI37" i="7"/>
  <c r="AJ37" i="7"/>
  <c r="AK37" i="7"/>
  <c r="N38" i="7"/>
  <c r="O38" i="7"/>
  <c r="P38" i="7"/>
  <c r="Q38" i="7"/>
  <c r="R38" i="7"/>
  <c r="S38" i="7"/>
  <c r="T38" i="7"/>
  <c r="U38" i="7"/>
  <c r="V38" i="7"/>
  <c r="W38" i="7"/>
  <c r="X38" i="7"/>
  <c r="Y38" i="7"/>
  <c r="Z38" i="7"/>
  <c r="AE38" i="7"/>
  <c r="AF38" i="7"/>
  <c r="AG38" i="7"/>
  <c r="AH38" i="7"/>
  <c r="AI38" i="7"/>
  <c r="AJ38" i="7"/>
  <c r="AK38" i="7"/>
  <c r="N39" i="7"/>
  <c r="O39" i="7"/>
  <c r="P39" i="7"/>
  <c r="Q39" i="7"/>
  <c r="R39" i="7"/>
  <c r="S39" i="7"/>
  <c r="T39" i="7"/>
  <c r="U39" i="7"/>
  <c r="V39" i="7"/>
  <c r="W39" i="7"/>
  <c r="X39" i="7"/>
  <c r="Y39" i="7"/>
  <c r="Z39" i="7"/>
  <c r="AE39" i="7"/>
  <c r="AF39" i="7"/>
  <c r="AG39" i="7"/>
  <c r="AH39" i="7"/>
  <c r="AI39" i="7"/>
  <c r="AJ39" i="7"/>
  <c r="AK39" i="7"/>
  <c r="N40" i="7"/>
  <c r="O40" i="7"/>
  <c r="P40" i="7"/>
  <c r="Q40" i="7"/>
  <c r="R40" i="7"/>
  <c r="S40" i="7"/>
  <c r="T40" i="7"/>
  <c r="U40" i="7"/>
  <c r="V40" i="7"/>
  <c r="W40" i="7"/>
  <c r="X40" i="7"/>
  <c r="Y40" i="7"/>
  <c r="Z40" i="7"/>
  <c r="AE40" i="7"/>
  <c r="AF40" i="7"/>
  <c r="AG40" i="7"/>
  <c r="AH40" i="7"/>
  <c r="AI40" i="7"/>
  <c r="AJ40" i="7"/>
  <c r="AK40" i="7"/>
  <c r="N41" i="7"/>
  <c r="O41" i="7"/>
  <c r="P41" i="7"/>
  <c r="Q41" i="7"/>
  <c r="R41" i="7"/>
  <c r="S41" i="7"/>
  <c r="T41" i="7"/>
  <c r="U41" i="7"/>
  <c r="V41" i="7"/>
  <c r="W41" i="7"/>
  <c r="X41" i="7"/>
  <c r="Y41" i="7"/>
  <c r="Z41" i="7"/>
  <c r="AE41" i="7"/>
  <c r="AF41" i="7"/>
  <c r="AG41" i="7"/>
  <c r="AH41" i="7"/>
  <c r="AI41" i="7"/>
  <c r="AJ41" i="7"/>
  <c r="AK41" i="7"/>
  <c r="N42" i="7"/>
  <c r="O42" i="7"/>
  <c r="P42" i="7"/>
  <c r="Q42" i="7"/>
  <c r="R42" i="7"/>
  <c r="S42" i="7"/>
  <c r="T42" i="7"/>
  <c r="U42" i="7"/>
  <c r="V42" i="7"/>
  <c r="W42" i="7"/>
  <c r="X42" i="7"/>
  <c r="Y42" i="7"/>
  <c r="Z42" i="7"/>
  <c r="AE42" i="7"/>
  <c r="AF42" i="7"/>
  <c r="AG42" i="7"/>
  <c r="AH42" i="7"/>
  <c r="AI42" i="7"/>
  <c r="AJ42" i="7"/>
  <c r="AK42" i="7"/>
  <c r="N43" i="7"/>
  <c r="O43" i="7"/>
  <c r="P43" i="7"/>
  <c r="Q43" i="7"/>
  <c r="R43" i="7"/>
  <c r="S43" i="7"/>
  <c r="T43" i="7"/>
  <c r="U43" i="7"/>
  <c r="V43" i="7"/>
  <c r="W43" i="7"/>
  <c r="X43" i="7"/>
  <c r="Y43" i="7"/>
  <c r="Z43" i="7"/>
  <c r="AE43" i="7"/>
  <c r="AF43" i="7"/>
  <c r="AG43" i="7"/>
  <c r="AH43" i="7"/>
  <c r="AI43" i="7"/>
  <c r="AJ43" i="7"/>
  <c r="AK43" i="7"/>
  <c r="N44" i="7"/>
  <c r="O44" i="7"/>
  <c r="P44" i="7"/>
  <c r="Q44" i="7"/>
  <c r="R44" i="7"/>
  <c r="S44" i="7"/>
  <c r="T44" i="7"/>
  <c r="U44" i="7"/>
  <c r="V44" i="7"/>
  <c r="W44" i="7"/>
  <c r="X44" i="7"/>
  <c r="Y44" i="7"/>
  <c r="Z44" i="7"/>
  <c r="AE44" i="7"/>
  <c r="AF44" i="7"/>
  <c r="AG44" i="7"/>
  <c r="AH44" i="7"/>
  <c r="AI44" i="7"/>
  <c r="AJ44" i="7"/>
  <c r="AK44" i="7"/>
  <c r="N45" i="7"/>
  <c r="O45" i="7"/>
  <c r="P45" i="7"/>
  <c r="Q45" i="7"/>
  <c r="R45" i="7"/>
  <c r="S45" i="7"/>
  <c r="T45" i="7"/>
  <c r="U45" i="7"/>
  <c r="V45" i="7"/>
  <c r="W45" i="7"/>
  <c r="X45" i="7"/>
  <c r="Y45" i="7"/>
  <c r="Z45" i="7"/>
  <c r="AE45" i="7"/>
  <c r="AF45" i="7"/>
  <c r="AG45" i="7"/>
  <c r="AH45" i="7"/>
  <c r="AI45" i="7"/>
  <c r="AJ45" i="7"/>
  <c r="AK45" i="7"/>
  <c r="N46" i="7"/>
  <c r="O46" i="7"/>
  <c r="P46" i="7"/>
  <c r="Q46" i="7"/>
  <c r="R46" i="7"/>
  <c r="S46" i="7"/>
  <c r="T46" i="7"/>
  <c r="U46" i="7"/>
  <c r="V46" i="7"/>
  <c r="W46" i="7"/>
  <c r="X46" i="7"/>
  <c r="Y46" i="7"/>
  <c r="Z46" i="7"/>
  <c r="AE46" i="7"/>
  <c r="AF46" i="7"/>
  <c r="AG46" i="7"/>
  <c r="AH46" i="7"/>
  <c r="AI46" i="7"/>
  <c r="AJ46" i="7"/>
  <c r="AK46" i="7"/>
  <c r="N47" i="7"/>
  <c r="O47" i="7"/>
  <c r="P47" i="7"/>
  <c r="Q47" i="7"/>
  <c r="R47" i="7"/>
  <c r="S47" i="7"/>
  <c r="T47" i="7"/>
  <c r="U47" i="7"/>
  <c r="V47" i="7"/>
  <c r="W47" i="7"/>
  <c r="X47" i="7"/>
  <c r="Y47" i="7"/>
  <c r="Z47" i="7"/>
  <c r="AE47" i="7"/>
  <c r="AF47" i="7"/>
  <c r="AG47" i="7"/>
  <c r="AH47" i="7"/>
  <c r="AI47" i="7"/>
  <c r="AJ47" i="7"/>
  <c r="AK47" i="7"/>
  <c r="N48" i="7"/>
  <c r="O48" i="7"/>
  <c r="P48" i="7"/>
  <c r="Q48" i="7"/>
  <c r="R48" i="7"/>
  <c r="S48" i="7"/>
  <c r="T48" i="7"/>
  <c r="U48" i="7"/>
  <c r="V48" i="7"/>
  <c r="W48" i="7"/>
  <c r="X48" i="7"/>
  <c r="Y48" i="7"/>
  <c r="Z48" i="7"/>
  <c r="AE48" i="7"/>
  <c r="AF48" i="7"/>
  <c r="AG48" i="7"/>
  <c r="AH48" i="7"/>
  <c r="AI48" i="7"/>
  <c r="AJ48" i="7"/>
  <c r="AK48" i="7"/>
  <c r="N49" i="7"/>
  <c r="O49" i="7"/>
  <c r="P49" i="7"/>
  <c r="Q49" i="7"/>
  <c r="R49" i="7"/>
  <c r="S49" i="7"/>
  <c r="T49" i="7"/>
  <c r="U49" i="7"/>
  <c r="V49" i="7"/>
  <c r="W49" i="7"/>
  <c r="X49" i="7"/>
  <c r="Y49" i="7"/>
  <c r="Z49" i="7"/>
  <c r="AE49" i="7"/>
  <c r="AF49" i="7"/>
  <c r="AG49" i="7"/>
  <c r="AH49" i="7"/>
  <c r="AI49" i="7"/>
  <c r="AJ49" i="7"/>
  <c r="AK49" i="7"/>
  <c r="N50" i="7"/>
  <c r="O50" i="7"/>
  <c r="P50" i="7"/>
  <c r="Q50" i="7"/>
  <c r="R50" i="7"/>
  <c r="S50" i="7"/>
  <c r="T50" i="7"/>
  <c r="U50" i="7"/>
  <c r="V50" i="7"/>
  <c r="W50" i="7"/>
  <c r="X50" i="7"/>
  <c r="Y50" i="7"/>
  <c r="Z50" i="7"/>
  <c r="AE50" i="7"/>
  <c r="AF50" i="7"/>
  <c r="AG50" i="7"/>
  <c r="AH50" i="7"/>
  <c r="AI50" i="7"/>
  <c r="AJ50" i="7"/>
  <c r="AK50" i="7"/>
  <c r="N51" i="7"/>
  <c r="O51" i="7"/>
  <c r="P51" i="7"/>
  <c r="Q51" i="7"/>
  <c r="R51" i="7"/>
  <c r="S51" i="7"/>
  <c r="T51" i="7"/>
  <c r="U51" i="7"/>
  <c r="V51" i="7"/>
  <c r="W51" i="7"/>
  <c r="X51" i="7"/>
  <c r="Y51" i="7"/>
  <c r="Z51" i="7"/>
  <c r="AE51" i="7"/>
  <c r="AF51" i="7"/>
  <c r="AG51" i="7"/>
  <c r="AH51" i="7"/>
  <c r="AI51" i="7"/>
  <c r="AJ51" i="7"/>
  <c r="AK51" i="7"/>
  <c r="N52" i="7"/>
  <c r="O52" i="7"/>
  <c r="P52" i="7"/>
  <c r="Q52" i="7"/>
  <c r="R52" i="7"/>
  <c r="S52" i="7"/>
  <c r="T52" i="7"/>
  <c r="U52" i="7"/>
  <c r="V52" i="7"/>
  <c r="W52" i="7"/>
  <c r="X52" i="7"/>
  <c r="Y52" i="7"/>
  <c r="Z52" i="7"/>
  <c r="AE52" i="7"/>
  <c r="AF52" i="7"/>
  <c r="AG52" i="7"/>
  <c r="AH52" i="7"/>
  <c r="AI52" i="7"/>
  <c r="AJ52" i="7"/>
  <c r="AK52" i="7"/>
  <c r="N53" i="7"/>
  <c r="O53" i="7"/>
  <c r="P53" i="7"/>
  <c r="Q53" i="7"/>
  <c r="R53" i="7"/>
  <c r="S53" i="7"/>
  <c r="T53" i="7"/>
  <c r="U53" i="7"/>
  <c r="V53" i="7"/>
  <c r="W53" i="7"/>
  <c r="X53" i="7"/>
  <c r="Y53" i="7"/>
  <c r="Z53" i="7"/>
  <c r="AE53" i="7"/>
  <c r="AF53" i="7"/>
  <c r="AG53" i="7"/>
  <c r="AH53" i="7"/>
  <c r="AI53" i="7"/>
  <c r="AJ53" i="7"/>
  <c r="AK53" i="7"/>
  <c r="N54" i="7"/>
  <c r="O54" i="7"/>
  <c r="P54" i="7"/>
  <c r="Q54" i="7"/>
  <c r="R54" i="7"/>
  <c r="S54" i="7"/>
  <c r="T54" i="7"/>
  <c r="U54" i="7"/>
  <c r="V54" i="7"/>
  <c r="W54" i="7"/>
  <c r="X54" i="7"/>
  <c r="Y54" i="7"/>
  <c r="Z54" i="7"/>
  <c r="AE54" i="7"/>
  <c r="AF54" i="7"/>
  <c r="AG54" i="7"/>
  <c r="AH54" i="7"/>
  <c r="AI54" i="7"/>
  <c r="AJ54" i="7"/>
  <c r="AK54" i="7"/>
  <c r="N55" i="7"/>
  <c r="O55" i="7"/>
  <c r="P55" i="7"/>
  <c r="Q55" i="7"/>
  <c r="R55" i="7"/>
  <c r="S55" i="7"/>
  <c r="T55" i="7"/>
  <c r="U55" i="7"/>
  <c r="V55" i="7"/>
  <c r="W55" i="7"/>
  <c r="X55" i="7"/>
  <c r="Y55" i="7"/>
  <c r="Z55" i="7"/>
  <c r="AE55" i="7"/>
  <c r="AF55" i="7"/>
  <c r="AG55" i="7"/>
  <c r="AH55" i="7"/>
  <c r="AI55" i="7"/>
  <c r="AJ55" i="7"/>
  <c r="AK55" i="7"/>
  <c r="N56" i="7"/>
  <c r="O56" i="7"/>
  <c r="P56" i="7"/>
  <c r="Q56" i="7"/>
  <c r="R56" i="7"/>
  <c r="S56" i="7"/>
  <c r="T56" i="7"/>
  <c r="U56" i="7"/>
  <c r="V56" i="7"/>
  <c r="W56" i="7"/>
  <c r="X56" i="7"/>
  <c r="Y56" i="7"/>
  <c r="Z56" i="7"/>
  <c r="AE56" i="7"/>
  <c r="AF56" i="7"/>
  <c r="AG56" i="7"/>
  <c r="AH56" i="7"/>
  <c r="AI56" i="7"/>
  <c r="AJ56" i="7"/>
  <c r="AK56" i="7"/>
  <c r="N57" i="7"/>
  <c r="O57" i="7"/>
  <c r="P57" i="7"/>
  <c r="Q57" i="7"/>
  <c r="R57" i="7"/>
  <c r="S57" i="7"/>
  <c r="T57" i="7"/>
  <c r="U57" i="7"/>
  <c r="V57" i="7"/>
  <c r="W57" i="7"/>
  <c r="X57" i="7"/>
  <c r="Y57" i="7"/>
  <c r="Z57" i="7"/>
  <c r="AE57" i="7"/>
  <c r="AF57" i="7"/>
  <c r="AG57" i="7"/>
  <c r="AH57" i="7"/>
  <c r="AI57" i="7"/>
  <c r="AJ57" i="7"/>
  <c r="AK57" i="7"/>
  <c r="N58" i="7"/>
  <c r="O58" i="7"/>
  <c r="P58" i="7"/>
  <c r="Q58" i="7"/>
  <c r="R58" i="7"/>
  <c r="S58" i="7"/>
  <c r="T58" i="7"/>
  <c r="U58" i="7"/>
  <c r="V58" i="7"/>
  <c r="W58" i="7"/>
  <c r="X58" i="7"/>
  <c r="Y58" i="7"/>
  <c r="Z58" i="7"/>
  <c r="AE58" i="7"/>
  <c r="AF58" i="7"/>
  <c r="AG58" i="7"/>
  <c r="AH58" i="7"/>
  <c r="AI58" i="7"/>
  <c r="AJ58" i="7"/>
  <c r="AK58" i="7"/>
  <c r="N59" i="7"/>
  <c r="O59" i="7"/>
  <c r="P59" i="7"/>
  <c r="Q59" i="7"/>
  <c r="R59" i="7"/>
  <c r="S59" i="7"/>
  <c r="T59" i="7"/>
  <c r="U59" i="7"/>
  <c r="V59" i="7"/>
  <c r="W59" i="7"/>
  <c r="X59" i="7"/>
  <c r="Y59" i="7"/>
  <c r="Z59" i="7"/>
  <c r="AE59" i="7"/>
  <c r="AF59" i="7"/>
  <c r="AG59" i="7"/>
  <c r="AH59" i="7"/>
  <c r="AI59" i="7"/>
  <c r="AJ59" i="7"/>
  <c r="AK59" i="7"/>
  <c r="N60" i="7"/>
  <c r="O60" i="7"/>
  <c r="P60" i="7"/>
  <c r="Q60" i="7"/>
  <c r="R60" i="7"/>
  <c r="S60" i="7"/>
  <c r="T60" i="7"/>
  <c r="U60" i="7"/>
  <c r="V60" i="7"/>
  <c r="W60" i="7"/>
  <c r="X60" i="7"/>
  <c r="Y60" i="7"/>
  <c r="Z60" i="7"/>
  <c r="AE60" i="7"/>
  <c r="AF60" i="7"/>
  <c r="AG60" i="7"/>
  <c r="AH60" i="7"/>
  <c r="AI60" i="7"/>
  <c r="AJ60" i="7"/>
  <c r="AK60" i="7"/>
  <c r="N61" i="7"/>
  <c r="O61" i="7"/>
  <c r="P61" i="7"/>
  <c r="Q61" i="7"/>
  <c r="R61" i="7"/>
  <c r="S61" i="7"/>
  <c r="T61" i="7"/>
  <c r="U61" i="7"/>
  <c r="V61" i="7"/>
  <c r="W61" i="7"/>
  <c r="X61" i="7"/>
  <c r="Y61" i="7"/>
  <c r="Z61" i="7"/>
  <c r="AE61" i="7"/>
  <c r="AF61" i="7"/>
  <c r="AG61" i="7"/>
  <c r="AH61" i="7"/>
  <c r="AI61" i="7"/>
  <c r="AJ61" i="7"/>
  <c r="AK61" i="7"/>
  <c r="N62" i="7"/>
  <c r="O62" i="7"/>
  <c r="P62" i="7"/>
  <c r="Q62" i="7"/>
  <c r="R62" i="7"/>
  <c r="S62" i="7"/>
  <c r="T62" i="7"/>
  <c r="U62" i="7"/>
  <c r="V62" i="7"/>
  <c r="W62" i="7"/>
  <c r="X62" i="7"/>
  <c r="Y62" i="7"/>
  <c r="Z62" i="7"/>
  <c r="AE62" i="7"/>
  <c r="AF62" i="7"/>
  <c r="AG62" i="7"/>
  <c r="AH62" i="7"/>
  <c r="AI62" i="7"/>
  <c r="AJ62" i="7"/>
  <c r="AK62" i="7"/>
  <c r="N63" i="7"/>
  <c r="O63" i="7"/>
  <c r="P63" i="7"/>
  <c r="Q63" i="7"/>
  <c r="R63" i="7"/>
  <c r="S63" i="7"/>
  <c r="T63" i="7"/>
  <c r="U63" i="7"/>
  <c r="V63" i="7"/>
  <c r="W63" i="7"/>
  <c r="X63" i="7"/>
  <c r="Y63" i="7"/>
  <c r="Z63" i="7"/>
  <c r="AE63" i="7"/>
  <c r="AF63" i="7"/>
  <c r="AG63" i="7"/>
  <c r="AH63" i="7"/>
  <c r="AI63" i="7"/>
  <c r="AJ63" i="7"/>
  <c r="AK63" i="7"/>
  <c r="N64" i="7"/>
  <c r="O64" i="7"/>
  <c r="P64" i="7"/>
  <c r="Q64" i="7"/>
  <c r="R64" i="7"/>
  <c r="S64" i="7"/>
  <c r="T64" i="7"/>
  <c r="U64" i="7"/>
  <c r="V64" i="7"/>
  <c r="W64" i="7"/>
  <c r="X64" i="7"/>
  <c r="Y64" i="7"/>
  <c r="Z64" i="7"/>
  <c r="AE64" i="7"/>
  <c r="AF64" i="7"/>
  <c r="AG64" i="7"/>
  <c r="AH64" i="7"/>
  <c r="AI64" i="7"/>
  <c r="AJ64" i="7"/>
  <c r="AK64" i="7"/>
  <c r="N65" i="7"/>
  <c r="O65" i="7"/>
  <c r="P65" i="7"/>
  <c r="Q65" i="7"/>
  <c r="R65" i="7"/>
  <c r="S65" i="7"/>
  <c r="T65" i="7"/>
  <c r="U65" i="7"/>
  <c r="V65" i="7"/>
  <c r="W65" i="7"/>
  <c r="X65" i="7"/>
  <c r="Y65" i="7"/>
  <c r="Z65" i="7"/>
  <c r="AE65" i="7"/>
  <c r="AF65" i="7"/>
  <c r="AG65" i="7"/>
  <c r="AH65" i="7"/>
  <c r="AI65" i="7"/>
  <c r="AJ65" i="7"/>
  <c r="AK65" i="7"/>
  <c r="N66" i="7"/>
  <c r="O66" i="7"/>
  <c r="P66" i="7"/>
  <c r="Q66" i="7"/>
  <c r="R66" i="7"/>
  <c r="S66" i="7"/>
  <c r="T66" i="7"/>
  <c r="U66" i="7"/>
  <c r="V66" i="7"/>
  <c r="W66" i="7"/>
  <c r="X66" i="7"/>
  <c r="Y66" i="7"/>
  <c r="Z66" i="7"/>
  <c r="AE66" i="7"/>
  <c r="AF66" i="7"/>
  <c r="AG66" i="7"/>
  <c r="AH66" i="7"/>
  <c r="AI66" i="7"/>
  <c r="AJ66" i="7"/>
  <c r="AK66" i="7"/>
  <c r="N67" i="7"/>
  <c r="O67" i="7"/>
  <c r="P67" i="7"/>
  <c r="Q67" i="7"/>
  <c r="R67" i="7"/>
  <c r="S67" i="7"/>
  <c r="T67" i="7"/>
  <c r="U67" i="7"/>
  <c r="V67" i="7"/>
  <c r="W67" i="7"/>
  <c r="X67" i="7"/>
  <c r="Y67" i="7"/>
  <c r="Z67" i="7"/>
  <c r="AE67" i="7"/>
  <c r="AF67" i="7"/>
  <c r="AG67" i="7"/>
  <c r="AH67" i="7"/>
  <c r="AI67" i="7"/>
  <c r="AJ67" i="7"/>
  <c r="AK67" i="7"/>
  <c r="N68" i="7"/>
  <c r="O68" i="7"/>
  <c r="P68" i="7"/>
  <c r="Q68" i="7"/>
  <c r="R68" i="7"/>
  <c r="S68" i="7"/>
  <c r="T68" i="7"/>
  <c r="U68" i="7"/>
  <c r="V68" i="7"/>
  <c r="W68" i="7"/>
  <c r="X68" i="7"/>
  <c r="Y68" i="7"/>
  <c r="Z68" i="7"/>
  <c r="AE68" i="7"/>
  <c r="AF68" i="7"/>
  <c r="AG68" i="7"/>
  <c r="AH68" i="7"/>
  <c r="AI68" i="7"/>
  <c r="AJ68" i="7"/>
  <c r="AK68" i="7"/>
  <c r="N69" i="7"/>
  <c r="O69" i="7"/>
  <c r="P69" i="7"/>
  <c r="Q69" i="7"/>
  <c r="R69" i="7"/>
  <c r="S69" i="7"/>
  <c r="T69" i="7"/>
  <c r="U69" i="7"/>
  <c r="V69" i="7"/>
  <c r="W69" i="7"/>
  <c r="X69" i="7"/>
  <c r="Y69" i="7"/>
  <c r="Z69" i="7"/>
  <c r="AE69" i="7"/>
  <c r="AF69" i="7"/>
  <c r="AG69" i="7"/>
  <c r="AH69" i="7"/>
  <c r="AI69" i="7"/>
  <c r="AJ69" i="7"/>
  <c r="AK69" i="7"/>
  <c r="N70" i="7"/>
  <c r="O70" i="7"/>
  <c r="P70" i="7"/>
  <c r="Q70" i="7"/>
  <c r="R70" i="7"/>
  <c r="S70" i="7"/>
  <c r="T70" i="7"/>
  <c r="U70" i="7"/>
  <c r="V70" i="7"/>
  <c r="W70" i="7"/>
  <c r="X70" i="7"/>
  <c r="Y70" i="7"/>
  <c r="Z70" i="7"/>
  <c r="AE70" i="7"/>
  <c r="AF70" i="7"/>
  <c r="AG70" i="7"/>
  <c r="AH70" i="7"/>
  <c r="AI70" i="7"/>
  <c r="AJ70" i="7"/>
  <c r="AK70" i="7"/>
  <c r="N71" i="7"/>
  <c r="O71" i="7"/>
  <c r="P71" i="7"/>
  <c r="Q71" i="7"/>
  <c r="R71" i="7"/>
  <c r="S71" i="7"/>
  <c r="T71" i="7"/>
  <c r="U71" i="7"/>
  <c r="V71" i="7"/>
  <c r="W71" i="7"/>
  <c r="X71" i="7"/>
  <c r="Y71" i="7"/>
  <c r="Z71" i="7"/>
  <c r="AE71" i="7"/>
  <c r="AF71" i="7"/>
  <c r="AG71" i="7"/>
  <c r="AH71" i="7"/>
  <c r="AI71" i="7"/>
  <c r="AJ71" i="7"/>
  <c r="AK71" i="7"/>
  <c r="N72" i="7"/>
  <c r="O72" i="7"/>
  <c r="P72" i="7"/>
  <c r="Q72" i="7"/>
  <c r="R72" i="7"/>
  <c r="S72" i="7"/>
  <c r="T72" i="7"/>
  <c r="U72" i="7"/>
  <c r="V72" i="7"/>
  <c r="W72" i="7"/>
  <c r="X72" i="7"/>
  <c r="Y72" i="7"/>
  <c r="Z72" i="7"/>
  <c r="AE72" i="7"/>
  <c r="AF72" i="7"/>
  <c r="AG72" i="7"/>
  <c r="AH72" i="7"/>
  <c r="AI72" i="7"/>
  <c r="AJ72" i="7"/>
  <c r="AK72" i="7"/>
  <c r="N73" i="7"/>
  <c r="O73" i="7"/>
  <c r="P73" i="7"/>
  <c r="Q73" i="7"/>
  <c r="R73" i="7"/>
  <c r="S73" i="7"/>
  <c r="T73" i="7"/>
  <c r="U73" i="7"/>
  <c r="V73" i="7"/>
  <c r="W73" i="7"/>
  <c r="X73" i="7"/>
  <c r="Y73" i="7"/>
  <c r="Z73" i="7"/>
  <c r="AE73" i="7"/>
  <c r="AF73" i="7"/>
  <c r="AG73" i="7"/>
  <c r="AH73" i="7"/>
  <c r="AI73" i="7"/>
  <c r="AJ73" i="7"/>
  <c r="AK73" i="7"/>
  <c r="N74" i="7"/>
  <c r="O74" i="7"/>
  <c r="P74" i="7"/>
  <c r="Q74" i="7"/>
  <c r="R74" i="7"/>
  <c r="S74" i="7"/>
  <c r="T74" i="7"/>
  <c r="U74" i="7"/>
  <c r="V74" i="7"/>
  <c r="W74" i="7"/>
  <c r="X74" i="7"/>
  <c r="Y74" i="7"/>
  <c r="Z74" i="7"/>
  <c r="AE74" i="7"/>
  <c r="AF74" i="7"/>
  <c r="AG74" i="7"/>
  <c r="AH74" i="7"/>
  <c r="AI74" i="7"/>
  <c r="AJ74" i="7"/>
  <c r="AK74" i="7"/>
  <c r="N75" i="7"/>
  <c r="O75" i="7"/>
  <c r="P75" i="7"/>
  <c r="Q75" i="7"/>
  <c r="R75" i="7"/>
  <c r="S75" i="7"/>
  <c r="T75" i="7"/>
  <c r="U75" i="7"/>
  <c r="V75" i="7"/>
  <c r="W75" i="7"/>
  <c r="X75" i="7"/>
  <c r="Y75" i="7"/>
  <c r="Z75" i="7"/>
  <c r="AE75" i="7"/>
  <c r="AF75" i="7"/>
  <c r="AG75" i="7"/>
  <c r="AH75" i="7"/>
  <c r="AI75" i="7"/>
  <c r="AJ75" i="7"/>
  <c r="AK75" i="7"/>
  <c r="N76" i="7"/>
  <c r="O76" i="7"/>
  <c r="P76" i="7"/>
  <c r="Q76" i="7"/>
  <c r="R76" i="7"/>
  <c r="S76" i="7"/>
  <c r="T76" i="7"/>
  <c r="U76" i="7"/>
  <c r="V76" i="7"/>
  <c r="W76" i="7"/>
  <c r="X76" i="7"/>
  <c r="Y76" i="7"/>
  <c r="Z76" i="7"/>
  <c r="AE76" i="7"/>
  <c r="AF76" i="7"/>
  <c r="AG76" i="7"/>
  <c r="AH76" i="7"/>
  <c r="AI76" i="7"/>
  <c r="AJ76" i="7"/>
  <c r="AK76" i="7"/>
  <c r="N77" i="7"/>
  <c r="O77" i="7"/>
  <c r="P77" i="7"/>
  <c r="Q77" i="7"/>
  <c r="R77" i="7"/>
  <c r="S77" i="7"/>
  <c r="T77" i="7"/>
  <c r="U77" i="7"/>
  <c r="V77" i="7"/>
  <c r="W77" i="7"/>
  <c r="X77" i="7"/>
  <c r="Y77" i="7"/>
  <c r="Z77" i="7"/>
  <c r="AE77" i="7"/>
  <c r="AF77" i="7"/>
  <c r="AG77" i="7"/>
  <c r="AH77" i="7"/>
  <c r="AI77" i="7"/>
  <c r="AJ77" i="7"/>
  <c r="AK77" i="7"/>
  <c r="N78" i="7"/>
  <c r="O78" i="7"/>
  <c r="P78" i="7"/>
  <c r="Q78" i="7"/>
  <c r="R78" i="7"/>
  <c r="S78" i="7"/>
  <c r="T78" i="7"/>
  <c r="U78" i="7"/>
  <c r="V78" i="7"/>
  <c r="W78" i="7"/>
  <c r="X78" i="7"/>
  <c r="Y78" i="7"/>
  <c r="Z78" i="7"/>
  <c r="AE78" i="7"/>
  <c r="AF78" i="7"/>
  <c r="AG78" i="7"/>
  <c r="AH78" i="7"/>
  <c r="AI78" i="7"/>
  <c r="AJ78" i="7"/>
  <c r="AK78" i="7"/>
  <c r="N79" i="7"/>
  <c r="O79" i="7"/>
  <c r="P79" i="7"/>
  <c r="Q79" i="7"/>
  <c r="R79" i="7"/>
  <c r="S79" i="7"/>
  <c r="T79" i="7"/>
  <c r="U79" i="7"/>
  <c r="V79" i="7"/>
  <c r="W79" i="7"/>
  <c r="X79" i="7"/>
  <c r="Y79" i="7"/>
  <c r="Z79" i="7"/>
  <c r="AE79" i="7"/>
  <c r="AF79" i="7"/>
  <c r="AG79" i="7"/>
  <c r="AH79" i="7"/>
  <c r="AI79" i="7"/>
  <c r="AJ79" i="7"/>
  <c r="AK79" i="7"/>
  <c r="N80" i="7"/>
  <c r="O80" i="7"/>
  <c r="P80" i="7"/>
  <c r="Q80" i="7"/>
  <c r="R80" i="7"/>
  <c r="S80" i="7"/>
  <c r="T80" i="7"/>
  <c r="U80" i="7"/>
  <c r="V80" i="7"/>
  <c r="W80" i="7"/>
  <c r="X80" i="7"/>
  <c r="Y80" i="7"/>
  <c r="Z80" i="7"/>
  <c r="AE80" i="7"/>
  <c r="AF80" i="7"/>
  <c r="AG80" i="7"/>
  <c r="AH80" i="7"/>
  <c r="AI80" i="7"/>
  <c r="AJ80" i="7"/>
  <c r="AK80" i="7"/>
  <c r="N81" i="7"/>
  <c r="O81" i="7"/>
  <c r="P81" i="7"/>
  <c r="Q81" i="7"/>
  <c r="R81" i="7"/>
  <c r="S81" i="7"/>
  <c r="T81" i="7"/>
  <c r="U81" i="7"/>
  <c r="V81" i="7"/>
  <c r="W81" i="7"/>
  <c r="X81" i="7"/>
  <c r="Y81" i="7"/>
  <c r="Z81" i="7"/>
  <c r="AE81" i="7"/>
  <c r="AF81" i="7"/>
  <c r="AG81" i="7"/>
  <c r="AH81" i="7"/>
  <c r="AI81" i="7"/>
  <c r="AJ81" i="7"/>
  <c r="AK81" i="7"/>
  <c r="N82" i="7"/>
  <c r="O82" i="7"/>
  <c r="P82" i="7"/>
  <c r="Q82" i="7"/>
  <c r="R82" i="7"/>
  <c r="S82" i="7"/>
  <c r="T82" i="7"/>
  <c r="U82" i="7"/>
  <c r="V82" i="7"/>
  <c r="W82" i="7"/>
  <c r="X82" i="7"/>
  <c r="Y82" i="7"/>
  <c r="Z82" i="7"/>
  <c r="AE82" i="7"/>
  <c r="AF82" i="7"/>
  <c r="AG82" i="7"/>
  <c r="AH82" i="7"/>
  <c r="AI82" i="7"/>
  <c r="AJ82" i="7"/>
  <c r="AK82" i="7"/>
  <c r="N83" i="7"/>
  <c r="O83" i="7"/>
  <c r="P83" i="7"/>
  <c r="Q83" i="7"/>
  <c r="R83" i="7"/>
  <c r="S83" i="7"/>
  <c r="T83" i="7"/>
  <c r="U83" i="7"/>
  <c r="V83" i="7"/>
  <c r="W83" i="7"/>
  <c r="X83" i="7"/>
  <c r="Y83" i="7"/>
  <c r="Z83" i="7"/>
  <c r="AE83" i="7"/>
  <c r="AF83" i="7"/>
  <c r="AG83" i="7"/>
  <c r="AH83" i="7"/>
  <c r="AI83" i="7"/>
  <c r="AJ83" i="7"/>
  <c r="AK83" i="7"/>
  <c r="N84" i="7"/>
  <c r="O84" i="7"/>
  <c r="P84" i="7"/>
  <c r="Q84" i="7"/>
  <c r="R84" i="7"/>
  <c r="S84" i="7"/>
  <c r="T84" i="7"/>
  <c r="U84" i="7"/>
  <c r="V84" i="7"/>
  <c r="W84" i="7"/>
  <c r="X84" i="7"/>
  <c r="Y84" i="7"/>
  <c r="Z84" i="7"/>
  <c r="AE84" i="7"/>
  <c r="AF84" i="7"/>
  <c r="AG84" i="7"/>
  <c r="AH84" i="7"/>
  <c r="AI84" i="7"/>
  <c r="AJ84" i="7"/>
  <c r="AK84" i="7"/>
  <c r="N85" i="7"/>
  <c r="O85" i="7"/>
  <c r="P85" i="7"/>
  <c r="Q85" i="7"/>
  <c r="R85" i="7"/>
  <c r="S85" i="7"/>
  <c r="T85" i="7"/>
  <c r="U85" i="7"/>
  <c r="V85" i="7"/>
  <c r="W85" i="7"/>
  <c r="X85" i="7"/>
  <c r="Y85" i="7"/>
  <c r="Z85" i="7"/>
  <c r="AE85" i="7"/>
  <c r="AF85" i="7"/>
  <c r="AG85" i="7"/>
  <c r="AH85" i="7"/>
  <c r="AI85" i="7"/>
  <c r="AJ85" i="7"/>
  <c r="AK85" i="7"/>
  <c r="N86" i="7"/>
  <c r="O86" i="7"/>
  <c r="P86" i="7"/>
  <c r="Q86" i="7"/>
  <c r="R86" i="7"/>
  <c r="S86" i="7"/>
  <c r="T86" i="7"/>
  <c r="U86" i="7"/>
  <c r="V86" i="7"/>
  <c r="W86" i="7"/>
  <c r="X86" i="7"/>
  <c r="Y86" i="7"/>
  <c r="Z86" i="7"/>
  <c r="AE86" i="7"/>
  <c r="AF86" i="7"/>
  <c r="AG86" i="7"/>
  <c r="AH86" i="7"/>
  <c r="AI86" i="7"/>
  <c r="AJ86" i="7"/>
  <c r="AK86" i="7"/>
  <c r="N87" i="7"/>
  <c r="O87" i="7"/>
  <c r="P87" i="7"/>
  <c r="Q87" i="7"/>
  <c r="R87" i="7"/>
  <c r="S87" i="7"/>
  <c r="T87" i="7"/>
  <c r="U87" i="7"/>
  <c r="V87" i="7"/>
  <c r="W87" i="7"/>
  <c r="X87" i="7"/>
  <c r="Y87" i="7"/>
  <c r="Z87" i="7"/>
  <c r="AE87" i="7"/>
  <c r="AF87" i="7"/>
  <c r="AG87" i="7"/>
  <c r="AH87" i="7"/>
  <c r="AI87" i="7"/>
  <c r="AJ87" i="7"/>
  <c r="AK87" i="7"/>
  <c r="N88" i="7"/>
  <c r="O88" i="7"/>
  <c r="P88" i="7"/>
  <c r="Q88" i="7"/>
  <c r="R88" i="7"/>
  <c r="S88" i="7"/>
  <c r="T88" i="7"/>
  <c r="U88" i="7"/>
  <c r="V88" i="7"/>
  <c r="W88" i="7"/>
  <c r="X88" i="7"/>
  <c r="Y88" i="7"/>
  <c r="Z88" i="7"/>
  <c r="AE88" i="7"/>
  <c r="AF88" i="7"/>
  <c r="AG88" i="7"/>
  <c r="AH88" i="7"/>
  <c r="AI88" i="7"/>
  <c r="AJ88" i="7"/>
  <c r="AK88" i="7"/>
  <c r="N89" i="7"/>
  <c r="O89" i="7"/>
  <c r="P89" i="7"/>
  <c r="Q89" i="7"/>
  <c r="R89" i="7"/>
  <c r="S89" i="7"/>
  <c r="T89" i="7"/>
  <c r="U89" i="7"/>
  <c r="V89" i="7"/>
  <c r="W89" i="7"/>
  <c r="X89" i="7"/>
  <c r="Y89" i="7"/>
  <c r="Z89" i="7"/>
  <c r="AE89" i="7"/>
  <c r="AF89" i="7"/>
  <c r="AG89" i="7"/>
  <c r="AH89" i="7"/>
  <c r="AI89" i="7"/>
  <c r="AJ89" i="7"/>
  <c r="AK89" i="7"/>
  <c r="N90" i="7"/>
  <c r="O90" i="7"/>
  <c r="P90" i="7"/>
  <c r="Q90" i="7"/>
  <c r="R90" i="7"/>
  <c r="S90" i="7"/>
  <c r="T90" i="7"/>
  <c r="U90" i="7"/>
  <c r="V90" i="7"/>
  <c r="W90" i="7"/>
  <c r="X90" i="7"/>
  <c r="Y90" i="7"/>
  <c r="Z90" i="7"/>
  <c r="AE90" i="7"/>
  <c r="AF90" i="7"/>
  <c r="AG90" i="7"/>
  <c r="AH90" i="7"/>
  <c r="AI90" i="7"/>
  <c r="AJ90" i="7"/>
  <c r="AK90" i="7"/>
  <c r="N91" i="7"/>
  <c r="O91" i="7"/>
  <c r="P91" i="7"/>
  <c r="Q91" i="7"/>
  <c r="R91" i="7"/>
  <c r="S91" i="7"/>
  <c r="T91" i="7"/>
  <c r="U91" i="7"/>
  <c r="V91" i="7"/>
  <c r="W91" i="7"/>
  <c r="X91" i="7"/>
  <c r="Y91" i="7"/>
  <c r="Z91" i="7"/>
  <c r="AE91" i="7"/>
  <c r="AF91" i="7"/>
  <c r="AG91" i="7"/>
  <c r="AH91" i="7"/>
  <c r="AI91" i="7"/>
  <c r="AJ91" i="7"/>
  <c r="AK91" i="7"/>
  <c r="N92" i="7"/>
  <c r="O92" i="7"/>
  <c r="P92" i="7"/>
  <c r="Q92" i="7"/>
  <c r="R92" i="7"/>
  <c r="S92" i="7"/>
  <c r="T92" i="7"/>
  <c r="U92" i="7"/>
  <c r="V92" i="7"/>
  <c r="W92" i="7"/>
  <c r="X92" i="7"/>
  <c r="Y92" i="7"/>
  <c r="Z92" i="7"/>
  <c r="AE92" i="7"/>
  <c r="AF92" i="7"/>
  <c r="AG92" i="7"/>
  <c r="AH92" i="7"/>
  <c r="AI92" i="7"/>
  <c r="AJ92" i="7"/>
  <c r="AK92" i="7"/>
  <c r="N93" i="7"/>
  <c r="O93" i="7"/>
  <c r="P93" i="7"/>
  <c r="Q93" i="7"/>
  <c r="R93" i="7"/>
  <c r="S93" i="7"/>
  <c r="T93" i="7"/>
  <c r="U93" i="7"/>
  <c r="V93" i="7"/>
  <c r="W93" i="7"/>
  <c r="X93" i="7"/>
  <c r="Y93" i="7"/>
  <c r="Z93" i="7"/>
  <c r="AE93" i="7"/>
  <c r="AF93" i="7"/>
  <c r="AG93" i="7"/>
  <c r="AH93" i="7"/>
  <c r="AI93" i="7"/>
  <c r="AJ93" i="7"/>
  <c r="AK93" i="7"/>
  <c r="N94" i="7"/>
  <c r="O94" i="7"/>
  <c r="P94" i="7"/>
  <c r="Q94" i="7"/>
  <c r="R94" i="7"/>
  <c r="S94" i="7"/>
  <c r="T94" i="7"/>
  <c r="U94" i="7"/>
  <c r="V94" i="7"/>
  <c r="W94" i="7"/>
  <c r="X94" i="7"/>
  <c r="Y94" i="7"/>
  <c r="Z94" i="7"/>
  <c r="AE94" i="7"/>
  <c r="AF94" i="7"/>
  <c r="AG94" i="7"/>
  <c r="AH94" i="7"/>
  <c r="AI94" i="7"/>
  <c r="AJ94" i="7"/>
  <c r="AK94" i="7"/>
  <c r="N95" i="7"/>
  <c r="O95" i="7"/>
  <c r="P95" i="7"/>
  <c r="Q95" i="7"/>
  <c r="R95" i="7"/>
  <c r="S95" i="7"/>
  <c r="T95" i="7"/>
  <c r="U95" i="7"/>
  <c r="V95" i="7"/>
  <c r="W95" i="7"/>
  <c r="X95" i="7"/>
  <c r="Y95" i="7"/>
  <c r="Z95" i="7"/>
  <c r="AE95" i="7"/>
  <c r="AF95" i="7"/>
  <c r="AG95" i="7"/>
  <c r="AH95" i="7"/>
  <c r="AI95" i="7"/>
  <c r="AJ95" i="7"/>
  <c r="AK95" i="7"/>
  <c r="N96" i="7"/>
  <c r="O96" i="7"/>
  <c r="P96" i="7"/>
  <c r="Q96" i="7"/>
  <c r="R96" i="7"/>
  <c r="S96" i="7"/>
  <c r="T96" i="7"/>
  <c r="U96" i="7"/>
  <c r="V96" i="7"/>
  <c r="W96" i="7"/>
  <c r="X96" i="7"/>
  <c r="Y96" i="7"/>
  <c r="Z96" i="7"/>
  <c r="AE96" i="7"/>
  <c r="AF96" i="7"/>
  <c r="AG96" i="7"/>
  <c r="AH96" i="7"/>
  <c r="AI96" i="7"/>
  <c r="AJ96" i="7"/>
  <c r="AK96" i="7"/>
  <c r="N97" i="7"/>
  <c r="O97" i="7"/>
  <c r="P97" i="7"/>
  <c r="Q97" i="7"/>
  <c r="R97" i="7"/>
  <c r="S97" i="7"/>
  <c r="T97" i="7"/>
  <c r="U97" i="7"/>
  <c r="V97" i="7"/>
  <c r="W97" i="7"/>
  <c r="X97" i="7"/>
  <c r="Y97" i="7"/>
  <c r="Z97" i="7"/>
  <c r="AE97" i="7"/>
  <c r="AF97" i="7"/>
  <c r="AG97" i="7"/>
  <c r="AH97" i="7"/>
  <c r="AI97" i="7"/>
  <c r="AJ97" i="7"/>
  <c r="AK97" i="7"/>
  <c r="N98" i="7"/>
  <c r="O98" i="7"/>
  <c r="P98" i="7"/>
  <c r="Q98" i="7"/>
  <c r="R98" i="7"/>
  <c r="S98" i="7"/>
  <c r="T98" i="7"/>
  <c r="U98" i="7"/>
  <c r="V98" i="7"/>
  <c r="W98" i="7"/>
  <c r="X98" i="7"/>
  <c r="Y98" i="7"/>
  <c r="Z98" i="7"/>
  <c r="AE98" i="7"/>
  <c r="AF98" i="7"/>
  <c r="AG98" i="7"/>
  <c r="AH98" i="7"/>
  <c r="AI98" i="7"/>
  <c r="AJ98" i="7"/>
  <c r="AK98" i="7"/>
  <c r="N99" i="7"/>
  <c r="O99" i="7"/>
  <c r="P99" i="7"/>
  <c r="Q99" i="7"/>
  <c r="R99" i="7"/>
  <c r="S99" i="7"/>
  <c r="T99" i="7"/>
  <c r="U99" i="7"/>
  <c r="V99" i="7"/>
  <c r="W99" i="7"/>
  <c r="X99" i="7"/>
  <c r="Y99" i="7"/>
  <c r="Z99" i="7"/>
  <c r="AE99" i="7"/>
  <c r="AF99" i="7"/>
  <c r="AG99" i="7"/>
  <c r="AH99" i="7"/>
  <c r="AI99" i="7"/>
  <c r="AJ99" i="7"/>
  <c r="AK99" i="7"/>
  <c r="N100" i="7"/>
  <c r="O100" i="7"/>
  <c r="P100" i="7"/>
  <c r="Q100" i="7"/>
  <c r="R100" i="7"/>
  <c r="S100" i="7"/>
  <c r="T100" i="7"/>
  <c r="U100" i="7"/>
  <c r="V100" i="7"/>
  <c r="W100" i="7"/>
  <c r="X100" i="7"/>
  <c r="Y100" i="7"/>
  <c r="Z100" i="7"/>
  <c r="AE100" i="7"/>
  <c r="AF100" i="7"/>
  <c r="AG100" i="7"/>
  <c r="AH100" i="7"/>
  <c r="AI100" i="7"/>
  <c r="AJ100" i="7"/>
  <c r="AK100" i="7"/>
  <c r="N101" i="7"/>
  <c r="O101" i="7"/>
  <c r="P101" i="7"/>
  <c r="Q101" i="7"/>
  <c r="R101" i="7"/>
  <c r="S101" i="7"/>
  <c r="T101" i="7"/>
  <c r="U101" i="7"/>
  <c r="V101" i="7"/>
  <c r="W101" i="7"/>
  <c r="X101" i="7"/>
  <c r="Y101" i="7"/>
  <c r="Z101" i="7"/>
  <c r="AE101" i="7"/>
  <c r="AF101" i="7"/>
  <c r="AG101" i="7"/>
  <c r="AH101" i="7"/>
  <c r="AI101" i="7"/>
  <c r="AJ101" i="7"/>
  <c r="AK101" i="7"/>
  <c r="N102" i="7"/>
  <c r="O102" i="7"/>
  <c r="P102" i="7"/>
  <c r="Q102" i="7"/>
  <c r="R102" i="7"/>
  <c r="S102" i="7"/>
  <c r="T102" i="7"/>
  <c r="U102" i="7"/>
  <c r="V102" i="7"/>
  <c r="W102" i="7"/>
  <c r="X102" i="7"/>
  <c r="Y102" i="7"/>
  <c r="Z102" i="7"/>
  <c r="AE102" i="7"/>
  <c r="AF102" i="7"/>
  <c r="AG102" i="7"/>
  <c r="AH102" i="7"/>
  <c r="AI102" i="7"/>
  <c r="AJ102" i="7"/>
  <c r="AK102" i="7"/>
  <c r="N103" i="7"/>
  <c r="O103" i="7"/>
  <c r="P103" i="7"/>
  <c r="Q103" i="7"/>
  <c r="R103" i="7"/>
  <c r="S103" i="7"/>
  <c r="T103" i="7"/>
  <c r="U103" i="7"/>
  <c r="V103" i="7"/>
  <c r="W103" i="7"/>
  <c r="X103" i="7"/>
  <c r="Y103" i="7"/>
  <c r="Z103" i="7"/>
  <c r="AE103" i="7"/>
  <c r="AF103" i="7"/>
  <c r="AG103" i="7"/>
  <c r="AH103" i="7"/>
  <c r="AI103" i="7"/>
  <c r="AJ103" i="7"/>
  <c r="AK103" i="7"/>
  <c r="N104" i="7"/>
  <c r="O104" i="7"/>
  <c r="P104" i="7"/>
  <c r="Q104" i="7"/>
  <c r="R104" i="7"/>
  <c r="S104" i="7"/>
  <c r="T104" i="7"/>
  <c r="U104" i="7"/>
  <c r="V104" i="7"/>
  <c r="W104" i="7"/>
  <c r="X104" i="7"/>
  <c r="Y104" i="7"/>
  <c r="Z104" i="7"/>
  <c r="AE104" i="7"/>
  <c r="AF104" i="7"/>
  <c r="AG104" i="7"/>
  <c r="AH104" i="7"/>
  <c r="AI104" i="7"/>
  <c r="AJ104" i="7"/>
  <c r="AK104" i="7"/>
  <c r="N105" i="7"/>
  <c r="O105" i="7"/>
  <c r="P105" i="7"/>
  <c r="Q105" i="7"/>
  <c r="R105" i="7"/>
  <c r="S105" i="7"/>
  <c r="T105" i="7"/>
  <c r="U105" i="7"/>
  <c r="V105" i="7"/>
  <c r="W105" i="7"/>
  <c r="X105" i="7"/>
  <c r="Y105" i="7"/>
  <c r="Z105" i="7"/>
  <c r="AE105" i="7"/>
  <c r="AF105" i="7"/>
  <c r="AG105" i="7"/>
  <c r="AH105" i="7"/>
  <c r="AI105" i="7"/>
  <c r="AJ105" i="7"/>
  <c r="AK105" i="7"/>
  <c r="N106" i="7"/>
  <c r="O106" i="7"/>
  <c r="P106" i="7"/>
  <c r="Q106" i="7"/>
  <c r="R106" i="7"/>
  <c r="S106" i="7"/>
  <c r="T106" i="7"/>
  <c r="U106" i="7"/>
  <c r="V106" i="7"/>
  <c r="W106" i="7"/>
  <c r="X106" i="7"/>
  <c r="Y106" i="7"/>
  <c r="Z106" i="7"/>
  <c r="AE106" i="7"/>
  <c r="AF106" i="7"/>
  <c r="AG106" i="7"/>
  <c r="AH106" i="7"/>
  <c r="AI106" i="7"/>
  <c r="AJ106" i="7"/>
  <c r="AK106" i="7"/>
  <c r="N107" i="7"/>
  <c r="O107" i="7"/>
  <c r="P107" i="7"/>
  <c r="Q107" i="7"/>
  <c r="R107" i="7"/>
  <c r="S107" i="7"/>
  <c r="T107" i="7"/>
  <c r="U107" i="7"/>
  <c r="V107" i="7"/>
  <c r="W107" i="7"/>
  <c r="X107" i="7"/>
  <c r="Y107" i="7"/>
  <c r="Z107" i="7"/>
  <c r="AE107" i="7"/>
  <c r="AF107" i="7"/>
  <c r="AG107" i="7"/>
  <c r="AH107" i="7"/>
  <c r="AI107" i="7"/>
  <c r="AJ107" i="7"/>
  <c r="AK107" i="7"/>
  <c r="N108" i="7"/>
  <c r="O108" i="7"/>
  <c r="P108" i="7"/>
  <c r="Q108" i="7"/>
  <c r="R108" i="7"/>
  <c r="S108" i="7"/>
  <c r="T108" i="7"/>
  <c r="U108" i="7"/>
  <c r="V108" i="7"/>
  <c r="W108" i="7"/>
  <c r="X108" i="7"/>
  <c r="Y108" i="7"/>
  <c r="Z108" i="7"/>
  <c r="AE108" i="7"/>
  <c r="AF108" i="7"/>
  <c r="AG108" i="7"/>
  <c r="AH108" i="7"/>
  <c r="AI108" i="7"/>
  <c r="AJ108" i="7"/>
  <c r="AK108" i="7"/>
  <c r="N109" i="7"/>
  <c r="O109" i="7"/>
  <c r="P109" i="7"/>
  <c r="Q109" i="7"/>
  <c r="R109" i="7"/>
  <c r="S109" i="7"/>
  <c r="T109" i="7"/>
  <c r="U109" i="7"/>
  <c r="V109" i="7"/>
  <c r="W109" i="7"/>
  <c r="X109" i="7"/>
  <c r="Y109" i="7"/>
  <c r="Z109" i="7"/>
  <c r="AE109" i="7"/>
  <c r="AF109" i="7"/>
  <c r="AG109" i="7"/>
  <c r="AH109" i="7"/>
  <c r="AI109" i="7"/>
  <c r="AJ109" i="7"/>
  <c r="AK109" i="7"/>
  <c r="N110" i="7"/>
  <c r="O110" i="7"/>
  <c r="P110" i="7"/>
  <c r="Q110" i="7"/>
  <c r="R110" i="7"/>
  <c r="S110" i="7"/>
  <c r="T110" i="7"/>
  <c r="U110" i="7"/>
  <c r="V110" i="7"/>
  <c r="W110" i="7"/>
  <c r="X110" i="7"/>
  <c r="Y110" i="7"/>
  <c r="Z110" i="7"/>
  <c r="AE110" i="7"/>
  <c r="AF110" i="7"/>
  <c r="AG110" i="7"/>
  <c r="AH110" i="7"/>
  <c r="AI110" i="7"/>
  <c r="AJ110" i="7"/>
  <c r="AK110" i="7"/>
  <c r="N111" i="7"/>
  <c r="O111" i="7"/>
  <c r="P111" i="7"/>
  <c r="Q111" i="7"/>
  <c r="R111" i="7"/>
  <c r="S111" i="7"/>
  <c r="T111" i="7"/>
  <c r="U111" i="7"/>
  <c r="V111" i="7"/>
  <c r="W111" i="7"/>
  <c r="X111" i="7"/>
  <c r="Y111" i="7"/>
  <c r="Z111" i="7"/>
  <c r="AE111" i="7"/>
  <c r="AF111" i="7"/>
  <c r="AG111" i="7"/>
  <c r="AH111" i="7"/>
  <c r="AI111" i="7"/>
  <c r="AJ111" i="7"/>
  <c r="AK111" i="7"/>
  <c r="N112" i="7"/>
  <c r="O112" i="7"/>
  <c r="P112" i="7"/>
  <c r="Q112" i="7"/>
  <c r="R112" i="7"/>
  <c r="S112" i="7"/>
  <c r="T112" i="7"/>
  <c r="U112" i="7"/>
  <c r="V112" i="7"/>
  <c r="W112" i="7"/>
  <c r="X112" i="7"/>
  <c r="Y112" i="7"/>
  <c r="Z112" i="7"/>
  <c r="AE112" i="7"/>
  <c r="AF112" i="7"/>
  <c r="AG112" i="7"/>
  <c r="AH112" i="7"/>
  <c r="AI112" i="7"/>
  <c r="AJ112" i="7"/>
  <c r="AK112" i="7"/>
  <c r="N113" i="7"/>
  <c r="O113" i="7"/>
  <c r="P113" i="7"/>
  <c r="Q113" i="7"/>
  <c r="R113" i="7"/>
  <c r="S113" i="7"/>
  <c r="T113" i="7"/>
  <c r="U113" i="7"/>
  <c r="V113" i="7"/>
  <c r="W113" i="7"/>
  <c r="X113" i="7"/>
  <c r="Y113" i="7"/>
  <c r="Z113" i="7"/>
  <c r="AE113" i="7"/>
  <c r="AF113" i="7"/>
  <c r="AG113" i="7"/>
  <c r="AH113" i="7"/>
  <c r="AI113" i="7"/>
  <c r="AJ113" i="7"/>
  <c r="AK113" i="7"/>
  <c r="N114" i="7"/>
  <c r="O114" i="7"/>
  <c r="P114" i="7"/>
  <c r="Q114" i="7"/>
  <c r="R114" i="7"/>
  <c r="S114" i="7"/>
  <c r="T114" i="7"/>
  <c r="U114" i="7"/>
  <c r="V114" i="7"/>
  <c r="W114" i="7"/>
  <c r="X114" i="7"/>
  <c r="Y114" i="7"/>
  <c r="Z114" i="7"/>
  <c r="AE114" i="7"/>
  <c r="AF114" i="7"/>
  <c r="AG114" i="7"/>
  <c r="AH114" i="7"/>
  <c r="AI114" i="7"/>
  <c r="AJ114" i="7"/>
  <c r="AK114" i="7"/>
  <c r="N115" i="7"/>
  <c r="O115" i="7"/>
  <c r="P115" i="7"/>
  <c r="Q115" i="7"/>
  <c r="R115" i="7"/>
  <c r="S115" i="7"/>
  <c r="T115" i="7"/>
  <c r="U115" i="7"/>
  <c r="V115" i="7"/>
  <c r="W115" i="7"/>
  <c r="X115" i="7"/>
  <c r="Y115" i="7"/>
  <c r="Z115" i="7"/>
  <c r="AE115" i="7"/>
  <c r="AF115" i="7"/>
  <c r="AG115" i="7"/>
  <c r="AH115" i="7"/>
  <c r="AI115" i="7"/>
  <c r="AJ115" i="7"/>
  <c r="AK115" i="7"/>
  <c r="N116" i="7"/>
  <c r="O116" i="7"/>
  <c r="P116" i="7"/>
  <c r="Q116" i="7"/>
  <c r="R116" i="7"/>
  <c r="S116" i="7"/>
  <c r="T116" i="7"/>
  <c r="U116" i="7"/>
  <c r="V116" i="7"/>
  <c r="W116" i="7"/>
  <c r="X116" i="7"/>
  <c r="Y116" i="7"/>
  <c r="Z116" i="7"/>
  <c r="AE116" i="7"/>
  <c r="AF116" i="7"/>
  <c r="AG116" i="7"/>
  <c r="AH116" i="7"/>
  <c r="AI116" i="7"/>
  <c r="AJ116" i="7"/>
  <c r="AK116" i="7"/>
  <c r="N117" i="7"/>
  <c r="O117" i="7"/>
  <c r="P117" i="7"/>
  <c r="Q117" i="7"/>
  <c r="R117" i="7"/>
  <c r="S117" i="7"/>
  <c r="T117" i="7"/>
  <c r="U117" i="7"/>
  <c r="V117" i="7"/>
  <c r="W117" i="7"/>
  <c r="X117" i="7"/>
  <c r="Y117" i="7"/>
  <c r="Z117" i="7"/>
  <c r="AE117" i="7"/>
  <c r="AF117" i="7"/>
  <c r="AG117" i="7"/>
  <c r="AH117" i="7"/>
  <c r="AI117" i="7"/>
  <c r="AJ117" i="7"/>
  <c r="AK117" i="7"/>
  <c r="N118" i="7"/>
  <c r="O118" i="7"/>
  <c r="P118" i="7"/>
  <c r="Q118" i="7"/>
  <c r="R118" i="7"/>
  <c r="S118" i="7"/>
  <c r="T118" i="7"/>
  <c r="U118" i="7"/>
  <c r="V118" i="7"/>
  <c r="W118" i="7"/>
  <c r="X118" i="7"/>
  <c r="Y118" i="7"/>
  <c r="Z118" i="7"/>
  <c r="AE118" i="7"/>
  <c r="AF118" i="7"/>
  <c r="AG118" i="7"/>
  <c r="AH118" i="7"/>
  <c r="AI118" i="7"/>
  <c r="AJ118" i="7"/>
  <c r="AK118" i="7"/>
  <c r="N119" i="7"/>
  <c r="O119" i="7"/>
  <c r="P119" i="7"/>
  <c r="Q119" i="7"/>
  <c r="R119" i="7"/>
  <c r="S119" i="7"/>
  <c r="T119" i="7"/>
  <c r="U119" i="7"/>
  <c r="V119" i="7"/>
  <c r="W119" i="7"/>
  <c r="X119" i="7"/>
  <c r="Y119" i="7"/>
  <c r="Z119" i="7"/>
  <c r="AE119" i="7"/>
  <c r="AF119" i="7"/>
  <c r="AG119" i="7"/>
  <c r="AH119" i="7"/>
  <c r="AI119" i="7"/>
  <c r="AJ119" i="7"/>
  <c r="AK119" i="7"/>
  <c r="N120" i="7"/>
  <c r="O120" i="7"/>
  <c r="P120" i="7"/>
  <c r="Q120" i="7"/>
  <c r="R120" i="7"/>
  <c r="S120" i="7"/>
  <c r="T120" i="7"/>
  <c r="U120" i="7"/>
  <c r="V120" i="7"/>
  <c r="W120" i="7"/>
  <c r="X120" i="7"/>
  <c r="Y120" i="7"/>
  <c r="Z120" i="7"/>
  <c r="AE120" i="7"/>
  <c r="AF120" i="7"/>
  <c r="AG120" i="7"/>
  <c r="AH120" i="7"/>
  <c r="AI120" i="7"/>
  <c r="AJ120" i="7"/>
  <c r="AK120" i="7"/>
  <c r="N121" i="7"/>
  <c r="O121" i="7"/>
  <c r="P121" i="7"/>
  <c r="Q121" i="7"/>
  <c r="R121" i="7"/>
  <c r="S121" i="7"/>
  <c r="T121" i="7"/>
  <c r="U121" i="7"/>
  <c r="V121" i="7"/>
  <c r="W121" i="7"/>
  <c r="X121" i="7"/>
  <c r="Y121" i="7"/>
  <c r="Z121" i="7"/>
  <c r="AE121" i="7"/>
  <c r="AF121" i="7"/>
  <c r="AG121" i="7"/>
  <c r="AH121" i="7"/>
  <c r="AI121" i="7"/>
  <c r="AJ121" i="7"/>
  <c r="AK121" i="7"/>
  <c r="N122" i="7"/>
  <c r="O122" i="7"/>
  <c r="P122" i="7"/>
  <c r="Q122" i="7"/>
  <c r="R122" i="7"/>
  <c r="S122" i="7"/>
  <c r="T122" i="7"/>
  <c r="U122" i="7"/>
  <c r="V122" i="7"/>
  <c r="W122" i="7"/>
  <c r="X122" i="7"/>
  <c r="Y122" i="7"/>
  <c r="Z122" i="7"/>
  <c r="AE122" i="7"/>
  <c r="AF122" i="7"/>
  <c r="AG122" i="7"/>
  <c r="AH122" i="7"/>
  <c r="AI122" i="7"/>
  <c r="AJ122" i="7"/>
  <c r="AK122" i="7"/>
  <c r="N123" i="7"/>
  <c r="O123" i="7"/>
  <c r="P123" i="7"/>
  <c r="Q123" i="7"/>
  <c r="R123" i="7"/>
  <c r="S123" i="7"/>
  <c r="T123" i="7"/>
  <c r="U123" i="7"/>
  <c r="V123" i="7"/>
  <c r="W123" i="7"/>
  <c r="X123" i="7"/>
  <c r="Y123" i="7"/>
  <c r="Z123" i="7"/>
  <c r="AE123" i="7"/>
  <c r="AF123" i="7"/>
  <c r="AG123" i="7"/>
  <c r="AH123" i="7"/>
  <c r="AI123" i="7"/>
  <c r="AJ123" i="7"/>
  <c r="AK123" i="7"/>
  <c r="N124" i="7"/>
  <c r="O124" i="7"/>
  <c r="P124" i="7"/>
  <c r="Q124" i="7"/>
  <c r="R124" i="7"/>
  <c r="S124" i="7"/>
  <c r="T124" i="7"/>
  <c r="U124" i="7"/>
  <c r="V124" i="7"/>
  <c r="W124" i="7"/>
  <c r="X124" i="7"/>
  <c r="Y124" i="7"/>
  <c r="Z124" i="7"/>
  <c r="AE124" i="7"/>
  <c r="AF124" i="7"/>
  <c r="AG124" i="7"/>
  <c r="AH124" i="7"/>
  <c r="AI124" i="7"/>
  <c r="AJ124" i="7"/>
  <c r="AK124" i="7"/>
  <c r="N125" i="7"/>
  <c r="O125" i="7"/>
  <c r="P125" i="7"/>
  <c r="Q125" i="7"/>
  <c r="R125" i="7"/>
  <c r="S125" i="7"/>
  <c r="T125" i="7"/>
  <c r="U125" i="7"/>
  <c r="V125" i="7"/>
  <c r="W125" i="7"/>
  <c r="X125" i="7"/>
  <c r="Y125" i="7"/>
  <c r="Z125" i="7"/>
  <c r="AE125" i="7"/>
  <c r="AF125" i="7"/>
  <c r="AG125" i="7"/>
  <c r="AH125" i="7"/>
  <c r="AI125" i="7"/>
  <c r="AJ125" i="7"/>
  <c r="AK125" i="7"/>
  <c r="N126" i="7"/>
  <c r="O126" i="7"/>
  <c r="P126" i="7"/>
  <c r="Q126" i="7"/>
  <c r="R126" i="7"/>
  <c r="S126" i="7"/>
  <c r="T126" i="7"/>
  <c r="U126" i="7"/>
  <c r="V126" i="7"/>
  <c r="W126" i="7"/>
  <c r="X126" i="7"/>
  <c r="Y126" i="7"/>
  <c r="Z126" i="7"/>
  <c r="AE126" i="7"/>
  <c r="AF126" i="7"/>
  <c r="AG126" i="7"/>
  <c r="AH126" i="7"/>
  <c r="AI126" i="7"/>
  <c r="AJ126" i="7"/>
  <c r="AK126" i="7"/>
  <c r="N127" i="7"/>
  <c r="O127" i="7"/>
  <c r="P127" i="7"/>
  <c r="Q127" i="7"/>
  <c r="R127" i="7"/>
  <c r="S127" i="7"/>
  <c r="T127" i="7"/>
  <c r="U127" i="7"/>
  <c r="V127" i="7"/>
  <c r="W127" i="7"/>
  <c r="X127" i="7"/>
  <c r="Y127" i="7"/>
  <c r="Z127" i="7"/>
  <c r="AE127" i="7"/>
  <c r="AF127" i="7"/>
  <c r="AG127" i="7"/>
  <c r="AH127" i="7"/>
  <c r="AI127" i="7"/>
  <c r="AJ127" i="7"/>
  <c r="AK127" i="7"/>
  <c r="N128" i="7"/>
  <c r="O128" i="7"/>
  <c r="P128" i="7"/>
  <c r="Q128" i="7"/>
  <c r="R128" i="7"/>
  <c r="S128" i="7"/>
  <c r="T128" i="7"/>
  <c r="U128" i="7"/>
  <c r="V128" i="7"/>
  <c r="W128" i="7"/>
  <c r="X128" i="7"/>
  <c r="Y128" i="7"/>
  <c r="Z128" i="7"/>
  <c r="AE128" i="7"/>
  <c r="AF128" i="7"/>
  <c r="AG128" i="7"/>
  <c r="AH128" i="7"/>
  <c r="AI128" i="7"/>
  <c r="AJ128" i="7"/>
  <c r="AK128" i="7"/>
  <c r="N129" i="7"/>
  <c r="O129" i="7"/>
  <c r="P129" i="7"/>
  <c r="Q129" i="7"/>
  <c r="R129" i="7"/>
  <c r="S129" i="7"/>
  <c r="T129" i="7"/>
  <c r="U129" i="7"/>
  <c r="V129" i="7"/>
  <c r="W129" i="7"/>
  <c r="X129" i="7"/>
  <c r="Y129" i="7"/>
  <c r="Z129" i="7"/>
  <c r="AE129" i="7"/>
  <c r="AF129" i="7"/>
  <c r="AG129" i="7"/>
  <c r="AH129" i="7"/>
  <c r="AI129" i="7"/>
  <c r="AJ129" i="7"/>
  <c r="AK129" i="7"/>
  <c r="N130" i="7"/>
  <c r="O130" i="7"/>
  <c r="P130" i="7"/>
  <c r="Q130" i="7"/>
  <c r="R130" i="7"/>
  <c r="S130" i="7"/>
  <c r="T130" i="7"/>
  <c r="U130" i="7"/>
  <c r="V130" i="7"/>
  <c r="W130" i="7"/>
  <c r="X130" i="7"/>
  <c r="Y130" i="7"/>
  <c r="Z130" i="7"/>
  <c r="AE130" i="7"/>
  <c r="AF130" i="7"/>
  <c r="AG130" i="7"/>
  <c r="AH130" i="7"/>
  <c r="AI130" i="7"/>
  <c r="AJ130" i="7"/>
  <c r="AK130" i="7"/>
  <c r="N131" i="7"/>
  <c r="O131" i="7"/>
  <c r="P131" i="7"/>
  <c r="Q131" i="7"/>
  <c r="R131" i="7"/>
  <c r="S131" i="7"/>
  <c r="T131" i="7"/>
  <c r="U131" i="7"/>
  <c r="V131" i="7"/>
  <c r="W131" i="7"/>
  <c r="X131" i="7"/>
  <c r="Y131" i="7"/>
  <c r="Z131" i="7"/>
  <c r="AE131" i="7"/>
  <c r="AF131" i="7"/>
  <c r="AG131" i="7"/>
  <c r="AH131" i="7"/>
  <c r="AI131" i="7"/>
  <c r="AJ131" i="7"/>
  <c r="AK131" i="7"/>
  <c r="N132" i="7"/>
  <c r="O132" i="7"/>
  <c r="P132" i="7"/>
  <c r="Q132" i="7"/>
  <c r="R132" i="7"/>
  <c r="S132" i="7"/>
  <c r="T132" i="7"/>
  <c r="U132" i="7"/>
  <c r="V132" i="7"/>
  <c r="W132" i="7"/>
  <c r="X132" i="7"/>
  <c r="Y132" i="7"/>
  <c r="Z132" i="7"/>
  <c r="AE132" i="7"/>
  <c r="AF132" i="7"/>
  <c r="AG132" i="7"/>
  <c r="AH132" i="7"/>
  <c r="AI132" i="7"/>
  <c r="AJ132" i="7"/>
  <c r="AK132" i="7"/>
  <c r="N133" i="7"/>
  <c r="O133" i="7"/>
  <c r="P133" i="7"/>
  <c r="Q133" i="7"/>
  <c r="R133" i="7"/>
  <c r="S133" i="7"/>
  <c r="T133" i="7"/>
  <c r="U133" i="7"/>
  <c r="V133" i="7"/>
  <c r="W133" i="7"/>
  <c r="X133" i="7"/>
  <c r="Y133" i="7"/>
  <c r="Z133" i="7"/>
  <c r="AE133" i="7"/>
  <c r="AF133" i="7"/>
  <c r="AG133" i="7"/>
  <c r="AH133" i="7"/>
  <c r="AI133" i="7"/>
  <c r="AJ133" i="7"/>
  <c r="AK133" i="7"/>
  <c r="N134" i="7"/>
  <c r="O134" i="7"/>
  <c r="P134" i="7"/>
  <c r="Q134" i="7"/>
  <c r="R134" i="7"/>
  <c r="S134" i="7"/>
  <c r="T134" i="7"/>
  <c r="U134" i="7"/>
  <c r="V134" i="7"/>
  <c r="W134" i="7"/>
  <c r="X134" i="7"/>
  <c r="Y134" i="7"/>
  <c r="Z134" i="7"/>
  <c r="AE134" i="7"/>
  <c r="AF134" i="7"/>
  <c r="AG134" i="7"/>
  <c r="AH134" i="7"/>
  <c r="AI134" i="7"/>
  <c r="AJ134" i="7"/>
  <c r="AK134" i="7"/>
  <c r="N135" i="7"/>
  <c r="O135" i="7"/>
  <c r="P135" i="7"/>
  <c r="Q135" i="7"/>
  <c r="R135" i="7"/>
  <c r="S135" i="7"/>
  <c r="T135" i="7"/>
  <c r="U135" i="7"/>
  <c r="V135" i="7"/>
  <c r="W135" i="7"/>
  <c r="X135" i="7"/>
  <c r="Y135" i="7"/>
  <c r="Z135" i="7"/>
  <c r="AE135" i="7"/>
  <c r="AF135" i="7"/>
  <c r="AG135" i="7"/>
  <c r="AH135" i="7"/>
  <c r="AI135" i="7"/>
  <c r="AJ135" i="7"/>
  <c r="AK135" i="7"/>
  <c r="N136" i="7"/>
  <c r="O136" i="7"/>
  <c r="P136" i="7"/>
  <c r="Q136" i="7"/>
  <c r="R136" i="7"/>
  <c r="S136" i="7"/>
  <c r="T136" i="7"/>
  <c r="U136" i="7"/>
  <c r="V136" i="7"/>
  <c r="W136" i="7"/>
  <c r="X136" i="7"/>
  <c r="Y136" i="7"/>
  <c r="Z136" i="7"/>
  <c r="AE136" i="7"/>
  <c r="AF136" i="7"/>
  <c r="AG136" i="7"/>
  <c r="AH136" i="7"/>
  <c r="AI136" i="7"/>
  <c r="AJ136" i="7"/>
  <c r="AK136" i="7"/>
  <c r="N137" i="7"/>
  <c r="O137" i="7"/>
  <c r="P137" i="7"/>
  <c r="Q137" i="7"/>
  <c r="R137" i="7"/>
  <c r="S137" i="7"/>
  <c r="T137" i="7"/>
  <c r="U137" i="7"/>
  <c r="V137" i="7"/>
  <c r="W137" i="7"/>
  <c r="X137" i="7"/>
  <c r="Y137" i="7"/>
  <c r="Z137" i="7"/>
  <c r="AE137" i="7"/>
  <c r="AF137" i="7"/>
  <c r="AG137" i="7"/>
  <c r="AH137" i="7"/>
  <c r="AI137" i="7"/>
  <c r="AJ137" i="7"/>
  <c r="AK137" i="7"/>
  <c r="N138" i="7"/>
  <c r="O138" i="7"/>
  <c r="P138" i="7"/>
  <c r="Q138" i="7"/>
  <c r="R138" i="7"/>
  <c r="S138" i="7"/>
  <c r="T138" i="7"/>
  <c r="U138" i="7"/>
  <c r="V138" i="7"/>
  <c r="W138" i="7"/>
  <c r="X138" i="7"/>
  <c r="Y138" i="7"/>
  <c r="Z138" i="7"/>
  <c r="AE138" i="7"/>
  <c r="AF138" i="7"/>
  <c r="AG138" i="7"/>
  <c r="AH138" i="7"/>
  <c r="AI138" i="7"/>
  <c r="AJ138" i="7"/>
  <c r="AK138" i="7"/>
  <c r="N139" i="7"/>
  <c r="O139" i="7"/>
  <c r="P139" i="7"/>
  <c r="Q139" i="7"/>
  <c r="R139" i="7"/>
  <c r="S139" i="7"/>
  <c r="T139" i="7"/>
  <c r="U139" i="7"/>
  <c r="V139" i="7"/>
  <c r="W139" i="7"/>
  <c r="X139" i="7"/>
  <c r="Y139" i="7"/>
  <c r="Z139" i="7"/>
  <c r="AE139" i="7"/>
  <c r="AF139" i="7"/>
  <c r="AG139" i="7"/>
  <c r="AH139" i="7"/>
  <c r="AI139" i="7"/>
  <c r="AJ139" i="7"/>
  <c r="AK139" i="7"/>
  <c r="N140" i="7"/>
  <c r="O140" i="7"/>
  <c r="P140" i="7"/>
  <c r="Q140" i="7"/>
  <c r="R140" i="7"/>
  <c r="S140" i="7"/>
  <c r="T140" i="7"/>
  <c r="U140" i="7"/>
  <c r="V140" i="7"/>
  <c r="W140" i="7"/>
  <c r="X140" i="7"/>
  <c r="Y140" i="7"/>
  <c r="Z140" i="7"/>
  <c r="AE140" i="7"/>
  <c r="AF140" i="7"/>
  <c r="AG140" i="7"/>
  <c r="AH140" i="7"/>
  <c r="AI140" i="7"/>
  <c r="AJ140" i="7"/>
  <c r="AK140" i="7"/>
  <c r="N141" i="7"/>
  <c r="O141" i="7"/>
  <c r="P141" i="7"/>
  <c r="Q141" i="7"/>
  <c r="R141" i="7"/>
  <c r="S141" i="7"/>
  <c r="T141" i="7"/>
  <c r="U141" i="7"/>
  <c r="V141" i="7"/>
  <c r="W141" i="7"/>
  <c r="X141" i="7"/>
  <c r="Y141" i="7"/>
  <c r="Z141" i="7"/>
  <c r="AE141" i="7"/>
  <c r="AF141" i="7"/>
  <c r="AG141" i="7"/>
  <c r="AH141" i="7"/>
  <c r="AI141" i="7"/>
  <c r="AJ141" i="7"/>
  <c r="AK141" i="7"/>
  <c r="N142" i="7"/>
  <c r="O142" i="7"/>
  <c r="P142" i="7"/>
  <c r="Q142" i="7"/>
  <c r="R142" i="7"/>
  <c r="S142" i="7"/>
  <c r="T142" i="7"/>
  <c r="U142" i="7"/>
  <c r="V142" i="7"/>
  <c r="W142" i="7"/>
  <c r="X142" i="7"/>
  <c r="Y142" i="7"/>
  <c r="Z142" i="7"/>
  <c r="AE142" i="7"/>
  <c r="AF142" i="7"/>
  <c r="AG142" i="7"/>
  <c r="AH142" i="7"/>
  <c r="AI142" i="7"/>
  <c r="AJ142" i="7"/>
  <c r="AK142" i="7"/>
  <c r="N143" i="7"/>
  <c r="O143" i="7"/>
  <c r="P143" i="7"/>
  <c r="Q143" i="7"/>
  <c r="R143" i="7"/>
  <c r="S143" i="7"/>
  <c r="T143" i="7"/>
  <c r="U143" i="7"/>
  <c r="V143" i="7"/>
  <c r="W143" i="7"/>
  <c r="X143" i="7"/>
  <c r="Y143" i="7"/>
  <c r="Z143" i="7"/>
  <c r="AE143" i="7"/>
  <c r="AF143" i="7"/>
  <c r="AG143" i="7"/>
  <c r="AH143" i="7"/>
  <c r="AI143" i="7"/>
  <c r="AJ143" i="7"/>
  <c r="AK143" i="7"/>
  <c r="N144" i="7"/>
  <c r="O144" i="7"/>
  <c r="P144" i="7"/>
  <c r="Q144" i="7"/>
  <c r="R144" i="7"/>
  <c r="S144" i="7"/>
  <c r="T144" i="7"/>
  <c r="U144" i="7"/>
  <c r="V144" i="7"/>
  <c r="W144" i="7"/>
  <c r="X144" i="7"/>
  <c r="Y144" i="7"/>
  <c r="Z144" i="7"/>
  <c r="AE144" i="7"/>
  <c r="AF144" i="7"/>
  <c r="AG144" i="7"/>
  <c r="AH144" i="7"/>
  <c r="AI144" i="7"/>
  <c r="AJ144" i="7"/>
  <c r="AK144" i="7"/>
  <c r="N145" i="7"/>
  <c r="O145" i="7"/>
  <c r="P145" i="7"/>
  <c r="Q145" i="7"/>
  <c r="R145" i="7"/>
  <c r="S145" i="7"/>
  <c r="T145" i="7"/>
  <c r="U145" i="7"/>
  <c r="V145" i="7"/>
  <c r="W145" i="7"/>
  <c r="X145" i="7"/>
  <c r="Y145" i="7"/>
  <c r="Z145" i="7"/>
  <c r="AE145" i="7"/>
  <c r="AF145" i="7"/>
  <c r="AG145" i="7"/>
  <c r="AH145" i="7"/>
  <c r="AI145" i="7"/>
  <c r="AJ145" i="7"/>
  <c r="AK145" i="7"/>
  <c r="N146" i="7"/>
  <c r="O146" i="7"/>
  <c r="P146" i="7"/>
  <c r="Q146" i="7"/>
  <c r="R146" i="7"/>
  <c r="S146" i="7"/>
  <c r="T146" i="7"/>
  <c r="U146" i="7"/>
  <c r="V146" i="7"/>
  <c r="W146" i="7"/>
  <c r="X146" i="7"/>
  <c r="Y146" i="7"/>
  <c r="Z146" i="7"/>
  <c r="AE146" i="7"/>
  <c r="AF146" i="7"/>
  <c r="AG146" i="7"/>
  <c r="AH146" i="7"/>
  <c r="AI146" i="7"/>
  <c r="AJ146" i="7"/>
  <c r="AK146" i="7"/>
  <c r="N147" i="7"/>
  <c r="O147" i="7"/>
  <c r="P147" i="7"/>
  <c r="Q147" i="7"/>
  <c r="R147" i="7"/>
  <c r="S147" i="7"/>
  <c r="T147" i="7"/>
  <c r="U147" i="7"/>
  <c r="V147" i="7"/>
  <c r="W147" i="7"/>
  <c r="X147" i="7"/>
  <c r="Y147" i="7"/>
  <c r="Z147" i="7"/>
  <c r="AE147" i="7"/>
  <c r="AF147" i="7"/>
  <c r="AG147" i="7"/>
  <c r="AH147" i="7"/>
  <c r="AI147" i="7"/>
  <c r="AJ147" i="7"/>
  <c r="AK147" i="7"/>
  <c r="N148" i="7"/>
  <c r="O148" i="7"/>
  <c r="P148" i="7"/>
  <c r="Q148" i="7"/>
  <c r="R148" i="7"/>
  <c r="S148" i="7"/>
  <c r="T148" i="7"/>
  <c r="U148" i="7"/>
  <c r="V148" i="7"/>
  <c r="W148" i="7"/>
  <c r="X148" i="7"/>
  <c r="Y148" i="7"/>
  <c r="Z148" i="7"/>
  <c r="AE148" i="7"/>
  <c r="AF148" i="7"/>
  <c r="AG148" i="7"/>
  <c r="AH148" i="7"/>
  <c r="AI148" i="7"/>
  <c r="AJ148" i="7"/>
  <c r="AK148" i="7"/>
  <c r="N149" i="7"/>
  <c r="O149" i="7"/>
  <c r="P149" i="7"/>
  <c r="Q149" i="7"/>
  <c r="R149" i="7"/>
  <c r="S149" i="7"/>
  <c r="T149" i="7"/>
  <c r="U149" i="7"/>
  <c r="V149" i="7"/>
  <c r="W149" i="7"/>
  <c r="X149" i="7"/>
  <c r="Y149" i="7"/>
  <c r="Z149" i="7"/>
  <c r="AE149" i="7"/>
  <c r="AF149" i="7"/>
  <c r="AG149" i="7"/>
  <c r="AH149" i="7"/>
  <c r="AI149" i="7"/>
  <c r="AJ149" i="7"/>
  <c r="AK149" i="7"/>
  <c r="N150" i="7"/>
  <c r="O150" i="7"/>
  <c r="P150" i="7"/>
  <c r="Q150" i="7"/>
  <c r="R150" i="7"/>
  <c r="S150" i="7"/>
  <c r="T150" i="7"/>
  <c r="U150" i="7"/>
  <c r="V150" i="7"/>
  <c r="W150" i="7"/>
  <c r="X150" i="7"/>
  <c r="Y150" i="7"/>
  <c r="Z150" i="7"/>
  <c r="AE150" i="7"/>
  <c r="AF150" i="7"/>
  <c r="AG150" i="7"/>
  <c r="AH150" i="7"/>
  <c r="AI150" i="7"/>
  <c r="AJ150" i="7"/>
  <c r="AK150" i="7"/>
  <c r="N151" i="7"/>
  <c r="O151" i="7"/>
  <c r="P151" i="7"/>
  <c r="Q151" i="7"/>
  <c r="R151" i="7"/>
  <c r="S151" i="7"/>
  <c r="T151" i="7"/>
  <c r="U151" i="7"/>
  <c r="V151" i="7"/>
  <c r="W151" i="7"/>
  <c r="X151" i="7"/>
  <c r="Y151" i="7"/>
  <c r="Z151" i="7"/>
  <c r="AE151" i="7"/>
  <c r="AF151" i="7"/>
  <c r="AG151" i="7"/>
  <c r="AH151" i="7"/>
  <c r="AI151" i="7"/>
  <c r="AJ151" i="7"/>
  <c r="AK151" i="7"/>
  <c r="N152" i="7"/>
  <c r="O152" i="7"/>
  <c r="P152" i="7"/>
  <c r="Q152" i="7"/>
  <c r="R152" i="7"/>
  <c r="S152" i="7"/>
  <c r="T152" i="7"/>
  <c r="U152" i="7"/>
  <c r="V152" i="7"/>
  <c r="W152" i="7"/>
  <c r="X152" i="7"/>
  <c r="Y152" i="7"/>
  <c r="Z152" i="7"/>
  <c r="AE152" i="7"/>
  <c r="AF152" i="7"/>
  <c r="AG152" i="7"/>
  <c r="AH152" i="7"/>
  <c r="AI152" i="7"/>
  <c r="AJ152" i="7"/>
  <c r="AK152" i="7"/>
  <c r="N153" i="7"/>
  <c r="O153" i="7"/>
  <c r="P153" i="7"/>
  <c r="Q153" i="7"/>
  <c r="R153" i="7"/>
  <c r="S153" i="7"/>
  <c r="T153" i="7"/>
  <c r="U153" i="7"/>
  <c r="V153" i="7"/>
  <c r="W153" i="7"/>
  <c r="X153" i="7"/>
  <c r="Y153" i="7"/>
  <c r="Z153" i="7"/>
  <c r="AE153" i="7"/>
  <c r="AF153" i="7"/>
  <c r="AG153" i="7"/>
  <c r="AH153" i="7"/>
  <c r="AI153" i="7"/>
  <c r="AJ153" i="7"/>
  <c r="AK153" i="7"/>
  <c r="N154" i="7"/>
  <c r="O154" i="7"/>
  <c r="P154" i="7"/>
  <c r="Q154" i="7"/>
  <c r="R154" i="7"/>
  <c r="S154" i="7"/>
  <c r="T154" i="7"/>
  <c r="U154" i="7"/>
  <c r="V154" i="7"/>
  <c r="W154" i="7"/>
  <c r="X154" i="7"/>
  <c r="Y154" i="7"/>
  <c r="Z154" i="7"/>
  <c r="AE154" i="7"/>
  <c r="AF154" i="7"/>
  <c r="AG154" i="7"/>
  <c r="AH154" i="7"/>
  <c r="AI154" i="7"/>
  <c r="AJ154" i="7"/>
  <c r="AK154" i="7"/>
  <c r="N155" i="7"/>
  <c r="O155" i="7"/>
  <c r="P155" i="7"/>
  <c r="Q155" i="7"/>
  <c r="R155" i="7"/>
  <c r="S155" i="7"/>
  <c r="T155" i="7"/>
  <c r="U155" i="7"/>
  <c r="V155" i="7"/>
  <c r="W155" i="7"/>
  <c r="X155" i="7"/>
  <c r="Y155" i="7"/>
  <c r="Z155" i="7"/>
  <c r="AE155" i="7"/>
  <c r="AF155" i="7"/>
  <c r="AG155" i="7"/>
  <c r="AH155" i="7"/>
  <c r="AI155" i="7"/>
  <c r="AJ155" i="7"/>
  <c r="AK155" i="7"/>
  <c r="N156" i="7"/>
  <c r="O156" i="7"/>
  <c r="P156" i="7"/>
  <c r="Q156" i="7"/>
  <c r="R156" i="7"/>
  <c r="S156" i="7"/>
  <c r="T156" i="7"/>
  <c r="U156" i="7"/>
  <c r="V156" i="7"/>
  <c r="W156" i="7"/>
  <c r="X156" i="7"/>
  <c r="Y156" i="7"/>
  <c r="Z156" i="7"/>
  <c r="AE156" i="7"/>
  <c r="AF156" i="7"/>
  <c r="AG156" i="7"/>
  <c r="AH156" i="7"/>
  <c r="AI156" i="7"/>
  <c r="AJ156" i="7"/>
  <c r="AK156" i="7"/>
  <c r="N157" i="7"/>
  <c r="O157" i="7"/>
  <c r="P157" i="7"/>
  <c r="Q157" i="7"/>
  <c r="R157" i="7"/>
  <c r="S157" i="7"/>
  <c r="T157" i="7"/>
  <c r="U157" i="7"/>
  <c r="V157" i="7"/>
  <c r="W157" i="7"/>
  <c r="X157" i="7"/>
  <c r="Y157" i="7"/>
  <c r="Z157" i="7"/>
  <c r="AE157" i="7"/>
  <c r="AF157" i="7"/>
  <c r="AG157" i="7"/>
  <c r="AH157" i="7"/>
  <c r="AI157" i="7"/>
  <c r="AJ157" i="7"/>
  <c r="AK157" i="7"/>
  <c r="N158" i="7"/>
  <c r="O158" i="7"/>
  <c r="P158" i="7"/>
  <c r="Q158" i="7"/>
  <c r="R158" i="7"/>
  <c r="S158" i="7"/>
  <c r="T158" i="7"/>
  <c r="U158" i="7"/>
  <c r="V158" i="7"/>
  <c r="W158" i="7"/>
  <c r="X158" i="7"/>
  <c r="Y158" i="7"/>
  <c r="Z158" i="7"/>
  <c r="AE158" i="7"/>
  <c r="AF158" i="7"/>
  <c r="AG158" i="7"/>
  <c r="AH158" i="7"/>
  <c r="AI158" i="7"/>
  <c r="AJ158" i="7"/>
  <c r="AK158" i="7"/>
  <c r="N159" i="7"/>
  <c r="O159" i="7"/>
  <c r="P159" i="7"/>
  <c r="Q159" i="7"/>
  <c r="R159" i="7"/>
  <c r="S159" i="7"/>
  <c r="T159" i="7"/>
  <c r="U159" i="7"/>
  <c r="V159" i="7"/>
  <c r="W159" i="7"/>
  <c r="X159" i="7"/>
  <c r="Y159" i="7"/>
  <c r="Z159" i="7"/>
  <c r="AE159" i="7"/>
  <c r="AF159" i="7"/>
  <c r="AG159" i="7"/>
  <c r="AH159" i="7"/>
  <c r="AI159" i="7"/>
  <c r="AJ159" i="7"/>
  <c r="AK159" i="7"/>
  <c r="N160" i="7"/>
  <c r="O160" i="7"/>
  <c r="P160" i="7"/>
  <c r="Q160" i="7"/>
  <c r="R160" i="7"/>
  <c r="S160" i="7"/>
  <c r="T160" i="7"/>
  <c r="U160" i="7"/>
  <c r="V160" i="7"/>
  <c r="W160" i="7"/>
  <c r="X160" i="7"/>
  <c r="Y160" i="7"/>
  <c r="Z160" i="7"/>
  <c r="AE160" i="7"/>
  <c r="AF160" i="7"/>
  <c r="AG160" i="7"/>
  <c r="AH160" i="7"/>
  <c r="AI160" i="7"/>
  <c r="AJ160" i="7"/>
  <c r="AK160" i="7"/>
  <c r="N161" i="7"/>
  <c r="O161" i="7"/>
  <c r="P161" i="7"/>
  <c r="Q161" i="7"/>
  <c r="R161" i="7"/>
  <c r="S161" i="7"/>
  <c r="T161" i="7"/>
  <c r="U161" i="7"/>
  <c r="V161" i="7"/>
  <c r="W161" i="7"/>
  <c r="X161" i="7"/>
  <c r="Y161" i="7"/>
  <c r="Z161" i="7"/>
  <c r="AE161" i="7"/>
  <c r="AF161" i="7"/>
  <c r="AG161" i="7"/>
  <c r="AH161" i="7"/>
  <c r="AI161" i="7"/>
  <c r="AJ161" i="7"/>
  <c r="AK161" i="7"/>
  <c r="N162" i="7"/>
  <c r="O162" i="7"/>
  <c r="P162" i="7"/>
  <c r="Q162" i="7"/>
  <c r="R162" i="7"/>
  <c r="S162" i="7"/>
  <c r="T162" i="7"/>
  <c r="U162" i="7"/>
  <c r="V162" i="7"/>
  <c r="W162" i="7"/>
  <c r="X162" i="7"/>
  <c r="Y162" i="7"/>
  <c r="Z162" i="7"/>
  <c r="AE162" i="7"/>
  <c r="AF162" i="7"/>
  <c r="AG162" i="7"/>
  <c r="AH162" i="7"/>
  <c r="AI162" i="7"/>
  <c r="AJ162" i="7"/>
  <c r="AK162" i="7"/>
  <c r="N163" i="7"/>
  <c r="O163" i="7"/>
  <c r="P163" i="7"/>
  <c r="Q163" i="7"/>
  <c r="R163" i="7"/>
  <c r="S163" i="7"/>
  <c r="T163" i="7"/>
  <c r="U163" i="7"/>
  <c r="V163" i="7"/>
  <c r="W163" i="7"/>
  <c r="X163" i="7"/>
  <c r="Y163" i="7"/>
  <c r="Z163" i="7"/>
  <c r="AE163" i="7"/>
  <c r="AF163" i="7"/>
  <c r="AG163" i="7"/>
  <c r="AH163" i="7"/>
  <c r="AI163" i="7"/>
  <c r="AJ163" i="7"/>
  <c r="AK163" i="7"/>
  <c r="N164" i="7"/>
  <c r="O164" i="7"/>
  <c r="P164" i="7"/>
  <c r="Q164" i="7"/>
  <c r="R164" i="7"/>
  <c r="S164" i="7"/>
  <c r="T164" i="7"/>
  <c r="U164" i="7"/>
  <c r="V164" i="7"/>
  <c r="W164" i="7"/>
  <c r="X164" i="7"/>
  <c r="Y164" i="7"/>
  <c r="Z164" i="7"/>
  <c r="AE164" i="7"/>
  <c r="AF164" i="7"/>
  <c r="AG164" i="7"/>
  <c r="AH164" i="7"/>
  <c r="AI164" i="7"/>
  <c r="AJ164" i="7"/>
  <c r="AK164" i="7"/>
  <c r="N165" i="7"/>
  <c r="O165" i="7"/>
  <c r="P165" i="7"/>
  <c r="Q165" i="7"/>
  <c r="R165" i="7"/>
  <c r="S165" i="7"/>
  <c r="T165" i="7"/>
  <c r="U165" i="7"/>
  <c r="V165" i="7"/>
  <c r="W165" i="7"/>
  <c r="X165" i="7"/>
  <c r="Y165" i="7"/>
  <c r="Z165" i="7"/>
  <c r="AE165" i="7"/>
  <c r="AF165" i="7"/>
  <c r="AG165" i="7"/>
  <c r="AH165" i="7"/>
  <c r="AI165" i="7"/>
  <c r="AJ165" i="7"/>
  <c r="AK165" i="7"/>
  <c r="N166" i="7"/>
  <c r="O166" i="7"/>
  <c r="P166" i="7"/>
  <c r="Q166" i="7"/>
  <c r="R166" i="7"/>
  <c r="S166" i="7"/>
  <c r="T166" i="7"/>
  <c r="U166" i="7"/>
  <c r="V166" i="7"/>
  <c r="W166" i="7"/>
  <c r="X166" i="7"/>
  <c r="Y166" i="7"/>
  <c r="Z166" i="7"/>
  <c r="AE166" i="7"/>
  <c r="AF166" i="7"/>
  <c r="AG166" i="7"/>
  <c r="AH166" i="7"/>
  <c r="AI166" i="7"/>
  <c r="AJ166" i="7"/>
  <c r="AK166" i="7"/>
  <c r="N167" i="7"/>
  <c r="O167" i="7"/>
  <c r="P167" i="7"/>
  <c r="Q167" i="7"/>
  <c r="R167" i="7"/>
  <c r="S167" i="7"/>
  <c r="T167" i="7"/>
  <c r="U167" i="7"/>
  <c r="V167" i="7"/>
  <c r="W167" i="7"/>
  <c r="X167" i="7"/>
  <c r="Y167" i="7"/>
  <c r="Z167" i="7"/>
  <c r="AE167" i="7"/>
  <c r="AF167" i="7"/>
  <c r="AG167" i="7"/>
  <c r="AH167" i="7"/>
  <c r="AI167" i="7"/>
  <c r="AJ167" i="7"/>
  <c r="AK167" i="7"/>
  <c r="N168" i="7"/>
  <c r="O168" i="7"/>
  <c r="P168" i="7"/>
  <c r="Q168" i="7"/>
  <c r="R168" i="7"/>
  <c r="S168" i="7"/>
  <c r="T168" i="7"/>
  <c r="U168" i="7"/>
  <c r="V168" i="7"/>
  <c r="W168" i="7"/>
  <c r="X168" i="7"/>
  <c r="Y168" i="7"/>
  <c r="Z168" i="7"/>
  <c r="AE168" i="7"/>
  <c r="AF168" i="7"/>
  <c r="AG168" i="7"/>
  <c r="AH168" i="7"/>
  <c r="AI168" i="7"/>
  <c r="AJ168" i="7"/>
  <c r="AK168" i="7"/>
  <c r="N169" i="7"/>
  <c r="O169" i="7"/>
  <c r="P169" i="7"/>
  <c r="Q169" i="7"/>
  <c r="R169" i="7"/>
  <c r="S169" i="7"/>
  <c r="T169" i="7"/>
  <c r="U169" i="7"/>
  <c r="V169" i="7"/>
  <c r="W169" i="7"/>
  <c r="X169" i="7"/>
  <c r="Y169" i="7"/>
  <c r="Z169" i="7"/>
  <c r="AE169" i="7"/>
  <c r="AF169" i="7"/>
  <c r="AG169" i="7"/>
  <c r="AH169" i="7"/>
  <c r="AI169" i="7"/>
  <c r="AJ169" i="7"/>
  <c r="AK169" i="7"/>
  <c r="N170" i="7"/>
  <c r="O170" i="7"/>
  <c r="P170" i="7"/>
  <c r="Q170" i="7"/>
  <c r="R170" i="7"/>
  <c r="S170" i="7"/>
  <c r="T170" i="7"/>
  <c r="U170" i="7"/>
  <c r="V170" i="7"/>
  <c r="W170" i="7"/>
  <c r="X170" i="7"/>
  <c r="Y170" i="7"/>
  <c r="Z170" i="7"/>
  <c r="AE170" i="7"/>
  <c r="AF170" i="7"/>
  <c r="AG170" i="7"/>
  <c r="AH170" i="7"/>
  <c r="AI170" i="7"/>
  <c r="AJ170" i="7"/>
  <c r="AK170" i="7"/>
  <c r="N171" i="7"/>
  <c r="O171" i="7"/>
  <c r="P171" i="7"/>
  <c r="Q171" i="7"/>
  <c r="R171" i="7"/>
  <c r="S171" i="7"/>
  <c r="T171" i="7"/>
  <c r="U171" i="7"/>
  <c r="V171" i="7"/>
  <c r="W171" i="7"/>
  <c r="X171" i="7"/>
  <c r="Y171" i="7"/>
  <c r="Z171" i="7"/>
  <c r="AE171" i="7"/>
  <c r="AF171" i="7"/>
  <c r="AG171" i="7"/>
  <c r="AH171" i="7"/>
  <c r="AI171" i="7"/>
  <c r="AJ171" i="7"/>
  <c r="AK171" i="7"/>
  <c r="N172" i="7"/>
  <c r="O172" i="7"/>
  <c r="P172" i="7"/>
  <c r="Q172" i="7"/>
  <c r="R172" i="7"/>
  <c r="S172" i="7"/>
  <c r="T172" i="7"/>
  <c r="U172" i="7"/>
  <c r="V172" i="7"/>
  <c r="W172" i="7"/>
  <c r="X172" i="7"/>
  <c r="Y172" i="7"/>
  <c r="Z172" i="7"/>
  <c r="AE172" i="7"/>
  <c r="AF172" i="7"/>
  <c r="AG172" i="7"/>
  <c r="AH172" i="7"/>
  <c r="AI172" i="7"/>
  <c r="AJ172" i="7"/>
  <c r="AK172" i="7"/>
  <c r="N173" i="7"/>
  <c r="O173" i="7"/>
  <c r="P173" i="7"/>
  <c r="Q173" i="7"/>
  <c r="R173" i="7"/>
  <c r="S173" i="7"/>
  <c r="T173" i="7"/>
  <c r="U173" i="7"/>
  <c r="V173" i="7"/>
  <c r="W173" i="7"/>
  <c r="X173" i="7"/>
  <c r="Y173" i="7"/>
  <c r="Z173" i="7"/>
  <c r="AE173" i="7"/>
  <c r="AF173" i="7"/>
  <c r="AG173" i="7"/>
  <c r="AH173" i="7"/>
  <c r="AI173" i="7"/>
  <c r="AJ173" i="7"/>
  <c r="AK173" i="7"/>
  <c r="N174" i="7"/>
  <c r="O174" i="7"/>
  <c r="P174" i="7"/>
  <c r="Q174" i="7"/>
  <c r="R174" i="7"/>
  <c r="S174" i="7"/>
  <c r="T174" i="7"/>
  <c r="U174" i="7"/>
  <c r="V174" i="7"/>
  <c r="W174" i="7"/>
  <c r="X174" i="7"/>
  <c r="Y174" i="7"/>
  <c r="Z174" i="7"/>
  <c r="AE174" i="7"/>
  <c r="AF174" i="7"/>
  <c r="AG174" i="7"/>
  <c r="AH174" i="7"/>
  <c r="AI174" i="7"/>
  <c r="AJ174" i="7"/>
  <c r="AK174" i="7"/>
  <c r="N175" i="7"/>
  <c r="O175" i="7"/>
  <c r="P175" i="7"/>
  <c r="Q175" i="7"/>
  <c r="R175" i="7"/>
  <c r="S175" i="7"/>
  <c r="T175" i="7"/>
  <c r="U175" i="7"/>
  <c r="V175" i="7"/>
  <c r="W175" i="7"/>
  <c r="X175" i="7"/>
  <c r="Y175" i="7"/>
  <c r="Z175" i="7"/>
  <c r="AE175" i="7"/>
  <c r="AF175" i="7"/>
  <c r="AG175" i="7"/>
  <c r="AH175" i="7"/>
  <c r="AI175" i="7"/>
  <c r="AJ175" i="7"/>
  <c r="AK175" i="7"/>
  <c r="N176" i="7"/>
  <c r="O176" i="7"/>
  <c r="P176" i="7"/>
  <c r="Q176" i="7"/>
  <c r="R176" i="7"/>
  <c r="S176" i="7"/>
  <c r="T176" i="7"/>
  <c r="U176" i="7"/>
  <c r="V176" i="7"/>
  <c r="W176" i="7"/>
  <c r="X176" i="7"/>
  <c r="Y176" i="7"/>
  <c r="Z176" i="7"/>
  <c r="AE176" i="7"/>
  <c r="AF176" i="7"/>
  <c r="AG176" i="7"/>
  <c r="AH176" i="7"/>
  <c r="AI176" i="7"/>
  <c r="AJ176" i="7"/>
  <c r="AK176" i="7"/>
  <c r="N177" i="7"/>
  <c r="O177" i="7"/>
  <c r="P177" i="7"/>
  <c r="Q177" i="7"/>
  <c r="R177" i="7"/>
  <c r="S177" i="7"/>
  <c r="T177" i="7"/>
  <c r="U177" i="7"/>
  <c r="V177" i="7"/>
  <c r="W177" i="7"/>
  <c r="X177" i="7"/>
  <c r="Y177" i="7"/>
  <c r="Z177" i="7"/>
  <c r="AE177" i="7"/>
  <c r="AF177" i="7"/>
  <c r="AG177" i="7"/>
  <c r="AH177" i="7"/>
  <c r="AI177" i="7"/>
  <c r="AJ177" i="7"/>
  <c r="AK177" i="7"/>
  <c r="N178" i="7"/>
  <c r="O178" i="7"/>
  <c r="P178" i="7"/>
  <c r="Q178" i="7"/>
  <c r="R178" i="7"/>
  <c r="S178" i="7"/>
  <c r="T178" i="7"/>
  <c r="U178" i="7"/>
  <c r="V178" i="7"/>
  <c r="W178" i="7"/>
  <c r="X178" i="7"/>
  <c r="Y178" i="7"/>
  <c r="Z178" i="7"/>
  <c r="AE178" i="7"/>
  <c r="AF178" i="7"/>
  <c r="AG178" i="7"/>
  <c r="AH178" i="7"/>
  <c r="AI178" i="7"/>
  <c r="AJ178" i="7"/>
  <c r="AK178" i="7"/>
  <c r="N179" i="7"/>
  <c r="O179" i="7"/>
  <c r="P179" i="7"/>
  <c r="Q179" i="7"/>
  <c r="R179" i="7"/>
  <c r="S179" i="7"/>
  <c r="T179" i="7"/>
  <c r="U179" i="7"/>
  <c r="V179" i="7"/>
  <c r="W179" i="7"/>
  <c r="X179" i="7"/>
  <c r="Y179" i="7"/>
  <c r="Z179" i="7"/>
  <c r="AE179" i="7"/>
  <c r="AF179" i="7"/>
  <c r="AG179" i="7"/>
  <c r="AH179" i="7"/>
  <c r="AI179" i="7"/>
  <c r="AJ179" i="7"/>
  <c r="AK179" i="7"/>
  <c r="N180" i="7"/>
  <c r="O180" i="7"/>
  <c r="P180" i="7"/>
  <c r="Q180" i="7"/>
  <c r="R180" i="7"/>
  <c r="S180" i="7"/>
  <c r="T180" i="7"/>
  <c r="U180" i="7"/>
  <c r="V180" i="7"/>
  <c r="W180" i="7"/>
  <c r="X180" i="7"/>
  <c r="Y180" i="7"/>
  <c r="Z180" i="7"/>
  <c r="AE180" i="7"/>
  <c r="AF180" i="7"/>
  <c r="AG180" i="7"/>
  <c r="AH180" i="7"/>
  <c r="AI180" i="7"/>
  <c r="AJ180" i="7"/>
  <c r="AK180" i="7"/>
  <c r="N181" i="7"/>
  <c r="O181" i="7"/>
  <c r="P181" i="7"/>
  <c r="Q181" i="7"/>
  <c r="R181" i="7"/>
  <c r="S181" i="7"/>
  <c r="T181" i="7"/>
  <c r="U181" i="7"/>
  <c r="V181" i="7"/>
  <c r="W181" i="7"/>
  <c r="X181" i="7"/>
  <c r="Y181" i="7"/>
  <c r="Z181" i="7"/>
  <c r="AE181" i="7"/>
  <c r="AF181" i="7"/>
  <c r="AG181" i="7"/>
  <c r="AH181" i="7"/>
  <c r="AI181" i="7"/>
  <c r="AJ181" i="7"/>
  <c r="AK181" i="7"/>
  <c r="N182" i="7"/>
  <c r="O182" i="7"/>
  <c r="P182" i="7"/>
  <c r="Q182" i="7"/>
  <c r="R182" i="7"/>
  <c r="S182" i="7"/>
  <c r="T182" i="7"/>
  <c r="U182" i="7"/>
  <c r="V182" i="7"/>
  <c r="W182" i="7"/>
  <c r="X182" i="7"/>
  <c r="Y182" i="7"/>
  <c r="Z182" i="7"/>
  <c r="AE182" i="7"/>
  <c r="AF182" i="7"/>
  <c r="AG182" i="7"/>
  <c r="AH182" i="7"/>
  <c r="AI182" i="7"/>
  <c r="AJ182" i="7"/>
  <c r="AK182" i="7"/>
  <c r="N183" i="7"/>
  <c r="O183" i="7"/>
  <c r="P183" i="7"/>
  <c r="Q183" i="7"/>
  <c r="R183" i="7"/>
  <c r="S183" i="7"/>
  <c r="T183" i="7"/>
  <c r="U183" i="7"/>
  <c r="V183" i="7"/>
  <c r="W183" i="7"/>
  <c r="X183" i="7"/>
  <c r="Y183" i="7"/>
  <c r="Z183" i="7"/>
  <c r="AE183" i="7"/>
  <c r="AF183" i="7"/>
  <c r="AG183" i="7"/>
  <c r="AH183" i="7"/>
  <c r="AI183" i="7"/>
  <c r="AJ183" i="7"/>
  <c r="AK183" i="7"/>
  <c r="N184" i="7"/>
  <c r="O184" i="7"/>
  <c r="P184" i="7"/>
  <c r="Q184" i="7"/>
  <c r="R184" i="7"/>
  <c r="S184" i="7"/>
  <c r="T184" i="7"/>
  <c r="U184" i="7"/>
  <c r="V184" i="7"/>
  <c r="W184" i="7"/>
  <c r="X184" i="7"/>
  <c r="Y184" i="7"/>
  <c r="Z184" i="7"/>
  <c r="AE184" i="7"/>
  <c r="AF184" i="7"/>
  <c r="AG184" i="7"/>
  <c r="AH184" i="7"/>
  <c r="AI184" i="7"/>
  <c r="AJ184" i="7"/>
  <c r="AK184" i="7"/>
  <c r="N185" i="7"/>
  <c r="O185" i="7"/>
  <c r="P185" i="7"/>
  <c r="Q185" i="7"/>
  <c r="R185" i="7"/>
  <c r="S185" i="7"/>
  <c r="T185" i="7"/>
  <c r="U185" i="7"/>
  <c r="V185" i="7"/>
  <c r="W185" i="7"/>
  <c r="X185" i="7"/>
  <c r="Y185" i="7"/>
  <c r="Z185" i="7"/>
  <c r="AE185" i="7"/>
  <c r="AF185" i="7"/>
  <c r="AG185" i="7"/>
  <c r="AH185" i="7"/>
  <c r="AI185" i="7"/>
  <c r="AJ185" i="7"/>
  <c r="AK185" i="7"/>
  <c r="N186" i="7"/>
  <c r="O186" i="7"/>
  <c r="P186" i="7"/>
  <c r="Q186" i="7"/>
  <c r="R186" i="7"/>
  <c r="S186" i="7"/>
  <c r="T186" i="7"/>
  <c r="U186" i="7"/>
  <c r="V186" i="7"/>
  <c r="W186" i="7"/>
  <c r="X186" i="7"/>
  <c r="Y186" i="7"/>
  <c r="Z186" i="7"/>
  <c r="AE186" i="7"/>
  <c r="AF186" i="7"/>
  <c r="AG186" i="7"/>
  <c r="AH186" i="7"/>
  <c r="AI186" i="7"/>
  <c r="AJ186" i="7"/>
  <c r="AK186" i="7"/>
  <c r="N187" i="7"/>
  <c r="O187" i="7"/>
  <c r="P187" i="7"/>
  <c r="Q187" i="7"/>
  <c r="R187" i="7"/>
  <c r="S187" i="7"/>
  <c r="T187" i="7"/>
  <c r="U187" i="7"/>
  <c r="V187" i="7"/>
  <c r="W187" i="7"/>
  <c r="X187" i="7"/>
  <c r="Y187" i="7"/>
  <c r="Z187" i="7"/>
  <c r="AE187" i="7"/>
  <c r="AF187" i="7"/>
  <c r="AG187" i="7"/>
  <c r="AH187" i="7"/>
  <c r="AI187" i="7"/>
  <c r="AJ187" i="7"/>
  <c r="AK187" i="7"/>
  <c r="N188" i="7"/>
  <c r="O188" i="7"/>
  <c r="P188" i="7"/>
  <c r="Q188" i="7"/>
  <c r="R188" i="7"/>
  <c r="S188" i="7"/>
  <c r="T188" i="7"/>
  <c r="U188" i="7"/>
  <c r="V188" i="7"/>
  <c r="W188" i="7"/>
  <c r="X188" i="7"/>
  <c r="Y188" i="7"/>
  <c r="Z188" i="7"/>
  <c r="AE188" i="7"/>
  <c r="AF188" i="7"/>
  <c r="AG188" i="7"/>
  <c r="AH188" i="7"/>
  <c r="AI188" i="7"/>
  <c r="AJ188" i="7"/>
  <c r="AK188" i="7"/>
  <c r="N189" i="7"/>
  <c r="O189" i="7"/>
  <c r="P189" i="7"/>
  <c r="Q189" i="7"/>
  <c r="R189" i="7"/>
  <c r="S189" i="7"/>
  <c r="T189" i="7"/>
  <c r="U189" i="7"/>
  <c r="V189" i="7"/>
  <c r="W189" i="7"/>
  <c r="X189" i="7"/>
  <c r="Y189" i="7"/>
  <c r="Z189" i="7"/>
  <c r="AE189" i="7"/>
  <c r="AF189" i="7"/>
  <c r="AG189" i="7"/>
  <c r="AH189" i="7"/>
  <c r="AI189" i="7"/>
  <c r="AJ189" i="7"/>
  <c r="AK189" i="7"/>
  <c r="N190" i="7"/>
  <c r="O190" i="7"/>
  <c r="P190" i="7"/>
  <c r="Q190" i="7"/>
  <c r="R190" i="7"/>
  <c r="S190" i="7"/>
  <c r="T190" i="7"/>
  <c r="U190" i="7"/>
  <c r="V190" i="7"/>
  <c r="W190" i="7"/>
  <c r="X190" i="7"/>
  <c r="Y190" i="7"/>
  <c r="Z190" i="7"/>
  <c r="AE190" i="7"/>
  <c r="AF190" i="7"/>
  <c r="AG190" i="7"/>
  <c r="AH190" i="7"/>
  <c r="AI190" i="7"/>
  <c r="AJ190" i="7"/>
  <c r="AK190" i="7"/>
  <c r="N191" i="7"/>
  <c r="O191" i="7"/>
  <c r="P191" i="7"/>
  <c r="Q191" i="7"/>
  <c r="R191" i="7"/>
  <c r="S191" i="7"/>
  <c r="T191" i="7"/>
  <c r="U191" i="7"/>
  <c r="V191" i="7"/>
  <c r="W191" i="7"/>
  <c r="X191" i="7"/>
  <c r="Y191" i="7"/>
  <c r="Z191" i="7"/>
  <c r="AE191" i="7"/>
  <c r="AF191" i="7"/>
  <c r="AG191" i="7"/>
  <c r="AH191" i="7"/>
  <c r="AI191" i="7"/>
  <c r="AJ191" i="7"/>
  <c r="AK191" i="7"/>
  <c r="N192" i="7"/>
  <c r="O192" i="7"/>
  <c r="P192" i="7"/>
  <c r="Q192" i="7"/>
  <c r="R192" i="7"/>
  <c r="S192" i="7"/>
  <c r="T192" i="7"/>
  <c r="U192" i="7"/>
  <c r="V192" i="7"/>
  <c r="W192" i="7"/>
  <c r="X192" i="7"/>
  <c r="Y192" i="7"/>
  <c r="Z192" i="7"/>
  <c r="AE192" i="7"/>
  <c r="AF192" i="7"/>
  <c r="AG192" i="7"/>
  <c r="AH192" i="7"/>
  <c r="AI192" i="7"/>
  <c r="AJ192" i="7"/>
  <c r="AK192" i="7"/>
  <c r="N193" i="7"/>
  <c r="O193" i="7"/>
  <c r="P193" i="7"/>
  <c r="Q193" i="7"/>
  <c r="R193" i="7"/>
  <c r="S193" i="7"/>
  <c r="T193" i="7"/>
  <c r="U193" i="7"/>
  <c r="V193" i="7"/>
  <c r="W193" i="7"/>
  <c r="X193" i="7"/>
  <c r="Y193" i="7"/>
  <c r="Z193" i="7"/>
  <c r="AE193" i="7"/>
  <c r="AF193" i="7"/>
  <c r="AG193" i="7"/>
  <c r="AH193" i="7"/>
  <c r="AI193" i="7"/>
  <c r="AJ193" i="7"/>
  <c r="AK193" i="7"/>
  <c r="N194" i="7"/>
  <c r="O194" i="7"/>
  <c r="P194" i="7"/>
  <c r="Q194" i="7"/>
  <c r="R194" i="7"/>
  <c r="S194" i="7"/>
  <c r="T194" i="7"/>
  <c r="U194" i="7"/>
  <c r="V194" i="7"/>
  <c r="W194" i="7"/>
  <c r="X194" i="7"/>
  <c r="Y194" i="7"/>
  <c r="Z194" i="7"/>
  <c r="AE194" i="7"/>
  <c r="AF194" i="7"/>
  <c r="AG194" i="7"/>
  <c r="AH194" i="7"/>
  <c r="AI194" i="7"/>
  <c r="AJ194" i="7"/>
  <c r="AK194" i="7"/>
  <c r="N195" i="7"/>
  <c r="O195" i="7"/>
  <c r="P195" i="7"/>
  <c r="Q195" i="7"/>
  <c r="R195" i="7"/>
  <c r="S195" i="7"/>
  <c r="T195" i="7"/>
  <c r="U195" i="7"/>
  <c r="V195" i="7"/>
  <c r="W195" i="7"/>
  <c r="X195" i="7"/>
  <c r="Y195" i="7"/>
  <c r="Z195" i="7"/>
  <c r="AE195" i="7"/>
  <c r="AF195" i="7"/>
  <c r="AG195" i="7"/>
  <c r="AH195" i="7"/>
  <c r="AI195" i="7"/>
  <c r="AJ195" i="7"/>
  <c r="AK195" i="7"/>
  <c r="N196" i="7"/>
  <c r="O196" i="7"/>
  <c r="P196" i="7"/>
  <c r="Q196" i="7"/>
  <c r="R196" i="7"/>
  <c r="S196" i="7"/>
  <c r="T196" i="7"/>
  <c r="U196" i="7"/>
  <c r="V196" i="7"/>
  <c r="W196" i="7"/>
  <c r="X196" i="7"/>
  <c r="Y196" i="7"/>
  <c r="Z196" i="7"/>
  <c r="AE196" i="7"/>
  <c r="AF196" i="7"/>
  <c r="AG196" i="7"/>
  <c r="AH196" i="7"/>
  <c r="AI196" i="7"/>
  <c r="AJ196" i="7"/>
  <c r="AK196" i="7"/>
  <c r="N197" i="7"/>
  <c r="O197" i="7"/>
  <c r="P197" i="7"/>
  <c r="Q197" i="7"/>
  <c r="R197" i="7"/>
  <c r="S197" i="7"/>
  <c r="T197" i="7"/>
  <c r="U197" i="7"/>
  <c r="V197" i="7"/>
  <c r="W197" i="7"/>
  <c r="X197" i="7"/>
  <c r="Y197" i="7"/>
  <c r="Z197" i="7"/>
  <c r="AE197" i="7"/>
  <c r="AF197" i="7"/>
  <c r="AG197" i="7"/>
  <c r="AH197" i="7"/>
  <c r="AI197" i="7"/>
  <c r="AJ197" i="7"/>
  <c r="AK197" i="7"/>
  <c r="N198" i="7"/>
  <c r="O198" i="7"/>
  <c r="P198" i="7"/>
  <c r="Q198" i="7"/>
  <c r="R198" i="7"/>
  <c r="S198" i="7"/>
  <c r="T198" i="7"/>
  <c r="U198" i="7"/>
  <c r="V198" i="7"/>
  <c r="W198" i="7"/>
  <c r="X198" i="7"/>
  <c r="Y198" i="7"/>
  <c r="Z198" i="7"/>
  <c r="AE198" i="7"/>
  <c r="AF198" i="7"/>
  <c r="AG198" i="7"/>
  <c r="AH198" i="7"/>
  <c r="AI198" i="7"/>
  <c r="AJ198" i="7"/>
  <c r="AK198" i="7"/>
  <c r="N199" i="7"/>
  <c r="O199" i="7"/>
  <c r="P199" i="7"/>
  <c r="Q199" i="7"/>
  <c r="R199" i="7"/>
  <c r="S199" i="7"/>
  <c r="T199" i="7"/>
  <c r="U199" i="7"/>
  <c r="V199" i="7"/>
  <c r="W199" i="7"/>
  <c r="X199" i="7"/>
  <c r="Y199" i="7"/>
  <c r="Z199" i="7"/>
  <c r="AE199" i="7"/>
  <c r="AF199" i="7"/>
  <c r="AG199" i="7"/>
  <c r="AH199" i="7"/>
  <c r="AI199" i="7"/>
  <c r="AJ199" i="7"/>
  <c r="AK199" i="7"/>
  <c r="N200" i="7"/>
  <c r="O200" i="7"/>
  <c r="P200" i="7"/>
  <c r="Q200" i="7"/>
  <c r="R200" i="7"/>
  <c r="S200" i="7"/>
  <c r="T200" i="7"/>
  <c r="U200" i="7"/>
  <c r="V200" i="7"/>
  <c r="W200" i="7"/>
  <c r="X200" i="7"/>
  <c r="Y200" i="7"/>
  <c r="Z200" i="7"/>
  <c r="AE200" i="7"/>
  <c r="AF200" i="7"/>
  <c r="AG200" i="7"/>
  <c r="AH200" i="7"/>
  <c r="AI200" i="7"/>
  <c r="AJ200" i="7"/>
  <c r="AK200" i="7"/>
  <c r="N201" i="7"/>
  <c r="O201" i="7"/>
  <c r="P201" i="7"/>
  <c r="Q201" i="7"/>
  <c r="R201" i="7"/>
  <c r="S201" i="7"/>
  <c r="T201" i="7"/>
  <c r="U201" i="7"/>
  <c r="V201" i="7"/>
  <c r="W201" i="7"/>
  <c r="X201" i="7"/>
  <c r="Y201" i="7"/>
  <c r="Z201" i="7"/>
  <c r="AE201" i="7"/>
  <c r="AF201" i="7"/>
  <c r="AG201" i="7"/>
  <c r="AH201" i="7"/>
  <c r="AI201" i="7"/>
  <c r="AJ201" i="7"/>
  <c r="AK201" i="7"/>
  <c r="N202" i="7"/>
  <c r="O202" i="7"/>
  <c r="P202" i="7"/>
  <c r="Q202" i="7"/>
  <c r="R202" i="7"/>
  <c r="S202" i="7"/>
  <c r="T202" i="7"/>
  <c r="U202" i="7"/>
  <c r="V202" i="7"/>
  <c r="W202" i="7"/>
  <c r="X202" i="7"/>
  <c r="Y202" i="7"/>
  <c r="Z202" i="7"/>
  <c r="AE202" i="7"/>
  <c r="AF202" i="7"/>
  <c r="AG202" i="7"/>
  <c r="AH202" i="7"/>
  <c r="AI202" i="7"/>
  <c r="AJ202" i="7"/>
  <c r="AK202" i="7"/>
  <c r="N203" i="7"/>
  <c r="O203" i="7"/>
  <c r="P203" i="7"/>
  <c r="Q203" i="7"/>
  <c r="R203" i="7"/>
  <c r="S203" i="7"/>
  <c r="T203" i="7"/>
  <c r="U203" i="7"/>
  <c r="V203" i="7"/>
  <c r="W203" i="7"/>
  <c r="X203" i="7"/>
  <c r="Y203" i="7"/>
  <c r="Z203" i="7"/>
  <c r="AE203" i="7"/>
  <c r="AF203" i="7"/>
  <c r="AG203" i="7"/>
  <c r="AH203" i="7"/>
  <c r="AI203" i="7"/>
  <c r="AJ203" i="7"/>
  <c r="AK203" i="7"/>
  <c r="N204" i="7"/>
  <c r="O204" i="7"/>
  <c r="P204" i="7"/>
  <c r="Q204" i="7"/>
  <c r="R204" i="7"/>
  <c r="S204" i="7"/>
  <c r="T204" i="7"/>
  <c r="U204" i="7"/>
  <c r="V204" i="7"/>
  <c r="W204" i="7"/>
  <c r="X204" i="7"/>
  <c r="Y204" i="7"/>
  <c r="Z204" i="7"/>
  <c r="AE204" i="7"/>
  <c r="AF204" i="7"/>
  <c r="AG204" i="7"/>
  <c r="AH204" i="7"/>
  <c r="AI204" i="7"/>
  <c r="AJ204" i="7"/>
  <c r="AK204" i="7"/>
  <c r="N205" i="7"/>
  <c r="O205" i="7"/>
  <c r="P205" i="7"/>
  <c r="Q205" i="7"/>
  <c r="R205" i="7"/>
  <c r="S205" i="7"/>
  <c r="T205" i="7"/>
  <c r="U205" i="7"/>
  <c r="V205" i="7"/>
  <c r="W205" i="7"/>
  <c r="X205" i="7"/>
  <c r="Y205" i="7"/>
  <c r="Z205" i="7"/>
  <c r="AE205" i="7"/>
  <c r="AF205" i="7"/>
  <c r="AG205" i="7"/>
  <c r="AH205" i="7"/>
  <c r="AI205" i="7"/>
  <c r="AJ205" i="7"/>
  <c r="AK205" i="7"/>
  <c r="N206" i="7"/>
  <c r="O206" i="7"/>
  <c r="P206" i="7"/>
  <c r="Q206" i="7"/>
  <c r="R206" i="7"/>
  <c r="S206" i="7"/>
  <c r="T206" i="7"/>
  <c r="U206" i="7"/>
  <c r="V206" i="7"/>
  <c r="W206" i="7"/>
  <c r="X206" i="7"/>
  <c r="Y206" i="7"/>
  <c r="Z206" i="7"/>
  <c r="AE206" i="7"/>
  <c r="AF206" i="7"/>
  <c r="AG206" i="7"/>
  <c r="AH206" i="7"/>
  <c r="AI206" i="7"/>
  <c r="AJ206" i="7"/>
  <c r="AK206" i="7"/>
  <c r="N207" i="7"/>
  <c r="O207" i="7"/>
  <c r="P207" i="7"/>
  <c r="Q207" i="7"/>
  <c r="R207" i="7"/>
  <c r="S207" i="7"/>
  <c r="T207" i="7"/>
  <c r="U207" i="7"/>
  <c r="V207" i="7"/>
  <c r="W207" i="7"/>
  <c r="X207" i="7"/>
  <c r="Y207" i="7"/>
  <c r="Z207" i="7"/>
  <c r="AE207" i="7"/>
  <c r="AF207" i="7"/>
  <c r="AG207" i="7"/>
  <c r="AH207" i="7"/>
  <c r="AI207" i="7"/>
  <c r="AJ207" i="7"/>
  <c r="AK207" i="7"/>
  <c r="N208" i="7"/>
  <c r="O208" i="7"/>
  <c r="P208" i="7"/>
  <c r="Q208" i="7"/>
  <c r="R208" i="7"/>
  <c r="S208" i="7"/>
  <c r="T208" i="7"/>
  <c r="U208" i="7"/>
  <c r="V208" i="7"/>
  <c r="W208" i="7"/>
  <c r="X208" i="7"/>
  <c r="Y208" i="7"/>
  <c r="Z208" i="7"/>
  <c r="AE208" i="7"/>
  <c r="AF208" i="7"/>
  <c r="AG208" i="7"/>
  <c r="AH208" i="7"/>
  <c r="AI208" i="7"/>
  <c r="AJ208" i="7"/>
  <c r="AK208" i="7"/>
  <c r="N209" i="7"/>
  <c r="O209" i="7"/>
  <c r="P209" i="7"/>
  <c r="Q209" i="7"/>
  <c r="R209" i="7"/>
  <c r="S209" i="7"/>
  <c r="T209" i="7"/>
  <c r="U209" i="7"/>
  <c r="V209" i="7"/>
  <c r="W209" i="7"/>
  <c r="X209" i="7"/>
  <c r="Y209" i="7"/>
  <c r="Z209" i="7"/>
  <c r="AE209" i="7"/>
  <c r="AF209" i="7"/>
  <c r="AG209" i="7"/>
  <c r="AH209" i="7"/>
  <c r="AI209" i="7"/>
  <c r="AJ209" i="7"/>
  <c r="AK209" i="7"/>
  <c r="N210" i="7"/>
  <c r="O210" i="7"/>
  <c r="P210" i="7"/>
  <c r="Q210" i="7"/>
  <c r="R210" i="7"/>
  <c r="S210" i="7"/>
  <c r="T210" i="7"/>
  <c r="U210" i="7"/>
  <c r="V210" i="7"/>
  <c r="W210" i="7"/>
  <c r="X210" i="7"/>
  <c r="Y210" i="7"/>
  <c r="Z210" i="7"/>
  <c r="AE210" i="7"/>
  <c r="AF210" i="7"/>
  <c r="AG210" i="7"/>
  <c r="AH210" i="7"/>
  <c r="AI210" i="7"/>
  <c r="AJ210" i="7"/>
  <c r="AK210" i="7"/>
  <c r="N211" i="7"/>
  <c r="O211" i="7"/>
  <c r="P211" i="7"/>
  <c r="Q211" i="7"/>
  <c r="R211" i="7"/>
  <c r="S211" i="7"/>
  <c r="T211" i="7"/>
  <c r="U211" i="7"/>
  <c r="V211" i="7"/>
  <c r="W211" i="7"/>
  <c r="X211" i="7"/>
  <c r="Y211" i="7"/>
  <c r="Z211" i="7"/>
  <c r="AE211" i="7"/>
  <c r="AF211" i="7"/>
  <c r="AG211" i="7"/>
  <c r="AH211" i="7"/>
  <c r="AI211" i="7"/>
  <c r="AJ211" i="7"/>
  <c r="AK211" i="7"/>
  <c r="N212" i="7"/>
  <c r="O212" i="7"/>
  <c r="P212" i="7"/>
  <c r="Q212" i="7"/>
  <c r="R212" i="7"/>
  <c r="S212" i="7"/>
  <c r="T212" i="7"/>
  <c r="U212" i="7"/>
  <c r="V212" i="7"/>
  <c r="W212" i="7"/>
  <c r="X212" i="7"/>
  <c r="Y212" i="7"/>
  <c r="Z212" i="7"/>
  <c r="AE212" i="7"/>
  <c r="AF212" i="7"/>
  <c r="AG212" i="7"/>
  <c r="AH212" i="7"/>
  <c r="AI212" i="7"/>
  <c r="AJ212" i="7"/>
  <c r="AK212" i="7"/>
  <c r="N213" i="7"/>
  <c r="O213" i="7"/>
  <c r="P213" i="7"/>
  <c r="Q213" i="7"/>
  <c r="R213" i="7"/>
  <c r="S213" i="7"/>
  <c r="T213" i="7"/>
  <c r="U213" i="7"/>
  <c r="V213" i="7"/>
  <c r="W213" i="7"/>
  <c r="X213" i="7"/>
  <c r="Y213" i="7"/>
  <c r="Z213" i="7"/>
  <c r="AE213" i="7"/>
  <c r="AF213" i="7"/>
  <c r="AG213" i="7"/>
  <c r="AH213" i="7"/>
  <c r="AI213" i="7"/>
  <c r="AJ213" i="7"/>
  <c r="AK213" i="7"/>
  <c r="N214" i="7"/>
  <c r="O214" i="7"/>
  <c r="P214" i="7"/>
  <c r="Q214" i="7"/>
  <c r="R214" i="7"/>
  <c r="S214" i="7"/>
  <c r="T214" i="7"/>
  <c r="U214" i="7"/>
  <c r="V214" i="7"/>
  <c r="W214" i="7"/>
  <c r="X214" i="7"/>
  <c r="Y214" i="7"/>
  <c r="Z214" i="7"/>
  <c r="AE214" i="7"/>
  <c r="AF214" i="7"/>
  <c r="AG214" i="7"/>
  <c r="AH214" i="7"/>
  <c r="AI214" i="7"/>
  <c r="AJ214" i="7"/>
  <c r="AK214" i="7"/>
  <c r="N215" i="7"/>
  <c r="O215" i="7"/>
  <c r="P215" i="7"/>
  <c r="Q215" i="7"/>
  <c r="R215" i="7"/>
  <c r="S215" i="7"/>
  <c r="T215" i="7"/>
  <c r="U215" i="7"/>
  <c r="V215" i="7"/>
  <c r="W215" i="7"/>
  <c r="X215" i="7"/>
  <c r="Y215" i="7"/>
  <c r="Z215" i="7"/>
  <c r="AE215" i="7"/>
  <c r="AF215" i="7"/>
  <c r="AG215" i="7"/>
  <c r="AH215" i="7"/>
  <c r="AI215" i="7"/>
  <c r="AJ215" i="7"/>
  <c r="AK215" i="7"/>
  <c r="N216" i="7"/>
  <c r="O216" i="7"/>
  <c r="P216" i="7"/>
  <c r="Q216" i="7"/>
  <c r="R216" i="7"/>
  <c r="S216" i="7"/>
  <c r="T216" i="7"/>
  <c r="U216" i="7"/>
  <c r="V216" i="7"/>
  <c r="W216" i="7"/>
  <c r="X216" i="7"/>
  <c r="Y216" i="7"/>
  <c r="Z216" i="7"/>
  <c r="AE216" i="7"/>
  <c r="AF216" i="7"/>
  <c r="AG216" i="7"/>
  <c r="AH216" i="7"/>
  <c r="AI216" i="7"/>
  <c r="AJ216" i="7"/>
  <c r="AK216" i="7"/>
  <c r="N217" i="7"/>
  <c r="O217" i="7"/>
  <c r="P217" i="7"/>
  <c r="Q217" i="7"/>
  <c r="R217" i="7"/>
  <c r="S217" i="7"/>
  <c r="T217" i="7"/>
  <c r="U217" i="7"/>
  <c r="V217" i="7"/>
  <c r="W217" i="7"/>
  <c r="X217" i="7"/>
  <c r="Y217" i="7"/>
  <c r="Z217" i="7"/>
  <c r="AE217" i="7"/>
  <c r="AF217" i="7"/>
  <c r="AG217" i="7"/>
  <c r="AH217" i="7"/>
  <c r="AI217" i="7"/>
  <c r="AJ217" i="7"/>
  <c r="AK217" i="7"/>
  <c r="N218" i="7"/>
  <c r="O218" i="7"/>
  <c r="P218" i="7"/>
  <c r="Q218" i="7"/>
  <c r="R218" i="7"/>
  <c r="S218" i="7"/>
  <c r="T218" i="7"/>
  <c r="U218" i="7"/>
  <c r="V218" i="7"/>
  <c r="W218" i="7"/>
  <c r="X218" i="7"/>
  <c r="Y218" i="7"/>
  <c r="Z218" i="7"/>
  <c r="AE218" i="7"/>
  <c r="AF218" i="7"/>
  <c r="AG218" i="7"/>
  <c r="AH218" i="7"/>
  <c r="AI218" i="7"/>
  <c r="AJ218" i="7"/>
  <c r="AK218" i="7"/>
  <c r="N219" i="7"/>
  <c r="O219" i="7"/>
  <c r="P219" i="7"/>
  <c r="Q219" i="7"/>
  <c r="R219" i="7"/>
  <c r="S219" i="7"/>
  <c r="T219" i="7"/>
  <c r="U219" i="7"/>
  <c r="V219" i="7"/>
  <c r="W219" i="7"/>
  <c r="X219" i="7"/>
  <c r="Y219" i="7"/>
  <c r="Z219" i="7"/>
  <c r="AE219" i="7"/>
  <c r="AF219" i="7"/>
  <c r="AG219" i="7"/>
  <c r="AH219" i="7"/>
  <c r="AI219" i="7"/>
  <c r="AJ219" i="7"/>
  <c r="AK219" i="7"/>
  <c r="N220" i="7"/>
  <c r="O220" i="7"/>
  <c r="P220" i="7"/>
  <c r="Q220" i="7"/>
  <c r="R220" i="7"/>
  <c r="S220" i="7"/>
  <c r="T220" i="7"/>
  <c r="U220" i="7"/>
  <c r="V220" i="7"/>
  <c r="W220" i="7"/>
  <c r="X220" i="7"/>
  <c r="Y220" i="7"/>
  <c r="Z220" i="7"/>
  <c r="AE220" i="7"/>
  <c r="AF220" i="7"/>
  <c r="AG220" i="7"/>
  <c r="AH220" i="7"/>
  <c r="AI220" i="7"/>
  <c r="AJ220" i="7"/>
  <c r="AK220" i="7"/>
  <c r="N221" i="7"/>
  <c r="O221" i="7"/>
  <c r="P221" i="7"/>
  <c r="Q221" i="7"/>
  <c r="R221" i="7"/>
  <c r="S221" i="7"/>
  <c r="T221" i="7"/>
  <c r="U221" i="7"/>
  <c r="V221" i="7"/>
  <c r="W221" i="7"/>
  <c r="X221" i="7"/>
  <c r="Y221" i="7"/>
  <c r="Z221" i="7"/>
  <c r="AE221" i="7"/>
  <c r="AF221" i="7"/>
  <c r="AG221" i="7"/>
  <c r="AH221" i="7"/>
  <c r="AI221" i="7"/>
  <c r="AJ221" i="7"/>
  <c r="AK221" i="7"/>
  <c r="N222" i="7"/>
  <c r="O222" i="7"/>
  <c r="P222" i="7"/>
  <c r="Q222" i="7"/>
  <c r="R222" i="7"/>
  <c r="S222" i="7"/>
  <c r="T222" i="7"/>
  <c r="U222" i="7"/>
  <c r="V222" i="7"/>
  <c r="W222" i="7"/>
  <c r="X222" i="7"/>
  <c r="Y222" i="7"/>
  <c r="Z222" i="7"/>
  <c r="AE222" i="7"/>
  <c r="AF222" i="7"/>
  <c r="AG222" i="7"/>
  <c r="AH222" i="7"/>
  <c r="AI222" i="7"/>
  <c r="AJ222" i="7"/>
  <c r="AK222" i="7"/>
  <c r="N223" i="7"/>
  <c r="O223" i="7"/>
  <c r="P223" i="7"/>
  <c r="Q223" i="7"/>
  <c r="R223" i="7"/>
  <c r="S223" i="7"/>
  <c r="T223" i="7"/>
  <c r="U223" i="7"/>
  <c r="V223" i="7"/>
  <c r="W223" i="7"/>
  <c r="X223" i="7"/>
  <c r="Y223" i="7"/>
  <c r="Z223" i="7"/>
  <c r="AE223" i="7"/>
  <c r="AF223" i="7"/>
  <c r="AG223" i="7"/>
  <c r="AH223" i="7"/>
  <c r="AI223" i="7"/>
  <c r="AJ223" i="7"/>
  <c r="AK223" i="7"/>
  <c r="N224" i="7"/>
  <c r="O224" i="7"/>
  <c r="P224" i="7"/>
  <c r="Q224" i="7"/>
  <c r="R224" i="7"/>
  <c r="S224" i="7"/>
  <c r="T224" i="7"/>
  <c r="U224" i="7"/>
  <c r="V224" i="7"/>
  <c r="W224" i="7"/>
  <c r="X224" i="7"/>
  <c r="Y224" i="7"/>
  <c r="Z224" i="7"/>
  <c r="AE224" i="7"/>
  <c r="AF224" i="7"/>
  <c r="AG224" i="7"/>
  <c r="AH224" i="7"/>
  <c r="AI224" i="7"/>
  <c r="AJ224" i="7"/>
  <c r="AK224" i="7"/>
  <c r="N225" i="7"/>
  <c r="O225" i="7"/>
  <c r="P225" i="7"/>
  <c r="Q225" i="7"/>
  <c r="R225" i="7"/>
  <c r="S225" i="7"/>
  <c r="T225" i="7"/>
  <c r="U225" i="7"/>
  <c r="V225" i="7"/>
  <c r="W225" i="7"/>
  <c r="X225" i="7"/>
  <c r="Y225" i="7"/>
  <c r="Z225" i="7"/>
  <c r="AE225" i="7"/>
  <c r="AF225" i="7"/>
  <c r="AG225" i="7"/>
  <c r="AH225" i="7"/>
  <c r="AI225" i="7"/>
  <c r="AJ225" i="7"/>
  <c r="AK225" i="7"/>
  <c r="N226" i="7"/>
  <c r="O226" i="7"/>
  <c r="P226" i="7"/>
  <c r="Q226" i="7"/>
  <c r="R226" i="7"/>
  <c r="S226" i="7"/>
  <c r="T226" i="7"/>
  <c r="U226" i="7"/>
  <c r="V226" i="7"/>
  <c r="W226" i="7"/>
  <c r="X226" i="7"/>
  <c r="Y226" i="7"/>
  <c r="Z226" i="7"/>
  <c r="AE226" i="7"/>
  <c r="AF226" i="7"/>
  <c r="AG226" i="7"/>
  <c r="AH226" i="7"/>
  <c r="AI226" i="7"/>
  <c r="AJ226" i="7"/>
  <c r="AK226" i="7"/>
  <c r="N227" i="7"/>
  <c r="O227" i="7"/>
  <c r="P227" i="7"/>
  <c r="Q227" i="7"/>
  <c r="R227" i="7"/>
  <c r="S227" i="7"/>
  <c r="T227" i="7"/>
  <c r="U227" i="7"/>
  <c r="V227" i="7"/>
  <c r="W227" i="7"/>
  <c r="X227" i="7"/>
  <c r="Y227" i="7"/>
  <c r="Z227" i="7"/>
  <c r="AE227" i="7"/>
  <c r="AF227" i="7"/>
  <c r="AG227" i="7"/>
  <c r="AH227" i="7"/>
  <c r="AI227" i="7"/>
  <c r="AJ227" i="7"/>
  <c r="AK227" i="7"/>
  <c r="N228" i="7"/>
  <c r="O228" i="7"/>
  <c r="P228" i="7"/>
  <c r="Q228" i="7"/>
  <c r="R228" i="7"/>
  <c r="S228" i="7"/>
  <c r="T228" i="7"/>
  <c r="U228" i="7"/>
  <c r="V228" i="7"/>
  <c r="W228" i="7"/>
  <c r="X228" i="7"/>
  <c r="Y228" i="7"/>
  <c r="Z228" i="7"/>
  <c r="AE228" i="7"/>
  <c r="AF228" i="7"/>
  <c r="AG228" i="7"/>
  <c r="AH228" i="7"/>
  <c r="AI228" i="7"/>
  <c r="AJ228" i="7"/>
  <c r="AK228" i="7"/>
  <c r="N229" i="7"/>
  <c r="O229" i="7"/>
  <c r="P229" i="7"/>
  <c r="Q229" i="7"/>
  <c r="R229" i="7"/>
  <c r="S229" i="7"/>
  <c r="T229" i="7"/>
  <c r="U229" i="7"/>
  <c r="V229" i="7"/>
  <c r="W229" i="7"/>
  <c r="X229" i="7"/>
  <c r="Y229" i="7"/>
  <c r="Z229" i="7"/>
  <c r="AE229" i="7"/>
  <c r="AF229" i="7"/>
  <c r="AG229" i="7"/>
  <c r="AH229" i="7"/>
  <c r="AI229" i="7"/>
  <c r="AJ229" i="7"/>
  <c r="AK229" i="7"/>
  <c r="N230" i="7"/>
  <c r="O230" i="7"/>
  <c r="P230" i="7"/>
  <c r="Q230" i="7"/>
  <c r="R230" i="7"/>
  <c r="S230" i="7"/>
  <c r="T230" i="7"/>
  <c r="U230" i="7"/>
  <c r="V230" i="7"/>
  <c r="W230" i="7"/>
  <c r="X230" i="7"/>
  <c r="Y230" i="7"/>
  <c r="Z230" i="7"/>
  <c r="AE230" i="7"/>
  <c r="AF230" i="7"/>
  <c r="AG230" i="7"/>
  <c r="AH230" i="7"/>
  <c r="AI230" i="7"/>
  <c r="AJ230" i="7"/>
  <c r="AK230" i="7"/>
  <c r="N231" i="7"/>
  <c r="O231" i="7"/>
  <c r="P231" i="7"/>
  <c r="Q231" i="7"/>
  <c r="R231" i="7"/>
  <c r="S231" i="7"/>
  <c r="T231" i="7"/>
  <c r="U231" i="7"/>
  <c r="V231" i="7"/>
  <c r="W231" i="7"/>
  <c r="X231" i="7"/>
  <c r="Y231" i="7"/>
  <c r="Z231" i="7"/>
  <c r="AE231" i="7"/>
  <c r="AF231" i="7"/>
  <c r="AG231" i="7"/>
  <c r="AH231" i="7"/>
  <c r="AI231" i="7"/>
  <c r="AJ231" i="7"/>
  <c r="AK231" i="7"/>
  <c r="N232" i="7"/>
  <c r="O232" i="7"/>
  <c r="P232" i="7"/>
  <c r="Q232" i="7"/>
  <c r="R232" i="7"/>
  <c r="S232" i="7"/>
  <c r="T232" i="7"/>
  <c r="U232" i="7"/>
  <c r="V232" i="7"/>
  <c r="W232" i="7"/>
  <c r="X232" i="7"/>
  <c r="Y232" i="7"/>
  <c r="Z232" i="7"/>
  <c r="AE232" i="7"/>
  <c r="AF232" i="7"/>
  <c r="AG232" i="7"/>
  <c r="AH232" i="7"/>
  <c r="AI232" i="7"/>
  <c r="AJ232" i="7"/>
  <c r="AK232" i="7"/>
  <c r="N233" i="7"/>
  <c r="O233" i="7"/>
  <c r="P233" i="7"/>
  <c r="Q233" i="7"/>
  <c r="R233" i="7"/>
  <c r="S233" i="7"/>
  <c r="T233" i="7"/>
  <c r="U233" i="7"/>
  <c r="V233" i="7"/>
  <c r="W233" i="7"/>
  <c r="X233" i="7"/>
  <c r="Y233" i="7"/>
  <c r="Z233" i="7"/>
  <c r="AE233" i="7"/>
  <c r="AF233" i="7"/>
  <c r="AG233" i="7"/>
  <c r="AH233" i="7"/>
  <c r="AI233" i="7"/>
  <c r="AJ233" i="7"/>
  <c r="AK233" i="7"/>
  <c r="N234" i="7"/>
  <c r="O234" i="7"/>
  <c r="P234" i="7"/>
  <c r="Q234" i="7"/>
  <c r="R234" i="7"/>
  <c r="S234" i="7"/>
  <c r="T234" i="7"/>
  <c r="U234" i="7"/>
  <c r="V234" i="7"/>
  <c r="W234" i="7"/>
  <c r="X234" i="7"/>
  <c r="Y234" i="7"/>
  <c r="Z234" i="7"/>
  <c r="AE234" i="7"/>
  <c r="AF234" i="7"/>
  <c r="AG234" i="7"/>
  <c r="AH234" i="7"/>
  <c r="AI234" i="7"/>
  <c r="AJ234" i="7"/>
  <c r="AK234" i="7"/>
  <c r="N235" i="7"/>
  <c r="O235" i="7"/>
  <c r="P235" i="7"/>
  <c r="Q235" i="7"/>
  <c r="R235" i="7"/>
  <c r="S235" i="7"/>
  <c r="T235" i="7"/>
  <c r="U235" i="7"/>
  <c r="V235" i="7"/>
  <c r="W235" i="7"/>
  <c r="X235" i="7"/>
  <c r="Y235" i="7"/>
  <c r="Z235" i="7"/>
  <c r="AE235" i="7"/>
  <c r="AF235" i="7"/>
  <c r="AG235" i="7"/>
  <c r="AH235" i="7"/>
  <c r="AI235" i="7"/>
  <c r="AJ235" i="7"/>
  <c r="AK235" i="7"/>
  <c r="N236" i="7"/>
  <c r="O236" i="7"/>
  <c r="P236" i="7"/>
  <c r="Q236" i="7"/>
  <c r="R236" i="7"/>
  <c r="S236" i="7"/>
  <c r="T236" i="7"/>
  <c r="U236" i="7"/>
  <c r="V236" i="7"/>
  <c r="W236" i="7"/>
  <c r="X236" i="7"/>
  <c r="Y236" i="7"/>
  <c r="Z236" i="7"/>
  <c r="AE236" i="7"/>
  <c r="AF236" i="7"/>
  <c r="AG236" i="7"/>
  <c r="AH236" i="7"/>
  <c r="AI236" i="7"/>
  <c r="AJ236" i="7"/>
  <c r="AK236" i="7"/>
  <c r="N237" i="7"/>
  <c r="O237" i="7"/>
  <c r="P237" i="7"/>
  <c r="Q237" i="7"/>
  <c r="R237" i="7"/>
  <c r="S237" i="7"/>
  <c r="T237" i="7"/>
  <c r="U237" i="7"/>
  <c r="V237" i="7"/>
  <c r="W237" i="7"/>
  <c r="X237" i="7"/>
  <c r="Y237" i="7"/>
  <c r="Z237" i="7"/>
  <c r="AE237" i="7"/>
  <c r="AF237" i="7"/>
  <c r="AG237" i="7"/>
  <c r="AH237" i="7"/>
  <c r="AI237" i="7"/>
  <c r="AJ237" i="7"/>
  <c r="AK237" i="7"/>
  <c r="N238" i="7"/>
  <c r="O238" i="7"/>
  <c r="P238" i="7"/>
  <c r="Q238" i="7"/>
  <c r="R238" i="7"/>
  <c r="S238" i="7"/>
  <c r="T238" i="7"/>
  <c r="U238" i="7"/>
  <c r="V238" i="7"/>
  <c r="W238" i="7"/>
  <c r="X238" i="7"/>
  <c r="Y238" i="7"/>
  <c r="Z238" i="7"/>
  <c r="AE238" i="7"/>
  <c r="AF238" i="7"/>
  <c r="AG238" i="7"/>
  <c r="AH238" i="7"/>
  <c r="AI238" i="7"/>
  <c r="AJ238" i="7"/>
  <c r="AK238" i="7"/>
  <c r="N239" i="7"/>
  <c r="O239" i="7"/>
  <c r="P239" i="7"/>
  <c r="Q239" i="7"/>
  <c r="R239" i="7"/>
  <c r="S239" i="7"/>
  <c r="T239" i="7"/>
  <c r="U239" i="7"/>
  <c r="V239" i="7"/>
  <c r="W239" i="7"/>
  <c r="X239" i="7"/>
  <c r="Y239" i="7"/>
  <c r="Z239" i="7"/>
  <c r="AE239" i="7"/>
  <c r="AF239" i="7"/>
  <c r="AG239" i="7"/>
  <c r="AH239" i="7"/>
  <c r="AI239" i="7"/>
  <c r="AJ239" i="7"/>
  <c r="AK239" i="7"/>
  <c r="N240" i="7"/>
  <c r="O240" i="7"/>
  <c r="P240" i="7"/>
  <c r="Q240" i="7"/>
  <c r="R240" i="7"/>
  <c r="S240" i="7"/>
  <c r="T240" i="7"/>
  <c r="U240" i="7"/>
  <c r="V240" i="7"/>
  <c r="W240" i="7"/>
  <c r="X240" i="7"/>
  <c r="Y240" i="7"/>
  <c r="Z240" i="7"/>
  <c r="AE240" i="7"/>
  <c r="AF240" i="7"/>
  <c r="AG240" i="7"/>
  <c r="AH240" i="7"/>
  <c r="AI240" i="7"/>
  <c r="AJ240" i="7"/>
  <c r="AK240" i="7"/>
  <c r="N241" i="7"/>
  <c r="O241" i="7"/>
  <c r="P241" i="7"/>
  <c r="Q241" i="7"/>
  <c r="R241" i="7"/>
  <c r="S241" i="7"/>
  <c r="T241" i="7"/>
  <c r="U241" i="7"/>
  <c r="V241" i="7"/>
  <c r="W241" i="7"/>
  <c r="X241" i="7"/>
  <c r="Y241" i="7"/>
  <c r="Z241" i="7"/>
  <c r="AE241" i="7"/>
  <c r="AF241" i="7"/>
  <c r="AG241" i="7"/>
  <c r="AH241" i="7"/>
  <c r="AI241" i="7"/>
  <c r="AJ241" i="7"/>
  <c r="AK241" i="7"/>
  <c r="N242" i="7"/>
  <c r="O242" i="7"/>
  <c r="P242" i="7"/>
  <c r="Q242" i="7"/>
  <c r="R242" i="7"/>
  <c r="S242" i="7"/>
  <c r="T242" i="7"/>
  <c r="U242" i="7"/>
  <c r="V242" i="7"/>
  <c r="W242" i="7"/>
  <c r="X242" i="7"/>
  <c r="Y242" i="7"/>
  <c r="Z242" i="7"/>
  <c r="AE242" i="7"/>
  <c r="AF242" i="7"/>
  <c r="AG242" i="7"/>
  <c r="AH242" i="7"/>
  <c r="AI242" i="7"/>
  <c r="AJ242" i="7"/>
  <c r="AK242" i="7"/>
  <c r="N243" i="7"/>
  <c r="O243" i="7"/>
  <c r="P243" i="7"/>
  <c r="Q243" i="7"/>
  <c r="R243" i="7"/>
  <c r="S243" i="7"/>
  <c r="T243" i="7"/>
  <c r="U243" i="7"/>
  <c r="V243" i="7"/>
  <c r="W243" i="7"/>
  <c r="X243" i="7"/>
  <c r="Y243" i="7"/>
  <c r="Z243" i="7"/>
  <c r="AE243" i="7"/>
  <c r="AF243" i="7"/>
  <c r="AG243" i="7"/>
  <c r="AH243" i="7"/>
  <c r="AI243" i="7"/>
  <c r="AJ243" i="7"/>
  <c r="AK243" i="7"/>
  <c r="N244" i="7"/>
  <c r="O244" i="7"/>
  <c r="P244" i="7"/>
  <c r="Q244" i="7"/>
  <c r="R244" i="7"/>
  <c r="S244" i="7"/>
  <c r="T244" i="7"/>
  <c r="U244" i="7"/>
  <c r="V244" i="7"/>
  <c r="W244" i="7"/>
  <c r="X244" i="7"/>
  <c r="Y244" i="7"/>
  <c r="Z244" i="7"/>
  <c r="AE244" i="7"/>
  <c r="AF244" i="7"/>
  <c r="AG244" i="7"/>
  <c r="AH244" i="7"/>
  <c r="AI244" i="7"/>
  <c r="AJ244" i="7"/>
  <c r="AK244" i="7"/>
  <c r="N245" i="7"/>
  <c r="O245" i="7"/>
  <c r="P245" i="7"/>
  <c r="Q245" i="7"/>
  <c r="R245" i="7"/>
  <c r="S245" i="7"/>
  <c r="T245" i="7"/>
  <c r="U245" i="7"/>
  <c r="V245" i="7"/>
  <c r="W245" i="7"/>
  <c r="X245" i="7"/>
  <c r="Y245" i="7"/>
  <c r="Z245" i="7"/>
  <c r="AE245" i="7"/>
  <c r="AF245" i="7"/>
  <c r="AG245" i="7"/>
  <c r="AH245" i="7"/>
  <c r="AI245" i="7"/>
  <c r="AJ245" i="7"/>
  <c r="AK245" i="7"/>
  <c r="N246" i="7"/>
  <c r="O246" i="7"/>
  <c r="P246" i="7"/>
  <c r="Q246" i="7"/>
  <c r="R246" i="7"/>
  <c r="S246" i="7"/>
  <c r="T246" i="7"/>
  <c r="U246" i="7"/>
  <c r="V246" i="7"/>
  <c r="W246" i="7"/>
  <c r="X246" i="7"/>
  <c r="Y246" i="7"/>
  <c r="Z246" i="7"/>
  <c r="AE246" i="7"/>
  <c r="AF246" i="7"/>
  <c r="AG246" i="7"/>
  <c r="AH246" i="7"/>
  <c r="AI246" i="7"/>
  <c r="AJ246" i="7"/>
  <c r="AK246" i="7"/>
  <c r="N247" i="7"/>
  <c r="O247" i="7"/>
  <c r="P247" i="7"/>
  <c r="Q247" i="7"/>
  <c r="R247" i="7"/>
  <c r="S247" i="7"/>
  <c r="T247" i="7"/>
  <c r="U247" i="7"/>
  <c r="V247" i="7"/>
  <c r="W247" i="7"/>
  <c r="X247" i="7"/>
  <c r="Y247" i="7"/>
  <c r="Z247" i="7"/>
  <c r="AE247" i="7"/>
  <c r="AF247" i="7"/>
  <c r="AG247" i="7"/>
  <c r="AH247" i="7"/>
  <c r="AI247" i="7"/>
  <c r="AJ247" i="7"/>
  <c r="AK247" i="7"/>
  <c r="N248" i="7"/>
  <c r="O248" i="7"/>
  <c r="P248" i="7"/>
  <c r="Q248" i="7"/>
  <c r="R248" i="7"/>
  <c r="S248" i="7"/>
  <c r="T248" i="7"/>
  <c r="U248" i="7"/>
  <c r="V248" i="7"/>
  <c r="W248" i="7"/>
  <c r="X248" i="7"/>
  <c r="Y248" i="7"/>
  <c r="Z248" i="7"/>
  <c r="AE248" i="7"/>
  <c r="AF248" i="7"/>
  <c r="AG248" i="7"/>
  <c r="AH248" i="7"/>
  <c r="AI248" i="7"/>
  <c r="AJ248" i="7"/>
  <c r="AK248" i="7"/>
  <c r="N249" i="7"/>
  <c r="O249" i="7"/>
  <c r="P249" i="7"/>
  <c r="Q249" i="7"/>
  <c r="R249" i="7"/>
  <c r="S249" i="7"/>
  <c r="T249" i="7"/>
  <c r="U249" i="7"/>
  <c r="V249" i="7"/>
  <c r="W249" i="7"/>
  <c r="X249" i="7"/>
  <c r="Y249" i="7"/>
  <c r="Z249" i="7"/>
  <c r="AE249" i="7"/>
  <c r="AF249" i="7"/>
  <c r="AG249" i="7"/>
  <c r="AH249" i="7"/>
  <c r="AI249" i="7"/>
  <c r="AJ249" i="7"/>
  <c r="AK249" i="7"/>
  <c r="N250" i="7"/>
  <c r="O250" i="7"/>
  <c r="P250" i="7"/>
  <c r="Q250" i="7"/>
  <c r="R250" i="7"/>
  <c r="S250" i="7"/>
  <c r="T250" i="7"/>
  <c r="U250" i="7"/>
  <c r="V250" i="7"/>
  <c r="W250" i="7"/>
  <c r="X250" i="7"/>
  <c r="Y250" i="7"/>
  <c r="Z250" i="7"/>
  <c r="AE250" i="7"/>
  <c r="AF250" i="7"/>
  <c r="AG250" i="7"/>
  <c r="AH250" i="7"/>
  <c r="AI250" i="7"/>
  <c r="AJ250" i="7"/>
  <c r="AK250" i="7"/>
  <c r="N251" i="7"/>
  <c r="O251" i="7"/>
  <c r="P251" i="7"/>
  <c r="Q251" i="7"/>
  <c r="R251" i="7"/>
  <c r="S251" i="7"/>
  <c r="T251" i="7"/>
  <c r="U251" i="7"/>
  <c r="V251" i="7"/>
  <c r="W251" i="7"/>
  <c r="X251" i="7"/>
  <c r="Y251" i="7"/>
  <c r="Z251" i="7"/>
  <c r="AE251" i="7"/>
  <c r="AF251" i="7"/>
  <c r="AG251" i="7"/>
  <c r="AH251" i="7"/>
  <c r="AI251" i="7"/>
  <c r="AJ251" i="7"/>
  <c r="AK251" i="7"/>
  <c r="N252" i="7"/>
  <c r="O252" i="7"/>
  <c r="P252" i="7"/>
  <c r="Q252" i="7"/>
  <c r="R252" i="7"/>
  <c r="S252" i="7"/>
  <c r="T252" i="7"/>
  <c r="U252" i="7"/>
  <c r="V252" i="7"/>
  <c r="W252" i="7"/>
  <c r="X252" i="7"/>
  <c r="Y252" i="7"/>
  <c r="Z252" i="7"/>
  <c r="AE252" i="7"/>
  <c r="AF252" i="7"/>
  <c r="AG252" i="7"/>
  <c r="AH252" i="7"/>
  <c r="AI252" i="7"/>
  <c r="AJ252" i="7"/>
  <c r="AK252" i="7"/>
  <c r="N253" i="7"/>
  <c r="O253" i="7"/>
  <c r="P253" i="7"/>
  <c r="Q253" i="7"/>
  <c r="R253" i="7"/>
  <c r="S253" i="7"/>
  <c r="T253" i="7"/>
  <c r="U253" i="7"/>
  <c r="V253" i="7"/>
  <c r="W253" i="7"/>
  <c r="X253" i="7"/>
  <c r="Y253" i="7"/>
  <c r="Z253" i="7"/>
  <c r="AE253" i="7"/>
  <c r="AF253" i="7"/>
  <c r="AG253" i="7"/>
  <c r="AH253" i="7"/>
  <c r="AI253" i="7"/>
  <c r="AJ253" i="7"/>
  <c r="AK253" i="7"/>
  <c r="N254" i="7"/>
  <c r="O254" i="7"/>
  <c r="P254" i="7"/>
  <c r="Q254" i="7"/>
  <c r="R254" i="7"/>
  <c r="S254" i="7"/>
  <c r="T254" i="7"/>
  <c r="U254" i="7"/>
  <c r="V254" i="7"/>
  <c r="W254" i="7"/>
  <c r="X254" i="7"/>
  <c r="Y254" i="7"/>
  <c r="Z254" i="7"/>
  <c r="AE254" i="7"/>
  <c r="AF254" i="7"/>
  <c r="AG254" i="7"/>
  <c r="AH254" i="7"/>
  <c r="AI254" i="7"/>
  <c r="AJ254" i="7"/>
  <c r="AK254" i="7"/>
  <c r="N255" i="7"/>
  <c r="O255" i="7"/>
  <c r="P255" i="7"/>
  <c r="Q255" i="7"/>
  <c r="R255" i="7"/>
  <c r="S255" i="7"/>
  <c r="T255" i="7"/>
  <c r="U255" i="7"/>
  <c r="V255" i="7"/>
  <c r="W255" i="7"/>
  <c r="X255" i="7"/>
  <c r="Y255" i="7"/>
  <c r="Z255" i="7"/>
  <c r="AE255" i="7"/>
  <c r="AF255" i="7"/>
  <c r="AG255" i="7"/>
  <c r="AH255" i="7"/>
  <c r="AI255" i="7"/>
  <c r="AJ255" i="7"/>
  <c r="AK255" i="7"/>
  <c r="N256" i="7"/>
  <c r="O256" i="7"/>
  <c r="P256" i="7"/>
  <c r="Q256" i="7"/>
  <c r="R256" i="7"/>
  <c r="S256" i="7"/>
  <c r="T256" i="7"/>
  <c r="U256" i="7"/>
  <c r="V256" i="7"/>
  <c r="W256" i="7"/>
  <c r="X256" i="7"/>
  <c r="Y256" i="7"/>
  <c r="Z256" i="7"/>
  <c r="AE256" i="7"/>
  <c r="AF256" i="7"/>
  <c r="AG256" i="7"/>
  <c r="AH256" i="7"/>
  <c r="AI256" i="7"/>
  <c r="AJ256" i="7"/>
  <c r="AK256" i="7"/>
  <c r="N257" i="7"/>
  <c r="O257" i="7"/>
  <c r="P257" i="7"/>
  <c r="Q257" i="7"/>
  <c r="R257" i="7"/>
  <c r="S257" i="7"/>
  <c r="T257" i="7"/>
  <c r="U257" i="7"/>
  <c r="V257" i="7"/>
  <c r="W257" i="7"/>
  <c r="X257" i="7"/>
  <c r="Y257" i="7"/>
  <c r="Z257" i="7"/>
  <c r="AE257" i="7"/>
  <c r="AF257" i="7"/>
  <c r="AG257" i="7"/>
  <c r="AH257" i="7"/>
  <c r="AI257" i="7"/>
  <c r="AJ257" i="7"/>
  <c r="AK257" i="7"/>
  <c r="N258" i="7"/>
  <c r="O258" i="7"/>
  <c r="P258" i="7"/>
  <c r="Q258" i="7"/>
  <c r="R258" i="7"/>
  <c r="S258" i="7"/>
  <c r="T258" i="7"/>
  <c r="U258" i="7"/>
  <c r="V258" i="7"/>
  <c r="W258" i="7"/>
  <c r="X258" i="7"/>
  <c r="Y258" i="7"/>
  <c r="Z258" i="7"/>
  <c r="AE258" i="7"/>
  <c r="AF258" i="7"/>
  <c r="AG258" i="7"/>
  <c r="AH258" i="7"/>
  <c r="AI258" i="7"/>
  <c r="AJ258" i="7"/>
  <c r="AK258" i="7"/>
  <c r="N259" i="7"/>
  <c r="O259" i="7"/>
  <c r="P259" i="7"/>
  <c r="Q259" i="7"/>
  <c r="R259" i="7"/>
  <c r="S259" i="7"/>
  <c r="T259" i="7"/>
  <c r="U259" i="7"/>
  <c r="V259" i="7"/>
  <c r="W259" i="7"/>
  <c r="X259" i="7"/>
  <c r="Y259" i="7"/>
  <c r="Z259" i="7"/>
  <c r="AE259" i="7"/>
  <c r="AF259" i="7"/>
  <c r="AG259" i="7"/>
  <c r="AH259" i="7"/>
  <c r="AI259" i="7"/>
  <c r="AJ259" i="7"/>
  <c r="AK259" i="7"/>
  <c r="N260" i="7"/>
  <c r="O260" i="7"/>
  <c r="P260" i="7"/>
  <c r="Q260" i="7"/>
  <c r="R260" i="7"/>
  <c r="S260" i="7"/>
  <c r="T260" i="7"/>
  <c r="U260" i="7"/>
  <c r="V260" i="7"/>
  <c r="W260" i="7"/>
  <c r="X260" i="7"/>
  <c r="Y260" i="7"/>
  <c r="Z260" i="7"/>
  <c r="AE260" i="7"/>
  <c r="AF260" i="7"/>
  <c r="AG260" i="7"/>
  <c r="AH260" i="7"/>
  <c r="AI260" i="7"/>
  <c r="AJ260" i="7"/>
  <c r="AK260" i="7"/>
  <c r="N261" i="7"/>
  <c r="O261" i="7"/>
  <c r="P261" i="7"/>
  <c r="Q261" i="7"/>
  <c r="R261" i="7"/>
  <c r="S261" i="7"/>
  <c r="T261" i="7"/>
  <c r="U261" i="7"/>
  <c r="V261" i="7"/>
  <c r="W261" i="7"/>
  <c r="X261" i="7"/>
  <c r="Y261" i="7"/>
  <c r="Z261" i="7"/>
  <c r="AE261" i="7"/>
  <c r="AF261" i="7"/>
  <c r="AG261" i="7"/>
  <c r="AH261" i="7"/>
  <c r="AI261" i="7"/>
  <c r="AJ261" i="7"/>
  <c r="AK261" i="7"/>
  <c r="N262" i="7"/>
  <c r="O262" i="7"/>
  <c r="P262" i="7"/>
  <c r="Q262" i="7"/>
  <c r="R262" i="7"/>
  <c r="S262" i="7"/>
  <c r="T262" i="7"/>
  <c r="U262" i="7"/>
  <c r="V262" i="7"/>
  <c r="W262" i="7"/>
  <c r="X262" i="7"/>
  <c r="Y262" i="7"/>
  <c r="Z262" i="7"/>
  <c r="AE262" i="7"/>
  <c r="AF262" i="7"/>
  <c r="AG262" i="7"/>
  <c r="AH262" i="7"/>
  <c r="AI262" i="7"/>
  <c r="AJ262" i="7"/>
  <c r="AK262" i="7"/>
  <c r="N263" i="7"/>
  <c r="O263" i="7"/>
  <c r="P263" i="7"/>
  <c r="Q263" i="7"/>
  <c r="R263" i="7"/>
  <c r="S263" i="7"/>
  <c r="T263" i="7"/>
  <c r="U263" i="7"/>
  <c r="V263" i="7"/>
  <c r="W263" i="7"/>
  <c r="X263" i="7"/>
  <c r="Y263" i="7"/>
  <c r="Z263" i="7"/>
  <c r="AE263" i="7"/>
  <c r="AF263" i="7"/>
  <c r="AG263" i="7"/>
  <c r="AH263" i="7"/>
  <c r="AI263" i="7"/>
  <c r="AJ263" i="7"/>
  <c r="AK263" i="7"/>
  <c r="N264" i="7"/>
  <c r="O264" i="7"/>
  <c r="P264" i="7"/>
  <c r="Q264" i="7"/>
  <c r="R264" i="7"/>
  <c r="S264" i="7"/>
  <c r="T264" i="7"/>
  <c r="U264" i="7"/>
  <c r="V264" i="7"/>
  <c r="W264" i="7"/>
  <c r="X264" i="7"/>
  <c r="Y264" i="7"/>
  <c r="Z264" i="7"/>
  <c r="AE264" i="7"/>
  <c r="AF264" i="7"/>
  <c r="AG264" i="7"/>
  <c r="AH264" i="7"/>
  <c r="AI264" i="7"/>
  <c r="AJ264" i="7"/>
  <c r="AK264" i="7"/>
  <c r="N265" i="7"/>
  <c r="O265" i="7"/>
  <c r="P265" i="7"/>
  <c r="Q265" i="7"/>
  <c r="R265" i="7"/>
  <c r="S265" i="7"/>
  <c r="T265" i="7"/>
  <c r="U265" i="7"/>
  <c r="V265" i="7"/>
  <c r="W265" i="7"/>
  <c r="X265" i="7"/>
  <c r="Y265" i="7"/>
  <c r="Z265" i="7"/>
  <c r="AE265" i="7"/>
  <c r="AF265" i="7"/>
  <c r="AG265" i="7"/>
  <c r="AH265" i="7"/>
  <c r="AI265" i="7"/>
  <c r="AJ265" i="7"/>
  <c r="AK265" i="7"/>
  <c r="N266" i="7"/>
  <c r="O266" i="7"/>
  <c r="P266" i="7"/>
  <c r="Q266" i="7"/>
  <c r="R266" i="7"/>
  <c r="S266" i="7"/>
  <c r="T266" i="7"/>
  <c r="U266" i="7"/>
  <c r="V266" i="7"/>
  <c r="W266" i="7"/>
  <c r="X266" i="7"/>
  <c r="Y266" i="7"/>
  <c r="Z266" i="7"/>
  <c r="AE266" i="7"/>
  <c r="AF266" i="7"/>
  <c r="AG266" i="7"/>
  <c r="AH266" i="7"/>
  <c r="AI266" i="7"/>
  <c r="AJ266" i="7"/>
  <c r="AK266" i="7"/>
  <c r="N267" i="7"/>
  <c r="O267" i="7"/>
  <c r="P267" i="7"/>
  <c r="Q267" i="7"/>
  <c r="R267" i="7"/>
  <c r="S267" i="7"/>
  <c r="T267" i="7"/>
  <c r="U267" i="7"/>
  <c r="V267" i="7"/>
  <c r="W267" i="7"/>
  <c r="X267" i="7"/>
  <c r="Y267" i="7"/>
  <c r="Z267" i="7"/>
  <c r="AE267" i="7"/>
  <c r="AF267" i="7"/>
  <c r="AG267" i="7"/>
  <c r="AH267" i="7"/>
  <c r="AI267" i="7"/>
  <c r="AJ267" i="7"/>
  <c r="AK267" i="7"/>
  <c r="N268" i="7"/>
  <c r="O268" i="7"/>
  <c r="P268" i="7"/>
  <c r="Q268" i="7"/>
  <c r="R268" i="7"/>
  <c r="S268" i="7"/>
  <c r="T268" i="7"/>
  <c r="U268" i="7"/>
  <c r="V268" i="7"/>
  <c r="W268" i="7"/>
  <c r="X268" i="7"/>
  <c r="Y268" i="7"/>
  <c r="Z268" i="7"/>
  <c r="AE268" i="7"/>
  <c r="AF268" i="7"/>
  <c r="AG268" i="7"/>
  <c r="AH268" i="7"/>
  <c r="AI268" i="7"/>
  <c r="AJ268" i="7"/>
  <c r="AK268" i="7"/>
  <c r="N269" i="7"/>
  <c r="O269" i="7"/>
  <c r="P269" i="7"/>
  <c r="Q269" i="7"/>
  <c r="R269" i="7"/>
  <c r="S269" i="7"/>
  <c r="T269" i="7"/>
  <c r="U269" i="7"/>
  <c r="V269" i="7"/>
  <c r="W269" i="7"/>
  <c r="X269" i="7"/>
  <c r="Y269" i="7"/>
  <c r="Z269" i="7"/>
  <c r="AE269" i="7"/>
  <c r="AF269" i="7"/>
  <c r="AG269" i="7"/>
  <c r="AH269" i="7"/>
  <c r="AI269" i="7"/>
  <c r="AJ269" i="7"/>
  <c r="AK269" i="7"/>
  <c r="N270" i="7"/>
  <c r="O270" i="7"/>
  <c r="P270" i="7"/>
  <c r="Q270" i="7"/>
  <c r="R270" i="7"/>
  <c r="S270" i="7"/>
  <c r="T270" i="7"/>
  <c r="U270" i="7"/>
  <c r="V270" i="7"/>
  <c r="W270" i="7"/>
  <c r="X270" i="7"/>
  <c r="Y270" i="7"/>
  <c r="Z270" i="7"/>
  <c r="AE270" i="7"/>
  <c r="AF270" i="7"/>
  <c r="AG270" i="7"/>
  <c r="AH270" i="7"/>
  <c r="AI270" i="7"/>
  <c r="AJ270" i="7"/>
  <c r="AK270" i="7"/>
  <c r="N271" i="7"/>
  <c r="O271" i="7"/>
  <c r="P271" i="7"/>
  <c r="Q271" i="7"/>
  <c r="R271" i="7"/>
  <c r="S271" i="7"/>
  <c r="T271" i="7"/>
  <c r="U271" i="7"/>
  <c r="V271" i="7"/>
  <c r="W271" i="7"/>
  <c r="X271" i="7"/>
  <c r="Y271" i="7"/>
  <c r="Z271" i="7"/>
  <c r="AE271" i="7"/>
  <c r="AF271" i="7"/>
  <c r="AG271" i="7"/>
  <c r="AH271" i="7"/>
  <c r="AI271" i="7"/>
  <c r="AJ271" i="7"/>
  <c r="AK271" i="7"/>
  <c r="N272" i="7"/>
  <c r="O272" i="7"/>
  <c r="P272" i="7"/>
  <c r="Q272" i="7"/>
  <c r="R272" i="7"/>
  <c r="S272" i="7"/>
  <c r="T272" i="7"/>
  <c r="U272" i="7"/>
  <c r="V272" i="7"/>
  <c r="W272" i="7"/>
  <c r="X272" i="7"/>
  <c r="Y272" i="7"/>
  <c r="Z272" i="7"/>
  <c r="AE272" i="7"/>
  <c r="AF272" i="7"/>
  <c r="AG272" i="7"/>
  <c r="AH272" i="7"/>
  <c r="AI272" i="7"/>
  <c r="AJ272" i="7"/>
  <c r="AK272" i="7"/>
  <c r="N273" i="7"/>
  <c r="O273" i="7"/>
  <c r="P273" i="7"/>
  <c r="Q273" i="7"/>
  <c r="R273" i="7"/>
  <c r="S273" i="7"/>
  <c r="T273" i="7"/>
  <c r="U273" i="7"/>
  <c r="V273" i="7"/>
  <c r="W273" i="7"/>
  <c r="X273" i="7"/>
  <c r="Y273" i="7"/>
  <c r="Z273" i="7"/>
  <c r="AE273" i="7"/>
  <c r="AF273" i="7"/>
  <c r="AG273" i="7"/>
  <c r="AH273" i="7"/>
  <c r="AI273" i="7"/>
  <c r="AJ273" i="7"/>
  <c r="AK273" i="7"/>
  <c r="N274" i="7"/>
  <c r="O274" i="7"/>
  <c r="P274" i="7"/>
  <c r="Q274" i="7"/>
  <c r="R274" i="7"/>
  <c r="S274" i="7"/>
  <c r="T274" i="7"/>
  <c r="U274" i="7"/>
  <c r="V274" i="7"/>
  <c r="W274" i="7"/>
  <c r="X274" i="7"/>
  <c r="Y274" i="7"/>
  <c r="Z274" i="7"/>
  <c r="AE274" i="7"/>
  <c r="AF274" i="7"/>
  <c r="AG274" i="7"/>
  <c r="AH274" i="7"/>
  <c r="AI274" i="7"/>
  <c r="AJ274" i="7"/>
  <c r="AK274" i="7"/>
  <c r="N275" i="7"/>
  <c r="O275" i="7"/>
  <c r="P275" i="7"/>
  <c r="Q275" i="7"/>
  <c r="R275" i="7"/>
  <c r="S275" i="7"/>
  <c r="T275" i="7"/>
  <c r="U275" i="7"/>
  <c r="V275" i="7"/>
  <c r="W275" i="7"/>
  <c r="X275" i="7"/>
  <c r="Y275" i="7"/>
  <c r="Z275" i="7"/>
  <c r="AE275" i="7"/>
  <c r="AF275" i="7"/>
  <c r="AG275" i="7"/>
  <c r="AH275" i="7"/>
  <c r="AI275" i="7"/>
  <c r="AJ275" i="7"/>
  <c r="AK275" i="7"/>
  <c r="N5" i="7"/>
  <c r="O5" i="7"/>
  <c r="P5" i="7"/>
  <c r="Q5" i="7"/>
  <c r="R5" i="7"/>
  <c r="S5" i="7"/>
  <c r="T5" i="7"/>
  <c r="U5" i="7"/>
  <c r="V5" i="7"/>
  <c r="W5" i="7"/>
  <c r="X5" i="7"/>
  <c r="Y5" i="7"/>
  <c r="Z5" i="7"/>
  <c r="AE5" i="7"/>
  <c r="AF5" i="7"/>
  <c r="AG5" i="7"/>
  <c r="AH5" i="7"/>
  <c r="AI5" i="7"/>
  <c r="AJ5" i="7"/>
  <c r="AK5" i="7"/>
  <c r="N6" i="7"/>
  <c r="O6" i="7"/>
  <c r="P6" i="7"/>
  <c r="Q6" i="7"/>
  <c r="R6" i="7"/>
  <c r="S6" i="7"/>
  <c r="T6" i="7"/>
  <c r="U6" i="7"/>
  <c r="V6" i="7"/>
  <c r="W6" i="7"/>
  <c r="X6" i="7"/>
  <c r="Y6" i="7"/>
  <c r="Z6" i="7"/>
  <c r="AE6" i="7"/>
  <c r="AF6" i="7"/>
  <c r="AG6" i="7"/>
  <c r="AH6" i="7"/>
  <c r="AI6" i="7"/>
  <c r="AJ6" i="7"/>
  <c r="AK6" i="7"/>
  <c r="N7" i="7"/>
  <c r="O7" i="7"/>
  <c r="P7" i="7"/>
  <c r="Q7" i="7"/>
  <c r="R7" i="7"/>
  <c r="S7" i="7"/>
  <c r="T7" i="7"/>
  <c r="U7" i="7"/>
  <c r="V7" i="7"/>
  <c r="W7" i="7"/>
  <c r="X7" i="7"/>
  <c r="Y7" i="7"/>
  <c r="Z7" i="7"/>
  <c r="AE7" i="7"/>
  <c r="AF7" i="7"/>
  <c r="AG7" i="7"/>
  <c r="AH7" i="7"/>
  <c r="AI7" i="7"/>
  <c r="AJ7" i="7"/>
  <c r="AK7" i="7"/>
  <c r="AK4" i="7"/>
  <c r="AJ4" i="7"/>
  <c r="AI4" i="7"/>
  <c r="AH4" i="7"/>
  <c r="AG4" i="7"/>
  <c r="AF4" i="7"/>
  <c r="AE4" i="7"/>
  <c r="Z4" i="7"/>
  <c r="Y4" i="7"/>
  <c r="X4" i="7"/>
  <c r="W4" i="7"/>
  <c r="V4" i="7"/>
  <c r="U4" i="7"/>
  <c r="T4" i="7"/>
  <c r="S4" i="7"/>
  <c r="R4" i="7"/>
  <c r="Q4" i="7"/>
  <c r="P4" i="7"/>
  <c r="O4" i="7"/>
  <c r="N4" i="7"/>
  <c r="AA5" i="7" l="1"/>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AA174" i="7"/>
  <c r="AA175" i="7"/>
  <c r="AA176" i="7"/>
  <c r="AA177" i="7"/>
  <c r="AA178" i="7"/>
  <c r="AA179" i="7"/>
  <c r="AA180" i="7"/>
  <c r="AA181" i="7"/>
  <c r="AA182" i="7"/>
  <c r="AA183" i="7"/>
  <c r="AA184" i="7"/>
  <c r="AA185" i="7"/>
  <c r="AA186" i="7"/>
  <c r="AA187" i="7"/>
  <c r="AA188" i="7"/>
  <c r="AA189" i="7"/>
  <c r="AA190" i="7"/>
  <c r="AA191" i="7"/>
  <c r="AA192" i="7"/>
  <c r="AA193" i="7"/>
  <c r="AA194" i="7"/>
  <c r="AA195" i="7"/>
  <c r="AA196" i="7"/>
  <c r="AA197" i="7"/>
  <c r="AA198" i="7"/>
  <c r="AA199" i="7"/>
  <c r="AA200" i="7"/>
  <c r="AA201" i="7"/>
  <c r="AA202" i="7"/>
  <c r="AA203" i="7"/>
  <c r="AA204" i="7"/>
  <c r="AA205" i="7"/>
  <c r="AA206" i="7"/>
  <c r="AA207" i="7"/>
  <c r="AA208" i="7"/>
  <c r="AA209" i="7"/>
  <c r="AA210" i="7"/>
  <c r="AA211" i="7"/>
  <c r="AA212" i="7"/>
  <c r="AA213" i="7"/>
  <c r="AA214" i="7"/>
  <c r="AA215" i="7"/>
  <c r="AA216" i="7"/>
  <c r="AA217" i="7"/>
  <c r="AA218" i="7"/>
  <c r="AA219" i="7"/>
  <c r="AA220" i="7"/>
  <c r="AA221" i="7"/>
  <c r="AA222" i="7"/>
  <c r="AA223" i="7"/>
  <c r="AA224" i="7"/>
  <c r="AA225" i="7"/>
  <c r="AA226" i="7"/>
  <c r="AA227" i="7"/>
  <c r="AA228" i="7"/>
  <c r="AA229" i="7"/>
  <c r="AA230" i="7"/>
  <c r="AA231" i="7"/>
  <c r="AA232" i="7"/>
  <c r="AA233" i="7"/>
  <c r="AA234" i="7"/>
  <c r="AA235" i="7"/>
  <c r="AA236" i="7"/>
  <c r="AA237" i="7"/>
  <c r="AA238" i="7"/>
  <c r="AA239" i="7"/>
  <c r="AA240" i="7"/>
  <c r="AA241" i="7"/>
  <c r="AA242" i="7"/>
  <c r="AA243" i="7"/>
  <c r="AA244" i="7"/>
  <c r="AA245" i="7"/>
  <c r="AA246" i="7"/>
  <c r="AA247" i="7"/>
  <c r="AA248" i="7"/>
  <c r="AA249" i="7"/>
  <c r="AA250" i="7"/>
  <c r="AA251" i="7"/>
  <c r="AA252" i="7"/>
  <c r="AA253" i="7"/>
  <c r="AA254" i="7"/>
  <c r="AA255" i="7"/>
  <c r="AA256" i="7"/>
  <c r="AA257" i="7"/>
  <c r="AA258" i="7"/>
  <c r="AA259" i="7"/>
  <c r="AA260" i="7"/>
  <c r="AA261" i="7"/>
  <c r="AA262" i="7"/>
  <c r="AA263" i="7"/>
  <c r="AA264" i="7"/>
  <c r="AA265" i="7"/>
  <c r="AA266" i="7"/>
  <c r="AA267" i="7"/>
  <c r="AA268" i="7"/>
  <c r="AA269" i="7"/>
  <c r="AA270" i="7"/>
  <c r="AA271" i="7"/>
  <c r="AA272" i="7"/>
  <c r="AA273" i="7"/>
  <c r="AA274" i="7"/>
  <c r="AA275" i="7"/>
  <c r="AA4" i="7"/>
  <c r="AX3" i="7" l="1"/>
  <c r="M167" i="17"/>
  <c r="D166" i="17"/>
  <c r="E166" i="17" s="1"/>
  <c r="C166" i="17"/>
  <c r="D165" i="17"/>
  <c r="E165" i="17" s="1"/>
  <c r="C165" i="17"/>
  <c r="D164" i="17"/>
  <c r="E164" i="17" s="1"/>
  <c r="C164" i="17"/>
  <c r="D163" i="17"/>
  <c r="E163" i="17" s="1"/>
  <c r="C163" i="17"/>
  <c r="D162" i="17"/>
  <c r="E162" i="17" s="1"/>
  <c r="C162" i="17"/>
  <c r="D161" i="17"/>
  <c r="E161" i="17" s="1"/>
  <c r="C161" i="17"/>
  <c r="D160" i="17"/>
  <c r="E160" i="17" s="1"/>
  <c r="C160" i="17"/>
  <c r="D159" i="17"/>
  <c r="E159" i="17" s="1"/>
  <c r="C159" i="17"/>
  <c r="D158" i="17"/>
  <c r="E158" i="17" s="1"/>
  <c r="C158" i="17"/>
  <c r="D157" i="17"/>
  <c r="E157" i="17" s="1"/>
  <c r="C157" i="17"/>
  <c r="D156" i="17"/>
  <c r="E156" i="17" s="1"/>
  <c r="C156" i="17"/>
  <c r="D155" i="17"/>
  <c r="E155" i="17" s="1"/>
  <c r="C155" i="17"/>
  <c r="D154" i="17"/>
  <c r="E154" i="17" s="1"/>
  <c r="C154" i="17"/>
  <c r="D153" i="17"/>
  <c r="E153" i="17" s="1"/>
  <c r="C153" i="17"/>
  <c r="D152" i="17"/>
  <c r="E152" i="17" s="1"/>
  <c r="C152" i="17"/>
  <c r="D151" i="17"/>
  <c r="E151" i="17" s="1"/>
  <c r="C151" i="17"/>
  <c r="D150" i="17"/>
  <c r="E150" i="17" s="1"/>
  <c r="C150" i="17"/>
  <c r="E149" i="17"/>
  <c r="D149" i="17"/>
  <c r="C149" i="17"/>
  <c r="D148" i="17"/>
  <c r="E148" i="17" s="1"/>
  <c r="C148" i="17"/>
  <c r="D147" i="17"/>
  <c r="E147" i="17" s="1"/>
  <c r="C147" i="17"/>
  <c r="D146" i="17"/>
  <c r="E146" i="17" s="1"/>
  <c r="C146" i="17"/>
  <c r="D145" i="17"/>
  <c r="E145" i="17" s="1"/>
  <c r="C145" i="17"/>
  <c r="D144" i="17"/>
  <c r="E144" i="17" s="1"/>
  <c r="C144" i="17"/>
  <c r="D143" i="17"/>
  <c r="E143" i="17" s="1"/>
  <c r="C143" i="17"/>
  <c r="D142" i="17"/>
  <c r="E142" i="17" s="1"/>
  <c r="C142" i="17"/>
  <c r="D141" i="17"/>
  <c r="E141" i="17" s="1"/>
  <c r="C141" i="17"/>
  <c r="D140" i="17"/>
  <c r="E140" i="17" s="1"/>
  <c r="C140" i="17"/>
  <c r="D139" i="17"/>
  <c r="E139" i="17" s="1"/>
  <c r="C139" i="17"/>
  <c r="D138" i="17"/>
  <c r="E138" i="17" s="1"/>
  <c r="C138" i="17"/>
  <c r="D137" i="17"/>
  <c r="E137" i="17" s="1"/>
  <c r="C137" i="17"/>
  <c r="D136" i="17"/>
  <c r="E136" i="17" s="1"/>
  <c r="C136" i="17"/>
  <c r="D135" i="17"/>
  <c r="E135" i="17" s="1"/>
  <c r="C135" i="17"/>
  <c r="D134" i="17"/>
  <c r="E134" i="17" s="1"/>
  <c r="C134" i="17"/>
  <c r="D133" i="17"/>
  <c r="E133" i="17" s="1"/>
  <c r="C133" i="17"/>
  <c r="D132" i="17"/>
  <c r="E132" i="17" s="1"/>
  <c r="C132" i="17"/>
  <c r="D131" i="17"/>
  <c r="E131" i="17" s="1"/>
  <c r="C131" i="17"/>
  <c r="D130" i="17"/>
  <c r="E130" i="17" s="1"/>
  <c r="C130" i="17"/>
  <c r="D129" i="17"/>
  <c r="E129" i="17" s="1"/>
  <c r="C129" i="17"/>
  <c r="D128" i="17"/>
  <c r="E128" i="17" s="1"/>
  <c r="C128" i="17"/>
  <c r="D127" i="17"/>
  <c r="E127" i="17" s="1"/>
  <c r="C127" i="17"/>
  <c r="D126" i="17"/>
  <c r="E126" i="17" s="1"/>
  <c r="C126" i="17"/>
  <c r="D125" i="17"/>
  <c r="E125" i="17" s="1"/>
  <c r="C125" i="17"/>
  <c r="D124" i="17"/>
  <c r="E124" i="17" s="1"/>
  <c r="C124" i="17"/>
  <c r="D123" i="17"/>
  <c r="E123" i="17" s="1"/>
  <c r="C123" i="17"/>
  <c r="D122" i="17"/>
  <c r="E122" i="17" s="1"/>
  <c r="C122" i="17"/>
  <c r="E121" i="17"/>
  <c r="D121" i="17"/>
  <c r="C121" i="17"/>
  <c r="D120" i="17"/>
  <c r="E120" i="17" s="1"/>
  <c r="C120" i="17"/>
  <c r="D119" i="17"/>
  <c r="E119" i="17" s="1"/>
  <c r="C119" i="17"/>
  <c r="D118" i="17"/>
  <c r="E118" i="17" s="1"/>
  <c r="C118" i="17"/>
  <c r="D117" i="17"/>
  <c r="E117" i="17" s="1"/>
  <c r="C117" i="17"/>
  <c r="D116" i="17"/>
  <c r="E116" i="17" s="1"/>
  <c r="C116" i="17"/>
  <c r="D115" i="17"/>
  <c r="E115" i="17" s="1"/>
  <c r="C115" i="17"/>
  <c r="D114" i="17"/>
  <c r="E114" i="17" s="1"/>
  <c r="C114" i="17"/>
  <c r="D113" i="17"/>
  <c r="E113" i="17" s="1"/>
  <c r="C113" i="17"/>
  <c r="D112" i="17"/>
  <c r="E112" i="17" s="1"/>
  <c r="C112" i="17"/>
  <c r="D111" i="17"/>
  <c r="E111" i="17" s="1"/>
  <c r="C111" i="17"/>
  <c r="D110" i="17"/>
  <c r="E110" i="17" s="1"/>
  <c r="C110" i="17"/>
  <c r="D109" i="17"/>
  <c r="E109" i="17" s="1"/>
  <c r="C109" i="17"/>
  <c r="D108" i="17"/>
  <c r="E108" i="17" s="1"/>
  <c r="C108" i="17"/>
  <c r="D107" i="17"/>
  <c r="E107" i="17" s="1"/>
  <c r="C107" i="17"/>
  <c r="D106" i="17"/>
  <c r="E106" i="17" s="1"/>
  <c r="C106" i="17"/>
  <c r="D105" i="17"/>
  <c r="E105" i="17" s="1"/>
  <c r="C105" i="17"/>
  <c r="D104" i="17"/>
  <c r="E104" i="17" s="1"/>
  <c r="C104" i="17"/>
  <c r="E103" i="17"/>
  <c r="D103" i="17"/>
  <c r="C103" i="17"/>
  <c r="D102" i="17"/>
  <c r="E102" i="17" s="1"/>
  <c r="C102" i="17"/>
  <c r="D101" i="17"/>
  <c r="E101" i="17" s="1"/>
  <c r="C101" i="17"/>
  <c r="D100" i="17"/>
  <c r="E100" i="17" s="1"/>
  <c r="C100" i="17"/>
  <c r="D99" i="17"/>
  <c r="E99" i="17" s="1"/>
  <c r="C99" i="17"/>
  <c r="D98" i="17"/>
  <c r="E98" i="17" s="1"/>
  <c r="C98" i="17"/>
  <c r="D97" i="17"/>
  <c r="E97" i="17" s="1"/>
  <c r="C97" i="17"/>
  <c r="D96" i="17"/>
  <c r="E96" i="17" s="1"/>
  <c r="C96" i="17"/>
  <c r="D95" i="17"/>
  <c r="E95" i="17" s="1"/>
  <c r="C95" i="17"/>
  <c r="D94" i="17"/>
  <c r="E94" i="17" s="1"/>
  <c r="C94" i="17"/>
  <c r="D93" i="17"/>
  <c r="E93" i="17" s="1"/>
  <c r="C93" i="17"/>
  <c r="D92" i="17"/>
  <c r="E92" i="17" s="1"/>
  <c r="C92" i="17"/>
  <c r="D91" i="17"/>
  <c r="E91" i="17" s="1"/>
  <c r="C91" i="17"/>
  <c r="D90" i="17"/>
  <c r="E90" i="17" s="1"/>
  <c r="C90" i="17"/>
  <c r="E89" i="17"/>
  <c r="D89" i="17"/>
  <c r="C89" i="17"/>
  <c r="D88" i="17"/>
  <c r="E88" i="17" s="1"/>
  <c r="C88" i="17"/>
  <c r="D87" i="17"/>
  <c r="E87" i="17" s="1"/>
  <c r="C87" i="17"/>
  <c r="D86" i="17"/>
  <c r="E86" i="17" s="1"/>
  <c r="C86" i="17"/>
  <c r="E85" i="17"/>
  <c r="D85" i="17"/>
  <c r="C85" i="17"/>
  <c r="D84" i="17"/>
  <c r="E84" i="17" s="1"/>
  <c r="C84" i="17"/>
  <c r="D83" i="17"/>
  <c r="E83" i="17" s="1"/>
  <c r="C83" i="17"/>
  <c r="D82" i="17"/>
  <c r="E82" i="17" s="1"/>
  <c r="C82" i="17"/>
  <c r="D81" i="17"/>
  <c r="E81" i="17" s="1"/>
  <c r="C81" i="17"/>
  <c r="D80" i="17"/>
  <c r="E80" i="17" s="1"/>
  <c r="C80" i="17"/>
  <c r="D79" i="17"/>
  <c r="E79" i="17" s="1"/>
  <c r="C79" i="17"/>
  <c r="D78" i="17"/>
  <c r="E78" i="17" s="1"/>
  <c r="C78" i="17"/>
  <c r="D77" i="17"/>
  <c r="E77" i="17" s="1"/>
  <c r="C77" i="17"/>
  <c r="D76" i="17"/>
  <c r="E76" i="17" s="1"/>
  <c r="C76" i="17"/>
  <c r="D75" i="17"/>
  <c r="E75" i="17" s="1"/>
  <c r="C75" i="17"/>
  <c r="D74" i="17"/>
  <c r="E74" i="17" s="1"/>
  <c r="C74" i="17"/>
  <c r="D73" i="17"/>
  <c r="E73" i="17" s="1"/>
  <c r="C73" i="17"/>
  <c r="D72" i="17"/>
  <c r="E72" i="17" s="1"/>
  <c r="C72" i="17"/>
  <c r="E71" i="17"/>
  <c r="D71" i="17"/>
  <c r="C71" i="17"/>
  <c r="D70" i="17"/>
  <c r="E70" i="17" s="1"/>
  <c r="C70" i="17"/>
  <c r="D69" i="17"/>
  <c r="E69" i="17" s="1"/>
  <c r="C69" i="17"/>
  <c r="D68" i="17"/>
  <c r="E68" i="17" s="1"/>
  <c r="C68" i="17"/>
  <c r="D67" i="17"/>
  <c r="E67" i="17" s="1"/>
  <c r="C67" i="17"/>
  <c r="D66" i="17"/>
  <c r="E66" i="17" s="1"/>
  <c r="C66" i="17"/>
  <c r="D65" i="17"/>
  <c r="E65" i="17" s="1"/>
  <c r="C65" i="17"/>
  <c r="D64" i="17"/>
  <c r="E64" i="17" s="1"/>
  <c r="C64" i="17"/>
  <c r="D63" i="17"/>
  <c r="E63" i="17" s="1"/>
  <c r="C63" i="17"/>
  <c r="D62" i="17"/>
  <c r="E62" i="17" s="1"/>
  <c r="C62" i="17"/>
  <c r="D61" i="17"/>
  <c r="E61" i="17" s="1"/>
  <c r="C61" i="17"/>
  <c r="D60" i="17"/>
  <c r="E60" i="17" s="1"/>
  <c r="C60" i="17"/>
  <c r="D59" i="17"/>
  <c r="E59" i="17" s="1"/>
  <c r="C59" i="17"/>
  <c r="D58" i="17"/>
  <c r="E58" i="17" s="1"/>
  <c r="C58" i="17"/>
  <c r="E57" i="17"/>
  <c r="D57" i="17"/>
  <c r="C57" i="17"/>
  <c r="D56" i="17"/>
  <c r="E56" i="17" s="1"/>
  <c r="C56" i="17"/>
  <c r="E55" i="17"/>
  <c r="D55" i="17"/>
  <c r="C55" i="17"/>
  <c r="D54" i="17"/>
  <c r="E54" i="17" s="1"/>
  <c r="C54" i="17"/>
  <c r="E53" i="17"/>
  <c r="D53" i="17"/>
  <c r="C53" i="17"/>
  <c r="D52" i="17"/>
  <c r="E52" i="17" s="1"/>
  <c r="C52" i="17"/>
  <c r="D51" i="17"/>
  <c r="E51" i="17" s="1"/>
  <c r="C51" i="17"/>
  <c r="D50" i="17"/>
  <c r="E50" i="17" s="1"/>
  <c r="C50" i="17"/>
  <c r="D49" i="17"/>
  <c r="E49" i="17" s="1"/>
  <c r="C49" i="17"/>
  <c r="D48" i="17"/>
  <c r="E48" i="17" s="1"/>
  <c r="C48" i="17"/>
  <c r="D47" i="17"/>
  <c r="E47" i="17" s="1"/>
  <c r="C47" i="17"/>
  <c r="D46" i="17"/>
  <c r="E46" i="17" s="1"/>
  <c r="C46" i="17"/>
  <c r="D45" i="17"/>
  <c r="E45" i="17" s="1"/>
  <c r="C45" i="17"/>
  <c r="D44" i="17"/>
  <c r="E44" i="17" s="1"/>
  <c r="C44" i="17"/>
  <c r="D43" i="17"/>
  <c r="E43" i="17" s="1"/>
  <c r="C43" i="17"/>
  <c r="D42" i="17"/>
  <c r="E42" i="17" s="1"/>
  <c r="C42" i="17"/>
  <c r="D41" i="17"/>
  <c r="E41" i="17" s="1"/>
  <c r="C41" i="17"/>
  <c r="D40" i="17"/>
  <c r="E40" i="17" s="1"/>
  <c r="C40" i="17"/>
  <c r="E39" i="17"/>
  <c r="D39" i="17"/>
  <c r="C39" i="17"/>
  <c r="D38" i="17"/>
  <c r="E38" i="17" s="1"/>
  <c r="C38" i="17"/>
  <c r="D37" i="17"/>
  <c r="E37" i="17" s="1"/>
  <c r="C37" i="17"/>
  <c r="D36" i="17"/>
  <c r="E36" i="17" s="1"/>
  <c r="C36" i="17"/>
  <c r="D35" i="17"/>
  <c r="E35" i="17" s="1"/>
  <c r="C35" i="17"/>
  <c r="D34" i="17"/>
  <c r="E34" i="17" s="1"/>
  <c r="C34" i="17"/>
  <c r="D33" i="17"/>
  <c r="E33" i="17" s="1"/>
  <c r="C33" i="17"/>
  <c r="D32" i="17"/>
  <c r="E32" i="17" s="1"/>
  <c r="C32" i="17"/>
  <c r="D31" i="17"/>
  <c r="E31" i="17" s="1"/>
  <c r="C31" i="17"/>
  <c r="D30" i="17"/>
  <c r="E30" i="17" s="1"/>
  <c r="C30" i="17"/>
  <c r="D29" i="17"/>
  <c r="E29" i="17" s="1"/>
  <c r="C29" i="17"/>
  <c r="D28" i="17"/>
  <c r="E28" i="17" s="1"/>
  <c r="C28" i="17"/>
  <c r="D27" i="17"/>
  <c r="E27" i="17" s="1"/>
  <c r="C27" i="17"/>
  <c r="D26" i="17"/>
  <c r="E26" i="17" s="1"/>
  <c r="C26" i="17"/>
  <c r="D25" i="17"/>
  <c r="E25" i="17" s="1"/>
  <c r="C25" i="17"/>
  <c r="D24" i="17"/>
  <c r="E24" i="17" s="1"/>
  <c r="C24" i="17"/>
  <c r="D23" i="17"/>
  <c r="E23" i="17" s="1"/>
  <c r="C23" i="17"/>
  <c r="D22" i="17"/>
  <c r="E22" i="17" s="1"/>
  <c r="C22" i="17"/>
  <c r="E21" i="17"/>
  <c r="D21" i="17"/>
  <c r="C21" i="17"/>
  <c r="D20" i="17"/>
  <c r="E20" i="17" s="1"/>
  <c r="C20" i="17"/>
  <c r="D19" i="17"/>
  <c r="E19" i="17" s="1"/>
  <c r="C19" i="17"/>
  <c r="D18" i="17"/>
  <c r="E18" i="17" s="1"/>
  <c r="C18" i="17"/>
  <c r="D17" i="17"/>
  <c r="E17" i="17" s="1"/>
  <c r="C17" i="17"/>
  <c r="D16" i="17"/>
  <c r="E16" i="17" s="1"/>
  <c r="C16" i="17"/>
  <c r="D15" i="17"/>
  <c r="E15" i="17" s="1"/>
  <c r="C15" i="17"/>
  <c r="D14" i="17"/>
  <c r="E14" i="17" s="1"/>
  <c r="C14" i="17"/>
  <c r="D13" i="17"/>
  <c r="E13" i="17" s="1"/>
  <c r="C13" i="17"/>
  <c r="D12" i="17"/>
  <c r="E12" i="17" s="1"/>
  <c r="C12" i="17"/>
  <c r="D11" i="17"/>
  <c r="E11" i="17" s="1"/>
  <c r="C11" i="17"/>
  <c r="D10" i="17"/>
  <c r="E10" i="17" s="1"/>
  <c r="C10" i="17"/>
  <c r="E9" i="17"/>
  <c r="D9" i="17"/>
  <c r="C9" i="17"/>
  <c r="D8" i="17"/>
  <c r="E8" i="17" s="1"/>
  <c r="C8" i="17"/>
  <c r="D7" i="17"/>
  <c r="E7" i="17" s="1"/>
  <c r="C7" i="17"/>
  <c r="D6" i="17"/>
  <c r="E6" i="17" s="1"/>
  <c r="C6" i="17"/>
  <c r="E5" i="17"/>
  <c r="D5" i="17"/>
  <c r="C5" i="17"/>
  <c r="D4" i="17"/>
  <c r="E4" i="17" s="1"/>
  <c r="C4" i="17"/>
  <c r="D3" i="17"/>
  <c r="E3" i="17" s="1"/>
  <c r="C3" i="17"/>
  <c r="D2" i="17"/>
  <c r="E2" i="17" s="1"/>
  <c r="C2" i="17"/>
  <c r="G81" i="16" l="1"/>
  <c r="F81" i="16"/>
  <c r="E81" i="16"/>
  <c r="D81" i="16"/>
  <c r="G80" i="16"/>
  <c r="F80" i="16"/>
  <c r="E80" i="16"/>
  <c r="D80" i="16"/>
  <c r="C80" i="16"/>
  <c r="G79" i="16"/>
  <c r="F79" i="16"/>
  <c r="E79" i="16"/>
  <c r="D79" i="16"/>
  <c r="C79" i="16"/>
  <c r="G78" i="16"/>
  <c r="F78" i="16"/>
  <c r="E78" i="16"/>
  <c r="D78" i="16"/>
  <c r="C78" i="16"/>
  <c r="B81" i="16"/>
  <c r="B80" i="16"/>
  <c r="B40" i="16"/>
  <c r="B39" i="16"/>
  <c r="B38" i="16"/>
  <c r="B37" i="16"/>
  <c r="B35" i="16"/>
  <c r="E385" i="16"/>
  <c r="D385" i="16"/>
  <c r="C385" i="16"/>
  <c r="B385" i="16"/>
  <c r="E384" i="16"/>
  <c r="D384" i="16"/>
  <c r="C384" i="16"/>
  <c r="B384" i="16"/>
  <c r="E383" i="16"/>
  <c r="D383" i="16"/>
  <c r="C383" i="16"/>
  <c r="B383" i="16"/>
  <c r="E382" i="16"/>
  <c r="D382" i="16"/>
  <c r="C382" i="16"/>
  <c r="B382" i="16"/>
  <c r="E381" i="16"/>
  <c r="D381" i="16"/>
  <c r="C381" i="16"/>
  <c r="B381" i="16"/>
  <c r="E380" i="16"/>
  <c r="D380" i="16"/>
  <c r="C380" i="16"/>
  <c r="B380" i="16"/>
  <c r="E379" i="16"/>
  <c r="D379" i="16"/>
  <c r="C379" i="16"/>
  <c r="B379" i="16"/>
  <c r="E378" i="16"/>
  <c r="D378" i="16"/>
  <c r="C378" i="16"/>
  <c r="B378" i="16"/>
  <c r="E377" i="16"/>
  <c r="D377" i="16"/>
  <c r="C377" i="16"/>
  <c r="B377" i="16"/>
  <c r="E376" i="16"/>
  <c r="D376" i="16"/>
  <c r="C376" i="16"/>
  <c r="B376" i="16"/>
  <c r="E375" i="16"/>
  <c r="D375" i="16"/>
  <c r="C375" i="16"/>
  <c r="B375" i="16"/>
  <c r="E374" i="16"/>
  <c r="D374" i="16"/>
  <c r="C374" i="16"/>
  <c r="B374" i="16"/>
  <c r="E373" i="16"/>
  <c r="D373" i="16"/>
  <c r="C373" i="16"/>
  <c r="B373" i="16"/>
  <c r="E372" i="16"/>
  <c r="D372" i="16"/>
  <c r="C372" i="16"/>
  <c r="B372" i="16"/>
  <c r="E371" i="16"/>
  <c r="D371" i="16"/>
  <c r="C371" i="16"/>
  <c r="B371" i="16"/>
  <c r="E370" i="16"/>
  <c r="D370" i="16"/>
  <c r="C370" i="16"/>
  <c r="B370" i="16"/>
  <c r="E369" i="16"/>
  <c r="D369" i="16"/>
  <c r="C369" i="16"/>
  <c r="B369" i="16"/>
  <c r="E368" i="16"/>
  <c r="D368" i="16"/>
  <c r="C368" i="16"/>
  <c r="B368" i="16"/>
  <c r="E367" i="16"/>
  <c r="D367" i="16"/>
  <c r="C367" i="16"/>
  <c r="B367" i="16"/>
  <c r="E366" i="16"/>
  <c r="D366" i="16"/>
  <c r="C366" i="16"/>
  <c r="B366" i="16"/>
  <c r="E365" i="16"/>
  <c r="D365" i="16"/>
  <c r="C365" i="16"/>
  <c r="B365" i="16"/>
  <c r="E364" i="16"/>
  <c r="D364" i="16"/>
  <c r="C364" i="16"/>
  <c r="B364" i="16"/>
  <c r="E363" i="16"/>
  <c r="D363" i="16"/>
  <c r="C363" i="16"/>
  <c r="B363" i="16"/>
  <c r="E362" i="16"/>
  <c r="D362" i="16"/>
  <c r="C362" i="16"/>
  <c r="B362" i="16"/>
  <c r="E361" i="16"/>
  <c r="D361" i="16"/>
  <c r="C361" i="16"/>
  <c r="B361" i="16"/>
  <c r="E360" i="16"/>
  <c r="D360" i="16"/>
  <c r="C360" i="16"/>
  <c r="B360" i="16"/>
  <c r="E359" i="16"/>
  <c r="D359" i="16"/>
  <c r="C359" i="16"/>
  <c r="B359" i="16"/>
  <c r="E358" i="16"/>
  <c r="D358" i="16"/>
  <c r="C358" i="16"/>
  <c r="B358" i="16"/>
  <c r="E357" i="16"/>
  <c r="D357" i="16"/>
  <c r="C357" i="16"/>
  <c r="B357" i="16"/>
  <c r="E356" i="16"/>
  <c r="D356" i="16"/>
  <c r="C356" i="16"/>
  <c r="B356" i="16"/>
  <c r="E355" i="16"/>
  <c r="D355" i="16"/>
  <c r="C355" i="16"/>
  <c r="B355" i="16"/>
  <c r="E354" i="16"/>
  <c r="D354" i="16"/>
  <c r="C354" i="16"/>
  <c r="B354" i="16"/>
  <c r="E353" i="16"/>
  <c r="D353" i="16"/>
  <c r="C353" i="16"/>
  <c r="B353" i="16"/>
  <c r="E352" i="16"/>
  <c r="D352" i="16"/>
  <c r="C352" i="16"/>
  <c r="B352" i="16"/>
  <c r="E351" i="16"/>
  <c r="D351" i="16"/>
  <c r="C351" i="16"/>
  <c r="B351" i="16"/>
  <c r="E350" i="16"/>
  <c r="D350" i="16"/>
  <c r="C350" i="16"/>
  <c r="B350" i="16"/>
  <c r="E349" i="16"/>
  <c r="D349" i="16"/>
  <c r="C349" i="16"/>
  <c r="B349" i="16"/>
  <c r="E348" i="16"/>
  <c r="D348" i="16"/>
  <c r="C348" i="16"/>
  <c r="B348" i="16"/>
  <c r="E347" i="16"/>
  <c r="D347" i="16"/>
  <c r="C347" i="16"/>
  <c r="B347" i="16"/>
  <c r="E346" i="16"/>
  <c r="D346" i="16"/>
  <c r="C346" i="16"/>
  <c r="B346" i="16"/>
  <c r="E345" i="16"/>
  <c r="D345" i="16"/>
  <c r="C345" i="16"/>
  <c r="B345" i="16"/>
  <c r="E344" i="16"/>
  <c r="D344" i="16"/>
  <c r="C344" i="16"/>
  <c r="B344" i="16"/>
  <c r="E343" i="16"/>
  <c r="D343" i="16"/>
  <c r="C343" i="16"/>
  <c r="B343" i="16"/>
  <c r="E342" i="16"/>
  <c r="D342" i="16"/>
  <c r="C342" i="16"/>
  <c r="B342" i="16"/>
  <c r="E341" i="16"/>
  <c r="D341" i="16"/>
  <c r="C341" i="16"/>
  <c r="B341" i="16"/>
  <c r="E340" i="16"/>
  <c r="D340" i="16"/>
  <c r="C340" i="16"/>
  <c r="B340" i="16"/>
  <c r="E339" i="16"/>
  <c r="D339" i="16"/>
  <c r="C339" i="16"/>
  <c r="B339" i="16"/>
  <c r="E338" i="16"/>
  <c r="D338" i="16"/>
  <c r="C338" i="16"/>
  <c r="B338" i="16"/>
  <c r="E337" i="16"/>
  <c r="D337" i="16"/>
  <c r="C337" i="16"/>
  <c r="B337" i="16"/>
  <c r="E336" i="16"/>
  <c r="D336" i="16"/>
  <c r="C336" i="16"/>
  <c r="B336" i="16"/>
  <c r="E335" i="16"/>
  <c r="D335" i="16"/>
  <c r="C335" i="16"/>
  <c r="B335" i="16"/>
  <c r="E334" i="16"/>
  <c r="D334" i="16"/>
  <c r="C334" i="16"/>
  <c r="B334" i="16"/>
  <c r="E333" i="16"/>
  <c r="D333" i="16"/>
  <c r="C333" i="16"/>
  <c r="B333" i="16"/>
  <c r="E332" i="16"/>
  <c r="D332" i="16"/>
  <c r="C332" i="16"/>
  <c r="B332" i="16"/>
  <c r="E331" i="16"/>
  <c r="D331" i="16"/>
  <c r="C331" i="16"/>
  <c r="B331" i="16"/>
  <c r="E330" i="16"/>
  <c r="D330" i="16"/>
  <c r="C330" i="16"/>
  <c r="B330" i="16"/>
  <c r="E329" i="16"/>
  <c r="D329" i="16"/>
  <c r="C329" i="16"/>
  <c r="B329" i="16"/>
  <c r="E328" i="16"/>
  <c r="D328" i="16"/>
  <c r="C328" i="16"/>
  <c r="B328" i="16"/>
  <c r="E327" i="16"/>
  <c r="D327" i="16"/>
  <c r="C327" i="16"/>
  <c r="B327" i="16"/>
  <c r="E326" i="16"/>
  <c r="D326" i="16"/>
  <c r="C326" i="16"/>
  <c r="B326" i="16"/>
  <c r="E325" i="16"/>
  <c r="D325" i="16"/>
  <c r="C325" i="16"/>
  <c r="B325" i="16"/>
  <c r="E324" i="16"/>
  <c r="D324" i="16"/>
  <c r="C324" i="16"/>
  <c r="B324" i="16"/>
  <c r="E323" i="16"/>
  <c r="D323" i="16"/>
  <c r="C323" i="16"/>
  <c r="B323" i="16"/>
  <c r="E322" i="16"/>
  <c r="D322" i="16"/>
  <c r="C322" i="16"/>
  <c r="B322" i="16"/>
  <c r="E321" i="16"/>
  <c r="D321" i="16"/>
  <c r="C321" i="16"/>
  <c r="B321" i="16"/>
  <c r="E320" i="16"/>
  <c r="D320" i="16"/>
  <c r="C320" i="16"/>
  <c r="B320" i="16"/>
  <c r="E319" i="16"/>
  <c r="D319" i="16"/>
  <c r="C319" i="16"/>
  <c r="B319" i="16"/>
  <c r="E318" i="16"/>
  <c r="D318" i="16"/>
  <c r="C318" i="16"/>
  <c r="B318" i="16"/>
  <c r="E317" i="16"/>
  <c r="D317" i="16"/>
  <c r="C317" i="16"/>
  <c r="B317" i="16"/>
  <c r="E316" i="16"/>
  <c r="D316" i="16"/>
  <c r="C316" i="16"/>
  <c r="B316" i="16"/>
  <c r="E315" i="16"/>
  <c r="D315" i="16"/>
  <c r="C315" i="16"/>
  <c r="B315" i="16"/>
  <c r="E314" i="16"/>
  <c r="D314" i="16"/>
  <c r="C314" i="16"/>
  <c r="B314" i="16"/>
  <c r="E313" i="16"/>
  <c r="D313" i="16"/>
  <c r="C313" i="16"/>
  <c r="B313" i="16"/>
  <c r="E312" i="16"/>
  <c r="D312" i="16"/>
  <c r="C312" i="16"/>
  <c r="B312" i="16"/>
  <c r="E311" i="16"/>
  <c r="D311" i="16"/>
  <c r="C311" i="16"/>
  <c r="B311" i="16"/>
  <c r="E310" i="16"/>
  <c r="D310" i="16"/>
  <c r="C310" i="16"/>
  <c r="B310" i="16"/>
  <c r="E309" i="16"/>
  <c r="D309" i="16"/>
  <c r="C309" i="16"/>
  <c r="B309" i="16"/>
  <c r="E308" i="16"/>
  <c r="D308" i="16"/>
  <c r="C308" i="16"/>
  <c r="B308" i="16"/>
  <c r="E307" i="16"/>
  <c r="D307" i="16"/>
  <c r="C307" i="16"/>
  <c r="B307" i="16"/>
  <c r="E306" i="16"/>
  <c r="D306" i="16"/>
  <c r="C306" i="16"/>
  <c r="B306" i="16"/>
  <c r="E305" i="16"/>
  <c r="D305" i="16"/>
  <c r="C305" i="16"/>
  <c r="B305" i="16"/>
  <c r="E304" i="16"/>
  <c r="D304" i="16"/>
  <c r="C304" i="16"/>
  <c r="B304" i="16"/>
  <c r="E303" i="16"/>
  <c r="D303" i="16"/>
  <c r="C303" i="16"/>
  <c r="B303" i="16"/>
  <c r="E302" i="16"/>
  <c r="D302" i="16"/>
  <c r="C302" i="16"/>
  <c r="B302" i="16"/>
  <c r="E301" i="16"/>
  <c r="D301" i="16"/>
  <c r="C301" i="16"/>
  <c r="B301" i="16"/>
  <c r="E300" i="16"/>
  <c r="D300" i="16"/>
  <c r="C300" i="16"/>
  <c r="B300" i="16"/>
  <c r="E299" i="16"/>
  <c r="D299" i="16"/>
  <c r="C299" i="16"/>
  <c r="B299" i="16"/>
  <c r="E298" i="16"/>
  <c r="D298" i="16"/>
  <c r="C298" i="16"/>
  <c r="B298" i="16"/>
  <c r="E297" i="16"/>
  <c r="D297" i="16"/>
  <c r="C297" i="16"/>
  <c r="B297" i="16"/>
  <c r="E296" i="16"/>
  <c r="D296" i="16"/>
  <c r="C296" i="16"/>
  <c r="B296" i="16"/>
  <c r="E295" i="16"/>
  <c r="D295" i="16"/>
  <c r="C295" i="16"/>
  <c r="B295" i="16"/>
  <c r="E294" i="16"/>
  <c r="D294" i="16"/>
  <c r="C294" i="16"/>
  <c r="B294" i="16"/>
  <c r="E293" i="16"/>
  <c r="D293" i="16"/>
  <c r="C293" i="16"/>
  <c r="B293" i="16"/>
  <c r="E292" i="16"/>
  <c r="D292" i="16"/>
  <c r="C292" i="16"/>
  <c r="B292" i="16"/>
  <c r="E291" i="16"/>
  <c r="D291" i="16"/>
  <c r="C291" i="16"/>
  <c r="B291" i="16"/>
  <c r="E290" i="16"/>
  <c r="D290" i="16"/>
  <c r="C290" i="16"/>
  <c r="B290" i="16"/>
  <c r="E289" i="16"/>
  <c r="D289" i="16"/>
  <c r="C289" i="16"/>
  <c r="B289" i="16"/>
  <c r="E288" i="16"/>
  <c r="D288" i="16"/>
  <c r="C288" i="16"/>
  <c r="B288" i="16"/>
  <c r="E287" i="16"/>
  <c r="D287" i="16"/>
  <c r="C287" i="16"/>
  <c r="B287" i="16"/>
  <c r="E286" i="16"/>
  <c r="D286" i="16"/>
  <c r="C286" i="16"/>
  <c r="B286" i="16"/>
  <c r="E285" i="16"/>
  <c r="D285" i="16"/>
  <c r="C285" i="16"/>
  <c r="B285" i="16"/>
  <c r="E284" i="16"/>
  <c r="D284" i="16"/>
  <c r="C284" i="16"/>
  <c r="B284" i="16"/>
  <c r="E283" i="16"/>
  <c r="D283" i="16"/>
  <c r="C283" i="16"/>
  <c r="B283" i="16"/>
  <c r="E282" i="16"/>
  <c r="D282" i="16"/>
  <c r="C282" i="16"/>
  <c r="B282" i="16"/>
  <c r="E281" i="16"/>
  <c r="D281" i="16"/>
  <c r="C281" i="16"/>
  <c r="B281" i="16"/>
  <c r="E280" i="16"/>
  <c r="D280" i="16"/>
  <c r="C280" i="16"/>
  <c r="B280" i="16"/>
  <c r="E279" i="16"/>
  <c r="D279" i="16"/>
  <c r="C279" i="16"/>
  <c r="B279" i="16"/>
  <c r="E278" i="16"/>
  <c r="D278" i="16"/>
  <c r="C278" i="16"/>
  <c r="B278" i="16"/>
  <c r="E277" i="16"/>
  <c r="D277" i="16"/>
  <c r="C277" i="16"/>
  <c r="B277" i="16"/>
  <c r="E276" i="16"/>
  <c r="D276" i="16"/>
  <c r="C276" i="16"/>
  <c r="B276" i="16"/>
  <c r="E275" i="16"/>
  <c r="D275" i="16"/>
  <c r="C275" i="16"/>
  <c r="B275" i="16"/>
  <c r="E274" i="16"/>
  <c r="D274" i="16"/>
  <c r="C274" i="16"/>
  <c r="B274" i="16"/>
  <c r="E273" i="16"/>
  <c r="D273" i="16"/>
  <c r="C273" i="16"/>
  <c r="B273" i="16"/>
  <c r="E272" i="16"/>
  <c r="D272" i="16"/>
  <c r="C272" i="16"/>
  <c r="B272" i="16"/>
  <c r="E271" i="16"/>
  <c r="D271" i="16"/>
  <c r="C271" i="16"/>
  <c r="B271" i="16"/>
  <c r="E270" i="16"/>
  <c r="D270" i="16"/>
  <c r="C270" i="16"/>
  <c r="B270" i="16"/>
  <c r="E269" i="16"/>
  <c r="D269" i="16"/>
  <c r="C269" i="16"/>
  <c r="B269" i="16"/>
  <c r="E268" i="16"/>
  <c r="D268" i="16"/>
  <c r="C268" i="16"/>
  <c r="B268" i="16"/>
  <c r="E267" i="16"/>
  <c r="D267" i="16"/>
  <c r="C267" i="16"/>
  <c r="B267" i="16"/>
  <c r="E266" i="16"/>
  <c r="D266" i="16"/>
  <c r="C266" i="16"/>
  <c r="B266" i="16"/>
  <c r="E265" i="16"/>
  <c r="D265" i="16"/>
  <c r="C265" i="16"/>
  <c r="B265" i="16"/>
  <c r="E264" i="16"/>
  <c r="D264" i="16"/>
  <c r="C264" i="16"/>
  <c r="B264" i="16"/>
  <c r="E263" i="16"/>
  <c r="D263" i="16"/>
  <c r="C263" i="16"/>
  <c r="B263" i="16"/>
  <c r="E262" i="16"/>
  <c r="D262" i="16"/>
  <c r="C262" i="16"/>
  <c r="B262" i="16"/>
  <c r="E261" i="16"/>
  <c r="D261" i="16"/>
  <c r="C261" i="16"/>
  <c r="B261" i="16"/>
  <c r="E260" i="16"/>
  <c r="D260" i="16"/>
  <c r="C260" i="16"/>
  <c r="B260" i="16"/>
  <c r="E259" i="16"/>
  <c r="D259" i="16"/>
  <c r="C259" i="16"/>
  <c r="B259" i="16"/>
  <c r="E258" i="16"/>
  <c r="D258" i="16"/>
  <c r="C258" i="16"/>
  <c r="B258" i="16"/>
  <c r="E257" i="16"/>
  <c r="D257" i="16"/>
  <c r="C257" i="16"/>
  <c r="B257" i="16"/>
  <c r="E256" i="16"/>
  <c r="D256" i="16"/>
  <c r="C256" i="16"/>
  <c r="B256" i="16"/>
  <c r="E255" i="16"/>
  <c r="D255" i="16"/>
  <c r="C255" i="16"/>
  <c r="B255" i="16"/>
  <c r="E254" i="16"/>
  <c r="D254" i="16"/>
  <c r="C254" i="16"/>
  <c r="B254" i="16"/>
  <c r="E253" i="16"/>
  <c r="D253" i="16"/>
  <c r="C253" i="16"/>
  <c r="B253" i="16"/>
  <c r="E252" i="16"/>
  <c r="D252" i="16"/>
  <c r="C252" i="16"/>
  <c r="B252" i="16"/>
  <c r="E251" i="16"/>
  <c r="D251" i="16"/>
  <c r="C251" i="16"/>
  <c r="B251" i="16"/>
  <c r="E250" i="16"/>
  <c r="D250" i="16"/>
  <c r="C250" i="16"/>
  <c r="B250" i="16"/>
  <c r="E249" i="16"/>
  <c r="D249" i="16"/>
  <c r="C249" i="16"/>
  <c r="B249" i="16"/>
  <c r="E248" i="16"/>
  <c r="D248" i="16"/>
  <c r="C248" i="16"/>
  <c r="B248" i="16"/>
  <c r="E247" i="16"/>
  <c r="D247" i="16"/>
  <c r="C247" i="16"/>
  <c r="B247" i="16"/>
  <c r="E246" i="16"/>
  <c r="D246" i="16"/>
  <c r="C246" i="16"/>
  <c r="B246" i="16"/>
  <c r="E245" i="16"/>
  <c r="D245" i="16"/>
  <c r="C245" i="16"/>
  <c r="B245" i="16"/>
  <c r="E244" i="16"/>
  <c r="D244" i="16"/>
  <c r="C244" i="16"/>
  <c r="B244" i="16"/>
  <c r="E243" i="16"/>
  <c r="D243" i="16"/>
  <c r="C243" i="16"/>
  <c r="B243" i="16"/>
  <c r="E242" i="16"/>
  <c r="D242" i="16"/>
  <c r="C242" i="16"/>
  <c r="B242" i="16"/>
  <c r="E241" i="16"/>
  <c r="D241" i="16"/>
  <c r="C241" i="16"/>
  <c r="B241" i="16"/>
  <c r="E240" i="16"/>
  <c r="D240" i="16"/>
  <c r="C240" i="16"/>
  <c r="B240" i="16"/>
  <c r="E239" i="16"/>
  <c r="D239" i="16"/>
  <c r="C239" i="16"/>
  <c r="B239" i="16"/>
  <c r="E238" i="16"/>
  <c r="D238" i="16"/>
  <c r="C238" i="16"/>
  <c r="B238" i="16"/>
  <c r="E237" i="16"/>
  <c r="D237" i="16"/>
  <c r="C237" i="16"/>
  <c r="B237" i="16"/>
  <c r="E236" i="16"/>
  <c r="D236" i="16"/>
  <c r="C236" i="16"/>
  <c r="B236" i="16"/>
  <c r="E235" i="16"/>
  <c r="D235" i="16"/>
  <c r="C235" i="16"/>
  <c r="B235" i="16"/>
  <c r="E234" i="16"/>
  <c r="D234" i="16"/>
  <c r="C234" i="16"/>
  <c r="B234" i="16"/>
  <c r="E233" i="16"/>
  <c r="D233" i="16"/>
  <c r="C233" i="16"/>
  <c r="B233" i="16"/>
  <c r="E232" i="16"/>
  <c r="D232" i="16"/>
  <c r="C232" i="16"/>
  <c r="B232" i="16"/>
  <c r="E231" i="16"/>
  <c r="D231" i="16"/>
  <c r="C231" i="16"/>
  <c r="B231" i="16"/>
  <c r="E230" i="16"/>
  <c r="D230" i="16"/>
  <c r="C230" i="16"/>
  <c r="B230" i="16"/>
  <c r="E229" i="16"/>
  <c r="D229" i="16"/>
  <c r="C229" i="16"/>
  <c r="B229" i="16"/>
  <c r="E228" i="16"/>
  <c r="D228" i="16"/>
  <c r="C228" i="16"/>
  <c r="B228" i="16"/>
  <c r="E227" i="16"/>
  <c r="D227" i="16"/>
  <c r="C227" i="16"/>
  <c r="B227" i="16"/>
  <c r="E226" i="16"/>
  <c r="D226" i="16"/>
  <c r="C226" i="16"/>
  <c r="B226" i="16"/>
  <c r="E225" i="16"/>
  <c r="D225" i="16"/>
  <c r="C225" i="16"/>
  <c r="B225" i="16"/>
  <c r="E224" i="16"/>
  <c r="D224" i="16"/>
  <c r="C224" i="16"/>
  <c r="B224" i="16"/>
  <c r="E223" i="16"/>
  <c r="D223" i="16"/>
  <c r="C223" i="16"/>
  <c r="B223" i="16"/>
  <c r="E222" i="16"/>
  <c r="D222" i="16"/>
  <c r="C222" i="16"/>
  <c r="B222" i="16"/>
  <c r="E221" i="16"/>
  <c r="D221" i="16"/>
  <c r="C221" i="16"/>
  <c r="B221" i="16"/>
  <c r="E220" i="16"/>
  <c r="D220" i="16"/>
  <c r="C220" i="16"/>
  <c r="B220" i="16"/>
  <c r="E219" i="16"/>
  <c r="D219" i="16"/>
  <c r="C219" i="16"/>
  <c r="B219" i="16"/>
  <c r="E218" i="16"/>
  <c r="D218" i="16"/>
  <c r="C218" i="16"/>
  <c r="B218" i="16"/>
  <c r="E217" i="16"/>
  <c r="D217" i="16"/>
  <c r="C217" i="16"/>
  <c r="B217" i="16"/>
  <c r="E216" i="16"/>
  <c r="D216" i="16"/>
  <c r="C216" i="16"/>
  <c r="B216" i="16"/>
  <c r="E215" i="16"/>
  <c r="D215" i="16"/>
  <c r="C215" i="16"/>
  <c r="B215" i="16"/>
  <c r="E214" i="16"/>
  <c r="D214" i="16"/>
  <c r="C214" i="16"/>
  <c r="B214" i="16"/>
  <c r="E213" i="16"/>
  <c r="D213" i="16"/>
  <c r="C213" i="16"/>
  <c r="B213" i="16"/>
  <c r="E212" i="16"/>
  <c r="D212" i="16"/>
  <c r="C212" i="16"/>
  <c r="B212" i="16"/>
  <c r="E211" i="16"/>
  <c r="D211" i="16"/>
  <c r="C211" i="16"/>
  <c r="B211" i="16"/>
  <c r="E210" i="16"/>
  <c r="D210" i="16"/>
  <c r="C210" i="16"/>
  <c r="B210" i="16"/>
  <c r="E209" i="16"/>
  <c r="D209" i="16"/>
  <c r="C209" i="16"/>
  <c r="B209" i="16"/>
  <c r="E208" i="16"/>
  <c r="D208" i="16"/>
  <c r="C208" i="16"/>
  <c r="B208" i="16"/>
  <c r="E207" i="16"/>
  <c r="D207" i="16"/>
  <c r="C207" i="16"/>
  <c r="B207" i="16"/>
  <c r="E206" i="16"/>
  <c r="D206" i="16"/>
  <c r="C206" i="16"/>
  <c r="B206" i="16"/>
  <c r="E205" i="16"/>
  <c r="D205" i="16"/>
  <c r="C205" i="16"/>
  <c r="B205" i="16"/>
  <c r="E204" i="16"/>
  <c r="D204" i="16"/>
  <c r="C204" i="16"/>
  <c r="B204" i="16"/>
  <c r="E203" i="16"/>
  <c r="D203" i="16"/>
  <c r="C203" i="16"/>
  <c r="B203" i="16"/>
  <c r="E202" i="16"/>
  <c r="D202" i="16"/>
  <c r="C202" i="16"/>
  <c r="B202" i="16"/>
  <c r="E201" i="16"/>
  <c r="D201" i="16"/>
  <c r="C201" i="16"/>
  <c r="B201" i="16"/>
  <c r="E200" i="16"/>
  <c r="D200" i="16"/>
  <c r="C200" i="16"/>
  <c r="B200" i="16"/>
  <c r="E199" i="16"/>
  <c r="D199" i="16"/>
  <c r="C199" i="16"/>
  <c r="B199" i="16"/>
  <c r="E198" i="16"/>
  <c r="D198" i="16"/>
  <c r="C198" i="16"/>
  <c r="B198" i="16"/>
  <c r="E197" i="16"/>
  <c r="D197" i="16"/>
  <c r="C197" i="16"/>
  <c r="B197" i="16"/>
  <c r="E196" i="16"/>
  <c r="D196" i="16"/>
  <c r="C196" i="16"/>
  <c r="B196" i="16"/>
  <c r="E195" i="16"/>
  <c r="D195" i="16"/>
  <c r="C195" i="16"/>
  <c r="B195" i="16"/>
  <c r="E194" i="16"/>
  <c r="D194" i="16"/>
  <c r="C194" i="16"/>
  <c r="B194" i="16"/>
  <c r="E193" i="16"/>
  <c r="D193" i="16"/>
  <c r="C193" i="16"/>
  <c r="B193" i="16"/>
  <c r="E192" i="16"/>
  <c r="D192" i="16"/>
  <c r="C192" i="16"/>
  <c r="B192" i="16"/>
  <c r="E191" i="16"/>
  <c r="D191" i="16"/>
  <c r="C191" i="16"/>
  <c r="B191" i="16"/>
  <c r="E190" i="16"/>
  <c r="D190" i="16"/>
  <c r="C190" i="16"/>
  <c r="B190" i="16"/>
  <c r="E189" i="16"/>
  <c r="D189" i="16"/>
  <c r="C189" i="16"/>
  <c r="B189" i="16"/>
  <c r="E188" i="16"/>
  <c r="D188" i="16"/>
  <c r="C188" i="16"/>
  <c r="B188" i="16"/>
  <c r="E187" i="16"/>
  <c r="D187" i="16"/>
  <c r="C187" i="16"/>
  <c r="B187" i="16"/>
  <c r="E186" i="16"/>
  <c r="D186" i="16"/>
  <c r="C186" i="16"/>
  <c r="B186" i="16"/>
  <c r="E185" i="16"/>
  <c r="D185" i="16"/>
  <c r="C185" i="16"/>
  <c r="B185" i="16"/>
  <c r="E184" i="16"/>
  <c r="D184" i="16"/>
  <c r="C184" i="16"/>
  <c r="B184" i="16"/>
  <c r="E183" i="16"/>
  <c r="D183" i="16"/>
  <c r="C183" i="16"/>
  <c r="B183" i="16"/>
  <c r="E182" i="16"/>
  <c r="D182" i="16"/>
  <c r="C182" i="16"/>
  <c r="B182" i="16"/>
  <c r="E181" i="16"/>
  <c r="D181" i="16"/>
  <c r="C181" i="16"/>
  <c r="B181" i="16"/>
  <c r="E180" i="16"/>
  <c r="D180" i="16"/>
  <c r="C180" i="16"/>
  <c r="B180" i="16"/>
  <c r="E179" i="16"/>
  <c r="D179" i="16"/>
  <c r="C179" i="16"/>
  <c r="B179" i="16"/>
  <c r="E178" i="16"/>
  <c r="D178" i="16"/>
  <c r="C178" i="16"/>
  <c r="B178" i="16"/>
  <c r="E177" i="16"/>
  <c r="D177" i="16"/>
  <c r="C177" i="16"/>
  <c r="B177" i="16"/>
  <c r="E176" i="16"/>
  <c r="D176" i="16"/>
  <c r="C176" i="16"/>
  <c r="B176" i="16"/>
  <c r="E175" i="16"/>
  <c r="D175" i="16"/>
  <c r="C175" i="16"/>
  <c r="B175" i="16"/>
  <c r="E174" i="16"/>
  <c r="D174" i="16"/>
  <c r="C174" i="16"/>
  <c r="B174" i="16"/>
  <c r="E173" i="16"/>
  <c r="D173" i="16"/>
  <c r="C173" i="16"/>
  <c r="B173" i="16"/>
  <c r="E172" i="16"/>
  <c r="D172" i="16"/>
  <c r="C172" i="16"/>
  <c r="B172" i="16"/>
  <c r="E171" i="16"/>
  <c r="D171" i="16"/>
  <c r="C171" i="16"/>
  <c r="B171" i="16"/>
  <c r="E170" i="16"/>
  <c r="D170" i="16"/>
  <c r="C170" i="16"/>
  <c r="B170" i="16"/>
  <c r="E169" i="16"/>
  <c r="D169" i="16"/>
  <c r="C169" i="16"/>
  <c r="B169" i="16"/>
  <c r="E168" i="16"/>
  <c r="D168" i="16"/>
  <c r="C168" i="16"/>
  <c r="B168" i="16"/>
  <c r="E167" i="16"/>
  <c r="D167" i="16"/>
  <c r="C167" i="16"/>
  <c r="B167" i="16"/>
  <c r="E166" i="16"/>
  <c r="D166" i="16"/>
  <c r="C166" i="16"/>
  <c r="B166" i="16"/>
  <c r="E165" i="16"/>
  <c r="D165" i="16"/>
  <c r="C165" i="16"/>
  <c r="B165" i="16"/>
  <c r="E164" i="16"/>
  <c r="D164" i="16"/>
  <c r="C164" i="16"/>
  <c r="B164" i="16"/>
  <c r="E163" i="16"/>
  <c r="D163" i="16"/>
  <c r="C163" i="16"/>
  <c r="B163" i="16"/>
  <c r="E162" i="16"/>
  <c r="D162" i="16"/>
  <c r="C162" i="16"/>
  <c r="B162" i="16"/>
  <c r="E161" i="16"/>
  <c r="D161" i="16"/>
  <c r="C161" i="16"/>
  <c r="B161" i="16"/>
  <c r="E160" i="16"/>
  <c r="D160" i="16"/>
  <c r="C160" i="16"/>
  <c r="B160" i="16"/>
  <c r="E159" i="16"/>
  <c r="D159" i="16"/>
  <c r="C159" i="16"/>
  <c r="B159" i="16"/>
  <c r="E158" i="16"/>
  <c r="D158" i="16"/>
  <c r="C158" i="16"/>
  <c r="B158" i="16"/>
  <c r="E157" i="16"/>
  <c r="D157" i="16"/>
  <c r="C157" i="16"/>
  <c r="B157" i="16"/>
  <c r="E156" i="16"/>
  <c r="D156" i="16"/>
  <c r="C156" i="16"/>
  <c r="B156" i="16"/>
  <c r="E155" i="16"/>
  <c r="D155" i="16"/>
  <c r="C155" i="16"/>
  <c r="B155" i="16"/>
  <c r="E154" i="16"/>
  <c r="D154" i="16"/>
  <c r="C154" i="16"/>
  <c r="B154" i="16"/>
  <c r="E153" i="16"/>
  <c r="D153" i="16"/>
  <c r="C153" i="16"/>
  <c r="B153" i="16"/>
  <c r="E152" i="16"/>
  <c r="D152" i="16"/>
  <c r="C152" i="16"/>
  <c r="B152" i="16"/>
  <c r="E151" i="16"/>
  <c r="D151" i="16"/>
  <c r="C151" i="16"/>
  <c r="B151" i="16"/>
  <c r="E150" i="16"/>
  <c r="D150" i="16"/>
  <c r="C150" i="16"/>
  <c r="B150" i="16"/>
  <c r="E149" i="16"/>
  <c r="D149" i="16"/>
  <c r="C149" i="16"/>
  <c r="B149" i="16"/>
  <c r="E148" i="16"/>
  <c r="D148" i="16"/>
  <c r="C148" i="16"/>
  <c r="B148" i="16"/>
  <c r="E147" i="16"/>
  <c r="D147" i="16"/>
  <c r="C147" i="16"/>
  <c r="B147" i="16"/>
  <c r="E146" i="16"/>
  <c r="D146" i="16"/>
  <c r="C146" i="16"/>
  <c r="B146" i="16"/>
  <c r="E145" i="16"/>
  <c r="D145" i="16"/>
  <c r="C145" i="16"/>
  <c r="B145" i="16"/>
  <c r="E144" i="16"/>
  <c r="D144" i="16"/>
  <c r="C144" i="16"/>
  <c r="B144" i="16"/>
  <c r="E143" i="16"/>
  <c r="D143" i="16"/>
  <c r="C143" i="16"/>
  <c r="B143" i="16"/>
  <c r="E142" i="16"/>
  <c r="D142" i="16"/>
  <c r="C142" i="16"/>
  <c r="B142" i="16"/>
  <c r="E141" i="16"/>
  <c r="D141" i="16"/>
  <c r="C141" i="16"/>
  <c r="B141" i="16"/>
  <c r="E140" i="16"/>
  <c r="D140" i="16"/>
  <c r="C140" i="16"/>
  <c r="B140" i="16"/>
  <c r="E139" i="16"/>
  <c r="D139" i="16"/>
  <c r="C139" i="16"/>
  <c r="B139" i="16"/>
  <c r="E138" i="16"/>
  <c r="D138" i="16"/>
  <c r="C138" i="16"/>
  <c r="B138" i="16"/>
  <c r="E137" i="16"/>
  <c r="D137" i="16"/>
  <c r="C137" i="16"/>
  <c r="B137" i="16"/>
  <c r="E136" i="16"/>
  <c r="D136" i="16"/>
  <c r="C136" i="16"/>
  <c r="B136" i="16"/>
  <c r="E135" i="16"/>
  <c r="D135" i="16"/>
  <c r="C135" i="16"/>
  <c r="B135" i="16"/>
  <c r="E134" i="16"/>
  <c r="D134" i="16"/>
  <c r="C134" i="16"/>
  <c r="B134" i="16"/>
  <c r="E133" i="16"/>
  <c r="D133" i="16"/>
  <c r="C133" i="16"/>
  <c r="B133" i="16"/>
  <c r="E132" i="16"/>
  <c r="D132" i="16"/>
  <c r="C132" i="16"/>
  <c r="B132" i="16"/>
  <c r="E131" i="16"/>
  <c r="D131" i="16"/>
  <c r="C131" i="16"/>
  <c r="B131" i="16"/>
  <c r="E130" i="16"/>
  <c r="D130" i="16"/>
  <c r="C130" i="16"/>
  <c r="B130" i="16"/>
  <c r="E129" i="16"/>
  <c r="D129" i="16"/>
  <c r="C129" i="16"/>
  <c r="B129" i="16"/>
  <c r="E128" i="16"/>
  <c r="D128" i="16"/>
  <c r="C128" i="16"/>
  <c r="B128" i="16"/>
  <c r="E127" i="16"/>
  <c r="D127" i="16"/>
  <c r="C127" i="16"/>
  <c r="B127" i="16"/>
  <c r="E126" i="16"/>
  <c r="D126" i="16"/>
  <c r="C126" i="16"/>
  <c r="B126" i="16"/>
  <c r="E125" i="16"/>
  <c r="D125" i="16"/>
  <c r="C125" i="16"/>
  <c r="B125" i="16"/>
  <c r="E124" i="16"/>
  <c r="D124" i="16"/>
  <c r="C124" i="16"/>
  <c r="B124" i="16"/>
  <c r="E123" i="16"/>
  <c r="D123" i="16"/>
  <c r="C123" i="16"/>
  <c r="B123" i="16"/>
  <c r="E122" i="16"/>
  <c r="D122" i="16"/>
  <c r="C122" i="16"/>
  <c r="B122" i="16"/>
  <c r="E121" i="16"/>
  <c r="D121" i="16"/>
  <c r="C121" i="16"/>
  <c r="B121" i="16"/>
  <c r="E120" i="16"/>
  <c r="D120" i="16"/>
  <c r="C120" i="16"/>
  <c r="B120" i="16"/>
  <c r="E119" i="16"/>
  <c r="D119" i="16"/>
  <c r="C119" i="16"/>
  <c r="B119" i="16"/>
  <c r="E118" i="16"/>
  <c r="D118" i="16"/>
  <c r="C118" i="16"/>
  <c r="B118" i="16"/>
  <c r="E117" i="16"/>
  <c r="D117" i="16"/>
  <c r="C117" i="16"/>
  <c r="B117" i="16"/>
  <c r="E116" i="16"/>
  <c r="D116" i="16"/>
  <c r="C116" i="16"/>
  <c r="B116" i="16"/>
  <c r="E115" i="16"/>
  <c r="D115" i="16"/>
  <c r="C115" i="16"/>
  <c r="B115" i="16"/>
  <c r="E114" i="16"/>
  <c r="D114" i="16"/>
  <c r="C114" i="16"/>
  <c r="B114" i="16"/>
  <c r="B57" i="16"/>
  <c r="B56" i="16"/>
  <c r="B55" i="16"/>
  <c r="B60" i="16" s="1"/>
  <c r="E34" i="14"/>
  <c r="F34" i="14"/>
  <c r="G34" i="14"/>
  <c r="I34" i="14"/>
  <c r="J34" i="14"/>
  <c r="E35" i="14"/>
  <c r="F35" i="14"/>
  <c r="G35" i="14"/>
  <c r="I35" i="14"/>
  <c r="J35" i="14"/>
  <c r="E36" i="14"/>
  <c r="F36" i="14"/>
  <c r="G36" i="14"/>
  <c r="I36" i="14"/>
  <c r="J36" i="14"/>
  <c r="E37" i="14"/>
  <c r="F37" i="14"/>
  <c r="G37" i="14"/>
  <c r="I37" i="14"/>
  <c r="J37" i="14"/>
  <c r="E38" i="14"/>
  <c r="F38" i="14"/>
  <c r="G38" i="14"/>
  <c r="I38" i="14"/>
  <c r="J38" i="14"/>
  <c r="E39" i="14"/>
  <c r="F39" i="14"/>
  <c r="G39" i="14"/>
  <c r="I39" i="14"/>
  <c r="J39" i="14"/>
  <c r="E40" i="14"/>
  <c r="F40" i="14"/>
  <c r="G40" i="14"/>
  <c r="I40" i="14"/>
  <c r="J40" i="14"/>
  <c r="E41" i="14"/>
  <c r="F41" i="14"/>
  <c r="G41" i="14"/>
  <c r="I41" i="14"/>
  <c r="J41" i="14"/>
  <c r="E42" i="14"/>
  <c r="F42" i="14"/>
  <c r="G42" i="14"/>
  <c r="I42" i="14"/>
  <c r="J42" i="14"/>
  <c r="E43" i="14"/>
  <c r="F43" i="14"/>
  <c r="G43" i="14"/>
  <c r="I43" i="14"/>
  <c r="J43" i="14"/>
  <c r="E44" i="14"/>
  <c r="F44" i="14"/>
  <c r="G44" i="14"/>
  <c r="I44" i="14"/>
  <c r="J44" i="14"/>
  <c r="E45" i="14"/>
  <c r="F45" i="14"/>
  <c r="G45" i="14"/>
  <c r="I45" i="14"/>
  <c r="J45" i="14"/>
  <c r="E46" i="14"/>
  <c r="F46" i="14"/>
  <c r="G46" i="14"/>
  <c r="I46" i="14"/>
  <c r="J46" i="14"/>
  <c r="E47" i="14"/>
  <c r="F47" i="14"/>
  <c r="G47" i="14"/>
  <c r="I47" i="14"/>
  <c r="J47" i="14"/>
  <c r="E48" i="14"/>
  <c r="F48" i="14"/>
  <c r="G48" i="14"/>
  <c r="I48" i="14"/>
  <c r="J48" i="14"/>
  <c r="E49" i="14"/>
  <c r="F49" i="14"/>
  <c r="G49" i="14"/>
  <c r="I49" i="14"/>
  <c r="J49" i="14"/>
  <c r="E50" i="14"/>
  <c r="F50" i="14"/>
  <c r="G50" i="14"/>
  <c r="I50" i="14"/>
  <c r="J50" i="14"/>
  <c r="E51" i="14"/>
  <c r="F51" i="14"/>
  <c r="G51" i="14"/>
  <c r="I51" i="14"/>
  <c r="J51" i="14"/>
  <c r="E52" i="14"/>
  <c r="F52" i="14"/>
  <c r="G52" i="14"/>
  <c r="I52" i="14"/>
  <c r="J52" i="14"/>
  <c r="E53" i="14"/>
  <c r="F53" i="14"/>
  <c r="G53" i="14"/>
  <c r="I53" i="14"/>
  <c r="J53" i="14"/>
  <c r="E54" i="14"/>
  <c r="F54" i="14"/>
  <c r="G54" i="14"/>
  <c r="I54" i="14"/>
  <c r="J54" i="14"/>
  <c r="E55" i="14"/>
  <c r="F55" i="14"/>
  <c r="G55" i="14"/>
  <c r="I55" i="14"/>
  <c r="J55" i="14"/>
  <c r="E56" i="14"/>
  <c r="F56" i="14"/>
  <c r="G56" i="14"/>
  <c r="I56" i="14"/>
  <c r="J56" i="14"/>
  <c r="E57" i="14"/>
  <c r="F57" i="14"/>
  <c r="G57" i="14"/>
  <c r="I57" i="14"/>
  <c r="J57" i="14"/>
  <c r="E58" i="14"/>
  <c r="F58" i="14"/>
  <c r="G58" i="14"/>
  <c r="I58" i="14"/>
  <c r="J58" i="14"/>
  <c r="E59" i="14"/>
  <c r="F59" i="14"/>
  <c r="G59" i="14"/>
  <c r="I59" i="14"/>
  <c r="J59" i="14"/>
  <c r="E60" i="14"/>
  <c r="F60" i="14"/>
  <c r="G60" i="14"/>
  <c r="I60" i="14"/>
  <c r="J60" i="14"/>
  <c r="E61" i="14"/>
  <c r="F61" i="14"/>
  <c r="G61" i="14"/>
  <c r="I61" i="14"/>
  <c r="J61" i="14"/>
  <c r="E62" i="14"/>
  <c r="F62" i="14"/>
  <c r="G62" i="14"/>
  <c r="I62" i="14"/>
  <c r="J62" i="14"/>
  <c r="E63" i="14"/>
  <c r="F63" i="14"/>
  <c r="G63" i="14"/>
  <c r="I63" i="14"/>
  <c r="J63" i="14"/>
  <c r="E64" i="14"/>
  <c r="F64" i="14"/>
  <c r="G64" i="14"/>
  <c r="I64" i="14"/>
  <c r="J64" i="14"/>
  <c r="E65" i="14"/>
  <c r="F65" i="14"/>
  <c r="G65" i="14"/>
  <c r="I65" i="14"/>
  <c r="J65" i="14"/>
  <c r="E66" i="14"/>
  <c r="F66" i="14"/>
  <c r="G66" i="14"/>
  <c r="I66" i="14"/>
  <c r="J66" i="14"/>
  <c r="E67" i="14"/>
  <c r="F67" i="14"/>
  <c r="G67" i="14"/>
  <c r="I67" i="14"/>
  <c r="J67" i="14"/>
  <c r="E68" i="14"/>
  <c r="F68" i="14"/>
  <c r="G68" i="14"/>
  <c r="I68" i="14"/>
  <c r="J68" i="14"/>
  <c r="E69" i="14"/>
  <c r="F69" i="14"/>
  <c r="G69" i="14"/>
  <c r="I69" i="14"/>
  <c r="J69" i="14"/>
  <c r="E70" i="14"/>
  <c r="F70" i="14"/>
  <c r="G70" i="14"/>
  <c r="I70" i="14"/>
  <c r="J70" i="14"/>
  <c r="E71" i="14"/>
  <c r="F71" i="14"/>
  <c r="G71" i="14"/>
  <c r="I71" i="14"/>
  <c r="J71" i="14"/>
  <c r="E72" i="14"/>
  <c r="F72" i="14"/>
  <c r="G72" i="14"/>
  <c r="I72" i="14"/>
  <c r="J72" i="14"/>
  <c r="E73" i="14"/>
  <c r="F73" i="14"/>
  <c r="G73" i="14"/>
  <c r="I73" i="14"/>
  <c r="J73" i="14"/>
  <c r="E74" i="14"/>
  <c r="F74" i="14"/>
  <c r="G74" i="14"/>
  <c r="I74" i="14"/>
  <c r="J74" i="14"/>
  <c r="E75" i="14"/>
  <c r="F75" i="14"/>
  <c r="G75" i="14"/>
  <c r="I75" i="14"/>
  <c r="J75" i="14"/>
  <c r="E76" i="14"/>
  <c r="F76" i="14"/>
  <c r="G76" i="14"/>
  <c r="I76" i="14"/>
  <c r="J76" i="14"/>
  <c r="E77" i="14"/>
  <c r="F77" i="14"/>
  <c r="G77" i="14"/>
  <c r="I77" i="14"/>
  <c r="J77" i="14"/>
  <c r="E78" i="14"/>
  <c r="F78" i="14"/>
  <c r="G78" i="14"/>
  <c r="I78" i="14"/>
  <c r="J78" i="14"/>
  <c r="E79" i="14"/>
  <c r="F79" i="14"/>
  <c r="G79" i="14"/>
  <c r="I79" i="14"/>
  <c r="J79" i="14"/>
  <c r="E80" i="14"/>
  <c r="F80" i="14"/>
  <c r="G80" i="14"/>
  <c r="I80" i="14"/>
  <c r="J80" i="14"/>
  <c r="E81" i="14"/>
  <c r="F81" i="14"/>
  <c r="G81" i="14"/>
  <c r="I81" i="14"/>
  <c r="J81" i="14"/>
  <c r="E82" i="14"/>
  <c r="F82" i="14"/>
  <c r="G82" i="14"/>
  <c r="I82" i="14"/>
  <c r="J82" i="14"/>
  <c r="E83" i="14"/>
  <c r="F83" i="14"/>
  <c r="G83" i="14"/>
  <c r="I83" i="14"/>
  <c r="J83" i="14"/>
  <c r="E84" i="14"/>
  <c r="F84" i="14"/>
  <c r="G84" i="14"/>
  <c r="I84" i="14"/>
  <c r="J84" i="14"/>
  <c r="E85" i="14"/>
  <c r="F85" i="14"/>
  <c r="G85" i="14"/>
  <c r="I85" i="14"/>
  <c r="J85" i="14"/>
  <c r="E86" i="14"/>
  <c r="F86" i="14"/>
  <c r="G86" i="14"/>
  <c r="I86" i="14"/>
  <c r="J86" i="14"/>
  <c r="E87" i="14"/>
  <c r="F87" i="14"/>
  <c r="G87" i="14"/>
  <c r="I87" i="14"/>
  <c r="J87" i="14"/>
  <c r="E88" i="14"/>
  <c r="F88" i="14"/>
  <c r="G88" i="14"/>
  <c r="I88" i="14"/>
  <c r="J88" i="14"/>
  <c r="E89" i="14"/>
  <c r="F89" i="14"/>
  <c r="G89" i="14"/>
  <c r="I89" i="14"/>
  <c r="J89" i="14"/>
  <c r="E90" i="14"/>
  <c r="F90" i="14"/>
  <c r="G90" i="14"/>
  <c r="I90" i="14"/>
  <c r="J90" i="14"/>
  <c r="E91" i="14"/>
  <c r="F91" i="14"/>
  <c r="G91" i="14"/>
  <c r="I91" i="14"/>
  <c r="J91" i="14"/>
  <c r="E92" i="14"/>
  <c r="F92" i="14"/>
  <c r="G92" i="14"/>
  <c r="I92" i="14"/>
  <c r="J92" i="14"/>
  <c r="E93" i="14"/>
  <c r="F93" i="14"/>
  <c r="G93" i="14"/>
  <c r="I93" i="14"/>
  <c r="J93" i="14"/>
  <c r="E94" i="14"/>
  <c r="F94" i="14"/>
  <c r="G94" i="14"/>
  <c r="I94" i="14"/>
  <c r="J94" i="14"/>
  <c r="E95" i="14"/>
  <c r="F95" i="14"/>
  <c r="G95" i="14"/>
  <c r="I95" i="14"/>
  <c r="J95" i="14"/>
  <c r="E96" i="14"/>
  <c r="F96" i="14"/>
  <c r="G96" i="14"/>
  <c r="I96" i="14"/>
  <c r="J96" i="14"/>
  <c r="E97" i="14"/>
  <c r="F97" i="14"/>
  <c r="G97" i="14"/>
  <c r="I97" i="14"/>
  <c r="J97" i="14"/>
  <c r="E98" i="14"/>
  <c r="F98" i="14"/>
  <c r="G98" i="14"/>
  <c r="I98" i="14"/>
  <c r="J98" i="14"/>
  <c r="E99" i="14"/>
  <c r="F99" i="14"/>
  <c r="G99" i="14"/>
  <c r="I99" i="14"/>
  <c r="J99" i="14"/>
  <c r="E100" i="14"/>
  <c r="F100" i="14"/>
  <c r="G100" i="14"/>
  <c r="I100" i="14"/>
  <c r="J100" i="14"/>
  <c r="E101" i="14"/>
  <c r="F101" i="14"/>
  <c r="G101" i="14"/>
  <c r="I101" i="14"/>
  <c r="J101" i="14"/>
  <c r="E102" i="14"/>
  <c r="F102" i="14"/>
  <c r="G102" i="14"/>
  <c r="I102" i="14"/>
  <c r="J102" i="14"/>
  <c r="E103" i="14"/>
  <c r="F103" i="14"/>
  <c r="G103" i="14"/>
  <c r="I103" i="14"/>
  <c r="J103" i="14"/>
  <c r="E104" i="14"/>
  <c r="F104" i="14"/>
  <c r="G104" i="14"/>
  <c r="I104" i="14"/>
  <c r="J104" i="14"/>
  <c r="E105" i="14"/>
  <c r="F105" i="14"/>
  <c r="G105" i="14"/>
  <c r="I105" i="14"/>
  <c r="J105" i="14"/>
  <c r="E106" i="14"/>
  <c r="F106" i="14"/>
  <c r="G106" i="14"/>
  <c r="I106" i="14"/>
  <c r="J106" i="14"/>
  <c r="E107" i="14"/>
  <c r="F107" i="14"/>
  <c r="G107" i="14"/>
  <c r="I107" i="14"/>
  <c r="J107" i="14"/>
  <c r="E108" i="14"/>
  <c r="F108" i="14"/>
  <c r="G108" i="14"/>
  <c r="I108" i="14"/>
  <c r="J108" i="14"/>
  <c r="E109" i="14"/>
  <c r="F109" i="14"/>
  <c r="G109" i="14"/>
  <c r="I109" i="14"/>
  <c r="J109" i="14"/>
  <c r="E110" i="14"/>
  <c r="F110" i="14"/>
  <c r="G110" i="14"/>
  <c r="I110" i="14"/>
  <c r="J110" i="14"/>
  <c r="E111" i="14"/>
  <c r="F111" i="14"/>
  <c r="G111" i="14"/>
  <c r="I111" i="14"/>
  <c r="J111" i="14"/>
  <c r="E112" i="14"/>
  <c r="F112" i="14"/>
  <c r="G112" i="14"/>
  <c r="I112" i="14"/>
  <c r="J112" i="14"/>
  <c r="E113" i="14"/>
  <c r="F113" i="14"/>
  <c r="G113" i="14"/>
  <c r="I113" i="14"/>
  <c r="J113" i="14"/>
  <c r="E114" i="14"/>
  <c r="F114" i="14"/>
  <c r="G114" i="14"/>
  <c r="I114" i="14"/>
  <c r="J114" i="14"/>
  <c r="E115" i="14"/>
  <c r="F115" i="14"/>
  <c r="G115" i="14"/>
  <c r="I115" i="14"/>
  <c r="J115" i="14"/>
  <c r="E116" i="14"/>
  <c r="F116" i="14"/>
  <c r="G116" i="14"/>
  <c r="I116" i="14"/>
  <c r="J116" i="14"/>
  <c r="E117" i="14"/>
  <c r="F117" i="14"/>
  <c r="G117" i="14"/>
  <c r="I117" i="14"/>
  <c r="J117" i="14"/>
  <c r="E118" i="14"/>
  <c r="F118" i="14"/>
  <c r="G118" i="14"/>
  <c r="I118" i="14"/>
  <c r="J118" i="14"/>
  <c r="E119" i="14"/>
  <c r="F119" i="14"/>
  <c r="G119" i="14"/>
  <c r="I119" i="14"/>
  <c r="J119" i="14"/>
  <c r="E120" i="14"/>
  <c r="F120" i="14"/>
  <c r="G120" i="14"/>
  <c r="I120" i="14"/>
  <c r="J120" i="14"/>
  <c r="E121" i="14"/>
  <c r="F121" i="14"/>
  <c r="G121" i="14"/>
  <c r="I121" i="14"/>
  <c r="J121" i="14"/>
  <c r="E122" i="14"/>
  <c r="F122" i="14"/>
  <c r="G122" i="14"/>
  <c r="I122" i="14"/>
  <c r="J122" i="14"/>
  <c r="E123" i="14"/>
  <c r="F123" i="14"/>
  <c r="G123" i="14"/>
  <c r="I123" i="14"/>
  <c r="J123" i="14"/>
  <c r="E124" i="14"/>
  <c r="F124" i="14"/>
  <c r="G124" i="14"/>
  <c r="I124" i="14"/>
  <c r="J124" i="14"/>
  <c r="E125" i="14"/>
  <c r="F125" i="14"/>
  <c r="G125" i="14"/>
  <c r="I125" i="14"/>
  <c r="J125" i="14"/>
  <c r="E126" i="14"/>
  <c r="F126" i="14"/>
  <c r="G126" i="14"/>
  <c r="I126" i="14"/>
  <c r="J126" i="14"/>
  <c r="E127" i="14"/>
  <c r="F127" i="14"/>
  <c r="G127" i="14"/>
  <c r="I127" i="14"/>
  <c r="J127" i="14"/>
  <c r="E128" i="14"/>
  <c r="F128" i="14"/>
  <c r="G128" i="14"/>
  <c r="I128" i="14"/>
  <c r="J128" i="14"/>
  <c r="E129" i="14"/>
  <c r="F129" i="14"/>
  <c r="G129" i="14"/>
  <c r="I129" i="14"/>
  <c r="J129" i="14"/>
  <c r="E130" i="14"/>
  <c r="F130" i="14"/>
  <c r="G130" i="14"/>
  <c r="I130" i="14"/>
  <c r="J130" i="14"/>
  <c r="E131" i="14"/>
  <c r="F131" i="14"/>
  <c r="G131" i="14"/>
  <c r="I131" i="14"/>
  <c r="J131" i="14"/>
  <c r="E132" i="14"/>
  <c r="F132" i="14"/>
  <c r="G132" i="14"/>
  <c r="I132" i="14"/>
  <c r="J132" i="14"/>
  <c r="E133" i="14"/>
  <c r="F133" i="14"/>
  <c r="G133" i="14"/>
  <c r="I133" i="14"/>
  <c r="J133" i="14"/>
  <c r="E134" i="14"/>
  <c r="F134" i="14"/>
  <c r="G134" i="14"/>
  <c r="I134" i="14"/>
  <c r="J134" i="14"/>
  <c r="E135" i="14"/>
  <c r="F135" i="14"/>
  <c r="G135" i="14"/>
  <c r="I135" i="14"/>
  <c r="J135" i="14"/>
  <c r="E136" i="14"/>
  <c r="F136" i="14"/>
  <c r="G136" i="14"/>
  <c r="I136" i="14"/>
  <c r="J136" i="14"/>
  <c r="E137" i="14"/>
  <c r="F137" i="14"/>
  <c r="G137" i="14"/>
  <c r="I137" i="14"/>
  <c r="J137" i="14"/>
  <c r="E138" i="14"/>
  <c r="F138" i="14"/>
  <c r="G138" i="14"/>
  <c r="I138" i="14"/>
  <c r="J138" i="14"/>
  <c r="E139" i="14"/>
  <c r="F139" i="14"/>
  <c r="G139" i="14"/>
  <c r="I139" i="14"/>
  <c r="J139" i="14"/>
  <c r="E140" i="14"/>
  <c r="F140" i="14"/>
  <c r="G140" i="14"/>
  <c r="I140" i="14"/>
  <c r="J140" i="14"/>
  <c r="E141" i="14"/>
  <c r="F141" i="14"/>
  <c r="G141" i="14"/>
  <c r="I141" i="14"/>
  <c r="J141" i="14"/>
  <c r="E142" i="14"/>
  <c r="F142" i="14"/>
  <c r="G142" i="14"/>
  <c r="I142" i="14"/>
  <c r="J142" i="14"/>
  <c r="E143" i="14"/>
  <c r="F143" i="14"/>
  <c r="G143" i="14"/>
  <c r="I143" i="14"/>
  <c r="J143" i="14"/>
  <c r="E144" i="14"/>
  <c r="F144" i="14"/>
  <c r="G144" i="14"/>
  <c r="I144" i="14"/>
  <c r="J144" i="14"/>
  <c r="E145" i="14"/>
  <c r="F145" i="14"/>
  <c r="G145" i="14"/>
  <c r="I145" i="14"/>
  <c r="J145" i="14"/>
  <c r="E146" i="14"/>
  <c r="F146" i="14"/>
  <c r="G146" i="14"/>
  <c r="I146" i="14"/>
  <c r="J146" i="14"/>
  <c r="E147" i="14"/>
  <c r="F147" i="14"/>
  <c r="G147" i="14"/>
  <c r="I147" i="14"/>
  <c r="J147" i="14"/>
  <c r="E148" i="14"/>
  <c r="F148" i="14"/>
  <c r="G148" i="14"/>
  <c r="I148" i="14"/>
  <c r="J148" i="14"/>
  <c r="E149" i="14"/>
  <c r="F149" i="14"/>
  <c r="G149" i="14"/>
  <c r="I149" i="14"/>
  <c r="J149" i="14"/>
  <c r="E150" i="14"/>
  <c r="F150" i="14"/>
  <c r="G150" i="14"/>
  <c r="I150" i="14"/>
  <c r="J150" i="14"/>
  <c r="E151" i="14"/>
  <c r="F151" i="14"/>
  <c r="G151" i="14"/>
  <c r="I151" i="14"/>
  <c r="J151" i="14"/>
  <c r="E152" i="14"/>
  <c r="F152" i="14"/>
  <c r="G152" i="14"/>
  <c r="I152" i="14"/>
  <c r="J152" i="14"/>
  <c r="E153" i="14"/>
  <c r="F153" i="14"/>
  <c r="G153" i="14"/>
  <c r="I153" i="14"/>
  <c r="J153" i="14"/>
  <c r="E154" i="14"/>
  <c r="F154" i="14"/>
  <c r="G154" i="14"/>
  <c r="I154" i="14"/>
  <c r="J154" i="14"/>
  <c r="E155" i="14"/>
  <c r="F155" i="14"/>
  <c r="G155" i="14"/>
  <c r="I155" i="14"/>
  <c r="J155" i="14"/>
  <c r="E156" i="14"/>
  <c r="F156" i="14"/>
  <c r="G156" i="14"/>
  <c r="I156" i="14"/>
  <c r="J156" i="14"/>
  <c r="E157" i="14"/>
  <c r="F157" i="14"/>
  <c r="G157" i="14"/>
  <c r="I157" i="14"/>
  <c r="J157" i="14"/>
  <c r="E158" i="14"/>
  <c r="F158" i="14"/>
  <c r="G158" i="14"/>
  <c r="I158" i="14"/>
  <c r="J158" i="14"/>
  <c r="E159" i="14"/>
  <c r="F159" i="14"/>
  <c r="G159" i="14"/>
  <c r="I159" i="14"/>
  <c r="J159" i="14"/>
  <c r="E160" i="14"/>
  <c r="F160" i="14"/>
  <c r="G160" i="14"/>
  <c r="I160" i="14"/>
  <c r="J160" i="14"/>
  <c r="E161" i="14"/>
  <c r="F161" i="14"/>
  <c r="G161" i="14"/>
  <c r="I161" i="14"/>
  <c r="J161" i="14"/>
  <c r="E162" i="14"/>
  <c r="F162" i="14"/>
  <c r="G162" i="14"/>
  <c r="I162" i="14"/>
  <c r="J162" i="14"/>
  <c r="E163" i="14"/>
  <c r="F163" i="14"/>
  <c r="G163" i="14"/>
  <c r="I163" i="14"/>
  <c r="J163" i="14"/>
  <c r="E164" i="14"/>
  <c r="F164" i="14"/>
  <c r="G164" i="14"/>
  <c r="I164" i="14"/>
  <c r="J164" i="14"/>
  <c r="E165" i="14"/>
  <c r="F165" i="14"/>
  <c r="G165" i="14"/>
  <c r="I165" i="14"/>
  <c r="J165" i="14"/>
  <c r="E166" i="14"/>
  <c r="F166" i="14"/>
  <c r="G166" i="14"/>
  <c r="I166" i="14"/>
  <c r="J166" i="14"/>
  <c r="E167" i="14"/>
  <c r="F167" i="14"/>
  <c r="G167" i="14"/>
  <c r="I167" i="14"/>
  <c r="J167" i="14"/>
  <c r="E168" i="14"/>
  <c r="F168" i="14"/>
  <c r="G168" i="14"/>
  <c r="I168" i="14"/>
  <c r="J168" i="14"/>
  <c r="E169" i="14"/>
  <c r="F169" i="14"/>
  <c r="G169" i="14"/>
  <c r="I169" i="14"/>
  <c r="J169" i="14"/>
  <c r="E170" i="14"/>
  <c r="F170" i="14"/>
  <c r="G170" i="14"/>
  <c r="I170" i="14"/>
  <c r="J170" i="14"/>
  <c r="E171" i="14"/>
  <c r="F171" i="14"/>
  <c r="G171" i="14"/>
  <c r="I171" i="14"/>
  <c r="J171" i="14"/>
  <c r="E172" i="14"/>
  <c r="F172" i="14"/>
  <c r="G172" i="14"/>
  <c r="I172" i="14"/>
  <c r="J172" i="14"/>
  <c r="E173" i="14"/>
  <c r="F173" i="14"/>
  <c r="G173" i="14"/>
  <c r="I173" i="14"/>
  <c r="J173" i="14"/>
  <c r="E174" i="14"/>
  <c r="F174" i="14"/>
  <c r="G174" i="14"/>
  <c r="I174" i="14"/>
  <c r="J174" i="14"/>
  <c r="E175" i="14"/>
  <c r="F175" i="14"/>
  <c r="G175" i="14"/>
  <c r="I175" i="14"/>
  <c r="J175" i="14"/>
  <c r="E176" i="14"/>
  <c r="F176" i="14"/>
  <c r="G176" i="14"/>
  <c r="I176" i="14"/>
  <c r="J176" i="14"/>
  <c r="E177" i="14"/>
  <c r="F177" i="14"/>
  <c r="G177" i="14"/>
  <c r="I177" i="14"/>
  <c r="J177" i="14"/>
  <c r="E178" i="14"/>
  <c r="F178" i="14"/>
  <c r="G178" i="14"/>
  <c r="I178" i="14"/>
  <c r="J178" i="14"/>
  <c r="E179" i="14"/>
  <c r="F179" i="14"/>
  <c r="G179" i="14"/>
  <c r="I179" i="14"/>
  <c r="J179" i="14"/>
  <c r="E180" i="14"/>
  <c r="F180" i="14"/>
  <c r="G180" i="14"/>
  <c r="I180" i="14"/>
  <c r="J180" i="14"/>
  <c r="E181" i="14"/>
  <c r="F181" i="14"/>
  <c r="G181" i="14"/>
  <c r="I181" i="14"/>
  <c r="J181" i="14"/>
  <c r="E182" i="14"/>
  <c r="F182" i="14"/>
  <c r="G182" i="14"/>
  <c r="I182" i="14"/>
  <c r="J182" i="14"/>
  <c r="E183" i="14"/>
  <c r="F183" i="14"/>
  <c r="G183" i="14"/>
  <c r="I183" i="14"/>
  <c r="J183" i="14"/>
  <c r="E184" i="14"/>
  <c r="F184" i="14"/>
  <c r="G184" i="14"/>
  <c r="I184" i="14"/>
  <c r="J184" i="14"/>
  <c r="E185" i="14"/>
  <c r="F185" i="14"/>
  <c r="G185" i="14"/>
  <c r="I185" i="14"/>
  <c r="J185" i="14"/>
  <c r="E186" i="14"/>
  <c r="F186" i="14"/>
  <c r="G186" i="14"/>
  <c r="I186" i="14"/>
  <c r="J186" i="14"/>
  <c r="E187" i="14"/>
  <c r="F187" i="14"/>
  <c r="G187" i="14"/>
  <c r="I187" i="14"/>
  <c r="J187" i="14"/>
  <c r="E188" i="14"/>
  <c r="F188" i="14"/>
  <c r="G188" i="14"/>
  <c r="I188" i="14"/>
  <c r="J188" i="14"/>
  <c r="E189" i="14"/>
  <c r="F189" i="14"/>
  <c r="G189" i="14"/>
  <c r="I189" i="14"/>
  <c r="J189" i="14"/>
  <c r="E190" i="14"/>
  <c r="F190" i="14"/>
  <c r="G190" i="14"/>
  <c r="I190" i="14"/>
  <c r="J190" i="14"/>
  <c r="E191" i="14"/>
  <c r="F191" i="14"/>
  <c r="G191" i="14"/>
  <c r="I191" i="14"/>
  <c r="J191" i="14"/>
  <c r="E192" i="14"/>
  <c r="F192" i="14"/>
  <c r="G192" i="14"/>
  <c r="I192" i="14"/>
  <c r="J192" i="14"/>
  <c r="E193" i="14"/>
  <c r="F193" i="14"/>
  <c r="G193" i="14"/>
  <c r="I193" i="14"/>
  <c r="J193" i="14"/>
  <c r="E194" i="14"/>
  <c r="F194" i="14"/>
  <c r="G194" i="14"/>
  <c r="I194" i="14"/>
  <c r="J194" i="14"/>
  <c r="E195" i="14"/>
  <c r="F195" i="14"/>
  <c r="G195" i="14"/>
  <c r="I195" i="14"/>
  <c r="J195" i="14"/>
  <c r="E196" i="14"/>
  <c r="F196" i="14"/>
  <c r="G196" i="14"/>
  <c r="I196" i="14"/>
  <c r="J196" i="14"/>
  <c r="E197" i="14"/>
  <c r="F197" i="14"/>
  <c r="G197" i="14"/>
  <c r="I197" i="14"/>
  <c r="J197" i="14"/>
  <c r="E198" i="14"/>
  <c r="F198" i="14"/>
  <c r="G198" i="14"/>
  <c r="I198" i="14"/>
  <c r="J198" i="14"/>
  <c r="E199" i="14"/>
  <c r="F199" i="14"/>
  <c r="G199" i="14"/>
  <c r="I199" i="14"/>
  <c r="J199" i="14"/>
  <c r="E200" i="14"/>
  <c r="F200" i="14"/>
  <c r="G200" i="14"/>
  <c r="I200" i="14"/>
  <c r="J200" i="14"/>
  <c r="E201" i="14"/>
  <c r="F201" i="14"/>
  <c r="G201" i="14"/>
  <c r="I201" i="14"/>
  <c r="J201" i="14"/>
  <c r="E202" i="14"/>
  <c r="F202" i="14"/>
  <c r="G202" i="14"/>
  <c r="I202" i="14"/>
  <c r="J202" i="14"/>
  <c r="E203" i="14"/>
  <c r="F203" i="14"/>
  <c r="G203" i="14"/>
  <c r="I203" i="14"/>
  <c r="J203" i="14"/>
  <c r="E204" i="14"/>
  <c r="F204" i="14"/>
  <c r="G204" i="14"/>
  <c r="I204" i="14"/>
  <c r="J204" i="14"/>
  <c r="E205" i="14"/>
  <c r="F205" i="14"/>
  <c r="G205" i="14"/>
  <c r="I205" i="14"/>
  <c r="J205" i="14"/>
  <c r="E206" i="14"/>
  <c r="F206" i="14"/>
  <c r="G206" i="14"/>
  <c r="I206" i="14"/>
  <c r="J206" i="14"/>
  <c r="E207" i="14"/>
  <c r="F207" i="14"/>
  <c r="G207" i="14"/>
  <c r="I207" i="14"/>
  <c r="J207" i="14"/>
  <c r="E208" i="14"/>
  <c r="F208" i="14"/>
  <c r="G208" i="14"/>
  <c r="I208" i="14"/>
  <c r="J208" i="14"/>
  <c r="E209" i="14"/>
  <c r="F209" i="14"/>
  <c r="G209" i="14"/>
  <c r="I209" i="14"/>
  <c r="J209" i="14"/>
  <c r="E210" i="14"/>
  <c r="F210" i="14"/>
  <c r="G210" i="14"/>
  <c r="I210" i="14"/>
  <c r="J210" i="14"/>
  <c r="E211" i="14"/>
  <c r="F211" i="14"/>
  <c r="G211" i="14"/>
  <c r="I211" i="14"/>
  <c r="J211" i="14"/>
  <c r="E212" i="14"/>
  <c r="F212" i="14"/>
  <c r="G212" i="14"/>
  <c r="I212" i="14"/>
  <c r="J212" i="14"/>
  <c r="E213" i="14"/>
  <c r="F213" i="14"/>
  <c r="G213" i="14"/>
  <c r="I213" i="14"/>
  <c r="J213" i="14"/>
  <c r="E214" i="14"/>
  <c r="F214" i="14"/>
  <c r="G214" i="14"/>
  <c r="I214" i="14"/>
  <c r="J214" i="14"/>
  <c r="E215" i="14"/>
  <c r="F215" i="14"/>
  <c r="G215" i="14"/>
  <c r="I215" i="14"/>
  <c r="J215" i="14"/>
  <c r="E216" i="14"/>
  <c r="F216" i="14"/>
  <c r="G216" i="14"/>
  <c r="I216" i="14"/>
  <c r="J216" i="14"/>
  <c r="E217" i="14"/>
  <c r="F217" i="14"/>
  <c r="G217" i="14"/>
  <c r="I217" i="14"/>
  <c r="J217" i="14"/>
  <c r="E218" i="14"/>
  <c r="F218" i="14"/>
  <c r="G218" i="14"/>
  <c r="I218" i="14"/>
  <c r="J218" i="14"/>
  <c r="E219" i="14"/>
  <c r="F219" i="14"/>
  <c r="G219" i="14"/>
  <c r="I219" i="14"/>
  <c r="J219" i="14"/>
  <c r="E220" i="14"/>
  <c r="F220" i="14"/>
  <c r="G220" i="14"/>
  <c r="I220" i="14"/>
  <c r="J220" i="14"/>
  <c r="E221" i="14"/>
  <c r="F221" i="14"/>
  <c r="G221" i="14"/>
  <c r="I221" i="14"/>
  <c r="J221" i="14"/>
  <c r="E222" i="14"/>
  <c r="F222" i="14"/>
  <c r="G222" i="14"/>
  <c r="I222" i="14"/>
  <c r="J222" i="14"/>
  <c r="E223" i="14"/>
  <c r="F223" i="14"/>
  <c r="G223" i="14"/>
  <c r="I223" i="14"/>
  <c r="J223" i="14"/>
  <c r="E224" i="14"/>
  <c r="F224" i="14"/>
  <c r="G224" i="14"/>
  <c r="I224" i="14"/>
  <c r="J224" i="14"/>
  <c r="E225" i="14"/>
  <c r="F225" i="14"/>
  <c r="G225" i="14"/>
  <c r="I225" i="14"/>
  <c r="J225" i="14"/>
  <c r="E226" i="14"/>
  <c r="F226" i="14"/>
  <c r="G226" i="14"/>
  <c r="I226" i="14"/>
  <c r="J226" i="14"/>
  <c r="E227" i="14"/>
  <c r="F227" i="14"/>
  <c r="G227" i="14"/>
  <c r="I227" i="14"/>
  <c r="J227" i="14"/>
  <c r="E228" i="14"/>
  <c r="F228" i="14"/>
  <c r="G228" i="14"/>
  <c r="I228" i="14"/>
  <c r="J228" i="14"/>
  <c r="E229" i="14"/>
  <c r="F229" i="14"/>
  <c r="G229" i="14"/>
  <c r="I229" i="14"/>
  <c r="J229" i="14"/>
  <c r="E230" i="14"/>
  <c r="F230" i="14"/>
  <c r="G230" i="14"/>
  <c r="I230" i="14"/>
  <c r="J230" i="14"/>
  <c r="E231" i="14"/>
  <c r="F231" i="14"/>
  <c r="G231" i="14"/>
  <c r="I231" i="14"/>
  <c r="J231" i="14"/>
  <c r="E232" i="14"/>
  <c r="F232" i="14"/>
  <c r="G232" i="14"/>
  <c r="I232" i="14"/>
  <c r="J232" i="14"/>
  <c r="E233" i="14"/>
  <c r="F233" i="14"/>
  <c r="G233" i="14"/>
  <c r="I233" i="14"/>
  <c r="J233" i="14"/>
  <c r="E234" i="14"/>
  <c r="F234" i="14"/>
  <c r="G234" i="14"/>
  <c r="I234" i="14"/>
  <c r="J234" i="14"/>
  <c r="E235" i="14"/>
  <c r="F235" i="14"/>
  <c r="G235" i="14"/>
  <c r="I235" i="14"/>
  <c r="J235" i="14"/>
  <c r="E236" i="14"/>
  <c r="F236" i="14"/>
  <c r="G236" i="14"/>
  <c r="I236" i="14"/>
  <c r="J236" i="14"/>
  <c r="E237" i="14"/>
  <c r="F237" i="14"/>
  <c r="G237" i="14"/>
  <c r="I237" i="14"/>
  <c r="J237" i="14"/>
  <c r="E238" i="14"/>
  <c r="F238" i="14"/>
  <c r="G238" i="14"/>
  <c r="I238" i="14"/>
  <c r="J238" i="14"/>
  <c r="E239" i="14"/>
  <c r="F239" i="14"/>
  <c r="G239" i="14"/>
  <c r="I239" i="14"/>
  <c r="J239" i="14"/>
  <c r="E240" i="14"/>
  <c r="F240" i="14"/>
  <c r="G240" i="14"/>
  <c r="I240" i="14"/>
  <c r="J240" i="14"/>
  <c r="E241" i="14"/>
  <c r="F241" i="14"/>
  <c r="G241" i="14"/>
  <c r="I241" i="14"/>
  <c r="J241" i="14"/>
  <c r="E242" i="14"/>
  <c r="F242" i="14"/>
  <c r="G242" i="14"/>
  <c r="I242" i="14"/>
  <c r="J242" i="14"/>
  <c r="E243" i="14"/>
  <c r="F243" i="14"/>
  <c r="G243" i="14"/>
  <c r="I243" i="14"/>
  <c r="J243" i="14"/>
  <c r="E244" i="14"/>
  <c r="F244" i="14"/>
  <c r="G244" i="14"/>
  <c r="I244" i="14"/>
  <c r="J244" i="14"/>
  <c r="E245" i="14"/>
  <c r="F245" i="14"/>
  <c r="G245" i="14"/>
  <c r="I245" i="14"/>
  <c r="J245" i="14"/>
  <c r="E246" i="14"/>
  <c r="F246" i="14"/>
  <c r="G246" i="14"/>
  <c r="I246" i="14"/>
  <c r="J246" i="14"/>
  <c r="E247" i="14"/>
  <c r="F247" i="14"/>
  <c r="G247" i="14"/>
  <c r="I247" i="14"/>
  <c r="J247" i="14"/>
  <c r="E248" i="14"/>
  <c r="F248" i="14"/>
  <c r="G248" i="14"/>
  <c r="I248" i="14"/>
  <c r="J248" i="14"/>
  <c r="E249" i="14"/>
  <c r="F249" i="14"/>
  <c r="G249" i="14"/>
  <c r="I249" i="14"/>
  <c r="J249" i="14"/>
  <c r="E250" i="14"/>
  <c r="F250" i="14"/>
  <c r="G250" i="14"/>
  <c r="I250" i="14"/>
  <c r="J250" i="14"/>
  <c r="E251" i="14"/>
  <c r="F251" i="14"/>
  <c r="G251" i="14"/>
  <c r="I251" i="14"/>
  <c r="J251" i="14"/>
  <c r="E252" i="14"/>
  <c r="F252" i="14"/>
  <c r="G252" i="14"/>
  <c r="I252" i="14"/>
  <c r="J252" i="14"/>
  <c r="E253" i="14"/>
  <c r="F253" i="14"/>
  <c r="G253" i="14"/>
  <c r="I253" i="14"/>
  <c r="J253" i="14"/>
  <c r="E254" i="14"/>
  <c r="F254" i="14"/>
  <c r="G254" i="14"/>
  <c r="I254" i="14"/>
  <c r="J254" i="14"/>
  <c r="E255" i="14"/>
  <c r="F255" i="14"/>
  <c r="G255" i="14"/>
  <c r="I255" i="14"/>
  <c r="J255" i="14"/>
  <c r="E256" i="14"/>
  <c r="F256" i="14"/>
  <c r="G256" i="14"/>
  <c r="I256" i="14"/>
  <c r="J256" i="14"/>
  <c r="E257" i="14"/>
  <c r="F257" i="14"/>
  <c r="G257" i="14"/>
  <c r="I257" i="14"/>
  <c r="J257" i="14"/>
  <c r="E258" i="14"/>
  <c r="F258" i="14"/>
  <c r="G258" i="14"/>
  <c r="I258" i="14"/>
  <c r="J258" i="14"/>
  <c r="E259" i="14"/>
  <c r="F259" i="14"/>
  <c r="G259" i="14"/>
  <c r="I259" i="14"/>
  <c r="J259" i="14"/>
  <c r="E260" i="14"/>
  <c r="F260" i="14"/>
  <c r="G260" i="14"/>
  <c r="I260" i="14"/>
  <c r="J260" i="14"/>
  <c r="E261" i="14"/>
  <c r="F261" i="14"/>
  <c r="G261" i="14"/>
  <c r="I261" i="14"/>
  <c r="J261" i="14"/>
  <c r="E262" i="14"/>
  <c r="F262" i="14"/>
  <c r="G262" i="14"/>
  <c r="I262" i="14"/>
  <c r="J262" i="14"/>
  <c r="E263" i="14"/>
  <c r="F263" i="14"/>
  <c r="G263" i="14"/>
  <c r="I263" i="14"/>
  <c r="J263" i="14"/>
  <c r="E264" i="14"/>
  <c r="F264" i="14"/>
  <c r="G264" i="14"/>
  <c r="I264" i="14"/>
  <c r="J264" i="14"/>
  <c r="E265" i="14"/>
  <c r="F265" i="14"/>
  <c r="G265" i="14"/>
  <c r="I265" i="14"/>
  <c r="J265" i="14"/>
  <c r="E266" i="14"/>
  <c r="F266" i="14"/>
  <c r="G266" i="14"/>
  <c r="I266" i="14"/>
  <c r="J266" i="14"/>
  <c r="E267" i="14"/>
  <c r="F267" i="14"/>
  <c r="G267" i="14"/>
  <c r="I267" i="14"/>
  <c r="J267" i="14"/>
  <c r="E268" i="14"/>
  <c r="F268" i="14"/>
  <c r="G268" i="14"/>
  <c r="I268" i="14"/>
  <c r="J268" i="14"/>
  <c r="E269" i="14"/>
  <c r="F269" i="14"/>
  <c r="G269" i="14"/>
  <c r="I269" i="14"/>
  <c r="J269" i="14"/>
  <c r="E270" i="14"/>
  <c r="F270" i="14"/>
  <c r="G270" i="14"/>
  <c r="I270" i="14"/>
  <c r="J270" i="14"/>
  <c r="E271" i="14"/>
  <c r="F271" i="14"/>
  <c r="G271" i="14"/>
  <c r="I271" i="14"/>
  <c r="J271" i="14"/>
  <c r="E272" i="14"/>
  <c r="F272" i="14"/>
  <c r="G272" i="14"/>
  <c r="I272" i="14"/>
  <c r="J272" i="14"/>
  <c r="E273" i="14"/>
  <c r="F273" i="14"/>
  <c r="G273" i="14"/>
  <c r="I273" i="14"/>
  <c r="J273" i="14"/>
  <c r="E274" i="14"/>
  <c r="F274" i="14"/>
  <c r="G274" i="14"/>
  <c r="I274" i="14"/>
  <c r="J274" i="14"/>
  <c r="E275" i="14"/>
  <c r="F275" i="14"/>
  <c r="G275" i="14"/>
  <c r="I275" i="14"/>
  <c r="J275" i="14"/>
  <c r="E276" i="14"/>
  <c r="F276" i="14"/>
  <c r="G276" i="14"/>
  <c r="I276" i="14"/>
  <c r="J276" i="14"/>
  <c r="E277" i="14"/>
  <c r="F277" i="14"/>
  <c r="G277" i="14"/>
  <c r="I277" i="14"/>
  <c r="J277" i="14"/>
  <c r="E278" i="14"/>
  <c r="F278" i="14"/>
  <c r="G278" i="14"/>
  <c r="I278" i="14"/>
  <c r="J278" i="14"/>
  <c r="E279" i="14"/>
  <c r="F279" i="14"/>
  <c r="G279" i="14"/>
  <c r="I279" i="14"/>
  <c r="J279" i="14"/>
  <c r="E280" i="14"/>
  <c r="F280" i="14"/>
  <c r="G280" i="14"/>
  <c r="I280" i="14"/>
  <c r="J280" i="14"/>
  <c r="E281" i="14"/>
  <c r="F281" i="14"/>
  <c r="G281" i="14"/>
  <c r="I281" i="14"/>
  <c r="J281" i="14"/>
  <c r="E282" i="14"/>
  <c r="F282" i="14"/>
  <c r="G282" i="14"/>
  <c r="I282" i="14"/>
  <c r="J282" i="14"/>
  <c r="E283" i="14"/>
  <c r="F283" i="14"/>
  <c r="G283" i="14"/>
  <c r="I283" i="14"/>
  <c r="J283" i="14"/>
  <c r="E284" i="14"/>
  <c r="F284" i="14"/>
  <c r="G284" i="14"/>
  <c r="I284" i="14"/>
  <c r="J284" i="14"/>
  <c r="E285" i="14"/>
  <c r="F285" i="14"/>
  <c r="G285" i="14"/>
  <c r="I285" i="14"/>
  <c r="J285" i="14"/>
  <c r="E286" i="14"/>
  <c r="F286" i="14"/>
  <c r="G286" i="14"/>
  <c r="I286" i="14"/>
  <c r="J286" i="14"/>
  <c r="E287" i="14"/>
  <c r="F287" i="14"/>
  <c r="G287" i="14"/>
  <c r="I287" i="14"/>
  <c r="J287" i="14"/>
  <c r="E288" i="14"/>
  <c r="F288" i="14"/>
  <c r="G288" i="14"/>
  <c r="I288" i="14"/>
  <c r="J288" i="14"/>
  <c r="E289" i="14"/>
  <c r="F289" i="14"/>
  <c r="G289" i="14"/>
  <c r="I289" i="14"/>
  <c r="J289" i="14"/>
  <c r="E290" i="14"/>
  <c r="F290" i="14"/>
  <c r="G290" i="14"/>
  <c r="I290" i="14"/>
  <c r="J290" i="14"/>
  <c r="E291" i="14"/>
  <c r="F291" i="14"/>
  <c r="G291" i="14"/>
  <c r="I291" i="14"/>
  <c r="J291" i="14"/>
  <c r="E292" i="14"/>
  <c r="F292" i="14"/>
  <c r="G292" i="14"/>
  <c r="I292" i="14"/>
  <c r="J292" i="14"/>
  <c r="E293" i="14"/>
  <c r="F293" i="14"/>
  <c r="G293" i="14"/>
  <c r="I293" i="14"/>
  <c r="J293" i="14"/>
  <c r="E294" i="14"/>
  <c r="F294" i="14"/>
  <c r="G294" i="14"/>
  <c r="I294" i="14"/>
  <c r="J294" i="14"/>
  <c r="E295" i="14"/>
  <c r="F295" i="14"/>
  <c r="G295" i="14"/>
  <c r="I295" i="14"/>
  <c r="J295" i="14"/>
  <c r="E296" i="14"/>
  <c r="F296" i="14"/>
  <c r="G296" i="14"/>
  <c r="I296" i="14"/>
  <c r="J296" i="14"/>
  <c r="E297" i="14"/>
  <c r="F297" i="14"/>
  <c r="G297" i="14"/>
  <c r="I297" i="14"/>
  <c r="J297" i="14"/>
  <c r="E298" i="14"/>
  <c r="F298" i="14"/>
  <c r="G298" i="14"/>
  <c r="I298" i="14"/>
  <c r="J298" i="14"/>
  <c r="E299" i="14"/>
  <c r="F299" i="14"/>
  <c r="G299" i="14"/>
  <c r="I299" i="14"/>
  <c r="J299" i="14"/>
  <c r="E300" i="14"/>
  <c r="F300" i="14"/>
  <c r="G300" i="14"/>
  <c r="I300" i="14"/>
  <c r="J300" i="14"/>
  <c r="E301" i="14"/>
  <c r="F301" i="14"/>
  <c r="G301" i="14"/>
  <c r="I301" i="14"/>
  <c r="J301" i="14"/>
  <c r="E302" i="14"/>
  <c r="F302" i="14"/>
  <c r="G302" i="14"/>
  <c r="I302" i="14"/>
  <c r="J302" i="14"/>
  <c r="E303" i="14"/>
  <c r="F303" i="14"/>
  <c r="G303" i="14"/>
  <c r="I303" i="14"/>
  <c r="J303" i="14"/>
  <c r="E304" i="14"/>
  <c r="F304" i="14"/>
  <c r="G304" i="14"/>
  <c r="I304" i="14"/>
  <c r="J304" i="14"/>
  <c r="D86" i="16" l="1"/>
  <c r="F86" i="16"/>
  <c r="G86" i="16"/>
  <c r="B86" i="16"/>
  <c r="H79" i="16" s="1"/>
  <c r="C86" i="16"/>
  <c r="E86" i="16"/>
  <c r="B43" i="16"/>
  <c r="G36" i="16" s="1"/>
  <c r="G10" i="16"/>
  <c r="F10" i="16"/>
  <c r="D10" i="16"/>
  <c r="C10" i="16"/>
  <c r="E10" i="16"/>
  <c r="B10" i="16"/>
  <c r="H5" i="16" s="1"/>
  <c r="C56" i="16"/>
  <c r="C57" i="16"/>
  <c r="C55" i="16"/>
  <c r="C60" i="16" s="1"/>
  <c r="I304"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4" i="12"/>
  <c r="I215" i="12"/>
  <c r="I216" i="12"/>
  <c r="I217"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253" i="12"/>
  <c r="I254" i="12"/>
  <c r="I255" i="12"/>
  <c r="I256" i="12"/>
  <c r="I257" i="12"/>
  <c r="I258" i="12"/>
  <c r="I259" i="12"/>
  <c r="I260" i="12"/>
  <c r="I261" i="12"/>
  <c r="I262" i="12"/>
  <c r="I263" i="12"/>
  <c r="I264" i="12"/>
  <c r="I265" i="12"/>
  <c r="I266" i="12"/>
  <c r="I267" i="12"/>
  <c r="I268" i="12"/>
  <c r="I269" i="12"/>
  <c r="I270" i="12"/>
  <c r="I271" i="12"/>
  <c r="I272" i="12"/>
  <c r="I273" i="12"/>
  <c r="I274" i="12"/>
  <c r="I275" i="12"/>
  <c r="I276" i="12"/>
  <c r="I277" i="12"/>
  <c r="I278" i="12"/>
  <c r="I279" i="12"/>
  <c r="I280" i="12"/>
  <c r="I281" i="12"/>
  <c r="I282" i="12"/>
  <c r="I283" i="12"/>
  <c r="I284" i="12"/>
  <c r="I285" i="12"/>
  <c r="I286" i="12"/>
  <c r="I287" i="12"/>
  <c r="I288" i="12"/>
  <c r="I289" i="12"/>
  <c r="I290" i="12"/>
  <c r="I291" i="12"/>
  <c r="I292" i="12"/>
  <c r="I293" i="12"/>
  <c r="I294" i="12"/>
  <c r="I295" i="12"/>
  <c r="I296" i="12"/>
  <c r="I297" i="12"/>
  <c r="I298" i="12"/>
  <c r="I299" i="12"/>
  <c r="I300" i="12"/>
  <c r="I301" i="12"/>
  <c r="I302" i="12"/>
  <c r="I30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G303" i="12"/>
  <c r="G304"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D83" i="10"/>
  <c r="E83" i="10"/>
  <c r="F83" i="10"/>
  <c r="G83" i="10"/>
  <c r="C83" i="10"/>
  <c r="D82" i="10"/>
  <c r="E82" i="10"/>
  <c r="F82" i="10"/>
  <c r="G82" i="10"/>
  <c r="C82" i="10"/>
  <c r="D81" i="10"/>
  <c r="E81" i="10"/>
  <c r="F81" i="10"/>
  <c r="G81" i="10"/>
  <c r="C81" i="10"/>
  <c r="D80" i="10"/>
  <c r="E80" i="10"/>
  <c r="F80" i="10"/>
  <c r="G80" i="10"/>
  <c r="C80" i="10"/>
  <c r="F79" i="10"/>
  <c r="D79" i="10"/>
  <c r="E79" i="10"/>
  <c r="G79" i="10"/>
  <c r="C79" i="10"/>
  <c r="D78" i="10"/>
  <c r="E78" i="10"/>
  <c r="F78" i="10"/>
  <c r="G78" i="10"/>
  <c r="C78" i="10"/>
  <c r="B83" i="10"/>
  <c r="B82" i="10"/>
  <c r="B81" i="10"/>
  <c r="B80" i="10"/>
  <c r="B79" i="10"/>
  <c r="B78" i="10"/>
  <c r="B40" i="10"/>
  <c r="B39" i="10"/>
  <c r="B38" i="10"/>
  <c r="B37" i="10"/>
  <c r="B36" i="10"/>
  <c r="B35" i="10"/>
  <c r="G7" i="10"/>
  <c r="F7" i="10"/>
  <c r="E7" i="10"/>
  <c r="D7" i="10"/>
  <c r="C7" i="10"/>
  <c r="G6" i="10"/>
  <c r="F6" i="10"/>
  <c r="E6" i="10"/>
  <c r="D6" i="10"/>
  <c r="C6" i="10"/>
  <c r="G5" i="10"/>
  <c r="F5" i="10"/>
  <c r="E5" i="10"/>
  <c r="D5" i="10"/>
  <c r="C5" i="10"/>
  <c r="G4" i="10"/>
  <c r="F4" i="10"/>
  <c r="E4" i="10"/>
  <c r="D4" i="10"/>
  <c r="C4" i="10"/>
  <c r="G3" i="10"/>
  <c r="F3" i="10"/>
  <c r="E3" i="10"/>
  <c r="D3" i="10"/>
  <c r="B7" i="10"/>
  <c r="B6" i="10"/>
  <c r="B5" i="10"/>
  <c r="B4" i="10"/>
  <c r="B3" i="10"/>
  <c r="E385" i="10"/>
  <c r="D385" i="10"/>
  <c r="C385" i="10"/>
  <c r="B385" i="10"/>
  <c r="E384" i="10"/>
  <c r="D384" i="10"/>
  <c r="C384" i="10"/>
  <c r="B384" i="10"/>
  <c r="E383" i="10"/>
  <c r="D383" i="10"/>
  <c r="C383" i="10"/>
  <c r="B383" i="10"/>
  <c r="E382" i="10"/>
  <c r="D382" i="10"/>
  <c r="C382" i="10"/>
  <c r="B382" i="10"/>
  <c r="E381" i="10"/>
  <c r="D381" i="10"/>
  <c r="C381" i="10"/>
  <c r="B381" i="10"/>
  <c r="E380" i="10"/>
  <c r="D380" i="10"/>
  <c r="C380" i="10"/>
  <c r="B380" i="10"/>
  <c r="E379" i="10"/>
  <c r="D379" i="10"/>
  <c r="C379" i="10"/>
  <c r="B379" i="10"/>
  <c r="E378" i="10"/>
  <c r="D378" i="10"/>
  <c r="C378" i="10"/>
  <c r="B378" i="10"/>
  <c r="E377" i="10"/>
  <c r="D377" i="10"/>
  <c r="C377" i="10"/>
  <c r="B377" i="10"/>
  <c r="E376" i="10"/>
  <c r="D376" i="10"/>
  <c r="C376" i="10"/>
  <c r="B376" i="10"/>
  <c r="E375" i="10"/>
  <c r="D375" i="10"/>
  <c r="C375" i="10"/>
  <c r="B375" i="10"/>
  <c r="E374" i="10"/>
  <c r="D374" i="10"/>
  <c r="C374" i="10"/>
  <c r="B374" i="10"/>
  <c r="E373" i="10"/>
  <c r="D373" i="10"/>
  <c r="C373" i="10"/>
  <c r="B373" i="10"/>
  <c r="E372" i="10"/>
  <c r="D372" i="10"/>
  <c r="C372" i="10"/>
  <c r="B372" i="10"/>
  <c r="E371" i="10"/>
  <c r="D371" i="10"/>
  <c r="C371" i="10"/>
  <c r="B371" i="10"/>
  <c r="E370" i="10"/>
  <c r="D370" i="10"/>
  <c r="C370" i="10"/>
  <c r="B370" i="10"/>
  <c r="E369" i="10"/>
  <c r="D369" i="10"/>
  <c r="C369" i="10"/>
  <c r="B369" i="10"/>
  <c r="E368" i="10"/>
  <c r="D368" i="10"/>
  <c r="C368" i="10"/>
  <c r="B368" i="10"/>
  <c r="E367" i="10"/>
  <c r="D367" i="10"/>
  <c r="C367" i="10"/>
  <c r="B367" i="10"/>
  <c r="E366" i="10"/>
  <c r="D366" i="10"/>
  <c r="C366" i="10"/>
  <c r="B366" i="10"/>
  <c r="E365" i="10"/>
  <c r="D365" i="10"/>
  <c r="C365" i="10"/>
  <c r="B365" i="10"/>
  <c r="E364" i="10"/>
  <c r="D364" i="10"/>
  <c r="C364" i="10"/>
  <c r="B364" i="10"/>
  <c r="E363" i="10"/>
  <c r="D363" i="10"/>
  <c r="C363" i="10"/>
  <c r="B363" i="10"/>
  <c r="E362" i="10"/>
  <c r="D362" i="10"/>
  <c r="C362" i="10"/>
  <c r="B362" i="10"/>
  <c r="E361" i="10"/>
  <c r="D361" i="10"/>
  <c r="C361" i="10"/>
  <c r="B361" i="10"/>
  <c r="E360" i="10"/>
  <c r="D360" i="10"/>
  <c r="C360" i="10"/>
  <c r="B360" i="10"/>
  <c r="E359" i="10"/>
  <c r="D359" i="10"/>
  <c r="C359" i="10"/>
  <c r="B359" i="10"/>
  <c r="E358" i="10"/>
  <c r="D358" i="10"/>
  <c r="C358" i="10"/>
  <c r="B358" i="10"/>
  <c r="E357" i="10"/>
  <c r="D357" i="10"/>
  <c r="C357" i="10"/>
  <c r="B357" i="10"/>
  <c r="E356" i="10"/>
  <c r="D356" i="10"/>
  <c r="C356" i="10"/>
  <c r="B356" i="10"/>
  <c r="E355" i="10"/>
  <c r="D355" i="10"/>
  <c r="C355" i="10"/>
  <c r="B355" i="10"/>
  <c r="E354" i="10"/>
  <c r="D354" i="10"/>
  <c r="C354" i="10"/>
  <c r="B354" i="10"/>
  <c r="E353" i="10"/>
  <c r="D353" i="10"/>
  <c r="C353" i="10"/>
  <c r="B353" i="10"/>
  <c r="E352" i="10"/>
  <c r="D352" i="10"/>
  <c r="C352" i="10"/>
  <c r="B352" i="10"/>
  <c r="E351" i="10"/>
  <c r="D351" i="10"/>
  <c r="C351" i="10"/>
  <c r="B351" i="10"/>
  <c r="E350" i="10"/>
  <c r="D350" i="10"/>
  <c r="C350" i="10"/>
  <c r="B350" i="10"/>
  <c r="E349" i="10"/>
  <c r="D349" i="10"/>
  <c r="C349" i="10"/>
  <c r="B349" i="10"/>
  <c r="E348" i="10"/>
  <c r="D348" i="10"/>
  <c r="C348" i="10"/>
  <c r="B348" i="10"/>
  <c r="E347" i="10"/>
  <c r="D347" i="10"/>
  <c r="C347" i="10"/>
  <c r="B347" i="10"/>
  <c r="E346" i="10"/>
  <c r="D346" i="10"/>
  <c r="C346" i="10"/>
  <c r="B346" i="10"/>
  <c r="E345" i="10"/>
  <c r="D345" i="10"/>
  <c r="C345" i="10"/>
  <c r="B345" i="10"/>
  <c r="E344" i="10"/>
  <c r="D344" i="10"/>
  <c r="C344" i="10"/>
  <c r="B344" i="10"/>
  <c r="E343" i="10"/>
  <c r="D343" i="10"/>
  <c r="C343" i="10"/>
  <c r="B343" i="10"/>
  <c r="E342" i="10"/>
  <c r="D342" i="10"/>
  <c r="C342" i="10"/>
  <c r="B342" i="10"/>
  <c r="E341" i="10"/>
  <c r="D341" i="10"/>
  <c r="C341" i="10"/>
  <c r="B341" i="10"/>
  <c r="E340" i="10"/>
  <c r="D340" i="10"/>
  <c r="C340" i="10"/>
  <c r="B340" i="10"/>
  <c r="E339" i="10"/>
  <c r="D339" i="10"/>
  <c r="C339" i="10"/>
  <c r="B339" i="10"/>
  <c r="E338" i="10"/>
  <c r="D338" i="10"/>
  <c r="C338" i="10"/>
  <c r="B338" i="10"/>
  <c r="E337" i="10"/>
  <c r="D337" i="10"/>
  <c r="C337" i="10"/>
  <c r="B337" i="10"/>
  <c r="E336" i="10"/>
  <c r="D336" i="10"/>
  <c r="C336" i="10"/>
  <c r="B336" i="10"/>
  <c r="E335" i="10"/>
  <c r="D335" i="10"/>
  <c r="C335" i="10"/>
  <c r="B335" i="10"/>
  <c r="E334" i="10"/>
  <c r="D334" i="10"/>
  <c r="C334" i="10"/>
  <c r="B334" i="10"/>
  <c r="E333" i="10"/>
  <c r="D333" i="10"/>
  <c r="C333" i="10"/>
  <c r="B333" i="10"/>
  <c r="E332" i="10"/>
  <c r="D332" i="10"/>
  <c r="C332" i="10"/>
  <c r="B332" i="10"/>
  <c r="E331" i="10"/>
  <c r="D331" i="10"/>
  <c r="C331" i="10"/>
  <c r="B331" i="10"/>
  <c r="E330" i="10"/>
  <c r="D330" i="10"/>
  <c r="C330" i="10"/>
  <c r="B330" i="10"/>
  <c r="E329" i="10"/>
  <c r="D329" i="10"/>
  <c r="C329" i="10"/>
  <c r="B329" i="10"/>
  <c r="E328" i="10"/>
  <c r="D328" i="10"/>
  <c r="C328" i="10"/>
  <c r="B328" i="10"/>
  <c r="E327" i="10"/>
  <c r="D327" i="10"/>
  <c r="C327" i="10"/>
  <c r="B327" i="10"/>
  <c r="E326" i="10"/>
  <c r="D326" i="10"/>
  <c r="C326" i="10"/>
  <c r="B326" i="10"/>
  <c r="E325" i="10"/>
  <c r="D325" i="10"/>
  <c r="C325" i="10"/>
  <c r="B325" i="10"/>
  <c r="E324" i="10"/>
  <c r="D324" i="10"/>
  <c r="C324" i="10"/>
  <c r="B324" i="10"/>
  <c r="E323" i="10"/>
  <c r="D323" i="10"/>
  <c r="C323" i="10"/>
  <c r="B323" i="10"/>
  <c r="E322" i="10"/>
  <c r="D322" i="10"/>
  <c r="C322" i="10"/>
  <c r="B322" i="10"/>
  <c r="E321" i="10"/>
  <c r="D321" i="10"/>
  <c r="C321" i="10"/>
  <c r="B321" i="10"/>
  <c r="E320" i="10"/>
  <c r="D320" i="10"/>
  <c r="C320" i="10"/>
  <c r="B320" i="10"/>
  <c r="E319" i="10"/>
  <c r="D319" i="10"/>
  <c r="C319" i="10"/>
  <c r="B319" i="10"/>
  <c r="E318" i="10"/>
  <c r="D318" i="10"/>
  <c r="C318" i="10"/>
  <c r="B318" i="10"/>
  <c r="E317" i="10"/>
  <c r="D317" i="10"/>
  <c r="C317" i="10"/>
  <c r="B317" i="10"/>
  <c r="E316" i="10"/>
  <c r="D316" i="10"/>
  <c r="C316" i="10"/>
  <c r="B316" i="10"/>
  <c r="E315" i="10"/>
  <c r="D315" i="10"/>
  <c r="C315" i="10"/>
  <c r="B315" i="10"/>
  <c r="E314" i="10"/>
  <c r="D314" i="10"/>
  <c r="C314" i="10"/>
  <c r="B314" i="10"/>
  <c r="E313" i="10"/>
  <c r="D313" i="10"/>
  <c r="C313" i="10"/>
  <c r="B313" i="10"/>
  <c r="E312" i="10"/>
  <c r="D312" i="10"/>
  <c r="C312" i="10"/>
  <c r="B312" i="10"/>
  <c r="E311" i="10"/>
  <c r="D311" i="10"/>
  <c r="C311" i="10"/>
  <c r="B311" i="10"/>
  <c r="E310" i="10"/>
  <c r="D310" i="10"/>
  <c r="C310" i="10"/>
  <c r="B310" i="10"/>
  <c r="E309" i="10"/>
  <c r="D309" i="10"/>
  <c r="C309" i="10"/>
  <c r="B309" i="10"/>
  <c r="E308" i="10"/>
  <c r="D308" i="10"/>
  <c r="C308" i="10"/>
  <c r="B308" i="10"/>
  <c r="E307" i="10"/>
  <c r="D307" i="10"/>
  <c r="C307" i="10"/>
  <c r="B307" i="10"/>
  <c r="E306" i="10"/>
  <c r="D306" i="10"/>
  <c r="C306" i="10"/>
  <c r="B306" i="10"/>
  <c r="E305" i="10"/>
  <c r="D305" i="10"/>
  <c r="C305" i="10"/>
  <c r="B305" i="10"/>
  <c r="E304" i="10"/>
  <c r="D304" i="10"/>
  <c r="C304" i="10"/>
  <c r="B304" i="10"/>
  <c r="E303" i="10"/>
  <c r="D303" i="10"/>
  <c r="C303" i="10"/>
  <c r="B303" i="10"/>
  <c r="E302" i="10"/>
  <c r="D302" i="10"/>
  <c r="C302" i="10"/>
  <c r="B302" i="10"/>
  <c r="E301" i="10"/>
  <c r="D301" i="10"/>
  <c r="C301" i="10"/>
  <c r="B301" i="10"/>
  <c r="E300" i="10"/>
  <c r="D300" i="10"/>
  <c r="C300" i="10"/>
  <c r="B300" i="10"/>
  <c r="E299" i="10"/>
  <c r="D299" i="10"/>
  <c r="C299" i="10"/>
  <c r="B299" i="10"/>
  <c r="E298" i="10"/>
  <c r="D298" i="10"/>
  <c r="C298" i="10"/>
  <c r="B298" i="10"/>
  <c r="E297" i="10"/>
  <c r="D297" i="10"/>
  <c r="C297" i="10"/>
  <c r="B297" i="10"/>
  <c r="E296" i="10"/>
  <c r="D296" i="10"/>
  <c r="C296" i="10"/>
  <c r="B296" i="10"/>
  <c r="E295" i="10"/>
  <c r="D295" i="10"/>
  <c r="C295" i="10"/>
  <c r="B295" i="10"/>
  <c r="E294" i="10"/>
  <c r="D294" i="10"/>
  <c r="C294" i="10"/>
  <c r="B294" i="10"/>
  <c r="E293" i="10"/>
  <c r="D293" i="10"/>
  <c r="C293" i="10"/>
  <c r="B293" i="10"/>
  <c r="E292" i="10"/>
  <c r="D292" i="10"/>
  <c r="C292" i="10"/>
  <c r="B292" i="10"/>
  <c r="E291" i="10"/>
  <c r="D291" i="10"/>
  <c r="C291" i="10"/>
  <c r="B291" i="10"/>
  <c r="E290" i="10"/>
  <c r="D290" i="10"/>
  <c r="C290" i="10"/>
  <c r="B290" i="10"/>
  <c r="E289" i="10"/>
  <c r="D289" i="10"/>
  <c r="C289" i="10"/>
  <c r="B289" i="10"/>
  <c r="E288" i="10"/>
  <c r="D288" i="10"/>
  <c r="C288" i="10"/>
  <c r="B288" i="10"/>
  <c r="E287" i="10"/>
  <c r="D287" i="10"/>
  <c r="C287" i="10"/>
  <c r="B287" i="10"/>
  <c r="E286" i="10"/>
  <c r="D286" i="10"/>
  <c r="C286" i="10"/>
  <c r="B286" i="10"/>
  <c r="E285" i="10"/>
  <c r="D285" i="10"/>
  <c r="C285" i="10"/>
  <c r="B285" i="10"/>
  <c r="E284" i="10"/>
  <c r="D284" i="10"/>
  <c r="C284" i="10"/>
  <c r="B284" i="10"/>
  <c r="E283" i="10"/>
  <c r="D283" i="10"/>
  <c r="C283" i="10"/>
  <c r="B283" i="10"/>
  <c r="E282" i="10"/>
  <c r="D282" i="10"/>
  <c r="C282" i="10"/>
  <c r="B282" i="10"/>
  <c r="E281" i="10"/>
  <c r="D281" i="10"/>
  <c r="C281" i="10"/>
  <c r="B281" i="10"/>
  <c r="E280" i="10"/>
  <c r="D280" i="10"/>
  <c r="C280" i="10"/>
  <c r="B280" i="10"/>
  <c r="E279" i="10"/>
  <c r="D279" i="10"/>
  <c r="C279" i="10"/>
  <c r="B279" i="10"/>
  <c r="E278" i="10"/>
  <c r="D278" i="10"/>
  <c r="C278" i="10"/>
  <c r="B278" i="10"/>
  <c r="E277" i="10"/>
  <c r="D277" i="10"/>
  <c r="C277" i="10"/>
  <c r="B277" i="10"/>
  <c r="E276" i="10"/>
  <c r="D276" i="10"/>
  <c r="C276" i="10"/>
  <c r="B276" i="10"/>
  <c r="E275" i="10"/>
  <c r="D275" i="10"/>
  <c r="C275" i="10"/>
  <c r="B275" i="10"/>
  <c r="E274" i="10"/>
  <c r="D274" i="10"/>
  <c r="C274" i="10"/>
  <c r="B274" i="10"/>
  <c r="E273" i="10"/>
  <c r="D273" i="10"/>
  <c r="C273" i="10"/>
  <c r="B273" i="10"/>
  <c r="E272" i="10"/>
  <c r="D272" i="10"/>
  <c r="C272" i="10"/>
  <c r="B272" i="10"/>
  <c r="E271" i="10"/>
  <c r="D271" i="10"/>
  <c r="C271" i="10"/>
  <c r="B271" i="10"/>
  <c r="E270" i="10"/>
  <c r="D270" i="10"/>
  <c r="C270" i="10"/>
  <c r="B270" i="10"/>
  <c r="E269" i="10"/>
  <c r="D269" i="10"/>
  <c r="C269" i="10"/>
  <c r="B269" i="10"/>
  <c r="E268" i="10"/>
  <c r="D268" i="10"/>
  <c r="C268" i="10"/>
  <c r="B268" i="10"/>
  <c r="E267" i="10"/>
  <c r="D267" i="10"/>
  <c r="C267" i="10"/>
  <c r="B267" i="10"/>
  <c r="E266" i="10"/>
  <c r="D266" i="10"/>
  <c r="C266" i="10"/>
  <c r="B266" i="10"/>
  <c r="E265" i="10"/>
  <c r="D265" i="10"/>
  <c r="C265" i="10"/>
  <c r="B265" i="10"/>
  <c r="E264" i="10"/>
  <c r="D264" i="10"/>
  <c r="C264" i="10"/>
  <c r="B264" i="10"/>
  <c r="E263" i="10"/>
  <c r="D263" i="10"/>
  <c r="C263" i="10"/>
  <c r="B263" i="10"/>
  <c r="E262" i="10"/>
  <c r="D262" i="10"/>
  <c r="C262" i="10"/>
  <c r="B262" i="10"/>
  <c r="E261" i="10"/>
  <c r="D261" i="10"/>
  <c r="C261" i="10"/>
  <c r="B261" i="10"/>
  <c r="E260" i="10"/>
  <c r="D260" i="10"/>
  <c r="C260" i="10"/>
  <c r="B260" i="10"/>
  <c r="E259" i="10"/>
  <c r="D259" i="10"/>
  <c r="C259" i="10"/>
  <c r="B259" i="10"/>
  <c r="E258" i="10"/>
  <c r="D258" i="10"/>
  <c r="C258" i="10"/>
  <c r="B258" i="10"/>
  <c r="E257" i="10"/>
  <c r="D257" i="10"/>
  <c r="C257" i="10"/>
  <c r="B257" i="10"/>
  <c r="E256" i="10"/>
  <c r="D256" i="10"/>
  <c r="C256" i="10"/>
  <c r="B256" i="10"/>
  <c r="E255" i="10"/>
  <c r="D255" i="10"/>
  <c r="C255" i="10"/>
  <c r="B255" i="10"/>
  <c r="E254" i="10"/>
  <c r="D254" i="10"/>
  <c r="C254" i="10"/>
  <c r="B254" i="10"/>
  <c r="E253" i="10"/>
  <c r="D253" i="10"/>
  <c r="C253" i="10"/>
  <c r="B253" i="10"/>
  <c r="E252" i="10"/>
  <c r="D252" i="10"/>
  <c r="C252" i="10"/>
  <c r="B252" i="10"/>
  <c r="E251" i="10"/>
  <c r="D251" i="10"/>
  <c r="C251" i="10"/>
  <c r="B251" i="10"/>
  <c r="E250" i="10"/>
  <c r="D250" i="10"/>
  <c r="C250" i="10"/>
  <c r="B250" i="10"/>
  <c r="E249" i="10"/>
  <c r="D249" i="10"/>
  <c r="C249" i="10"/>
  <c r="B249" i="10"/>
  <c r="E248" i="10"/>
  <c r="D248" i="10"/>
  <c r="C248" i="10"/>
  <c r="B248" i="10"/>
  <c r="E247" i="10"/>
  <c r="D247" i="10"/>
  <c r="C247" i="10"/>
  <c r="B247" i="10"/>
  <c r="E246" i="10"/>
  <c r="D246" i="10"/>
  <c r="C246" i="10"/>
  <c r="B246" i="10"/>
  <c r="E245" i="10"/>
  <c r="D245" i="10"/>
  <c r="C245" i="10"/>
  <c r="B245" i="10"/>
  <c r="E244" i="10"/>
  <c r="D244" i="10"/>
  <c r="C244" i="10"/>
  <c r="B244" i="10"/>
  <c r="E243" i="10"/>
  <c r="D243" i="10"/>
  <c r="C243" i="10"/>
  <c r="B243" i="10"/>
  <c r="E242" i="10"/>
  <c r="D242" i="10"/>
  <c r="C242" i="10"/>
  <c r="B242" i="10"/>
  <c r="E241" i="10"/>
  <c r="D241" i="10"/>
  <c r="C241" i="10"/>
  <c r="B241" i="10"/>
  <c r="E240" i="10"/>
  <c r="D240" i="10"/>
  <c r="C240" i="10"/>
  <c r="B240" i="10"/>
  <c r="E239" i="10"/>
  <c r="D239" i="10"/>
  <c r="C239" i="10"/>
  <c r="B239" i="10"/>
  <c r="E238" i="10"/>
  <c r="D238" i="10"/>
  <c r="C238" i="10"/>
  <c r="B238" i="10"/>
  <c r="E237" i="10"/>
  <c r="D237" i="10"/>
  <c r="C237" i="10"/>
  <c r="B237" i="10"/>
  <c r="E236" i="10"/>
  <c r="D236" i="10"/>
  <c r="C236" i="10"/>
  <c r="B236" i="10"/>
  <c r="E235" i="10"/>
  <c r="D235" i="10"/>
  <c r="C235" i="10"/>
  <c r="B235" i="10"/>
  <c r="E234" i="10"/>
  <c r="D234" i="10"/>
  <c r="C234" i="10"/>
  <c r="B234" i="10"/>
  <c r="E233" i="10"/>
  <c r="D233" i="10"/>
  <c r="C233" i="10"/>
  <c r="B233" i="10"/>
  <c r="E232" i="10"/>
  <c r="D232" i="10"/>
  <c r="C232" i="10"/>
  <c r="B232" i="10"/>
  <c r="E231" i="10"/>
  <c r="D231" i="10"/>
  <c r="C231" i="10"/>
  <c r="B231" i="10"/>
  <c r="E230" i="10"/>
  <c r="D230" i="10"/>
  <c r="C230" i="10"/>
  <c r="B230" i="10"/>
  <c r="E229" i="10"/>
  <c r="D229" i="10"/>
  <c r="C229" i="10"/>
  <c r="B229" i="10"/>
  <c r="E228" i="10"/>
  <c r="D228" i="10"/>
  <c r="C228" i="10"/>
  <c r="B228" i="10"/>
  <c r="E227" i="10"/>
  <c r="D227" i="10"/>
  <c r="C227" i="10"/>
  <c r="B227" i="10"/>
  <c r="E226" i="10"/>
  <c r="D226" i="10"/>
  <c r="C226" i="10"/>
  <c r="B226" i="10"/>
  <c r="E225" i="10"/>
  <c r="D225" i="10"/>
  <c r="C225" i="10"/>
  <c r="B225" i="10"/>
  <c r="E224" i="10"/>
  <c r="D224" i="10"/>
  <c r="C224" i="10"/>
  <c r="B224" i="10"/>
  <c r="E223" i="10"/>
  <c r="D223" i="10"/>
  <c r="C223" i="10"/>
  <c r="B223" i="10"/>
  <c r="E222" i="10"/>
  <c r="D222" i="10"/>
  <c r="C222" i="10"/>
  <c r="B222" i="10"/>
  <c r="E221" i="10"/>
  <c r="D221" i="10"/>
  <c r="C221" i="10"/>
  <c r="B221" i="10"/>
  <c r="E220" i="10"/>
  <c r="D220" i="10"/>
  <c r="C220" i="10"/>
  <c r="B220" i="10"/>
  <c r="E219" i="10"/>
  <c r="D219" i="10"/>
  <c r="C219" i="10"/>
  <c r="B219" i="10"/>
  <c r="E218" i="10"/>
  <c r="D218" i="10"/>
  <c r="C218" i="10"/>
  <c r="B218" i="10"/>
  <c r="E217" i="10"/>
  <c r="D217" i="10"/>
  <c r="C217" i="10"/>
  <c r="B217" i="10"/>
  <c r="E216" i="10"/>
  <c r="D216" i="10"/>
  <c r="C216" i="10"/>
  <c r="B216" i="10"/>
  <c r="E215" i="10"/>
  <c r="D215" i="10"/>
  <c r="C215" i="10"/>
  <c r="B215" i="10"/>
  <c r="E214" i="10"/>
  <c r="D214" i="10"/>
  <c r="C214" i="10"/>
  <c r="B214" i="10"/>
  <c r="E213" i="10"/>
  <c r="D213" i="10"/>
  <c r="C213" i="10"/>
  <c r="B213" i="10"/>
  <c r="E212" i="10"/>
  <c r="D212" i="10"/>
  <c r="C212" i="10"/>
  <c r="B212" i="10"/>
  <c r="E211" i="10"/>
  <c r="D211" i="10"/>
  <c r="C211" i="10"/>
  <c r="B211" i="10"/>
  <c r="E210" i="10"/>
  <c r="D210" i="10"/>
  <c r="C210" i="10"/>
  <c r="B210" i="10"/>
  <c r="E209" i="10"/>
  <c r="D209" i="10"/>
  <c r="C209" i="10"/>
  <c r="B209" i="10"/>
  <c r="E208" i="10"/>
  <c r="D208" i="10"/>
  <c r="C208" i="10"/>
  <c r="B208" i="10"/>
  <c r="E207" i="10"/>
  <c r="D207" i="10"/>
  <c r="C207" i="10"/>
  <c r="B207" i="10"/>
  <c r="E206" i="10"/>
  <c r="D206" i="10"/>
  <c r="C206" i="10"/>
  <c r="B206" i="10"/>
  <c r="E205" i="10"/>
  <c r="D205" i="10"/>
  <c r="C205" i="10"/>
  <c r="B205" i="10"/>
  <c r="E204" i="10"/>
  <c r="D204" i="10"/>
  <c r="C204" i="10"/>
  <c r="B204" i="10"/>
  <c r="E203" i="10"/>
  <c r="D203" i="10"/>
  <c r="C203" i="10"/>
  <c r="B203" i="10"/>
  <c r="E202" i="10"/>
  <c r="D202" i="10"/>
  <c r="C202" i="10"/>
  <c r="B202" i="10"/>
  <c r="E201" i="10"/>
  <c r="D201" i="10"/>
  <c r="C201" i="10"/>
  <c r="B201" i="10"/>
  <c r="E200" i="10"/>
  <c r="D200" i="10"/>
  <c r="C200" i="10"/>
  <c r="B200" i="10"/>
  <c r="E199" i="10"/>
  <c r="D199" i="10"/>
  <c r="C199" i="10"/>
  <c r="B199" i="10"/>
  <c r="E198" i="10"/>
  <c r="D198" i="10"/>
  <c r="C198" i="10"/>
  <c r="B198" i="10"/>
  <c r="E197" i="10"/>
  <c r="D197" i="10"/>
  <c r="C197" i="10"/>
  <c r="B197" i="10"/>
  <c r="E196" i="10"/>
  <c r="D196" i="10"/>
  <c r="C196" i="10"/>
  <c r="B196" i="10"/>
  <c r="E195" i="10"/>
  <c r="D195" i="10"/>
  <c r="C195" i="10"/>
  <c r="B195" i="10"/>
  <c r="E194" i="10"/>
  <c r="D194" i="10"/>
  <c r="C194" i="10"/>
  <c r="B194" i="10"/>
  <c r="E193" i="10"/>
  <c r="D193" i="10"/>
  <c r="C193" i="10"/>
  <c r="B193" i="10"/>
  <c r="E192" i="10"/>
  <c r="D192" i="10"/>
  <c r="C192" i="10"/>
  <c r="B192" i="10"/>
  <c r="E191" i="10"/>
  <c r="D191" i="10"/>
  <c r="C191" i="10"/>
  <c r="B191" i="10"/>
  <c r="E190" i="10"/>
  <c r="D190" i="10"/>
  <c r="C190" i="10"/>
  <c r="B190" i="10"/>
  <c r="E189" i="10"/>
  <c r="D189" i="10"/>
  <c r="C189" i="10"/>
  <c r="B189" i="10"/>
  <c r="E188" i="10"/>
  <c r="D188" i="10"/>
  <c r="C188" i="10"/>
  <c r="B188" i="10"/>
  <c r="E187" i="10"/>
  <c r="D187" i="10"/>
  <c r="C187" i="10"/>
  <c r="B187" i="10"/>
  <c r="E186" i="10"/>
  <c r="D186" i="10"/>
  <c r="C186" i="10"/>
  <c r="B186" i="10"/>
  <c r="E185" i="10"/>
  <c r="D185" i="10"/>
  <c r="C185" i="10"/>
  <c r="B185" i="10"/>
  <c r="E184" i="10"/>
  <c r="D184" i="10"/>
  <c r="C184" i="10"/>
  <c r="B184" i="10"/>
  <c r="E183" i="10"/>
  <c r="D183" i="10"/>
  <c r="C183" i="10"/>
  <c r="B183" i="10"/>
  <c r="E182" i="10"/>
  <c r="D182" i="10"/>
  <c r="C182" i="10"/>
  <c r="B182" i="10"/>
  <c r="E181" i="10"/>
  <c r="D181" i="10"/>
  <c r="C181" i="10"/>
  <c r="B181" i="10"/>
  <c r="E180" i="10"/>
  <c r="D180" i="10"/>
  <c r="C180" i="10"/>
  <c r="B180" i="10"/>
  <c r="E179" i="10"/>
  <c r="D179" i="10"/>
  <c r="C179" i="10"/>
  <c r="B179" i="10"/>
  <c r="E178" i="10"/>
  <c r="D178" i="10"/>
  <c r="C178" i="10"/>
  <c r="B178" i="10"/>
  <c r="E177" i="10"/>
  <c r="D177" i="10"/>
  <c r="C177" i="10"/>
  <c r="B177" i="10"/>
  <c r="E176" i="10"/>
  <c r="D176" i="10"/>
  <c r="C176" i="10"/>
  <c r="B176" i="10"/>
  <c r="E175" i="10"/>
  <c r="D175" i="10"/>
  <c r="C175" i="10"/>
  <c r="B175" i="10"/>
  <c r="E174" i="10"/>
  <c r="D174" i="10"/>
  <c r="C174" i="10"/>
  <c r="B174" i="10"/>
  <c r="E173" i="10"/>
  <c r="D173" i="10"/>
  <c r="C173" i="10"/>
  <c r="B173" i="10"/>
  <c r="E172" i="10"/>
  <c r="D172" i="10"/>
  <c r="C172" i="10"/>
  <c r="B172" i="10"/>
  <c r="E171" i="10"/>
  <c r="D171" i="10"/>
  <c r="C171" i="10"/>
  <c r="B171" i="10"/>
  <c r="E170" i="10"/>
  <c r="D170" i="10"/>
  <c r="C170" i="10"/>
  <c r="B170" i="10"/>
  <c r="E169" i="10"/>
  <c r="D169" i="10"/>
  <c r="C169" i="10"/>
  <c r="B169" i="10"/>
  <c r="E168" i="10"/>
  <c r="D168" i="10"/>
  <c r="C168" i="10"/>
  <c r="B168" i="10"/>
  <c r="E167" i="10"/>
  <c r="D167" i="10"/>
  <c r="C167" i="10"/>
  <c r="B167" i="10"/>
  <c r="E166" i="10"/>
  <c r="D166" i="10"/>
  <c r="C166" i="10"/>
  <c r="B166" i="10"/>
  <c r="E165" i="10"/>
  <c r="D165" i="10"/>
  <c r="C165" i="10"/>
  <c r="B165" i="10"/>
  <c r="E164" i="10"/>
  <c r="D164" i="10"/>
  <c r="C164" i="10"/>
  <c r="B164" i="10"/>
  <c r="E163" i="10"/>
  <c r="D163" i="10"/>
  <c r="C163" i="10"/>
  <c r="B163" i="10"/>
  <c r="E162" i="10"/>
  <c r="D162" i="10"/>
  <c r="C162" i="10"/>
  <c r="B162" i="10"/>
  <c r="E161" i="10"/>
  <c r="D161" i="10"/>
  <c r="C161" i="10"/>
  <c r="B161" i="10"/>
  <c r="E160" i="10"/>
  <c r="D160" i="10"/>
  <c r="C160" i="10"/>
  <c r="B160" i="10"/>
  <c r="E159" i="10"/>
  <c r="D159" i="10"/>
  <c r="C159" i="10"/>
  <c r="B159" i="10"/>
  <c r="E158" i="10"/>
  <c r="D158" i="10"/>
  <c r="C158" i="10"/>
  <c r="B158" i="10"/>
  <c r="E157" i="10"/>
  <c r="D157" i="10"/>
  <c r="C157" i="10"/>
  <c r="B157" i="10"/>
  <c r="E156" i="10"/>
  <c r="D156" i="10"/>
  <c r="C156" i="10"/>
  <c r="B156" i="10"/>
  <c r="E155" i="10"/>
  <c r="D155" i="10"/>
  <c r="C155" i="10"/>
  <c r="B155" i="10"/>
  <c r="E154" i="10"/>
  <c r="D154" i="10"/>
  <c r="C154" i="10"/>
  <c r="B154" i="10"/>
  <c r="E153" i="10"/>
  <c r="D153" i="10"/>
  <c r="C153" i="10"/>
  <c r="B153" i="10"/>
  <c r="E152" i="10"/>
  <c r="D152" i="10"/>
  <c r="C152" i="10"/>
  <c r="B152" i="10"/>
  <c r="E151" i="10"/>
  <c r="D151" i="10"/>
  <c r="C151" i="10"/>
  <c r="B151" i="10"/>
  <c r="E150" i="10"/>
  <c r="D150" i="10"/>
  <c r="C150" i="10"/>
  <c r="B150" i="10"/>
  <c r="E149" i="10"/>
  <c r="D149" i="10"/>
  <c r="C149" i="10"/>
  <c r="B149" i="10"/>
  <c r="E148" i="10"/>
  <c r="D148" i="10"/>
  <c r="C148" i="10"/>
  <c r="B148" i="10"/>
  <c r="E147" i="10"/>
  <c r="D147" i="10"/>
  <c r="C147" i="10"/>
  <c r="B147" i="10"/>
  <c r="E146" i="10"/>
  <c r="D146" i="10"/>
  <c r="C146" i="10"/>
  <c r="B146" i="10"/>
  <c r="E145" i="10"/>
  <c r="D145" i="10"/>
  <c r="C145" i="10"/>
  <c r="B145" i="10"/>
  <c r="E144" i="10"/>
  <c r="D144" i="10"/>
  <c r="C144" i="10"/>
  <c r="B144" i="10"/>
  <c r="E143" i="10"/>
  <c r="D143" i="10"/>
  <c r="C143" i="10"/>
  <c r="B143" i="10"/>
  <c r="E142" i="10"/>
  <c r="D142" i="10"/>
  <c r="C142" i="10"/>
  <c r="B142" i="10"/>
  <c r="E141" i="10"/>
  <c r="D141" i="10"/>
  <c r="C141" i="10"/>
  <c r="B141" i="10"/>
  <c r="E140" i="10"/>
  <c r="D140" i="10"/>
  <c r="C140" i="10"/>
  <c r="B140" i="10"/>
  <c r="E139" i="10"/>
  <c r="D139" i="10"/>
  <c r="C139" i="10"/>
  <c r="B139" i="10"/>
  <c r="E138" i="10"/>
  <c r="D138" i="10"/>
  <c r="C138" i="10"/>
  <c r="B138" i="10"/>
  <c r="E137" i="10"/>
  <c r="D137" i="10"/>
  <c r="C137" i="10"/>
  <c r="B137" i="10"/>
  <c r="E136" i="10"/>
  <c r="D136" i="10"/>
  <c r="C136" i="10"/>
  <c r="B136" i="10"/>
  <c r="E135" i="10"/>
  <c r="D135" i="10"/>
  <c r="C135" i="10"/>
  <c r="B135" i="10"/>
  <c r="E134" i="10"/>
  <c r="D134" i="10"/>
  <c r="C134" i="10"/>
  <c r="B134" i="10"/>
  <c r="E133" i="10"/>
  <c r="D133" i="10"/>
  <c r="C133" i="10"/>
  <c r="B133" i="10"/>
  <c r="E132" i="10"/>
  <c r="D132" i="10"/>
  <c r="C132" i="10"/>
  <c r="B132" i="10"/>
  <c r="E131" i="10"/>
  <c r="D131" i="10"/>
  <c r="C131" i="10"/>
  <c r="B131" i="10"/>
  <c r="E130" i="10"/>
  <c r="D130" i="10"/>
  <c r="C130" i="10"/>
  <c r="B130" i="10"/>
  <c r="E129" i="10"/>
  <c r="D129" i="10"/>
  <c r="C129" i="10"/>
  <c r="B129" i="10"/>
  <c r="E128" i="10"/>
  <c r="D128" i="10"/>
  <c r="C128" i="10"/>
  <c r="B128" i="10"/>
  <c r="E127" i="10"/>
  <c r="D127" i="10"/>
  <c r="C127" i="10"/>
  <c r="B127" i="10"/>
  <c r="E126" i="10"/>
  <c r="D126" i="10"/>
  <c r="C126" i="10"/>
  <c r="B126" i="10"/>
  <c r="E125" i="10"/>
  <c r="D125" i="10"/>
  <c r="C125" i="10"/>
  <c r="B125" i="10"/>
  <c r="E124" i="10"/>
  <c r="D124" i="10"/>
  <c r="C124" i="10"/>
  <c r="B124" i="10"/>
  <c r="E123" i="10"/>
  <c r="D123" i="10"/>
  <c r="C123" i="10"/>
  <c r="B123" i="10"/>
  <c r="E122" i="10"/>
  <c r="D122" i="10"/>
  <c r="C122" i="10"/>
  <c r="B122" i="10"/>
  <c r="E121" i="10"/>
  <c r="D121" i="10"/>
  <c r="C121" i="10"/>
  <c r="B121" i="10"/>
  <c r="E120" i="10"/>
  <c r="D120" i="10"/>
  <c r="C120" i="10"/>
  <c r="B120" i="10"/>
  <c r="E119" i="10"/>
  <c r="D119" i="10"/>
  <c r="C119" i="10"/>
  <c r="B119" i="10"/>
  <c r="E118" i="10"/>
  <c r="D118" i="10"/>
  <c r="C118" i="10"/>
  <c r="B118" i="10"/>
  <c r="E117" i="10"/>
  <c r="D117" i="10"/>
  <c r="C117" i="10"/>
  <c r="B117" i="10"/>
  <c r="E116" i="10"/>
  <c r="D116" i="10"/>
  <c r="C116" i="10"/>
  <c r="B116" i="10"/>
  <c r="E115" i="10"/>
  <c r="D115" i="10"/>
  <c r="C115" i="10"/>
  <c r="B115" i="10"/>
  <c r="E114" i="10"/>
  <c r="D114" i="10"/>
  <c r="C114" i="10"/>
  <c r="B114" i="10"/>
  <c r="B57" i="10"/>
  <c r="B56" i="10"/>
  <c r="B55" i="10"/>
  <c r="BV2" i="7"/>
  <c r="BT2" i="7"/>
  <c r="BP2" i="7"/>
  <c r="BL2" i="7"/>
  <c r="BB2" i="7"/>
  <c r="BL5" i="7"/>
  <c r="BM5" i="7"/>
  <c r="BN5" i="7"/>
  <c r="BO5" i="7"/>
  <c r="BP5" i="7"/>
  <c r="BQ5" i="7"/>
  <c r="BR5" i="7"/>
  <c r="BS5" i="7"/>
  <c r="BT5" i="7"/>
  <c r="BU5" i="7"/>
  <c r="BV5" i="7"/>
  <c r="BL6" i="7"/>
  <c r="BM6" i="7"/>
  <c r="BN6" i="7"/>
  <c r="BO6" i="7"/>
  <c r="BP6" i="7"/>
  <c r="BQ6" i="7"/>
  <c r="BR6" i="7"/>
  <c r="BS6" i="7"/>
  <c r="BT6" i="7"/>
  <c r="BU6" i="7"/>
  <c r="BV6" i="7"/>
  <c r="BL7" i="7"/>
  <c r="BM7" i="7"/>
  <c r="BN7" i="7"/>
  <c r="BO7" i="7"/>
  <c r="BP7" i="7"/>
  <c r="BQ7" i="7"/>
  <c r="BR7" i="7"/>
  <c r="BS7" i="7"/>
  <c r="BT7" i="7"/>
  <c r="BU7" i="7"/>
  <c r="BV7" i="7"/>
  <c r="BL8" i="7"/>
  <c r="BM8" i="7"/>
  <c r="BN8" i="7"/>
  <c r="BO8" i="7"/>
  <c r="BP8" i="7"/>
  <c r="BQ8" i="7"/>
  <c r="BR8" i="7"/>
  <c r="BS8" i="7"/>
  <c r="BT8" i="7"/>
  <c r="BU8" i="7"/>
  <c r="BV8" i="7"/>
  <c r="BL9" i="7"/>
  <c r="BM9" i="7"/>
  <c r="BN9" i="7"/>
  <c r="BO9" i="7"/>
  <c r="BP9" i="7"/>
  <c r="BQ9" i="7"/>
  <c r="BR9" i="7"/>
  <c r="BS9" i="7"/>
  <c r="BT9" i="7"/>
  <c r="BU9" i="7"/>
  <c r="BV9" i="7"/>
  <c r="BL10" i="7"/>
  <c r="BM10" i="7"/>
  <c r="BN10" i="7"/>
  <c r="BO10" i="7"/>
  <c r="BP10" i="7"/>
  <c r="BQ10" i="7"/>
  <c r="BR10" i="7"/>
  <c r="BS10" i="7"/>
  <c r="BT10" i="7"/>
  <c r="BU10" i="7"/>
  <c r="BV10" i="7"/>
  <c r="BL11" i="7"/>
  <c r="BM11" i="7"/>
  <c r="BN11" i="7"/>
  <c r="BO11" i="7"/>
  <c r="BP11" i="7"/>
  <c r="BQ11" i="7"/>
  <c r="BR11" i="7"/>
  <c r="BS11" i="7"/>
  <c r="BT11" i="7"/>
  <c r="BU11" i="7"/>
  <c r="BV11" i="7"/>
  <c r="BL12" i="7"/>
  <c r="BM12" i="7"/>
  <c r="BN12" i="7"/>
  <c r="BO12" i="7"/>
  <c r="BP12" i="7"/>
  <c r="BQ12" i="7"/>
  <c r="BR12" i="7"/>
  <c r="BS12" i="7"/>
  <c r="BT12" i="7"/>
  <c r="BU12" i="7"/>
  <c r="BV12" i="7"/>
  <c r="BL13" i="7"/>
  <c r="BM13" i="7"/>
  <c r="BN13" i="7"/>
  <c r="BO13" i="7"/>
  <c r="BP13" i="7"/>
  <c r="BQ13" i="7"/>
  <c r="BR13" i="7"/>
  <c r="BS13" i="7"/>
  <c r="BT13" i="7"/>
  <c r="BU13" i="7"/>
  <c r="BV13" i="7"/>
  <c r="BL14" i="7"/>
  <c r="BM14" i="7"/>
  <c r="BN14" i="7"/>
  <c r="BO14" i="7"/>
  <c r="BP14" i="7"/>
  <c r="BQ14" i="7"/>
  <c r="BR14" i="7"/>
  <c r="BS14" i="7"/>
  <c r="BT14" i="7"/>
  <c r="BU14" i="7"/>
  <c r="BV14" i="7"/>
  <c r="BL15" i="7"/>
  <c r="BM15" i="7"/>
  <c r="BN15" i="7"/>
  <c r="BO15" i="7"/>
  <c r="BP15" i="7"/>
  <c r="BQ15" i="7"/>
  <c r="BR15" i="7"/>
  <c r="BS15" i="7"/>
  <c r="BT15" i="7"/>
  <c r="BU15" i="7"/>
  <c r="BV15" i="7"/>
  <c r="BL16" i="7"/>
  <c r="BM16" i="7"/>
  <c r="BN16" i="7"/>
  <c r="BO16" i="7"/>
  <c r="BP16" i="7"/>
  <c r="BQ16" i="7"/>
  <c r="BR16" i="7"/>
  <c r="BS16" i="7"/>
  <c r="BT16" i="7"/>
  <c r="BU16" i="7"/>
  <c r="BV16" i="7"/>
  <c r="BL17" i="7"/>
  <c r="BM17" i="7"/>
  <c r="BN17" i="7"/>
  <c r="BO17" i="7"/>
  <c r="BP17" i="7"/>
  <c r="BQ17" i="7"/>
  <c r="BR17" i="7"/>
  <c r="BS17" i="7"/>
  <c r="BT17" i="7"/>
  <c r="BU17" i="7"/>
  <c r="BV17" i="7"/>
  <c r="BL18" i="7"/>
  <c r="BM18" i="7"/>
  <c r="BN18" i="7"/>
  <c r="BO18" i="7"/>
  <c r="BP18" i="7"/>
  <c r="BQ18" i="7"/>
  <c r="BR18" i="7"/>
  <c r="BS18" i="7"/>
  <c r="BT18" i="7"/>
  <c r="BU18" i="7"/>
  <c r="BV18" i="7"/>
  <c r="BL19" i="7"/>
  <c r="BM19" i="7"/>
  <c r="BN19" i="7"/>
  <c r="BO19" i="7"/>
  <c r="BP19" i="7"/>
  <c r="BQ19" i="7"/>
  <c r="BR19" i="7"/>
  <c r="BS19" i="7"/>
  <c r="BT19" i="7"/>
  <c r="BU19" i="7"/>
  <c r="BV19" i="7"/>
  <c r="BL20" i="7"/>
  <c r="BM20" i="7"/>
  <c r="BN20" i="7"/>
  <c r="BO20" i="7"/>
  <c r="BP20" i="7"/>
  <c r="BQ20" i="7"/>
  <c r="BR20" i="7"/>
  <c r="BS20" i="7"/>
  <c r="BT20" i="7"/>
  <c r="BU20" i="7"/>
  <c r="BV20" i="7"/>
  <c r="BL21" i="7"/>
  <c r="BM21" i="7"/>
  <c r="BN21" i="7"/>
  <c r="BO21" i="7"/>
  <c r="BP21" i="7"/>
  <c r="BQ21" i="7"/>
  <c r="BR21" i="7"/>
  <c r="BS21" i="7"/>
  <c r="BT21" i="7"/>
  <c r="BU21" i="7"/>
  <c r="BV21" i="7"/>
  <c r="BL22" i="7"/>
  <c r="BM22" i="7"/>
  <c r="BN22" i="7"/>
  <c r="BO22" i="7"/>
  <c r="BP22" i="7"/>
  <c r="BQ22" i="7"/>
  <c r="BR22" i="7"/>
  <c r="BS22" i="7"/>
  <c r="BT22" i="7"/>
  <c r="BU22" i="7"/>
  <c r="BV22" i="7"/>
  <c r="BL23" i="7"/>
  <c r="BM23" i="7"/>
  <c r="BN23" i="7"/>
  <c r="BO23" i="7"/>
  <c r="BP23" i="7"/>
  <c r="BQ23" i="7"/>
  <c r="BR23" i="7"/>
  <c r="BS23" i="7"/>
  <c r="BT23" i="7"/>
  <c r="BU23" i="7"/>
  <c r="BV23" i="7"/>
  <c r="BL24" i="7"/>
  <c r="BM24" i="7"/>
  <c r="BN24" i="7"/>
  <c r="BO24" i="7"/>
  <c r="BP24" i="7"/>
  <c r="BQ24" i="7"/>
  <c r="BR24" i="7"/>
  <c r="BS24" i="7"/>
  <c r="BT24" i="7"/>
  <c r="BU24" i="7"/>
  <c r="BV24" i="7"/>
  <c r="BL25" i="7"/>
  <c r="BM25" i="7"/>
  <c r="BN25" i="7"/>
  <c r="BO25" i="7"/>
  <c r="BP25" i="7"/>
  <c r="BQ25" i="7"/>
  <c r="BR25" i="7"/>
  <c r="BS25" i="7"/>
  <c r="BT25" i="7"/>
  <c r="BU25" i="7"/>
  <c r="BV25" i="7"/>
  <c r="BL26" i="7"/>
  <c r="BM26" i="7"/>
  <c r="BN26" i="7"/>
  <c r="BO26" i="7"/>
  <c r="BP26" i="7"/>
  <c r="BQ26" i="7"/>
  <c r="BR26" i="7"/>
  <c r="BS26" i="7"/>
  <c r="BT26" i="7"/>
  <c r="BU26" i="7"/>
  <c r="BV26" i="7"/>
  <c r="BL27" i="7"/>
  <c r="BM27" i="7"/>
  <c r="BN27" i="7"/>
  <c r="BO27" i="7"/>
  <c r="BP27" i="7"/>
  <c r="BQ27" i="7"/>
  <c r="BR27" i="7"/>
  <c r="BS27" i="7"/>
  <c r="BT27" i="7"/>
  <c r="BU27" i="7"/>
  <c r="BV27" i="7"/>
  <c r="BL28" i="7"/>
  <c r="BM28" i="7"/>
  <c r="BN28" i="7"/>
  <c r="BO28" i="7"/>
  <c r="BP28" i="7"/>
  <c r="BQ28" i="7"/>
  <c r="BR28" i="7"/>
  <c r="BS28" i="7"/>
  <c r="BT28" i="7"/>
  <c r="BU28" i="7"/>
  <c r="BV28" i="7"/>
  <c r="BL29" i="7"/>
  <c r="BM29" i="7"/>
  <c r="BN29" i="7"/>
  <c r="BO29" i="7"/>
  <c r="BP29" i="7"/>
  <c r="BQ29" i="7"/>
  <c r="BR29" i="7"/>
  <c r="BS29" i="7"/>
  <c r="BT29" i="7"/>
  <c r="BU29" i="7"/>
  <c r="BV29" i="7"/>
  <c r="BL30" i="7"/>
  <c r="BM30" i="7"/>
  <c r="BN30" i="7"/>
  <c r="BO30" i="7"/>
  <c r="BP30" i="7"/>
  <c r="BQ30" i="7"/>
  <c r="BR30" i="7"/>
  <c r="BS30" i="7"/>
  <c r="BT30" i="7"/>
  <c r="BU30" i="7"/>
  <c r="BV30" i="7"/>
  <c r="BL31" i="7"/>
  <c r="BM31" i="7"/>
  <c r="BN31" i="7"/>
  <c r="BO31" i="7"/>
  <c r="BP31" i="7"/>
  <c r="BQ31" i="7"/>
  <c r="BR31" i="7"/>
  <c r="BS31" i="7"/>
  <c r="BT31" i="7"/>
  <c r="BU31" i="7"/>
  <c r="BV31" i="7"/>
  <c r="BL32" i="7"/>
  <c r="BM32" i="7"/>
  <c r="BN32" i="7"/>
  <c r="BO32" i="7"/>
  <c r="BP32" i="7"/>
  <c r="BQ32" i="7"/>
  <c r="BR32" i="7"/>
  <c r="BS32" i="7"/>
  <c r="BT32" i="7"/>
  <c r="BU32" i="7"/>
  <c r="BV32" i="7"/>
  <c r="BL33" i="7"/>
  <c r="BM33" i="7"/>
  <c r="BN33" i="7"/>
  <c r="BO33" i="7"/>
  <c r="BP33" i="7"/>
  <c r="BQ33" i="7"/>
  <c r="BR33" i="7"/>
  <c r="BS33" i="7"/>
  <c r="BT33" i="7"/>
  <c r="BU33" i="7"/>
  <c r="BV33" i="7"/>
  <c r="BL34" i="7"/>
  <c r="BM34" i="7"/>
  <c r="BN34" i="7"/>
  <c r="BO34" i="7"/>
  <c r="BP34" i="7"/>
  <c r="BQ34" i="7"/>
  <c r="BR34" i="7"/>
  <c r="BS34" i="7"/>
  <c r="BT34" i="7"/>
  <c r="BU34" i="7"/>
  <c r="BV34" i="7"/>
  <c r="BL35" i="7"/>
  <c r="BM35" i="7"/>
  <c r="BN35" i="7"/>
  <c r="BO35" i="7"/>
  <c r="BP35" i="7"/>
  <c r="BQ35" i="7"/>
  <c r="BR35" i="7"/>
  <c r="BS35" i="7"/>
  <c r="BT35" i="7"/>
  <c r="BU35" i="7"/>
  <c r="BV35" i="7"/>
  <c r="BL36" i="7"/>
  <c r="BM36" i="7"/>
  <c r="BN36" i="7"/>
  <c r="BO36" i="7"/>
  <c r="BP36" i="7"/>
  <c r="BQ36" i="7"/>
  <c r="BR36" i="7"/>
  <c r="BS36" i="7"/>
  <c r="BT36" i="7"/>
  <c r="BU36" i="7"/>
  <c r="BV36" i="7"/>
  <c r="BL37" i="7"/>
  <c r="BM37" i="7"/>
  <c r="BN37" i="7"/>
  <c r="BO37" i="7"/>
  <c r="BP37" i="7"/>
  <c r="BQ37" i="7"/>
  <c r="BR37" i="7"/>
  <c r="BS37" i="7"/>
  <c r="BT37" i="7"/>
  <c r="BU37" i="7"/>
  <c r="BV37" i="7"/>
  <c r="BL38" i="7"/>
  <c r="BM38" i="7"/>
  <c r="BN38" i="7"/>
  <c r="BO38" i="7"/>
  <c r="BP38" i="7"/>
  <c r="BQ38" i="7"/>
  <c r="BR38" i="7"/>
  <c r="BS38" i="7"/>
  <c r="BT38" i="7"/>
  <c r="BU38" i="7"/>
  <c r="BV38" i="7"/>
  <c r="BL39" i="7"/>
  <c r="BM39" i="7"/>
  <c r="BN39" i="7"/>
  <c r="BO39" i="7"/>
  <c r="BP39" i="7"/>
  <c r="BQ39" i="7"/>
  <c r="BR39" i="7"/>
  <c r="BS39" i="7"/>
  <c r="BT39" i="7"/>
  <c r="BU39" i="7"/>
  <c r="BV39" i="7"/>
  <c r="BL40" i="7"/>
  <c r="BM40" i="7"/>
  <c r="BN40" i="7"/>
  <c r="BO40" i="7"/>
  <c r="BP40" i="7"/>
  <c r="BQ40" i="7"/>
  <c r="BR40" i="7"/>
  <c r="BS40" i="7"/>
  <c r="BT40" i="7"/>
  <c r="BU40" i="7"/>
  <c r="BV40" i="7"/>
  <c r="BL41" i="7"/>
  <c r="BM41" i="7"/>
  <c r="BN41" i="7"/>
  <c r="BO41" i="7"/>
  <c r="BP41" i="7"/>
  <c r="BQ41" i="7"/>
  <c r="BR41" i="7"/>
  <c r="BS41" i="7"/>
  <c r="BT41" i="7"/>
  <c r="BU41" i="7"/>
  <c r="BV41" i="7"/>
  <c r="BL42" i="7"/>
  <c r="BM42" i="7"/>
  <c r="BN42" i="7"/>
  <c r="BO42" i="7"/>
  <c r="BP42" i="7"/>
  <c r="BQ42" i="7"/>
  <c r="BR42" i="7"/>
  <c r="BS42" i="7"/>
  <c r="BT42" i="7"/>
  <c r="BU42" i="7"/>
  <c r="BV42" i="7"/>
  <c r="BL43" i="7"/>
  <c r="BM43" i="7"/>
  <c r="BN43" i="7"/>
  <c r="BO43" i="7"/>
  <c r="BP43" i="7"/>
  <c r="BQ43" i="7"/>
  <c r="BR43" i="7"/>
  <c r="BS43" i="7"/>
  <c r="BT43" i="7"/>
  <c r="BU43" i="7"/>
  <c r="BV43" i="7"/>
  <c r="BL44" i="7"/>
  <c r="BM44" i="7"/>
  <c r="BN44" i="7"/>
  <c r="BO44" i="7"/>
  <c r="BP44" i="7"/>
  <c r="BQ44" i="7"/>
  <c r="BR44" i="7"/>
  <c r="BS44" i="7"/>
  <c r="BT44" i="7"/>
  <c r="BU44" i="7"/>
  <c r="BV44" i="7"/>
  <c r="BL45" i="7"/>
  <c r="BM45" i="7"/>
  <c r="BN45" i="7"/>
  <c r="BO45" i="7"/>
  <c r="BP45" i="7"/>
  <c r="BQ45" i="7"/>
  <c r="BR45" i="7"/>
  <c r="BS45" i="7"/>
  <c r="BT45" i="7"/>
  <c r="BU45" i="7"/>
  <c r="BV45" i="7"/>
  <c r="BL46" i="7"/>
  <c r="BM46" i="7"/>
  <c r="BN46" i="7"/>
  <c r="BO46" i="7"/>
  <c r="BP46" i="7"/>
  <c r="BQ46" i="7"/>
  <c r="BR46" i="7"/>
  <c r="BS46" i="7"/>
  <c r="BT46" i="7"/>
  <c r="BU46" i="7"/>
  <c r="BV46" i="7"/>
  <c r="BL47" i="7"/>
  <c r="BM47" i="7"/>
  <c r="BN47" i="7"/>
  <c r="BO47" i="7"/>
  <c r="BP47" i="7"/>
  <c r="BQ47" i="7"/>
  <c r="BR47" i="7"/>
  <c r="BS47" i="7"/>
  <c r="BT47" i="7"/>
  <c r="BU47" i="7"/>
  <c r="BV47" i="7"/>
  <c r="BL48" i="7"/>
  <c r="BM48" i="7"/>
  <c r="BN48" i="7"/>
  <c r="BO48" i="7"/>
  <c r="BP48" i="7"/>
  <c r="BQ48" i="7"/>
  <c r="BR48" i="7"/>
  <c r="BS48" i="7"/>
  <c r="BT48" i="7"/>
  <c r="BU48" i="7"/>
  <c r="BV48" i="7"/>
  <c r="BL49" i="7"/>
  <c r="BM49" i="7"/>
  <c r="BN49" i="7"/>
  <c r="BO49" i="7"/>
  <c r="BP49" i="7"/>
  <c r="BQ49" i="7"/>
  <c r="BR49" i="7"/>
  <c r="BS49" i="7"/>
  <c r="BT49" i="7"/>
  <c r="BU49" i="7"/>
  <c r="BV49" i="7"/>
  <c r="BL50" i="7"/>
  <c r="BM50" i="7"/>
  <c r="BN50" i="7"/>
  <c r="BO50" i="7"/>
  <c r="BP50" i="7"/>
  <c r="BQ50" i="7"/>
  <c r="BR50" i="7"/>
  <c r="BS50" i="7"/>
  <c r="BT50" i="7"/>
  <c r="BU50" i="7"/>
  <c r="BV50" i="7"/>
  <c r="BL51" i="7"/>
  <c r="BM51" i="7"/>
  <c r="BN51" i="7"/>
  <c r="BO51" i="7"/>
  <c r="BP51" i="7"/>
  <c r="BQ51" i="7"/>
  <c r="BR51" i="7"/>
  <c r="BS51" i="7"/>
  <c r="BT51" i="7"/>
  <c r="BU51" i="7"/>
  <c r="BV51" i="7"/>
  <c r="BL52" i="7"/>
  <c r="BM52" i="7"/>
  <c r="BN52" i="7"/>
  <c r="BO52" i="7"/>
  <c r="BP52" i="7"/>
  <c r="BQ52" i="7"/>
  <c r="BR52" i="7"/>
  <c r="BS52" i="7"/>
  <c r="BT52" i="7"/>
  <c r="BU52" i="7"/>
  <c r="BV52" i="7"/>
  <c r="BL53" i="7"/>
  <c r="BM53" i="7"/>
  <c r="BN53" i="7"/>
  <c r="BO53" i="7"/>
  <c r="BP53" i="7"/>
  <c r="BQ53" i="7"/>
  <c r="BR53" i="7"/>
  <c r="BS53" i="7"/>
  <c r="BT53" i="7"/>
  <c r="BU53" i="7"/>
  <c r="BV53" i="7"/>
  <c r="BL54" i="7"/>
  <c r="BM54" i="7"/>
  <c r="BN54" i="7"/>
  <c r="BO54" i="7"/>
  <c r="BP54" i="7"/>
  <c r="BQ54" i="7"/>
  <c r="BR54" i="7"/>
  <c r="BS54" i="7"/>
  <c r="BT54" i="7"/>
  <c r="BU54" i="7"/>
  <c r="BV54" i="7"/>
  <c r="BL55" i="7"/>
  <c r="BM55" i="7"/>
  <c r="BN55" i="7"/>
  <c r="BO55" i="7"/>
  <c r="BP55" i="7"/>
  <c r="BQ55" i="7"/>
  <c r="BR55" i="7"/>
  <c r="BS55" i="7"/>
  <c r="BT55" i="7"/>
  <c r="BU55" i="7"/>
  <c r="BV55" i="7"/>
  <c r="BL56" i="7"/>
  <c r="BM56" i="7"/>
  <c r="BN56" i="7"/>
  <c r="BO56" i="7"/>
  <c r="BP56" i="7"/>
  <c r="BQ56" i="7"/>
  <c r="BR56" i="7"/>
  <c r="BS56" i="7"/>
  <c r="BT56" i="7"/>
  <c r="BU56" i="7"/>
  <c r="BV56" i="7"/>
  <c r="BL57" i="7"/>
  <c r="BM57" i="7"/>
  <c r="BN57" i="7"/>
  <c r="BO57" i="7"/>
  <c r="BP57" i="7"/>
  <c r="BQ57" i="7"/>
  <c r="BR57" i="7"/>
  <c r="BS57" i="7"/>
  <c r="BT57" i="7"/>
  <c r="BU57" i="7"/>
  <c r="BV57" i="7"/>
  <c r="BL58" i="7"/>
  <c r="BM58" i="7"/>
  <c r="BN58" i="7"/>
  <c r="BO58" i="7"/>
  <c r="BP58" i="7"/>
  <c r="BQ58" i="7"/>
  <c r="BR58" i="7"/>
  <c r="BS58" i="7"/>
  <c r="BT58" i="7"/>
  <c r="BU58" i="7"/>
  <c r="BV58" i="7"/>
  <c r="BL59" i="7"/>
  <c r="BM59" i="7"/>
  <c r="BN59" i="7"/>
  <c r="BO59" i="7"/>
  <c r="BP59" i="7"/>
  <c r="BQ59" i="7"/>
  <c r="BR59" i="7"/>
  <c r="BS59" i="7"/>
  <c r="BT59" i="7"/>
  <c r="BU59" i="7"/>
  <c r="BV59" i="7"/>
  <c r="BL60" i="7"/>
  <c r="BM60" i="7"/>
  <c r="BN60" i="7"/>
  <c r="BO60" i="7"/>
  <c r="BP60" i="7"/>
  <c r="BQ60" i="7"/>
  <c r="BR60" i="7"/>
  <c r="BS60" i="7"/>
  <c r="BT60" i="7"/>
  <c r="BU60" i="7"/>
  <c r="BV60" i="7"/>
  <c r="BL61" i="7"/>
  <c r="BM61" i="7"/>
  <c r="BN61" i="7"/>
  <c r="BO61" i="7"/>
  <c r="BP61" i="7"/>
  <c r="BQ61" i="7"/>
  <c r="BR61" i="7"/>
  <c r="BS61" i="7"/>
  <c r="BT61" i="7"/>
  <c r="BU61" i="7"/>
  <c r="BV61" i="7"/>
  <c r="BL62" i="7"/>
  <c r="BM62" i="7"/>
  <c r="BN62" i="7"/>
  <c r="BO62" i="7"/>
  <c r="BP62" i="7"/>
  <c r="BQ62" i="7"/>
  <c r="BR62" i="7"/>
  <c r="BS62" i="7"/>
  <c r="BT62" i="7"/>
  <c r="BU62" i="7"/>
  <c r="BV62" i="7"/>
  <c r="BL63" i="7"/>
  <c r="BM63" i="7"/>
  <c r="BN63" i="7"/>
  <c r="BO63" i="7"/>
  <c r="BP63" i="7"/>
  <c r="BQ63" i="7"/>
  <c r="BR63" i="7"/>
  <c r="BS63" i="7"/>
  <c r="BT63" i="7"/>
  <c r="BU63" i="7"/>
  <c r="BV63" i="7"/>
  <c r="BL64" i="7"/>
  <c r="BM64" i="7"/>
  <c r="BN64" i="7"/>
  <c r="BO64" i="7"/>
  <c r="BP64" i="7"/>
  <c r="BQ64" i="7"/>
  <c r="BR64" i="7"/>
  <c r="BS64" i="7"/>
  <c r="BT64" i="7"/>
  <c r="BU64" i="7"/>
  <c r="BV64" i="7"/>
  <c r="BL65" i="7"/>
  <c r="BM65" i="7"/>
  <c r="BN65" i="7"/>
  <c r="BO65" i="7"/>
  <c r="BP65" i="7"/>
  <c r="BQ65" i="7"/>
  <c r="BR65" i="7"/>
  <c r="BS65" i="7"/>
  <c r="BT65" i="7"/>
  <c r="BU65" i="7"/>
  <c r="BV65" i="7"/>
  <c r="BL66" i="7"/>
  <c r="BM66" i="7"/>
  <c r="BN66" i="7"/>
  <c r="BO66" i="7"/>
  <c r="BP66" i="7"/>
  <c r="BQ66" i="7"/>
  <c r="BR66" i="7"/>
  <c r="BS66" i="7"/>
  <c r="BT66" i="7"/>
  <c r="BU66" i="7"/>
  <c r="BV66" i="7"/>
  <c r="BL67" i="7"/>
  <c r="BM67" i="7"/>
  <c r="BN67" i="7"/>
  <c r="BO67" i="7"/>
  <c r="BP67" i="7"/>
  <c r="BQ67" i="7"/>
  <c r="BR67" i="7"/>
  <c r="BS67" i="7"/>
  <c r="BT67" i="7"/>
  <c r="BU67" i="7"/>
  <c r="BV67" i="7"/>
  <c r="BL68" i="7"/>
  <c r="BM68" i="7"/>
  <c r="BN68" i="7"/>
  <c r="BO68" i="7"/>
  <c r="BP68" i="7"/>
  <c r="BQ68" i="7"/>
  <c r="BR68" i="7"/>
  <c r="BS68" i="7"/>
  <c r="BT68" i="7"/>
  <c r="BU68" i="7"/>
  <c r="BV68" i="7"/>
  <c r="BL69" i="7"/>
  <c r="BM69" i="7"/>
  <c r="BN69" i="7"/>
  <c r="BO69" i="7"/>
  <c r="BP69" i="7"/>
  <c r="BQ69" i="7"/>
  <c r="BR69" i="7"/>
  <c r="BS69" i="7"/>
  <c r="BT69" i="7"/>
  <c r="BU69" i="7"/>
  <c r="BV69" i="7"/>
  <c r="BL70" i="7"/>
  <c r="BM70" i="7"/>
  <c r="BN70" i="7"/>
  <c r="BO70" i="7"/>
  <c r="BP70" i="7"/>
  <c r="BQ70" i="7"/>
  <c r="BR70" i="7"/>
  <c r="BS70" i="7"/>
  <c r="BT70" i="7"/>
  <c r="BU70" i="7"/>
  <c r="BV70" i="7"/>
  <c r="BL71" i="7"/>
  <c r="BM71" i="7"/>
  <c r="BN71" i="7"/>
  <c r="BO71" i="7"/>
  <c r="BP71" i="7"/>
  <c r="BQ71" i="7"/>
  <c r="BR71" i="7"/>
  <c r="BS71" i="7"/>
  <c r="BT71" i="7"/>
  <c r="BU71" i="7"/>
  <c r="BV71" i="7"/>
  <c r="BL72" i="7"/>
  <c r="BM72" i="7"/>
  <c r="BN72" i="7"/>
  <c r="BO72" i="7"/>
  <c r="BP72" i="7"/>
  <c r="BQ72" i="7"/>
  <c r="BR72" i="7"/>
  <c r="BS72" i="7"/>
  <c r="BT72" i="7"/>
  <c r="BU72" i="7"/>
  <c r="BV72" i="7"/>
  <c r="BL73" i="7"/>
  <c r="BM73" i="7"/>
  <c r="BN73" i="7"/>
  <c r="BO73" i="7"/>
  <c r="BP73" i="7"/>
  <c r="BQ73" i="7"/>
  <c r="BR73" i="7"/>
  <c r="BS73" i="7"/>
  <c r="BT73" i="7"/>
  <c r="BU73" i="7"/>
  <c r="BV73" i="7"/>
  <c r="BL74" i="7"/>
  <c r="BM74" i="7"/>
  <c r="BN74" i="7"/>
  <c r="BO74" i="7"/>
  <c r="BP74" i="7"/>
  <c r="BQ74" i="7"/>
  <c r="BR74" i="7"/>
  <c r="BS74" i="7"/>
  <c r="BT74" i="7"/>
  <c r="BU74" i="7"/>
  <c r="BV74" i="7"/>
  <c r="BL75" i="7"/>
  <c r="BM75" i="7"/>
  <c r="BN75" i="7"/>
  <c r="BO75" i="7"/>
  <c r="BP75" i="7"/>
  <c r="BQ75" i="7"/>
  <c r="BR75" i="7"/>
  <c r="BS75" i="7"/>
  <c r="BT75" i="7"/>
  <c r="BU75" i="7"/>
  <c r="BV75" i="7"/>
  <c r="BL76" i="7"/>
  <c r="BM76" i="7"/>
  <c r="BN76" i="7"/>
  <c r="BO76" i="7"/>
  <c r="BP76" i="7"/>
  <c r="BQ76" i="7"/>
  <c r="BR76" i="7"/>
  <c r="BS76" i="7"/>
  <c r="BT76" i="7"/>
  <c r="BU76" i="7"/>
  <c r="BV76" i="7"/>
  <c r="BL77" i="7"/>
  <c r="BM77" i="7"/>
  <c r="BN77" i="7"/>
  <c r="BO77" i="7"/>
  <c r="BP77" i="7"/>
  <c r="BQ77" i="7"/>
  <c r="BR77" i="7"/>
  <c r="BS77" i="7"/>
  <c r="BT77" i="7"/>
  <c r="BU77" i="7"/>
  <c r="BV77" i="7"/>
  <c r="BL78" i="7"/>
  <c r="BM78" i="7"/>
  <c r="BN78" i="7"/>
  <c r="BO78" i="7"/>
  <c r="BP78" i="7"/>
  <c r="BQ78" i="7"/>
  <c r="BR78" i="7"/>
  <c r="BS78" i="7"/>
  <c r="BT78" i="7"/>
  <c r="BU78" i="7"/>
  <c r="BV78" i="7"/>
  <c r="BL79" i="7"/>
  <c r="BM79" i="7"/>
  <c r="BN79" i="7"/>
  <c r="BO79" i="7"/>
  <c r="BP79" i="7"/>
  <c r="BQ79" i="7"/>
  <c r="BR79" i="7"/>
  <c r="BS79" i="7"/>
  <c r="BT79" i="7"/>
  <c r="BU79" i="7"/>
  <c r="BV79" i="7"/>
  <c r="BL80" i="7"/>
  <c r="BM80" i="7"/>
  <c r="BN80" i="7"/>
  <c r="BO80" i="7"/>
  <c r="BP80" i="7"/>
  <c r="BQ80" i="7"/>
  <c r="BR80" i="7"/>
  <c r="BS80" i="7"/>
  <c r="BT80" i="7"/>
  <c r="BU80" i="7"/>
  <c r="BV80" i="7"/>
  <c r="BL81" i="7"/>
  <c r="BM81" i="7"/>
  <c r="BN81" i="7"/>
  <c r="BO81" i="7"/>
  <c r="BP81" i="7"/>
  <c r="BQ81" i="7"/>
  <c r="BR81" i="7"/>
  <c r="BS81" i="7"/>
  <c r="BT81" i="7"/>
  <c r="BU81" i="7"/>
  <c r="BV81" i="7"/>
  <c r="BL82" i="7"/>
  <c r="BM82" i="7"/>
  <c r="BN82" i="7"/>
  <c r="BO82" i="7"/>
  <c r="BP82" i="7"/>
  <c r="BQ82" i="7"/>
  <c r="BR82" i="7"/>
  <c r="BS82" i="7"/>
  <c r="BT82" i="7"/>
  <c r="BU82" i="7"/>
  <c r="BV82" i="7"/>
  <c r="BL83" i="7"/>
  <c r="BM83" i="7"/>
  <c r="BN83" i="7"/>
  <c r="BO83" i="7"/>
  <c r="BP83" i="7"/>
  <c r="BQ83" i="7"/>
  <c r="BR83" i="7"/>
  <c r="BS83" i="7"/>
  <c r="BT83" i="7"/>
  <c r="BU83" i="7"/>
  <c r="BV83" i="7"/>
  <c r="BL84" i="7"/>
  <c r="BM84" i="7"/>
  <c r="BN84" i="7"/>
  <c r="BO84" i="7"/>
  <c r="BP84" i="7"/>
  <c r="BQ84" i="7"/>
  <c r="BR84" i="7"/>
  <c r="BS84" i="7"/>
  <c r="BT84" i="7"/>
  <c r="BU84" i="7"/>
  <c r="BV84" i="7"/>
  <c r="BL85" i="7"/>
  <c r="BM85" i="7"/>
  <c r="BN85" i="7"/>
  <c r="BO85" i="7"/>
  <c r="BP85" i="7"/>
  <c r="BQ85" i="7"/>
  <c r="BR85" i="7"/>
  <c r="BS85" i="7"/>
  <c r="BT85" i="7"/>
  <c r="BU85" i="7"/>
  <c r="BV85" i="7"/>
  <c r="BL86" i="7"/>
  <c r="BM86" i="7"/>
  <c r="BN86" i="7"/>
  <c r="BO86" i="7"/>
  <c r="BP86" i="7"/>
  <c r="BQ86" i="7"/>
  <c r="BR86" i="7"/>
  <c r="BS86" i="7"/>
  <c r="BT86" i="7"/>
  <c r="BU86" i="7"/>
  <c r="BV86" i="7"/>
  <c r="BL87" i="7"/>
  <c r="BM87" i="7"/>
  <c r="BN87" i="7"/>
  <c r="BO87" i="7"/>
  <c r="BP87" i="7"/>
  <c r="BQ87" i="7"/>
  <c r="BR87" i="7"/>
  <c r="BS87" i="7"/>
  <c r="BT87" i="7"/>
  <c r="BU87" i="7"/>
  <c r="BV87" i="7"/>
  <c r="BL88" i="7"/>
  <c r="BM88" i="7"/>
  <c r="BN88" i="7"/>
  <c r="BO88" i="7"/>
  <c r="BP88" i="7"/>
  <c r="BQ88" i="7"/>
  <c r="BR88" i="7"/>
  <c r="BS88" i="7"/>
  <c r="BT88" i="7"/>
  <c r="BU88" i="7"/>
  <c r="BV88" i="7"/>
  <c r="BL89" i="7"/>
  <c r="BM89" i="7"/>
  <c r="BN89" i="7"/>
  <c r="BO89" i="7"/>
  <c r="BP89" i="7"/>
  <c r="BQ89" i="7"/>
  <c r="BR89" i="7"/>
  <c r="BS89" i="7"/>
  <c r="BT89" i="7"/>
  <c r="BU89" i="7"/>
  <c r="BV89" i="7"/>
  <c r="BL90" i="7"/>
  <c r="BM90" i="7"/>
  <c r="BN90" i="7"/>
  <c r="BO90" i="7"/>
  <c r="BP90" i="7"/>
  <c r="BQ90" i="7"/>
  <c r="BR90" i="7"/>
  <c r="BS90" i="7"/>
  <c r="BT90" i="7"/>
  <c r="BU90" i="7"/>
  <c r="BV90" i="7"/>
  <c r="BL91" i="7"/>
  <c r="BM91" i="7"/>
  <c r="BN91" i="7"/>
  <c r="BO91" i="7"/>
  <c r="BP91" i="7"/>
  <c r="BQ91" i="7"/>
  <c r="BR91" i="7"/>
  <c r="BS91" i="7"/>
  <c r="BT91" i="7"/>
  <c r="BU91" i="7"/>
  <c r="BV91" i="7"/>
  <c r="BL92" i="7"/>
  <c r="BM92" i="7"/>
  <c r="BN92" i="7"/>
  <c r="BO92" i="7"/>
  <c r="BP92" i="7"/>
  <c r="BQ92" i="7"/>
  <c r="BR92" i="7"/>
  <c r="BS92" i="7"/>
  <c r="BT92" i="7"/>
  <c r="BU92" i="7"/>
  <c r="BV92" i="7"/>
  <c r="BL93" i="7"/>
  <c r="BM93" i="7"/>
  <c r="BN93" i="7"/>
  <c r="BO93" i="7"/>
  <c r="BP93" i="7"/>
  <c r="BQ93" i="7"/>
  <c r="BR93" i="7"/>
  <c r="BS93" i="7"/>
  <c r="BT93" i="7"/>
  <c r="BU93" i="7"/>
  <c r="BV93" i="7"/>
  <c r="BL94" i="7"/>
  <c r="BM94" i="7"/>
  <c r="BN94" i="7"/>
  <c r="BO94" i="7"/>
  <c r="BP94" i="7"/>
  <c r="BQ94" i="7"/>
  <c r="BR94" i="7"/>
  <c r="BS94" i="7"/>
  <c r="BT94" i="7"/>
  <c r="BU94" i="7"/>
  <c r="BV94" i="7"/>
  <c r="BL95" i="7"/>
  <c r="BM95" i="7"/>
  <c r="BN95" i="7"/>
  <c r="BO95" i="7"/>
  <c r="BP95" i="7"/>
  <c r="BQ95" i="7"/>
  <c r="BR95" i="7"/>
  <c r="BS95" i="7"/>
  <c r="BT95" i="7"/>
  <c r="BU95" i="7"/>
  <c r="BV95" i="7"/>
  <c r="BL96" i="7"/>
  <c r="BM96" i="7"/>
  <c r="BN96" i="7"/>
  <c r="BO96" i="7"/>
  <c r="BP96" i="7"/>
  <c r="BQ96" i="7"/>
  <c r="BR96" i="7"/>
  <c r="BS96" i="7"/>
  <c r="BT96" i="7"/>
  <c r="BU96" i="7"/>
  <c r="BV96" i="7"/>
  <c r="BL97" i="7"/>
  <c r="BM97" i="7"/>
  <c r="BN97" i="7"/>
  <c r="BO97" i="7"/>
  <c r="BP97" i="7"/>
  <c r="BQ97" i="7"/>
  <c r="BR97" i="7"/>
  <c r="BS97" i="7"/>
  <c r="BT97" i="7"/>
  <c r="BU97" i="7"/>
  <c r="BV97" i="7"/>
  <c r="BL98" i="7"/>
  <c r="BM98" i="7"/>
  <c r="BN98" i="7"/>
  <c r="BO98" i="7"/>
  <c r="BP98" i="7"/>
  <c r="BQ98" i="7"/>
  <c r="BR98" i="7"/>
  <c r="BS98" i="7"/>
  <c r="BT98" i="7"/>
  <c r="BU98" i="7"/>
  <c r="BV98" i="7"/>
  <c r="BL99" i="7"/>
  <c r="BM99" i="7"/>
  <c r="BN99" i="7"/>
  <c r="BO99" i="7"/>
  <c r="BP99" i="7"/>
  <c r="BQ99" i="7"/>
  <c r="BR99" i="7"/>
  <c r="BS99" i="7"/>
  <c r="BT99" i="7"/>
  <c r="BU99" i="7"/>
  <c r="BV99" i="7"/>
  <c r="BL100" i="7"/>
  <c r="BM100" i="7"/>
  <c r="BN100" i="7"/>
  <c r="BO100" i="7"/>
  <c r="BP100" i="7"/>
  <c r="BQ100" i="7"/>
  <c r="BR100" i="7"/>
  <c r="BS100" i="7"/>
  <c r="BT100" i="7"/>
  <c r="BU100" i="7"/>
  <c r="BV100" i="7"/>
  <c r="BL101" i="7"/>
  <c r="BM101" i="7"/>
  <c r="BN101" i="7"/>
  <c r="BO101" i="7"/>
  <c r="BP101" i="7"/>
  <c r="BQ101" i="7"/>
  <c r="BR101" i="7"/>
  <c r="BS101" i="7"/>
  <c r="BT101" i="7"/>
  <c r="BU101" i="7"/>
  <c r="BV101" i="7"/>
  <c r="BL102" i="7"/>
  <c r="BM102" i="7"/>
  <c r="BN102" i="7"/>
  <c r="BO102" i="7"/>
  <c r="BP102" i="7"/>
  <c r="BQ102" i="7"/>
  <c r="BR102" i="7"/>
  <c r="BS102" i="7"/>
  <c r="BT102" i="7"/>
  <c r="BU102" i="7"/>
  <c r="BV102" i="7"/>
  <c r="BL103" i="7"/>
  <c r="BM103" i="7"/>
  <c r="BN103" i="7"/>
  <c r="BO103" i="7"/>
  <c r="BP103" i="7"/>
  <c r="BQ103" i="7"/>
  <c r="BR103" i="7"/>
  <c r="BS103" i="7"/>
  <c r="BT103" i="7"/>
  <c r="BU103" i="7"/>
  <c r="BV103" i="7"/>
  <c r="BL104" i="7"/>
  <c r="BM104" i="7"/>
  <c r="BN104" i="7"/>
  <c r="BO104" i="7"/>
  <c r="BP104" i="7"/>
  <c r="BQ104" i="7"/>
  <c r="BR104" i="7"/>
  <c r="BS104" i="7"/>
  <c r="BT104" i="7"/>
  <c r="BU104" i="7"/>
  <c r="BV104" i="7"/>
  <c r="BL105" i="7"/>
  <c r="BM105" i="7"/>
  <c r="BN105" i="7"/>
  <c r="BO105" i="7"/>
  <c r="BP105" i="7"/>
  <c r="BQ105" i="7"/>
  <c r="BR105" i="7"/>
  <c r="BS105" i="7"/>
  <c r="BT105" i="7"/>
  <c r="BU105" i="7"/>
  <c r="BV105" i="7"/>
  <c r="BL106" i="7"/>
  <c r="BM106" i="7"/>
  <c r="BN106" i="7"/>
  <c r="BO106" i="7"/>
  <c r="BP106" i="7"/>
  <c r="BQ106" i="7"/>
  <c r="BR106" i="7"/>
  <c r="BS106" i="7"/>
  <c r="BT106" i="7"/>
  <c r="BU106" i="7"/>
  <c r="BV106" i="7"/>
  <c r="BL107" i="7"/>
  <c r="BM107" i="7"/>
  <c r="BN107" i="7"/>
  <c r="BO107" i="7"/>
  <c r="BP107" i="7"/>
  <c r="BQ107" i="7"/>
  <c r="BR107" i="7"/>
  <c r="BS107" i="7"/>
  <c r="BT107" i="7"/>
  <c r="BU107" i="7"/>
  <c r="BV107" i="7"/>
  <c r="BL108" i="7"/>
  <c r="BM108" i="7"/>
  <c r="BN108" i="7"/>
  <c r="BO108" i="7"/>
  <c r="BP108" i="7"/>
  <c r="BQ108" i="7"/>
  <c r="BR108" i="7"/>
  <c r="BS108" i="7"/>
  <c r="BT108" i="7"/>
  <c r="BU108" i="7"/>
  <c r="BV108" i="7"/>
  <c r="BL109" i="7"/>
  <c r="BM109" i="7"/>
  <c r="BN109" i="7"/>
  <c r="BO109" i="7"/>
  <c r="BP109" i="7"/>
  <c r="BQ109" i="7"/>
  <c r="BR109" i="7"/>
  <c r="BS109" i="7"/>
  <c r="BT109" i="7"/>
  <c r="BU109" i="7"/>
  <c r="BV109" i="7"/>
  <c r="BL110" i="7"/>
  <c r="BM110" i="7"/>
  <c r="BN110" i="7"/>
  <c r="BO110" i="7"/>
  <c r="BP110" i="7"/>
  <c r="BQ110" i="7"/>
  <c r="BR110" i="7"/>
  <c r="BS110" i="7"/>
  <c r="BT110" i="7"/>
  <c r="BU110" i="7"/>
  <c r="BV110" i="7"/>
  <c r="BL111" i="7"/>
  <c r="BM111" i="7"/>
  <c r="BN111" i="7"/>
  <c r="BO111" i="7"/>
  <c r="BP111" i="7"/>
  <c r="BQ111" i="7"/>
  <c r="BR111" i="7"/>
  <c r="BS111" i="7"/>
  <c r="BT111" i="7"/>
  <c r="BU111" i="7"/>
  <c r="BV111" i="7"/>
  <c r="BL112" i="7"/>
  <c r="BM112" i="7"/>
  <c r="BN112" i="7"/>
  <c r="BO112" i="7"/>
  <c r="BP112" i="7"/>
  <c r="BQ112" i="7"/>
  <c r="BR112" i="7"/>
  <c r="BS112" i="7"/>
  <c r="BT112" i="7"/>
  <c r="BU112" i="7"/>
  <c r="BV112" i="7"/>
  <c r="BL113" i="7"/>
  <c r="BM113" i="7"/>
  <c r="BN113" i="7"/>
  <c r="BO113" i="7"/>
  <c r="BP113" i="7"/>
  <c r="BQ113" i="7"/>
  <c r="BR113" i="7"/>
  <c r="BS113" i="7"/>
  <c r="BT113" i="7"/>
  <c r="BU113" i="7"/>
  <c r="BV113" i="7"/>
  <c r="BL114" i="7"/>
  <c r="BM114" i="7"/>
  <c r="BN114" i="7"/>
  <c r="BO114" i="7"/>
  <c r="BP114" i="7"/>
  <c r="BQ114" i="7"/>
  <c r="BR114" i="7"/>
  <c r="BS114" i="7"/>
  <c r="BT114" i="7"/>
  <c r="BU114" i="7"/>
  <c r="BV114" i="7"/>
  <c r="BL115" i="7"/>
  <c r="BM115" i="7"/>
  <c r="BN115" i="7"/>
  <c r="BO115" i="7"/>
  <c r="BP115" i="7"/>
  <c r="BQ115" i="7"/>
  <c r="BR115" i="7"/>
  <c r="BS115" i="7"/>
  <c r="BT115" i="7"/>
  <c r="BU115" i="7"/>
  <c r="BV115" i="7"/>
  <c r="BL116" i="7"/>
  <c r="BM116" i="7"/>
  <c r="BN116" i="7"/>
  <c r="BO116" i="7"/>
  <c r="BP116" i="7"/>
  <c r="BQ116" i="7"/>
  <c r="BR116" i="7"/>
  <c r="BS116" i="7"/>
  <c r="BT116" i="7"/>
  <c r="BU116" i="7"/>
  <c r="BV116" i="7"/>
  <c r="BL117" i="7"/>
  <c r="BM117" i="7"/>
  <c r="BN117" i="7"/>
  <c r="BO117" i="7"/>
  <c r="BP117" i="7"/>
  <c r="BQ117" i="7"/>
  <c r="BR117" i="7"/>
  <c r="BS117" i="7"/>
  <c r="BT117" i="7"/>
  <c r="BU117" i="7"/>
  <c r="BV117" i="7"/>
  <c r="BL118" i="7"/>
  <c r="BM118" i="7"/>
  <c r="BN118" i="7"/>
  <c r="BO118" i="7"/>
  <c r="BP118" i="7"/>
  <c r="BQ118" i="7"/>
  <c r="BR118" i="7"/>
  <c r="BS118" i="7"/>
  <c r="BT118" i="7"/>
  <c r="BU118" i="7"/>
  <c r="BV118" i="7"/>
  <c r="BL119" i="7"/>
  <c r="BM119" i="7"/>
  <c r="BN119" i="7"/>
  <c r="BO119" i="7"/>
  <c r="BP119" i="7"/>
  <c r="BQ119" i="7"/>
  <c r="BR119" i="7"/>
  <c r="BS119" i="7"/>
  <c r="BT119" i="7"/>
  <c r="BU119" i="7"/>
  <c r="BV119" i="7"/>
  <c r="BL120" i="7"/>
  <c r="BM120" i="7"/>
  <c r="BN120" i="7"/>
  <c r="BO120" i="7"/>
  <c r="BP120" i="7"/>
  <c r="BQ120" i="7"/>
  <c r="BR120" i="7"/>
  <c r="BS120" i="7"/>
  <c r="BT120" i="7"/>
  <c r="BU120" i="7"/>
  <c r="BV120" i="7"/>
  <c r="BL121" i="7"/>
  <c r="BM121" i="7"/>
  <c r="BN121" i="7"/>
  <c r="BO121" i="7"/>
  <c r="BP121" i="7"/>
  <c r="BQ121" i="7"/>
  <c r="BR121" i="7"/>
  <c r="BS121" i="7"/>
  <c r="BT121" i="7"/>
  <c r="BU121" i="7"/>
  <c r="BV121" i="7"/>
  <c r="BL122" i="7"/>
  <c r="BM122" i="7"/>
  <c r="BN122" i="7"/>
  <c r="BO122" i="7"/>
  <c r="BP122" i="7"/>
  <c r="BQ122" i="7"/>
  <c r="BR122" i="7"/>
  <c r="BS122" i="7"/>
  <c r="BT122" i="7"/>
  <c r="BU122" i="7"/>
  <c r="BV122" i="7"/>
  <c r="BL123" i="7"/>
  <c r="BM123" i="7"/>
  <c r="BN123" i="7"/>
  <c r="BO123" i="7"/>
  <c r="BP123" i="7"/>
  <c r="BQ123" i="7"/>
  <c r="BR123" i="7"/>
  <c r="BS123" i="7"/>
  <c r="BT123" i="7"/>
  <c r="BU123" i="7"/>
  <c r="BV123" i="7"/>
  <c r="BL124" i="7"/>
  <c r="BM124" i="7"/>
  <c r="BN124" i="7"/>
  <c r="BO124" i="7"/>
  <c r="BP124" i="7"/>
  <c r="BQ124" i="7"/>
  <c r="BR124" i="7"/>
  <c r="BS124" i="7"/>
  <c r="BT124" i="7"/>
  <c r="BU124" i="7"/>
  <c r="BV124" i="7"/>
  <c r="BL125" i="7"/>
  <c r="BM125" i="7"/>
  <c r="BN125" i="7"/>
  <c r="BO125" i="7"/>
  <c r="BP125" i="7"/>
  <c r="BQ125" i="7"/>
  <c r="BR125" i="7"/>
  <c r="BS125" i="7"/>
  <c r="BT125" i="7"/>
  <c r="BU125" i="7"/>
  <c r="BV125" i="7"/>
  <c r="BL126" i="7"/>
  <c r="BM126" i="7"/>
  <c r="BN126" i="7"/>
  <c r="BO126" i="7"/>
  <c r="BP126" i="7"/>
  <c r="BQ126" i="7"/>
  <c r="BR126" i="7"/>
  <c r="BS126" i="7"/>
  <c r="BT126" i="7"/>
  <c r="BU126" i="7"/>
  <c r="BV126" i="7"/>
  <c r="BL127" i="7"/>
  <c r="BM127" i="7"/>
  <c r="BN127" i="7"/>
  <c r="BO127" i="7"/>
  <c r="BP127" i="7"/>
  <c r="BQ127" i="7"/>
  <c r="BR127" i="7"/>
  <c r="BS127" i="7"/>
  <c r="BT127" i="7"/>
  <c r="BU127" i="7"/>
  <c r="BV127" i="7"/>
  <c r="BL128" i="7"/>
  <c r="BM128" i="7"/>
  <c r="BN128" i="7"/>
  <c r="BO128" i="7"/>
  <c r="BP128" i="7"/>
  <c r="BQ128" i="7"/>
  <c r="BR128" i="7"/>
  <c r="BS128" i="7"/>
  <c r="BT128" i="7"/>
  <c r="BU128" i="7"/>
  <c r="BV128" i="7"/>
  <c r="BL129" i="7"/>
  <c r="BM129" i="7"/>
  <c r="BN129" i="7"/>
  <c r="BO129" i="7"/>
  <c r="BP129" i="7"/>
  <c r="BQ129" i="7"/>
  <c r="BR129" i="7"/>
  <c r="BS129" i="7"/>
  <c r="BT129" i="7"/>
  <c r="BU129" i="7"/>
  <c r="BV129" i="7"/>
  <c r="BL130" i="7"/>
  <c r="BM130" i="7"/>
  <c r="BN130" i="7"/>
  <c r="BO130" i="7"/>
  <c r="BP130" i="7"/>
  <c r="BQ130" i="7"/>
  <c r="BR130" i="7"/>
  <c r="BS130" i="7"/>
  <c r="BT130" i="7"/>
  <c r="BU130" i="7"/>
  <c r="BV130" i="7"/>
  <c r="BL131" i="7"/>
  <c r="BM131" i="7"/>
  <c r="BN131" i="7"/>
  <c r="BO131" i="7"/>
  <c r="BP131" i="7"/>
  <c r="BQ131" i="7"/>
  <c r="BR131" i="7"/>
  <c r="BS131" i="7"/>
  <c r="BT131" i="7"/>
  <c r="BU131" i="7"/>
  <c r="BV131" i="7"/>
  <c r="BL132" i="7"/>
  <c r="BM132" i="7"/>
  <c r="BN132" i="7"/>
  <c r="BO132" i="7"/>
  <c r="BP132" i="7"/>
  <c r="BQ132" i="7"/>
  <c r="BR132" i="7"/>
  <c r="BS132" i="7"/>
  <c r="BT132" i="7"/>
  <c r="BU132" i="7"/>
  <c r="BV132" i="7"/>
  <c r="BL133" i="7"/>
  <c r="BM133" i="7"/>
  <c r="BN133" i="7"/>
  <c r="BO133" i="7"/>
  <c r="BP133" i="7"/>
  <c r="BQ133" i="7"/>
  <c r="BR133" i="7"/>
  <c r="BS133" i="7"/>
  <c r="BT133" i="7"/>
  <c r="BU133" i="7"/>
  <c r="BV133" i="7"/>
  <c r="BL134" i="7"/>
  <c r="BM134" i="7"/>
  <c r="BN134" i="7"/>
  <c r="BO134" i="7"/>
  <c r="BP134" i="7"/>
  <c r="BQ134" i="7"/>
  <c r="BR134" i="7"/>
  <c r="BS134" i="7"/>
  <c r="BT134" i="7"/>
  <c r="BU134" i="7"/>
  <c r="BV134" i="7"/>
  <c r="BL135" i="7"/>
  <c r="BM135" i="7"/>
  <c r="BN135" i="7"/>
  <c r="BO135" i="7"/>
  <c r="BP135" i="7"/>
  <c r="BQ135" i="7"/>
  <c r="BR135" i="7"/>
  <c r="BS135" i="7"/>
  <c r="BT135" i="7"/>
  <c r="BU135" i="7"/>
  <c r="BV135" i="7"/>
  <c r="BL136" i="7"/>
  <c r="BM136" i="7"/>
  <c r="BN136" i="7"/>
  <c r="BO136" i="7"/>
  <c r="BP136" i="7"/>
  <c r="BQ136" i="7"/>
  <c r="BR136" i="7"/>
  <c r="BS136" i="7"/>
  <c r="BT136" i="7"/>
  <c r="BU136" i="7"/>
  <c r="BV136" i="7"/>
  <c r="BL137" i="7"/>
  <c r="BM137" i="7"/>
  <c r="BN137" i="7"/>
  <c r="BO137" i="7"/>
  <c r="BP137" i="7"/>
  <c r="BQ137" i="7"/>
  <c r="BR137" i="7"/>
  <c r="BS137" i="7"/>
  <c r="BT137" i="7"/>
  <c r="BU137" i="7"/>
  <c r="BV137" i="7"/>
  <c r="BL138" i="7"/>
  <c r="BM138" i="7"/>
  <c r="BN138" i="7"/>
  <c r="BO138" i="7"/>
  <c r="BP138" i="7"/>
  <c r="BQ138" i="7"/>
  <c r="BR138" i="7"/>
  <c r="BS138" i="7"/>
  <c r="BT138" i="7"/>
  <c r="BU138" i="7"/>
  <c r="BV138" i="7"/>
  <c r="BL139" i="7"/>
  <c r="BM139" i="7"/>
  <c r="BN139" i="7"/>
  <c r="BO139" i="7"/>
  <c r="BP139" i="7"/>
  <c r="BQ139" i="7"/>
  <c r="BR139" i="7"/>
  <c r="BS139" i="7"/>
  <c r="BT139" i="7"/>
  <c r="BU139" i="7"/>
  <c r="BV139" i="7"/>
  <c r="BL140" i="7"/>
  <c r="BM140" i="7"/>
  <c r="BN140" i="7"/>
  <c r="BO140" i="7"/>
  <c r="BP140" i="7"/>
  <c r="BQ140" i="7"/>
  <c r="BR140" i="7"/>
  <c r="BS140" i="7"/>
  <c r="BT140" i="7"/>
  <c r="BU140" i="7"/>
  <c r="BV140" i="7"/>
  <c r="BL141" i="7"/>
  <c r="BM141" i="7"/>
  <c r="BN141" i="7"/>
  <c r="BO141" i="7"/>
  <c r="BP141" i="7"/>
  <c r="BQ141" i="7"/>
  <c r="BR141" i="7"/>
  <c r="BS141" i="7"/>
  <c r="BT141" i="7"/>
  <c r="BU141" i="7"/>
  <c r="BV141" i="7"/>
  <c r="BL142" i="7"/>
  <c r="BM142" i="7"/>
  <c r="BN142" i="7"/>
  <c r="BO142" i="7"/>
  <c r="BP142" i="7"/>
  <c r="BQ142" i="7"/>
  <c r="BR142" i="7"/>
  <c r="BS142" i="7"/>
  <c r="BT142" i="7"/>
  <c r="BU142" i="7"/>
  <c r="BV142" i="7"/>
  <c r="BL143" i="7"/>
  <c r="BM143" i="7"/>
  <c r="BN143" i="7"/>
  <c r="BO143" i="7"/>
  <c r="BP143" i="7"/>
  <c r="BQ143" i="7"/>
  <c r="BR143" i="7"/>
  <c r="BS143" i="7"/>
  <c r="BT143" i="7"/>
  <c r="BU143" i="7"/>
  <c r="BV143" i="7"/>
  <c r="BL144" i="7"/>
  <c r="BM144" i="7"/>
  <c r="BN144" i="7"/>
  <c r="BO144" i="7"/>
  <c r="BP144" i="7"/>
  <c r="BQ144" i="7"/>
  <c r="BR144" i="7"/>
  <c r="BS144" i="7"/>
  <c r="BT144" i="7"/>
  <c r="BU144" i="7"/>
  <c r="BV144" i="7"/>
  <c r="BL145" i="7"/>
  <c r="BM145" i="7"/>
  <c r="BN145" i="7"/>
  <c r="BO145" i="7"/>
  <c r="BP145" i="7"/>
  <c r="BQ145" i="7"/>
  <c r="BR145" i="7"/>
  <c r="BS145" i="7"/>
  <c r="BT145" i="7"/>
  <c r="BU145" i="7"/>
  <c r="BV145" i="7"/>
  <c r="BL146" i="7"/>
  <c r="BM146" i="7"/>
  <c r="BN146" i="7"/>
  <c r="BO146" i="7"/>
  <c r="BP146" i="7"/>
  <c r="BQ146" i="7"/>
  <c r="BR146" i="7"/>
  <c r="BS146" i="7"/>
  <c r="BT146" i="7"/>
  <c r="BU146" i="7"/>
  <c r="BV146" i="7"/>
  <c r="BL147" i="7"/>
  <c r="BM147" i="7"/>
  <c r="BN147" i="7"/>
  <c r="BO147" i="7"/>
  <c r="BP147" i="7"/>
  <c r="BQ147" i="7"/>
  <c r="BR147" i="7"/>
  <c r="BS147" i="7"/>
  <c r="BT147" i="7"/>
  <c r="BU147" i="7"/>
  <c r="BV147" i="7"/>
  <c r="BL148" i="7"/>
  <c r="BM148" i="7"/>
  <c r="BN148" i="7"/>
  <c r="BO148" i="7"/>
  <c r="BP148" i="7"/>
  <c r="BQ148" i="7"/>
  <c r="BR148" i="7"/>
  <c r="BS148" i="7"/>
  <c r="BT148" i="7"/>
  <c r="BU148" i="7"/>
  <c r="BV148" i="7"/>
  <c r="BL149" i="7"/>
  <c r="BM149" i="7"/>
  <c r="BN149" i="7"/>
  <c r="BO149" i="7"/>
  <c r="BP149" i="7"/>
  <c r="BQ149" i="7"/>
  <c r="BR149" i="7"/>
  <c r="BS149" i="7"/>
  <c r="BT149" i="7"/>
  <c r="BU149" i="7"/>
  <c r="BV149" i="7"/>
  <c r="BL150" i="7"/>
  <c r="BM150" i="7"/>
  <c r="BN150" i="7"/>
  <c r="BO150" i="7"/>
  <c r="BP150" i="7"/>
  <c r="BQ150" i="7"/>
  <c r="BR150" i="7"/>
  <c r="BS150" i="7"/>
  <c r="BT150" i="7"/>
  <c r="BU150" i="7"/>
  <c r="BV150" i="7"/>
  <c r="BL151" i="7"/>
  <c r="BM151" i="7"/>
  <c r="BN151" i="7"/>
  <c r="BO151" i="7"/>
  <c r="BP151" i="7"/>
  <c r="BQ151" i="7"/>
  <c r="BR151" i="7"/>
  <c r="BS151" i="7"/>
  <c r="BT151" i="7"/>
  <c r="BU151" i="7"/>
  <c r="BV151" i="7"/>
  <c r="BL152" i="7"/>
  <c r="BM152" i="7"/>
  <c r="BN152" i="7"/>
  <c r="BO152" i="7"/>
  <c r="BP152" i="7"/>
  <c r="BQ152" i="7"/>
  <c r="BR152" i="7"/>
  <c r="BS152" i="7"/>
  <c r="BT152" i="7"/>
  <c r="BU152" i="7"/>
  <c r="BV152" i="7"/>
  <c r="BL153" i="7"/>
  <c r="BM153" i="7"/>
  <c r="BN153" i="7"/>
  <c r="BO153" i="7"/>
  <c r="BP153" i="7"/>
  <c r="BQ153" i="7"/>
  <c r="BR153" i="7"/>
  <c r="BS153" i="7"/>
  <c r="BT153" i="7"/>
  <c r="BU153" i="7"/>
  <c r="BV153" i="7"/>
  <c r="BL154" i="7"/>
  <c r="BM154" i="7"/>
  <c r="BN154" i="7"/>
  <c r="BO154" i="7"/>
  <c r="BP154" i="7"/>
  <c r="BQ154" i="7"/>
  <c r="BR154" i="7"/>
  <c r="BS154" i="7"/>
  <c r="BT154" i="7"/>
  <c r="BU154" i="7"/>
  <c r="BV154" i="7"/>
  <c r="BL155" i="7"/>
  <c r="BM155" i="7"/>
  <c r="BN155" i="7"/>
  <c r="BO155" i="7"/>
  <c r="BP155" i="7"/>
  <c r="BQ155" i="7"/>
  <c r="BR155" i="7"/>
  <c r="BS155" i="7"/>
  <c r="BT155" i="7"/>
  <c r="BU155" i="7"/>
  <c r="BV155" i="7"/>
  <c r="BL156" i="7"/>
  <c r="BM156" i="7"/>
  <c r="BN156" i="7"/>
  <c r="BO156" i="7"/>
  <c r="BP156" i="7"/>
  <c r="BQ156" i="7"/>
  <c r="BR156" i="7"/>
  <c r="BS156" i="7"/>
  <c r="BT156" i="7"/>
  <c r="BU156" i="7"/>
  <c r="BV156" i="7"/>
  <c r="BL157" i="7"/>
  <c r="BM157" i="7"/>
  <c r="BN157" i="7"/>
  <c r="BO157" i="7"/>
  <c r="BP157" i="7"/>
  <c r="BQ157" i="7"/>
  <c r="BR157" i="7"/>
  <c r="BS157" i="7"/>
  <c r="BT157" i="7"/>
  <c r="BU157" i="7"/>
  <c r="BV157" i="7"/>
  <c r="BL158" i="7"/>
  <c r="BM158" i="7"/>
  <c r="BN158" i="7"/>
  <c r="BO158" i="7"/>
  <c r="BP158" i="7"/>
  <c r="BQ158" i="7"/>
  <c r="BR158" i="7"/>
  <c r="BS158" i="7"/>
  <c r="BT158" i="7"/>
  <c r="BU158" i="7"/>
  <c r="BV158" i="7"/>
  <c r="BL159" i="7"/>
  <c r="BM159" i="7"/>
  <c r="BN159" i="7"/>
  <c r="BO159" i="7"/>
  <c r="BP159" i="7"/>
  <c r="BQ159" i="7"/>
  <c r="BR159" i="7"/>
  <c r="BS159" i="7"/>
  <c r="BT159" i="7"/>
  <c r="BU159" i="7"/>
  <c r="BV159" i="7"/>
  <c r="BL160" i="7"/>
  <c r="BM160" i="7"/>
  <c r="BN160" i="7"/>
  <c r="BO160" i="7"/>
  <c r="BP160" i="7"/>
  <c r="BQ160" i="7"/>
  <c r="BR160" i="7"/>
  <c r="BS160" i="7"/>
  <c r="BT160" i="7"/>
  <c r="BU160" i="7"/>
  <c r="BV160" i="7"/>
  <c r="BL161" i="7"/>
  <c r="BM161" i="7"/>
  <c r="BN161" i="7"/>
  <c r="BO161" i="7"/>
  <c r="BP161" i="7"/>
  <c r="BQ161" i="7"/>
  <c r="BR161" i="7"/>
  <c r="BS161" i="7"/>
  <c r="BT161" i="7"/>
  <c r="BU161" i="7"/>
  <c r="BV161" i="7"/>
  <c r="BL162" i="7"/>
  <c r="BM162" i="7"/>
  <c r="BN162" i="7"/>
  <c r="BO162" i="7"/>
  <c r="BP162" i="7"/>
  <c r="BQ162" i="7"/>
  <c r="BR162" i="7"/>
  <c r="BS162" i="7"/>
  <c r="BT162" i="7"/>
  <c r="BU162" i="7"/>
  <c r="BV162" i="7"/>
  <c r="BL163" i="7"/>
  <c r="BM163" i="7"/>
  <c r="BN163" i="7"/>
  <c r="BO163" i="7"/>
  <c r="BP163" i="7"/>
  <c r="BQ163" i="7"/>
  <c r="BR163" i="7"/>
  <c r="BS163" i="7"/>
  <c r="BT163" i="7"/>
  <c r="BU163" i="7"/>
  <c r="BV163" i="7"/>
  <c r="BL164" i="7"/>
  <c r="BM164" i="7"/>
  <c r="BN164" i="7"/>
  <c r="BO164" i="7"/>
  <c r="BP164" i="7"/>
  <c r="BQ164" i="7"/>
  <c r="BR164" i="7"/>
  <c r="BS164" i="7"/>
  <c r="BT164" i="7"/>
  <c r="BU164" i="7"/>
  <c r="BV164" i="7"/>
  <c r="BL165" i="7"/>
  <c r="BM165" i="7"/>
  <c r="BN165" i="7"/>
  <c r="BO165" i="7"/>
  <c r="BP165" i="7"/>
  <c r="BQ165" i="7"/>
  <c r="BR165" i="7"/>
  <c r="BS165" i="7"/>
  <c r="BT165" i="7"/>
  <c r="BU165" i="7"/>
  <c r="BV165" i="7"/>
  <c r="BL166" i="7"/>
  <c r="BM166" i="7"/>
  <c r="BN166" i="7"/>
  <c r="BO166" i="7"/>
  <c r="BP166" i="7"/>
  <c r="BQ166" i="7"/>
  <c r="BR166" i="7"/>
  <c r="BS166" i="7"/>
  <c r="BT166" i="7"/>
  <c r="BU166" i="7"/>
  <c r="BV166" i="7"/>
  <c r="BL167" i="7"/>
  <c r="BM167" i="7"/>
  <c r="BN167" i="7"/>
  <c r="BO167" i="7"/>
  <c r="BP167" i="7"/>
  <c r="BQ167" i="7"/>
  <c r="BR167" i="7"/>
  <c r="BS167" i="7"/>
  <c r="BT167" i="7"/>
  <c r="BU167" i="7"/>
  <c r="BV167" i="7"/>
  <c r="BL168" i="7"/>
  <c r="BM168" i="7"/>
  <c r="BN168" i="7"/>
  <c r="BO168" i="7"/>
  <c r="BP168" i="7"/>
  <c r="BQ168" i="7"/>
  <c r="BR168" i="7"/>
  <c r="BS168" i="7"/>
  <c r="BT168" i="7"/>
  <c r="BU168" i="7"/>
  <c r="BV168" i="7"/>
  <c r="BL169" i="7"/>
  <c r="BM169" i="7"/>
  <c r="BN169" i="7"/>
  <c r="BO169" i="7"/>
  <c r="BP169" i="7"/>
  <c r="BQ169" i="7"/>
  <c r="BR169" i="7"/>
  <c r="BS169" i="7"/>
  <c r="BT169" i="7"/>
  <c r="BU169" i="7"/>
  <c r="BV169" i="7"/>
  <c r="BL170" i="7"/>
  <c r="BM170" i="7"/>
  <c r="BN170" i="7"/>
  <c r="BO170" i="7"/>
  <c r="BP170" i="7"/>
  <c r="BQ170" i="7"/>
  <c r="BR170" i="7"/>
  <c r="BS170" i="7"/>
  <c r="BT170" i="7"/>
  <c r="BU170" i="7"/>
  <c r="BV170" i="7"/>
  <c r="BL171" i="7"/>
  <c r="BM171" i="7"/>
  <c r="BN171" i="7"/>
  <c r="BO171" i="7"/>
  <c r="BP171" i="7"/>
  <c r="BQ171" i="7"/>
  <c r="BR171" i="7"/>
  <c r="BS171" i="7"/>
  <c r="BT171" i="7"/>
  <c r="BU171" i="7"/>
  <c r="BV171" i="7"/>
  <c r="BL172" i="7"/>
  <c r="BM172" i="7"/>
  <c r="BN172" i="7"/>
  <c r="BO172" i="7"/>
  <c r="BP172" i="7"/>
  <c r="BQ172" i="7"/>
  <c r="BR172" i="7"/>
  <c r="BS172" i="7"/>
  <c r="BT172" i="7"/>
  <c r="BU172" i="7"/>
  <c r="BV172" i="7"/>
  <c r="BL173" i="7"/>
  <c r="BM173" i="7"/>
  <c r="BN173" i="7"/>
  <c r="BO173" i="7"/>
  <c r="BP173" i="7"/>
  <c r="BQ173" i="7"/>
  <c r="BR173" i="7"/>
  <c r="BS173" i="7"/>
  <c r="BT173" i="7"/>
  <c r="BU173" i="7"/>
  <c r="BV173" i="7"/>
  <c r="BL174" i="7"/>
  <c r="BM174" i="7"/>
  <c r="BN174" i="7"/>
  <c r="BO174" i="7"/>
  <c r="BP174" i="7"/>
  <c r="BQ174" i="7"/>
  <c r="BR174" i="7"/>
  <c r="BS174" i="7"/>
  <c r="BT174" i="7"/>
  <c r="BU174" i="7"/>
  <c r="BV174" i="7"/>
  <c r="BL175" i="7"/>
  <c r="BM175" i="7"/>
  <c r="BN175" i="7"/>
  <c r="BO175" i="7"/>
  <c r="BP175" i="7"/>
  <c r="BQ175" i="7"/>
  <c r="BR175" i="7"/>
  <c r="BS175" i="7"/>
  <c r="BT175" i="7"/>
  <c r="BU175" i="7"/>
  <c r="BV175" i="7"/>
  <c r="BL176" i="7"/>
  <c r="BM176" i="7"/>
  <c r="BN176" i="7"/>
  <c r="BO176" i="7"/>
  <c r="BP176" i="7"/>
  <c r="BQ176" i="7"/>
  <c r="BR176" i="7"/>
  <c r="BS176" i="7"/>
  <c r="BT176" i="7"/>
  <c r="BU176" i="7"/>
  <c r="BV176" i="7"/>
  <c r="BL177" i="7"/>
  <c r="BM177" i="7"/>
  <c r="BN177" i="7"/>
  <c r="BO177" i="7"/>
  <c r="BP177" i="7"/>
  <c r="BQ177" i="7"/>
  <c r="BR177" i="7"/>
  <c r="BS177" i="7"/>
  <c r="BT177" i="7"/>
  <c r="BU177" i="7"/>
  <c r="BV177" i="7"/>
  <c r="BL178" i="7"/>
  <c r="BM178" i="7"/>
  <c r="BN178" i="7"/>
  <c r="BO178" i="7"/>
  <c r="BP178" i="7"/>
  <c r="BQ178" i="7"/>
  <c r="BR178" i="7"/>
  <c r="BS178" i="7"/>
  <c r="BT178" i="7"/>
  <c r="BU178" i="7"/>
  <c r="BV178" i="7"/>
  <c r="BL179" i="7"/>
  <c r="BM179" i="7"/>
  <c r="BN179" i="7"/>
  <c r="BO179" i="7"/>
  <c r="BP179" i="7"/>
  <c r="BQ179" i="7"/>
  <c r="BR179" i="7"/>
  <c r="BS179" i="7"/>
  <c r="BT179" i="7"/>
  <c r="BU179" i="7"/>
  <c r="BV179" i="7"/>
  <c r="BL180" i="7"/>
  <c r="BM180" i="7"/>
  <c r="BN180" i="7"/>
  <c r="BO180" i="7"/>
  <c r="BP180" i="7"/>
  <c r="BQ180" i="7"/>
  <c r="BR180" i="7"/>
  <c r="BS180" i="7"/>
  <c r="BT180" i="7"/>
  <c r="BU180" i="7"/>
  <c r="BV180" i="7"/>
  <c r="BL181" i="7"/>
  <c r="BM181" i="7"/>
  <c r="BN181" i="7"/>
  <c r="BO181" i="7"/>
  <c r="BP181" i="7"/>
  <c r="BQ181" i="7"/>
  <c r="BR181" i="7"/>
  <c r="BS181" i="7"/>
  <c r="BT181" i="7"/>
  <c r="BU181" i="7"/>
  <c r="BV181" i="7"/>
  <c r="BL182" i="7"/>
  <c r="BM182" i="7"/>
  <c r="BN182" i="7"/>
  <c r="BO182" i="7"/>
  <c r="BP182" i="7"/>
  <c r="BQ182" i="7"/>
  <c r="BR182" i="7"/>
  <c r="BS182" i="7"/>
  <c r="BT182" i="7"/>
  <c r="BU182" i="7"/>
  <c r="BV182" i="7"/>
  <c r="BL183" i="7"/>
  <c r="BM183" i="7"/>
  <c r="BN183" i="7"/>
  <c r="BO183" i="7"/>
  <c r="BP183" i="7"/>
  <c r="BQ183" i="7"/>
  <c r="BR183" i="7"/>
  <c r="BS183" i="7"/>
  <c r="BT183" i="7"/>
  <c r="BU183" i="7"/>
  <c r="BV183" i="7"/>
  <c r="BL184" i="7"/>
  <c r="BM184" i="7"/>
  <c r="BN184" i="7"/>
  <c r="BO184" i="7"/>
  <c r="BP184" i="7"/>
  <c r="BQ184" i="7"/>
  <c r="BR184" i="7"/>
  <c r="BS184" i="7"/>
  <c r="BT184" i="7"/>
  <c r="BU184" i="7"/>
  <c r="BV184" i="7"/>
  <c r="BL185" i="7"/>
  <c r="BM185" i="7"/>
  <c r="BN185" i="7"/>
  <c r="BO185" i="7"/>
  <c r="BP185" i="7"/>
  <c r="BQ185" i="7"/>
  <c r="BR185" i="7"/>
  <c r="BS185" i="7"/>
  <c r="BT185" i="7"/>
  <c r="BU185" i="7"/>
  <c r="BV185" i="7"/>
  <c r="BL186" i="7"/>
  <c r="BM186" i="7"/>
  <c r="BN186" i="7"/>
  <c r="BO186" i="7"/>
  <c r="BP186" i="7"/>
  <c r="BQ186" i="7"/>
  <c r="BR186" i="7"/>
  <c r="BS186" i="7"/>
  <c r="BT186" i="7"/>
  <c r="BU186" i="7"/>
  <c r="BV186" i="7"/>
  <c r="BL187" i="7"/>
  <c r="BM187" i="7"/>
  <c r="BN187" i="7"/>
  <c r="BO187" i="7"/>
  <c r="BP187" i="7"/>
  <c r="BQ187" i="7"/>
  <c r="BR187" i="7"/>
  <c r="BS187" i="7"/>
  <c r="BT187" i="7"/>
  <c r="BU187" i="7"/>
  <c r="BV187" i="7"/>
  <c r="BL188" i="7"/>
  <c r="BM188" i="7"/>
  <c r="BN188" i="7"/>
  <c r="BO188" i="7"/>
  <c r="BP188" i="7"/>
  <c r="BQ188" i="7"/>
  <c r="BR188" i="7"/>
  <c r="BS188" i="7"/>
  <c r="BT188" i="7"/>
  <c r="BU188" i="7"/>
  <c r="BV188" i="7"/>
  <c r="BL189" i="7"/>
  <c r="BM189" i="7"/>
  <c r="BN189" i="7"/>
  <c r="BO189" i="7"/>
  <c r="BP189" i="7"/>
  <c r="BQ189" i="7"/>
  <c r="BR189" i="7"/>
  <c r="BS189" i="7"/>
  <c r="BT189" i="7"/>
  <c r="BU189" i="7"/>
  <c r="BV189" i="7"/>
  <c r="BL190" i="7"/>
  <c r="BM190" i="7"/>
  <c r="BN190" i="7"/>
  <c r="BO190" i="7"/>
  <c r="BP190" i="7"/>
  <c r="BQ190" i="7"/>
  <c r="BR190" i="7"/>
  <c r="BS190" i="7"/>
  <c r="BT190" i="7"/>
  <c r="BU190" i="7"/>
  <c r="BV190" i="7"/>
  <c r="BL191" i="7"/>
  <c r="BM191" i="7"/>
  <c r="BN191" i="7"/>
  <c r="BO191" i="7"/>
  <c r="BP191" i="7"/>
  <c r="BQ191" i="7"/>
  <c r="BR191" i="7"/>
  <c r="BS191" i="7"/>
  <c r="BT191" i="7"/>
  <c r="BU191" i="7"/>
  <c r="BV191" i="7"/>
  <c r="BL192" i="7"/>
  <c r="BM192" i="7"/>
  <c r="BN192" i="7"/>
  <c r="BO192" i="7"/>
  <c r="BP192" i="7"/>
  <c r="BQ192" i="7"/>
  <c r="BR192" i="7"/>
  <c r="BS192" i="7"/>
  <c r="BT192" i="7"/>
  <c r="BU192" i="7"/>
  <c r="BV192" i="7"/>
  <c r="BL193" i="7"/>
  <c r="BM193" i="7"/>
  <c r="BN193" i="7"/>
  <c r="BO193" i="7"/>
  <c r="BP193" i="7"/>
  <c r="BQ193" i="7"/>
  <c r="BR193" i="7"/>
  <c r="BS193" i="7"/>
  <c r="BT193" i="7"/>
  <c r="BU193" i="7"/>
  <c r="BV193" i="7"/>
  <c r="BL194" i="7"/>
  <c r="BM194" i="7"/>
  <c r="BN194" i="7"/>
  <c r="BO194" i="7"/>
  <c r="BP194" i="7"/>
  <c r="BQ194" i="7"/>
  <c r="BR194" i="7"/>
  <c r="BS194" i="7"/>
  <c r="BT194" i="7"/>
  <c r="BU194" i="7"/>
  <c r="BV194" i="7"/>
  <c r="BL195" i="7"/>
  <c r="BM195" i="7"/>
  <c r="BN195" i="7"/>
  <c r="BO195" i="7"/>
  <c r="BP195" i="7"/>
  <c r="BQ195" i="7"/>
  <c r="BR195" i="7"/>
  <c r="BS195" i="7"/>
  <c r="BT195" i="7"/>
  <c r="BU195" i="7"/>
  <c r="BV195" i="7"/>
  <c r="BL196" i="7"/>
  <c r="BM196" i="7"/>
  <c r="BN196" i="7"/>
  <c r="BO196" i="7"/>
  <c r="BP196" i="7"/>
  <c r="BQ196" i="7"/>
  <c r="BR196" i="7"/>
  <c r="BS196" i="7"/>
  <c r="BT196" i="7"/>
  <c r="BU196" i="7"/>
  <c r="BV196" i="7"/>
  <c r="BL197" i="7"/>
  <c r="BM197" i="7"/>
  <c r="BN197" i="7"/>
  <c r="BO197" i="7"/>
  <c r="BP197" i="7"/>
  <c r="BQ197" i="7"/>
  <c r="BR197" i="7"/>
  <c r="BS197" i="7"/>
  <c r="BT197" i="7"/>
  <c r="BU197" i="7"/>
  <c r="BV197" i="7"/>
  <c r="BL198" i="7"/>
  <c r="BM198" i="7"/>
  <c r="BN198" i="7"/>
  <c r="BO198" i="7"/>
  <c r="BP198" i="7"/>
  <c r="BQ198" i="7"/>
  <c r="BR198" i="7"/>
  <c r="BS198" i="7"/>
  <c r="BT198" i="7"/>
  <c r="BU198" i="7"/>
  <c r="BV198" i="7"/>
  <c r="BL199" i="7"/>
  <c r="BM199" i="7"/>
  <c r="BN199" i="7"/>
  <c r="BO199" i="7"/>
  <c r="BP199" i="7"/>
  <c r="BQ199" i="7"/>
  <c r="BR199" i="7"/>
  <c r="BS199" i="7"/>
  <c r="BT199" i="7"/>
  <c r="BU199" i="7"/>
  <c r="BV199" i="7"/>
  <c r="BL200" i="7"/>
  <c r="BM200" i="7"/>
  <c r="BN200" i="7"/>
  <c r="BO200" i="7"/>
  <c r="BP200" i="7"/>
  <c r="BQ200" i="7"/>
  <c r="BR200" i="7"/>
  <c r="BS200" i="7"/>
  <c r="BT200" i="7"/>
  <c r="BU200" i="7"/>
  <c r="BV200" i="7"/>
  <c r="BL201" i="7"/>
  <c r="BM201" i="7"/>
  <c r="BN201" i="7"/>
  <c r="BO201" i="7"/>
  <c r="BP201" i="7"/>
  <c r="BQ201" i="7"/>
  <c r="BR201" i="7"/>
  <c r="BS201" i="7"/>
  <c r="BT201" i="7"/>
  <c r="BU201" i="7"/>
  <c r="BV201" i="7"/>
  <c r="BL202" i="7"/>
  <c r="BM202" i="7"/>
  <c r="BN202" i="7"/>
  <c r="BO202" i="7"/>
  <c r="BP202" i="7"/>
  <c r="BQ202" i="7"/>
  <c r="BR202" i="7"/>
  <c r="BS202" i="7"/>
  <c r="BT202" i="7"/>
  <c r="BU202" i="7"/>
  <c r="BV202" i="7"/>
  <c r="BL203" i="7"/>
  <c r="BM203" i="7"/>
  <c r="BN203" i="7"/>
  <c r="BO203" i="7"/>
  <c r="BP203" i="7"/>
  <c r="BQ203" i="7"/>
  <c r="BR203" i="7"/>
  <c r="BS203" i="7"/>
  <c r="BT203" i="7"/>
  <c r="BU203" i="7"/>
  <c r="BV203" i="7"/>
  <c r="BL204" i="7"/>
  <c r="BM204" i="7"/>
  <c r="BN204" i="7"/>
  <c r="BO204" i="7"/>
  <c r="BP204" i="7"/>
  <c r="BQ204" i="7"/>
  <c r="BR204" i="7"/>
  <c r="BS204" i="7"/>
  <c r="BT204" i="7"/>
  <c r="BU204" i="7"/>
  <c r="BV204" i="7"/>
  <c r="BL205" i="7"/>
  <c r="BM205" i="7"/>
  <c r="BN205" i="7"/>
  <c r="BO205" i="7"/>
  <c r="BP205" i="7"/>
  <c r="BQ205" i="7"/>
  <c r="BR205" i="7"/>
  <c r="BS205" i="7"/>
  <c r="BT205" i="7"/>
  <c r="BU205" i="7"/>
  <c r="BV205" i="7"/>
  <c r="BL206" i="7"/>
  <c r="BM206" i="7"/>
  <c r="BN206" i="7"/>
  <c r="BO206" i="7"/>
  <c r="BP206" i="7"/>
  <c r="BQ206" i="7"/>
  <c r="BR206" i="7"/>
  <c r="BS206" i="7"/>
  <c r="BT206" i="7"/>
  <c r="BU206" i="7"/>
  <c r="BV206" i="7"/>
  <c r="BL207" i="7"/>
  <c r="BM207" i="7"/>
  <c r="BN207" i="7"/>
  <c r="BO207" i="7"/>
  <c r="BP207" i="7"/>
  <c r="BQ207" i="7"/>
  <c r="BR207" i="7"/>
  <c r="BS207" i="7"/>
  <c r="BT207" i="7"/>
  <c r="BU207" i="7"/>
  <c r="BV207" i="7"/>
  <c r="BL208" i="7"/>
  <c r="BM208" i="7"/>
  <c r="BN208" i="7"/>
  <c r="BO208" i="7"/>
  <c r="BP208" i="7"/>
  <c r="BQ208" i="7"/>
  <c r="BR208" i="7"/>
  <c r="BS208" i="7"/>
  <c r="BT208" i="7"/>
  <c r="BU208" i="7"/>
  <c r="BV208" i="7"/>
  <c r="BL209" i="7"/>
  <c r="BM209" i="7"/>
  <c r="BN209" i="7"/>
  <c r="BO209" i="7"/>
  <c r="BP209" i="7"/>
  <c r="BQ209" i="7"/>
  <c r="BR209" i="7"/>
  <c r="BS209" i="7"/>
  <c r="BT209" i="7"/>
  <c r="BU209" i="7"/>
  <c r="BV209" i="7"/>
  <c r="BL210" i="7"/>
  <c r="BM210" i="7"/>
  <c r="BN210" i="7"/>
  <c r="BO210" i="7"/>
  <c r="BP210" i="7"/>
  <c r="BQ210" i="7"/>
  <c r="BR210" i="7"/>
  <c r="BS210" i="7"/>
  <c r="BT210" i="7"/>
  <c r="BU210" i="7"/>
  <c r="BV210" i="7"/>
  <c r="BL211" i="7"/>
  <c r="BM211" i="7"/>
  <c r="BN211" i="7"/>
  <c r="BO211" i="7"/>
  <c r="BP211" i="7"/>
  <c r="BQ211" i="7"/>
  <c r="BR211" i="7"/>
  <c r="BS211" i="7"/>
  <c r="BT211" i="7"/>
  <c r="BU211" i="7"/>
  <c r="BV211" i="7"/>
  <c r="BL212" i="7"/>
  <c r="BM212" i="7"/>
  <c r="BN212" i="7"/>
  <c r="BO212" i="7"/>
  <c r="BP212" i="7"/>
  <c r="BQ212" i="7"/>
  <c r="BR212" i="7"/>
  <c r="BS212" i="7"/>
  <c r="BT212" i="7"/>
  <c r="BU212" i="7"/>
  <c r="BV212" i="7"/>
  <c r="BL213" i="7"/>
  <c r="BM213" i="7"/>
  <c r="BN213" i="7"/>
  <c r="BO213" i="7"/>
  <c r="BP213" i="7"/>
  <c r="BQ213" i="7"/>
  <c r="BR213" i="7"/>
  <c r="BS213" i="7"/>
  <c r="BT213" i="7"/>
  <c r="BU213" i="7"/>
  <c r="BV213" i="7"/>
  <c r="BL214" i="7"/>
  <c r="BM214" i="7"/>
  <c r="BN214" i="7"/>
  <c r="BO214" i="7"/>
  <c r="BP214" i="7"/>
  <c r="BQ214" i="7"/>
  <c r="BR214" i="7"/>
  <c r="BS214" i="7"/>
  <c r="BT214" i="7"/>
  <c r="BU214" i="7"/>
  <c r="BV214" i="7"/>
  <c r="BL215" i="7"/>
  <c r="BM215" i="7"/>
  <c r="BN215" i="7"/>
  <c r="BO215" i="7"/>
  <c r="BP215" i="7"/>
  <c r="BQ215" i="7"/>
  <c r="BR215" i="7"/>
  <c r="BS215" i="7"/>
  <c r="BT215" i="7"/>
  <c r="BU215" i="7"/>
  <c r="BV215" i="7"/>
  <c r="BL216" i="7"/>
  <c r="BM216" i="7"/>
  <c r="BN216" i="7"/>
  <c r="BO216" i="7"/>
  <c r="BP216" i="7"/>
  <c r="BQ216" i="7"/>
  <c r="BR216" i="7"/>
  <c r="BS216" i="7"/>
  <c r="BT216" i="7"/>
  <c r="BU216" i="7"/>
  <c r="BV216" i="7"/>
  <c r="BL217" i="7"/>
  <c r="BM217" i="7"/>
  <c r="BN217" i="7"/>
  <c r="BO217" i="7"/>
  <c r="BP217" i="7"/>
  <c r="BQ217" i="7"/>
  <c r="BR217" i="7"/>
  <c r="BS217" i="7"/>
  <c r="BT217" i="7"/>
  <c r="BU217" i="7"/>
  <c r="BV217" i="7"/>
  <c r="BL218" i="7"/>
  <c r="BM218" i="7"/>
  <c r="BN218" i="7"/>
  <c r="BO218" i="7"/>
  <c r="BP218" i="7"/>
  <c r="BQ218" i="7"/>
  <c r="BR218" i="7"/>
  <c r="BS218" i="7"/>
  <c r="BT218" i="7"/>
  <c r="BU218" i="7"/>
  <c r="BV218" i="7"/>
  <c r="BL219" i="7"/>
  <c r="BM219" i="7"/>
  <c r="BN219" i="7"/>
  <c r="BO219" i="7"/>
  <c r="BP219" i="7"/>
  <c r="BQ219" i="7"/>
  <c r="BR219" i="7"/>
  <c r="BS219" i="7"/>
  <c r="BT219" i="7"/>
  <c r="BU219" i="7"/>
  <c r="BV219" i="7"/>
  <c r="BL220" i="7"/>
  <c r="BM220" i="7"/>
  <c r="BN220" i="7"/>
  <c r="BO220" i="7"/>
  <c r="BP220" i="7"/>
  <c r="BQ220" i="7"/>
  <c r="BR220" i="7"/>
  <c r="BS220" i="7"/>
  <c r="BT220" i="7"/>
  <c r="BU220" i="7"/>
  <c r="BV220" i="7"/>
  <c r="BL221" i="7"/>
  <c r="BM221" i="7"/>
  <c r="BN221" i="7"/>
  <c r="BO221" i="7"/>
  <c r="BP221" i="7"/>
  <c r="BQ221" i="7"/>
  <c r="BR221" i="7"/>
  <c r="BS221" i="7"/>
  <c r="BT221" i="7"/>
  <c r="BU221" i="7"/>
  <c r="BV221" i="7"/>
  <c r="BL222" i="7"/>
  <c r="BM222" i="7"/>
  <c r="BN222" i="7"/>
  <c r="BO222" i="7"/>
  <c r="BP222" i="7"/>
  <c r="BQ222" i="7"/>
  <c r="BR222" i="7"/>
  <c r="BS222" i="7"/>
  <c r="BT222" i="7"/>
  <c r="BU222" i="7"/>
  <c r="BV222" i="7"/>
  <c r="BL223" i="7"/>
  <c r="BM223" i="7"/>
  <c r="BN223" i="7"/>
  <c r="BO223" i="7"/>
  <c r="BP223" i="7"/>
  <c r="BQ223" i="7"/>
  <c r="BR223" i="7"/>
  <c r="BS223" i="7"/>
  <c r="BT223" i="7"/>
  <c r="BU223" i="7"/>
  <c r="BV223" i="7"/>
  <c r="BL224" i="7"/>
  <c r="BM224" i="7"/>
  <c r="BN224" i="7"/>
  <c r="BO224" i="7"/>
  <c r="BP224" i="7"/>
  <c r="BQ224" i="7"/>
  <c r="BR224" i="7"/>
  <c r="BS224" i="7"/>
  <c r="BT224" i="7"/>
  <c r="BU224" i="7"/>
  <c r="BV224" i="7"/>
  <c r="BL225" i="7"/>
  <c r="BM225" i="7"/>
  <c r="BN225" i="7"/>
  <c r="BO225" i="7"/>
  <c r="BP225" i="7"/>
  <c r="BQ225" i="7"/>
  <c r="BR225" i="7"/>
  <c r="BS225" i="7"/>
  <c r="BT225" i="7"/>
  <c r="BU225" i="7"/>
  <c r="BV225" i="7"/>
  <c r="BL226" i="7"/>
  <c r="BM226" i="7"/>
  <c r="BN226" i="7"/>
  <c r="BO226" i="7"/>
  <c r="BP226" i="7"/>
  <c r="BQ226" i="7"/>
  <c r="BR226" i="7"/>
  <c r="BS226" i="7"/>
  <c r="BT226" i="7"/>
  <c r="BU226" i="7"/>
  <c r="BV226" i="7"/>
  <c r="BL227" i="7"/>
  <c r="BM227" i="7"/>
  <c r="BN227" i="7"/>
  <c r="BO227" i="7"/>
  <c r="BP227" i="7"/>
  <c r="BQ227" i="7"/>
  <c r="BR227" i="7"/>
  <c r="BS227" i="7"/>
  <c r="BT227" i="7"/>
  <c r="BU227" i="7"/>
  <c r="BV227" i="7"/>
  <c r="BL228" i="7"/>
  <c r="BM228" i="7"/>
  <c r="BN228" i="7"/>
  <c r="BO228" i="7"/>
  <c r="BP228" i="7"/>
  <c r="BQ228" i="7"/>
  <c r="BR228" i="7"/>
  <c r="BS228" i="7"/>
  <c r="BT228" i="7"/>
  <c r="BU228" i="7"/>
  <c r="BV228" i="7"/>
  <c r="BL229" i="7"/>
  <c r="BM229" i="7"/>
  <c r="BN229" i="7"/>
  <c r="BO229" i="7"/>
  <c r="BP229" i="7"/>
  <c r="BQ229" i="7"/>
  <c r="BR229" i="7"/>
  <c r="BS229" i="7"/>
  <c r="BT229" i="7"/>
  <c r="BU229" i="7"/>
  <c r="BV229" i="7"/>
  <c r="BL230" i="7"/>
  <c r="BM230" i="7"/>
  <c r="BN230" i="7"/>
  <c r="BO230" i="7"/>
  <c r="BP230" i="7"/>
  <c r="BQ230" i="7"/>
  <c r="BR230" i="7"/>
  <c r="BS230" i="7"/>
  <c r="BT230" i="7"/>
  <c r="BU230" i="7"/>
  <c r="BV230" i="7"/>
  <c r="BL231" i="7"/>
  <c r="BM231" i="7"/>
  <c r="BN231" i="7"/>
  <c r="BO231" i="7"/>
  <c r="BP231" i="7"/>
  <c r="BQ231" i="7"/>
  <c r="BR231" i="7"/>
  <c r="BS231" i="7"/>
  <c r="BT231" i="7"/>
  <c r="BU231" i="7"/>
  <c r="BV231" i="7"/>
  <c r="BL232" i="7"/>
  <c r="BM232" i="7"/>
  <c r="BN232" i="7"/>
  <c r="BO232" i="7"/>
  <c r="BP232" i="7"/>
  <c r="BQ232" i="7"/>
  <c r="BR232" i="7"/>
  <c r="BS232" i="7"/>
  <c r="BT232" i="7"/>
  <c r="BU232" i="7"/>
  <c r="BV232" i="7"/>
  <c r="BL233" i="7"/>
  <c r="BM233" i="7"/>
  <c r="BN233" i="7"/>
  <c r="BO233" i="7"/>
  <c r="BP233" i="7"/>
  <c r="BQ233" i="7"/>
  <c r="BR233" i="7"/>
  <c r="BS233" i="7"/>
  <c r="BT233" i="7"/>
  <c r="BU233" i="7"/>
  <c r="BV233" i="7"/>
  <c r="BL234" i="7"/>
  <c r="BM234" i="7"/>
  <c r="BN234" i="7"/>
  <c r="BO234" i="7"/>
  <c r="BP234" i="7"/>
  <c r="BQ234" i="7"/>
  <c r="BR234" i="7"/>
  <c r="BS234" i="7"/>
  <c r="BT234" i="7"/>
  <c r="BU234" i="7"/>
  <c r="BV234" i="7"/>
  <c r="BL235" i="7"/>
  <c r="BM235" i="7"/>
  <c r="BN235" i="7"/>
  <c r="BO235" i="7"/>
  <c r="BP235" i="7"/>
  <c r="BQ235" i="7"/>
  <c r="BR235" i="7"/>
  <c r="BS235" i="7"/>
  <c r="BT235" i="7"/>
  <c r="BU235" i="7"/>
  <c r="BV235" i="7"/>
  <c r="BL236" i="7"/>
  <c r="BM236" i="7"/>
  <c r="BN236" i="7"/>
  <c r="BO236" i="7"/>
  <c r="BP236" i="7"/>
  <c r="BQ236" i="7"/>
  <c r="BR236" i="7"/>
  <c r="BS236" i="7"/>
  <c r="BT236" i="7"/>
  <c r="BU236" i="7"/>
  <c r="BV236" i="7"/>
  <c r="BL237" i="7"/>
  <c r="BM237" i="7"/>
  <c r="BN237" i="7"/>
  <c r="BO237" i="7"/>
  <c r="BP237" i="7"/>
  <c r="BQ237" i="7"/>
  <c r="BR237" i="7"/>
  <c r="BS237" i="7"/>
  <c r="BT237" i="7"/>
  <c r="BU237" i="7"/>
  <c r="BV237" i="7"/>
  <c r="BL238" i="7"/>
  <c r="BM238" i="7"/>
  <c r="BN238" i="7"/>
  <c r="BO238" i="7"/>
  <c r="BP238" i="7"/>
  <c r="BQ238" i="7"/>
  <c r="BR238" i="7"/>
  <c r="BS238" i="7"/>
  <c r="BT238" i="7"/>
  <c r="BU238" i="7"/>
  <c r="BV238" i="7"/>
  <c r="BL239" i="7"/>
  <c r="BM239" i="7"/>
  <c r="BN239" i="7"/>
  <c r="BO239" i="7"/>
  <c r="BP239" i="7"/>
  <c r="BQ239" i="7"/>
  <c r="BR239" i="7"/>
  <c r="BS239" i="7"/>
  <c r="BT239" i="7"/>
  <c r="BU239" i="7"/>
  <c r="BV239" i="7"/>
  <c r="BL240" i="7"/>
  <c r="BM240" i="7"/>
  <c r="BN240" i="7"/>
  <c r="BO240" i="7"/>
  <c r="BP240" i="7"/>
  <c r="BQ240" i="7"/>
  <c r="BR240" i="7"/>
  <c r="BS240" i="7"/>
  <c r="BT240" i="7"/>
  <c r="BU240" i="7"/>
  <c r="BV240" i="7"/>
  <c r="BL241" i="7"/>
  <c r="BM241" i="7"/>
  <c r="BN241" i="7"/>
  <c r="BO241" i="7"/>
  <c r="BP241" i="7"/>
  <c r="BQ241" i="7"/>
  <c r="BR241" i="7"/>
  <c r="BS241" i="7"/>
  <c r="BT241" i="7"/>
  <c r="BU241" i="7"/>
  <c r="BV241" i="7"/>
  <c r="BL242" i="7"/>
  <c r="BM242" i="7"/>
  <c r="BN242" i="7"/>
  <c r="BO242" i="7"/>
  <c r="BP242" i="7"/>
  <c r="BQ242" i="7"/>
  <c r="BR242" i="7"/>
  <c r="BS242" i="7"/>
  <c r="BT242" i="7"/>
  <c r="BU242" i="7"/>
  <c r="BV242" i="7"/>
  <c r="BL243" i="7"/>
  <c r="BM243" i="7"/>
  <c r="BN243" i="7"/>
  <c r="BO243" i="7"/>
  <c r="BP243" i="7"/>
  <c r="BQ243" i="7"/>
  <c r="BR243" i="7"/>
  <c r="BS243" i="7"/>
  <c r="BT243" i="7"/>
  <c r="BU243" i="7"/>
  <c r="BV243" i="7"/>
  <c r="BL244" i="7"/>
  <c r="BM244" i="7"/>
  <c r="BN244" i="7"/>
  <c r="BO244" i="7"/>
  <c r="BP244" i="7"/>
  <c r="BQ244" i="7"/>
  <c r="BR244" i="7"/>
  <c r="BS244" i="7"/>
  <c r="BT244" i="7"/>
  <c r="BU244" i="7"/>
  <c r="BV244" i="7"/>
  <c r="BL245" i="7"/>
  <c r="BM245" i="7"/>
  <c r="BN245" i="7"/>
  <c r="BO245" i="7"/>
  <c r="BP245" i="7"/>
  <c r="BQ245" i="7"/>
  <c r="BR245" i="7"/>
  <c r="BS245" i="7"/>
  <c r="BT245" i="7"/>
  <c r="BU245" i="7"/>
  <c r="BV245" i="7"/>
  <c r="BL246" i="7"/>
  <c r="BM246" i="7"/>
  <c r="BN246" i="7"/>
  <c r="BO246" i="7"/>
  <c r="BP246" i="7"/>
  <c r="BQ246" i="7"/>
  <c r="BR246" i="7"/>
  <c r="BS246" i="7"/>
  <c r="BT246" i="7"/>
  <c r="BU246" i="7"/>
  <c r="BV246" i="7"/>
  <c r="BL247" i="7"/>
  <c r="BM247" i="7"/>
  <c r="BN247" i="7"/>
  <c r="BO247" i="7"/>
  <c r="BP247" i="7"/>
  <c r="BQ247" i="7"/>
  <c r="BR247" i="7"/>
  <c r="BS247" i="7"/>
  <c r="BT247" i="7"/>
  <c r="BU247" i="7"/>
  <c r="BV247" i="7"/>
  <c r="BL248" i="7"/>
  <c r="BM248" i="7"/>
  <c r="BN248" i="7"/>
  <c r="BO248" i="7"/>
  <c r="BP248" i="7"/>
  <c r="BQ248" i="7"/>
  <c r="BR248" i="7"/>
  <c r="BS248" i="7"/>
  <c r="BT248" i="7"/>
  <c r="BU248" i="7"/>
  <c r="BV248" i="7"/>
  <c r="BL249" i="7"/>
  <c r="BM249" i="7"/>
  <c r="BN249" i="7"/>
  <c r="BO249" i="7"/>
  <c r="BP249" i="7"/>
  <c r="BQ249" i="7"/>
  <c r="BR249" i="7"/>
  <c r="BS249" i="7"/>
  <c r="BT249" i="7"/>
  <c r="BU249" i="7"/>
  <c r="BV249" i="7"/>
  <c r="BL250" i="7"/>
  <c r="BM250" i="7"/>
  <c r="BN250" i="7"/>
  <c r="BO250" i="7"/>
  <c r="BP250" i="7"/>
  <c r="BQ250" i="7"/>
  <c r="BR250" i="7"/>
  <c r="BS250" i="7"/>
  <c r="BT250" i="7"/>
  <c r="BU250" i="7"/>
  <c r="BV250" i="7"/>
  <c r="BL251" i="7"/>
  <c r="BM251" i="7"/>
  <c r="BN251" i="7"/>
  <c r="BO251" i="7"/>
  <c r="BP251" i="7"/>
  <c r="BQ251" i="7"/>
  <c r="BR251" i="7"/>
  <c r="BS251" i="7"/>
  <c r="BT251" i="7"/>
  <c r="BU251" i="7"/>
  <c r="BV251" i="7"/>
  <c r="BL252" i="7"/>
  <c r="BM252" i="7"/>
  <c r="BN252" i="7"/>
  <c r="BO252" i="7"/>
  <c r="BP252" i="7"/>
  <c r="BQ252" i="7"/>
  <c r="BR252" i="7"/>
  <c r="BS252" i="7"/>
  <c r="BT252" i="7"/>
  <c r="BU252" i="7"/>
  <c r="BV252" i="7"/>
  <c r="BL253" i="7"/>
  <c r="BM253" i="7"/>
  <c r="BN253" i="7"/>
  <c r="BO253" i="7"/>
  <c r="BP253" i="7"/>
  <c r="BQ253" i="7"/>
  <c r="BR253" i="7"/>
  <c r="BS253" i="7"/>
  <c r="BT253" i="7"/>
  <c r="BU253" i="7"/>
  <c r="BV253" i="7"/>
  <c r="BL254" i="7"/>
  <c r="BM254" i="7"/>
  <c r="BN254" i="7"/>
  <c r="BO254" i="7"/>
  <c r="BP254" i="7"/>
  <c r="BQ254" i="7"/>
  <c r="BR254" i="7"/>
  <c r="BS254" i="7"/>
  <c r="BT254" i="7"/>
  <c r="BU254" i="7"/>
  <c r="BV254" i="7"/>
  <c r="BL255" i="7"/>
  <c r="BM255" i="7"/>
  <c r="BN255" i="7"/>
  <c r="BO255" i="7"/>
  <c r="BP255" i="7"/>
  <c r="BQ255" i="7"/>
  <c r="BR255" i="7"/>
  <c r="BS255" i="7"/>
  <c r="BT255" i="7"/>
  <c r="BU255" i="7"/>
  <c r="BV255" i="7"/>
  <c r="BL256" i="7"/>
  <c r="BM256" i="7"/>
  <c r="BN256" i="7"/>
  <c r="BO256" i="7"/>
  <c r="BP256" i="7"/>
  <c r="BQ256" i="7"/>
  <c r="BR256" i="7"/>
  <c r="BS256" i="7"/>
  <c r="BT256" i="7"/>
  <c r="BU256" i="7"/>
  <c r="BV256" i="7"/>
  <c r="BL257" i="7"/>
  <c r="BM257" i="7"/>
  <c r="BN257" i="7"/>
  <c r="BO257" i="7"/>
  <c r="BP257" i="7"/>
  <c r="BQ257" i="7"/>
  <c r="BR257" i="7"/>
  <c r="BS257" i="7"/>
  <c r="BT257" i="7"/>
  <c r="BU257" i="7"/>
  <c r="BV257" i="7"/>
  <c r="BL258" i="7"/>
  <c r="BM258" i="7"/>
  <c r="BN258" i="7"/>
  <c r="BO258" i="7"/>
  <c r="BP258" i="7"/>
  <c r="BQ258" i="7"/>
  <c r="BR258" i="7"/>
  <c r="BS258" i="7"/>
  <c r="BT258" i="7"/>
  <c r="BU258" i="7"/>
  <c r="BV258" i="7"/>
  <c r="BL259" i="7"/>
  <c r="BM259" i="7"/>
  <c r="BN259" i="7"/>
  <c r="BO259" i="7"/>
  <c r="BP259" i="7"/>
  <c r="BQ259" i="7"/>
  <c r="BR259" i="7"/>
  <c r="BS259" i="7"/>
  <c r="BT259" i="7"/>
  <c r="BU259" i="7"/>
  <c r="BV259" i="7"/>
  <c r="BL260" i="7"/>
  <c r="BM260" i="7"/>
  <c r="BN260" i="7"/>
  <c r="BO260" i="7"/>
  <c r="BP260" i="7"/>
  <c r="BQ260" i="7"/>
  <c r="BR260" i="7"/>
  <c r="BS260" i="7"/>
  <c r="BT260" i="7"/>
  <c r="BU260" i="7"/>
  <c r="BV260" i="7"/>
  <c r="BL261" i="7"/>
  <c r="BM261" i="7"/>
  <c r="BN261" i="7"/>
  <c r="BO261" i="7"/>
  <c r="BP261" i="7"/>
  <c r="BQ261" i="7"/>
  <c r="BR261" i="7"/>
  <c r="BS261" i="7"/>
  <c r="BT261" i="7"/>
  <c r="BU261" i="7"/>
  <c r="BV261" i="7"/>
  <c r="BL262" i="7"/>
  <c r="BM262" i="7"/>
  <c r="BN262" i="7"/>
  <c r="BO262" i="7"/>
  <c r="BP262" i="7"/>
  <c r="BQ262" i="7"/>
  <c r="BR262" i="7"/>
  <c r="BS262" i="7"/>
  <c r="BT262" i="7"/>
  <c r="BU262" i="7"/>
  <c r="BV262" i="7"/>
  <c r="BL263" i="7"/>
  <c r="BM263" i="7"/>
  <c r="BN263" i="7"/>
  <c r="BO263" i="7"/>
  <c r="BP263" i="7"/>
  <c r="BQ263" i="7"/>
  <c r="BR263" i="7"/>
  <c r="BS263" i="7"/>
  <c r="BT263" i="7"/>
  <c r="BU263" i="7"/>
  <c r="BV263" i="7"/>
  <c r="BL264" i="7"/>
  <c r="BM264" i="7"/>
  <c r="BN264" i="7"/>
  <c r="BO264" i="7"/>
  <c r="BP264" i="7"/>
  <c r="BQ264" i="7"/>
  <c r="BR264" i="7"/>
  <c r="BS264" i="7"/>
  <c r="BT264" i="7"/>
  <c r="BU264" i="7"/>
  <c r="BV264" i="7"/>
  <c r="BL265" i="7"/>
  <c r="BM265" i="7"/>
  <c r="BN265" i="7"/>
  <c r="BO265" i="7"/>
  <c r="BP265" i="7"/>
  <c r="BQ265" i="7"/>
  <c r="BR265" i="7"/>
  <c r="BS265" i="7"/>
  <c r="BT265" i="7"/>
  <c r="BU265" i="7"/>
  <c r="BV265" i="7"/>
  <c r="BL266" i="7"/>
  <c r="BM266" i="7"/>
  <c r="BN266" i="7"/>
  <c r="BO266" i="7"/>
  <c r="BP266" i="7"/>
  <c r="BQ266" i="7"/>
  <c r="BR266" i="7"/>
  <c r="BS266" i="7"/>
  <c r="BT266" i="7"/>
  <c r="BU266" i="7"/>
  <c r="BV266" i="7"/>
  <c r="BL267" i="7"/>
  <c r="BM267" i="7"/>
  <c r="BN267" i="7"/>
  <c r="BO267" i="7"/>
  <c r="BP267" i="7"/>
  <c r="BQ267" i="7"/>
  <c r="BR267" i="7"/>
  <c r="BS267" i="7"/>
  <c r="BT267" i="7"/>
  <c r="BU267" i="7"/>
  <c r="BV267" i="7"/>
  <c r="BL268" i="7"/>
  <c r="BM268" i="7"/>
  <c r="BN268" i="7"/>
  <c r="BO268" i="7"/>
  <c r="BP268" i="7"/>
  <c r="BQ268" i="7"/>
  <c r="BR268" i="7"/>
  <c r="BS268" i="7"/>
  <c r="BT268" i="7"/>
  <c r="BU268" i="7"/>
  <c r="BV268" i="7"/>
  <c r="BL269" i="7"/>
  <c r="BM269" i="7"/>
  <c r="BN269" i="7"/>
  <c r="BO269" i="7"/>
  <c r="BP269" i="7"/>
  <c r="BQ269" i="7"/>
  <c r="BR269" i="7"/>
  <c r="BS269" i="7"/>
  <c r="BT269" i="7"/>
  <c r="BU269" i="7"/>
  <c r="BV269" i="7"/>
  <c r="BL270" i="7"/>
  <c r="BM270" i="7"/>
  <c r="BN270" i="7"/>
  <c r="BO270" i="7"/>
  <c r="BP270" i="7"/>
  <c r="BQ270" i="7"/>
  <c r="BR270" i="7"/>
  <c r="BS270" i="7"/>
  <c r="BT270" i="7"/>
  <c r="BU270" i="7"/>
  <c r="BV270" i="7"/>
  <c r="BL271" i="7"/>
  <c r="BM271" i="7"/>
  <c r="BN271" i="7"/>
  <c r="BO271" i="7"/>
  <c r="BP271" i="7"/>
  <c r="BQ271" i="7"/>
  <c r="BR271" i="7"/>
  <c r="BS271" i="7"/>
  <c r="BT271" i="7"/>
  <c r="BU271" i="7"/>
  <c r="BV271" i="7"/>
  <c r="BL272" i="7"/>
  <c r="BM272" i="7"/>
  <c r="BN272" i="7"/>
  <c r="BO272" i="7"/>
  <c r="BP272" i="7"/>
  <c r="BQ272" i="7"/>
  <c r="BR272" i="7"/>
  <c r="BS272" i="7"/>
  <c r="BT272" i="7"/>
  <c r="BU272" i="7"/>
  <c r="BV272" i="7"/>
  <c r="BL273" i="7"/>
  <c r="BM273" i="7"/>
  <c r="BN273" i="7"/>
  <c r="BO273" i="7"/>
  <c r="BP273" i="7"/>
  <c r="BQ273" i="7"/>
  <c r="BR273" i="7"/>
  <c r="BS273" i="7"/>
  <c r="BT273" i="7"/>
  <c r="BU273" i="7"/>
  <c r="BV273" i="7"/>
  <c r="BL274" i="7"/>
  <c r="BM274" i="7"/>
  <c r="BN274" i="7"/>
  <c r="BO274" i="7"/>
  <c r="BP274" i="7"/>
  <c r="BQ274" i="7"/>
  <c r="BR274" i="7"/>
  <c r="BS274" i="7"/>
  <c r="BT274" i="7"/>
  <c r="BU274" i="7"/>
  <c r="BV274" i="7"/>
  <c r="BL275" i="7"/>
  <c r="BM275" i="7"/>
  <c r="BN275" i="7"/>
  <c r="BO275" i="7"/>
  <c r="BP275" i="7"/>
  <c r="BQ275" i="7"/>
  <c r="BR275" i="7"/>
  <c r="BS275" i="7"/>
  <c r="BT275" i="7"/>
  <c r="BU275" i="7"/>
  <c r="BV275" i="7"/>
  <c r="BV4" i="7"/>
  <c r="BU4" i="7"/>
  <c r="BT4" i="7"/>
  <c r="BS4" i="7"/>
  <c r="BR4" i="7"/>
  <c r="BQ4" i="7"/>
  <c r="BP4" i="7"/>
  <c r="BO4" i="7"/>
  <c r="BN4" i="7"/>
  <c r="BM4" i="7"/>
  <c r="BL4" i="7"/>
  <c r="BK4" i="7"/>
  <c r="BV3" i="7"/>
  <c r="BL3" i="7"/>
  <c r="BM3" i="7"/>
  <c r="BN3" i="7"/>
  <c r="BO3" i="7"/>
  <c r="BP3" i="7"/>
  <c r="BQ3" i="7"/>
  <c r="BR3" i="7"/>
  <c r="BS3" i="7"/>
  <c r="BT3" i="7"/>
  <c r="BU3" i="7"/>
  <c r="AQ2" i="7"/>
  <c r="AR2" i="7"/>
  <c r="AS2" i="7"/>
  <c r="AT2" i="7"/>
  <c r="AU2" i="7"/>
  <c r="AV2" i="7"/>
  <c r="AW2" i="7"/>
  <c r="AY2" i="7"/>
  <c r="AM2" i="7"/>
  <c r="AS29" i="7"/>
  <c r="AT29" i="7"/>
  <c r="AU29" i="7"/>
  <c r="AV29" i="7"/>
  <c r="AW29" i="7"/>
  <c r="AX29" i="7"/>
  <c r="AY29" i="7"/>
  <c r="AS30" i="7"/>
  <c r="AT30" i="7"/>
  <c r="AU30" i="7"/>
  <c r="AV30" i="7"/>
  <c r="AW30" i="7"/>
  <c r="AX30" i="7"/>
  <c r="AY30" i="7"/>
  <c r="AS31" i="7"/>
  <c r="AT31" i="7"/>
  <c r="AU31" i="7"/>
  <c r="AV31" i="7"/>
  <c r="AW31" i="7"/>
  <c r="AX31" i="7"/>
  <c r="AY31" i="7"/>
  <c r="AS32" i="7"/>
  <c r="AT32" i="7"/>
  <c r="AU32" i="7"/>
  <c r="AV32" i="7"/>
  <c r="AW32" i="7"/>
  <c r="AX32" i="7"/>
  <c r="AY32" i="7"/>
  <c r="AS33" i="7"/>
  <c r="AT33" i="7"/>
  <c r="AU33" i="7"/>
  <c r="AV33" i="7"/>
  <c r="AW33" i="7"/>
  <c r="AX33" i="7"/>
  <c r="AY33" i="7"/>
  <c r="AS34" i="7"/>
  <c r="AT34" i="7"/>
  <c r="AU34" i="7"/>
  <c r="AV34" i="7"/>
  <c r="AW34" i="7"/>
  <c r="AX34" i="7"/>
  <c r="AY34" i="7"/>
  <c r="AS35" i="7"/>
  <c r="AT35" i="7"/>
  <c r="AU35" i="7"/>
  <c r="AV35" i="7"/>
  <c r="AW35" i="7"/>
  <c r="AX35" i="7"/>
  <c r="AY35" i="7"/>
  <c r="AS36" i="7"/>
  <c r="AT36" i="7"/>
  <c r="AU36" i="7"/>
  <c r="AV36" i="7"/>
  <c r="AW36" i="7"/>
  <c r="AX36" i="7"/>
  <c r="AY36" i="7"/>
  <c r="AS37" i="7"/>
  <c r="AT37" i="7"/>
  <c r="AU37" i="7"/>
  <c r="AV37" i="7"/>
  <c r="AW37" i="7"/>
  <c r="AX37" i="7"/>
  <c r="AY37" i="7"/>
  <c r="AS38" i="7"/>
  <c r="AT38" i="7"/>
  <c r="AU38" i="7"/>
  <c r="AV38" i="7"/>
  <c r="AW38" i="7"/>
  <c r="AX38" i="7"/>
  <c r="AY38" i="7"/>
  <c r="AS39" i="7"/>
  <c r="AT39" i="7"/>
  <c r="AU39" i="7"/>
  <c r="AV39" i="7"/>
  <c r="AW39" i="7"/>
  <c r="AX39" i="7"/>
  <c r="AY39" i="7"/>
  <c r="AS40" i="7"/>
  <c r="AT40" i="7"/>
  <c r="AU40" i="7"/>
  <c r="AV40" i="7"/>
  <c r="AW40" i="7"/>
  <c r="AX40" i="7"/>
  <c r="AY40" i="7"/>
  <c r="AS41" i="7"/>
  <c r="AT41" i="7"/>
  <c r="AU41" i="7"/>
  <c r="AV41" i="7"/>
  <c r="AW41" i="7"/>
  <c r="AX41" i="7"/>
  <c r="AY41" i="7"/>
  <c r="AS42" i="7"/>
  <c r="AT42" i="7"/>
  <c r="AU42" i="7"/>
  <c r="AV42" i="7"/>
  <c r="AW42" i="7"/>
  <c r="AX42" i="7"/>
  <c r="AY42" i="7"/>
  <c r="AS43" i="7"/>
  <c r="AT43" i="7"/>
  <c r="AU43" i="7"/>
  <c r="AV43" i="7"/>
  <c r="AW43" i="7"/>
  <c r="AX43" i="7"/>
  <c r="AY43" i="7"/>
  <c r="AS44" i="7"/>
  <c r="AT44" i="7"/>
  <c r="AU44" i="7"/>
  <c r="AV44" i="7"/>
  <c r="AW44" i="7"/>
  <c r="AX44" i="7"/>
  <c r="AY44" i="7"/>
  <c r="AS45" i="7"/>
  <c r="AT45" i="7"/>
  <c r="AU45" i="7"/>
  <c r="AV45" i="7"/>
  <c r="AW45" i="7"/>
  <c r="AX45" i="7"/>
  <c r="AY45" i="7"/>
  <c r="AS46" i="7"/>
  <c r="AT46" i="7"/>
  <c r="AU46" i="7"/>
  <c r="AV46" i="7"/>
  <c r="AW46" i="7"/>
  <c r="AX46" i="7"/>
  <c r="AY46" i="7"/>
  <c r="AS47" i="7"/>
  <c r="AT47" i="7"/>
  <c r="AU47" i="7"/>
  <c r="AV47" i="7"/>
  <c r="AW47" i="7"/>
  <c r="AX47" i="7"/>
  <c r="AY47" i="7"/>
  <c r="AS48" i="7"/>
  <c r="AT48" i="7"/>
  <c r="AU48" i="7"/>
  <c r="AV48" i="7"/>
  <c r="AW48" i="7"/>
  <c r="AX48" i="7"/>
  <c r="AY48" i="7"/>
  <c r="AS49" i="7"/>
  <c r="AT49" i="7"/>
  <c r="AU49" i="7"/>
  <c r="AV49" i="7"/>
  <c r="AW49" i="7"/>
  <c r="AX49" i="7"/>
  <c r="AY49" i="7"/>
  <c r="AS50" i="7"/>
  <c r="AT50" i="7"/>
  <c r="AU50" i="7"/>
  <c r="AV50" i="7"/>
  <c r="AW50" i="7"/>
  <c r="AX50" i="7"/>
  <c r="AY50" i="7"/>
  <c r="AS51" i="7"/>
  <c r="AT51" i="7"/>
  <c r="AU51" i="7"/>
  <c r="AV51" i="7"/>
  <c r="AW51" i="7"/>
  <c r="AX51" i="7"/>
  <c r="AY51" i="7"/>
  <c r="AS52" i="7"/>
  <c r="AT52" i="7"/>
  <c r="AU52" i="7"/>
  <c r="AV52" i="7"/>
  <c r="AW52" i="7"/>
  <c r="AX52" i="7"/>
  <c r="AY52" i="7"/>
  <c r="AS53" i="7"/>
  <c r="AT53" i="7"/>
  <c r="AU53" i="7"/>
  <c r="AV53" i="7"/>
  <c r="AW53" i="7"/>
  <c r="AX53" i="7"/>
  <c r="AY53" i="7"/>
  <c r="AS54" i="7"/>
  <c r="AT54" i="7"/>
  <c r="AU54" i="7"/>
  <c r="AV54" i="7"/>
  <c r="AW54" i="7"/>
  <c r="AX54" i="7"/>
  <c r="AY54" i="7"/>
  <c r="AS55" i="7"/>
  <c r="AT55" i="7"/>
  <c r="AU55" i="7"/>
  <c r="AV55" i="7"/>
  <c r="AW55" i="7"/>
  <c r="AX55" i="7"/>
  <c r="AY55" i="7"/>
  <c r="AS56" i="7"/>
  <c r="AT56" i="7"/>
  <c r="AU56" i="7"/>
  <c r="AV56" i="7"/>
  <c r="AW56" i="7"/>
  <c r="AX56" i="7"/>
  <c r="AY56" i="7"/>
  <c r="AS57" i="7"/>
  <c r="AT57" i="7"/>
  <c r="AU57" i="7"/>
  <c r="AV57" i="7"/>
  <c r="AW57" i="7"/>
  <c r="AX57" i="7"/>
  <c r="AY57" i="7"/>
  <c r="AS58" i="7"/>
  <c r="AT58" i="7"/>
  <c r="AU58" i="7"/>
  <c r="AV58" i="7"/>
  <c r="AW58" i="7"/>
  <c r="AX58" i="7"/>
  <c r="AY58" i="7"/>
  <c r="AS59" i="7"/>
  <c r="AT59" i="7"/>
  <c r="AU59" i="7"/>
  <c r="AV59" i="7"/>
  <c r="AW59" i="7"/>
  <c r="AX59" i="7"/>
  <c r="AY59" i="7"/>
  <c r="AS60" i="7"/>
  <c r="AT60" i="7"/>
  <c r="AU60" i="7"/>
  <c r="AV60" i="7"/>
  <c r="AW60" i="7"/>
  <c r="AX60" i="7"/>
  <c r="AY60" i="7"/>
  <c r="AS61" i="7"/>
  <c r="AT61" i="7"/>
  <c r="AU61" i="7"/>
  <c r="AV61" i="7"/>
  <c r="AW61" i="7"/>
  <c r="AX61" i="7"/>
  <c r="AY61" i="7"/>
  <c r="AS62" i="7"/>
  <c r="AT62" i="7"/>
  <c r="AU62" i="7"/>
  <c r="AV62" i="7"/>
  <c r="AW62" i="7"/>
  <c r="AX62" i="7"/>
  <c r="AY62" i="7"/>
  <c r="AS63" i="7"/>
  <c r="AT63" i="7"/>
  <c r="AU63" i="7"/>
  <c r="AV63" i="7"/>
  <c r="AW63" i="7"/>
  <c r="AX63" i="7"/>
  <c r="AY63" i="7"/>
  <c r="AS64" i="7"/>
  <c r="AT64" i="7"/>
  <c r="AU64" i="7"/>
  <c r="AV64" i="7"/>
  <c r="AW64" i="7"/>
  <c r="AX64" i="7"/>
  <c r="AY64" i="7"/>
  <c r="AS65" i="7"/>
  <c r="AT65" i="7"/>
  <c r="AU65" i="7"/>
  <c r="AV65" i="7"/>
  <c r="AW65" i="7"/>
  <c r="AX65" i="7"/>
  <c r="AY65" i="7"/>
  <c r="AS66" i="7"/>
  <c r="AT66" i="7"/>
  <c r="AU66" i="7"/>
  <c r="AV66" i="7"/>
  <c r="AW66" i="7"/>
  <c r="AX66" i="7"/>
  <c r="AY66" i="7"/>
  <c r="AS67" i="7"/>
  <c r="AT67" i="7"/>
  <c r="AU67" i="7"/>
  <c r="AV67" i="7"/>
  <c r="AW67" i="7"/>
  <c r="AX67" i="7"/>
  <c r="AY67" i="7"/>
  <c r="AS68" i="7"/>
  <c r="AT68" i="7"/>
  <c r="AU68" i="7"/>
  <c r="AV68" i="7"/>
  <c r="AW68" i="7"/>
  <c r="AX68" i="7"/>
  <c r="AY68" i="7"/>
  <c r="AS69" i="7"/>
  <c r="AT69" i="7"/>
  <c r="AU69" i="7"/>
  <c r="AV69" i="7"/>
  <c r="AW69" i="7"/>
  <c r="AX69" i="7"/>
  <c r="AY69" i="7"/>
  <c r="AS70" i="7"/>
  <c r="AT70" i="7"/>
  <c r="AU70" i="7"/>
  <c r="AV70" i="7"/>
  <c r="AW70" i="7"/>
  <c r="AX70" i="7"/>
  <c r="AY70" i="7"/>
  <c r="AS71" i="7"/>
  <c r="AT71" i="7"/>
  <c r="AU71" i="7"/>
  <c r="AV71" i="7"/>
  <c r="AW71" i="7"/>
  <c r="AX71" i="7"/>
  <c r="AY71" i="7"/>
  <c r="AS72" i="7"/>
  <c r="AT72" i="7"/>
  <c r="AU72" i="7"/>
  <c r="AV72" i="7"/>
  <c r="AW72" i="7"/>
  <c r="AX72" i="7"/>
  <c r="AY72" i="7"/>
  <c r="AS73" i="7"/>
  <c r="AT73" i="7"/>
  <c r="AU73" i="7"/>
  <c r="AV73" i="7"/>
  <c r="AW73" i="7"/>
  <c r="AX73" i="7"/>
  <c r="AY73" i="7"/>
  <c r="AS74" i="7"/>
  <c r="AT74" i="7"/>
  <c r="AU74" i="7"/>
  <c r="AV74" i="7"/>
  <c r="AW74" i="7"/>
  <c r="AX74" i="7"/>
  <c r="AY74" i="7"/>
  <c r="AS75" i="7"/>
  <c r="AT75" i="7"/>
  <c r="AU75" i="7"/>
  <c r="AV75" i="7"/>
  <c r="AW75" i="7"/>
  <c r="AX75" i="7"/>
  <c r="AY75" i="7"/>
  <c r="AS76" i="7"/>
  <c r="AT76" i="7"/>
  <c r="AU76" i="7"/>
  <c r="AV76" i="7"/>
  <c r="AW76" i="7"/>
  <c r="AX76" i="7"/>
  <c r="AY76" i="7"/>
  <c r="AS77" i="7"/>
  <c r="AT77" i="7"/>
  <c r="AU77" i="7"/>
  <c r="AV77" i="7"/>
  <c r="AW77" i="7"/>
  <c r="AX77" i="7"/>
  <c r="AY77" i="7"/>
  <c r="AS78" i="7"/>
  <c r="AT78" i="7"/>
  <c r="AU78" i="7"/>
  <c r="AV78" i="7"/>
  <c r="AW78" i="7"/>
  <c r="AX78" i="7"/>
  <c r="AY78" i="7"/>
  <c r="AS79" i="7"/>
  <c r="AT79" i="7"/>
  <c r="AU79" i="7"/>
  <c r="AV79" i="7"/>
  <c r="AW79" i="7"/>
  <c r="AX79" i="7"/>
  <c r="AY79" i="7"/>
  <c r="AS80" i="7"/>
  <c r="AT80" i="7"/>
  <c r="AU80" i="7"/>
  <c r="AV80" i="7"/>
  <c r="AW80" i="7"/>
  <c r="AX80" i="7"/>
  <c r="AY80" i="7"/>
  <c r="AS81" i="7"/>
  <c r="AT81" i="7"/>
  <c r="AU81" i="7"/>
  <c r="AV81" i="7"/>
  <c r="AW81" i="7"/>
  <c r="AX81" i="7"/>
  <c r="AY81" i="7"/>
  <c r="AS82" i="7"/>
  <c r="AT82" i="7"/>
  <c r="AU82" i="7"/>
  <c r="AV82" i="7"/>
  <c r="AW82" i="7"/>
  <c r="AX82" i="7"/>
  <c r="AY82" i="7"/>
  <c r="AS83" i="7"/>
  <c r="AT83" i="7"/>
  <c r="AU83" i="7"/>
  <c r="AV83" i="7"/>
  <c r="AW83" i="7"/>
  <c r="AX83" i="7"/>
  <c r="AY83" i="7"/>
  <c r="AS84" i="7"/>
  <c r="AT84" i="7"/>
  <c r="AU84" i="7"/>
  <c r="AV84" i="7"/>
  <c r="AW84" i="7"/>
  <c r="AX84" i="7"/>
  <c r="AY84" i="7"/>
  <c r="AS85" i="7"/>
  <c r="AT85" i="7"/>
  <c r="AU85" i="7"/>
  <c r="AV85" i="7"/>
  <c r="AW85" i="7"/>
  <c r="AX85" i="7"/>
  <c r="AY85" i="7"/>
  <c r="AS86" i="7"/>
  <c r="AT86" i="7"/>
  <c r="AU86" i="7"/>
  <c r="AV86" i="7"/>
  <c r="AW86" i="7"/>
  <c r="AX86" i="7"/>
  <c r="AY86" i="7"/>
  <c r="AS87" i="7"/>
  <c r="AT87" i="7"/>
  <c r="AU87" i="7"/>
  <c r="AV87" i="7"/>
  <c r="AW87" i="7"/>
  <c r="AX87" i="7"/>
  <c r="AY87" i="7"/>
  <c r="AS88" i="7"/>
  <c r="AT88" i="7"/>
  <c r="AU88" i="7"/>
  <c r="AV88" i="7"/>
  <c r="AW88" i="7"/>
  <c r="AX88" i="7"/>
  <c r="AY88" i="7"/>
  <c r="AS89" i="7"/>
  <c r="AT89" i="7"/>
  <c r="AU89" i="7"/>
  <c r="AV89" i="7"/>
  <c r="AW89" i="7"/>
  <c r="AX89" i="7"/>
  <c r="AY89" i="7"/>
  <c r="AS90" i="7"/>
  <c r="AT90" i="7"/>
  <c r="AU90" i="7"/>
  <c r="AV90" i="7"/>
  <c r="AW90" i="7"/>
  <c r="AX90" i="7"/>
  <c r="AY90" i="7"/>
  <c r="AS91" i="7"/>
  <c r="AT91" i="7"/>
  <c r="AU91" i="7"/>
  <c r="AV91" i="7"/>
  <c r="AW91" i="7"/>
  <c r="AX91" i="7"/>
  <c r="AY91" i="7"/>
  <c r="AS92" i="7"/>
  <c r="AT92" i="7"/>
  <c r="AU92" i="7"/>
  <c r="AV92" i="7"/>
  <c r="AW92" i="7"/>
  <c r="AX92" i="7"/>
  <c r="AY92" i="7"/>
  <c r="AS93" i="7"/>
  <c r="AT93" i="7"/>
  <c r="AU93" i="7"/>
  <c r="AV93" i="7"/>
  <c r="AW93" i="7"/>
  <c r="AX93" i="7"/>
  <c r="AY93" i="7"/>
  <c r="AS94" i="7"/>
  <c r="AT94" i="7"/>
  <c r="AU94" i="7"/>
  <c r="AV94" i="7"/>
  <c r="AW94" i="7"/>
  <c r="AX94" i="7"/>
  <c r="AY94" i="7"/>
  <c r="AS95" i="7"/>
  <c r="AT95" i="7"/>
  <c r="AU95" i="7"/>
  <c r="AV95" i="7"/>
  <c r="AW95" i="7"/>
  <c r="AX95" i="7"/>
  <c r="AY95" i="7"/>
  <c r="AS96" i="7"/>
  <c r="AT96" i="7"/>
  <c r="AU96" i="7"/>
  <c r="AV96" i="7"/>
  <c r="AW96" i="7"/>
  <c r="AX96" i="7"/>
  <c r="AY96" i="7"/>
  <c r="AS97" i="7"/>
  <c r="AT97" i="7"/>
  <c r="AU97" i="7"/>
  <c r="AV97" i="7"/>
  <c r="AW97" i="7"/>
  <c r="AX97" i="7"/>
  <c r="AY97" i="7"/>
  <c r="AS98" i="7"/>
  <c r="AT98" i="7"/>
  <c r="AU98" i="7"/>
  <c r="AV98" i="7"/>
  <c r="AW98" i="7"/>
  <c r="AX98" i="7"/>
  <c r="AY98" i="7"/>
  <c r="AS99" i="7"/>
  <c r="AT99" i="7"/>
  <c r="AU99" i="7"/>
  <c r="AV99" i="7"/>
  <c r="AW99" i="7"/>
  <c r="AX99" i="7"/>
  <c r="AY99" i="7"/>
  <c r="AS100" i="7"/>
  <c r="AT100" i="7"/>
  <c r="AU100" i="7"/>
  <c r="AV100" i="7"/>
  <c r="AW100" i="7"/>
  <c r="AX100" i="7"/>
  <c r="AY100" i="7"/>
  <c r="AS101" i="7"/>
  <c r="AT101" i="7"/>
  <c r="AU101" i="7"/>
  <c r="AV101" i="7"/>
  <c r="AW101" i="7"/>
  <c r="AX101" i="7"/>
  <c r="AY101" i="7"/>
  <c r="AS102" i="7"/>
  <c r="AT102" i="7"/>
  <c r="AU102" i="7"/>
  <c r="AV102" i="7"/>
  <c r="AW102" i="7"/>
  <c r="AX102" i="7"/>
  <c r="AY102" i="7"/>
  <c r="AS103" i="7"/>
  <c r="AT103" i="7"/>
  <c r="AU103" i="7"/>
  <c r="AV103" i="7"/>
  <c r="AW103" i="7"/>
  <c r="AX103" i="7"/>
  <c r="AY103" i="7"/>
  <c r="AS104" i="7"/>
  <c r="AT104" i="7"/>
  <c r="AU104" i="7"/>
  <c r="AV104" i="7"/>
  <c r="AW104" i="7"/>
  <c r="AX104" i="7"/>
  <c r="AY104" i="7"/>
  <c r="AS105" i="7"/>
  <c r="AT105" i="7"/>
  <c r="AU105" i="7"/>
  <c r="AV105" i="7"/>
  <c r="AW105" i="7"/>
  <c r="AX105" i="7"/>
  <c r="AY105" i="7"/>
  <c r="AS106" i="7"/>
  <c r="AT106" i="7"/>
  <c r="AU106" i="7"/>
  <c r="AV106" i="7"/>
  <c r="AW106" i="7"/>
  <c r="AX106" i="7"/>
  <c r="AY106" i="7"/>
  <c r="AS107" i="7"/>
  <c r="AT107" i="7"/>
  <c r="AU107" i="7"/>
  <c r="AV107" i="7"/>
  <c r="AW107" i="7"/>
  <c r="AX107" i="7"/>
  <c r="AY107" i="7"/>
  <c r="AS108" i="7"/>
  <c r="AT108" i="7"/>
  <c r="AU108" i="7"/>
  <c r="AV108" i="7"/>
  <c r="AW108" i="7"/>
  <c r="AX108" i="7"/>
  <c r="AY108" i="7"/>
  <c r="AS109" i="7"/>
  <c r="AT109" i="7"/>
  <c r="AU109" i="7"/>
  <c r="AV109" i="7"/>
  <c r="AW109" i="7"/>
  <c r="AX109" i="7"/>
  <c r="AY109" i="7"/>
  <c r="AS110" i="7"/>
  <c r="AT110" i="7"/>
  <c r="AU110" i="7"/>
  <c r="AV110" i="7"/>
  <c r="AW110" i="7"/>
  <c r="AX110" i="7"/>
  <c r="AY110" i="7"/>
  <c r="AS111" i="7"/>
  <c r="AT111" i="7"/>
  <c r="AU111" i="7"/>
  <c r="AV111" i="7"/>
  <c r="AW111" i="7"/>
  <c r="AX111" i="7"/>
  <c r="AY111" i="7"/>
  <c r="AS112" i="7"/>
  <c r="AT112" i="7"/>
  <c r="AU112" i="7"/>
  <c r="AV112" i="7"/>
  <c r="AW112" i="7"/>
  <c r="AX112" i="7"/>
  <c r="AY112" i="7"/>
  <c r="AS113" i="7"/>
  <c r="AT113" i="7"/>
  <c r="AU113" i="7"/>
  <c r="AV113" i="7"/>
  <c r="AW113" i="7"/>
  <c r="AX113" i="7"/>
  <c r="AY113" i="7"/>
  <c r="AS114" i="7"/>
  <c r="AT114" i="7"/>
  <c r="AU114" i="7"/>
  <c r="AV114" i="7"/>
  <c r="AW114" i="7"/>
  <c r="AX114" i="7"/>
  <c r="AY114" i="7"/>
  <c r="AS115" i="7"/>
  <c r="AT115" i="7"/>
  <c r="AU115" i="7"/>
  <c r="AV115" i="7"/>
  <c r="AW115" i="7"/>
  <c r="AX115" i="7"/>
  <c r="AY115" i="7"/>
  <c r="AS116" i="7"/>
  <c r="AT116" i="7"/>
  <c r="AU116" i="7"/>
  <c r="AV116" i="7"/>
  <c r="AW116" i="7"/>
  <c r="AX116" i="7"/>
  <c r="AY116" i="7"/>
  <c r="AS117" i="7"/>
  <c r="AT117" i="7"/>
  <c r="AU117" i="7"/>
  <c r="AV117" i="7"/>
  <c r="AW117" i="7"/>
  <c r="AX117" i="7"/>
  <c r="AY117" i="7"/>
  <c r="AS118" i="7"/>
  <c r="AT118" i="7"/>
  <c r="AU118" i="7"/>
  <c r="AV118" i="7"/>
  <c r="AW118" i="7"/>
  <c r="AX118" i="7"/>
  <c r="AY118" i="7"/>
  <c r="AS119" i="7"/>
  <c r="AT119" i="7"/>
  <c r="AU119" i="7"/>
  <c r="AV119" i="7"/>
  <c r="AW119" i="7"/>
  <c r="AX119" i="7"/>
  <c r="AY119" i="7"/>
  <c r="AS120" i="7"/>
  <c r="AT120" i="7"/>
  <c r="AU120" i="7"/>
  <c r="AV120" i="7"/>
  <c r="AW120" i="7"/>
  <c r="AX120" i="7"/>
  <c r="AY120" i="7"/>
  <c r="AS121" i="7"/>
  <c r="AT121" i="7"/>
  <c r="AU121" i="7"/>
  <c r="AV121" i="7"/>
  <c r="AW121" i="7"/>
  <c r="AX121" i="7"/>
  <c r="AY121" i="7"/>
  <c r="AS122" i="7"/>
  <c r="AT122" i="7"/>
  <c r="AU122" i="7"/>
  <c r="AV122" i="7"/>
  <c r="AW122" i="7"/>
  <c r="AX122" i="7"/>
  <c r="AY122" i="7"/>
  <c r="AS123" i="7"/>
  <c r="AT123" i="7"/>
  <c r="AU123" i="7"/>
  <c r="AV123" i="7"/>
  <c r="AW123" i="7"/>
  <c r="AX123" i="7"/>
  <c r="AY123" i="7"/>
  <c r="AS124" i="7"/>
  <c r="AT124" i="7"/>
  <c r="AU124" i="7"/>
  <c r="AV124" i="7"/>
  <c r="AW124" i="7"/>
  <c r="AX124" i="7"/>
  <c r="AY124" i="7"/>
  <c r="AS125" i="7"/>
  <c r="AT125" i="7"/>
  <c r="AU125" i="7"/>
  <c r="AV125" i="7"/>
  <c r="AW125" i="7"/>
  <c r="AX125" i="7"/>
  <c r="AY125" i="7"/>
  <c r="AS126" i="7"/>
  <c r="AT126" i="7"/>
  <c r="AU126" i="7"/>
  <c r="AV126" i="7"/>
  <c r="AW126" i="7"/>
  <c r="AX126" i="7"/>
  <c r="AY126" i="7"/>
  <c r="AS127" i="7"/>
  <c r="AT127" i="7"/>
  <c r="AU127" i="7"/>
  <c r="AV127" i="7"/>
  <c r="AW127" i="7"/>
  <c r="AX127" i="7"/>
  <c r="AY127" i="7"/>
  <c r="AS128" i="7"/>
  <c r="AT128" i="7"/>
  <c r="AU128" i="7"/>
  <c r="AV128" i="7"/>
  <c r="AW128" i="7"/>
  <c r="AX128" i="7"/>
  <c r="AY128" i="7"/>
  <c r="AS129" i="7"/>
  <c r="AT129" i="7"/>
  <c r="AU129" i="7"/>
  <c r="AV129" i="7"/>
  <c r="AW129" i="7"/>
  <c r="AX129" i="7"/>
  <c r="AY129" i="7"/>
  <c r="AS130" i="7"/>
  <c r="AT130" i="7"/>
  <c r="AU130" i="7"/>
  <c r="AV130" i="7"/>
  <c r="AW130" i="7"/>
  <c r="AX130" i="7"/>
  <c r="AY130" i="7"/>
  <c r="AS131" i="7"/>
  <c r="AT131" i="7"/>
  <c r="AU131" i="7"/>
  <c r="AV131" i="7"/>
  <c r="AW131" i="7"/>
  <c r="AX131" i="7"/>
  <c r="AY131" i="7"/>
  <c r="AS132" i="7"/>
  <c r="AT132" i="7"/>
  <c r="AU132" i="7"/>
  <c r="AV132" i="7"/>
  <c r="AW132" i="7"/>
  <c r="AX132" i="7"/>
  <c r="AY132" i="7"/>
  <c r="AS133" i="7"/>
  <c r="AT133" i="7"/>
  <c r="AU133" i="7"/>
  <c r="AV133" i="7"/>
  <c r="AW133" i="7"/>
  <c r="AX133" i="7"/>
  <c r="AY133" i="7"/>
  <c r="AS134" i="7"/>
  <c r="AT134" i="7"/>
  <c r="AU134" i="7"/>
  <c r="AV134" i="7"/>
  <c r="AW134" i="7"/>
  <c r="AX134" i="7"/>
  <c r="AY134" i="7"/>
  <c r="AS135" i="7"/>
  <c r="AT135" i="7"/>
  <c r="AU135" i="7"/>
  <c r="AV135" i="7"/>
  <c r="AW135" i="7"/>
  <c r="AX135" i="7"/>
  <c r="AY135" i="7"/>
  <c r="AS136" i="7"/>
  <c r="AT136" i="7"/>
  <c r="AU136" i="7"/>
  <c r="AV136" i="7"/>
  <c r="AW136" i="7"/>
  <c r="AX136" i="7"/>
  <c r="AY136" i="7"/>
  <c r="AS137" i="7"/>
  <c r="AT137" i="7"/>
  <c r="AU137" i="7"/>
  <c r="AV137" i="7"/>
  <c r="AW137" i="7"/>
  <c r="AX137" i="7"/>
  <c r="AY137" i="7"/>
  <c r="AS138" i="7"/>
  <c r="AT138" i="7"/>
  <c r="AU138" i="7"/>
  <c r="AV138" i="7"/>
  <c r="AW138" i="7"/>
  <c r="AX138" i="7"/>
  <c r="AY138" i="7"/>
  <c r="AS139" i="7"/>
  <c r="AT139" i="7"/>
  <c r="AU139" i="7"/>
  <c r="AV139" i="7"/>
  <c r="AW139" i="7"/>
  <c r="AX139" i="7"/>
  <c r="AY139" i="7"/>
  <c r="AS140" i="7"/>
  <c r="AT140" i="7"/>
  <c r="AU140" i="7"/>
  <c r="AV140" i="7"/>
  <c r="AW140" i="7"/>
  <c r="AX140" i="7"/>
  <c r="AY140" i="7"/>
  <c r="AS141" i="7"/>
  <c r="AT141" i="7"/>
  <c r="AU141" i="7"/>
  <c r="AV141" i="7"/>
  <c r="AW141" i="7"/>
  <c r="AX141" i="7"/>
  <c r="AY141" i="7"/>
  <c r="AS142" i="7"/>
  <c r="AT142" i="7"/>
  <c r="AU142" i="7"/>
  <c r="AV142" i="7"/>
  <c r="AW142" i="7"/>
  <c r="AX142" i="7"/>
  <c r="AY142" i="7"/>
  <c r="AS143" i="7"/>
  <c r="AT143" i="7"/>
  <c r="AU143" i="7"/>
  <c r="AV143" i="7"/>
  <c r="AW143" i="7"/>
  <c r="AX143" i="7"/>
  <c r="AY143" i="7"/>
  <c r="AS144" i="7"/>
  <c r="AT144" i="7"/>
  <c r="AU144" i="7"/>
  <c r="AV144" i="7"/>
  <c r="AW144" i="7"/>
  <c r="AX144" i="7"/>
  <c r="AY144" i="7"/>
  <c r="AS145" i="7"/>
  <c r="AT145" i="7"/>
  <c r="AU145" i="7"/>
  <c r="AV145" i="7"/>
  <c r="AW145" i="7"/>
  <c r="AX145" i="7"/>
  <c r="AY145" i="7"/>
  <c r="AS146" i="7"/>
  <c r="AT146" i="7"/>
  <c r="AU146" i="7"/>
  <c r="AV146" i="7"/>
  <c r="AW146" i="7"/>
  <c r="AX146" i="7"/>
  <c r="AY146" i="7"/>
  <c r="AS147" i="7"/>
  <c r="AT147" i="7"/>
  <c r="AU147" i="7"/>
  <c r="AV147" i="7"/>
  <c r="AW147" i="7"/>
  <c r="AX147" i="7"/>
  <c r="AY147" i="7"/>
  <c r="AS148" i="7"/>
  <c r="AT148" i="7"/>
  <c r="AU148" i="7"/>
  <c r="AV148" i="7"/>
  <c r="AW148" i="7"/>
  <c r="AX148" i="7"/>
  <c r="AY148" i="7"/>
  <c r="AS149" i="7"/>
  <c r="AT149" i="7"/>
  <c r="AU149" i="7"/>
  <c r="AV149" i="7"/>
  <c r="AW149" i="7"/>
  <c r="AX149" i="7"/>
  <c r="AY149" i="7"/>
  <c r="AS150" i="7"/>
  <c r="AT150" i="7"/>
  <c r="AU150" i="7"/>
  <c r="AV150" i="7"/>
  <c r="AW150" i="7"/>
  <c r="AX150" i="7"/>
  <c r="AY150" i="7"/>
  <c r="AS151" i="7"/>
  <c r="AT151" i="7"/>
  <c r="AU151" i="7"/>
  <c r="AV151" i="7"/>
  <c r="AW151" i="7"/>
  <c r="AX151" i="7"/>
  <c r="AY151" i="7"/>
  <c r="AS152" i="7"/>
  <c r="AT152" i="7"/>
  <c r="AU152" i="7"/>
  <c r="AV152" i="7"/>
  <c r="AW152" i="7"/>
  <c r="AX152" i="7"/>
  <c r="AY152" i="7"/>
  <c r="AS153" i="7"/>
  <c r="AT153" i="7"/>
  <c r="AU153" i="7"/>
  <c r="AV153" i="7"/>
  <c r="AW153" i="7"/>
  <c r="AX153" i="7"/>
  <c r="AY153" i="7"/>
  <c r="AS154" i="7"/>
  <c r="AT154" i="7"/>
  <c r="AU154" i="7"/>
  <c r="AV154" i="7"/>
  <c r="AW154" i="7"/>
  <c r="AX154" i="7"/>
  <c r="AY154" i="7"/>
  <c r="AS155" i="7"/>
  <c r="AT155" i="7"/>
  <c r="AU155" i="7"/>
  <c r="AV155" i="7"/>
  <c r="AW155" i="7"/>
  <c r="AX155" i="7"/>
  <c r="AY155" i="7"/>
  <c r="AS156" i="7"/>
  <c r="AT156" i="7"/>
  <c r="AU156" i="7"/>
  <c r="AV156" i="7"/>
  <c r="AW156" i="7"/>
  <c r="AX156" i="7"/>
  <c r="AY156" i="7"/>
  <c r="AS157" i="7"/>
  <c r="AT157" i="7"/>
  <c r="AU157" i="7"/>
  <c r="AV157" i="7"/>
  <c r="AW157" i="7"/>
  <c r="AX157" i="7"/>
  <c r="AY157" i="7"/>
  <c r="AS158" i="7"/>
  <c r="AT158" i="7"/>
  <c r="AU158" i="7"/>
  <c r="AV158" i="7"/>
  <c r="AW158" i="7"/>
  <c r="AX158" i="7"/>
  <c r="AY158" i="7"/>
  <c r="AS159" i="7"/>
  <c r="AT159" i="7"/>
  <c r="AU159" i="7"/>
  <c r="AV159" i="7"/>
  <c r="AW159" i="7"/>
  <c r="AX159" i="7"/>
  <c r="AY159" i="7"/>
  <c r="AS160" i="7"/>
  <c r="AT160" i="7"/>
  <c r="AU160" i="7"/>
  <c r="AV160" i="7"/>
  <c r="AW160" i="7"/>
  <c r="AX160" i="7"/>
  <c r="AY160" i="7"/>
  <c r="AS161" i="7"/>
  <c r="AT161" i="7"/>
  <c r="AU161" i="7"/>
  <c r="AV161" i="7"/>
  <c r="AW161" i="7"/>
  <c r="AX161" i="7"/>
  <c r="AY161" i="7"/>
  <c r="AS162" i="7"/>
  <c r="AT162" i="7"/>
  <c r="AU162" i="7"/>
  <c r="AV162" i="7"/>
  <c r="AW162" i="7"/>
  <c r="AX162" i="7"/>
  <c r="AY162" i="7"/>
  <c r="AS163" i="7"/>
  <c r="AT163" i="7"/>
  <c r="AU163" i="7"/>
  <c r="AV163" i="7"/>
  <c r="AW163" i="7"/>
  <c r="AX163" i="7"/>
  <c r="AY163" i="7"/>
  <c r="AS164" i="7"/>
  <c r="AT164" i="7"/>
  <c r="AU164" i="7"/>
  <c r="AV164" i="7"/>
  <c r="AW164" i="7"/>
  <c r="AX164" i="7"/>
  <c r="AY164" i="7"/>
  <c r="AS165" i="7"/>
  <c r="AT165" i="7"/>
  <c r="AU165" i="7"/>
  <c r="AV165" i="7"/>
  <c r="AW165" i="7"/>
  <c r="AX165" i="7"/>
  <c r="AY165" i="7"/>
  <c r="AS166" i="7"/>
  <c r="AT166" i="7"/>
  <c r="AU166" i="7"/>
  <c r="AV166" i="7"/>
  <c r="AW166" i="7"/>
  <c r="AX166" i="7"/>
  <c r="AY166" i="7"/>
  <c r="AS167" i="7"/>
  <c r="AT167" i="7"/>
  <c r="AU167" i="7"/>
  <c r="AV167" i="7"/>
  <c r="AW167" i="7"/>
  <c r="AX167" i="7"/>
  <c r="AY167" i="7"/>
  <c r="AS168" i="7"/>
  <c r="AT168" i="7"/>
  <c r="AU168" i="7"/>
  <c r="AV168" i="7"/>
  <c r="AW168" i="7"/>
  <c r="AX168" i="7"/>
  <c r="AY168" i="7"/>
  <c r="AS169" i="7"/>
  <c r="AT169" i="7"/>
  <c r="AU169" i="7"/>
  <c r="AV169" i="7"/>
  <c r="AW169" i="7"/>
  <c r="AX169" i="7"/>
  <c r="AY169" i="7"/>
  <c r="AS170" i="7"/>
  <c r="AT170" i="7"/>
  <c r="AU170" i="7"/>
  <c r="AV170" i="7"/>
  <c r="AW170" i="7"/>
  <c r="AX170" i="7"/>
  <c r="AY170" i="7"/>
  <c r="AS171" i="7"/>
  <c r="AT171" i="7"/>
  <c r="AU171" i="7"/>
  <c r="AV171" i="7"/>
  <c r="AW171" i="7"/>
  <c r="AX171" i="7"/>
  <c r="AY171" i="7"/>
  <c r="AS172" i="7"/>
  <c r="AT172" i="7"/>
  <c r="AU172" i="7"/>
  <c r="AV172" i="7"/>
  <c r="AW172" i="7"/>
  <c r="AX172" i="7"/>
  <c r="AY172" i="7"/>
  <c r="AS173" i="7"/>
  <c r="AT173" i="7"/>
  <c r="AU173" i="7"/>
  <c r="AV173" i="7"/>
  <c r="AW173" i="7"/>
  <c r="AX173" i="7"/>
  <c r="AY173" i="7"/>
  <c r="AS174" i="7"/>
  <c r="AT174" i="7"/>
  <c r="AU174" i="7"/>
  <c r="AV174" i="7"/>
  <c r="AW174" i="7"/>
  <c r="AX174" i="7"/>
  <c r="AY174" i="7"/>
  <c r="AS175" i="7"/>
  <c r="AT175" i="7"/>
  <c r="AU175" i="7"/>
  <c r="AV175" i="7"/>
  <c r="AW175" i="7"/>
  <c r="AX175" i="7"/>
  <c r="AY175" i="7"/>
  <c r="AS176" i="7"/>
  <c r="AT176" i="7"/>
  <c r="AU176" i="7"/>
  <c r="AV176" i="7"/>
  <c r="AW176" i="7"/>
  <c r="AX176" i="7"/>
  <c r="AY176" i="7"/>
  <c r="AS177" i="7"/>
  <c r="AT177" i="7"/>
  <c r="AU177" i="7"/>
  <c r="AV177" i="7"/>
  <c r="AW177" i="7"/>
  <c r="AX177" i="7"/>
  <c r="AY177" i="7"/>
  <c r="AS178" i="7"/>
  <c r="AT178" i="7"/>
  <c r="AU178" i="7"/>
  <c r="AV178" i="7"/>
  <c r="AW178" i="7"/>
  <c r="AX178" i="7"/>
  <c r="AY178" i="7"/>
  <c r="AS179" i="7"/>
  <c r="AT179" i="7"/>
  <c r="AU179" i="7"/>
  <c r="AV179" i="7"/>
  <c r="AW179" i="7"/>
  <c r="AX179" i="7"/>
  <c r="AY179" i="7"/>
  <c r="AS180" i="7"/>
  <c r="AT180" i="7"/>
  <c r="AU180" i="7"/>
  <c r="AV180" i="7"/>
  <c r="AW180" i="7"/>
  <c r="AX180" i="7"/>
  <c r="AY180" i="7"/>
  <c r="AS181" i="7"/>
  <c r="AT181" i="7"/>
  <c r="AU181" i="7"/>
  <c r="AV181" i="7"/>
  <c r="AW181" i="7"/>
  <c r="AX181" i="7"/>
  <c r="AY181" i="7"/>
  <c r="AS182" i="7"/>
  <c r="AT182" i="7"/>
  <c r="AU182" i="7"/>
  <c r="AV182" i="7"/>
  <c r="AW182" i="7"/>
  <c r="AX182" i="7"/>
  <c r="AY182" i="7"/>
  <c r="AS183" i="7"/>
  <c r="AT183" i="7"/>
  <c r="AU183" i="7"/>
  <c r="AV183" i="7"/>
  <c r="AW183" i="7"/>
  <c r="AX183" i="7"/>
  <c r="AY183" i="7"/>
  <c r="AS184" i="7"/>
  <c r="AT184" i="7"/>
  <c r="AU184" i="7"/>
  <c r="AV184" i="7"/>
  <c r="AW184" i="7"/>
  <c r="AX184" i="7"/>
  <c r="AS185" i="7"/>
  <c r="AT185" i="7"/>
  <c r="AU185" i="7"/>
  <c r="AV185" i="7"/>
  <c r="AW185" i="7"/>
  <c r="AX185" i="7"/>
  <c r="AY185" i="7"/>
  <c r="AS186" i="7"/>
  <c r="AT186" i="7"/>
  <c r="AU186" i="7"/>
  <c r="AV186" i="7"/>
  <c r="AW186" i="7"/>
  <c r="AX186" i="7"/>
  <c r="AY186" i="7"/>
  <c r="AS187" i="7"/>
  <c r="AT187" i="7"/>
  <c r="AU187" i="7"/>
  <c r="AV187" i="7"/>
  <c r="AW187" i="7"/>
  <c r="AX187" i="7"/>
  <c r="AY187" i="7"/>
  <c r="AS188" i="7"/>
  <c r="AT188" i="7"/>
  <c r="AU188" i="7"/>
  <c r="AV188" i="7"/>
  <c r="AW188" i="7"/>
  <c r="AX188" i="7"/>
  <c r="AY188" i="7"/>
  <c r="AS189" i="7"/>
  <c r="AT189" i="7"/>
  <c r="AU189" i="7"/>
  <c r="AV189" i="7"/>
  <c r="AW189" i="7"/>
  <c r="AX189" i="7"/>
  <c r="AY189" i="7"/>
  <c r="AS190" i="7"/>
  <c r="AT190" i="7"/>
  <c r="AU190" i="7"/>
  <c r="AV190" i="7"/>
  <c r="AW190" i="7"/>
  <c r="AX190" i="7"/>
  <c r="AY190" i="7"/>
  <c r="AS191" i="7"/>
  <c r="AT191" i="7"/>
  <c r="AU191" i="7"/>
  <c r="AV191" i="7"/>
  <c r="AW191" i="7"/>
  <c r="AX191" i="7"/>
  <c r="AY191" i="7"/>
  <c r="AS192" i="7"/>
  <c r="AT192" i="7"/>
  <c r="AU192" i="7"/>
  <c r="AV192" i="7"/>
  <c r="AW192" i="7"/>
  <c r="AX192" i="7"/>
  <c r="AY192" i="7"/>
  <c r="AS193" i="7"/>
  <c r="AT193" i="7"/>
  <c r="AU193" i="7"/>
  <c r="AV193" i="7"/>
  <c r="AW193" i="7"/>
  <c r="AX193" i="7"/>
  <c r="AY193" i="7"/>
  <c r="AS194" i="7"/>
  <c r="AT194" i="7"/>
  <c r="AU194" i="7"/>
  <c r="AV194" i="7"/>
  <c r="AW194" i="7"/>
  <c r="AX194" i="7"/>
  <c r="AY194" i="7"/>
  <c r="AS195" i="7"/>
  <c r="AT195" i="7"/>
  <c r="AU195" i="7"/>
  <c r="AV195" i="7"/>
  <c r="AW195" i="7"/>
  <c r="AX195" i="7"/>
  <c r="AY195" i="7"/>
  <c r="AS196" i="7"/>
  <c r="AT196" i="7"/>
  <c r="AU196" i="7"/>
  <c r="AV196" i="7"/>
  <c r="AW196" i="7"/>
  <c r="AX196" i="7"/>
  <c r="AY196" i="7"/>
  <c r="AS197" i="7"/>
  <c r="AT197" i="7"/>
  <c r="AU197" i="7"/>
  <c r="AV197" i="7"/>
  <c r="AW197" i="7"/>
  <c r="AX197" i="7"/>
  <c r="AY197" i="7"/>
  <c r="AS198" i="7"/>
  <c r="AT198" i="7"/>
  <c r="AU198" i="7"/>
  <c r="AV198" i="7"/>
  <c r="AW198" i="7"/>
  <c r="AX198" i="7"/>
  <c r="AY198" i="7"/>
  <c r="AS199" i="7"/>
  <c r="AT199" i="7"/>
  <c r="AU199" i="7"/>
  <c r="AV199" i="7"/>
  <c r="AW199" i="7"/>
  <c r="AX199" i="7"/>
  <c r="AY199" i="7"/>
  <c r="AS200" i="7"/>
  <c r="AT200" i="7"/>
  <c r="AU200" i="7"/>
  <c r="AV200" i="7"/>
  <c r="AW200" i="7"/>
  <c r="AX200" i="7"/>
  <c r="AY200" i="7"/>
  <c r="AS201" i="7"/>
  <c r="AT201" i="7"/>
  <c r="AU201" i="7"/>
  <c r="AV201" i="7"/>
  <c r="AW201" i="7"/>
  <c r="AX201" i="7"/>
  <c r="AY201" i="7"/>
  <c r="AS202" i="7"/>
  <c r="AT202" i="7"/>
  <c r="AU202" i="7"/>
  <c r="AV202" i="7"/>
  <c r="AW202" i="7"/>
  <c r="AX202" i="7"/>
  <c r="AY202" i="7"/>
  <c r="AS203" i="7"/>
  <c r="AT203" i="7"/>
  <c r="AU203" i="7"/>
  <c r="AV203" i="7"/>
  <c r="AW203" i="7"/>
  <c r="AX203" i="7"/>
  <c r="AY203" i="7"/>
  <c r="AS204" i="7"/>
  <c r="AT204" i="7"/>
  <c r="AU204" i="7"/>
  <c r="AV204" i="7"/>
  <c r="AW204" i="7"/>
  <c r="AX204" i="7"/>
  <c r="AY204" i="7"/>
  <c r="AS205" i="7"/>
  <c r="AT205" i="7"/>
  <c r="AU205" i="7"/>
  <c r="AV205" i="7"/>
  <c r="AW205" i="7"/>
  <c r="AX205" i="7"/>
  <c r="AY205" i="7"/>
  <c r="AS206" i="7"/>
  <c r="AT206" i="7"/>
  <c r="AU206" i="7"/>
  <c r="AV206" i="7"/>
  <c r="AW206" i="7"/>
  <c r="AX206" i="7"/>
  <c r="AY206" i="7"/>
  <c r="AS207" i="7"/>
  <c r="AT207" i="7"/>
  <c r="AU207" i="7"/>
  <c r="AV207" i="7"/>
  <c r="AW207" i="7"/>
  <c r="AX207" i="7"/>
  <c r="AY207" i="7"/>
  <c r="AS208" i="7"/>
  <c r="AT208" i="7"/>
  <c r="AU208" i="7"/>
  <c r="AV208" i="7"/>
  <c r="AW208" i="7"/>
  <c r="AX208" i="7"/>
  <c r="AY208" i="7"/>
  <c r="AS209" i="7"/>
  <c r="AT209" i="7"/>
  <c r="AU209" i="7"/>
  <c r="AV209" i="7"/>
  <c r="AW209" i="7"/>
  <c r="AX209" i="7"/>
  <c r="AY209" i="7"/>
  <c r="AS210" i="7"/>
  <c r="AT210" i="7"/>
  <c r="AU210" i="7"/>
  <c r="AV210" i="7"/>
  <c r="AW210" i="7"/>
  <c r="AX210" i="7"/>
  <c r="AY210" i="7"/>
  <c r="AS211" i="7"/>
  <c r="AT211" i="7"/>
  <c r="AU211" i="7"/>
  <c r="AV211" i="7"/>
  <c r="AW211" i="7"/>
  <c r="AX211" i="7"/>
  <c r="AY211" i="7"/>
  <c r="AS212" i="7"/>
  <c r="AT212" i="7"/>
  <c r="AU212" i="7"/>
  <c r="AV212" i="7"/>
  <c r="AW212" i="7"/>
  <c r="AX212" i="7"/>
  <c r="AY212" i="7"/>
  <c r="AS213" i="7"/>
  <c r="AT213" i="7"/>
  <c r="AU213" i="7"/>
  <c r="AV213" i="7"/>
  <c r="AW213" i="7"/>
  <c r="AX213" i="7"/>
  <c r="AY213" i="7"/>
  <c r="AS214" i="7"/>
  <c r="AT214" i="7"/>
  <c r="AU214" i="7"/>
  <c r="AV214" i="7"/>
  <c r="AW214" i="7"/>
  <c r="AX214" i="7"/>
  <c r="AY214" i="7"/>
  <c r="AS215" i="7"/>
  <c r="AT215" i="7"/>
  <c r="AU215" i="7"/>
  <c r="AV215" i="7"/>
  <c r="AW215" i="7"/>
  <c r="AX215" i="7"/>
  <c r="AY215" i="7"/>
  <c r="AS216" i="7"/>
  <c r="AT216" i="7"/>
  <c r="AU216" i="7"/>
  <c r="AV216" i="7"/>
  <c r="AW216" i="7"/>
  <c r="AX216" i="7"/>
  <c r="AY216" i="7"/>
  <c r="AS217" i="7"/>
  <c r="AT217" i="7"/>
  <c r="AU217" i="7"/>
  <c r="AV217" i="7"/>
  <c r="AW217" i="7"/>
  <c r="AX217" i="7"/>
  <c r="AY217" i="7"/>
  <c r="AS218" i="7"/>
  <c r="AT218" i="7"/>
  <c r="AU218" i="7"/>
  <c r="AV218" i="7"/>
  <c r="AW218" i="7"/>
  <c r="AX218" i="7"/>
  <c r="AY218" i="7"/>
  <c r="AS219" i="7"/>
  <c r="AT219" i="7"/>
  <c r="AU219" i="7"/>
  <c r="AV219" i="7"/>
  <c r="AW219" i="7"/>
  <c r="AX219" i="7"/>
  <c r="AY219" i="7"/>
  <c r="AS220" i="7"/>
  <c r="AT220" i="7"/>
  <c r="AU220" i="7"/>
  <c r="AV220" i="7"/>
  <c r="AW220" i="7"/>
  <c r="AX220" i="7"/>
  <c r="AY220" i="7"/>
  <c r="AS221" i="7"/>
  <c r="AT221" i="7"/>
  <c r="AU221" i="7"/>
  <c r="AV221" i="7"/>
  <c r="AW221" i="7"/>
  <c r="AX221" i="7"/>
  <c r="AY221" i="7"/>
  <c r="AS222" i="7"/>
  <c r="AT222" i="7"/>
  <c r="AU222" i="7"/>
  <c r="AV222" i="7"/>
  <c r="AW222" i="7"/>
  <c r="AX222" i="7"/>
  <c r="AY222" i="7"/>
  <c r="AS223" i="7"/>
  <c r="AT223" i="7"/>
  <c r="AU223" i="7"/>
  <c r="AV223" i="7"/>
  <c r="AW223" i="7"/>
  <c r="AX223" i="7"/>
  <c r="AY223" i="7"/>
  <c r="AS224" i="7"/>
  <c r="AT224" i="7"/>
  <c r="AU224" i="7"/>
  <c r="AV224" i="7"/>
  <c r="AW224" i="7"/>
  <c r="AX224" i="7"/>
  <c r="AY224" i="7"/>
  <c r="AS225" i="7"/>
  <c r="AT225" i="7"/>
  <c r="AU225" i="7"/>
  <c r="AV225" i="7"/>
  <c r="AW225" i="7"/>
  <c r="AX225" i="7"/>
  <c r="AY225" i="7"/>
  <c r="AS226" i="7"/>
  <c r="AT226" i="7"/>
  <c r="AU226" i="7"/>
  <c r="AV226" i="7"/>
  <c r="AW226" i="7"/>
  <c r="AX226" i="7"/>
  <c r="AY226" i="7"/>
  <c r="AS227" i="7"/>
  <c r="AT227" i="7"/>
  <c r="AU227" i="7"/>
  <c r="AV227" i="7"/>
  <c r="AW227" i="7"/>
  <c r="AX227" i="7"/>
  <c r="AY227" i="7"/>
  <c r="AS228" i="7"/>
  <c r="AT228" i="7"/>
  <c r="AU228" i="7"/>
  <c r="AV228" i="7"/>
  <c r="AW228" i="7"/>
  <c r="AX228" i="7"/>
  <c r="AY228" i="7"/>
  <c r="AS229" i="7"/>
  <c r="AT229" i="7"/>
  <c r="AU229" i="7"/>
  <c r="AV229" i="7"/>
  <c r="AW229" i="7"/>
  <c r="AX229" i="7"/>
  <c r="AY229" i="7"/>
  <c r="AS230" i="7"/>
  <c r="AT230" i="7"/>
  <c r="AU230" i="7"/>
  <c r="AV230" i="7"/>
  <c r="AW230" i="7"/>
  <c r="AX230" i="7"/>
  <c r="AY230" i="7"/>
  <c r="AS231" i="7"/>
  <c r="AT231" i="7"/>
  <c r="AU231" i="7"/>
  <c r="AV231" i="7"/>
  <c r="AW231" i="7"/>
  <c r="AX231" i="7"/>
  <c r="AY231" i="7"/>
  <c r="AS232" i="7"/>
  <c r="AT232" i="7"/>
  <c r="AU232" i="7"/>
  <c r="AV232" i="7"/>
  <c r="AW232" i="7"/>
  <c r="AX232" i="7"/>
  <c r="AY232" i="7"/>
  <c r="AS233" i="7"/>
  <c r="AT233" i="7"/>
  <c r="AU233" i="7"/>
  <c r="AV233" i="7"/>
  <c r="AW233" i="7"/>
  <c r="AX233" i="7"/>
  <c r="AY233" i="7"/>
  <c r="AS234" i="7"/>
  <c r="AT234" i="7"/>
  <c r="AU234" i="7"/>
  <c r="AV234" i="7"/>
  <c r="AW234" i="7"/>
  <c r="AX234" i="7"/>
  <c r="AY234" i="7"/>
  <c r="AS235" i="7"/>
  <c r="AT235" i="7"/>
  <c r="AU235" i="7"/>
  <c r="AV235" i="7"/>
  <c r="AW235" i="7"/>
  <c r="AX235" i="7"/>
  <c r="AY235" i="7"/>
  <c r="AS236" i="7"/>
  <c r="AT236" i="7"/>
  <c r="AU236" i="7"/>
  <c r="AV236" i="7"/>
  <c r="AW236" i="7"/>
  <c r="AX236" i="7"/>
  <c r="AY236" i="7"/>
  <c r="AS237" i="7"/>
  <c r="AT237" i="7"/>
  <c r="AU237" i="7"/>
  <c r="AV237" i="7"/>
  <c r="AW237" i="7"/>
  <c r="AX237" i="7"/>
  <c r="AY237" i="7"/>
  <c r="AS238" i="7"/>
  <c r="AT238" i="7"/>
  <c r="AU238" i="7"/>
  <c r="AV238" i="7"/>
  <c r="AW238" i="7"/>
  <c r="AX238" i="7"/>
  <c r="AY238" i="7"/>
  <c r="AS239" i="7"/>
  <c r="AT239" i="7"/>
  <c r="AU239" i="7"/>
  <c r="AV239" i="7"/>
  <c r="AW239" i="7"/>
  <c r="AX239" i="7"/>
  <c r="AY239" i="7"/>
  <c r="AS240" i="7"/>
  <c r="AT240" i="7"/>
  <c r="AU240" i="7"/>
  <c r="AV240" i="7"/>
  <c r="AW240" i="7"/>
  <c r="AX240" i="7"/>
  <c r="AY240" i="7"/>
  <c r="AS241" i="7"/>
  <c r="AT241" i="7"/>
  <c r="AU241" i="7"/>
  <c r="AV241" i="7"/>
  <c r="AW241" i="7"/>
  <c r="AX241" i="7"/>
  <c r="AY241" i="7"/>
  <c r="AS242" i="7"/>
  <c r="AT242" i="7"/>
  <c r="AU242" i="7"/>
  <c r="AV242" i="7"/>
  <c r="AW242" i="7"/>
  <c r="AX242" i="7"/>
  <c r="AY242" i="7"/>
  <c r="AS243" i="7"/>
  <c r="AT243" i="7"/>
  <c r="AU243" i="7"/>
  <c r="AV243" i="7"/>
  <c r="AW243" i="7"/>
  <c r="AX243" i="7"/>
  <c r="AY243" i="7"/>
  <c r="AS244" i="7"/>
  <c r="AT244" i="7"/>
  <c r="AU244" i="7"/>
  <c r="AV244" i="7"/>
  <c r="AW244" i="7"/>
  <c r="AX244" i="7"/>
  <c r="AY244" i="7"/>
  <c r="AS245" i="7"/>
  <c r="AT245" i="7"/>
  <c r="AU245" i="7"/>
  <c r="AV245" i="7"/>
  <c r="AW245" i="7"/>
  <c r="AX245" i="7"/>
  <c r="AY245" i="7"/>
  <c r="AS246" i="7"/>
  <c r="AT246" i="7"/>
  <c r="AU246" i="7"/>
  <c r="AV246" i="7"/>
  <c r="AW246" i="7"/>
  <c r="AX246" i="7"/>
  <c r="AY246" i="7"/>
  <c r="AS247" i="7"/>
  <c r="AT247" i="7"/>
  <c r="AU247" i="7"/>
  <c r="AV247" i="7"/>
  <c r="AW247" i="7"/>
  <c r="AX247" i="7"/>
  <c r="AY247" i="7"/>
  <c r="AS248" i="7"/>
  <c r="AT248" i="7"/>
  <c r="AU248" i="7"/>
  <c r="AV248" i="7"/>
  <c r="AW248" i="7"/>
  <c r="AX248" i="7"/>
  <c r="AY248" i="7"/>
  <c r="AS249" i="7"/>
  <c r="AT249" i="7"/>
  <c r="AU249" i="7"/>
  <c r="AV249" i="7"/>
  <c r="AW249" i="7"/>
  <c r="AX249" i="7"/>
  <c r="AY249" i="7"/>
  <c r="AS250" i="7"/>
  <c r="AT250" i="7"/>
  <c r="AU250" i="7"/>
  <c r="AV250" i="7"/>
  <c r="AW250" i="7"/>
  <c r="AX250" i="7"/>
  <c r="AY250" i="7"/>
  <c r="AS251" i="7"/>
  <c r="AT251" i="7"/>
  <c r="AU251" i="7"/>
  <c r="AV251" i="7"/>
  <c r="AW251" i="7"/>
  <c r="AX251" i="7"/>
  <c r="AY251" i="7"/>
  <c r="AS252" i="7"/>
  <c r="AT252" i="7"/>
  <c r="AU252" i="7"/>
  <c r="AV252" i="7"/>
  <c r="AW252" i="7"/>
  <c r="AX252" i="7"/>
  <c r="AY252" i="7"/>
  <c r="AS253" i="7"/>
  <c r="AT253" i="7"/>
  <c r="AU253" i="7"/>
  <c r="AV253" i="7"/>
  <c r="AW253" i="7"/>
  <c r="AX253" i="7"/>
  <c r="AY253" i="7"/>
  <c r="AS254" i="7"/>
  <c r="AT254" i="7"/>
  <c r="AU254" i="7"/>
  <c r="AV254" i="7"/>
  <c r="AW254" i="7"/>
  <c r="AX254" i="7"/>
  <c r="AY254" i="7"/>
  <c r="AS255" i="7"/>
  <c r="AT255" i="7"/>
  <c r="AU255" i="7"/>
  <c r="AV255" i="7"/>
  <c r="AW255" i="7"/>
  <c r="AX255" i="7"/>
  <c r="AY255" i="7"/>
  <c r="AS256" i="7"/>
  <c r="AT256" i="7"/>
  <c r="AU256" i="7"/>
  <c r="AV256" i="7"/>
  <c r="AW256" i="7"/>
  <c r="AX256" i="7"/>
  <c r="AY256" i="7"/>
  <c r="AS257" i="7"/>
  <c r="AT257" i="7"/>
  <c r="AU257" i="7"/>
  <c r="AV257" i="7"/>
  <c r="AW257" i="7"/>
  <c r="AX257" i="7"/>
  <c r="AY257" i="7"/>
  <c r="AS258" i="7"/>
  <c r="AT258" i="7"/>
  <c r="AU258" i="7"/>
  <c r="AV258" i="7"/>
  <c r="AW258" i="7"/>
  <c r="AX258" i="7"/>
  <c r="AY258" i="7"/>
  <c r="AS259" i="7"/>
  <c r="AT259" i="7"/>
  <c r="AU259" i="7"/>
  <c r="AV259" i="7"/>
  <c r="AW259" i="7"/>
  <c r="AX259" i="7"/>
  <c r="AY259" i="7"/>
  <c r="AS260" i="7"/>
  <c r="AT260" i="7"/>
  <c r="AU260" i="7"/>
  <c r="AV260" i="7"/>
  <c r="AW260" i="7"/>
  <c r="AX260" i="7"/>
  <c r="AY260" i="7"/>
  <c r="AS261" i="7"/>
  <c r="AT261" i="7"/>
  <c r="AU261" i="7"/>
  <c r="AV261" i="7"/>
  <c r="AW261" i="7"/>
  <c r="AX261" i="7"/>
  <c r="AY261" i="7"/>
  <c r="AS262" i="7"/>
  <c r="AT262" i="7"/>
  <c r="AU262" i="7"/>
  <c r="AV262" i="7"/>
  <c r="AW262" i="7"/>
  <c r="AX262" i="7"/>
  <c r="AY262" i="7"/>
  <c r="AS263" i="7"/>
  <c r="AT263" i="7"/>
  <c r="AU263" i="7"/>
  <c r="AV263" i="7"/>
  <c r="AW263" i="7"/>
  <c r="AX263" i="7"/>
  <c r="AY263" i="7"/>
  <c r="AS264" i="7"/>
  <c r="AT264" i="7"/>
  <c r="AU264" i="7"/>
  <c r="AV264" i="7"/>
  <c r="AW264" i="7"/>
  <c r="AX264" i="7"/>
  <c r="AY264" i="7"/>
  <c r="AS265" i="7"/>
  <c r="AT265" i="7"/>
  <c r="AU265" i="7"/>
  <c r="AV265" i="7"/>
  <c r="AW265" i="7"/>
  <c r="AX265" i="7"/>
  <c r="AY265" i="7"/>
  <c r="AS266" i="7"/>
  <c r="AT266" i="7"/>
  <c r="AU266" i="7"/>
  <c r="AV266" i="7"/>
  <c r="AW266" i="7"/>
  <c r="AX266" i="7"/>
  <c r="AY266" i="7"/>
  <c r="AS267" i="7"/>
  <c r="AT267" i="7"/>
  <c r="AU267" i="7"/>
  <c r="AV267" i="7"/>
  <c r="AW267" i="7"/>
  <c r="AX267" i="7"/>
  <c r="AY267" i="7"/>
  <c r="AS268" i="7"/>
  <c r="AT268" i="7"/>
  <c r="AU268" i="7"/>
  <c r="AV268" i="7"/>
  <c r="AW268" i="7"/>
  <c r="AX268" i="7"/>
  <c r="AY268" i="7"/>
  <c r="AS269" i="7"/>
  <c r="AT269" i="7"/>
  <c r="AU269" i="7"/>
  <c r="AV269" i="7"/>
  <c r="AW269" i="7"/>
  <c r="AX269" i="7"/>
  <c r="AS270" i="7"/>
  <c r="AT270" i="7"/>
  <c r="AU270" i="7"/>
  <c r="AV270" i="7"/>
  <c r="AW270" i="7"/>
  <c r="AX270" i="7"/>
  <c r="AY270" i="7"/>
  <c r="AS271" i="7"/>
  <c r="AT271" i="7"/>
  <c r="AU271" i="7"/>
  <c r="AV271" i="7"/>
  <c r="AW271" i="7"/>
  <c r="AX271" i="7"/>
  <c r="AY271" i="7"/>
  <c r="AS272" i="7"/>
  <c r="AT272" i="7"/>
  <c r="AU272" i="7"/>
  <c r="AV272" i="7"/>
  <c r="AW272" i="7"/>
  <c r="AX272" i="7"/>
  <c r="AY272" i="7"/>
  <c r="AS273" i="7"/>
  <c r="AT273" i="7"/>
  <c r="AU273" i="7"/>
  <c r="AV273" i="7"/>
  <c r="AW273" i="7"/>
  <c r="AX273" i="7"/>
  <c r="AY273" i="7"/>
  <c r="AS274" i="7"/>
  <c r="AT274" i="7"/>
  <c r="AU274" i="7"/>
  <c r="AV274" i="7"/>
  <c r="AW274" i="7"/>
  <c r="AX274" i="7"/>
  <c r="AY274" i="7"/>
  <c r="AS275" i="7"/>
  <c r="AT275" i="7"/>
  <c r="AU275" i="7"/>
  <c r="AV275" i="7"/>
  <c r="AW275" i="7"/>
  <c r="AX275" i="7"/>
  <c r="AY275" i="7"/>
  <c r="AS4" i="7"/>
  <c r="AT4" i="7"/>
  <c r="AU4" i="7"/>
  <c r="AV4" i="7"/>
  <c r="AW4" i="7"/>
  <c r="AX4" i="7"/>
  <c r="AS5" i="7"/>
  <c r="AT5" i="7"/>
  <c r="AU5" i="7"/>
  <c r="AV5" i="7"/>
  <c r="AW5" i="7"/>
  <c r="AX5" i="7"/>
  <c r="AY5" i="7"/>
  <c r="AS6" i="7"/>
  <c r="AT6" i="7"/>
  <c r="AU6" i="7"/>
  <c r="AV6" i="7"/>
  <c r="AW6" i="7"/>
  <c r="AX6" i="7"/>
  <c r="AY6" i="7"/>
  <c r="AS7" i="7"/>
  <c r="AT7" i="7"/>
  <c r="AU7" i="7"/>
  <c r="AV7" i="7"/>
  <c r="AW7" i="7"/>
  <c r="AX7" i="7"/>
  <c r="AY7" i="7"/>
  <c r="AS8" i="7"/>
  <c r="AT8" i="7"/>
  <c r="AU8" i="7"/>
  <c r="AV8" i="7"/>
  <c r="AW8" i="7"/>
  <c r="AX8" i="7"/>
  <c r="AY8" i="7"/>
  <c r="AS9" i="7"/>
  <c r="AT9" i="7"/>
  <c r="AU9" i="7"/>
  <c r="AV9" i="7"/>
  <c r="AW9" i="7"/>
  <c r="AX9" i="7"/>
  <c r="AY9" i="7"/>
  <c r="AS10" i="7"/>
  <c r="AT10" i="7"/>
  <c r="AU10" i="7"/>
  <c r="AV10" i="7"/>
  <c r="AW10" i="7"/>
  <c r="AX10" i="7"/>
  <c r="AY10" i="7"/>
  <c r="AS11" i="7"/>
  <c r="AT11" i="7"/>
  <c r="AU11" i="7"/>
  <c r="AV11" i="7"/>
  <c r="AW11" i="7"/>
  <c r="AX11" i="7"/>
  <c r="AY11" i="7"/>
  <c r="AS12" i="7"/>
  <c r="AT12" i="7"/>
  <c r="AU12" i="7"/>
  <c r="AV12" i="7"/>
  <c r="AW12" i="7"/>
  <c r="AX12" i="7"/>
  <c r="AY12" i="7"/>
  <c r="AS13" i="7"/>
  <c r="AT13" i="7"/>
  <c r="AU13" i="7"/>
  <c r="AV13" i="7"/>
  <c r="AW13" i="7"/>
  <c r="AX13" i="7"/>
  <c r="AY13" i="7"/>
  <c r="AS14" i="7"/>
  <c r="AT14" i="7"/>
  <c r="AU14" i="7"/>
  <c r="AV14" i="7"/>
  <c r="AW14" i="7"/>
  <c r="AX14" i="7"/>
  <c r="AY14" i="7"/>
  <c r="AS15" i="7"/>
  <c r="AT15" i="7"/>
  <c r="AU15" i="7"/>
  <c r="AV15" i="7"/>
  <c r="AW15" i="7"/>
  <c r="AX15" i="7"/>
  <c r="AY15" i="7"/>
  <c r="AS16" i="7"/>
  <c r="AT16" i="7"/>
  <c r="AU16" i="7"/>
  <c r="AV16" i="7"/>
  <c r="AW16" i="7"/>
  <c r="AX16" i="7"/>
  <c r="AY16" i="7"/>
  <c r="AS17" i="7"/>
  <c r="AT17" i="7"/>
  <c r="AU17" i="7"/>
  <c r="AV17" i="7"/>
  <c r="AW17" i="7"/>
  <c r="AX17" i="7"/>
  <c r="AY17" i="7"/>
  <c r="AS18" i="7"/>
  <c r="AT18" i="7"/>
  <c r="AU18" i="7"/>
  <c r="AV18" i="7"/>
  <c r="AW18" i="7"/>
  <c r="AX18" i="7"/>
  <c r="AY18" i="7"/>
  <c r="AS19" i="7"/>
  <c r="AT19" i="7"/>
  <c r="AU19" i="7"/>
  <c r="AV19" i="7"/>
  <c r="AW19" i="7"/>
  <c r="AX19" i="7"/>
  <c r="AY19" i="7"/>
  <c r="AS20" i="7"/>
  <c r="AT20" i="7"/>
  <c r="AU20" i="7"/>
  <c r="AV20" i="7"/>
  <c r="AW20" i="7"/>
  <c r="AX20" i="7"/>
  <c r="AY20" i="7"/>
  <c r="AS21" i="7"/>
  <c r="AT21" i="7"/>
  <c r="AU21" i="7"/>
  <c r="AV21" i="7"/>
  <c r="AW21" i="7"/>
  <c r="AX21" i="7"/>
  <c r="AY21" i="7"/>
  <c r="AS22" i="7"/>
  <c r="AT22" i="7"/>
  <c r="AU22" i="7"/>
  <c r="AV22" i="7"/>
  <c r="AW22" i="7"/>
  <c r="AX22" i="7"/>
  <c r="AY22" i="7"/>
  <c r="AT23" i="7"/>
  <c r="AU23" i="7"/>
  <c r="AV23" i="7"/>
  <c r="AW23" i="7"/>
  <c r="AX23" i="7"/>
  <c r="AY23" i="7"/>
  <c r="AT24" i="7"/>
  <c r="AU24" i="7"/>
  <c r="AV24" i="7"/>
  <c r="AW24" i="7"/>
  <c r="AX24" i="7"/>
  <c r="AY24" i="7"/>
  <c r="AT25" i="7"/>
  <c r="AU25" i="7"/>
  <c r="AV25" i="7"/>
  <c r="AW25" i="7"/>
  <c r="AX25" i="7"/>
  <c r="AY25" i="7"/>
  <c r="AT26" i="7"/>
  <c r="AU26" i="7"/>
  <c r="AV26" i="7"/>
  <c r="AW26" i="7"/>
  <c r="AX26" i="7"/>
  <c r="AY26" i="7"/>
  <c r="AT27" i="7"/>
  <c r="AU27" i="7"/>
  <c r="AV27" i="7"/>
  <c r="AW27" i="7"/>
  <c r="AX27" i="7"/>
  <c r="AY27" i="7"/>
  <c r="AT28" i="7"/>
  <c r="AU28" i="7"/>
  <c r="AV28" i="7"/>
  <c r="AW28" i="7"/>
  <c r="AX28" i="7"/>
  <c r="AY28" i="7"/>
  <c r="AR4" i="7"/>
  <c r="AV3" i="7"/>
  <c r="AW3" i="7"/>
  <c r="AY3" i="7"/>
  <c r="AT3" i="7"/>
  <c r="AU3" i="7"/>
  <c r="N3" i="7"/>
  <c r="N2" i="7"/>
  <c r="Z3" i="7"/>
  <c r="AA3" i="7"/>
  <c r="AB2" i="7"/>
  <c r="AB3" i="7"/>
  <c r="AC3" i="7"/>
  <c r="AD3" i="7"/>
  <c r="AE2" i="7"/>
  <c r="AI2" i="7"/>
  <c r="AK2" i="7"/>
  <c r="AE3" i="7"/>
  <c r="AF3" i="7"/>
  <c r="AG3" i="7"/>
  <c r="AH3" i="7"/>
  <c r="AI3" i="7"/>
  <c r="AJ3" i="7"/>
  <c r="AK3" i="7"/>
  <c r="BB18" i="7"/>
  <c r="BC18" i="7"/>
  <c r="BD18" i="7"/>
  <c r="BE18" i="7"/>
  <c r="BF18" i="7"/>
  <c r="BG18" i="7"/>
  <c r="BH18" i="7"/>
  <c r="BI18" i="7"/>
  <c r="BJ18" i="7"/>
  <c r="BK18" i="7"/>
  <c r="BB19" i="7"/>
  <c r="BC19" i="7"/>
  <c r="BD19" i="7"/>
  <c r="BE19" i="7"/>
  <c r="BF19" i="7"/>
  <c r="BG19" i="7"/>
  <c r="BH19" i="7"/>
  <c r="BI19" i="7"/>
  <c r="BJ19" i="7"/>
  <c r="BK19" i="7"/>
  <c r="BB20" i="7"/>
  <c r="BC20" i="7"/>
  <c r="BD20" i="7"/>
  <c r="BE20" i="7"/>
  <c r="BF20" i="7"/>
  <c r="BG20" i="7"/>
  <c r="BH20" i="7"/>
  <c r="BI20" i="7"/>
  <c r="BJ20" i="7"/>
  <c r="BK20" i="7"/>
  <c r="BB21" i="7"/>
  <c r="BC21" i="7"/>
  <c r="BD21" i="7"/>
  <c r="BE21" i="7"/>
  <c r="BF21" i="7"/>
  <c r="BG21" i="7"/>
  <c r="BH21" i="7"/>
  <c r="BI21" i="7"/>
  <c r="BJ21" i="7"/>
  <c r="BK21" i="7"/>
  <c r="BB22" i="7"/>
  <c r="BC22" i="7"/>
  <c r="BD22" i="7"/>
  <c r="BE22" i="7"/>
  <c r="BF22" i="7"/>
  <c r="BG22" i="7"/>
  <c r="BH22" i="7"/>
  <c r="BI22" i="7"/>
  <c r="BJ22" i="7"/>
  <c r="BK22" i="7"/>
  <c r="BB23" i="7"/>
  <c r="BC23" i="7"/>
  <c r="BD23" i="7"/>
  <c r="BE23" i="7"/>
  <c r="BF23" i="7"/>
  <c r="BG23" i="7"/>
  <c r="BH23" i="7"/>
  <c r="BI23" i="7"/>
  <c r="BJ23" i="7"/>
  <c r="BK23" i="7"/>
  <c r="BB24" i="7"/>
  <c r="BC24" i="7"/>
  <c r="BD24" i="7"/>
  <c r="BE24" i="7"/>
  <c r="BF24" i="7"/>
  <c r="BG24" i="7"/>
  <c r="BH24" i="7"/>
  <c r="BI24" i="7"/>
  <c r="BJ24" i="7"/>
  <c r="BK24" i="7"/>
  <c r="BB25" i="7"/>
  <c r="BC25" i="7"/>
  <c r="BD25" i="7"/>
  <c r="BE25" i="7"/>
  <c r="BF25" i="7"/>
  <c r="BG25" i="7"/>
  <c r="BH25" i="7"/>
  <c r="BI25" i="7"/>
  <c r="BJ25" i="7"/>
  <c r="BK25" i="7"/>
  <c r="BB26" i="7"/>
  <c r="BC26" i="7"/>
  <c r="BD26" i="7"/>
  <c r="BE26" i="7"/>
  <c r="BF26" i="7"/>
  <c r="BG26" i="7"/>
  <c r="BH26" i="7"/>
  <c r="BI26" i="7"/>
  <c r="BJ26" i="7"/>
  <c r="BK26" i="7"/>
  <c r="BB27" i="7"/>
  <c r="BC27" i="7"/>
  <c r="BD27" i="7"/>
  <c r="BE27" i="7"/>
  <c r="BF27" i="7"/>
  <c r="BG27" i="7"/>
  <c r="BH27" i="7"/>
  <c r="BI27" i="7"/>
  <c r="BJ27" i="7"/>
  <c r="BK27" i="7"/>
  <c r="BB28" i="7"/>
  <c r="BC28" i="7"/>
  <c r="BD28" i="7"/>
  <c r="BE28" i="7"/>
  <c r="BF28" i="7"/>
  <c r="BG28" i="7"/>
  <c r="BH28" i="7"/>
  <c r="BI28" i="7"/>
  <c r="BJ28" i="7"/>
  <c r="BK28" i="7"/>
  <c r="BB29" i="7"/>
  <c r="BC29" i="7"/>
  <c r="BD29" i="7"/>
  <c r="BE29" i="7"/>
  <c r="BF29" i="7"/>
  <c r="BG29" i="7"/>
  <c r="BH29" i="7"/>
  <c r="BI29" i="7"/>
  <c r="BJ29" i="7"/>
  <c r="BK29" i="7"/>
  <c r="BB30" i="7"/>
  <c r="BC30" i="7"/>
  <c r="BD30" i="7"/>
  <c r="BE30" i="7"/>
  <c r="BF30" i="7"/>
  <c r="BG30" i="7"/>
  <c r="BH30" i="7"/>
  <c r="BI30" i="7"/>
  <c r="BJ30" i="7"/>
  <c r="BK30" i="7"/>
  <c r="BB31" i="7"/>
  <c r="BC31" i="7"/>
  <c r="BD31" i="7"/>
  <c r="BE31" i="7"/>
  <c r="BF31" i="7"/>
  <c r="BG31" i="7"/>
  <c r="BH31" i="7"/>
  <c r="BI31" i="7"/>
  <c r="BJ31" i="7"/>
  <c r="BK31" i="7"/>
  <c r="BB32" i="7"/>
  <c r="BC32" i="7"/>
  <c r="BD32" i="7"/>
  <c r="BE32" i="7"/>
  <c r="BF32" i="7"/>
  <c r="BG32" i="7"/>
  <c r="BH32" i="7"/>
  <c r="BI32" i="7"/>
  <c r="BJ32" i="7"/>
  <c r="BK32" i="7"/>
  <c r="BB33" i="7"/>
  <c r="BC33" i="7"/>
  <c r="BD33" i="7"/>
  <c r="BE33" i="7"/>
  <c r="BF33" i="7"/>
  <c r="BG33" i="7"/>
  <c r="BH33" i="7"/>
  <c r="BI33" i="7"/>
  <c r="BJ33" i="7"/>
  <c r="BK33" i="7"/>
  <c r="BB34" i="7"/>
  <c r="BC34" i="7"/>
  <c r="BD34" i="7"/>
  <c r="BE34" i="7"/>
  <c r="BF34" i="7"/>
  <c r="BG34" i="7"/>
  <c r="BH34" i="7"/>
  <c r="BI34" i="7"/>
  <c r="BJ34" i="7"/>
  <c r="BK34" i="7"/>
  <c r="BB35" i="7"/>
  <c r="BC35" i="7"/>
  <c r="BD35" i="7"/>
  <c r="BE35" i="7"/>
  <c r="BF35" i="7"/>
  <c r="BG35" i="7"/>
  <c r="BH35" i="7"/>
  <c r="BI35" i="7"/>
  <c r="BJ35" i="7"/>
  <c r="BK35" i="7"/>
  <c r="BB36" i="7"/>
  <c r="BC36" i="7"/>
  <c r="BD36" i="7"/>
  <c r="BE36" i="7"/>
  <c r="BF36" i="7"/>
  <c r="BG36" i="7"/>
  <c r="BH36" i="7"/>
  <c r="BI36" i="7"/>
  <c r="BJ36" i="7"/>
  <c r="BK36" i="7"/>
  <c r="BB37" i="7"/>
  <c r="BC37" i="7"/>
  <c r="BD37" i="7"/>
  <c r="BE37" i="7"/>
  <c r="BF37" i="7"/>
  <c r="BG37" i="7"/>
  <c r="BH37" i="7"/>
  <c r="BI37" i="7"/>
  <c r="BJ37" i="7"/>
  <c r="BK37" i="7"/>
  <c r="BB38" i="7"/>
  <c r="BC38" i="7"/>
  <c r="BD38" i="7"/>
  <c r="BE38" i="7"/>
  <c r="BF38" i="7"/>
  <c r="BG38" i="7"/>
  <c r="BH38" i="7"/>
  <c r="BI38" i="7"/>
  <c r="BJ38" i="7"/>
  <c r="BK38" i="7"/>
  <c r="BB39" i="7"/>
  <c r="BC39" i="7"/>
  <c r="BD39" i="7"/>
  <c r="BE39" i="7"/>
  <c r="BF39" i="7"/>
  <c r="BG39" i="7"/>
  <c r="BH39" i="7"/>
  <c r="BI39" i="7"/>
  <c r="BJ39" i="7"/>
  <c r="BK39" i="7"/>
  <c r="BB40" i="7"/>
  <c r="BC40" i="7"/>
  <c r="BD40" i="7"/>
  <c r="BE40" i="7"/>
  <c r="BF40" i="7"/>
  <c r="BG40" i="7"/>
  <c r="BH40" i="7"/>
  <c r="BI40" i="7"/>
  <c r="BJ40" i="7"/>
  <c r="BK40" i="7"/>
  <c r="BB41" i="7"/>
  <c r="BC41" i="7"/>
  <c r="BD41" i="7"/>
  <c r="BE41" i="7"/>
  <c r="BF41" i="7"/>
  <c r="BG41" i="7"/>
  <c r="BH41" i="7"/>
  <c r="BI41" i="7"/>
  <c r="BJ41" i="7"/>
  <c r="BK41" i="7"/>
  <c r="BB42" i="7"/>
  <c r="BC42" i="7"/>
  <c r="BD42" i="7"/>
  <c r="BE42" i="7"/>
  <c r="BF42" i="7"/>
  <c r="BG42" i="7"/>
  <c r="BH42" i="7"/>
  <c r="BI42" i="7"/>
  <c r="BJ42" i="7"/>
  <c r="BK42" i="7"/>
  <c r="BB43" i="7"/>
  <c r="BC43" i="7"/>
  <c r="BD43" i="7"/>
  <c r="BE43" i="7"/>
  <c r="BF43" i="7"/>
  <c r="BG43" i="7"/>
  <c r="BH43" i="7"/>
  <c r="BI43" i="7"/>
  <c r="BJ43" i="7"/>
  <c r="BK43" i="7"/>
  <c r="BB44" i="7"/>
  <c r="BC44" i="7"/>
  <c r="BD44" i="7"/>
  <c r="BE44" i="7"/>
  <c r="BF44" i="7"/>
  <c r="BG44" i="7"/>
  <c r="BH44" i="7"/>
  <c r="BI44" i="7"/>
  <c r="BJ44" i="7"/>
  <c r="BK44" i="7"/>
  <c r="BB45" i="7"/>
  <c r="BC45" i="7"/>
  <c r="BD45" i="7"/>
  <c r="BE45" i="7"/>
  <c r="BF45" i="7"/>
  <c r="BG45" i="7"/>
  <c r="BH45" i="7"/>
  <c r="BI45" i="7"/>
  <c r="BJ45" i="7"/>
  <c r="BK45" i="7"/>
  <c r="BB46" i="7"/>
  <c r="BC46" i="7"/>
  <c r="BD46" i="7"/>
  <c r="BE46" i="7"/>
  <c r="BF46" i="7"/>
  <c r="BG46" i="7"/>
  <c r="BH46" i="7"/>
  <c r="BI46" i="7"/>
  <c r="BJ46" i="7"/>
  <c r="BK46" i="7"/>
  <c r="BB47" i="7"/>
  <c r="BC47" i="7"/>
  <c r="BD47" i="7"/>
  <c r="BE47" i="7"/>
  <c r="BF47" i="7"/>
  <c r="BG47" i="7"/>
  <c r="BH47" i="7"/>
  <c r="BI47" i="7"/>
  <c r="BJ47" i="7"/>
  <c r="BK47" i="7"/>
  <c r="BB48" i="7"/>
  <c r="BC48" i="7"/>
  <c r="BD48" i="7"/>
  <c r="BE48" i="7"/>
  <c r="BF48" i="7"/>
  <c r="BG48" i="7"/>
  <c r="BH48" i="7"/>
  <c r="BI48" i="7"/>
  <c r="BJ48" i="7"/>
  <c r="BK48" i="7"/>
  <c r="BB49" i="7"/>
  <c r="BC49" i="7"/>
  <c r="BD49" i="7"/>
  <c r="BE49" i="7"/>
  <c r="BF49" i="7"/>
  <c r="BG49" i="7"/>
  <c r="BH49" i="7"/>
  <c r="BI49" i="7"/>
  <c r="BJ49" i="7"/>
  <c r="BK49" i="7"/>
  <c r="BB50" i="7"/>
  <c r="BC50" i="7"/>
  <c r="BD50" i="7"/>
  <c r="BE50" i="7"/>
  <c r="BF50" i="7"/>
  <c r="BG50" i="7"/>
  <c r="BH50" i="7"/>
  <c r="BI50" i="7"/>
  <c r="BJ50" i="7"/>
  <c r="BK50" i="7"/>
  <c r="BB51" i="7"/>
  <c r="BC51" i="7"/>
  <c r="BD51" i="7"/>
  <c r="BE51" i="7"/>
  <c r="BF51" i="7"/>
  <c r="BG51" i="7"/>
  <c r="BH51" i="7"/>
  <c r="BI51" i="7"/>
  <c r="BJ51" i="7"/>
  <c r="BK51" i="7"/>
  <c r="BB52" i="7"/>
  <c r="BC52" i="7"/>
  <c r="BD52" i="7"/>
  <c r="BE52" i="7"/>
  <c r="BF52" i="7"/>
  <c r="BG52" i="7"/>
  <c r="BH52" i="7"/>
  <c r="BI52" i="7"/>
  <c r="BJ52" i="7"/>
  <c r="BK52" i="7"/>
  <c r="BB53" i="7"/>
  <c r="BC53" i="7"/>
  <c r="BD53" i="7"/>
  <c r="BE53" i="7"/>
  <c r="BF53" i="7"/>
  <c r="BG53" i="7"/>
  <c r="BH53" i="7"/>
  <c r="BI53" i="7"/>
  <c r="BJ53" i="7"/>
  <c r="BK53" i="7"/>
  <c r="BB54" i="7"/>
  <c r="BC54" i="7"/>
  <c r="BD54" i="7"/>
  <c r="BE54" i="7"/>
  <c r="BF54" i="7"/>
  <c r="BG54" i="7"/>
  <c r="BH54" i="7"/>
  <c r="BI54" i="7"/>
  <c r="BJ54" i="7"/>
  <c r="BK54" i="7"/>
  <c r="BB55" i="7"/>
  <c r="BC55" i="7"/>
  <c r="BD55" i="7"/>
  <c r="BE55" i="7"/>
  <c r="BF55" i="7"/>
  <c r="BG55" i="7"/>
  <c r="BH55" i="7"/>
  <c r="BI55" i="7"/>
  <c r="BJ55" i="7"/>
  <c r="BK55" i="7"/>
  <c r="BB56" i="7"/>
  <c r="BC56" i="7"/>
  <c r="BD56" i="7"/>
  <c r="BE56" i="7"/>
  <c r="BF56" i="7"/>
  <c r="BG56" i="7"/>
  <c r="BH56" i="7"/>
  <c r="BI56" i="7"/>
  <c r="BJ56" i="7"/>
  <c r="BK56" i="7"/>
  <c r="BB57" i="7"/>
  <c r="BC57" i="7"/>
  <c r="BD57" i="7"/>
  <c r="BE57" i="7"/>
  <c r="BF57" i="7"/>
  <c r="BG57" i="7"/>
  <c r="BH57" i="7"/>
  <c r="BI57" i="7"/>
  <c r="BJ57" i="7"/>
  <c r="BK57" i="7"/>
  <c r="BB58" i="7"/>
  <c r="BC58" i="7"/>
  <c r="BD58" i="7"/>
  <c r="BE58" i="7"/>
  <c r="BF58" i="7"/>
  <c r="BG58" i="7"/>
  <c r="BH58" i="7"/>
  <c r="BI58" i="7"/>
  <c r="BJ58" i="7"/>
  <c r="BK58" i="7"/>
  <c r="BB59" i="7"/>
  <c r="BC59" i="7"/>
  <c r="BD59" i="7"/>
  <c r="BE59" i="7"/>
  <c r="BF59" i="7"/>
  <c r="BG59" i="7"/>
  <c r="BH59" i="7"/>
  <c r="BI59" i="7"/>
  <c r="BJ59" i="7"/>
  <c r="BK59" i="7"/>
  <c r="BB60" i="7"/>
  <c r="BC60" i="7"/>
  <c r="BD60" i="7"/>
  <c r="BE60" i="7"/>
  <c r="BF60" i="7"/>
  <c r="BG60" i="7"/>
  <c r="BH60" i="7"/>
  <c r="BI60" i="7"/>
  <c r="BJ60" i="7"/>
  <c r="BK60" i="7"/>
  <c r="BB61" i="7"/>
  <c r="BC61" i="7"/>
  <c r="BD61" i="7"/>
  <c r="BE61" i="7"/>
  <c r="BF61" i="7"/>
  <c r="BG61" i="7"/>
  <c r="BH61" i="7"/>
  <c r="BI61" i="7"/>
  <c r="BJ61" i="7"/>
  <c r="BK61" i="7"/>
  <c r="BB62" i="7"/>
  <c r="BC62" i="7"/>
  <c r="BD62" i="7"/>
  <c r="BE62" i="7"/>
  <c r="BF62" i="7"/>
  <c r="BG62" i="7"/>
  <c r="BH62" i="7"/>
  <c r="BI62" i="7"/>
  <c r="BJ62" i="7"/>
  <c r="BK62" i="7"/>
  <c r="BB63" i="7"/>
  <c r="BC63" i="7"/>
  <c r="BD63" i="7"/>
  <c r="BE63" i="7"/>
  <c r="BF63" i="7"/>
  <c r="BG63" i="7"/>
  <c r="BH63" i="7"/>
  <c r="BI63" i="7"/>
  <c r="BJ63" i="7"/>
  <c r="BK63" i="7"/>
  <c r="BB64" i="7"/>
  <c r="BC64" i="7"/>
  <c r="BD64" i="7"/>
  <c r="BE64" i="7"/>
  <c r="BF64" i="7"/>
  <c r="BG64" i="7"/>
  <c r="BH64" i="7"/>
  <c r="BI64" i="7"/>
  <c r="BJ64" i="7"/>
  <c r="BK64" i="7"/>
  <c r="BB65" i="7"/>
  <c r="BC65" i="7"/>
  <c r="BD65" i="7"/>
  <c r="BE65" i="7"/>
  <c r="BF65" i="7"/>
  <c r="BG65" i="7"/>
  <c r="BH65" i="7"/>
  <c r="BI65" i="7"/>
  <c r="BJ65" i="7"/>
  <c r="BK65" i="7"/>
  <c r="BB66" i="7"/>
  <c r="BC66" i="7"/>
  <c r="BD66" i="7"/>
  <c r="BE66" i="7"/>
  <c r="BF66" i="7"/>
  <c r="BG66" i="7"/>
  <c r="BH66" i="7"/>
  <c r="BI66" i="7"/>
  <c r="BJ66" i="7"/>
  <c r="BK66" i="7"/>
  <c r="BB67" i="7"/>
  <c r="BC67" i="7"/>
  <c r="BD67" i="7"/>
  <c r="BE67" i="7"/>
  <c r="BF67" i="7"/>
  <c r="BG67" i="7"/>
  <c r="BH67" i="7"/>
  <c r="BI67" i="7"/>
  <c r="BJ67" i="7"/>
  <c r="BK67" i="7"/>
  <c r="BB68" i="7"/>
  <c r="BC68" i="7"/>
  <c r="BD68" i="7"/>
  <c r="BE68" i="7"/>
  <c r="BF68" i="7"/>
  <c r="BG68" i="7"/>
  <c r="BH68" i="7"/>
  <c r="BI68" i="7"/>
  <c r="BJ68" i="7"/>
  <c r="BK68" i="7"/>
  <c r="BB69" i="7"/>
  <c r="BC69" i="7"/>
  <c r="BD69" i="7"/>
  <c r="BE69" i="7"/>
  <c r="BF69" i="7"/>
  <c r="BG69" i="7"/>
  <c r="BH69" i="7"/>
  <c r="BI69" i="7"/>
  <c r="BJ69" i="7"/>
  <c r="BK69" i="7"/>
  <c r="BB70" i="7"/>
  <c r="BC70" i="7"/>
  <c r="BD70" i="7"/>
  <c r="BE70" i="7"/>
  <c r="BF70" i="7"/>
  <c r="BG70" i="7"/>
  <c r="BH70" i="7"/>
  <c r="BI70" i="7"/>
  <c r="BJ70" i="7"/>
  <c r="BK70" i="7"/>
  <c r="BB71" i="7"/>
  <c r="BC71" i="7"/>
  <c r="BD71" i="7"/>
  <c r="BE71" i="7"/>
  <c r="BF71" i="7"/>
  <c r="BG71" i="7"/>
  <c r="BH71" i="7"/>
  <c r="BI71" i="7"/>
  <c r="BJ71" i="7"/>
  <c r="BK71" i="7"/>
  <c r="BB72" i="7"/>
  <c r="BC72" i="7"/>
  <c r="BD72" i="7"/>
  <c r="BE72" i="7"/>
  <c r="BF72" i="7"/>
  <c r="BG72" i="7"/>
  <c r="BH72" i="7"/>
  <c r="BI72" i="7"/>
  <c r="BJ72" i="7"/>
  <c r="BK72" i="7"/>
  <c r="BB73" i="7"/>
  <c r="BC73" i="7"/>
  <c r="BD73" i="7"/>
  <c r="BE73" i="7"/>
  <c r="BF73" i="7"/>
  <c r="BG73" i="7"/>
  <c r="BH73" i="7"/>
  <c r="BI73" i="7"/>
  <c r="BJ73" i="7"/>
  <c r="BK73" i="7"/>
  <c r="BB74" i="7"/>
  <c r="BC74" i="7"/>
  <c r="BD74" i="7"/>
  <c r="BE74" i="7"/>
  <c r="BF74" i="7"/>
  <c r="BG74" i="7"/>
  <c r="BH74" i="7"/>
  <c r="BI74" i="7"/>
  <c r="BJ74" i="7"/>
  <c r="BK74" i="7"/>
  <c r="BB75" i="7"/>
  <c r="BC75" i="7"/>
  <c r="BD75" i="7"/>
  <c r="BE75" i="7"/>
  <c r="BF75" i="7"/>
  <c r="BG75" i="7"/>
  <c r="BH75" i="7"/>
  <c r="BI75" i="7"/>
  <c r="BJ75" i="7"/>
  <c r="BK75" i="7"/>
  <c r="BB76" i="7"/>
  <c r="BC76" i="7"/>
  <c r="BD76" i="7"/>
  <c r="BE76" i="7"/>
  <c r="BF76" i="7"/>
  <c r="BG76" i="7"/>
  <c r="BH76" i="7"/>
  <c r="BI76" i="7"/>
  <c r="BJ76" i="7"/>
  <c r="BK76" i="7"/>
  <c r="BB77" i="7"/>
  <c r="BC77" i="7"/>
  <c r="BD77" i="7"/>
  <c r="BE77" i="7"/>
  <c r="BF77" i="7"/>
  <c r="BG77" i="7"/>
  <c r="BH77" i="7"/>
  <c r="BI77" i="7"/>
  <c r="BJ77" i="7"/>
  <c r="BK77" i="7"/>
  <c r="BB78" i="7"/>
  <c r="BC78" i="7"/>
  <c r="BD78" i="7"/>
  <c r="BE78" i="7"/>
  <c r="BF78" i="7"/>
  <c r="BG78" i="7"/>
  <c r="BH78" i="7"/>
  <c r="BI78" i="7"/>
  <c r="BJ78" i="7"/>
  <c r="BK78" i="7"/>
  <c r="BB79" i="7"/>
  <c r="BC79" i="7"/>
  <c r="BD79" i="7"/>
  <c r="BE79" i="7"/>
  <c r="BF79" i="7"/>
  <c r="BG79" i="7"/>
  <c r="BH79" i="7"/>
  <c r="BI79" i="7"/>
  <c r="BJ79" i="7"/>
  <c r="BK79" i="7"/>
  <c r="BB80" i="7"/>
  <c r="BC80" i="7"/>
  <c r="BD80" i="7"/>
  <c r="BE80" i="7"/>
  <c r="BF80" i="7"/>
  <c r="BG80" i="7"/>
  <c r="BH80" i="7"/>
  <c r="BI80" i="7"/>
  <c r="BJ80" i="7"/>
  <c r="BK80" i="7"/>
  <c r="BB81" i="7"/>
  <c r="BC81" i="7"/>
  <c r="BD81" i="7"/>
  <c r="BE81" i="7"/>
  <c r="BF81" i="7"/>
  <c r="BG81" i="7"/>
  <c r="BH81" i="7"/>
  <c r="BI81" i="7"/>
  <c r="BJ81" i="7"/>
  <c r="BK81" i="7"/>
  <c r="BB82" i="7"/>
  <c r="BC82" i="7"/>
  <c r="BD82" i="7"/>
  <c r="BE82" i="7"/>
  <c r="BF82" i="7"/>
  <c r="BG82" i="7"/>
  <c r="BH82" i="7"/>
  <c r="BI82" i="7"/>
  <c r="BJ82" i="7"/>
  <c r="BK82" i="7"/>
  <c r="BB83" i="7"/>
  <c r="BC83" i="7"/>
  <c r="BD83" i="7"/>
  <c r="BE83" i="7"/>
  <c r="BF83" i="7"/>
  <c r="BG83" i="7"/>
  <c r="BH83" i="7"/>
  <c r="BI83" i="7"/>
  <c r="BJ83" i="7"/>
  <c r="BK83" i="7"/>
  <c r="BB84" i="7"/>
  <c r="BC84" i="7"/>
  <c r="BD84" i="7"/>
  <c r="BE84" i="7"/>
  <c r="BF84" i="7"/>
  <c r="BG84" i="7"/>
  <c r="BH84" i="7"/>
  <c r="BI84" i="7"/>
  <c r="BJ84" i="7"/>
  <c r="BK84" i="7"/>
  <c r="BB85" i="7"/>
  <c r="BC85" i="7"/>
  <c r="BD85" i="7"/>
  <c r="BE85" i="7"/>
  <c r="BF85" i="7"/>
  <c r="BG85" i="7"/>
  <c r="BH85" i="7"/>
  <c r="BI85" i="7"/>
  <c r="BJ85" i="7"/>
  <c r="BK85" i="7"/>
  <c r="BB86" i="7"/>
  <c r="BC86" i="7"/>
  <c r="BD86" i="7"/>
  <c r="BE86" i="7"/>
  <c r="BF86" i="7"/>
  <c r="BG86" i="7"/>
  <c r="BH86" i="7"/>
  <c r="BI86" i="7"/>
  <c r="BJ86" i="7"/>
  <c r="BK86" i="7"/>
  <c r="BB87" i="7"/>
  <c r="BC87" i="7"/>
  <c r="BD87" i="7"/>
  <c r="BE87" i="7"/>
  <c r="BF87" i="7"/>
  <c r="BG87" i="7"/>
  <c r="BH87" i="7"/>
  <c r="BI87" i="7"/>
  <c r="BJ87" i="7"/>
  <c r="BK87" i="7"/>
  <c r="BB88" i="7"/>
  <c r="BC88" i="7"/>
  <c r="BD88" i="7"/>
  <c r="BE88" i="7"/>
  <c r="BF88" i="7"/>
  <c r="BG88" i="7"/>
  <c r="BH88" i="7"/>
  <c r="BI88" i="7"/>
  <c r="BJ88" i="7"/>
  <c r="BK88" i="7"/>
  <c r="BB89" i="7"/>
  <c r="BC89" i="7"/>
  <c r="BD89" i="7"/>
  <c r="BE89" i="7"/>
  <c r="BF89" i="7"/>
  <c r="BG89" i="7"/>
  <c r="BH89" i="7"/>
  <c r="BI89" i="7"/>
  <c r="BJ89" i="7"/>
  <c r="BK89" i="7"/>
  <c r="BB90" i="7"/>
  <c r="BC90" i="7"/>
  <c r="BD90" i="7"/>
  <c r="BE90" i="7"/>
  <c r="BF90" i="7"/>
  <c r="BG90" i="7"/>
  <c r="BH90" i="7"/>
  <c r="BI90" i="7"/>
  <c r="BJ90" i="7"/>
  <c r="BK90" i="7"/>
  <c r="BB91" i="7"/>
  <c r="BC91" i="7"/>
  <c r="BD91" i="7"/>
  <c r="BE91" i="7"/>
  <c r="BF91" i="7"/>
  <c r="BG91" i="7"/>
  <c r="BH91" i="7"/>
  <c r="BI91" i="7"/>
  <c r="BJ91" i="7"/>
  <c r="BK91" i="7"/>
  <c r="BB92" i="7"/>
  <c r="BC92" i="7"/>
  <c r="BD92" i="7"/>
  <c r="BE92" i="7"/>
  <c r="BF92" i="7"/>
  <c r="BG92" i="7"/>
  <c r="BH92" i="7"/>
  <c r="BI92" i="7"/>
  <c r="BJ92" i="7"/>
  <c r="BK92" i="7"/>
  <c r="BB93" i="7"/>
  <c r="BC93" i="7"/>
  <c r="BD93" i="7"/>
  <c r="BE93" i="7"/>
  <c r="BF93" i="7"/>
  <c r="BG93" i="7"/>
  <c r="BH93" i="7"/>
  <c r="BI93" i="7"/>
  <c r="BJ93" i="7"/>
  <c r="BK93" i="7"/>
  <c r="BB94" i="7"/>
  <c r="BC94" i="7"/>
  <c r="BD94" i="7"/>
  <c r="BE94" i="7"/>
  <c r="BF94" i="7"/>
  <c r="BG94" i="7"/>
  <c r="BH94" i="7"/>
  <c r="BI94" i="7"/>
  <c r="BJ94" i="7"/>
  <c r="BK94" i="7"/>
  <c r="BB95" i="7"/>
  <c r="BC95" i="7"/>
  <c r="BD95" i="7"/>
  <c r="BE95" i="7"/>
  <c r="BF95" i="7"/>
  <c r="BG95" i="7"/>
  <c r="BH95" i="7"/>
  <c r="BI95" i="7"/>
  <c r="BJ95" i="7"/>
  <c r="BK95" i="7"/>
  <c r="BB96" i="7"/>
  <c r="BC96" i="7"/>
  <c r="BD96" i="7"/>
  <c r="BE96" i="7"/>
  <c r="BF96" i="7"/>
  <c r="BG96" i="7"/>
  <c r="BH96" i="7"/>
  <c r="BI96" i="7"/>
  <c r="BJ96" i="7"/>
  <c r="BK96" i="7"/>
  <c r="BB97" i="7"/>
  <c r="BC97" i="7"/>
  <c r="BD97" i="7"/>
  <c r="BE97" i="7"/>
  <c r="BF97" i="7"/>
  <c r="BG97" i="7"/>
  <c r="BH97" i="7"/>
  <c r="BI97" i="7"/>
  <c r="BJ97" i="7"/>
  <c r="BK97" i="7"/>
  <c r="BB98" i="7"/>
  <c r="BC98" i="7"/>
  <c r="BD98" i="7"/>
  <c r="BE98" i="7"/>
  <c r="BF98" i="7"/>
  <c r="BG98" i="7"/>
  <c r="BH98" i="7"/>
  <c r="BI98" i="7"/>
  <c r="BJ98" i="7"/>
  <c r="BK98" i="7"/>
  <c r="BB99" i="7"/>
  <c r="BC99" i="7"/>
  <c r="BD99" i="7"/>
  <c r="BE99" i="7"/>
  <c r="BF99" i="7"/>
  <c r="BG99" i="7"/>
  <c r="BH99" i="7"/>
  <c r="BI99" i="7"/>
  <c r="BJ99" i="7"/>
  <c r="BK99" i="7"/>
  <c r="BB100" i="7"/>
  <c r="BC100" i="7"/>
  <c r="BD100" i="7"/>
  <c r="BE100" i="7"/>
  <c r="BF100" i="7"/>
  <c r="BG100" i="7"/>
  <c r="BH100" i="7"/>
  <c r="BI100" i="7"/>
  <c r="BJ100" i="7"/>
  <c r="BK100" i="7"/>
  <c r="BB101" i="7"/>
  <c r="BC101" i="7"/>
  <c r="BD101" i="7"/>
  <c r="BE101" i="7"/>
  <c r="BF101" i="7"/>
  <c r="BG101" i="7"/>
  <c r="BH101" i="7"/>
  <c r="BI101" i="7"/>
  <c r="BJ101" i="7"/>
  <c r="BK101" i="7"/>
  <c r="BB102" i="7"/>
  <c r="BC102" i="7"/>
  <c r="BD102" i="7"/>
  <c r="BE102" i="7"/>
  <c r="BF102" i="7"/>
  <c r="BG102" i="7"/>
  <c r="BH102" i="7"/>
  <c r="BI102" i="7"/>
  <c r="BJ102" i="7"/>
  <c r="BK102" i="7"/>
  <c r="BB103" i="7"/>
  <c r="BC103" i="7"/>
  <c r="BD103" i="7"/>
  <c r="BE103" i="7"/>
  <c r="BF103" i="7"/>
  <c r="BG103" i="7"/>
  <c r="BH103" i="7"/>
  <c r="BI103" i="7"/>
  <c r="BJ103" i="7"/>
  <c r="BK103" i="7"/>
  <c r="BB104" i="7"/>
  <c r="BC104" i="7"/>
  <c r="BD104" i="7"/>
  <c r="BE104" i="7"/>
  <c r="BF104" i="7"/>
  <c r="BG104" i="7"/>
  <c r="BH104" i="7"/>
  <c r="BI104" i="7"/>
  <c r="BJ104" i="7"/>
  <c r="BK104" i="7"/>
  <c r="BB105" i="7"/>
  <c r="BC105" i="7"/>
  <c r="BD105" i="7"/>
  <c r="BE105" i="7"/>
  <c r="BF105" i="7"/>
  <c r="BG105" i="7"/>
  <c r="BH105" i="7"/>
  <c r="BI105" i="7"/>
  <c r="BJ105" i="7"/>
  <c r="BK105" i="7"/>
  <c r="BB106" i="7"/>
  <c r="BC106" i="7"/>
  <c r="BD106" i="7"/>
  <c r="BE106" i="7"/>
  <c r="BF106" i="7"/>
  <c r="BG106" i="7"/>
  <c r="BH106" i="7"/>
  <c r="BI106" i="7"/>
  <c r="BJ106" i="7"/>
  <c r="BK106" i="7"/>
  <c r="BB107" i="7"/>
  <c r="BC107" i="7"/>
  <c r="BD107" i="7"/>
  <c r="BE107" i="7"/>
  <c r="BF107" i="7"/>
  <c r="BG107" i="7"/>
  <c r="BH107" i="7"/>
  <c r="BI107" i="7"/>
  <c r="BJ107" i="7"/>
  <c r="BK107" i="7"/>
  <c r="BB108" i="7"/>
  <c r="BC108" i="7"/>
  <c r="BD108" i="7"/>
  <c r="BE108" i="7"/>
  <c r="BF108" i="7"/>
  <c r="BG108" i="7"/>
  <c r="BH108" i="7"/>
  <c r="BI108" i="7"/>
  <c r="BJ108" i="7"/>
  <c r="BK108" i="7"/>
  <c r="BB109" i="7"/>
  <c r="BC109" i="7"/>
  <c r="BD109" i="7"/>
  <c r="BE109" i="7"/>
  <c r="BF109" i="7"/>
  <c r="BG109" i="7"/>
  <c r="BH109" i="7"/>
  <c r="BI109" i="7"/>
  <c r="BJ109" i="7"/>
  <c r="BK109" i="7"/>
  <c r="BB110" i="7"/>
  <c r="BC110" i="7"/>
  <c r="BD110" i="7"/>
  <c r="BE110" i="7"/>
  <c r="BF110" i="7"/>
  <c r="BG110" i="7"/>
  <c r="BH110" i="7"/>
  <c r="BI110" i="7"/>
  <c r="BJ110" i="7"/>
  <c r="BK110" i="7"/>
  <c r="BB111" i="7"/>
  <c r="BC111" i="7"/>
  <c r="BD111" i="7"/>
  <c r="BE111" i="7"/>
  <c r="BF111" i="7"/>
  <c r="BG111" i="7"/>
  <c r="BH111" i="7"/>
  <c r="BI111" i="7"/>
  <c r="BJ111" i="7"/>
  <c r="BK111" i="7"/>
  <c r="BB112" i="7"/>
  <c r="BC112" i="7"/>
  <c r="BD112" i="7"/>
  <c r="BE112" i="7"/>
  <c r="BF112" i="7"/>
  <c r="BG112" i="7"/>
  <c r="BH112" i="7"/>
  <c r="BI112" i="7"/>
  <c r="BJ112" i="7"/>
  <c r="BK112" i="7"/>
  <c r="BB113" i="7"/>
  <c r="BC113" i="7"/>
  <c r="BD113" i="7"/>
  <c r="BE113" i="7"/>
  <c r="BF113" i="7"/>
  <c r="BG113" i="7"/>
  <c r="BH113" i="7"/>
  <c r="BI113" i="7"/>
  <c r="BJ113" i="7"/>
  <c r="BK113" i="7"/>
  <c r="BB114" i="7"/>
  <c r="BC114" i="7"/>
  <c r="BD114" i="7"/>
  <c r="BE114" i="7"/>
  <c r="BF114" i="7"/>
  <c r="BG114" i="7"/>
  <c r="BH114" i="7"/>
  <c r="BI114" i="7"/>
  <c r="BJ114" i="7"/>
  <c r="BK114" i="7"/>
  <c r="BB115" i="7"/>
  <c r="BC115" i="7"/>
  <c r="BD115" i="7"/>
  <c r="BE115" i="7"/>
  <c r="BF115" i="7"/>
  <c r="BG115" i="7"/>
  <c r="BH115" i="7"/>
  <c r="BI115" i="7"/>
  <c r="BJ115" i="7"/>
  <c r="BK115" i="7"/>
  <c r="BB116" i="7"/>
  <c r="BC116" i="7"/>
  <c r="BD116" i="7"/>
  <c r="BE116" i="7"/>
  <c r="BF116" i="7"/>
  <c r="BG116" i="7"/>
  <c r="BH116" i="7"/>
  <c r="BI116" i="7"/>
  <c r="BJ116" i="7"/>
  <c r="BK116" i="7"/>
  <c r="BB117" i="7"/>
  <c r="BC117" i="7"/>
  <c r="BD117" i="7"/>
  <c r="BE117" i="7"/>
  <c r="BF117" i="7"/>
  <c r="BG117" i="7"/>
  <c r="BH117" i="7"/>
  <c r="BI117" i="7"/>
  <c r="BJ117" i="7"/>
  <c r="BK117" i="7"/>
  <c r="BB118" i="7"/>
  <c r="BC118" i="7"/>
  <c r="BD118" i="7"/>
  <c r="BE118" i="7"/>
  <c r="BF118" i="7"/>
  <c r="BG118" i="7"/>
  <c r="BH118" i="7"/>
  <c r="BI118" i="7"/>
  <c r="BJ118" i="7"/>
  <c r="BK118" i="7"/>
  <c r="BB119" i="7"/>
  <c r="BC119" i="7"/>
  <c r="BD119" i="7"/>
  <c r="BE119" i="7"/>
  <c r="BF119" i="7"/>
  <c r="BG119" i="7"/>
  <c r="BH119" i="7"/>
  <c r="BI119" i="7"/>
  <c r="BJ119" i="7"/>
  <c r="BK119" i="7"/>
  <c r="BB120" i="7"/>
  <c r="BC120" i="7"/>
  <c r="BD120" i="7"/>
  <c r="BE120" i="7"/>
  <c r="BF120" i="7"/>
  <c r="BG120" i="7"/>
  <c r="BH120" i="7"/>
  <c r="BI120" i="7"/>
  <c r="BJ120" i="7"/>
  <c r="BK120" i="7"/>
  <c r="BB121" i="7"/>
  <c r="BC121" i="7"/>
  <c r="BD121" i="7"/>
  <c r="BE121" i="7"/>
  <c r="BF121" i="7"/>
  <c r="BG121" i="7"/>
  <c r="BH121" i="7"/>
  <c r="BI121" i="7"/>
  <c r="BJ121" i="7"/>
  <c r="BK121" i="7"/>
  <c r="BB122" i="7"/>
  <c r="BC122" i="7"/>
  <c r="BD122" i="7"/>
  <c r="BE122" i="7"/>
  <c r="BF122" i="7"/>
  <c r="BG122" i="7"/>
  <c r="BH122" i="7"/>
  <c r="BI122" i="7"/>
  <c r="BJ122" i="7"/>
  <c r="BK122" i="7"/>
  <c r="BB123" i="7"/>
  <c r="BC123" i="7"/>
  <c r="BD123" i="7"/>
  <c r="BE123" i="7"/>
  <c r="BF123" i="7"/>
  <c r="BG123" i="7"/>
  <c r="BH123" i="7"/>
  <c r="BI123" i="7"/>
  <c r="BJ123" i="7"/>
  <c r="BK123" i="7"/>
  <c r="BB124" i="7"/>
  <c r="BC124" i="7"/>
  <c r="BD124" i="7"/>
  <c r="BE124" i="7"/>
  <c r="BF124" i="7"/>
  <c r="BG124" i="7"/>
  <c r="BH124" i="7"/>
  <c r="BI124" i="7"/>
  <c r="BJ124" i="7"/>
  <c r="BK124" i="7"/>
  <c r="BB125" i="7"/>
  <c r="BC125" i="7"/>
  <c r="BD125" i="7"/>
  <c r="BE125" i="7"/>
  <c r="BF125" i="7"/>
  <c r="BG125" i="7"/>
  <c r="BH125" i="7"/>
  <c r="BI125" i="7"/>
  <c r="BJ125" i="7"/>
  <c r="BK125" i="7"/>
  <c r="BB126" i="7"/>
  <c r="BC126" i="7"/>
  <c r="BD126" i="7"/>
  <c r="BE126" i="7"/>
  <c r="BF126" i="7"/>
  <c r="BG126" i="7"/>
  <c r="BH126" i="7"/>
  <c r="BI126" i="7"/>
  <c r="BJ126" i="7"/>
  <c r="BK126" i="7"/>
  <c r="BB127" i="7"/>
  <c r="BC127" i="7"/>
  <c r="BD127" i="7"/>
  <c r="BE127" i="7"/>
  <c r="BF127" i="7"/>
  <c r="BG127" i="7"/>
  <c r="BH127" i="7"/>
  <c r="BI127" i="7"/>
  <c r="BJ127" i="7"/>
  <c r="BK127" i="7"/>
  <c r="BB128" i="7"/>
  <c r="BC128" i="7"/>
  <c r="BD128" i="7"/>
  <c r="BE128" i="7"/>
  <c r="BF128" i="7"/>
  <c r="BG128" i="7"/>
  <c r="BH128" i="7"/>
  <c r="BI128" i="7"/>
  <c r="BJ128" i="7"/>
  <c r="BK128" i="7"/>
  <c r="BB129" i="7"/>
  <c r="BC129" i="7"/>
  <c r="BD129" i="7"/>
  <c r="BE129" i="7"/>
  <c r="BF129" i="7"/>
  <c r="BG129" i="7"/>
  <c r="BH129" i="7"/>
  <c r="BI129" i="7"/>
  <c r="BJ129" i="7"/>
  <c r="BK129" i="7"/>
  <c r="BB130" i="7"/>
  <c r="BC130" i="7"/>
  <c r="BD130" i="7"/>
  <c r="BE130" i="7"/>
  <c r="BF130" i="7"/>
  <c r="BG130" i="7"/>
  <c r="BH130" i="7"/>
  <c r="BI130" i="7"/>
  <c r="BJ130" i="7"/>
  <c r="BK130" i="7"/>
  <c r="BB131" i="7"/>
  <c r="BC131" i="7"/>
  <c r="BD131" i="7"/>
  <c r="BE131" i="7"/>
  <c r="BF131" i="7"/>
  <c r="BG131" i="7"/>
  <c r="BH131" i="7"/>
  <c r="BI131" i="7"/>
  <c r="BJ131" i="7"/>
  <c r="BK131" i="7"/>
  <c r="BB132" i="7"/>
  <c r="BC132" i="7"/>
  <c r="BD132" i="7"/>
  <c r="BE132" i="7"/>
  <c r="BF132" i="7"/>
  <c r="BG132" i="7"/>
  <c r="BH132" i="7"/>
  <c r="BI132" i="7"/>
  <c r="BJ132" i="7"/>
  <c r="BK132" i="7"/>
  <c r="BB133" i="7"/>
  <c r="BC133" i="7"/>
  <c r="BD133" i="7"/>
  <c r="BE133" i="7"/>
  <c r="BF133" i="7"/>
  <c r="BG133" i="7"/>
  <c r="BH133" i="7"/>
  <c r="BI133" i="7"/>
  <c r="BJ133" i="7"/>
  <c r="BK133" i="7"/>
  <c r="BB134" i="7"/>
  <c r="BC134" i="7"/>
  <c r="BD134" i="7"/>
  <c r="BE134" i="7"/>
  <c r="BF134" i="7"/>
  <c r="BG134" i="7"/>
  <c r="BH134" i="7"/>
  <c r="BI134" i="7"/>
  <c r="BJ134" i="7"/>
  <c r="BK134" i="7"/>
  <c r="BB135" i="7"/>
  <c r="BC135" i="7"/>
  <c r="BD135" i="7"/>
  <c r="BE135" i="7"/>
  <c r="BF135" i="7"/>
  <c r="BG135" i="7"/>
  <c r="BH135" i="7"/>
  <c r="BI135" i="7"/>
  <c r="BJ135" i="7"/>
  <c r="BK135" i="7"/>
  <c r="BB136" i="7"/>
  <c r="BC136" i="7"/>
  <c r="BD136" i="7"/>
  <c r="BE136" i="7"/>
  <c r="BF136" i="7"/>
  <c r="BG136" i="7"/>
  <c r="BH136" i="7"/>
  <c r="BI136" i="7"/>
  <c r="BJ136" i="7"/>
  <c r="BK136" i="7"/>
  <c r="BB137" i="7"/>
  <c r="BC137" i="7"/>
  <c r="BD137" i="7"/>
  <c r="BE137" i="7"/>
  <c r="BF137" i="7"/>
  <c r="BG137" i="7"/>
  <c r="BH137" i="7"/>
  <c r="BI137" i="7"/>
  <c r="BJ137" i="7"/>
  <c r="BK137" i="7"/>
  <c r="BB138" i="7"/>
  <c r="BC138" i="7"/>
  <c r="BD138" i="7"/>
  <c r="BE138" i="7"/>
  <c r="BF138" i="7"/>
  <c r="BG138" i="7"/>
  <c r="BH138" i="7"/>
  <c r="BI138" i="7"/>
  <c r="BJ138" i="7"/>
  <c r="BK138" i="7"/>
  <c r="BB139" i="7"/>
  <c r="BC139" i="7"/>
  <c r="BD139" i="7"/>
  <c r="BE139" i="7"/>
  <c r="BF139" i="7"/>
  <c r="BG139" i="7"/>
  <c r="BH139" i="7"/>
  <c r="BI139" i="7"/>
  <c r="BJ139" i="7"/>
  <c r="BK139" i="7"/>
  <c r="BB140" i="7"/>
  <c r="BC140" i="7"/>
  <c r="BD140" i="7"/>
  <c r="BE140" i="7"/>
  <c r="BF140" i="7"/>
  <c r="BG140" i="7"/>
  <c r="BH140" i="7"/>
  <c r="BI140" i="7"/>
  <c r="BJ140" i="7"/>
  <c r="BK140" i="7"/>
  <c r="BB141" i="7"/>
  <c r="BC141" i="7"/>
  <c r="BD141" i="7"/>
  <c r="BE141" i="7"/>
  <c r="BF141" i="7"/>
  <c r="BG141" i="7"/>
  <c r="BH141" i="7"/>
  <c r="BI141" i="7"/>
  <c r="BJ141" i="7"/>
  <c r="BK141" i="7"/>
  <c r="BB142" i="7"/>
  <c r="BC142" i="7"/>
  <c r="BD142" i="7"/>
  <c r="BE142" i="7"/>
  <c r="BF142" i="7"/>
  <c r="BG142" i="7"/>
  <c r="BH142" i="7"/>
  <c r="BI142" i="7"/>
  <c r="BJ142" i="7"/>
  <c r="BK142" i="7"/>
  <c r="BB143" i="7"/>
  <c r="BC143" i="7"/>
  <c r="BD143" i="7"/>
  <c r="BE143" i="7"/>
  <c r="BF143" i="7"/>
  <c r="BG143" i="7"/>
  <c r="BH143" i="7"/>
  <c r="BI143" i="7"/>
  <c r="BJ143" i="7"/>
  <c r="BK143" i="7"/>
  <c r="BB144" i="7"/>
  <c r="BC144" i="7"/>
  <c r="BD144" i="7"/>
  <c r="BE144" i="7"/>
  <c r="BF144" i="7"/>
  <c r="BG144" i="7"/>
  <c r="BH144" i="7"/>
  <c r="BI144" i="7"/>
  <c r="BJ144" i="7"/>
  <c r="BK144" i="7"/>
  <c r="BB145" i="7"/>
  <c r="BC145" i="7"/>
  <c r="BD145" i="7"/>
  <c r="BE145" i="7"/>
  <c r="BF145" i="7"/>
  <c r="BG145" i="7"/>
  <c r="BH145" i="7"/>
  <c r="BI145" i="7"/>
  <c r="BJ145" i="7"/>
  <c r="BK145" i="7"/>
  <c r="BB146" i="7"/>
  <c r="BC146" i="7"/>
  <c r="BD146" i="7"/>
  <c r="BE146" i="7"/>
  <c r="BF146" i="7"/>
  <c r="BG146" i="7"/>
  <c r="BH146" i="7"/>
  <c r="BI146" i="7"/>
  <c r="BJ146" i="7"/>
  <c r="BK146" i="7"/>
  <c r="BB147" i="7"/>
  <c r="BC147" i="7"/>
  <c r="BD147" i="7"/>
  <c r="BE147" i="7"/>
  <c r="BF147" i="7"/>
  <c r="BG147" i="7"/>
  <c r="BH147" i="7"/>
  <c r="BI147" i="7"/>
  <c r="BJ147" i="7"/>
  <c r="BK147" i="7"/>
  <c r="BB148" i="7"/>
  <c r="BC148" i="7"/>
  <c r="BD148" i="7"/>
  <c r="BE148" i="7"/>
  <c r="BF148" i="7"/>
  <c r="BG148" i="7"/>
  <c r="BH148" i="7"/>
  <c r="BI148" i="7"/>
  <c r="BJ148" i="7"/>
  <c r="BK148" i="7"/>
  <c r="BB149" i="7"/>
  <c r="BC149" i="7"/>
  <c r="BD149" i="7"/>
  <c r="BE149" i="7"/>
  <c r="BF149" i="7"/>
  <c r="BG149" i="7"/>
  <c r="BH149" i="7"/>
  <c r="BI149" i="7"/>
  <c r="BJ149" i="7"/>
  <c r="BK149" i="7"/>
  <c r="BB150" i="7"/>
  <c r="BC150" i="7"/>
  <c r="BD150" i="7"/>
  <c r="BE150" i="7"/>
  <c r="BF150" i="7"/>
  <c r="BG150" i="7"/>
  <c r="BH150" i="7"/>
  <c r="BI150" i="7"/>
  <c r="BJ150" i="7"/>
  <c r="BK150" i="7"/>
  <c r="BB151" i="7"/>
  <c r="BC151" i="7"/>
  <c r="BD151" i="7"/>
  <c r="BE151" i="7"/>
  <c r="BF151" i="7"/>
  <c r="BG151" i="7"/>
  <c r="BH151" i="7"/>
  <c r="BI151" i="7"/>
  <c r="BJ151" i="7"/>
  <c r="BK151" i="7"/>
  <c r="BB152" i="7"/>
  <c r="BC152" i="7"/>
  <c r="BD152" i="7"/>
  <c r="BE152" i="7"/>
  <c r="BF152" i="7"/>
  <c r="BG152" i="7"/>
  <c r="BH152" i="7"/>
  <c r="BI152" i="7"/>
  <c r="BJ152" i="7"/>
  <c r="BK152" i="7"/>
  <c r="BB153" i="7"/>
  <c r="BC153" i="7"/>
  <c r="BD153" i="7"/>
  <c r="BE153" i="7"/>
  <c r="BF153" i="7"/>
  <c r="BG153" i="7"/>
  <c r="BH153" i="7"/>
  <c r="BI153" i="7"/>
  <c r="BJ153" i="7"/>
  <c r="BK153" i="7"/>
  <c r="BB154" i="7"/>
  <c r="BC154" i="7"/>
  <c r="BD154" i="7"/>
  <c r="BE154" i="7"/>
  <c r="BF154" i="7"/>
  <c r="BG154" i="7"/>
  <c r="BH154" i="7"/>
  <c r="BI154" i="7"/>
  <c r="BJ154" i="7"/>
  <c r="BK154" i="7"/>
  <c r="BB155" i="7"/>
  <c r="BC155" i="7"/>
  <c r="BD155" i="7"/>
  <c r="BE155" i="7"/>
  <c r="BF155" i="7"/>
  <c r="BG155" i="7"/>
  <c r="BH155" i="7"/>
  <c r="BI155" i="7"/>
  <c r="BJ155" i="7"/>
  <c r="BK155" i="7"/>
  <c r="BB156" i="7"/>
  <c r="BC156" i="7"/>
  <c r="BD156" i="7"/>
  <c r="BE156" i="7"/>
  <c r="BF156" i="7"/>
  <c r="BG156" i="7"/>
  <c r="BH156" i="7"/>
  <c r="BI156" i="7"/>
  <c r="BJ156" i="7"/>
  <c r="BK156" i="7"/>
  <c r="BB157" i="7"/>
  <c r="BC157" i="7"/>
  <c r="BD157" i="7"/>
  <c r="BE157" i="7"/>
  <c r="BF157" i="7"/>
  <c r="BG157" i="7"/>
  <c r="BH157" i="7"/>
  <c r="BI157" i="7"/>
  <c r="BJ157" i="7"/>
  <c r="BK157" i="7"/>
  <c r="BB158" i="7"/>
  <c r="BC158" i="7"/>
  <c r="BD158" i="7"/>
  <c r="BE158" i="7"/>
  <c r="BF158" i="7"/>
  <c r="BG158" i="7"/>
  <c r="BH158" i="7"/>
  <c r="BI158" i="7"/>
  <c r="BJ158" i="7"/>
  <c r="BK158" i="7"/>
  <c r="BB159" i="7"/>
  <c r="BC159" i="7"/>
  <c r="BD159" i="7"/>
  <c r="BE159" i="7"/>
  <c r="BF159" i="7"/>
  <c r="BG159" i="7"/>
  <c r="BH159" i="7"/>
  <c r="BI159" i="7"/>
  <c r="BJ159" i="7"/>
  <c r="BK159" i="7"/>
  <c r="BB160" i="7"/>
  <c r="BC160" i="7"/>
  <c r="BD160" i="7"/>
  <c r="BE160" i="7"/>
  <c r="BF160" i="7"/>
  <c r="BG160" i="7"/>
  <c r="BH160" i="7"/>
  <c r="BI160" i="7"/>
  <c r="BJ160" i="7"/>
  <c r="BK160" i="7"/>
  <c r="BB161" i="7"/>
  <c r="BC161" i="7"/>
  <c r="BD161" i="7"/>
  <c r="BE161" i="7"/>
  <c r="BF161" i="7"/>
  <c r="BG161" i="7"/>
  <c r="BH161" i="7"/>
  <c r="BI161" i="7"/>
  <c r="BJ161" i="7"/>
  <c r="BK161" i="7"/>
  <c r="BB162" i="7"/>
  <c r="BC162" i="7"/>
  <c r="BD162" i="7"/>
  <c r="BE162" i="7"/>
  <c r="BF162" i="7"/>
  <c r="BG162" i="7"/>
  <c r="BH162" i="7"/>
  <c r="BI162" i="7"/>
  <c r="BJ162" i="7"/>
  <c r="BK162" i="7"/>
  <c r="BB163" i="7"/>
  <c r="BC163" i="7"/>
  <c r="BD163" i="7"/>
  <c r="BE163" i="7"/>
  <c r="BF163" i="7"/>
  <c r="BG163" i="7"/>
  <c r="BH163" i="7"/>
  <c r="BI163" i="7"/>
  <c r="BJ163" i="7"/>
  <c r="BK163" i="7"/>
  <c r="BB164" i="7"/>
  <c r="BC164" i="7"/>
  <c r="BD164" i="7"/>
  <c r="BE164" i="7"/>
  <c r="BF164" i="7"/>
  <c r="BG164" i="7"/>
  <c r="BH164" i="7"/>
  <c r="BI164" i="7"/>
  <c r="BJ164" i="7"/>
  <c r="BK164" i="7"/>
  <c r="BB165" i="7"/>
  <c r="BC165" i="7"/>
  <c r="BD165" i="7"/>
  <c r="BE165" i="7"/>
  <c r="BF165" i="7"/>
  <c r="BG165" i="7"/>
  <c r="BH165" i="7"/>
  <c r="BI165" i="7"/>
  <c r="BJ165" i="7"/>
  <c r="BK165" i="7"/>
  <c r="BB166" i="7"/>
  <c r="BC166" i="7"/>
  <c r="BD166" i="7"/>
  <c r="BE166" i="7"/>
  <c r="BF166" i="7"/>
  <c r="BG166" i="7"/>
  <c r="BH166" i="7"/>
  <c r="BI166" i="7"/>
  <c r="BJ166" i="7"/>
  <c r="BK166" i="7"/>
  <c r="BB167" i="7"/>
  <c r="BC167" i="7"/>
  <c r="BD167" i="7"/>
  <c r="BE167" i="7"/>
  <c r="BF167" i="7"/>
  <c r="BG167" i="7"/>
  <c r="BH167" i="7"/>
  <c r="BI167" i="7"/>
  <c r="BJ167" i="7"/>
  <c r="BK167" i="7"/>
  <c r="BB168" i="7"/>
  <c r="BC168" i="7"/>
  <c r="BD168" i="7"/>
  <c r="BE168" i="7"/>
  <c r="BF168" i="7"/>
  <c r="BG168" i="7"/>
  <c r="BH168" i="7"/>
  <c r="BI168" i="7"/>
  <c r="BJ168" i="7"/>
  <c r="BK168" i="7"/>
  <c r="BB169" i="7"/>
  <c r="BC169" i="7"/>
  <c r="BD169" i="7"/>
  <c r="BE169" i="7"/>
  <c r="BF169" i="7"/>
  <c r="BG169" i="7"/>
  <c r="BH169" i="7"/>
  <c r="BI169" i="7"/>
  <c r="BJ169" i="7"/>
  <c r="BK169" i="7"/>
  <c r="BB170" i="7"/>
  <c r="BC170" i="7"/>
  <c r="BD170" i="7"/>
  <c r="BE170" i="7"/>
  <c r="BF170" i="7"/>
  <c r="BG170" i="7"/>
  <c r="BH170" i="7"/>
  <c r="BI170" i="7"/>
  <c r="BJ170" i="7"/>
  <c r="BK170" i="7"/>
  <c r="BB171" i="7"/>
  <c r="BC171" i="7"/>
  <c r="BD171" i="7"/>
  <c r="BE171" i="7"/>
  <c r="BF171" i="7"/>
  <c r="BG171" i="7"/>
  <c r="BH171" i="7"/>
  <c r="BI171" i="7"/>
  <c r="BJ171" i="7"/>
  <c r="BK171" i="7"/>
  <c r="BB172" i="7"/>
  <c r="BC172" i="7"/>
  <c r="BD172" i="7"/>
  <c r="BE172" i="7"/>
  <c r="BF172" i="7"/>
  <c r="BG172" i="7"/>
  <c r="BH172" i="7"/>
  <c r="BI172" i="7"/>
  <c r="BJ172" i="7"/>
  <c r="BK172" i="7"/>
  <c r="BB173" i="7"/>
  <c r="BC173" i="7"/>
  <c r="BD173" i="7"/>
  <c r="BE173" i="7"/>
  <c r="BF173" i="7"/>
  <c r="BG173" i="7"/>
  <c r="BH173" i="7"/>
  <c r="BI173" i="7"/>
  <c r="BJ173" i="7"/>
  <c r="BK173" i="7"/>
  <c r="BB174" i="7"/>
  <c r="BC174" i="7"/>
  <c r="BD174" i="7"/>
  <c r="BE174" i="7"/>
  <c r="BF174" i="7"/>
  <c r="BG174" i="7"/>
  <c r="BH174" i="7"/>
  <c r="BI174" i="7"/>
  <c r="BJ174" i="7"/>
  <c r="BK174" i="7"/>
  <c r="BB175" i="7"/>
  <c r="BC175" i="7"/>
  <c r="BD175" i="7"/>
  <c r="BE175" i="7"/>
  <c r="BF175" i="7"/>
  <c r="BG175" i="7"/>
  <c r="BH175" i="7"/>
  <c r="BI175" i="7"/>
  <c r="BJ175" i="7"/>
  <c r="BK175" i="7"/>
  <c r="BB176" i="7"/>
  <c r="BC176" i="7"/>
  <c r="BD176" i="7"/>
  <c r="BE176" i="7"/>
  <c r="BF176" i="7"/>
  <c r="BG176" i="7"/>
  <c r="BH176" i="7"/>
  <c r="BI176" i="7"/>
  <c r="BJ176" i="7"/>
  <c r="BK176" i="7"/>
  <c r="BB177" i="7"/>
  <c r="BC177" i="7"/>
  <c r="BD177" i="7"/>
  <c r="BE177" i="7"/>
  <c r="BF177" i="7"/>
  <c r="BG177" i="7"/>
  <c r="BH177" i="7"/>
  <c r="BI177" i="7"/>
  <c r="BJ177" i="7"/>
  <c r="BK177" i="7"/>
  <c r="BB178" i="7"/>
  <c r="BC178" i="7"/>
  <c r="BD178" i="7"/>
  <c r="BE178" i="7"/>
  <c r="BF178" i="7"/>
  <c r="BG178" i="7"/>
  <c r="BH178" i="7"/>
  <c r="BI178" i="7"/>
  <c r="BJ178" i="7"/>
  <c r="BK178" i="7"/>
  <c r="BB179" i="7"/>
  <c r="BC179" i="7"/>
  <c r="BD179" i="7"/>
  <c r="BE179" i="7"/>
  <c r="BF179" i="7"/>
  <c r="BG179" i="7"/>
  <c r="BH179" i="7"/>
  <c r="BI179" i="7"/>
  <c r="BJ179" i="7"/>
  <c r="BK179" i="7"/>
  <c r="BB180" i="7"/>
  <c r="BC180" i="7"/>
  <c r="BD180" i="7"/>
  <c r="BE180" i="7"/>
  <c r="BF180" i="7"/>
  <c r="BG180" i="7"/>
  <c r="BH180" i="7"/>
  <c r="BI180" i="7"/>
  <c r="BJ180" i="7"/>
  <c r="BK180" i="7"/>
  <c r="BB181" i="7"/>
  <c r="BC181" i="7"/>
  <c r="BD181" i="7"/>
  <c r="BE181" i="7"/>
  <c r="BF181" i="7"/>
  <c r="BG181" i="7"/>
  <c r="BH181" i="7"/>
  <c r="BI181" i="7"/>
  <c r="BJ181" i="7"/>
  <c r="BK181" i="7"/>
  <c r="BB182" i="7"/>
  <c r="BC182" i="7"/>
  <c r="BD182" i="7"/>
  <c r="BE182" i="7"/>
  <c r="BF182" i="7"/>
  <c r="BG182" i="7"/>
  <c r="BH182" i="7"/>
  <c r="BI182" i="7"/>
  <c r="BJ182" i="7"/>
  <c r="BK182" i="7"/>
  <c r="BB183" i="7"/>
  <c r="BC183" i="7"/>
  <c r="BD183" i="7"/>
  <c r="BE183" i="7"/>
  <c r="BF183" i="7"/>
  <c r="BG183" i="7"/>
  <c r="BH183" i="7"/>
  <c r="BI183" i="7"/>
  <c r="BJ183" i="7"/>
  <c r="BK183" i="7"/>
  <c r="BB184" i="7"/>
  <c r="BC184" i="7"/>
  <c r="BD184" i="7"/>
  <c r="BE184" i="7"/>
  <c r="BF184" i="7"/>
  <c r="BG184" i="7"/>
  <c r="BH184" i="7"/>
  <c r="BI184" i="7"/>
  <c r="BJ184" i="7"/>
  <c r="BK184" i="7"/>
  <c r="BB185" i="7"/>
  <c r="BC185" i="7"/>
  <c r="BD185" i="7"/>
  <c r="BE185" i="7"/>
  <c r="BF185" i="7"/>
  <c r="BG185" i="7"/>
  <c r="BH185" i="7"/>
  <c r="BI185" i="7"/>
  <c r="BJ185" i="7"/>
  <c r="BK185" i="7"/>
  <c r="BB186" i="7"/>
  <c r="BC186" i="7"/>
  <c r="BD186" i="7"/>
  <c r="BE186" i="7"/>
  <c r="BF186" i="7"/>
  <c r="BG186" i="7"/>
  <c r="BH186" i="7"/>
  <c r="BI186" i="7"/>
  <c r="BJ186" i="7"/>
  <c r="BK186" i="7"/>
  <c r="BB187" i="7"/>
  <c r="BC187" i="7"/>
  <c r="BD187" i="7"/>
  <c r="BE187" i="7"/>
  <c r="BF187" i="7"/>
  <c r="BG187" i="7"/>
  <c r="BH187" i="7"/>
  <c r="BI187" i="7"/>
  <c r="BJ187" i="7"/>
  <c r="BK187" i="7"/>
  <c r="BB188" i="7"/>
  <c r="BC188" i="7"/>
  <c r="BD188" i="7"/>
  <c r="BE188" i="7"/>
  <c r="BF188" i="7"/>
  <c r="BG188" i="7"/>
  <c r="BH188" i="7"/>
  <c r="BI188" i="7"/>
  <c r="BJ188" i="7"/>
  <c r="BK188" i="7"/>
  <c r="BB189" i="7"/>
  <c r="BC189" i="7"/>
  <c r="BD189" i="7"/>
  <c r="BE189" i="7"/>
  <c r="BF189" i="7"/>
  <c r="BG189" i="7"/>
  <c r="BH189" i="7"/>
  <c r="BI189" i="7"/>
  <c r="BJ189" i="7"/>
  <c r="BK189" i="7"/>
  <c r="BB190" i="7"/>
  <c r="BC190" i="7"/>
  <c r="BD190" i="7"/>
  <c r="BE190" i="7"/>
  <c r="BF190" i="7"/>
  <c r="BG190" i="7"/>
  <c r="BH190" i="7"/>
  <c r="BI190" i="7"/>
  <c r="BJ190" i="7"/>
  <c r="BK190" i="7"/>
  <c r="BB191" i="7"/>
  <c r="BC191" i="7"/>
  <c r="BD191" i="7"/>
  <c r="BE191" i="7"/>
  <c r="BF191" i="7"/>
  <c r="BG191" i="7"/>
  <c r="BH191" i="7"/>
  <c r="BI191" i="7"/>
  <c r="BJ191" i="7"/>
  <c r="BK191" i="7"/>
  <c r="BB192" i="7"/>
  <c r="BC192" i="7"/>
  <c r="BD192" i="7"/>
  <c r="BE192" i="7"/>
  <c r="BF192" i="7"/>
  <c r="BG192" i="7"/>
  <c r="BH192" i="7"/>
  <c r="BI192" i="7"/>
  <c r="BJ192" i="7"/>
  <c r="BK192" i="7"/>
  <c r="BB193" i="7"/>
  <c r="BC193" i="7"/>
  <c r="BD193" i="7"/>
  <c r="BE193" i="7"/>
  <c r="BF193" i="7"/>
  <c r="BG193" i="7"/>
  <c r="BH193" i="7"/>
  <c r="BI193" i="7"/>
  <c r="BJ193" i="7"/>
  <c r="BK193" i="7"/>
  <c r="BB194" i="7"/>
  <c r="BC194" i="7"/>
  <c r="BD194" i="7"/>
  <c r="BE194" i="7"/>
  <c r="BF194" i="7"/>
  <c r="BG194" i="7"/>
  <c r="BH194" i="7"/>
  <c r="BI194" i="7"/>
  <c r="BJ194" i="7"/>
  <c r="BK194" i="7"/>
  <c r="BB195" i="7"/>
  <c r="BC195" i="7"/>
  <c r="BD195" i="7"/>
  <c r="BE195" i="7"/>
  <c r="BF195" i="7"/>
  <c r="BG195" i="7"/>
  <c r="BH195" i="7"/>
  <c r="BI195" i="7"/>
  <c r="BJ195" i="7"/>
  <c r="BK195" i="7"/>
  <c r="BB196" i="7"/>
  <c r="BC196" i="7"/>
  <c r="BD196" i="7"/>
  <c r="BE196" i="7"/>
  <c r="BF196" i="7"/>
  <c r="BG196" i="7"/>
  <c r="BH196" i="7"/>
  <c r="BI196" i="7"/>
  <c r="BJ196" i="7"/>
  <c r="BK196" i="7"/>
  <c r="BB197" i="7"/>
  <c r="BC197" i="7"/>
  <c r="BD197" i="7"/>
  <c r="BE197" i="7"/>
  <c r="BF197" i="7"/>
  <c r="BG197" i="7"/>
  <c r="BH197" i="7"/>
  <c r="BI197" i="7"/>
  <c r="BJ197" i="7"/>
  <c r="BK197" i="7"/>
  <c r="BB198" i="7"/>
  <c r="BC198" i="7"/>
  <c r="BD198" i="7"/>
  <c r="BE198" i="7"/>
  <c r="BF198" i="7"/>
  <c r="BG198" i="7"/>
  <c r="BH198" i="7"/>
  <c r="BI198" i="7"/>
  <c r="BJ198" i="7"/>
  <c r="BK198" i="7"/>
  <c r="BB199" i="7"/>
  <c r="BC199" i="7"/>
  <c r="BD199" i="7"/>
  <c r="BE199" i="7"/>
  <c r="BF199" i="7"/>
  <c r="BG199" i="7"/>
  <c r="BH199" i="7"/>
  <c r="BI199" i="7"/>
  <c r="BJ199" i="7"/>
  <c r="BK199" i="7"/>
  <c r="BB200" i="7"/>
  <c r="BC200" i="7"/>
  <c r="BD200" i="7"/>
  <c r="BE200" i="7"/>
  <c r="BF200" i="7"/>
  <c r="BG200" i="7"/>
  <c r="BH200" i="7"/>
  <c r="BI200" i="7"/>
  <c r="BJ200" i="7"/>
  <c r="BK200" i="7"/>
  <c r="BB201" i="7"/>
  <c r="BC201" i="7"/>
  <c r="BD201" i="7"/>
  <c r="BE201" i="7"/>
  <c r="BF201" i="7"/>
  <c r="BG201" i="7"/>
  <c r="BH201" i="7"/>
  <c r="BI201" i="7"/>
  <c r="BJ201" i="7"/>
  <c r="BK201" i="7"/>
  <c r="BB202" i="7"/>
  <c r="BC202" i="7"/>
  <c r="BD202" i="7"/>
  <c r="BE202" i="7"/>
  <c r="BF202" i="7"/>
  <c r="BG202" i="7"/>
  <c r="BH202" i="7"/>
  <c r="BI202" i="7"/>
  <c r="BJ202" i="7"/>
  <c r="BK202" i="7"/>
  <c r="BB203" i="7"/>
  <c r="BC203" i="7"/>
  <c r="BD203" i="7"/>
  <c r="BE203" i="7"/>
  <c r="BF203" i="7"/>
  <c r="BG203" i="7"/>
  <c r="BH203" i="7"/>
  <c r="BI203" i="7"/>
  <c r="BJ203" i="7"/>
  <c r="BK203" i="7"/>
  <c r="BB204" i="7"/>
  <c r="BC204" i="7"/>
  <c r="BD204" i="7"/>
  <c r="BE204" i="7"/>
  <c r="BF204" i="7"/>
  <c r="BG204" i="7"/>
  <c r="BH204" i="7"/>
  <c r="BI204" i="7"/>
  <c r="BJ204" i="7"/>
  <c r="BK204" i="7"/>
  <c r="BB205" i="7"/>
  <c r="BC205" i="7"/>
  <c r="BD205" i="7"/>
  <c r="BE205" i="7"/>
  <c r="BF205" i="7"/>
  <c r="BG205" i="7"/>
  <c r="BH205" i="7"/>
  <c r="BI205" i="7"/>
  <c r="BJ205" i="7"/>
  <c r="BK205" i="7"/>
  <c r="BB206" i="7"/>
  <c r="BC206" i="7"/>
  <c r="BD206" i="7"/>
  <c r="BE206" i="7"/>
  <c r="BF206" i="7"/>
  <c r="BG206" i="7"/>
  <c r="BH206" i="7"/>
  <c r="BI206" i="7"/>
  <c r="BJ206" i="7"/>
  <c r="BK206" i="7"/>
  <c r="BB207" i="7"/>
  <c r="BC207" i="7"/>
  <c r="BD207" i="7"/>
  <c r="BE207" i="7"/>
  <c r="BF207" i="7"/>
  <c r="BG207" i="7"/>
  <c r="BH207" i="7"/>
  <c r="BI207" i="7"/>
  <c r="BJ207" i="7"/>
  <c r="BK207" i="7"/>
  <c r="BB208" i="7"/>
  <c r="BC208" i="7"/>
  <c r="BD208" i="7"/>
  <c r="BE208" i="7"/>
  <c r="BF208" i="7"/>
  <c r="BG208" i="7"/>
  <c r="BH208" i="7"/>
  <c r="BI208" i="7"/>
  <c r="BJ208" i="7"/>
  <c r="BK208" i="7"/>
  <c r="BB209" i="7"/>
  <c r="BC209" i="7"/>
  <c r="BD209" i="7"/>
  <c r="BE209" i="7"/>
  <c r="BF209" i="7"/>
  <c r="BG209" i="7"/>
  <c r="BH209" i="7"/>
  <c r="BI209" i="7"/>
  <c r="BJ209" i="7"/>
  <c r="BK209" i="7"/>
  <c r="BB210" i="7"/>
  <c r="BC210" i="7"/>
  <c r="BD210" i="7"/>
  <c r="BE210" i="7"/>
  <c r="BF210" i="7"/>
  <c r="BG210" i="7"/>
  <c r="BH210" i="7"/>
  <c r="BI210" i="7"/>
  <c r="BJ210" i="7"/>
  <c r="BK210" i="7"/>
  <c r="BB211" i="7"/>
  <c r="BC211" i="7"/>
  <c r="BD211" i="7"/>
  <c r="BE211" i="7"/>
  <c r="BF211" i="7"/>
  <c r="BG211" i="7"/>
  <c r="BH211" i="7"/>
  <c r="BI211" i="7"/>
  <c r="BJ211" i="7"/>
  <c r="BK211" i="7"/>
  <c r="BB212" i="7"/>
  <c r="BC212" i="7"/>
  <c r="BD212" i="7"/>
  <c r="BE212" i="7"/>
  <c r="BF212" i="7"/>
  <c r="BG212" i="7"/>
  <c r="BH212" i="7"/>
  <c r="BI212" i="7"/>
  <c r="BJ212" i="7"/>
  <c r="BK212" i="7"/>
  <c r="BB213" i="7"/>
  <c r="BC213" i="7"/>
  <c r="BD213" i="7"/>
  <c r="BE213" i="7"/>
  <c r="BF213" i="7"/>
  <c r="BG213" i="7"/>
  <c r="BH213" i="7"/>
  <c r="BI213" i="7"/>
  <c r="BJ213" i="7"/>
  <c r="BK213" i="7"/>
  <c r="BB214" i="7"/>
  <c r="BC214" i="7"/>
  <c r="BD214" i="7"/>
  <c r="BE214" i="7"/>
  <c r="BF214" i="7"/>
  <c r="BG214" i="7"/>
  <c r="BH214" i="7"/>
  <c r="BI214" i="7"/>
  <c r="BJ214" i="7"/>
  <c r="BK214" i="7"/>
  <c r="BB215" i="7"/>
  <c r="BC215" i="7"/>
  <c r="BD215" i="7"/>
  <c r="BE215" i="7"/>
  <c r="BF215" i="7"/>
  <c r="BG215" i="7"/>
  <c r="BH215" i="7"/>
  <c r="BI215" i="7"/>
  <c r="BJ215" i="7"/>
  <c r="BK215" i="7"/>
  <c r="BB216" i="7"/>
  <c r="BC216" i="7"/>
  <c r="BD216" i="7"/>
  <c r="BE216" i="7"/>
  <c r="BF216" i="7"/>
  <c r="BG216" i="7"/>
  <c r="BH216" i="7"/>
  <c r="BI216" i="7"/>
  <c r="BJ216" i="7"/>
  <c r="BK216" i="7"/>
  <c r="BB217" i="7"/>
  <c r="BC217" i="7"/>
  <c r="BD217" i="7"/>
  <c r="BE217" i="7"/>
  <c r="BF217" i="7"/>
  <c r="BG217" i="7"/>
  <c r="BH217" i="7"/>
  <c r="BI217" i="7"/>
  <c r="BJ217" i="7"/>
  <c r="BK217" i="7"/>
  <c r="BB218" i="7"/>
  <c r="BC218" i="7"/>
  <c r="BD218" i="7"/>
  <c r="BE218" i="7"/>
  <c r="BF218" i="7"/>
  <c r="BG218" i="7"/>
  <c r="BH218" i="7"/>
  <c r="BI218" i="7"/>
  <c r="BJ218" i="7"/>
  <c r="BK218" i="7"/>
  <c r="BB219" i="7"/>
  <c r="BC219" i="7"/>
  <c r="BD219" i="7"/>
  <c r="BE219" i="7"/>
  <c r="BF219" i="7"/>
  <c r="BG219" i="7"/>
  <c r="BH219" i="7"/>
  <c r="BI219" i="7"/>
  <c r="BJ219" i="7"/>
  <c r="BK219" i="7"/>
  <c r="BB220" i="7"/>
  <c r="BC220" i="7"/>
  <c r="BD220" i="7"/>
  <c r="BE220" i="7"/>
  <c r="BF220" i="7"/>
  <c r="BG220" i="7"/>
  <c r="BH220" i="7"/>
  <c r="BI220" i="7"/>
  <c r="BJ220" i="7"/>
  <c r="BK220" i="7"/>
  <c r="BB221" i="7"/>
  <c r="BC221" i="7"/>
  <c r="BD221" i="7"/>
  <c r="BE221" i="7"/>
  <c r="BF221" i="7"/>
  <c r="BG221" i="7"/>
  <c r="BH221" i="7"/>
  <c r="BI221" i="7"/>
  <c r="BJ221" i="7"/>
  <c r="BK221" i="7"/>
  <c r="BB222" i="7"/>
  <c r="BC222" i="7"/>
  <c r="BD222" i="7"/>
  <c r="BE222" i="7"/>
  <c r="BF222" i="7"/>
  <c r="BG222" i="7"/>
  <c r="BH222" i="7"/>
  <c r="BI222" i="7"/>
  <c r="BJ222" i="7"/>
  <c r="BK222" i="7"/>
  <c r="BB223" i="7"/>
  <c r="BC223" i="7"/>
  <c r="BD223" i="7"/>
  <c r="BE223" i="7"/>
  <c r="BF223" i="7"/>
  <c r="BG223" i="7"/>
  <c r="BH223" i="7"/>
  <c r="BI223" i="7"/>
  <c r="BJ223" i="7"/>
  <c r="BK223" i="7"/>
  <c r="BB224" i="7"/>
  <c r="BC224" i="7"/>
  <c r="BD224" i="7"/>
  <c r="BE224" i="7"/>
  <c r="BF224" i="7"/>
  <c r="BG224" i="7"/>
  <c r="BH224" i="7"/>
  <c r="BI224" i="7"/>
  <c r="BJ224" i="7"/>
  <c r="BK224" i="7"/>
  <c r="BB225" i="7"/>
  <c r="BC225" i="7"/>
  <c r="BD225" i="7"/>
  <c r="BE225" i="7"/>
  <c r="BF225" i="7"/>
  <c r="BG225" i="7"/>
  <c r="BH225" i="7"/>
  <c r="BI225" i="7"/>
  <c r="BJ225" i="7"/>
  <c r="BK225" i="7"/>
  <c r="BB226" i="7"/>
  <c r="BC226" i="7"/>
  <c r="BD226" i="7"/>
  <c r="BE226" i="7"/>
  <c r="BF226" i="7"/>
  <c r="BG226" i="7"/>
  <c r="BH226" i="7"/>
  <c r="BI226" i="7"/>
  <c r="BJ226" i="7"/>
  <c r="BK226" i="7"/>
  <c r="BB227" i="7"/>
  <c r="BC227" i="7"/>
  <c r="BD227" i="7"/>
  <c r="BE227" i="7"/>
  <c r="BF227" i="7"/>
  <c r="BG227" i="7"/>
  <c r="BH227" i="7"/>
  <c r="BI227" i="7"/>
  <c r="BJ227" i="7"/>
  <c r="BK227" i="7"/>
  <c r="BB228" i="7"/>
  <c r="BC228" i="7"/>
  <c r="BD228" i="7"/>
  <c r="BE228" i="7"/>
  <c r="BF228" i="7"/>
  <c r="BG228" i="7"/>
  <c r="BH228" i="7"/>
  <c r="BI228" i="7"/>
  <c r="BJ228" i="7"/>
  <c r="BK228" i="7"/>
  <c r="BB229" i="7"/>
  <c r="BC229" i="7"/>
  <c r="BD229" i="7"/>
  <c r="BE229" i="7"/>
  <c r="BF229" i="7"/>
  <c r="BG229" i="7"/>
  <c r="BH229" i="7"/>
  <c r="BI229" i="7"/>
  <c r="BJ229" i="7"/>
  <c r="BK229" i="7"/>
  <c r="BB230" i="7"/>
  <c r="BC230" i="7"/>
  <c r="BD230" i="7"/>
  <c r="BE230" i="7"/>
  <c r="BF230" i="7"/>
  <c r="BG230" i="7"/>
  <c r="BH230" i="7"/>
  <c r="BI230" i="7"/>
  <c r="BJ230" i="7"/>
  <c r="BK230" i="7"/>
  <c r="BB231" i="7"/>
  <c r="BC231" i="7"/>
  <c r="BD231" i="7"/>
  <c r="BE231" i="7"/>
  <c r="BF231" i="7"/>
  <c r="BG231" i="7"/>
  <c r="BH231" i="7"/>
  <c r="BI231" i="7"/>
  <c r="BJ231" i="7"/>
  <c r="BK231" i="7"/>
  <c r="BB232" i="7"/>
  <c r="BC232" i="7"/>
  <c r="BD232" i="7"/>
  <c r="BE232" i="7"/>
  <c r="BF232" i="7"/>
  <c r="BG232" i="7"/>
  <c r="BH232" i="7"/>
  <c r="BI232" i="7"/>
  <c r="BJ232" i="7"/>
  <c r="BK232" i="7"/>
  <c r="BB233" i="7"/>
  <c r="BC233" i="7"/>
  <c r="BD233" i="7"/>
  <c r="BE233" i="7"/>
  <c r="BF233" i="7"/>
  <c r="BG233" i="7"/>
  <c r="BH233" i="7"/>
  <c r="BI233" i="7"/>
  <c r="BJ233" i="7"/>
  <c r="BK233" i="7"/>
  <c r="BB234" i="7"/>
  <c r="BC234" i="7"/>
  <c r="BD234" i="7"/>
  <c r="BE234" i="7"/>
  <c r="BF234" i="7"/>
  <c r="BG234" i="7"/>
  <c r="BH234" i="7"/>
  <c r="BI234" i="7"/>
  <c r="BJ234" i="7"/>
  <c r="BK234" i="7"/>
  <c r="BB235" i="7"/>
  <c r="BC235" i="7"/>
  <c r="BD235" i="7"/>
  <c r="BE235" i="7"/>
  <c r="BF235" i="7"/>
  <c r="BG235" i="7"/>
  <c r="BH235" i="7"/>
  <c r="BI235" i="7"/>
  <c r="BJ235" i="7"/>
  <c r="BK235" i="7"/>
  <c r="BB236" i="7"/>
  <c r="BC236" i="7"/>
  <c r="BD236" i="7"/>
  <c r="BE236" i="7"/>
  <c r="BF236" i="7"/>
  <c r="BG236" i="7"/>
  <c r="BH236" i="7"/>
  <c r="BI236" i="7"/>
  <c r="BJ236" i="7"/>
  <c r="BK236" i="7"/>
  <c r="BB237" i="7"/>
  <c r="BC237" i="7"/>
  <c r="BD237" i="7"/>
  <c r="BE237" i="7"/>
  <c r="BF237" i="7"/>
  <c r="BG237" i="7"/>
  <c r="BH237" i="7"/>
  <c r="BI237" i="7"/>
  <c r="BJ237" i="7"/>
  <c r="BK237" i="7"/>
  <c r="BB238" i="7"/>
  <c r="BC238" i="7"/>
  <c r="BD238" i="7"/>
  <c r="BE238" i="7"/>
  <c r="BF238" i="7"/>
  <c r="BG238" i="7"/>
  <c r="BH238" i="7"/>
  <c r="BI238" i="7"/>
  <c r="BJ238" i="7"/>
  <c r="BK238" i="7"/>
  <c r="BB239" i="7"/>
  <c r="BC239" i="7"/>
  <c r="BD239" i="7"/>
  <c r="BE239" i="7"/>
  <c r="BF239" i="7"/>
  <c r="BG239" i="7"/>
  <c r="BH239" i="7"/>
  <c r="BI239" i="7"/>
  <c r="BJ239" i="7"/>
  <c r="BK239" i="7"/>
  <c r="BB240" i="7"/>
  <c r="BC240" i="7"/>
  <c r="BD240" i="7"/>
  <c r="BE240" i="7"/>
  <c r="BF240" i="7"/>
  <c r="BG240" i="7"/>
  <c r="BH240" i="7"/>
  <c r="BI240" i="7"/>
  <c r="BJ240" i="7"/>
  <c r="BK240" i="7"/>
  <c r="BB241" i="7"/>
  <c r="BC241" i="7"/>
  <c r="BD241" i="7"/>
  <c r="BE241" i="7"/>
  <c r="BF241" i="7"/>
  <c r="BG241" i="7"/>
  <c r="BH241" i="7"/>
  <c r="BI241" i="7"/>
  <c r="BJ241" i="7"/>
  <c r="BK241" i="7"/>
  <c r="BB242" i="7"/>
  <c r="BC242" i="7"/>
  <c r="BD242" i="7"/>
  <c r="BE242" i="7"/>
  <c r="BF242" i="7"/>
  <c r="BG242" i="7"/>
  <c r="BH242" i="7"/>
  <c r="BI242" i="7"/>
  <c r="BJ242" i="7"/>
  <c r="BK242" i="7"/>
  <c r="BB243" i="7"/>
  <c r="BC243" i="7"/>
  <c r="BD243" i="7"/>
  <c r="BE243" i="7"/>
  <c r="BF243" i="7"/>
  <c r="BG243" i="7"/>
  <c r="BH243" i="7"/>
  <c r="BI243" i="7"/>
  <c r="BJ243" i="7"/>
  <c r="BK243" i="7"/>
  <c r="BB244" i="7"/>
  <c r="BC244" i="7"/>
  <c r="BD244" i="7"/>
  <c r="BE244" i="7"/>
  <c r="BF244" i="7"/>
  <c r="BG244" i="7"/>
  <c r="BH244" i="7"/>
  <c r="BI244" i="7"/>
  <c r="BJ244" i="7"/>
  <c r="BK244" i="7"/>
  <c r="BB245" i="7"/>
  <c r="BC245" i="7"/>
  <c r="BD245" i="7"/>
  <c r="BE245" i="7"/>
  <c r="BF245" i="7"/>
  <c r="BG245" i="7"/>
  <c r="BH245" i="7"/>
  <c r="BI245" i="7"/>
  <c r="BJ245" i="7"/>
  <c r="BK245" i="7"/>
  <c r="BB246" i="7"/>
  <c r="BC246" i="7"/>
  <c r="BD246" i="7"/>
  <c r="BE246" i="7"/>
  <c r="BF246" i="7"/>
  <c r="BG246" i="7"/>
  <c r="BH246" i="7"/>
  <c r="BI246" i="7"/>
  <c r="BJ246" i="7"/>
  <c r="BK246" i="7"/>
  <c r="BB247" i="7"/>
  <c r="BC247" i="7"/>
  <c r="BD247" i="7"/>
  <c r="BE247" i="7"/>
  <c r="BF247" i="7"/>
  <c r="BG247" i="7"/>
  <c r="BH247" i="7"/>
  <c r="BI247" i="7"/>
  <c r="BJ247" i="7"/>
  <c r="BK247" i="7"/>
  <c r="BB248" i="7"/>
  <c r="BC248" i="7"/>
  <c r="BD248" i="7"/>
  <c r="BE248" i="7"/>
  <c r="BF248" i="7"/>
  <c r="BG248" i="7"/>
  <c r="BH248" i="7"/>
  <c r="BI248" i="7"/>
  <c r="BJ248" i="7"/>
  <c r="BK248" i="7"/>
  <c r="BB249" i="7"/>
  <c r="BC249" i="7"/>
  <c r="BD249" i="7"/>
  <c r="BE249" i="7"/>
  <c r="BF249" i="7"/>
  <c r="BG249" i="7"/>
  <c r="BH249" i="7"/>
  <c r="BI249" i="7"/>
  <c r="BJ249" i="7"/>
  <c r="BK249" i="7"/>
  <c r="BB250" i="7"/>
  <c r="BC250" i="7"/>
  <c r="BD250" i="7"/>
  <c r="BE250" i="7"/>
  <c r="BF250" i="7"/>
  <c r="BG250" i="7"/>
  <c r="BH250" i="7"/>
  <c r="BI250" i="7"/>
  <c r="BJ250" i="7"/>
  <c r="BK250" i="7"/>
  <c r="BB251" i="7"/>
  <c r="BC251" i="7"/>
  <c r="BD251" i="7"/>
  <c r="BE251" i="7"/>
  <c r="BF251" i="7"/>
  <c r="BG251" i="7"/>
  <c r="BH251" i="7"/>
  <c r="BI251" i="7"/>
  <c r="BJ251" i="7"/>
  <c r="BK251" i="7"/>
  <c r="BB252" i="7"/>
  <c r="BC252" i="7"/>
  <c r="BD252" i="7"/>
  <c r="BE252" i="7"/>
  <c r="BF252" i="7"/>
  <c r="BG252" i="7"/>
  <c r="BH252" i="7"/>
  <c r="BI252" i="7"/>
  <c r="BJ252" i="7"/>
  <c r="BK252" i="7"/>
  <c r="BB253" i="7"/>
  <c r="BC253" i="7"/>
  <c r="BD253" i="7"/>
  <c r="BE253" i="7"/>
  <c r="BF253" i="7"/>
  <c r="BG253" i="7"/>
  <c r="BH253" i="7"/>
  <c r="BI253" i="7"/>
  <c r="BJ253" i="7"/>
  <c r="BK253" i="7"/>
  <c r="BB254" i="7"/>
  <c r="BC254" i="7"/>
  <c r="BD254" i="7"/>
  <c r="BE254" i="7"/>
  <c r="BF254" i="7"/>
  <c r="BG254" i="7"/>
  <c r="BH254" i="7"/>
  <c r="BI254" i="7"/>
  <c r="BJ254" i="7"/>
  <c r="BK254" i="7"/>
  <c r="BB255" i="7"/>
  <c r="BC255" i="7"/>
  <c r="BD255" i="7"/>
  <c r="BE255" i="7"/>
  <c r="BF255" i="7"/>
  <c r="BG255" i="7"/>
  <c r="BH255" i="7"/>
  <c r="BI255" i="7"/>
  <c r="BJ255" i="7"/>
  <c r="BK255" i="7"/>
  <c r="BB256" i="7"/>
  <c r="BC256" i="7"/>
  <c r="BD256" i="7"/>
  <c r="BE256" i="7"/>
  <c r="BF256" i="7"/>
  <c r="BG256" i="7"/>
  <c r="BH256" i="7"/>
  <c r="BI256" i="7"/>
  <c r="BJ256" i="7"/>
  <c r="BK256" i="7"/>
  <c r="BB257" i="7"/>
  <c r="BC257" i="7"/>
  <c r="BD257" i="7"/>
  <c r="BE257" i="7"/>
  <c r="BF257" i="7"/>
  <c r="BG257" i="7"/>
  <c r="BH257" i="7"/>
  <c r="BI257" i="7"/>
  <c r="BJ257" i="7"/>
  <c r="BK257" i="7"/>
  <c r="BB258" i="7"/>
  <c r="BC258" i="7"/>
  <c r="BD258" i="7"/>
  <c r="BE258" i="7"/>
  <c r="BF258" i="7"/>
  <c r="BG258" i="7"/>
  <c r="BH258" i="7"/>
  <c r="BI258" i="7"/>
  <c r="BJ258" i="7"/>
  <c r="BK258" i="7"/>
  <c r="BB259" i="7"/>
  <c r="BC259" i="7"/>
  <c r="BD259" i="7"/>
  <c r="BE259" i="7"/>
  <c r="BF259" i="7"/>
  <c r="BG259" i="7"/>
  <c r="BH259" i="7"/>
  <c r="BI259" i="7"/>
  <c r="BJ259" i="7"/>
  <c r="BK259" i="7"/>
  <c r="BB260" i="7"/>
  <c r="BC260" i="7"/>
  <c r="BD260" i="7"/>
  <c r="BE260" i="7"/>
  <c r="BF260" i="7"/>
  <c r="BG260" i="7"/>
  <c r="BH260" i="7"/>
  <c r="BI260" i="7"/>
  <c r="BJ260" i="7"/>
  <c r="BK260" i="7"/>
  <c r="BB261" i="7"/>
  <c r="BC261" i="7"/>
  <c r="BD261" i="7"/>
  <c r="BE261" i="7"/>
  <c r="BF261" i="7"/>
  <c r="BG261" i="7"/>
  <c r="BH261" i="7"/>
  <c r="BI261" i="7"/>
  <c r="BJ261" i="7"/>
  <c r="BK261" i="7"/>
  <c r="BB262" i="7"/>
  <c r="BC262" i="7"/>
  <c r="BD262" i="7"/>
  <c r="BE262" i="7"/>
  <c r="BF262" i="7"/>
  <c r="BG262" i="7"/>
  <c r="BH262" i="7"/>
  <c r="BI262" i="7"/>
  <c r="BJ262" i="7"/>
  <c r="BK262" i="7"/>
  <c r="BB263" i="7"/>
  <c r="BC263" i="7"/>
  <c r="BD263" i="7"/>
  <c r="BE263" i="7"/>
  <c r="BF263" i="7"/>
  <c r="BG263" i="7"/>
  <c r="BH263" i="7"/>
  <c r="BI263" i="7"/>
  <c r="BJ263" i="7"/>
  <c r="BK263" i="7"/>
  <c r="BB264" i="7"/>
  <c r="BC264" i="7"/>
  <c r="BD264" i="7"/>
  <c r="BE264" i="7"/>
  <c r="BF264" i="7"/>
  <c r="BG264" i="7"/>
  <c r="BH264" i="7"/>
  <c r="BI264" i="7"/>
  <c r="BJ264" i="7"/>
  <c r="BK264" i="7"/>
  <c r="BB265" i="7"/>
  <c r="BC265" i="7"/>
  <c r="BD265" i="7"/>
  <c r="BE265" i="7"/>
  <c r="BF265" i="7"/>
  <c r="BG265" i="7"/>
  <c r="BH265" i="7"/>
  <c r="BI265" i="7"/>
  <c r="BJ265" i="7"/>
  <c r="BK265" i="7"/>
  <c r="BB266" i="7"/>
  <c r="BC266" i="7"/>
  <c r="BD266" i="7"/>
  <c r="BE266" i="7"/>
  <c r="BF266" i="7"/>
  <c r="BG266" i="7"/>
  <c r="BH266" i="7"/>
  <c r="BI266" i="7"/>
  <c r="BJ266" i="7"/>
  <c r="BK266" i="7"/>
  <c r="BB267" i="7"/>
  <c r="BC267" i="7"/>
  <c r="BD267" i="7"/>
  <c r="BE267" i="7"/>
  <c r="BF267" i="7"/>
  <c r="BG267" i="7"/>
  <c r="BH267" i="7"/>
  <c r="BI267" i="7"/>
  <c r="BJ267" i="7"/>
  <c r="BK267" i="7"/>
  <c r="BB268" i="7"/>
  <c r="BC268" i="7"/>
  <c r="BD268" i="7"/>
  <c r="BE268" i="7"/>
  <c r="BF268" i="7"/>
  <c r="BG268" i="7"/>
  <c r="BH268" i="7"/>
  <c r="BI268" i="7"/>
  <c r="BJ268" i="7"/>
  <c r="BK268" i="7"/>
  <c r="BB269" i="7"/>
  <c r="BC269" i="7"/>
  <c r="BD269" i="7"/>
  <c r="BE269" i="7"/>
  <c r="BF269" i="7"/>
  <c r="BG269" i="7"/>
  <c r="BH269" i="7"/>
  <c r="BI269" i="7"/>
  <c r="BJ269" i="7"/>
  <c r="BK269" i="7"/>
  <c r="BB270" i="7"/>
  <c r="BC270" i="7"/>
  <c r="BD270" i="7"/>
  <c r="BE270" i="7"/>
  <c r="BF270" i="7"/>
  <c r="BG270" i="7"/>
  <c r="BH270" i="7"/>
  <c r="BI270" i="7"/>
  <c r="BJ270" i="7"/>
  <c r="BK270" i="7"/>
  <c r="BB271" i="7"/>
  <c r="BC271" i="7"/>
  <c r="BD271" i="7"/>
  <c r="BE271" i="7"/>
  <c r="BF271" i="7"/>
  <c r="BG271" i="7"/>
  <c r="BH271" i="7"/>
  <c r="BI271" i="7"/>
  <c r="BJ271" i="7"/>
  <c r="BK271" i="7"/>
  <c r="BB272" i="7"/>
  <c r="BC272" i="7"/>
  <c r="BD272" i="7"/>
  <c r="BE272" i="7"/>
  <c r="BF272" i="7"/>
  <c r="BG272" i="7"/>
  <c r="BH272" i="7"/>
  <c r="BI272" i="7"/>
  <c r="BJ272" i="7"/>
  <c r="BK272" i="7"/>
  <c r="BB273" i="7"/>
  <c r="BC273" i="7"/>
  <c r="BD273" i="7"/>
  <c r="BE273" i="7"/>
  <c r="BF273" i="7"/>
  <c r="BG273" i="7"/>
  <c r="BH273" i="7"/>
  <c r="BI273" i="7"/>
  <c r="BJ273" i="7"/>
  <c r="BK273" i="7"/>
  <c r="BB274" i="7"/>
  <c r="BC274" i="7"/>
  <c r="BD274" i="7"/>
  <c r="BE274" i="7"/>
  <c r="BF274" i="7"/>
  <c r="BG274" i="7"/>
  <c r="BH274" i="7"/>
  <c r="BI274" i="7"/>
  <c r="BJ274" i="7"/>
  <c r="BK274" i="7"/>
  <c r="BB275" i="7"/>
  <c r="BC275" i="7"/>
  <c r="BD275" i="7"/>
  <c r="BE275" i="7"/>
  <c r="BF275" i="7"/>
  <c r="BG275" i="7"/>
  <c r="BH275" i="7"/>
  <c r="BI275" i="7"/>
  <c r="BJ275" i="7"/>
  <c r="BK275" i="7"/>
  <c r="BB15" i="7"/>
  <c r="BC15" i="7"/>
  <c r="BD15" i="7"/>
  <c r="BE15" i="7"/>
  <c r="BF15" i="7"/>
  <c r="BG15" i="7"/>
  <c r="BH15" i="7"/>
  <c r="BI15" i="7"/>
  <c r="BJ15" i="7"/>
  <c r="BK15" i="7"/>
  <c r="BB16" i="7"/>
  <c r="BC16" i="7"/>
  <c r="BD16" i="7"/>
  <c r="BE16" i="7"/>
  <c r="BF16" i="7"/>
  <c r="BG16" i="7"/>
  <c r="BH16" i="7"/>
  <c r="BI16" i="7"/>
  <c r="BJ16" i="7"/>
  <c r="BK16" i="7"/>
  <c r="BB17" i="7"/>
  <c r="BC17" i="7"/>
  <c r="BD17" i="7"/>
  <c r="BE17" i="7"/>
  <c r="BF17" i="7"/>
  <c r="BG17" i="7"/>
  <c r="BH17" i="7"/>
  <c r="BI17" i="7"/>
  <c r="BJ17" i="7"/>
  <c r="BK17" i="7"/>
  <c r="BB11" i="7"/>
  <c r="BC11" i="7"/>
  <c r="BD11" i="7"/>
  <c r="BE11" i="7"/>
  <c r="BF11" i="7"/>
  <c r="BG11" i="7"/>
  <c r="BH11" i="7"/>
  <c r="BI11" i="7"/>
  <c r="BJ11" i="7"/>
  <c r="BK11" i="7"/>
  <c r="BB12" i="7"/>
  <c r="BC12" i="7"/>
  <c r="BD12" i="7"/>
  <c r="BE12" i="7"/>
  <c r="BF12" i="7"/>
  <c r="BG12" i="7"/>
  <c r="BH12" i="7"/>
  <c r="BI12" i="7"/>
  <c r="BJ12" i="7"/>
  <c r="BK12" i="7"/>
  <c r="BB13" i="7"/>
  <c r="BC13" i="7"/>
  <c r="BD13" i="7"/>
  <c r="BE13" i="7"/>
  <c r="BF13" i="7"/>
  <c r="BG13" i="7"/>
  <c r="BH13" i="7"/>
  <c r="BI13" i="7"/>
  <c r="BJ13" i="7"/>
  <c r="BK13" i="7"/>
  <c r="BB14" i="7"/>
  <c r="BC14" i="7"/>
  <c r="BD14" i="7"/>
  <c r="BE14" i="7"/>
  <c r="BF14" i="7"/>
  <c r="BG14" i="7"/>
  <c r="BH14" i="7"/>
  <c r="BI14" i="7"/>
  <c r="BJ14" i="7"/>
  <c r="BK14" i="7"/>
  <c r="BB8" i="7"/>
  <c r="BC8" i="7"/>
  <c r="BD8" i="7"/>
  <c r="BE8" i="7"/>
  <c r="BF8" i="7"/>
  <c r="BG8" i="7"/>
  <c r="BH8" i="7"/>
  <c r="BI8" i="7"/>
  <c r="BJ8" i="7"/>
  <c r="BK8" i="7"/>
  <c r="BB9" i="7"/>
  <c r="BC9" i="7"/>
  <c r="BD9" i="7"/>
  <c r="BE9" i="7"/>
  <c r="BF9" i="7"/>
  <c r="BG9" i="7"/>
  <c r="BH9" i="7"/>
  <c r="BI9" i="7"/>
  <c r="BJ9" i="7"/>
  <c r="BK9" i="7"/>
  <c r="BB10" i="7"/>
  <c r="BC10" i="7"/>
  <c r="BD10" i="7"/>
  <c r="BE10" i="7"/>
  <c r="BF10" i="7"/>
  <c r="BG10" i="7"/>
  <c r="BH10" i="7"/>
  <c r="BI10" i="7"/>
  <c r="BJ10" i="7"/>
  <c r="BK10" i="7"/>
  <c r="BB6" i="7"/>
  <c r="BC6" i="7"/>
  <c r="BD6" i="7"/>
  <c r="BE6" i="7"/>
  <c r="BF6" i="7"/>
  <c r="BG6" i="7"/>
  <c r="BH6" i="7"/>
  <c r="BI6" i="7"/>
  <c r="BJ6" i="7"/>
  <c r="BK6" i="7"/>
  <c r="BB7" i="7"/>
  <c r="BC7" i="7"/>
  <c r="BD7" i="7"/>
  <c r="BE7" i="7"/>
  <c r="BF7" i="7"/>
  <c r="BG7" i="7"/>
  <c r="BH7" i="7"/>
  <c r="BI7" i="7"/>
  <c r="BJ7" i="7"/>
  <c r="BK7" i="7"/>
  <c r="BB5" i="7"/>
  <c r="BC5" i="7"/>
  <c r="BD5" i="7"/>
  <c r="BE5" i="7"/>
  <c r="BF5" i="7"/>
  <c r="BG5" i="7"/>
  <c r="BH5" i="7"/>
  <c r="BI5" i="7"/>
  <c r="BJ5" i="7"/>
  <c r="BK5" i="7"/>
  <c r="BJ4" i="7"/>
  <c r="BI4" i="7"/>
  <c r="BH4" i="7"/>
  <c r="BG4" i="7"/>
  <c r="BF4" i="7"/>
  <c r="BE4" i="7"/>
  <c r="BD4" i="7"/>
  <c r="BC4" i="7"/>
  <c r="BB4" i="7"/>
  <c r="BC3" i="7"/>
  <c r="BD3" i="7"/>
  <c r="BE3" i="7"/>
  <c r="BF3" i="7"/>
  <c r="BG3" i="7"/>
  <c r="BH3" i="7"/>
  <c r="BI3" i="7"/>
  <c r="BJ3" i="7"/>
  <c r="BK3" i="7"/>
  <c r="BB3" i="7"/>
  <c r="AM13" i="7"/>
  <c r="AN13" i="7"/>
  <c r="AO13" i="7"/>
  <c r="AP13" i="7"/>
  <c r="AQ13" i="7"/>
  <c r="AR13" i="7"/>
  <c r="AM14" i="7"/>
  <c r="AN14" i="7"/>
  <c r="AO14" i="7"/>
  <c r="AP14" i="7"/>
  <c r="AQ14" i="7"/>
  <c r="AR14" i="7"/>
  <c r="AM15" i="7"/>
  <c r="AN15" i="7"/>
  <c r="AO15" i="7"/>
  <c r="AP15" i="7"/>
  <c r="AQ15" i="7"/>
  <c r="AR15" i="7"/>
  <c r="AM16" i="7"/>
  <c r="AN16" i="7"/>
  <c r="AO16" i="7"/>
  <c r="AP16" i="7"/>
  <c r="AQ16" i="7"/>
  <c r="AR16" i="7"/>
  <c r="AM17" i="7"/>
  <c r="AN17" i="7"/>
  <c r="AO17" i="7"/>
  <c r="AP17" i="7"/>
  <c r="AQ17" i="7"/>
  <c r="AR17" i="7"/>
  <c r="AM18" i="7"/>
  <c r="AN18" i="7"/>
  <c r="AO18" i="7"/>
  <c r="AP18" i="7"/>
  <c r="AQ18" i="7"/>
  <c r="AR18" i="7"/>
  <c r="AM19" i="7"/>
  <c r="AN19" i="7"/>
  <c r="AO19" i="7"/>
  <c r="AP19" i="7"/>
  <c r="AQ19" i="7"/>
  <c r="AR19" i="7"/>
  <c r="AM20" i="7"/>
  <c r="AN20" i="7"/>
  <c r="AO20" i="7"/>
  <c r="AP20" i="7"/>
  <c r="AQ20" i="7"/>
  <c r="AR20" i="7"/>
  <c r="AM21" i="7"/>
  <c r="AN21" i="7"/>
  <c r="AO21" i="7"/>
  <c r="AP21" i="7"/>
  <c r="AQ21" i="7"/>
  <c r="AR21" i="7"/>
  <c r="AM22" i="7"/>
  <c r="AN22" i="7"/>
  <c r="AO22" i="7"/>
  <c r="AP22" i="7"/>
  <c r="AQ22" i="7"/>
  <c r="AR22" i="7"/>
  <c r="AM23" i="7"/>
  <c r="AN23" i="7"/>
  <c r="AO23" i="7"/>
  <c r="AP23" i="7"/>
  <c r="AQ23" i="7"/>
  <c r="AR23" i="7"/>
  <c r="AS23" i="7"/>
  <c r="AM24" i="7"/>
  <c r="AN24" i="7"/>
  <c r="AO24" i="7"/>
  <c r="AP24" i="7"/>
  <c r="AQ24" i="7"/>
  <c r="AR24" i="7"/>
  <c r="AS24" i="7"/>
  <c r="AM25" i="7"/>
  <c r="AN25" i="7"/>
  <c r="AO25" i="7"/>
  <c r="AP25" i="7"/>
  <c r="AQ25" i="7"/>
  <c r="AR25" i="7"/>
  <c r="AS25" i="7"/>
  <c r="AM26" i="7"/>
  <c r="AN26" i="7"/>
  <c r="AO26" i="7"/>
  <c r="AP26" i="7"/>
  <c r="AQ26" i="7"/>
  <c r="AR26" i="7"/>
  <c r="AS26" i="7"/>
  <c r="AM27" i="7"/>
  <c r="AN27" i="7"/>
  <c r="AO27" i="7"/>
  <c r="AP27" i="7"/>
  <c r="AQ27" i="7"/>
  <c r="AR27" i="7"/>
  <c r="AS27" i="7"/>
  <c r="AM28" i="7"/>
  <c r="AN28" i="7"/>
  <c r="AO28" i="7"/>
  <c r="AP28" i="7"/>
  <c r="AQ28" i="7"/>
  <c r="AR28" i="7"/>
  <c r="AS28" i="7"/>
  <c r="AM29" i="7"/>
  <c r="AN29" i="7"/>
  <c r="AO29" i="7"/>
  <c r="AP29" i="7"/>
  <c r="AQ29" i="7"/>
  <c r="AR29" i="7"/>
  <c r="AM30" i="7"/>
  <c r="AN30" i="7"/>
  <c r="AO30" i="7"/>
  <c r="AP30" i="7"/>
  <c r="AQ30" i="7"/>
  <c r="AR30" i="7"/>
  <c r="AM31" i="7"/>
  <c r="AN31" i="7"/>
  <c r="AO31" i="7"/>
  <c r="AP31" i="7"/>
  <c r="AQ31" i="7"/>
  <c r="AR31" i="7"/>
  <c r="AM32" i="7"/>
  <c r="AN32" i="7"/>
  <c r="AO32" i="7"/>
  <c r="AP32" i="7"/>
  <c r="AQ32" i="7"/>
  <c r="AR32" i="7"/>
  <c r="AM33" i="7"/>
  <c r="AN33" i="7"/>
  <c r="AO33" i="7"/>
  <c r="AP33" i="7"/>
  <c r="AQ33" i="7"/>
  <c r="AR33" i="7"/>
  <c r="AM34" i="7"/>
  <c r="AN34" i="7"/>
  <c r="AO34" i="7"/>
  <c r="AP34" i="7"/>
  <c r="AQ34" i="7"/>
  <c r="AR34" i="7"/>
  <c r="AM35" i="7"/>
  <c r="AN35" i="7"/>
  <c r="AO35" i="7"/>
  <c r="AP35" i="7"/>
  <c r="AQ35" i="7"/>
  <c r="AR35" i="7"/>
  <c r="AM36" i="7"/>
  <c r="AN36" i="7"/>
  <c r="AO36" i="7"/>
  <c r="AP36" i="7"/>
  <c r="AQ36" i="7"/>
  <c r="AR36" i="7"/>
  <c r="AM37" i="7"/>
  <c r="AN37" i="7"/>
  <c r="AO37" i="7"/>
  <c r="AP37" i="7"/>
  <c r="AQ37" i="7"/>
  <c r="AR37" i="7"/>
  <c r="AM38" i="7"/>
  <c r="AN38" i="7"/>
  <c r="AO38" i="7"/>
  <c r="AP38" i="7"/>
  <c r="AQ38" i="7"/>
  <c r="AR38" i="7"/>
  <c r="AM39" i="7"/>
  <c r="AN39" i="7"/>
  <c r="AO39" i="7"/>
  <c r="AP39" i="7"/>
  <c r="AQ39" i="7"/>
  <c r="AR39" i="7"/>
  <c r="AM40" i="7"/>
  <c r="AN40" i="7"/>
  <c r="AO40" i="7"/>
  <c r="AP40" i="7"/>
  <c r="AQ40" i="7"/>
  <c r="AR40" i="7"/>
  <c r="AM41" i="7"/>
  <c r="AN41" i="7"/>
  <c r="AO41" i="7"/>
  <c r="AP41" i="7"/>
  <c r="AQ41" i="7"/>
  <c r="AR41" i="7"/>
  <c r="AM42" i="7"/>
  <c r="AN42" i="7"/>
  <c r="AO42" i="7"/>
  <c r="AP42" i="7"/>
  <c r="AQ42" i="7"/>
  <c r="AR42" i="7"/>
  <c r="AM43" i="7"/>
  <c r="AN43" i="7"/>
  <c r="AO43" i="7"/>
  <c r="AP43" i="7"/>
  <c r="AQ43" i="7"/>
  <c r="AR43" i="7"/>
  <c r="AM44" i="7"/>
  <c r="AN44" i="7"/>
  <c r="AO44" i="7"/>
  <c r="AP44" i="7"/>
  <c r="AQ44" i="7"/>
  <c r="AR44" i="7"/>
  <c r="AM45" i="7"/>
  <c r="AN45" i="7"/>
  <c r="AO45" i="7"/>
  <c r="AP45" i="7"/>
  <c r="AQ45" i="7"/>
  <c r="AR45" i="7"/>
  <c r="AM46" i="7"/>
  <c r="AN46" i="7"/>
  <c r="AO46" i="7"/>
  <c r="AP46" i="7"/>
  <c r="AQ46" i="7"/>
  <c r="AR46" i="7"/>
  <c r="AM47" i="7"/>
  <c r="AN47" i="7"/>
  <c r="AO47" i="7"/>
  <c r="AP47" i="7"/>
  <c r="AQ47" i="7"/>
  <c r="AR47" i="7"/>
  <c r="AM48" i="7"/>
  <c r="AN48" i="7"/>
  <c r="AO48" i="7"/>
  <c r="AP48" i="7"/>
  <c r="AQ48" i="7"/>
  <c r="AR48" i="7"/>
  <c r="AM49" i="7"/>
  <c r="AN49" i="7"/>
  <c r="AO49" i="7"/>
  <c r="AP49" i="7"/>
  <c r="AQ49" i="7"/>
  <c r="AR49" i="7"/>
  <c r="AM50" i="7"/>
  <c r="AN50" i="7"/>
  <c r="AO50" i="7"/>
  <c r="AP50" i="7"/>
  <c r="AQ50" i="7"/>
  <c r="AR50" i="7"/>
  <c r="AM51" i="7"/>
  <c r="AN51" i="7"/>
  <c r="AO51" i="7"/>
  <c r="AP51" i="7"/>
  <c r="AQ51" i="7"/>
  <c r="AR51" i="7"/>
  <c r="AM52" i="7"/>
  <c r="AN52" i="7"/>
  <c r="AO52" i="7"/>
  <c r="AP52" i="7"/>
  <c r="AQ52" i="7"/>
  <c r="AR52" i="7"/>
  <c r="AM53" i="7"/>
  <c r="AN53" i="7"/>
  <c r="AO53" i="7"/>
  <c r="AP53" i="7"/>
  <c r="AQ53" i="7"/>
  <c r="AR53" i="7"/>
  <c r="AM54" i="7"/>
  <c r="AN54" i="7"/>
  <c r="AO54" i="7"/>
  <c r="AP54" i="7"/>
  <c r="AQ54" i="7"/>
  <c r="AR54" i="7"/>
  <c r="AM55" i="7"/>
  <c r="AN55" i="7"/>
  <c r="AO55" i="7"/>
  <c r="AP55" i="7"/>
  <c r="AQ55" i="7"/>
  <c r="AR55" i="7"/>
  <c r="AM56" i="7"/>
  <c r="AN56" i="7"/>
  <c r="AO56" i="7"/>
  <c r="AP56" i="7"/>
  <c r="AQ56" i="7"/>
  <c r="AR56" i="7"/>
  <c r="AM57" i="7"/>
  <c r="AN57" i="7"/>
  <c r="AO57" i="7"/>
  <c r="AP57" i="7"/>
  <c r="AQ57" i="7"/>
  <c r="AR57" i="7"/>
  <c r="AM58" i="7"/>
  <c r="AN58" i="7"/>
  <c r="AO58" i="7"/>
  <c r="AP58" i="7"/>
  <c r="AQ58" i="7"/>
  <c r="AR58" i="7"/>
  <c r="AM59" i="7"/>
  <c r="AN59" i="7"/>
  <c r="AO59" i="7"/>
  <c r="AP59" i="7"/>
  <c r="AQ59" i="7"/>
  <c r="AR59" i="7"/>
  <c r="AM60" i="7"/>
  <c r="AN60" i="7"/>
  <c r="AO60" i="7"/>
  <c r="AP60" i="7"/>
  <c r="AQ60" i="7"/>
  <c r="AR60" i="7"/>
  <c r="AM61" i="7"/>
  <c r="AN61" i="7"/>
  <c r="AO61" i="7"/>
  <c r="AP61" i="7"/>
  <c r="AQ61" i="7"/>
  <c r="AR61" i="7"/>
  <c r="AM62" i="7"/>
  <c r="AN62" i="7"/>
  <c r="AO62" i="7"/>
  <c r="AP62" i="7"/>
  <c r="AQ62" i="7"/>
  <c r="AR62" i="7"/>
  <c r="AM63" i="7"/>
  <c r="AN63" i="7"/>
  <c r="AO63" i="7"/>
  <c r="AP63" i="7"/>
  <c r="AQ63" i="7"/>
  <c r="AR63" i="7"/>
  <c r="AM64" i="7"/>
  <c r="AN64" i="7"/>
  <c r="AO64" i="7"/>
  <c r="AP64" i="7"/>
  <c r="AQ64" i="7"/>
  <c r="AR64" i="7"/>
  <c r="AM65" i="7"/>
  <c r="AN65" i="7"/>
  <c r="AO65" i="7"/>
  <c r="AP65" i="7"/>
  <c r="AQ65" i="7"/>
  <c r="AR65" i="7"/>
  <c r="AM66" i="7"/>
  <c r="AN66" i="7"/>
  <c r="AO66" i="7"/>
  <c r="AP66" i="7"/>
  <c r="AQ66" i="7"/>
  <c r="AR66" i="7"/>
  <c r="AM67" i="7"/>
  <c r="AN67" i="7"/>
  <c r="AO67" i="7"/>
  <c r="AP67" i="7"/>
  <c r="AQ67" i="7"/>
  <c r="AR67" i="7"/>
  <c r="AM68" i="7"/>
  <c r="AN68" i="7"/>
  <c r="AO68" i="7"/>
  <c r="AP68" i="7"/>
  <c r="AQ68" i="7"/>
  <c r="AR68" i="7"/>
  <c r="AM69" i="7"/>
  <c r="AN69" i="7"/>
  <c r="AO69" i="7"/>
  <c r="AP69" i="7"/>
  <c r="AQ69" i="7"/>
  <c r="AR69" i="7"/>
  <c r="AM70" i="7"/>
  <c r="AN70" i="7"/>
  <c r="AO70" i="7"/>
  <c r="AP70" i="7"/>
  <c r="AQ70" i="7"/>
  <c r="AR70" i="7"/>
  <c r="AM71" i="7"/>
  <c r="AN71" i="7"/>
  <c r="AO71" i="7"/>
  <c r="AP71" i="7"/>
  <c r="AQ71" i="7"/>
  <c r="AR71" i="7"/>
  <c r="AM72" i="7"/>
  <c r="AN72" i="7"/>
  <c r="AO72" i="7"/>
  <c r="AP72" i="7"/>
  <c r="AQ72" i="7"/>
  <c r="AR72" i="7"/>
  <c r="AM73" i="7"/>
  <c r="AN73" i="7"/>
  <c r="AO73" i="7"/>
  <c r="AP73" i="7"/>
  <c r="AQ73" i="7"/>
  <c r="AR73" i="7"/>
  <c r="AM74" i="7"/>
  <c r="AN74" i="7"/>
  <c r="AO74" i="7"/>
  <c r="AP74" i="7"/>
  <c r="AQ74" i="7"/>
  <c r="AR74" i="7"/>
  <c r="AM75" i="7"/>
  <c r="AN75" i="7"/>
  <c r="AO75" i="7"/>
  <c r="AP75" i="7"/>
  <c r="AQ75" i="7"/>
  <c r="AR75" i="7"/>
  <c r="AM76" i="7"/>
  <c r="AN76" i="7"/>
  <c r="AO76" i="7"/>
  <c r="AP76" i="7"/>
  <c r="AQ76" i="7"/>
  <c r="AR76" i="7"/>
  <c r="AM77" i="7"/>
  <c r="AN77" i="7"/>
  <c r="AO77" i="7"/>
  <c r="AP77" i="7"/>
  <c r="AQ77" i="7"/>
  <c r="AR77" i="7"/>
  <c r="AM78" i="7"/>
  <c r="AN78" i="7"/>
  <c r="AO78" i="7"/>
  <c r="AP78" i="7"/>
  <c r="AQ78" i="7"/>
  <c r="AR78" i="7"/>
  <c r="AM79" i="7"/>
  <c r="AN79" i="7"/>
  <c r="AO79" i="7"/>
  <c r="AP79" i="7"/>
  <c r="AQ79" i="7"/>
  <c r="AR79" i="7"/>
  <c r="AM80" i="7"/>
  <c r="AN80" i="7"/>
  <c r="AO80" i="7"/>
  <c r="AP80" i="7"/>
  <c r="AQ80" i="7"/>
  <c r="AR80" i="7"/>
  <c r="AM81" i="7"/>
  <c r="AN81" i="7"/>
  <c r="AO81" i="7"/>
  <c r="AP81" i="7"/>
  <c r="AQ81" i="7"/>
  <c r="AR81" i="7"/>
  <c r="AM82" i="7"/>
  <c r="AN82" i="7"/>
  <c r="AO82" i="7"/>
  <c r="AP82" i="7"/>
  <c r="AQ82" i="7"/>
  <c r="AR82" i="7"/>
  <c r="AM83" i="7"/>
  <c r="AN83" i="7"/>
  <c r="AO83" i="7"/>
  <c r="AP83" i="7"/>
  <c r="AQ83" i="7"/>
  <c r="AR83" i="7"/>
  <c r="AM84" i="7"/>
  <c r="AN84" i="7"/>
  <c r="AO84" i="7"/>
  <c r="AP84" i="7"/>
  <c r="AQ84" i="7"/>
  <c r="AR84" i="7"/>
  <c r="AM85" i="7"/>
  <c r="AN85" i="7"/>
  <c r="AO85" i="7"/>
  <c r="AP85" i="7"/>
  <c r="AQ85" i="7"/>
  <c r="AR85" i="7"/>
  <c r="AM86" i="7"/>
  <c r="AN86" i="7"/>
  <c r="AO86" i="7"/>
  <c r="AP86" i="7"/>
  <c r="AQ86" i="7"/>
  <c r="AR86" i="7"/>
  <c r="AM87" i="7"/>
  <c r="AN87" i="7"/>
  <c r="AO87" i="7"/>
  <c r="AP87" i="7"/>
  <c r="AQ87" i="7"/>
  <c r="AR87" i="7"/>
  <c r="AM88" i="7"/>
  <c r="AN88" i="7"/>
  <c r="AO88" i="7"/>
  <c r="AP88" i="7"/>
  <c r="AQ88" i="7"/>
  <c r="AR88" i="7"/>
  <c r="AM89" i="7"/>
  <c r="AN89" i="7"/>
  <c r="AO89" i="7"/>
  <c r="AP89" i="7"/>
  <c r="AQ89" i="7"/>
  <c r="AR89" i="7"/>
  <c r="AM90" i="7"/>
  <c r="AN90" i="7"/>
  <c r="AO90" i="7"/>
  <c r="AP90" i="7"/>
  <c r="AQ90" i="7"/>
  <c r="AR90" i="7"/>
  <c r="AM91" i="7"/>
  <c r="AN91" i="7"/>
  <c r="AO91" i="7"/>
  <c r="AP91" i="7"/>
  <c r="AQ91" i="7"/>
  <c r="AR91" i="7"/>
  <c r="AM92" i="7"/>
  <c r="AN92" i="7"/>
  <c r="AO92" i="7"/>
  <c r="AP92" i="7"/>
  <c r="AQ92" i="7"/>
  <c r="AR92" i="7"/>
  <c r="AM93" i="7"/>
  <c r="AN93" i="7"/>
  <c r="AO93" i="7"/>
  <c r="AP93" i="7"/>
  <c r="AQ93" i="7"/>
  <c r="AR93" i="7"/>
  <c r="AM94" i="7"/>
  <c r="AN94" i="7"/>
  <c r="AO94" i="7"/>
  <c r="AP94" i="7"/>
  <c r="AQ94" i="7"/>
  <c r="AR94" i="7"/>
  <c r="AM95" i="7"/>
  <c r="AN95" i="7"/>
  <c r="AO95" i="7"/>
  <c r="AP95" i="7"/>
  <c r="AQ95" i="7"/>
  <c r="AR95" i="7"/>
  <c r="AM96" i="7"/>
  <c r="AN96" i="7"/>
  <c r="AO96" i="7"/>
  <c r="AP96" i="7"/>
  <c r="AQ96" i="7"/>
  <c r="AR96" i="7"/>
  <c r="AM97" i="7"/>
  <c r="AN97" i="7"/>
  <c r="AO97" i="7"/>
  <c r="AP97" i="7"/>
  <c r="AQ97" i="7"/>
  <c r="AR97" i="7"/>
  <c r="AM98" i="7"/>
  <c r="AN98" i="7"/>
  <c r="AO98" i="7"/>
  <c r="AP98" i="7"/>
  <c r="AQ98" i="7"/>
  <c r="AR98" i="7"/>
  <c r="AM99" i="7"/>
  <c r="AN99" i="7"/>
  <c r="AO99" i="7"/>
  <c r="AP99" i="7"/>
  <c r="AQ99" i="7"/>
  <c r="AR99" i="7"/>
  <c r="AM100" i="7"/>
  <c r="AN100" i="7"/>
  <c r="AO100" i="7"/>
  <c r="AP100" i="7"/>
  <c r="AQ100" i="7"/>
  <c r="AR100" i="7"/>
  <c r="AM101" i="7"/>
  <c r="AN101" i="7"/>
  <c r="AO101" i="7"/>
  <c r="AP101" i="7"/>
  <c r="AQ101" i="7"/>
  <c r="AR101" i="7"/>
  <c r="AM102" i="7"/>
  <c r="AN102" i="7"/>
  <c r="AO102" i="7"/>
  <c r="AP102" i="7"/>
  <c r="AQ102" i="7"/>
  <c r="AR102" i="7"/>
  <c r="AM103" i="7"/>
  <c r="AN103" i="7"/>
  <c r="AO103" i="7"/>
  <c r="AP103" i="7"/>
  <c r="AQ103" i="7"/>
  <c r="AR103" i="7"/>
  <c r="AM104" i="7"/>
  <c r="AN104" i="7"/>
  <c r="AO104" i="7"/>
  <c r="AP104" i="7"/>
  <c r="AQ104" i="7"/>
  <c r="AR104" i="7"/>
  <c r="AM105" i="7"/>
  <c r="AN105" i="7"/>
  <c r="AO105" i="7"/>
  <c r="AP105" i="7"/>
  <c r="AQ105" i="7"/>
  <c r="AR105" i="7"/>
  <c r="AM106" i="7"/>
  <c r="AN106" i="7"/>
  <c r="AO106" i="7"/>
  <c r="AP106" i="7"/>
  <c r="AQ106" i="7"/>
  <c r="AR106" i="7"/>
  <c r="AM107" i="7"/>
  <c r="AN107" i="7"/>
  <c r="AO107" i="7"/>
  <c r="AP107" i="7"/>
  <c r="AQ107" i="7"/>
  <c r="AR107" i="7"/>
  <c r="AM108" i="7"/>
  <c r="AN108" i="7"/>
  <c r="AO108" i="7"/>
  <c r="AP108" i="7"/>
  <c r="AQ108" i="7"/>
  <c r="AR108" i="7"/>
  <c r="AM109" i="7"/>
  <c r="AN109" i="7"/>
  <c r="AO109" i="7"/>
  <c r="AP109" i="7"/>
  <c r="AQ109" i="7"/>
  <c r="AR109" i="7"/>
  <c r="AM110" i="7"/>
  <c r="AN110" i="7"/>
  <c r="AO110" i="7"/>
  <c r="AP110" i="7"/>
  <c r="AQ110" i="7"/>
  <c r="AR110" i="7"/>
  <c r="AM111" i="7"/>
  <c r="AN111" i="7"/>
  <c r="AO111" i="7"/>
  <c r="AP111" i="7"/>
  <c r="AQ111" i="7"/>
  <c r="AR111" i="7"/>
  <c r="AM112" i="7"/>
  <c r="AN112" i="7"/>
  <c r="AO112" i="7"/>
  <c r="AP112" i="7"/>
  <c r="AQ112" i="7"/>
  <c r="AR112" i="7"/>
  <c r="AM113" i="7"/>
  <c r="AN113" i="7"/>
  <c r="AO113" i="7"/>
  <c r="AP113" i="7"/>
  <c r="AQ113" i="7"/>
  <c r="AR113" i="7"/>
  <c r="AM114" i="7"/>
  <c r="AN114" i="7"/>
  <c r="AO114" i="7"/>
  <c r="AP114" i="7"/>
  <c r="AQ114" i="7"/>
  <c r="AR114" i="7"/>
  <c r="AM115" i="7"/>
  <c r="AN115" i="7"/>
  <c r="AO115" i="7"/>
  <c r="AP115" i="7"/>
  <c r="AQ115" i="7"/>
  <c r="AR115" i="7"/>
  <c r="AM116" i="7"/>
  <c r="AN116" i="7"/>
  <c r="AO116" i="7"/>
  <c r="AP116" i="7"/>
  <c r="AQ116" i="7"/>
  <c r="AR116" i="7"/>
  <c r="AM117" i="7"/>
  <c r="AN117" i="7"/>
  <c r="AO117" i="7"/>
  <c r="AP117" i="7"/>
  <c r="AQ117" i="7"/>
  <c r="AR117" i="7"/>
  <c r="AM118" i="7"/>
  <c r="AN118" i="7"/>
  <c r="AO118" i="7"/>
  <c r="AP118" i="7"/>
  <c r="AQ118" i="7"/>
  <c r="AR118" i="7"/>
  <c r="AM119" i="7"/>
  <c r="AN119" i="7"/>
  <c r="AO119" i="7"/>
  <c r="AP119" i="7"/>
  <c r="AQ119" i="7"/>
  <c r="AR119" i="7"/>
  <c r="AM120" i="7"/>
  <c r="AN120" i="7"/>
  <c r="AO120" i="7"/>
  <c r="AP120" i="7"/>
  <c r="AQ120" i="7"/>
  <c r="AR120" i="7"/>
  <c r="AM121" i="7"/>
  <c r="AN121" i="7"/>
  <c r="AO121" i="7"/>
  <c r="AP121" i="7"/>
  <c r="AQ121" i="7"/>
  <c r="AR121" i="7"/>
  <c r="AM122" i="7"/>
  <c r="AN122" i="7"/>
  <c r="AO122" i="7"/>
  <c r="AP122" i="7"/>
  <c r="AQ122" i="7"/>
  <c r="AR122" i="7"/>
  <c r="AM123" i="7"/>
  <c r="AN123" i="7"/>
  <c r="AO123" i="7"/>
  <c r="AP123" i="7"/>
  <c r="AQ123" i="7"/>
  <c r="AR123" i="7"/>
  <c r="AM124" i="7"/>
  <c r="AN124" i="7"/>
  <c r="AO124" i="7"/>
  <c r="AP124" i="7"/>
  <c r="AQ124" i="7"/>
  <c r="AR124" i="7"/>
  <c r="AM125" i="7"/>
  <c r="AN125" i="7"/>
  <c r="AO125" i="7"/>
  <c r="AP125" i="7"/>
  <c r="AQ125" i="7"/>
  <c r="AR125" i="7"/>
  <c r="AM126" i="7"/>
  <c r="AN126" i="7"/>
  <c r="AO126" i="7"/>
  <c r="AP126" i="7"/>
  <c r="AQ126" i="7"/>
  <c r="AR126" i="7"/>
  <c r="AM127" i="7"/>
  <c r="AN127" i="7"/>
  <c r="AO127" i="7"/>
  <c r="AP127" i="7"/>
  <c r="AQ127" i="7"/>
  <c r="AR127" i="7"/>
  <c r="AM128" i="7"/>
  <c r="AN128" i="7"/>
  <c r="AO128" i="7"/>
  <c r="AP128" i="7"/>
  <c r="AQ128" i="7"/>
  <c r="AR128" i="7"/>
  <c r="AM129" i="7"/>
  <c r="AN129" i="7"/>
  <c r="AO129" i="7"/>
  <c r="AP129" i="7"/>
  <c r="AQ129" i="7"/>
  <c r="AR129" i="7"/>
  <c r="AM130" i="7"/>
  <c r="AN130" i="7"/>
  <c r="AO130" i="7"/>
  <c r="AP130" i="7"/>
  <c r="AQ130" i="7"/>
  <c r="AR130" i="7"/>
  <c r="AM131" i="7"/>
  <c r="AN131" i="7"/>
  <c r="AO131" i="7"/>
  <c r="AP131" i="7"/>
  <c r="AQ131" i="7"/>
  <c r="AR131" i="7"/>
  <c r="AM132" i="7"/>
  <c r="AN132" i="7"/>
  <c r="AO132" i="7"/>
  <c r="AP132" i="7"/>
  <c r="AQ132" i="7"/>
  <c r="AR132" i="7"/>
  <c r="AM133" i="7"/>
  <c r="AN133" i="7"/>
  <c r="AO133" i="7"/>
  <c r="AP133" i="7"/>
  <c r="AQ133" i="7"/>
  <c r="AR133" i="7"/>
  <c r="AM134" i="7"/>
  <c r="AN134" i="7"/>
  <c r="AO134" i="7"/>
  <c r="AP134" i="7"/>
  <c r="AQ134" i="7"/>
  <c r="AR134" i="7"/>
  <c r="AM135" i="7"/>
  <c r="AN135" i="7"/>
  <c r="AO135" i="7"/>
  <c r="AP135" i="7"/>
  <c r="AQ135" i="7"/>
  <c r="AR135" i="7"/>
  <c r="AM136" i="7"/>
  <c r="AN136" i="7"/>
  <c r="AO136" i="7"/>
  <c r="AP136" i="7"/>
  <c r="AQ136" i="7"/>
  <c r="AR136" i="7"/>
  <c r="AM137" i="7"/>
  <c r="AN137" i="7"/>
  <c r="AO137" i="7"/>
  <c r="AP137" i="7"/>
  <c r="AQ137" i="7"/>
  <c r="AR137" i="7"/>
  <c r="AM138" i="7"/>
  <c r="AN138" i="7"/>
  <c r="AO138" i="7"/>
  <c r="AP138" i="7"/>
  <c r="AQ138" i="7"/>
  <c r="AR138" i="7"/>
  <c r="AM139" i="7"/>
  <c r="AN139" i="7"/>
  <c r="AO139" i="7"/>
  <c r="AP139" i="7"/>
  <c r="AQ139" i="7"/>
  <c r="AR139" i="7"/>
  <c r="AM140" i="7"/>
  <c r="AN140" i="7"/>
  <c r="AO140" i="7"/>
  <c r="AP140" i="7"/>
  <c r="AQ140" i="7"/>
  <c r="AR140" i="7"/>
  <c r="AM141" i="7"/>
  <c r="AN141" i="7"/>
  <c r="AO141" i="7"/>
  <c r="AP141" i="7"/>
  <c r="AQ141" i="7"/>
  <c r="AR141" i="7"/>
  <c r="AM142" i="7"/>
  <c r="AN142" i="7"/>
  <c r="AO142" i="7"/>
  <c r="AP142" i="7"/>
  <c r="AQ142" i="7"/>
  <c r="AR142" i="7"/>
  <c r="AM143" i="7"/>
  <c r="AN143" i="7"/>
  <c r="AO143" i="7"/>
  <c r="AP143" i="7"/>
  <c r="AQ143" i="7"/>
  <c r="AR143" i="7"/>
  <c r="AM144" i="7"/>
  <c r="AN144" i="7"/>
  <c r="AO144" i="7"/>
  <c r="AP144" i="7"/>
  <c r="AQ144" i="7"/>
  <c r="AR144" i="7"/>
  <c r="AM145" i="7"/>
  <c r="AN145" i="7"/>
  <c r="AO145" i="7"/>
  <c r="AP145" i="7"/>
  <c r="AQ145" i="7"/>
  <c r="AR145" i="7"/>
  <c r="AM146" i="7"/>
  <c r="AN146" i="7"/>
  <c r="AO146" i="7"/>
  <c r="AP146" i="7"/>
  <c r="AQ146" i="7"/>
  <c r="AR146" i="7"/>
  <c r="AM147" i="7"/>
  <c r="AN147" i="7"/>
  <c r="AO147" i="7"/>
  <c r="AP147" i="7"/>
  <c r="AQ147" i="7"/>
  <c r="AR147" i="7"/>
  <c r="AM148" i="7"/>
  <c r="AN148" i="7"/>
  <c r="AO148" i="7"/>
  <c r="AP148" i="7"/>
  <c r="AQ148" i="7"/>
  <c r="AR148" i="7"/>
  <c r="AM149" i="7"/>
  <c r="AN149" i="7"/>
  <c r="AO149" i="7"/>
  <c r="AP149" i="7"/>
  <c r="AQ149" i="7"/>
  <c r="AR149" i="7"/>
  <c r="AM150" i="7"/>
  <c r="AN150" i="7"/>
  <c r="AO150" i="7"/>
  <c r="AP150" i="7"/>
  <c r="AQ150" i="7"/>
  <c r="AR150" i="7"/>
  <c r="AM151" i="7"/>
  <c r="AN151" i="7"/>
  <c r="AO151" i="7"/>
  <c r="AP151" i="7"/>
  <c r="AQ151" i="7"/>
  <c r="AR151" i="7"/>
  <c r="AM152" i="7"/>
  <c r="AN152" i="7"/>
  <c r="AO152" i="7"/>
  <c r="AP152" i="7"/>
  <c r="AQ152" i="7"/>
  <c r="AR152" i="7"/>
  <c r="AM153" i="7"/>
  <c r="AN153" i="7"/>
  <c r="AO153" i="7"/>
  <c r="AP153" i="7"/>
  <c r="AQ153" i="7"/>
  <c r="AR153" i="7"/>
  <c r="AM154" i="7"/>
  <c r="AN154" i="7"/>
  <c r="AO154" i="7"/>
  <c r="AP154" i="7"/>
  <c r="AQ154" i="7"/>
  <c r="AR154" i="7"/>
  <c r="AM155" i="7"/>
  <c r="AN155" i="7"/>
  <c r="AO155" i="7"/>
  <c r="AP155" i="7"/>
  <c r="AQ155" i="7"/>
  <c r="AR155" i="7"/>
  <c r="AM156" i="7"/>
  <c r="AN156" i="7"/>
  <c r="AO156" i="7"/>
  <c r="AP156" i="7"/>
  <c r="AQ156" i="7"/>
  <c r="AR156" i="7"/>
  <c r="AM157" i="7"/>
  <c r="AN157" i="7"/>
  <c r="AO157" i="7"/>
  <c r="AP157" i="7"/>
  <c r="AQ157" i="7"/>
  <c r="AR157" i="7"/>
  <c r="AM158" i="7"/>
  <c r="AN158" i="7"/>
  <c r="AO158" i="7"/>
  <c r="AP158" i="7"/>
  <c r="AQ158" i="7"/>
  <c r="AR158" i="7"/>
  <c r="AM159" i="7"/>
  <c r="AN159" i="7"/>
  <c r="AO159" i="7"/>
  <c r="AP159" i="7"/>
  <c r="AQ159" i="7"/>
  <c r="AR159" i="7"/>
  <c r="AM160" i="7"/>
  <c r="AN160" i="7"/>
  <c r="AO160" i="7"/>
  <c r="AP160" i="7"/>
  <c r="AQ160" i="7"/>
  <c r="AR160" i="7"/>
  <c r="AM161" i="7"/>
  <c r="AN161" i="7"/>
  <c r="AO161" i="7"/>
  <c r="AP161" i="7"/>
  <c r="AQ161" i="7"/>
  <c r="AR161" i="7"/>
  <c r="AM162" i="7"/>
  <c r="AN162" i="7"/>
  <c r="AO162" i="7"/>
  <c r="AP162" i="7"/>
  <c r="AQ162" i="7"/>
  <c r="AR162" i="7"/>
  <c r="AM163" i="7"/>
  <c r="AN163" i="7"/>
  <c r="AO163" i="7"/>
  <c r="AP163" i="7"/>
  <c r="AQ163" i="7"/>
  <c r="AR163" i="7"/>
  <c r="AM164" i="7"/>
  <c r="AN164" i="7"/>
  <c r="AO164" i="7"/>
  <c r="AP164" i="7"/>
  <c r="AQ164" i="7"/>
  <c r="AR164" i="7"/>
  <c r="AM165" i="7"/>
  <c r="AN165" i="7"/>
  <c r="AO165" i="7"/>
  <c r="AP165" i="7"/>
  <c r="AQ165" i="7"/>
  <c r="AR165" i="7"/>
  <c r="AM166" i="7"/>
  <c r="AN166" i="7"/>
  <c r="AO166" i="7"/>
  <c r="AP166" i="7"/>
  <c r="AQ166" i="7"/>
  <c r="AR166" i="7"/>
  <c r="AM167" i="7"/>
  <c r="AN167" i="7"/>
  <c r="AO167" i="7"/>
  <c r="AP167" i="7"/>
  <c r="AQ167" i="7"/>
  <c r="AR167" i="7"/>
  <c r="AM168" i="7"/>
  <c r="AN168" i="7"/>
  <c r="AO168" i="7"/>
  <c r="AP168" i="7"/>
  <c r="AQ168" i="7"/>
  <c r="AR168" i="7"/>
  <c r="AM169" i="7"/>
  <c r="AN169" i="7"/>
  <c r="AO169" i="7"/>
  <c r="AP169" i="7"/>
  <c r="AQ169" i="7"/>
  <c r="AR169" i="7"/>
  <c r="AM170" i="7"/>
  <c r="AN170" i="7"/>
  <c r="AO170" i="7"/>
  <c r="AP170" i="7"/>
  <c r="AQ170" i="7"/>
  <c r="AR170" i="7"/>
  <c r="AM171" i="7"/>
  <c r="AN171" i="7"/>
  <c r="AO171" i="7"/>
  <c r="AP171" i="7"/>
  <c r="AQ171" i="7"/>
  <c r="AR171" i="7"/>
  <c r="AM172" i="7"/>
  <c r="AN172" i="7"/>
  <c r="AO172" i="7"/>
  <c r="AP172" i="7"/>
  <c r="AQ172" i="7"/>
  <c r="AR172" i="7"/>
  <c r="AM173" i="7"/>
  <c r="AN173" i="7"/>
  <c r="AO173" i="7"/>
  <c r="AP173" i="7"/>
  <c r="AQ173" i="7"/>
  <c r="AR173" i="7"/>
  <c r="AM174" i="7"/>
  <c r="AN174" i="7"/>
  <c r="AO174" i="7"/>
  <c r="AP174" i="7"/>
  <c r="AQ174" i="7"/>
  <c r="AR174" i="7"/>
  <c r="AM175" i="7"/>
  <c r="AN175" i="7"/>
  <c r="AO175" i="7"/>
  <c r="AP175" i="7"/>
  <c r="AQ175" i="7"/>
  <c r="AR175" i="7"/>
  <c r="AM176" i="7"/>
  <c r="AN176" i="7"/>
  <c r="AO176" i="7"/>
  <c r="AP176" i="7"/>
  <c r="AQ176" i="7"/>
  <c r="AR176" i="7"/>
  <c r="AM177" i="7"/>
  <c r="AN177" i="7"/>
  <c r="AO177" i="7"/>
  <c r="AP177" i="7"/>
  <c r="AQ177" i="7"/>
  <c r="AR177" i="7"/>
  <c r="AM178" i="7"/>
  <c r="AN178" i="7"/>
  <c r="AO178" i="7"/>
  <c r="AP178" i="7"/>
  <c r="AQ178" i="7"/>
  <c r="AR178" i="7"/>
  <c r="AM179" i="7"/>
  <c r="AN179" i="7"/>
  <c r="AO179" i="7"/>
  <c r="AP179" i="7"/>
  <c r="AQ179" i="7"/>
  <c r="AR179" i="7"/>
  <c r="AM180" i="7"/>
  <c r="AN180" i="7"/>
  <c r="AO180" i="7"/>
  <c r="AP180" i="7"/>
  <c r="AQ180" i="7"/>
  <c r="AR180" i="7"/>
  <c r="AM181" i="7"/>
  <c r="AN181" i="7"/>
  <c r="AO181" i="7"/>
  <c r="AP181" i="7"/>
  <c r="AQ181" i="7"/>
  <c r="AR181" i="7"/>
  <c r="AM182" i="7"/>
  <c r="AN182" i="7"/>
  <c r="AO182" i="7"/>
  <c r="AP182" i="7"/>
  <c r="AQ182" i="7"/>
  <c r="AR182" i="7"/>
  <c r="AM183" i="7"/>
  <c r="AN183" i="7"/>
  <c r="AO183" i="7"/>
  <c r="AP183" i="7"/>
  <c r="AQ183" i="7"/>
  <c r="AR183" i="7"/>
  <c r="AM184" i="7"/>
  <c r="AN184" i="7"/>
  <c r="AO184" i="7"/>
  <c r="AP184" i="7"/>
  <c r="AQ184" i="7"/>
  <c r="AR184" i="7"/>
  <c r="AM185" i="7"/>
  <c r="AN185" i="7"/>
  <c r="AO185" i="7"/>
  <c r="AP185" i="7"/>
  <c r="AQ185" i="7"/>
  <c r="AR185" i="7"/>
  <c r="AM186" i="7"/>
  <c r="AN186" i="7"/>
  <c r="AO186" i="7"/>
  <c r="AP186" i="7"/>
  <c r="AQ186" i="7"/>
  <c r="AR186" i="7"/>
  <c r="AM187" i="7"/>
  <c r="AN187" i="7"/>
  <c r="AO187" i="7"/>
  <c r="AP187" i="7"/>
  <c r="AQ187" i="7"/>
  <c r="AR187" i="7"/>
  <c r="AM188" i="7"/>
  <c r="AN188" i="7"/>
  <c r="AO188" i="7"/>
  <c r="AP188" i="7"/>
  <c r="AQ188" i="7"/>
  <c r="AR188" i="7"/>
  <c r="AM189" i="7"/>
  <c r="AN189" i="7"/>
  <c r="AO189" i="7"/>
  <c r="AP189" i="7"/>
  <c r="AQ189" i="7"/>
  <c r="AR189" i="7"/>
  <c r="AM190" i="7"/>
  <c r="AN190" i="7"/>
  <c r="AO190" i="7"/>
  <c r="AP190" i="7"/>
  <c r="AQ190" i="7"/>
  <c r="AR190" i="7"/>
  <c r="AM191" i="7"/>
  <c r="AN191" i="7"/>
  <c r="AO191" i="7"/>
  <c r="AP191" i="7"/>
  <c r="AQ191" i="7"/>
  <c r="AR191" i="7"/>
  <c r="AM192" i="7"/>
  <c r="AN192" i="7"/>
  <c r="AO192" i="7"/>
  <c r="AP192" i="7"/>
  <c r="AQ192" i="7"/>
  <c r="AR192" i="7"/>
  <c r="AM193" i="7"/>
  <c r="AN193" i="7"/>
  <c r="AO193" i="7"/>
  <c r="AP193" i="7"/>
  <c r="AQ193" i="7"/>
  <c r="AR193" i="7"/>
  <c r="AM194" i="7"/>
  <c r="AN194" i="7"/>
  <c r="AO194" i="7"/>
  <c r="AP194" i="7"/>
  <c r="AQ194" i="7"/>
  <c r="AR194" i="7"/>
  <c r="AM195" i="7"/>
  <c r="AN195" i="7"/>
  <c r="AO195" i="7"/>
  <c r="AP195" i="7"/>
  <c r="AQ195" i="7"/>
  <c r="AR195" i="7"/>
  <c r="AM196" i="7"/>
  <c r="AN196" i="7"/>
  <c r="AO196" i="7"/>
  <c r="AP196" i="7"/>
  <c r="AQ196" i="7"/>
  <c r="AR196" i="7"/>
  <c r="AM197" i="7"/>
  <c r="AN197" i="7"/>
  <c r="AO197" i="7"/>
  <c r="AP197" i="7"/>
  <c r="AQ197" i="7"/>
  <c r="AR197" i="7"/>
  <c r="AM198" i="7"/>
  <c r="AN198" i="7"/>
  <c r="AO198" i="7"/>
  <c r="AP198" i="7"/>
  <c r="AQ198" i="7"/>
  <c r="AR198" i="7"/>
  <c r="AM199" i="7"/>
  <c r="AN199" i="7"/>
  <c r="AO199" i="7"/>
  <c r="AP199" i="7"/>
  <c r="AQ199" i="7"/>
  <c r="AR199" i="7"/>
  <c r="AM200" i="7"/>
  <c r="AN200" i="7"/>
  <c r="AO200" i="7"/>
  <c r="AP200" i="7"/>
  <c r="AQ200" i="7"/>
  <c r="AR200" i="7"/>
  <c r="AM201" i="7"/>
  <c r="AN201" i="7"/>
  <c r="AO201" i="7"/>
  <c r="AP201" i="7"/>
  <c r="AQ201" i="7"/>
  <c r="AR201" i="7"/>
  <c r="AM202" i="7"/>
  <c r="AN202" i="7"/>
  <c r="AO202" i="7"/>
  <c r="AP202" i="7"/>
  <c r="AQ202" i="7"/>
  <c r="AR202" i="7"/>
  <c r="AM203" i="7"/>
  <c r="AN203" i="7"/>
  <c r="AO203" i="7"/>
  <c r="AP203" i="7"/>
  <c r="AQ203" i="7"/>
  <c r="AR203" i="7"/>
  <c r="AM204" i="7"/>
  <c r="AN204" i="7"/>
  <c r="AO204" i="7"/>
  <c r="AP204" i="7"/>
  <c r="AQ204" i="7"/>
  <c r="AR204" i="7"/>
  <c r="AM205" i="7"/>
  <c r="AN205" i="7"/>
  <c r="AO205" i="7"/>
  <c r="AP205" i="7"/>
  <c r="AQ205" i="7"/>
  <c r="AR205" i="7"/>
  <c r="AM206" i="7"/>
  <c r="AN206" i="7"/>
  <c r="AO206" i="7"/>
  <c r="AP206" i="7"/>
  <c r="AQ206" i="7"/>
  <c r="AR206" i="7"/>
  <c r="AM207" i="7"/>
  <c r="AN207" i="7"/>
  <c r="AO207" i="7"/>
  <c r="AP207" i="7"/>
  <c r="AQ207" i="7"/>
  <c r="AR207" i="7"/>
  <c r="AM208" i="7"/>
  <c r="AN208" i="7"/>
  <c r="AO208" i="7"/>
  <c r="AP208" i="7"/>
  <c r="AQ208" i="7"/>
  <c r="AR208" i="7"/>
  <c r="AM209" i="7"/>
  <c r="AN209" i="7"/>
  <c r="AO209" i="7"/>
  <c r="AP209" i="7"/>
  <c r="AQ209" i="7"/>
  <c r="AR209" i="7"/>
  <c r="AM210" i="7"/>
  <c r="AN210" i="7"/>
  <c r="AO210" i="7"/>
  <c r="AP210" i="7"/>
  <c r="AQ210" i="7"/>
  <c r="AR210" i="7"/>
  <c r="AM211" i="7"/>
  <c r="AN211" i="7"/>
  <c r="AO211" i="7"/>
  <c r="AP211" i="7"/>
  <c r="AQ211" i="7"/>
  <c r="AR211" i="7"/>
  <c r="AM212" i="7"/>
  <c r="AN212" i="7"/>
  <c r="AO212" i="7"/>
  <c r="AP212" i="7"/>
  <c r="AQ212" i="7"/>
  <c r="AR212" i="7"/>
  <c r="AM213" i="7"/>
  <c r="AN213" i="7"/>
  <c r="AO213" i="7"/>
  <c r="AP213" i="7"/>
  <c r="AQ213" i="7"/>
  <c r="AR213" i="7"/>
  <c r="AM214" i="7"/>
  <c r="AN214" i="7"/>
  <c r="AO214" i="7"/>
  <c r="AP214" i="7"/>
  <c r="AQ214" i="7"/>
  <c r="AR214" i="7"/>
  <c r="AM215" i="7"/>
  <c r="AN215" i="7"/>
  <c r="AO215" i="7"/>
  <c r="AP215" i="7"/>
  <c r="AQ215" i="7"/>
  <c r="AR215" i="7"/>
  <c r="AM216" i="7"/>
  <c r="AN216" i="7"/>
  <c r="AO216" i="7"/>
  <c r="AP216" i="7"/>
  <c r="AQ216" i="7"/>
  <c r="AR216" i="7"/>
  <c r="AM217" i="7"/>
  <c r="AN217" i="7"/>
  <c r="AO217" i="7"/>
  <c r="AP217" i="7"/>
  <c r="AQ217" i="7"/>
  <c r="AR217" i="7"/>
  <c r="AM218" i="7"/>
  <c r="AN218" i="7"/>
  <c r="AO218" i="7"/>
  <c r="AP218" i="7"/>
  <c r="AQ218" i="7"/>
  <c r="AR218" i="7"/>
  <c r="AM219" i="7"/>
  <c r="AN219" i="7"/>
  <c r="AO219" i="7"/>
  <c r="AP219" i="7"/>
  <c r="AQ219" i="7"/>
  <c r="AR219" i="7"/>
  <c r="AM220" i="7"/>
  <c r="AN220" i="7"/>
  <c r="AO220" i="7"/>
  <c r="AP220" i="7"/>
  <c r="AQ220" i="7"/>
  <c r="AR220" i="7"/>
  <c r="AM221" i="7"/>
  <c r="AN221" i="7"/>
  <c r="AO221" i="7"/>
  <c r="AP221" i="7"/>
  <c r="AQ221" i="7"/>
  <c r="AR221" i="7"/>
  <c r="AM222" i="7"/>
  <c r="AN222" i="7"/>
  <c r="AO222" i="7"/>
  <c r="AP222" i="7"/>
  <c r="AQ222" i="7"/>
  <c r="AR222" i="7"/>
  <c r="AM223" i="7"/>
  <c r="AN223" i="7"/>
  <c r="AO223" i="7"/>
  <c r="AP223" i="7"/>
  <c r="AQ223" i="7"/>
  <c r="AR223" i="7"/>
  <c r="AM224" i="7"/>
  <c r="AN224" i="7"/>
  <c r="AO224" i="7"/>
  <c r="AP224" i="7"/>
  <c r="AQ224" i="7"/>
  <c r="AR224" i="7"/>
  <c r="AM225" i="7"/>
  <c r="AN225" i="7"/>
  <c r="AO225" i="7"/>
  <c r="AP225" i="7"/>
  <c r="AQ225" i="7"/>
  <c r="AR225" i="7"/>
  <c r="AM226" i="7"/>
  <c r="AN226" i="7"/>
  <c r="AO226" i="7"/>
  <c r="AP226" i="7"/>
  <c r="AQ226" i="7"/>
  <c r="AR226" i="7"/>
  <c r="AM227" i="7"/>
  <c r="AN227" i="7"/>
  <c r="AO227" i="7"/>
  <c r="AP227" i="7"/>
  <c r="AQ227" i="7"/>
  <c r="AR227" i="7"/>
  <c r="AM228" i="7"/>
  <c r="AN228" i="7"/>
  <c r="AO228" i="7"/>
  <c r="AP228" i="7"/>
  <c r="AQ228" i="7"/>
  <c r="AR228" i="7"/>
  <c r="AM229" i="7"/>
  <c r="AN229" i="7"/>
  <c r="AO229" i="7"/>
  <c r="AP229" i="7"/>
  <c r="AQ229" i="7"/>
  <c r="AR229" i="7"/>
  <c r="AM230" i="7"/>
  <c r="AN230" i="7"/>
  <c r="AO230" i="7"/>
  <c r="AP230" i="7"/>
  <c r="AQ230" i="7"/>
  <c r="AR230" i="7"/>
  <c r="AM231" i="7"/>
  <c r="AN231" i="7"/>
  <c r="AO231" i="7"/>
  <c r="AP231" i="7"/>
  <c r="AQ231" i="7"/>
  <c r="AR231" i="7"/>
  <c r="AM232" i="7"/>
  <c r="AN232" i="7"/>
  <c r="AO232" i="7"/>
  <c r="AP232" i="7"/>
  <c r="AQ232" i="7"/>
  <c r="AR232" i="7"/>
  <c r="AM233" i="7"/>
  <c r="AN233" i="7"/>
  <c r="AO233" i="7"/>
  <c r="AP233" i="7"/>
  <c r="AQ233" i="7"/>
  <c r="AR233" i="7"/>
  <c r="AM234" i="7"/>
  <c r="AN234" i="7"/>
  <c r="AO234" i="7"/>
  <c r="AP234" i="7"/>
  <c r="AQ234" i="7"/>
  <c r="AR234" i="7"/>
  <c r="AM235" i="7"/>
  <c r="AN235" i="7"/>
  <c r="AO235" i="7"/>
  <c r="AP235" i="7"/>
  <c r="AQ235" i="7"/>
  <c r="AR235" i="7"/>
  <c r="AM236" i="7"/>
  <c r="AN236" i="7"/>
  <c r="AO236" i="7"/>
  <c r="AP236" i="7"/>
  <c r="AQ236" i="7"/>
  <c r="AR236" i="7"/>
  <c r="AM237" i="7"/>
  <c r="AN237" i="7"/>
  <c r="AO237" i="7"/>
  <c r="AP237" i="7"/>
  <c r="AQ237" i="7"/>
  <c r="AR237" i="7"/>
  <c r="AM238" i="7"/>
  <c r="AN238" i="7"/>
  <c r="AO238" i="7"/>
  <c r="AP238" i="7"/>
  <c r="AQ238" i="7"/>
  <c r="AR238" i="7"/>
  <c r="AM239" i="7"/>
  <c r="AN239" i="7"/>
  <c r="AO239" i="7"/>
  <c r="AP239" i="7"/>
  <c r="AQ239" i="7"/>
  <c r="AR239" i="7"/>
  <c r="AM240" i="7"/>
  <c r="AN240" i="7"/>
  <c r="AO240" i="7"/>
  <c r="AP240" i="7"/>
  <c r="AQ240" i="7"/>
  <c r="AR240" i="7"/>
  <c r="AM241" i="7"/>
  <c r="AN241" i="7"/>
  <c r="AO241" i="7"/>
  <c r="AP241" i="7"/>
  <c r="AQ241" i="7"/>
  <c r="AR241" i="7"/>
  <c r="AM242" i="7"/>
  <c r="AN242" i="7"/>
  <c r="AO242" i="7"/>
  <c r="AP242" i="7"/>
  <c r="AQ242" i="7"/>
  <c r="AR242" i="7"/>
  <c r="AM243" i="7"/>
  <c r="AN243" i="7"/>
  <c r="AO243" i="7"/>
  <c r="AP243" i="7"/>
  <c r="AQ243" i="7"/>
  <c r="AR243" i="7"/>
  <c r="AM244" i="7"/>
  <c r="AN244" i="7"/>
  <c r="AO244" i="7"/>
  <c r="AP244" i="7"/>
  <c r="AQ244" i="7"/>
  <c r="AR244" i="7"/>
  <c r="AM245" i="7"/>
  <c r="AN245" i="7"/>
  <c r="AO245" i="7"/>
  <c r="AP245" i="7"/>
  <c r="AQ245" i="7"/>
  <c r="AR245" i="7"/>
  <c r="AM246" i="7"/>
  <c r="AN246" i="7"/>
  <c r="AO246" i="7"/>
  <c r="AP246" i="7"/>
  <c r="AQ246" i="7"/>
  <c r="AR246" i="7"/>
  <c r="AM247" i="7"/>
  <c r="AN247" i="7"/>
  <c r="AO247" i="7"/>
  <c r="AP247" i="7"/>
  <c r="AQ247" i="7"/>
  <c r="AR247" i="7"/>
  <c r="AM248" i="7"/>
  <c r="AN248" i="7"/>
  <c r="AO248" i="7"/>
  <c r="AP248" i="7"/>
  <c r="AQ248" i="7"/>
  <c r="AR248" i="7"/>
  <c r="AM249" i="7"/>
  <c r="AN249" i="7"/>
  <c r="AO249" i="7"/>
  <c r="AP249" i="7"/>
  <c r="AQ249" i="7"/>
  <c r="AR249" i="7"/>
  <c r="AM250" i="7"/>
  <c r="AN250" i="7"/>
  <c r="AO250" i="7"/>
  <c r="AP250" i="7"/>
  <c r="AQ250" i="7"/>
  <c r="AR250" i="7"/>
  <c r="AM251" i="7"/>
  <c r="AN251" i="7"/>
  <c r="AO251" i="7"/>
  <c r="AP251" i="7"/>
  <c r="AQ251" i="7"/>
  <c r="AR251" i="7"/>
  <c r="AM252" i="7"/>
  <c r="AN252" i="7"/>
  <c r="AO252" i="7"/>
  <c r="AP252" i="7"/>
  <c r="AQ252" i="7"/>
  <c r="AR252" i="7"/>
  <c r="AM253" i="7"/>
  <c r="AN253" i="7"/>
  <c r="AO253" i="7"/>
  <c r="AP253" i="7"/>
  <c r="AQ253" i="7"/>
  <c r="AR253" i="7"/>
  <c r="AM254" i="7"/>
  <c r="AN254" i="7"/>
  <c r="AO254" i="7"/>
  <c r="AP254" i="7"/>
  <c r="AQ254" i="7"/>
  <c r="AR254" i="7"/>
  <c r="AM255" i="7"/>
  <c r="AN255" i="7"/>
  <c r="AO255" i="7"/>
  <c r="AP255" i="7"/>
  <c r="AQ255" i="7"/>
  <c r="AR255" i="7"/>
  <c r="AM256" i="7"/>
  <c r="AN256" i="7"/>
  <c r="AO256" i="7"/>
  <c r="AP256" i="7"/>
  <c r="AQ256" i="7"/>
  <c r="AR256" i="7"/>
  <c r="AM257" i="7"/>
  <c r="AN257" i="7"/>
  <c r="AO257" i="7"/>
  <c r="AP257" i="7"/>
  <c r="AQ257" i="7"/>
  <c r="AR257" i="7"/>
  <c r="AM258" i="7"/>
  <c r="AN258" i="7"/>
  <c r="AO258" i="7"/>
  <c r="AP258" i="7"/>
  <c r="AQ258" i="7"/>
  <c r="AR258" i="7"/>
  <c r="AM259" i="7"/>
  <c r="AN259" i="7"/>
  <c r="AO259" i="7"/>
  <c r="AP259" i="7"/>
  <c r="AQ259" i="7"/>
  <c r="AR259" i="7"/>
  <c r="AM260" i="7"/>
  <c r="AN260" i="7"/>
  <c r="AO260" i="7"/>
  <c r="AP260" i="7"/>
  <c r="AQ260" i="7"/>
  <c r="AR260" i="7"/>
  <c r="AM261" i="7"/>
  <c r="AN261" i="7"/>
  <c r="AO261" i="7"/>
  <c r="AP261" i="7"/>
  <c r="AQ261" i="7"/>
  <c r="AR261" i="7"/>
  <c r="AM262" i="7"/>
  <c r="AN262" i="7"/>
  <c r="AO262" i="7"/>
  <c r="AP262" i="7"/>
  <c r="AQ262" i="7"/>
  <c r="AR262" i="7"/>
  <c r="AM263" i="7"/>
  <c r="AN263" i="7"/>
  <c r="AO263" i="7"/>
  <c r="AP263" i="7"/>
  <c r="AQ263" i="7"/>
  <c r="AR263" i="7"/>
  <c r="AM264" i="7"/>
  <c r="AN264" i="7"/>
  <c r="AO264" i="7"/>
  <c r="AP264" i="7"/>
  <c r="AQ264" i="7"/>
  <c r="AR264" i="7"/>
  <c r="AM265" i="7"/>
  <c r="AN265" i="7"/>
  <c r="AO265" i="7"/>
  <c r="AP265" i="7"/>
  <c r="AQ265" i="7"/>
  <c r="AR265" i="7"/>
  <c r="AM266" i="7"/>
  <c r="AN266" i="7"/>
  <c r="AO266" i="7"/>
  <c r="AP266" i="7"/>
  <c r="AQ266" i="7"/>
  <c r="AR266" i="7"/>
  <c r="AM267" i="7"/>
  <c r="AN267" i="7"/>
  <c r="AO267" i="7"/>
  <c r="AP267" i="7"/>
  <c r="AQ267" i="7"/>
  <c r="AR267" i="7"/>
  <c r="AM268" i="7"/>
  <c r="AN268" i="7"/>
  <c r="AO268" i="7"/>
  <c r="AP268" i="7"/>
  <c r="AQ268" i="7"/>
  <c r="AR268" i="7"/>
  <c r="AM269" i="7"/>
  <c r="AN269" i="7"/>
  <c r="AO269" i="7"/>
  <c r="AP269" i="7"/>
  <c r="AQ269" i="7"/>
  <c r="AR269" i="7"/>
  <c r="AM270" i="7"/>
  <c r="AN270" i="7"/>
  <c r="AO270" i="7"/>
  <c r="AP270" i="7"/>
  <c r="AQ270" i="7"/>
  <c r="AR270" i="7"/>
  <c r="AM271" i="7"/>
  <c r="AN271" i="7"/>
  <c r="AO271" i="7"/>
  <c r="AP271" i="7"/>
  <c r="AQ271" i="7"/>
  <c r="AR271" i="7"/>
  <c r="AM272" i="7"/>
  <c r="AN272" i="7"/>
  <c r="AO272" i="7"/>
  <c r="AP272" i="7"/>
  <c r="AQ272" i="7"/>
  <c r="AR272" i="7"/>
  <c r="AM273" i="7"/>
  <c r="AN273" i="7"/>
  <c r="AO273" i="7"/>
  <c r="AP273" i="7"/>
  <c r="AQ273" i="7"/>
  <c r="AR273" i="7"/>
  <c r="AM274" i="7"/>
  <c r="AN274" i="7"/>
  <c r="AO274" i="7"/>
  <c r="AP274" i="7"/>
  <c r="AQ274" i="7"/>
  <c r="AR274" i="7"/>
  <c r="AM275" i="7"/>
  <c r="AN275" i="7"/>
  <c r="AO275" i="7"/>
  <c r="AP275" i="7"/>
  <c r="AQ275" i="7"/>
  <c r="AR275" i="7"/>
  <c r="AM10" i="7"/>
  <c r="AN10" i="7"/>
  <c r="AO10" i="7"/>
  <c r="AP10" i="7"/>
  <c r="AQ10" i="7"/>
  <c r="AR10" i="7"/>
  <c r="AM11" i="7"/>
  <c r="AN11" i="7"/>
  <c r="AO11" i="7"/>
  <c r="AP11" i="7"/>
  <c r="AQ11" i="7"/>
  <c r="AR11" i="7"/>
  <c r="AM12" i="7"/>
  <c r="AN12" i="7"/>
  <c r="AO12" i="7"/>
  <c r="AP12" i="7"/>
  <c r="AQ12" i="7"/>
  <c r="AR12" i="7"/>
  <c r="AM7" i="7"/>
  <c r="AN7" i="7"/>
  <c r="AO7" i="7"/>
  <c r="AP7" i="7"/>
  <c r="AQ7" i="7"/>
  <c r="AR7" i="7"/>
  <c r="AM8" i="7"/>
  <c r="AN8" i="7"/>
  <c r="AO8" i="7"/>
  <c r="AP8" i="7"/>
  <c r="AQ8" i="7"/>
  <c r="AR8" i="7"/>
  <c r="AM9" i="7"/>
  <c r="AN9" i="7"/>
  <c r="AO9" i="7"/>
  <c r="AP9" i="7"/>
  <c r="AQ9" i="7"/>
  <c r="AR9" i="7"/>
  <c r="AM6" i="7"/>
  <c r="AN6" i="7"/>
  <c r="AO6" i="7"/>
  <c r="AP6" i="7"/>
  <c r="AQ6" i="7"/>
  <c r="AR6" i="7"/>
  <c r="AM5" i="7"/>
  <c r="AN5" i="7"/>
  <c r="AO5" i="7"/>
  <c r="AP5" i="7"/>
  <c r="AQ5" i="7"/>
  <c r="AR5" i="7"/>
  <c r="AQ4" i="7"/>
  <c r="AP4" i="7"/>
  <c r="AO4" i="7"/>
  <c r="AN4" i="7"/>
  <c r="AM4" i="7"/>
  <c r="AP3" i="7"/>
  <c r="AQ3" i="7"/>
  <c r="AR3" i="7"/>
  <c r="AS3" i="7"/>
  <c r="AO3" i="7"/>
  <c r="AN3" i="7"/>
  <c r="AM3" i="7"/>
  <c r="B44" i="6"/>
  <c r="C44" i="6"/>
  <c r="D44" i="6"/>
  <c r="B45" i="6"/>
  <c r="C45" i="6"/>
  <c r="D45" i="6"/>
  <c r="B54" i="6"/>
  <c r="C54" i="6"/>
  <c r="D54" i="6"/>
  <c r="B55" i="6"/>
  <c r="C55" i="6"/>
  <c r="D55" i="6"/>
  <c r="B56" i="6"/>
  <c r="C56" i="6"/>
  <c r="D56" i="6"/>
  <c r="B57" i="6"/>
  <c r="C57" i="6"/>
  <c r="D57" i="6"/>
  <c r="B58" i="6"/>
  <c r="C58" i="6"/>
  <c r="D58" i="6"/>
  <c r="B59" i="6"/>
  <c r="C59" i="6"/>
  <c r="D59" i="6"/>
  <c r="B60" i="6"/>
  <c r="C60" i="6"/>
  <c r="D60" i="6"/>
  <c r="B61" i="6"/>
  <c r="C61" i="6"/>
  <c r="D61" i="6"/>
  <c r="B62" i="6"/>
  <c r="C62" i="6"/>
  <c r="D62" i="6"/>
  <c r="B63" i="6"/>
  <c r="C63" i="6"/>
  <c r="D63" i="6"/>
  <c r="B64" i="6"/>
  <c r="C64" i="6"/>
  <c r="D64" i="6"/>
  <c r="B65" i="6"/>
  <c r="C65" i="6"/>
  <c r="D65" i="6"/>
  <c r="B66" i="6"/>
  <c r="C66" i="6"/>
  <c r="D66" i="6"/>
  <c r="B67" i="6"/>
  <c r="C67" i="6"/>
  <c r="D67" i="6"/>
  <c r="B68" i="6"/>
  <c r="C68" i="6"/>
  <c r="D68" i="6"/>
  <c r="B69" i="6"/>
  <c r="C69" i="6"/>
  <c r="D69" i="6"/>
  <c r="B172" i="6"/>
  <c r="C172" i="6"/>
  <c r="D172" i="6"/>
  <c r="B173" i="6"/>
  <c r="C173" i="6"/>
  <c r="D173" i="6"/>
  <c r="B174" i="6"/>
  <c r="C174" i="6"/>
  <c r="D174" i="6"/>
  <c r="B175" i="6"/>
  <c r="C175" i="6"/>
  <c r="D175" i="6"/>
  <c r="B193" i="6"/>
  <c r="C193" i="6"/>
  <c r="D193" i="6"/>
  <c r="B194" i="6"/>
  <c r="C194" i="6"/>
  <c r="D194" i="6"/>
  <c r="B195" i="6"/>
  <c r="C195" i="6"/>
  <c r="D195" i="6"/>
  <c r="B196" i="6"/>
  <c r="C196" i="6"/>
  <c r="D196" i="6"/>
  <c r="B197" i="6"/>
  <c r="C197" i="6"/>
  <c r="D197" i="6"/>
  <c r="B198" i="6"/>
  <c r="C198" i="6"/>
  <c r="D198" i="6"/>
  <c r="B199" i="6"/>
  <c r="C199" i="6"/>
  <c r="D199" i="6"/>
  <c r="B200" i="6"/>
  <c r="C200" i="6"/>
  <c r="D200" i="6"/>
  <c r="B201" i="6"/>
  <c r="C201" i="6"/>
  <c r="D201" i="6"/>
  <c r="B202" i="6"/>
  <c r="C202" i="6"/>
  <c r="D202" i="6"/>
  <c r="B203" i="6"/>
  <c r="C203" i="6"/>
  <c r="D203" i="6"/>
  <c r="B204" i="6"/>
  <c r="C204" i="6"/>
  <c r="D204" i="6"/>
  <c r="B205" i="6"/>
  <c r="C205" i="6"/>
  <c r="D205" i="6"/>
  <c r="B206" i="6"/>
  <c r="C206" i="6"/>
  <c r="D206" i="6"/>
  <c r="B207" i="6"/>
  <c r="C207" i="6"/>
  <c r="D207" i="6"/>
  <c r="B43" i="6"/>
  <c r="C43" i="6"/>
  <c r="D43" i="6"/>
  <c r="B192" i="6"/>
  <c r="C192" i="6"/>
  <c r="D192" i="6"/>
  <c r="B164" i="6"/>
  <c r="C164" i="6"/>
  <c r="D164" i="6"/>
  <c r="B171" i="6"/>
  <c r="C171" i="6"/>
  <c r="D171" i="6"/>
  <c r="B46" i="6"/>
  <c r="C46" i="6"/>
  <c r="D46" i="6"/>
  <c r="B47" i="6"/>
  <c r="C47" i="6"/>
  <c r="D47" i="6"/>
  <c r="B48" i="6"/>
  <c r="C48" i="6"/>
  <c r="D48" i="6"/>
  <c r="B49" i="6"/>
  <c r="C49" i="6"/>
  <c r="D49" i="6"/>
  <c r="B50" i="6"/>
  <c r="C50" i="6"/>
  <c r="D50" i="6"/>
  <c r="B51" i="6"/>
  <c r="C51" i="6"/>
  <c r="D51" i="6"/>
  <c r="B52" i="6"/>
  <c r="C52" i="6"/>
  <c r="D52" i="6"/>
  <c r="B159" i="6"/>
  <c r="C159" i="6"/>
  <c r="D159" i="6"/>
  <c r="B167" i="6"/>
  <c r="C167" i="6"/>
  <c r="D167" i="6"/>
  <c r="B187" i="6"/>
  <c r="C187" i="6"/>
  <c r="D187" i="6"/>
  <c r="B188" i="6"/>
  <c r="C188" i="6"/>
  <c r="D188" i="6"/>
  <c r="B189" i="6"/>
  <c r="C189" i="6"/>
  <c r="D189" i="6"/>
  <c r="B190" i="6"/>
  <c r="C190" i="6"/>
  <c r="D190" i="6"/>
  <c r="B191" i="6"/>
  <c r="C191" i="6"/>
  <c r="D191" i="6"/>
  <c r="B41" i="6"/>
  <c r="C41" i="6"/>
  <c r="D41" i="6"/>
  <c r="B158" i="6"/>
  <c r="C158" i="6"/>
  <c r="D158" i="6"/>
  <c r="B160" i="6"/>
  <c r="C160" i="6"/>
  <c r="D160" i="6"/>
  <c r="B161" i="6"/>
  <c r="C161" i="6"/>
  <c r="D161" i="6"/>
  <c r="B162" i="6"/>
  <c r="C162" i="6"/>
  <c r="D162" i="6"/>
  <c r="B89" i="6"/>
  <c r="C89" i="6"/>
  <c r="D89" i="6"/>
  <c r="B90" i="6"/>
  <c r="C90" i="6"/>
  <c r="D90" i="6"/>
  <c r="B91" i="6"/>
  <c r="C91" i="6"/>
  <c r="D91" i="6"/>
  <c r="B92" i="6"/>
  <c r="C92" i="6"/>
  <c r="D92" i="6"/>
  <c r="B168" i="6"/>
  <c r="C168" i="6"/>
  <c r="D168" i="6"/>
  <c r="B86" i="6"/>
  <c r="C86" i="6"/>
  <c r="D86" i="6"/>
  <c r="B87" i="6"/>
  <c r="C87" i="6"/>
  <c r="D87" i="6"/>
  <c r="B166" i="6"/>
  <c r="C166" i="6"/>
  <c r="D166" i="6"/>
  <c r="B226" i="6"/>
  <c r="C226" i="6"/>
  <c r="D226" i="6"/>
  <c r="B227" i="6"/>
  <c r="C227" i="6"/>
  <c r="D22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131" i="6"/>
  <c r="C131" i="6"/>
  <c r="D131" i="6"/>
  <c r="B132" i="6"/>
  <c r="C132" i="6"/>
  <c r="D132" i="6"/>
  <c r="B133" i="6"/>
  <c r="C133" i="6"/>
  <c r="D133" i="6"/>
  <c r="B134" i="6"/>
  <c r="C134" i="6"/>
  <c r="D134" i="6"/>
  <c r="B135" i="6"/>
  <c r="C135" i="6"/>
  <c r="D135" i="6"/>
  <c r="B136" i="6"/>
  <c r="C136" i="6"/>
  <c r="D136" i="6"/>
  <c r="B144" i="6"/>
  <c r="C144" i="6"/>
  <c r="D144" i="6"/>
  <c r="B145" i="6"/>
  <c r="C145" i="6"/>
  <c r="D145" i="6"/>
  <c r="B146" i="6"/>
  <c r="C146" i="6"/>
  <c r="D146" i="6"/>
  <c r="B147" i="6"/>
  <c r="C147" i="6"/>
  <c r="D147" i="6"/>
  <c r="B148" i="6"/>
  <c r="C148" i="6"/>
  <c r="D148" i="6"/>
  <c r="B149" i="6"/>
  <c r="C149" i="6"/>
  <c r="D149" i="6"/>
  <c r="B150" i="6"/>
  <c r="C150" i="6"/>
  <c r="D150" i="6"/>
  <c r="B151" i="6"/>
  <c r="C151" i="6"/>
  <c r="D151" i="6"/>
  <c r="B152" i="6"/>
  <c r="C152" i="6"/>
  <c r="D152" i="6"/>
  <c r="B153" i="6"/>
  <c r="C153" i="6"/>
  <c r="D153" i="6"/>
  <c r="B253" i="6"/>
  <c r="C253" i="6"/>
  <c r="D253" i="6"/>
  <c r="B255" i="6"/>
  <c r="C255" i="6"/>
  <c r="D255" i="6"/>
  <c r="B256" i="6"/>
  <c r="C256" i="6"/>
  <c r="D256" i="6"/>
  <c r="B257" i="6"/>
  <c r="C257" i="6"/>
  <c r="D257" i="6"/>
  <c r="B258" i="6"/>
  <c r="C258" i="6"/>
  <c r="D258" i="6"/>
  <c r="B259" i="6"/>
  <c r="C259" i="6"/>
  <c r="D259" i="6"/>
  <c r="B260" i="6"/>
  <c r="C260" i="6"/>
  <c r="D260" i="6"/>
  <c r="B261" i="6"/>
  <c r="C261" i="6"/>
  <c r="D261" i="6"/>
  <c r="B262" i="6"/>
  <c r="C262" i="6"/>
  <c r="D262" i="6"/>
  <c r="B263" i="6"/>
  <c r="C263" i="6"/>
  <c r="D263" i="6"/>
  <c r="B264" i="6"/>
  <c r="C264" i="6"/>
  <c r="D264" i="6"/>
  <c r="B265" i="6"/>
  <c r="C265" i="6"/>
  <c r="D265" i="6"/>
  <c r="B266" i="6"/>
  <c r="C266" i="6"/>
  <c r="D266" i="6"/>
  <c r="B267" i="6"/>
  <c r="C267" i="6"/>
  <c r="D267" i="6"/>
  <c r="B268" i="6"/>
  <c r="C268" i="6"/>
  <c r="D268" i="6"/>
  <c r="B269" i="6"/>
  <c r="C269" i="6"/>
  <c r="D269" i="6"/>
  <c r="B270" i="6"/>
  <c r="C270" i="6"/>
  <c r="D270" i="6"/>
  <c r="B271" i="6"/>
  <c r="C271" i="6"/>
  <c r="D271" i="6"/>
  <c r="B272" i="6"/>
  <c r="C272" i="6"/>
  <c r="D272" i="6"/>
  <c r="B273" i="6"/>
  <c r="C273" i="6"/>
  <c r="D273" i="6"/>
  <c r="B130" i="6"/>
  <c r="C130" i="6"/>
  <c r="D130" i="6"/>
  <c r="B119" i="6"/>
  <c r="C119" i="6"/>
  <c r="D119" i="6"/>
  <c r="B120" i="6"/>
  <c r="C120" i="6"/>
  <c r="D120" i="6"/>
  <c r="B275" i="6"/>
  <c r="C275" i="6"/>
  <c r="D275" i="6"/>
  <c r="B76" i="6"/>
  <c r="C76" i="6"/>
  <c r="D76" i="6"/>
  <c r="B217" i="6"/>
  <c r="C217" i="6"/>
  <c r="D217" i="6"/>
  <c r="B218" i="6"/>
  <c r="C218" i="6"/>
  <c r="D218" i="6"/>
  <c r="B219" i="6"/>
  <c r="C219" i="6"/>
  <c r="D219" i="6"/>
  <c r="B220" i="6"/>
  <c r="C220" i="6"/>
  <c r="D220" i="6"/>
  <c r="B186" i="6"/>
  <c r="C186" i="6"/>
  <c r="D186" i="6"/>
  <c r="B77" i="6"/>
  <c r="C77" i="6"/>
  <c r="D77" i="6"/>
  <c r="B78" i="6"/>
  <c r="C78" i="6"/>
  <c r="D78" i="6"/>
  <c r="B79" i="6"/>
  <c r="C79" i="6"/>
  <c r="D79" i="6"/>
  <c r="B80" i="6"/>
  <c r="C80" i="6"/>
  <c r="D80" i="6"/>
  <c r="B231" i="6"/>
  <c r="C231" i="6"/>
  <c r="D231" i="6"/>
  <c r="B14" i="6"/>
  <c r="C14" i="6"/>
  <c r="D14" i="6"/>
  <c r="B15" i="6"/>
  <c r="C15" i="6"/>
  <c r="D15" i="6"/>
  <c r="B16" i="6"/>
  <c r="C16" i="6"/>
  <c r="D16" i="6"/>
  <c r="B17" i="6"/>
  <c r="C17" i="6"/>
  <c r="D17" i="6"/>
  <c r="B169" i="6"/>
  <c r="C169" i="6"/>
  <c r="D169" i="6"/>
  <c r="B248" i="6"/>
  <c r="C248" i="6"/>
  <c r="D248" i="6"/>
  <c r="B251" i="6"/>
  <c r="C251" i="6"/>
  <c r="D251" i="6"/>
  <c r="B252" i="6"/>
  <c r="C252" i="6"/>
  <c r="D252" i="6"/>
  <c r="B254" i="6"/>
  <c r="C254" i="6"/>
  <c r="D254" i="6"/>
  <c r="B13" i="6"/>
  <c r="C13" i="6"/>
  <c r="D13" i="6"/>
  <c r="B6" i="6"/>
  <c r="C6" i="6"/>
  <c r="D6" i="6"/>
  <c r="B221" i="6"/>
  <c r="C221" i="6"/>
  <c r="D221" i="6"/>
  <c r="B7" i="6"/>
  <c r="C7" i="6"/>
  <c r="D7" i="6"/>
  <c r="B33" i="6"/>
  <c r="C33" i="6"/>
  <c r="D33" i="6"/>
  <c r="B81" i="6"/>
  <c r="C81" i="6"/>
  <c r="D81" i="6"/>
  <c r="B176" i="6"/>
  <c r="C176" i="6"/>
  <c r="D176" i="6"/>
  <c r="B225" i="6"/>
  <c r="C225" i="6"/>
  <c r="D225" i="6"/>
  <c r="B88" i="6"/>
  <c r="C88" i="6"/>
  <c r="D88" i="6"/>
  <c r="B8" i="6"/>
  <c r="C8" i="6"/>
  <c r="D8" i="6"/>
  <c r="B9" i="6"/>
  <c r="C9" i="6"/>
  <c r="D9" i="6"/>
  <c r="B10" i="6"/>
  <c r="C10" i="6"/>
  <c r="D10" i="6"/>
  <c r="B11" i="6"/>
  <c r="C11" i="6"/>
  <c r="D11" i="6"/>
  <c r="B12" i="6"/>
  <c r="C12" i="6"/>
  <c r="D12" i="6"/>
  <c r="B121" i="6"/>
  <c r="C121" i="6"/>
  <c r="D121" i="6"/>
  <c r="B122" i="6"/>
  <c r="C122" i="6"/>
  <c r="D122" i="6"/>
  <c r="B123" i="6"/>
  <c r="C123" i="6"/>
  <c r="D123" i="6"/>
  <c r="B124" i="6"/>
  <c r="C124" i="6"/>
  <c r="D124" i="6"/>
  <c r="B125" i="6"/>
  <c r="C125" i="6"/>
  <c r="D125" i="6"/>
  <c r="B126" i="6"/>
  <c r="C126" i="6"/>
  <c r="D126" i="6"/>
  <c r="B127" i="6"/>
  <c r="C127" i="6"/>
  <c r="D127" i="6"/>
  <c r="B128" i="6"/>
  <c r="C128" i="6"/>
  <c r="D128" i="6"/>
  <c r="B129" i="6"/>
  <c r="C129" i="6"/>
  <c r="D129" i="6"/>
  <c r="B137" i="6"/>
  <c r="C137" i="6"/>
  <c r="D137" i="6"/>
  <c r="B138" i="6"/>
  <c r="C138" i="6"/>
  <c r="D138" i="6"/>
  <c r="B139" i="6"/>
  <c r="C139" i="6"/>
  <c r="D139" i="6"/>
  <c r="B140" i="6"/>
  <c r="C140" i="6"/>
  <c r="D140" i="6"/>
  <c r="B141" i="6"/>
  <c r="C141" i="6"/>
  <c r="D141" i="6"/>
  <c r="B142" i="6"/>
  <c r="C142" i="6"/>
  <c r="D142" i="6"/>
  <c r="B143" i="6"/>
  <c r="C143" i="6"/>
  <c r="D143" i="6"/>
  <c r="B178" i="6"/>
  <c r="C178" i="6"/>
  <c r="D178" i="6"/>
  <c r="B179" i="6"/>
  <c r="C179" i="6"/>
  <c r="D179" i="6"/>
  <c r="B180" i="6"/>
  <c r="C180" i="6"/>
  <c r="D180" i="6"/>
  <c r="B236" i="6"/>
  <c r="C236" i="6"/>
  <c r="D236" i="6"/>
  <c r="B237" i="6"/>
  <c r="C237" i="6"/>
  <c r="D237" i="6"/>
  <c r="B238" i="6"/>
  <c r="C238" i="6"/>
  <c r="D238" i="6"/>
  <c r="B239" i="6"/>
  <c r="C239" i="6"/>
  <c r="D239" i="6"/>
  <c r="B240" i="6"/>
  <c r="C240" i="6"/>
  <c r="D240" i="6"/>
  <c r="B241" i="6"/>
  <c r="C241" i="6"/>
  <c r="D241" i="6"/>
  <c r="B242" i="6"/>
  <c r="C242" i="6"/>
  <c r="D242" i="6"/>
  <c r="B243" i="6"/>
  <c r="C243" i="6"/>
  <c r="D243" i="6"/>
  <c r="B244" i="6"/>
  <c r="C244" i="6"/>
  <c r="D244" i="6"/>
  <c r="B245" i="6"/>
  <c r="C245" i="6"/>
  <c r="D245" i="6"/>
  <c r="B246" i="6"/>
  <c r="C246" i="6"/>
  <c r="D246" i="6"/>
  <c r="B247" i="6"/>
  <c r="C247" i="6"/>
  <c r="D247" i="6"/>
  <c r="B274" i="6"/>
  <c r="C274" i="6"/>
  <c r="D274" i="6"/>
  <c r="B82" i="6"/>
  <c r="C82" i="6"/>
  <c r="D82" i="6"/>
  <c r="B83" i="6"/>
  <c r="C83" i="6"/>
  <c r="D83" i="6"/>
  <c r="B84" i="6"/>
  <c r="C84" i="6"/>
  <c r="D84" i="6"/>
  <c r="B85" i="6"/>
  <c r="C85" i="6"/>
  <c r="D85" i="6"/>
  <c r="B228" i="6"/>
  <c r="C228" i="6"/>
  <c r="D228" i="6"/>
  <c r="B229" i="6"/>
  <c r="C229" i="6"/>
  <c r="D229" i="6"/>
  <c r="B230" i="6"/>
  <c r="C230" i="6"/>
  <c r="D230" i="6"/>
  <c r="B232" i="6"/>
  <c r="C232" i="6"/>
  <c r="D232" i="6"/>
  <c r="B233" i="6"/>
  <c r="C233" i="6"/>
  <c r="D233" i="6"/>
  <c r="B234" i="6"/>
  <c r="C234" i="6"/>
  <c r="D234" i="6"/>
  <c r="B235" i="6"/>
  <c r="C235" i="6"/>
  <c r="D235" i="6"/>
  <c r="B39" i="6"/>
  <c r="C39" i="6"/>
  <c r="D39" i="6"/>
  <c r="B53" i="6"/>
  <c r="C53" i="6"/>
  <c r="D53" i="6"/>
  <c r="B93" i="6"/>
  <c r="C93" i="6"/>
  <c r="D93" i="6"/>
  <c r="B94" i="6"/>
  <c r="C94" i="6"/>
  <c r="D94" i="6"/>
  <c r="B95" i="6"/>
  <c r="C95" i="6"/>
  <c r="D95" i="6"/>
  <c r="B96" i="6"/>
  <c r="C96" i="6"/>
  <c r="D96" i="6"/>
  <c r="B97" i="6"/>
  <c r="C97" i="6"/>
  <c r="D97" i="6"/>
  <c r="B98" i="6"/>
  <c r="C98" i="6"/>
  <c r="D98" i="6"/>
  <c r="B99" i="6"/>
  <c r="C99" i="6"/>
  <c r="D99" i="6"/>
  <c r="B100" i="6"/>
  <c r="C100" i="6"/>
  <c r="D100" i="6"/>
  <c r="B101" i="6"/>
  <c r="C101" i="6"/>
  <c r="D101" i="6"/>
  <c r="B102" i="6"/>
  <c r="C102" i="6"/>
  <c r="D102" i="6"/>
  <c r="B103" i="6"/>
  <c r="C103" i="6"/>
  <c r="D103" i="6"/>
  <c r="B154" i="6"/>
  <c r="C154" i="6"/>
  <c r="D154" i="6"/>
  <c r="B155" i="6"/>
  <c r="C155" i="6"/>
  <c r="D155" i="6"/>
  <c r="B156" i="6"/>
  <c r="C156" i="6"/>
  <c r="D156" i="6"/>
  <c r="B157" i="6"/>
  <c r="C157" i="6"/>
  <c r="D157" i="6"/>
  <c r="B163" i="6"/>
  <c r="C163" i="6"/>
  <c r="D163" i="6"/>
  <c r="B165" i="6"/>
  <c r="C165" i="6"/>
  <c r="D165" i="6"/>
  <c r="B177" i="6"/>
  <c r="C177" i="6"/>
  <c r="D177" i="6"/>
  <c r="B181" i="6"/>
  <c r="C181" i="6"/>
  <c r="D181" i="6"/>
  <c r="B182" i="6"/>
  <c r="C182" i="6"/>
  <c r="D182" i="6"/>
  <c r="B183" i="6"/>
  <c r="C183" i="6"/>
  <c r="D183" i="6"/>
  <c r="B184" i="6"/>
  <c r="C184" i="6"/>
  <c r="D184" i="6"/>
  <c r="B185" i="6"/>
  <c r="C185" i="6"/>
  <c r="D185" i="6"/>
  <c r="B104" i="6"/>
  <c r="C104" i="6"/>
  <c r="D104" i="6"/>
  <c r="B105" i="6"/>
  <c r="C105" i="6"/>
  <c r="D105" i="6"/>
  <c r="B106" i="6"/>
  <c r="C106" i="6"/>
  <c r="D106" i="6"/>
  <c r="B107" i="6"/>
  <c r="C107" i="6"/>
  <c r="D107" i="6"/>
  <c r="B108" i="6"/>
  <c r="C108" i="6"/>
  <c r="D108" i="6"/>
  <c r="B109" i="6"/>
  <c r="C109" i="6"/>
  <c r="D109" i="6"/>
  <c r="B110" i="6"/>
  <c r="C110" i="6"/>
  <c r="D110" i="6"/>
  <c r="B111" i="6"/>
  <c r="C111" i="6"/>
  <c r="D111" i="6"/>
  <c r="B112" i="6"/>
  <c r="C112" i="6"/>
  <c r="D112" i="6"/>
  <c r="B113" i="6"/>
  <c r="C113" i="6"/>
  <c r="D113" i="6"/>
  <c r="B114" i="6"/>
  <c r="C114" i="6"/>
  <c r="D114" i="6"/>
  <c r="B115" i="6"/>
  <c r="C115" i="6"/>
  <c r="D115" i="6"/>
  <c r="B116" i="6"/>
  <c r="C116" i="6"/>
  <c r="D116" i="6"/>
  <c r="B117" i="6"/>
  <c r="C117" i="6"/>
  <c r="D117" i="6"/>
  <c r="B118" i="6"/>
  <c r="C118" i="6"/>
  <c r="D118" i="6"/>
  <c r="B208" i="6"/>
  <c r="C208" i="6"/>
  <c r="D208" i="6"/>
  <c r="B209" i="6"/>
  <c r="C209" i="6"/>
  <c r="D209" i="6"/>
  <c r="B210" i="6"/>
  <c r="C210" i="6"/>
  <c r="D210" i="6"/>
  <c r="B211" i="6"/>
  <c r="C211" i="6"/>
  <c r="D211" i="6"/>
  <c r="B212" i="6"/>
  <c r="C212" i="6"/>
  <c r="D212" i="6"/>
  <c r="B213" i="6"/>
  <c r="C213" i="6"/>
  <c r="D213" i="6"/>
  <c r="B214" i="6"/>
  <c r="C214" i="6"/>
  <c r="D214" i="6"/>
  <c r="B215" i="6"/>
  <c r="C215" i="6"/>
  <c r="D215" i="6"/>
  <c r="B75" i="6"/>
  <c r="C75" i="6"/>
  <c r="D75" i="6"/>
  <c r="B222" i="6"/>
  <c r="C222" i="6"/>
  <c r="D222" i="6"/>
  <c r="B223" i="6"/>
  <c r="C223" i="6"/>
  <c r="D223" i="6"/>
  <c r="B224" i="6"/>
  <c r="C224" i="6"/>
  <c r="D224" i="6"/>
  <c r="B249" i="6"/>
  <c r="C249" i="6"/>
  <c r="D249" i="6"/>
  <c r="B32" i="6"/>
  <c r="C32" i="6"/>
  <c r="D32" i="6"/>
  <c r="B34" i="6"/>
  <c r="C34" i="6"/>
  <c r="D34" i="6"/>
  <c r="B35" i="6"/>
  <c r="C35" i="6"/>
  <c r="D35" i="6"/>
  <c r="B36" i="6"/>
  <c r="C36" i="6"/>
  <c r="D36" i="6"/>
  <c r="B37" i="6"/>
  <c r="C37" i="6"/>
  <c r="D37" i="6"/>
  <c r="B38" i="6"/>
  <c r="C38" i="6"/>
  <c r="D38" i="6"/>
  <c r="B42" i="6"/>
  <c r="C42" i="6"/>
  <c r="D42" i="6"/>
  <c r="B74" i="6"/>
  <c r="C74" i="6"/>
  <c r="D74" i="6"/>
  <c r="B73" i="6"/>
  <c r="C73" i="6"/>
  <c r="D73" i="6"/>
  <c r="B250" i="6"/>
  <c r="C250" i="6"/>
  <c r="D250" i="6"/>
  <c r="B72" i="6"/>
  <c r="C72" i="6"/>
  <c r="D72" i="6"/>
  <c r="B170" i="6"/>
  <c r="C170" i="6"/>
  <c r="D170" i="6"/>
  <c r="B216" i="6"/>
  <c r="C216" i="6"/>
  <c r="D216" i="6"/>
  <c r="B5" i="6"/>
  <c r="C5" i="6"/>
  <c r="D5" i="6"/>
  <c r="B29" i="6"/>
  <c r="C29" i="6"/>
  <c r="D29" i="6"/>
  <c r="B30" i="6"/>
  <c r="C30" i="6"/>
  <c r="D30" i="6"/>
  <c r="B31" i="6"/>
  <c r="C31" i="6"/>
  <c r="D31" i="6"/>
  <c r="B40" i="6"/>
  <c r="C40" i="6"/>
  <c r="D40" i="6"/>
  <c r="B70" i="6"/>
  <c r="C70" i="6"/>
  <c r="D70" i="6"/>
  <c r="B71" i="6"/>
  <c r="C71" i="6"/>
  <c r="D71" i="6"/>
  <c r="D4" i="6"/>
  <c r="C4" i="6"/>
  <c r="B4" i="6"/>
  <c r="B34" i="5"/>
  <c r="C34" i="5"/>
  <c r="D34" i="5"/>
  <c r="B35" i="5"/>
  <c r="C35" i="5"/>
  <c r="D35" i="5"/>
  <c r="B36" i="5"/>
  <c r="C36" i="5"/>
  <c r="D36" i="5"/>
  <c r="B37" i="5"/>
  <c r="C37" i="5"/>
  <c r="D37" i="5"/>
  <c r="B38" i="5"/>
  <c r="C38" i="5"/>
  <c r="D38" i="5"/>
  <c r="B42" i="5"/>
  <c r="C42" i="5"/>
  <c r="D42" i="5"/>
  <c r="B44" i="5"/>
  <c r="C44" i="5"/>
  <c r="D44" i="5"/>
  <c r="B45" i="5"/>
  <c r="C45" i="5"/>
  <c r="D45" i="5"/>
  <c r="B54" i="5"/>
  <c r="C54" i="5"/>
  <c r="D54" i="5"/>
  <c r="B55" i="5"/>
  <c r="C55" i="5"/>
  <c r="D55" i="5"/>
  <c r="B56" i="5"/>
  <c r="C56" i="5"/>
  <c r="D56" i="5"/>
  <c r="B57" i="5"/>
  <c r="C57" i="5"/>
  <c r="D57" i="5"/>
  <c r="B58" i="5"/>
  <c r="C58" i="5"/>
  <c r="D58" i="5"/>
  <c r="B59" i="5"/>
  <c r="C59" i="5"/>
  <c r="D59" i="5"/>
  <c r="B60" i="5"/>
  <c r="C60" i="5"/>
  <c r="D60" i="5"/>
  <c r="B61" i="5"/>
  <c r="C61" i="5"/>
  <c r="D61" i="5"/>
  <c r="B62" i="5"/>
  <c r="C62" i="5"/>
  <c r="D62" i="5"/>
  <c r="B63" i="5"/>
  <c r="C63" i="5"/>
  <c r="D63" i="5"/>
  <c r="B64" i="5"/>
  <c r="C64" i="5"/>
  <c r="D64" i="5"/>
  <c r="B65" i="5"/>
  <c r="C65" i="5"/>
  <c r="D65" i="5"/>
  <c r="B66" i="5"/>
  <c r="C66" i="5"/>
  <c r="D66" i="5"/>
  <c r="B67" i="5"/>
  <c r="C67" i="5"/>
  <c r="D67" i="5"/>
  <c r="B68" i="5"/>
  <c r="C68" i="5"/>
  <c r="D68" i="5"/>
  <c r="B69" i="5"/>
  <c r="C69" i="5"/>
  <c r="D69" i="5"/>
  <c r="B172" i="5"/>
  <c r="C172" i="5"/>
  <c r="D172" i="5"/>
  <c r="B173" i="5"/>
  <c r="C173" i="5"/>
  <c r="D173" i="5"/>
  <c r="B174" i="5"/>
  <c r="C174" i="5"/>
  <c r="D174" i="5"/>
  <c r="B175" i="5"/>
  <c r="C175" i="5"/>
  <c r="D175" i="5"/>
  <c r="B193" i="5"/>
  <c r="C193" i="5"/>
  <c r="D193" i="5"/>
  <c r="B194" i="5"/>
  <c r="C194" i="5"/>
  <c r="D194" i="5"/>
  <c r="B195" i="5"/>
  <c r="C195" i="5"/>
  <c r="D195" i="5"/>
  <c r="B196" i="5"/>
  <c r="C196" i="5"/>
  <c r="D196" i="5"/>
  <c r="B197" i="5"/>
  <c r="C197" i="5"/>
  <c r="D197" i="5"/>
  <c r="B198" i="5"/>
  <c r="C198" i="5"/>
  <c r="D198" i="5"/>
  <c r="B199" i="5"/>
  <c r="C199" i="5"/>
  <c r="D199" i="5"/>
  <c r="B200" i="5"/>
  <c r="C200" i="5"/>
  <c r="D200" i="5"/>
  <c r="B201" i="5"/>
  <c r="C201" i="5"/>
  <c r="D201" i="5"/>
  <c r="B202" i="5"/>
  <c r="C202" i="5"/>
  <c r="D202" i="5"/>
  <c r="B203" i="5"/>
  <c r="C203" i="5"/>
  <c r="D203" i="5"/>
  <c r="B204" i="5"/>
  <c r="C204" i="5"/>
  <c r="D204" i="5"/>
  <c r="B205" i="5"/>
  <c r="C205" i="5"/>
  <c r="D205" i="5"/>
  <c r="B206" i="5"/>
  <c r="C206" i="5"/>
  <c r="D206" i="5"/>
  <c r="B207" i="5"/>
  <c r="C207" i="5"/>
  <c r="D207" i="5"/>
  <c r="B43" i="5"/>
  <c r="C43" i="5"/>
  <c r="D43" i="5"/>
  <c r="B192" i="5"/>
  <c r="C192" i="5"/>
  <c r="D192" i="5"/>
  <c r="B164" i="5"/>
  <c r="C164" i="5"/>
  <c r="D164" i="5"/>
  <c r="B171" i="5"/>
  <c r="C171" i="5"/>
  <c r="D171" i="5"/>
  <c r="B46" i="5"/>
  <c r="C46" i="5"/>
  <c r="D46" i="5"/>
  <c r="B47" i="5"/>
  <c r="C47" i="5"/>
  <c r="D47" i="5"/>
  <c r="B48" i="5"/>
  <c r="C48" i="5"/>
  <c r="D48" i="5"/>
  <c r="B49" i="5"/>
  <c r="C49" i="5"/>
  <c r="D49" i="5"/>
  <c r="B50" i="5"/>
  <c r="C50" i="5"/>
  <c r="D50" i="5"/>
  <c r="B51" i="5"/>
  <c r="C51" i="5"/>
  <c r="D51" i="5"/>
  <c r="B52" i="5"/>
  <c r="C52" i="5"/>
  <c r="D52" i="5"/>
  <c r="B159" i="5"/>
  <c r="C159" i="5"/>
  <c r="D159" i="5"/>
  <c r="B167" i="5"/>
  <c r="C167" i="5"/>
  <c r="D167" i="5"/>
  <c r="B187" i="5"/>
  <c r="C187" i="5"/>
  <c r="D187" i="5"/>
  <c r="B188" i="5"/>
  <c r="C188" i="5"/>
  <c r="D188" i="5"/>
  <c r="B189" i="5"/>
  <c r="C189" i="5"/>
  <c r="D189" i="5"/>
  <c r="B190" i="5"/>
  <c r="C190" i="5"/>
  <c r="D190" i="5"/>
  <c r="B191" i="5"/>
  <c r="C191" i="5"/>
  <c r="D191" i="5"/>
  <c r="B41" i="5"/>
  <c r="C41" i="5"/>
  <c r="D41" i="5"/>
  <c r="B158" i="5"/>
  <c r="C158" i="5"/>
  <c r="D158" i="5"/>
  <c r="B160" i="5"/>
  <c r="C160" i="5"/>
  <c r="D160" i="5"/>
  <c r="B161" i="5"/>
  <c r="C161" i="5"/>
  <c r="D161" i="5"/>
  <c r="B162" i="5"/>
  <c r="C162" i="5"/>
  <c r="D162" i="5"/>
  <c r="B89" i="5"/>
  <c r="C89" i="5"/>
  <c r="D89" i="5"/>
  <c r="B90" i="5"/>
  <c r="C90" i="5"/>
  <c r="D90" i="5"/>
  <c r="B91" i="5"/>
  <c r="C91" i="5"/>
  <c r="D91" i="5"/>
  <c r="B92" i="5"/>
  <c r="C92" i="5"/>
  <c r="D92" i="5"/>
  <c r="B168" i="5"/>
  <c r="C168" i="5"/>
  <c r="D168" i="5"/>
  <c r="B86" i="5"/>
  <c r="C86" i="5"/>
  <c r="D86" i="5"/>
  <c r="B87" i="5"/>
  <c r="C87" i="5"/>
  <c r="D87" i="5"/>
  <c r="B166" i="5"/>
  <c r="C166" i="5"/>
  <c r="D166" i="5"/>
  <c r="C226" i="5"/>
  <c r="D226" i="5"/>
  <c r="B227" i="5"/>
  <c r="C227" i="5"/>
  <c r="D227" i="5"/>
  <c r="B18" i="5"/>
  <c r="C18" i="5"/>
  <c r="D18" i="5"/>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131" i="5"/>
  <c r="C131" i="5"/>
  <c r="D131" i="5"/>
  <c r="B132" i="5"/>
  <c r="C132" i="5"/>
  <c r="D132" i="5"/>
  <c r="B133" i="5"/>
  <c r="C133" i="5"/>
  <c r="D133" i="5"/>
  <c r="B134" i="5"/>
  <c r="C134" i="5"/>
  <c r="D134" i="5"/>
  <c r="B135" i="5"/>
  <c r="C135" i="5"/>
  <c r="D135" i="5"/>
  <c r="B136" i="5"/>
  <c r="C136" i="5"/>
  <c r="D136" i="5"/>
  <c r="B144" i="5"/>
  <c r="C144" i="5"/>
  <c r="D144" i="5"/>
  <c r="B145" i="5"/>
  <c r="C145" i="5"/>
  <c r="D145" i="5"/>
  <c r="B146" i="5"/>
  <c r="C146" i="5"/>
  <c r="D146" i="5"/>
  <c r="B147" i="5"/>
  <c r="C147" i="5"/>
  <c r="D147" i="5"/>
  <c r="B148" i="5"/>
  <c r="C148" i="5"/>
  <c r="D148" i="5"/>
  <c r="B149" i="5"/>
  <c r="C149" i="5"/>
  <c r="D149" i="5"/>
  <c r="B150" i="5"/>
  <c r="C150" i="5"/>
  <c r="D150" i="5"/>
  <c r="B151" i="5"/>
  <c r="C151" i="5"/>
  <c r="D151" i="5"/>
  <c r="B152" i="5"/>
  <c r="C152" i="5"/>
  <c r="D152" i="5"/>
  <c r="B153" i="5"/>
  <c r="C153" i="5"/>
  <c r="D153" i="5"/>
  <c r="B253" i="5"/>
  <c r="C253" i="5"/>
  <c r="D253" i="5"/>
  <c r="B255" i="5"/>
  <c r="C255" i="5"/>
  <c r="D255" i="5"/>
  <c r="B256" i="5"/>
  <c r="C256" i="5"/>
  <c r="D256" i="5"/>
  <c r="B257" i="5"/>
  <c r="C257" i="5"/>
  <c r="D257" i="5"/>
  <c r="B258" i="5"/>
  <c r="C258" i="5"/>
  <c r="D258" i="5"/>
  <c r="B259" i="5"/>
  <c r="C259" i="5"/>
  <c r="D259" i="5"/>
  <c r="B260" i="5"/>
  <c r="C260" i="5"/>
  <c r="D260" i="5"/>
  <c r="B261" i="5"/>
  <c r="C261" i="5"/>
  <c r="D261" i="5"/>
  <c r="B262" i="5"/>
  <c r="C262" i="5"/>
  <c r="D262" i="5"/>
  <c r="B263" i="5"/>
  <c r="C263" i="5"/>
  <c r="D263" i="5"/>
  <c r="B264" i="5"/>
  <c r="C264" i="5"/>
  <c r="D264" i="5"/>
  <c r="B265" i="5"/>
  <c r="C265" i="5"/>
  <c r="D265" i="5"/>
  <c r="B266" i="5"/>
  <c r="C266" i="5"/>
  <c r="D266" i="5"/>
  <c r="B267" i="5"/>
  <c r="C267" i="5"/>
  <c r="D267" i="5"/>
  <c r="B268" i="5"/>
  <c r="C268" i="5"/>
  <c r="D268" i="5"/>
  <c r="B269" i="5"/>
  <c r="C269" i="5"/>
  <c r="D269" i="5"/>
  <c r="B270" i="5"/>
  <c r="C270" i="5"/>
  <c r="D270" i="5"/>
  <c r="B271" i="5"/>
  <c r="C271" i="5"/>
  <c r="D271" i="5"/>
  <c r="B272" i="5"/>
  <c r="C272" i="5"/>
  <c r="D272" i="5"/>
  <c r="B273" i="5"/>
  <c r="C273" i="5"/>
  <c r="D273" i="5"/>
  <c r="B130" i="5"/>
  <c r="C130" i="5"/>
  <c r="D130" i="5"/>
  <c r="B119" i="5"/>
  <c r="C119" i="5"/>
  <c r="D119" i="5"/>
  <c r="B120" i="5"/>
  <c r="C120" i="5"/>
  <c r="D120" i="5"/>
  <c r="B275" i="5"/>
  <c r="C275" i="5"/>
  <c r="D275" i="5"/>
  <c r="B76" i="5"/>
  <c r="C76" i="5"/>
  <c r="D76" i="5"/>
  <c r="B217" i="5"/>
  <c r="C217" i="5"/>
  <c r="D217" i="5"/>
  <c r="B218" i="5"/>
  <c r="C218" i="5"/>
  <c r="D218" i="5"/>
  <c r="B219" i="5"/>
  <c r="C219" i="5"/>
  <c r="D219" i="5"/>
  <c r="B220" i="5"/>
  <c r="C220" i="5"/>
  <c r="D220" i="5"/>
  <c r="B186" i="5"/>
  <c r="C186" i="5"/>
  <c r="D186" i="5"/>
  <c r="B77" i="5"/>
  <c r="C77" i="5"/>
  <c r="D77" i="5"/>
  <c r="B78" i="5"/>
  <c r="C78" i="5"/>
  <c r="D78" i="5"/>
  <c r="B79" i="5"/>
  <c r="C79" i="5"/>
  <c r="D79" i="5"/>
  <c r="B80" i="5"/>
  <c r="C80" i="5"/>
  <c r="D80" i="5"/>
  <c r="B231" i="5"/>
  <c r="C231" i="5"/>
  <c r="D231" i="5"/>
  <c r="B14" i="5"/>
  <c r="C14" i="5"/>
  <c r="D14" i="5"/>
  <c r="B15" i="5"/>
  <c r="C15" i="5"/>
  <c r="D15" i="5"/>
  <c r="B16" i="5"/>
  <c r="C16" i="5"/>
  <c r="D16" i="5"/>
  <c r="B17" i="5"/>
  <c r="C17" i="5"/>
  <c r="D17" i="5"/>
  <c r="B169" i="5"/>
  <c r="C169" i="5"/>
  <c r="D169" i="5"/>
  <c r="B248" i="5"/>
  <c r="C248" i="5"/>
  <c r="D248" i="5"/>
  <c r="B251" i="5"/>
  <c r="C251" i="5"/>
  <c r="D251" i="5"/>
  <c r="B252" i="5"/>
  <c r="C252" i="5"/>
  <c r="D252" i="5"/>
  <c r="B254" i="5"/>
  <c r="C254" i="5"/>
  <c r="D254" i="5"/>
  <c r="B13" i="5"/>
  <c r="C13" i="5"/>
  <c r="D13" i="5"/>
  <c r="B6" i="5"/>
  <c r="C6" i="5"/>
  <c r="D6" i="5"/>
  <c r="B221" i="5"/>
  <c r="C221" i="5"/>
  <c r="D221" i="5"/>
  <c r="B7" i="5"/>
  <c r="C7" i="5"/>
  <c r="D7" i="5"/>
  <c r="B33" i="5"/>
  <c r="C33" i="5"/>
  <c r="D33" i="5"/>
  <c r="B81" i="5"/>
  <c r="C81" i="5"/>
  <c r="D81" i="5"/>
  <c r="B176" i="5"/>
  <c r="C176" i="5"/>
  <c r="D176" i="5"/>
  <c r="B225" i="5"/>
  <c r="C225" i="5"/>
  <c r="D225" i="5"/>
  <c r="B88" i="5"/>
  <c r="C88" i="5"/>
  <c r="D88" i="5"/>
  <c r="B8" i="5"/>
  <c r="C8" i="5"/>
  <c r="D8" i="5"/>
  <c r="B9" i="5"/>
  <c r="C9" i="5"/>
  <c r="D9" i="5"/>
  <c r="B10" i="5"/>
  <c r="C10" i="5"/>
  <c r="D10" i="5"/>
  <c r="B11" i="5"/>
  <c r="C11" i="5"/>
  <c r="D11" i="5"/>
  <c r="B12" i="5"/>
  <c r="C12" i="5"/>
  <c r="D12" i="5"/>
  <c r="B121" i="5"/>
  <c r="C121" i="5"/>
  <c r="D121" i="5"/>
  <c r="B122" i="5"/>
  <c r="C122" i="5"/>
  <c r="D122" i="5"/>
  <c r="B123" i="5"/>
  <c r="C123" i="5"/>
  <c r="D123" i="5"/>
  <c r="B124" i="5"/>
  <c r="C124" i="5"/>
  <c r="D124" i="5"/>
  <c r="B125" i="5"/>
  <c r="C125" i="5"/>
  <c r="D125" i="5"/>
  <c r="B126" i="5"/>
  <c r="C126" i="5"/>
  <c r="D126" i="5"/>
  <c r="B127" i="5"/>
  <c r="C127" i="5"/>
  <c r="D127" i="5"/>
  <c r="B128" i="5"/>
  <c r="C128" i="5"/>
  <c r="D128" i="5"/>
  <c r="B129" i="5"/>
  <c r="C129" i="5"/>
  <c r="D129" i="5"/>
  <c r="B137" i="5"/>
  <c r="C137" i="5"/>
  <c r="D137" i="5"/>
  <c r="B138" i="5"/>
  <c r="C138" i="5"/>
  <c r="D138" i="5"/>
  <c r="B139" i="5"/>
  <c r="C139" i="5"/>
  <c r="D139" i="5"/>
  <c r="B140" i="5"/>
  <c r="C140" i="5"/>
  <c r="D140" i="5"/>
  <c r="B141" i="5"/>
  <c r="C141" i="5"/>
  <c r="D141" i="5"/>
  <c r="B142" i="5"/>
  <c r="C142" i="5"/>
  <c r="D142" i="5"/>
  <c r="B143" i="5"/>
  <c r="C143" i="5"/>
  <c r="D143" i="5"/>
  <c r="B178" i="5"/>
  <c r="C178" i="5"/>
  <c r="D178" i="5"/>
  <c r="B179" i="5"/>
  <c r="C179" i="5"/>
  <c r="D179" i="5"/>
  <c r="B180" i="5"/>
  <c r="C180" i="5"/>
  <c r="D180" i="5"/>
  <c r="B236" i="5"/>
  <c r="C236" i="5"/>
  <c r="D236" i="5"/>
  <c r="B237" i="5"/>
  <c r="C237" i="5"/>
  <c r="D237" i="5"/>
  <c r="B238" i="5"/>
  <c r="C238" i="5"/>
  <c r="D238" i="5"/>
  <c r="B239" i="5"/>
  <c r="C239" i="5"/>
  <c r="D239" i="5"/>
  <c r="B240" i="5"/>
  <c r="C240" i="5"/>
  <c r="D240" i="5"/>
  <c r="B241" i="5"/>
  <c r="C241" i="5"/>
  <c r="D241" i="5"/>
  <c r="B242" i="5"/>
  <c r="C242" i="5"/>
  <c r="D242" i="5"/>
  <c r="B243" i="5"/>
  <c r="C243" i="5"/>
  <c r="D243" i="5"/>
  <c r="B244" i="5"/>
  <c r="C244" i="5"/>
  <c r="D244" i="5"/>
  <c r="B245" i="5"/>
  <c r="C245" i="5"/>
  <c r="D245" i="5"/>
  <c r="B246" i="5"/>
  <c r="C246" i="5"/>
  <c r="D246" i="5"/>
  <c r="B247" i="5"/>
  <c r="C247" i="5"/>
  <c r="D247" i="5"/>
  <c r="B274" i="5"/>
  <c r="C274" i="5"/>
  <c r="D274" i="5"/>
  <c r="B82" i="5"/>
  <c r="C82" i="5"/>
  <c r="D82" i="5"/>
  <c r="B83" i="5"/>
  <c r="C83" i="5"/>
  <c r="D83" i="5"/>
  <c r="B84" i="5"/>
  <c r="C84" i="5"/>
  <c r="D84" i="5"/>
  <c r="B85" i="5"/>
  <c r="C85" i="5"/>
  <c r="D85" i="5"/>
  <c r="B228" i="5"/>
  <c r="C228" i="5"/>
  <c r="D228" i="5"/>
  <c r="B229" i="5"/>
  <c r="C229" i="5"/>
  <c r="D229" i="5"/>
  <c r="B230" i="5"/>
  <c r="C230" i="5"/>
  <c r="D230" i="5"/>
  <c r="B232" i="5"/>
  <c r="C232" i="5"/>
  <c r="D232" i="5"/>
  <c r="B233" i="5"/>
  <c r="C233" i="5"/>
  <c r="D233" i="5"/>
  <c r="B234" i="5"/>
  <c r="C234" i="5"/>
  <c r="D234" i="5"/>
  <c r="B235" i="5"/>
  <c r="C235" i="5"/>
  <c r="D235" i="5"/>
  <c r="B39" i="5"/>
  <c r="C39" i="5"/>
  <c r="D39" i="5"/>
  <c r="B53" i="5"/>
  <c r="C53" i="5"/>
  <c r="D53" i="5"/>
  <c r="B93" i="5"/>
  <c r="C93" i="5"/>
  <c r="D93" i="5"/>
  <c r="B94" i="5"/>
  <c r="C94" i="5"/>
  <c r="D94" i="5"/>
  <c r="B95" i="5"/>
  <c r="C95" i="5"/>
  <c r="D95" i="5"/>
  <c r="B96" i="5"/>
  <c r="C96" i="5"/>
  <c r="D96" i="5"/>
  <c r="B97" i="5"/>
  <c r="C97" i="5"/>
  <c r="D97" i="5"/>
  <c r="B98" i="5"/>
  <c r="C98" i="5"/>
  <c r="D98" i="5"/>
  <c r="B99" i="5"/>
  <c r="C99" i="5"/>
  <c r="D99" i="5"/>
  <c r="B100" i="5"/>
  <c r="C100" i="5"/>
  <c r="D100" i="5"/>
  <c r="B101" i="5"/>
  <c r="C101" i="5"/>
  <c r="D101" i="5"/>
  <c r="B102" i="5"/>
  <c r="C102" i="5"/>
  <c r="D102" i="5"/>
  <c r="B103" i="5"/>
  <c r="C103" i="5"/>
  <c r="D103" i="5"/>
  <c r="B154" i="5"/>
  <c r="C154" i="5"/>
  <c r="D154" i="5"/>
  <c r="B155" i="5"/>
  <c r="C155" i="5"/>
  <c r="D155" i="5"/>
  <c r="B156" i="5"/>
  <c r="C156" i="5"/>
  <c r="D156" i="5"/>
  <c r="B157" i="5"/>
  <c r="C157" i="5"/>
  <c r="D157" i="5"/>
  <c r="B163" i="5"/>
  <c r="C163" i="5"/>
  <c r="D163" i="5"/>
  <c r="B165" i="5"/>
  <c r="C165" i="5"/>
  <c r="D165" i="5"/>
  <c r="B177" i="5"/>
  <c r="C177" i="5"/>
  <c r="D177" i="5"/>
  <c r="B181" i="5"/>
  <c r="C181" i="5"/>
  <c r="D181" i="5"/>
  <c r="B182" i="5"/>
  <c r="C182" i="5"/>
  <c r="D182" i="5"/>
  <c r="B183" i="5"/>
  <c r="C183" i="5"/>
  <c r="D183" i="5"/>
  <c r="B184" i="5"/>
  <c r="C184" i="5"/>
  <c r="D184" i="5"/>
  <c r="B185" i="5"/>
  <c r="C185" i="5"/>
  <c r="D185" i="5"/>
  <c r="B104" i="5"/>
  <c r="C104" i="5"/>
  <c r="D104" i="5"/>
  <c r="B105" i="5"/>
  <c r="C105" i="5"/>
  <c r="D105" i="5"/>
  <c r="B106" i="5"/>
  <c r="C106" i="5"/>
  <c r="D106" i="5"/>
  <c r="B107" i="5"/>
  <c r="C107" i="5"/>
  <c r="D107" i="5"/>
  <c r="B108" i="5"/>
  <c r="C108" i="5"/>
  <c r="D108" i="5"/>
  <c r="B109" i="5"/>
  <c r="C109" i="5"/>
  <c r="D109" i="5"/>
  <c r="B110" i="5"/>
  <c r="C110" i="5"/>
  <c r="D110" i="5"/>
  <c r="B111" i="5"/>
  <c r="C111" i="5"/>
  <c r="D111" i="5"/>
  <c r="B112" i="5"/>
  <c r="C112" i="5"/>
  <c r="D112" i="5"/>
  <c r="B113" i="5"/>
  <c r="C113" i="5"/>
  <c r="D113" i="5"/>
  <c r="B114" i="5"/>
  <c r="C114" i="5"/>
  <c r="D114" i="5"/>
  <c r="B115" i="5"/>
  <c r="C115" i="5"/>
  <c r="D115" i="5"/>
  <c r="B116" i="5"/>
  <c r="C116" i="5"/>
  <c r="D116" i="5"/>
  <c r="B117" i="5"/>
  <c r="C117" i="5"/>
  <c r="D117" i="5"/>
  <c r="B118" i="5"/>
  <c r="C118" i="5"/>
  <c r="D118" i="5"/>
  <c r="B208" i="5"/>
  <c r="C208" i="5"/>
  <c r="D208" i="5"/>
  <c r="B209" i="5"/>
  <c r="C209" i="5"/>
  <c r="D209" i="5"/>
  <c r="B210" i="5"/>
  <c r="C210" i="5"/>
  <c r="D210" i="5"/>
  <c r="B211" i="5"/>
  <c r="C211" i="5"/>
  <c r="D211" i="5"/>
  <c r="B212" i="5"/>
  <c r="C212" i="5"/>
  <c r="D212" i="5"/>
  <c r="B213" i="5"/>
  <c r="C213" i="5"/>
  <c r="D213" i="5"/>
  <c r="B214" i="5"/>
  <c r="C214" i="5"/>
  <c r="D214" i="5"/>
  <c r="B215" i="5"/>
  <c r="C215" i="5"/>
  <c r="D215" i="5"/>
  <c r="B75" i="5"/>
  <c r="C75" i="5"/>
  <c r="D75" i="5"/>
  <c r="B222" i="5"/>
  <c r="C222" i="5"/>
  <c r="D222" i="5"/>
  <c r="B223" i="5"/>
  <c r="C223" i="5"/>
  <c r="D223" i="5"/>
  <c r="B224" i="5"/>
  <c r="C224" i="5"/>
  <c r="D224" i="5"/>
  <c r="B216" i="5"/>
  <c r="C216" i="5"/>
  <c r="D216" i="5"/>
  <c r="B74" i="5"/>
  <c r="C74" i="5"/>
  <c r="D74" i="5"/>
  <c r="B73" i="5"/>
  <c r="C73" i="5"/>
  <c r="D73" i="5"/>
  <c r="B250" i="5"/>
  <c r="C250" i="5"/>
  <c r="D250" i="5"/>
  <c r="B249" i="5"/>
  <c r="C249" i="5"/>
  <c r="D249" i="5"/>
  <c r="B32" i="5"/>
  <c r="C32" i="5"/>
  <c r="D32" i="5"/>
  <c r="B40" i="5"/>
  <c r="C40" i="5"/>
  <c r="D40" i="5"/>
  <c r="B70" i="5"/>
  <c r="C70" i="5"/>
  <c r="D70" i="5"/>
  <c r="B71" i="5"/>
  <c r="C71" i="5"/>
  <c r="D71" i="5"/>
  <c r="B72" i="5"/>
  <c r="C72" i="5"/>
  <c r="D72" i="5"/>
  <c r="B170" i="5"/>
  <c r="C170" i="5"/>
  <c r="D170" i="5"/>
  <c r="B31" i="5"/>
  <c r="C31" i="5"/>
  <c r="D31" i="5"/>
  <c r="B5" i="5"/>
  <c r="C5" i="5"/>
  <c r="D5" i="5"/>
  <c r="B29" i="5"/>
  <c r="C29" i="5"/>
  <c r="D29" i="5"/>
  <c r="B30" i="5"/>
  <c r="C30" i="5"/>
  <c r="D30" i="5"/>
  <c r="D4" i="5"/>
  <c r="C4" i="5"/>
  <c r="B4" i="5"/>
  <c r="Y3" i="7"/>
  <c r="X3" i="7"/>
  <c r="W3" i="7"/>
  <c r="V3" i="7"/>
  <c r="T3" i="7"/>
  <c r="U3" i="7"/>
  <c r="R3" i="7"/>
  <c r="S3" i="7"/>
  <c r="Q3" i="7"/>
  <c r="P3" i="7"/>
  <c r="O3" i="7"/>
  <c r="F5" i="7"/>
  <c r="M275" i="7"/>
  <c r="L275" i="7"/>
  <c r="K275" i="7"/>
  <c r="J275" i="7"/>
  <c r="I275" i="7"/>
  <c r="H275" i="7"/>
  <c r="G275" i="7"/>
  <c r="F275" i="7"/>
  <c r="E275" i="7"/>
  <c r="D275" i="7"/>
  <c r="C275" i="7"/>
  <c r="B275" i="7"/>
  <c r="M274" i="7"/>
  <c r="L274" i="7"/>
  <c r="K274" i="7"/>
  <c r="J274" i="7"/>
  <c r="I274" i="7"/>
  <c r="H274" i="7"/>
  <c r="G274" i="7"/>
  <c r="F274" i="7"/>
  <c r="E274" i="7"/>
  <c r="D274" i="7"/>
  <c r="C274" i="7"/>
  <c r="B274" i="7"/>
  <c r="M273" i="7"/>
  <c r="L273" i="7"/>
  <c r="K273" i="7"/>
  <c r="J273" i="7"/>
  <c r="I273" i="7"/>
  <c r="H273" i="7"/>
  <c r="G273" i="7"/>
  <c r="F273" i="7"/>
  <c r="E273" i="7"/>
  <c r="D273" i="7"/>
  <c r="C273" i="7"/>
  <c r="B273" i="7"/>
  <c r="M272" i="7"/>
  <c r="L272" i="7"/>
  <c r="K272" i="7"/>
  <c r="J272" i="7"/>
  <c r="I272" i="7"/>
  <c r="H272" i="7"/>
  <c r="G272" i="7"/>
  <c r="F272" i="7"/>
  <c r="E272" i="7"/>
  <c r="D272" i="7"/>
  <c r="C272" i="7"/>
  <c r="B272" i="7"/>
  <c r="M271" i="7"/>
  <c r="L271" i="7"/>
  <c r="K271" i="7"/>
  <c r="J271" i="7"/>
  <c r="I271" i="7"/>
  <c r="H271" i="7"/>
  <c r="G271" i="7"/>
  <c r="F271" i="7"/>
  <c r="E271" i="7"/>
  <c r="D271" i="7"/>
  <c r="C271" i="7"/>
  <c r="B271" i="7"/>
  <c r="M270" i="7"/>
  <c r="L270" i="7"/>
  <c r="K270" i="7"/>
  <c r="J270" i="7"/>
  <c r="I270" i="7"/>
  <c r="H270" i="7"/>
  <c r="G270" i="7"/>
  <c r="F270" i="7"/>
  <c r="E270" i="7"/>
  <c r="D270" i="7"/>
  <c r="C270" i="7"/>
  <c r="B270" i="7"/>
  <c r="M269" i="7"/>
  <c r="L269" i="7"/>
  <c r="K269" i="7"/>
  <c r="J269" i="7"/>
  <c r="I269" i="7"/>
  <c r="H269" i="7"/>
  <c r="G269" i="7"/>
  <c r="F269" i="7"/>
  <c r="E269" i="7"/>
  <c r="D269" i="7"/>
  <c r="C269" i="7"/>
  <c r="B269" i="7"/>
  <c r="M268" i="7"/>
  <c r="L268" i="7"/>
  <c r="K268" i="7"/>
  <c r="J268" i="7"/>
  <c r="I268" i="7"/>
  <c r="H268" i="7"/>
  <c r="G268" i="7"/>
  <c r="F268" i="7"/>
  <c r="E268" i="7"/>
  <c r="D268" i="7"/>
  <c r="C268" i="7"/>
  <c r="B268" i="7"/>
  <c r="M267" i="7"/>
  <c r="L267" i="7"/>
  <c r="K267" i="7"/>
  <c r="J267" i="7"/>
  <c r="I267" i="7"/>
  <c r="H267" i="7"/>
  <c r="G267" i="7"/>
  <c r="F267" i="7"/>
  <c r="E267" i="7"/>
  <c r="D267" i="7"/>
  <c r="C267" i="7"/>
  <c r="B267" i="7"/>
  <c r="M266" i="7"/>
  <c r="L266" i="7"/>
  <c r="K266" i="7"/>
  <c r="J266" i="7"/>
  <c r="I266" i="7"/>
  <c r="H266" i="7"/>
  <c r="G266" i="7"/>
  <c r="F266" i="7"/>
  <c r="E266" i="7"/>
  <c r="D266" i="7"/>
  <c r="C266" i="7"/>
  <c r="B266" i="7"/>
  <c r="M265" i="7"/>
  <c r="L265" i="7"/>
  <c r="K265" i="7"/>
  <c r="J265" i="7"/>
  <c r="I265" i="7"/>
  <c r="H265" i="7"/>
  <c r="G265" i="7"/>
  <c r="F265" i="7"/>
  <c r="E265" i="7"/>
  <c r="D265" i="7"/>
  <c r="C265" i="7"/>
  <c r="B265" i="7"/>
  <c r="M264" i="7"/>
  <c r="L264" i="7"/>
  <c r="K264" i="7"/>
  <c r="J264" i="7"/>
  <c r="I264" i="7"/>
  <c r="H264" i="7"/>
  <c r="G264" i="7"/>
  <c r="F264" i="7"/>
  <c r="E264" i="7"/>
  <c r="D264" i="7"/>
  <c r="C264" i="7"/>
  <c r="B264" i="7"/>
  <c r="M263" i="7"/>
  <c r="L263" i="7"/>
  <c r="K263" i="7"/>
  <c r="J263" i="7"/>
  <c r="I263" i="7"/>
  <c r="H263" i="7"/>
  <c r="G263" i="7"/>
  <c r="F263" i="7"/>
  <c r="E263" i="7"/>
  <c r="D263" i="7"/>
  <c r="C263" i="7"/>
  <c r="B263" i="7"/>
  <c r="M262" i="7"/>
  <c r="L262" i="7"/>
  <c r="K262" i="7"/>
  <c r="J262" i="7"/>
  <c r="I262" i="7"/>
  <c r="H262" i="7"/>
  <c r="G262" i="7"/>
  <c r="F262" i="7"/>
  <c r="E262" i="7"/>
  <c r="D262" i="7"/>
  <c r="C262" i="7"/>
  <c r="B262" i="7"/>
  <c r="M261" i="7"/>
  <c r="L261" i="7"/>
  <c r="K261" i="7"/>
  <c r="J261" i="7"/>
  <c r="I261" i="7"/>
  <c r="H261" i="7"/>
  <c r="G261" i="7"/>
  <c r="F261" i="7"/>
  <c r="E261" i="7"/>
  <c r="D261" i="7"/>
  <c r="C261" i="7"/>
  <c r="B261" i="7"/>
  <c r="M260" i="7"/>
  <c r="L260" i="7"/>
  <c r="K260" i="7"/>
  <c r="J260" i="7"/>
  <c r="I260" i="7"/>
  <c r="H260" i="7"/>
  <c r="G260" i="7"/>
  <c r="F260" i="7"/>
  <c r="E260" i="7"/>
  <c r="D260" i="7"/>
  <c r="C260" i="7"/>
  <c r="B260" i="7"/>
  <c r="M259" i="7"/>
  <c r="L259" i="7"/>
  <c r="K259" i="7"/>
  <c r="J259" i="7"/>
  <c r="I259" i="7"/>
  <c r="H259" i="7"/>
  <c r="G259" i="7"/>
  <c r="F259" i="7"/>
  <c r="E259" i="7"/>
  <c r="D259" i="7"/>
  <c r="C259" i="7"/>
  <c r="B259" i="7"/>
  <c r="M258" i="7"/>
  <c r="L258" i="7"/>
  <c r="K258" i="7"/>
  <c r="J258" i="7"/>
  <c r="I258" i="7"/>
  <c r="H258" i="7"/>
  <c r="G258" i="7"/>
  <c r="F258" i="7"/>
  <c r="E258" i="7"/>
  <c r="D258" i="7"/>
  <c r="C258" i="7"/>
  <c r="B258" i="7"/>
  <c r="M257" i="7"/>
  <c r="L257" i="7"/>
  <c r="K257" i="7"/>
  <c r="J257" i="7"/>
  <c r="I257" i="7"/>
  <c r="H257" i="7"/>
  <c r="G257" i="7"/>
  <c r="F257" i="7"/>
  <c r="E257" i="7"/>
  <c r="D257" i="7"/>
  <c r="C257" i="7"/>
  <c r="B257" i="7"/>
  <c r="M256" i="7"/>
  <c r="L256" i="7"/>
  <c r="K256" i="7"/>
  <c r="J256" i="7"/>
  <c r="I256" i="7"/>
  <c r="H256" i="7"/>
  <c r="G256" i="7"/>
  <c r="F256" i="7"/>
  <c r="E256" i="7"/>
  <c r="D256" i="7"/>
  <c r="C256" i="7"/>
  <c r="B256" i="7"/>
  <c r="M255" i="7"/>
  <c r="L255" i="7"/>
  <c r="K255" i="7"/>
  <c r="J255" i="7"/>
  <c r="I255" i="7"/>
  <c r="H255" i="7"/>
  <c r="G255" i="7"/>
  <c r="F255" i="7"/>
  <c r="E255" i="7"/>
  <c r="D255" i="7"/>
  <c r="C255" i="7"/>
  <c r="B255" i="7"/>
  <c r="M254" i="7"/>
  <c r="L254" i="7"/>
  <c r="K254" i="7"/>
  <c r="J254" i="7"/>
  <c r="I254" i="7"/>
  <c r="H254" i="7"/>
  <c r="G254" i="7"/>
  <c r="F254" i="7"/>
  <c r="E254" i="7"/>
  <c r="D254" i="7"/>
  <c r="C254" i="7"/>
  <c r="B254" i="7"/>
  <c r="M253" i="7"/>
  <c r="L253" i="7"/>
  <c r="K253" i="7"/>
  <c r="J253" i="7"/>
  <c r="I253" i="7"/>
  <c r="H253" i="7"/>
  <c r="G253" i="7"/>
  <c r="F253" i="7"/>
  <c r="E253" i="7"/>
  <c r="D253" i="7"/>
  <c r="C253" i="7"/>
  <c r="B253" i="7"/>
  <c r="M252" i="7"/>
  <c r="L252" i="7"/>
  <c r="K252" i="7"/>
  <c r="J252" i="7"/>
  <c r="I252" i="7"/>
  <c r="H252" i="7"/>
  <c r="G252" i="7"/>
  <c r="F252" i="7"/>
  <c r="E252" i="7"/>
  <c r="D252" i="7"/>
  <c r="C252" i="7"/>
  <c r="B252" i="7"/>
  <c r="M251" i="7"/>
  <c r="L251" i="7"/>
  <c r="K251" i="7"/>
  <c r="J251" i="7"/>
  <c r="I251" i="7"/>
  <c r="H251" i="7"/>
  <c r="G251" i="7"/>
  <c r="F251" i="7"/>
  <c r="E251" i="7"/>
  <c r="D251" i="7"/>
  <c r="C251" i="7"/>
  <c r="B251" i="7"/>
  <c r="M250" i="7"/>
  <c r="L250" i="7"/>
  <c r="K250" i="7"/>
  <c r="J250" i="7"/>
  <c r="I250" i="7"/>
  <c r="H250" i="7"/>
  <c r="G250" i="7"/>
  <c r="F250" i="7"/>
  <c r="E250" i="7"/>
  <c r="D250" i="7"/>
  <c r="C250" i="7"/>
  <c r="B250" i="7"/>
  <c r="M249" i="7"/>
  <c r="L249" i="7"/>
  <c r="K249" i="7"/>
  <c r="J249" i="7"/>
  <c r="I249" i="7"/>
  <c r="H249" i="7"/>
  <c r="G249" i="7"/>
  <c r="F249" i="7"/>
  <c r="E249" i="7"/>
  <c r="D249" i="7"/>
  <c r="C249" i="7"/>
  <c r="B249" i="7"/>
  <c r="M248" i="7"/>
  <c r="L248" i="7"/>
  <c r="K248" i="7"/>
  <c r="J248" i="7"/>
  <c r="I248" i="7"/>
  <c r="H248" i="7"/>
  <c r="G248" i="7"/>
  <c r="F248" i="7"/>
  <c r="E248" i="7"/>
  <c r="D248" i="7"/>
  <c r="C248" i="7"/>
  <c r="B248" i="7"/>
  <c r="M247" i="7"/>
  <c r="L247" i="7"/>
  <c r="K247" i="7"/>
  <c r="J247" i="7"/>
  <c r="I247" i="7"/>
  <c r="H247" i="7"/>
  <c r="G247" i="7"/>
  <c r="F247" i="7"/>
  <c r="E247" i="7"/>
  <c r="D247" i="7"/>
  <c r="C247" i="7"/>
  <c r="B247" i="7"/>
  <c r="M246" i="7"/>
  <c r="L246" i="7"/>
  <c r="K246" i="7"/>
  <c r="J246" i="7"/>
  <c r="I246" i="7"/>
  <c r="H246" i="7"/>
  <c r="G246" i="7"/>
  <c r="F246" i="7"/>
  <c r="E246" i="7"/>
  <c r="D246" i="7"/>
  <c r="C246" i="7"/>
  <c r="B246" i="7"/>
  <c r="M245" i="7"/>
  <c r="L245" i="7"/>
  <c r="K245" i="7"/>
  <c r="J245" i="7"/>
  <c r="I245" i="7"/>
  <c r="H245" i="7"/>
  <c r="G245" i="7"/>
  <c r="F245" i="7"/>
  <c r="E245" i="7"/>
  <c r="D245" i="7"/>
  <c r="C245" i="7"/>
  <c r="B245" i="7"/>
  <c r="M244" i="7"/>
  <c r="L244" i="7"/>
  <c r="K244" i="7"/>
  <c r="J244" i="7"/>
  <c r="I244" i="7"/>
  <c r="H244" i="7"/>
  <c r="G244" i="7"/>
  <c r="F244" i="7"/>
  <c r="E244" i="7"/>
  <c r="D244" i="7"/>
  <c r="C244" i="7"/>
  <c r="B244" i="7"/>
  <c r="M243" i="7"/>
  <c r="L243" i="7"/>
  <c r="K243" i="7"/>
  <c r="J243" i="7"/>
  <c r="I243" i="7"/>
  <c r="H243" i="7"/>
  <c r="G243" i="7"/>
  <c r="F243" i="7"/>
  <c r="E243" i="7"/>
  <c r="D243" i="7"/>
  <c r="C243" i="7"/>
  <c r="B243" i="7"/>
  <c r="M242" i="7"/>
  <c r="L242" i="7"/>
  <c r="K242" i="7"/>
  <c r="J242" i="7"/>
  <c r="I242" i="7"/>
  <c r="H242" i="7"/>
  <c r="G242" i="7"/>
  <c r="F242" i="7"/>
  <c r="E242" i="7"/>
  <c r="D242" i="7"/>
  <c r="C242" i="7"/>
  <c r="B242" i="7"/>
  <c r="M241" i="7"/>
  <c r="L241" i="7"/>
  <c r="K241" i="7"/>
  <c r="J241" i="7"/>
  <c r="I241" i="7"/>
  <c r="H241" i="7"/>
  <c r="G241" i="7"/>
  <c r="F241" i="7"/>
  <c r="E241" i="7"/>
  <c r="D241" i="7"/>
  <c r="C241" i="7"/>
  <c r="B241" i="7"/>
  <c r="M240" i="7"/>
  <c r="L240" i="7"/>
  <c r="K240" i="7"/>
  <c r="J240" i="7"/>
  <c r="I240" i="7"/>
  <c r="H240" i="7"/>
  <c r="G240" i="7"/>
  <c r="F240" i="7"/>
  <c r="E240" i="7"/>
  <c r="D240" i="7"/>
  <c r="C240" i="7"/>
  <c r="B240" i="7"/>
  <c r="M239" i="7"/>
  <c r="L239" i="7"/>
  <c r="K239" i="7"/>
  <c r="J239" i="7"/>
  <c r="I239" i="7"/>
  <c r="H239" i="7"/>
  <c r="G239" i="7"/>
  <c r="F239" i="7"/>
  <c r="E239" i="7"/>
  <c r="D239" i="7"/>
  <c r="C239" i="7"/>
  <c r="B239" i="7"/>
  <c r="M238" i="7"/>
  <c r="L238" i="7"/>
  <c r="K238" i="7"/>
  <c r="J238" i="7"/>
  <c r="I238" i="7"/>
  <c r="H238" i="7"/>
  <c r="G238" i="7"/>
  <c r="F238" i="7"/>
  <c r="E238" i="7"/>
  <c r="D238" i="7"/>
  <c r="C238" i="7"/>
  <c r="B238" i="7"/>
  <c r="M237" i="7"/>
  <c r="L237" i="7"/>
  <c r="K237" i="7"/>
  <c r="J237" i="7"/>
  <c r="I237" i="7"/>
  <c r="H237" i="7"/>
  <c r="G237" i="7"/>
  <c r="F237" i="7"/>
  <c r="E237" i="7"/>
  <c r="D237" i="7"/>
  <c r="C237" i="7"/>
  <c r="B237" i="7"/>
  <c r="M236" i="7"/>
  <c r="L236" i="7"/>
  <c r="K236" i="7"/>
  <c r="J236" i="7"/>
  <c r="I236" i="7"/>
  <c r="H236" i="7"/>
  <c r="G236" i="7"/>
  <c r="F236" i="7"/>
  <c r="E236" i="7"/>
  <c r="D236" i="7"/>
  <c r="C236" i="7"/>
  <c r="B236" i="7"/>
  <c r="M235" i="7"/>
  <c r="L235" i="7"/>
  <c r="K235" i="7"/>
  <c r="J235" i="7"/>
  <c r="I235" i="7"/>
  <c r="H235" i="7"/>
  <c r="G235" i="7"/>
  <c r="F235" i="7"/>
  <c r="E235" i="7"/>
  <c r="D235" i="7"/>
  <c r="C235" i="7"/>
  <c r="B235" i="7"/>
  <c r="M234" i="7"/>
  <c r="L234" i="7"/>
  <c r="K234" i="7"/>
  <c r="J234" i="7"/>
  <c r="I234" i="7"/>
  <c r="H234" i="7"/>
  <c r="G234" i="7"/>
  <c r="F234" i="7"/>
  <c r="E234" i="7"/>
  <c r="D234" i="7"/>
  <c r="C234" i="7"/>
  <c r="B234" i="7"/>
  <c r="M233" i="7"/>
  <c r="L233" i="7"/>
  <c r="K233" i="7"/>
  <c r="J233" i="7"/>
  <c r="I233" i="7"/>
  <c r="H233" i="7"/>
  <c r="G233" i="7"/>
  <c r="F233" i="7"/>
  <c r="E233" i="7"/>
  <c r="D233" i="7"/>
  <c r="C233" i="7"/>
  <c r="B233" i="7"/>
  <c r="M232" i="7"/>
  <c r="L232" i="7"/>
  <c r="K232" i="7"/>
  <c r="J232" i="7"/>
  <c r="I232" i="7"/>
  <c r="H232" i="7"/>
  <c r="G232" i="7"/>
  <c r="F232" i="7"/>
  <c r="E232" i="7"/>
  <c r="D232" i="7"/>
  <c r="C232" i="7"/>
  <c r="B232" i="7"/>
  <c r="M231" i="7"/>
  <c r="L231" i="7"/>
  <c r="K231" i="7"/>
  <c r="J231" i="7"/>
  <c r="I231" i="7"/>
  <c r="H231" i="7"/>
  <c r="G231" i="7"/>
  <c r="F231" i="7"/>
  <c r="E231" i="7"/>
  <c r="D231" i="7"/>
  <c r="C231" i="7"/>
  <c r="B231" i="7"/>
  <c r="M230" i="7"/>
  <c r="L230" i="7"/>
  <c r="K230" i="7"/>
  <c r="J230" i="7"/>
  <c r="I230" i="7"/>
  <c r="H230" i="7"/>
  <c r="G230" i="7"/>
  <c r="F230" i="7"/>
  <c r="E230" i="7"/>
  <c r="D230" i="7"/>
  <c r="C230" i="7"/>
  <c r="B230" i="7"/>
  <c r="M229" i="7"/>
  <c r="L229" i="7"/>
  <c r="K229" i="7"/>
  <c r="J229" i="7"/>
  <c r="I229" i="7"/>
  <c r="H229" i="7"/>
  <c r="G229" i="7"/>
  <c r="F229" i="7"/>
  <c r="E229" i="7"/>
  <c r="D229" i="7"/>
  <c r="C229" i="7"/>
  <c r="B229" i="7"/>
  <c r="M228" i="7"/>
  <c r="L228" i="7"/>
  <c r="K228" i="7"/>
  <c r="J228" i="7"/>
  <c r="I228" i="7"/>
  <c r="H228" i="7"/>
  <c r="G228" i="7"/>
  <c r="F228" i="7"/>
  <c r="E228" i="7"/>
  <c r="D228" i="7"/>
  <c r="C228" i="7"/>
  <c r="B228" i="7"/>
  <c r="M227" i="7"/>
  <c r="L227" i="7"/>
  <c r="K227" i="7"/>
  <c r="J227" i="7"/>
  <c r="I227" i="7"/>
  <c r="H227" i="7"/>
  <c r="G227" i="7"/>
  <c r="F227" i="7"/>
  <c r="E227" i="7"/>
  <c r="D227" i="7"/>
  <c r="C227" i="7"/>
  <c r="B227" i="7"/>
  <c r="M226" i="7"/>
  <c r="L226" i="7"/>
  <c r="K226" i="7"/>
  <c r="J226" i="7"/>
  <c r="I226" i="7"/>
  <c r="H226" i="7"/>
  <c r="G226" i="7"/>
  <c r="F226" i="7"/>
  <c r="E226" i="7"/>
  <c r="D226" i="7"/>
  <c r="C226" i="7"/>
  <c r="B226" i="7"/>
  <c r="M225" i="7"/>
  <c r="L225" i="7"/>
  <c r="K225" i="7"/>
  <c r="J225" i="7"/>
  <c r="I225" i="7"/>
  <c r="H225" i="7"/>
  <c r="G225" i="7"/>
  <c r="F225" i="7"/>
  <c r="E225" i="7"/>
  <c r="D225" i="7"/>
  <c r="C225" i="7"/>
  <c r="B225" i="7"/>
  <c r="M224" i="7"/>
  <c r="L224" i="7"/>
  <c r="K224" i="7"/>
  <c r="J224" i="7"/>
  <c r="I224" i="7"/>
  <c r="H224" i="7"/>
  <c r="G224" i="7"/>
  <c r="F224" i="7"/>
  <c r="E224" i="7"/>
  <c r="D224" i="7"/>
  <c r="C224" i="7"/>
  <c r="B224" i="7"/>
  <c r="M223" i="7"/>
  <c r="L223" i="7"/>
  <c r="K223" i="7"/>
  <c r="J223" i="7"/>
  <c r="I223" i="7"/>
  <c r="H223" i="7"/>
  <c r="G223" i="7"/>
  <c r="F223" i="7"/>
  <c r="E223" i="7"/>
  <c r="D223" i="7"/>
  <c r="C223" i="7"/>
  <c r="B223" i="7"/>
  <c r="M222" i="7"/>
  <c r="L222" i="7"/>
  <c r="K222" i="7"/>
  <c r="J222" i="7"/>
  <c r="I222" i="7"/>
  <c r="H222" i="7"/>
  <c r="G222" i="7"/>
  <c r="F222" i="7"/>
  <c r="E222" i="7"/>
  <c r="D222" i="7"/>
  <c r="C222" i="7"/>
  <c r="B222" i="7"/>
  <c r="M221" i="7"/>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M201" i="7"/>
  <c r="L201" i="7"/>
  <c r="K201" i="7"/>
  <c r="J201" i="7"/>
  <c r="I201" i="7"/>
  <c r="H201" i="7"/>
  <c r="G201" i="7"/>
  <c r="F201" i="7"/>
  <c r="E201" i="7"/>
  <c r="D201" i="7"/>
  <c r="C201" i="7"/>
  <c r="B201" i="7"/>
  <c r="M200" i="7"/>
  <c r="L200" i="7"/>
  <c r="K200" i="7"/>
  <c r="J200" i="7"/>
  <c r="I200" i="7"/>
  <c r="H200" i="7"/>
  <c r="G200" i="7"/>
  <c r="F200" i="7"/>
  <c r="E200" i="7"/>
  <c r="D200" i="7"/>
  <c r="C200" i="7"/>
  <c r="B200" i="7"/>
  <c r="M199" i="7"/>
  <c r="L199" i="7"/>
  <c r="K199" i="7"/>
  <c r="J199" i="7"/>
  <c r="I199" i="7"/>
  <c r="H199" i="7"/>
  <c r="G199" i="7"/>
  <c r="F199" i="7"/>
  <c r="E199" i="7"/>
  <c r="D199" i="7"/>
  <c r="C199" i="7"/>
  <c r="B199" i="7"/>
  <c r="M198" i="7"/>
  <c r="L198" i="7"/>
  <c r="K198" i="7"/>
  <c r="J198" i="7"/>
  <c r="I198" i="7"/>
  <c r="H198" i="7"/>
  <c r="G198" i="7"/>
  <c r="F198" i="7"/>
  <c r="E198" i="7"/>
  <c r="D198" i="7"/>
  <c r="C198" i="7"/>
  <c r="B198" i="7"/>
  <c r="M197" i="7"/>
  <c r="L197" i="7"/>
  <c r="K197" i="7"/>
  <c r="J197" i="7"/>
  <c r="I197" i="7"/>
  <c r="H197" i="7"/>
  <c r="G197" i="7"/>
  <c r="F197" i="7"/>
  <c r="E197" i="7"/>
  <c r="D197" i="7"/>
  <c r="C197" i="7"/>
  <c r="B197" i="7"/>
  <c r="M196" i="7"/>
  <c r="L196" i="7"/>
  <c r="K196" i="7"/>
  <c r="J196" i="7"/>
  <c r="I196" i="7"/>
  <c r="H196" i="7"/>
  <c r="G196" i="7"/>
  <c r="F196" i="7"/>
  <c r="E196" i="7"/>
  <c r="D196" i="7"/>
  <c r="C196" i="7"/>
  <c r="B196" i="7"/>
  <c r="M195" i="7"/>
  <c r="L195" i="7"/>
  <c r="K195" i="7"/>
  <c r="J195" i="7"/>
  <c r="I195" i="7"/>
  <c r="H195" i="7"/>
  <c r="G195" i="7"/>
  <c r="F195" i="7"/>
  <c r="E195" i="7"/>
  <c r="D195" i="7"/>
  <c r="C195" i="7"/>
  <c r="B195" i="7"/>
  <c r="M194" i="7"/>
  <c r="L194" i="7"/>
  <c r="K194" i="7"/>
  <c r="J194" i="7"/>
  <c r="I194" i="7"/>
  <c r="H194" i="7"/>
  <c r="G194" i="7"/>
  <c r="F194" i="7"/>
  <c r="E194" i="7"/>
  <c r="D194" i="7"/>
  <c r="C194" i="7"/>
  <c r="B194" i="7"/>
  <c r="M193" i="7"/>
  <c r="L193" i="7"/>
  <c r="K193" i="7"/>
  <c r="J193" i="7"/>
  <c r="I193" i="7"/>
  <c r="H193" i="7"/>
  <c r="G193" i="7"/>
  <c r="F193" i="7"/>
  <c r="E193" i="7"/>
  <c r="D193" i="7"/>
  <c r="C193" i="7"/>
  <c r="B193" i="7"/>
  <c r="M192" i="7"/>
  <c r="L192" i="7"/>
  <c r="K192" i="7"/>
  <c r="J192" i="7"/>
  <c r="I192" i="7"/>
  <c r="H192" i="7"/>
  <c r="G192" i="7"/>
  <c r="F192" i="7"/>
  <c r="E192" i="7"/>
  <c r="D192" i="7"/>
  <c r="C192" i="7"/>
  <c r="B192" i="7"/>
  <c r="M191" i="7"/>
  <c r="L191" i="7"/>
  <c r="K191" i="7"/>
  <c r="J191" i="7"/>
  <c r="I191" i="7"/>
  <c r="H191" i="7"/>
  <c r="G191" i="7"/>
  <c r="F191" i="7"/>
  <c r="E191" i="7"/>
  <c r="D191" i="7"/>
  <c r="C191" i="7"/>
  <c r="B191" i="7"/>
  <c r="M190" i="7"/>
  <c r="L190" i="7"/>
  <c r="K190" i="7"/>
  <c r="J190" i="7"/>
  <c r="I190" i="7"/>
  <c r="H190" i="7"/>
  <c r="G190" i="7"/>
  <c r="F190" i="7"/>
  <c r="E190" i="7"/>
  <c r="D190" i="7"/>
  <c r="C190" i="7"/>
  <c r="B190" i="7"/>
  <c r="M189" i="7"/>
  <c r="L189" i="7"/>
  <c r="K189" i="7"/>
  <c r="J189" i="7"/>
  <c r="I189" i="7"/>
  <c r="H189" i="7"/>
  <c r="G189" i="7"/>
  <c r="F189" i="7"/>
  <c r="E189" i="7"/>
  <c r="D189" i="7"/>
  <c r="C189" i="7"/>
  <c r="B189" i="7"/>
  <c r="M188" i="7"/>
  <c r="L188" i="7"/>
  <c r="K188" i="7"/>
  <c r="J188" i="7"/>
  <c r="I188" i="7"/>
  <c r="H188" i="7"/>
  <c r="G188" i="7"/>
  <c r="F188" i="7"/>
  <c r="E188" i="7"/>
  <c r="D188" i="7"/>
  <c r="C188" i="7"/>
  <c r="B188" i="7"/>
  <c r="M187" i="7"/>
  <c r="L187" i="7"/>
  <c r="K187" i="7"/>
  <c r="J187" i="7"/>
  <c r="I187" i="7"/>
  <c r="H187" i="7"/>
  <c r="G187" i="7"/>
  <c r="F187" i="7"/>
  <c r="E187" i="7"/>
  <c r="D187" i="7"/>
  <c r="C187" i="7"/>
  <c r="B187" i="7"/>
  <c r="M186" i="7"/>
  <c r="L186" i="7"/>
  <c r="K186" i="7"/>
  <c r="J186" i="7"/>
  <c r="I186" i="7"/>
  <c r="H186" i="7"/>
  <c r="G186" i="7"/>
  <c r="F186" i="7"/>
  <c r="E186" i="7"/>
  <c r="D186" i="7"/>
  <c r="C186" i="7"/>
  <c r="B186" i="7"/>
  <c r="M185" i="7"/>
  <c r="L185" i="7"/>
  <c r="K185" i="7"/>
  <c r="J185" i="7"/>
  <c r="I185" i="7"/>
  <c r="H185" i="7"/>
  <c r="G185" i="7"/>
  <c r="F185" i="7"/>
  <c r="E185" i="7"/>
  <c r="D185" i="7"/>
  <c r="C185" i="7"/>
  <c r="B185" i="7"/>
  <c r="M184" i="7"/>
  <c r="L184" i="7"/>
  <c r="K184" i="7"/>
  <c r="J184" i="7"/>
  <c r="I184" i="7"/>
  <c r="H184" i="7"/>
  <c r="G184" i="7"/>
  <c r="F184" i="7"/>
  <c r="E184" i="7"/>
  <c r="D184" i="7"/>
  <c r="C184" i="7"/>
  <c r="B184" i="7"/>
  <c r="M183" i="7"/>
  <c r="L183" i="7"/>
  <c r="K183" i="7"/>
  <c r="J183" i="7"/>
  <c r="I183" i="7"/>
  <c r="H183" i="7"/>
  <c r="G183" i="7"/>
  <c r="F183" i="7"/>
  <c r="E183" i="7"/>
  <c r="D183" i="7"/>
  <c r="C183" i="7"/>
  <c r="B183" i="7"/>
  <c r="M182" i="7"/>
  <c r="L182" i="7"/>
  <c r="K182" i="7"/>
  <c r="J182" i="7"/>
  <c r="I182" i="7"/>
  <c r="H182" i="7"/>
  <c r="G182" i="7"/>
  <c r="F182" i="7"/>
  <c r="E182" i="7"/>
  <c r="D182" i="7"/>
  <c r="C182" i="7"/>
  <c r="B182" i="7"/>
  <c r="M181" i="7"/>
  <c r="L181" i="7"/>
  <c r="K181" i="7"/>
  <c r="J181" i="7"/>
  <c r="I181" i="7"/>
  <c r="H181" i="7"/>
  <c r="G181" i="7"/>
  <c r="F181" i="7"/>
  <c r="E181" i="7"/>
  <c r="D181" i="7"/>
  <c r="C181" i="7"/>
  <c r="B181" i="7"/>
  <c r="M180" i="7"/>
  <c r="L180" i="7"/>
  <c r="K180" i="7"/>
  <c r="J180" i="7"/>
  <c r="I180" i="7"/>
  <c r="H180" i="7"/>
  <c r="G180" i="7"/>
  <c r="F180" i="7"/>
  <c r="E180" i="7"/>
  <c r="D180" i="7"/>
  <c r="C180" i="7"/>
  <c r="B180" i="7"/>
  <c r="M179" i="7"/>
  <c r="L179" i="7"/>
  <c r="K179" i="7"/>
  <c r="J179" i="7"/>
  <c r="I179" i="7"/>
  <c r="H179" i="7"/>
  <c r="G179" i="7"/>
  <c r="F179" i="7"/>
  <c r="E179" i="7"/>
  <c r="D179" i="7"/>
  <c r="C179" i="7"/>
  <c r="B179" i="7"/>
  <c r="M178" i="7"/>
  <c r="L178" i="7"/>
  <c r="K178" i="7"/>
  <c r="J178" i="7"/>
  <c r="I178" i="7"/>
  <c r="H178" i="7"/>
  <c r="G178" i="7"/>
  <c r="F178" i="7"/>
  <c r="E178" i="7"/>
  <c r="D178" i="7"/>
  <c r="C178" i="7"/>
  <c r="B178" i="7"/>
  <c r="M177" i="7"/>
  <c r="L177" i="7"/>
  <c r="K177" i="7"/>
  <c r="J177" i="7"/>
  <c r="I177" i="7"/>
  <c r="H177" i="7"/>
  <c r="G177" i="7"/>
  <c r="F177" i="7"/>
  <c r="E177" i="7"/>
  <c r="D177" i="7"/>
  <c r="C177" i="7"/>
  <c r="B177" i="7"/>
  <c r="M176" i="7"/>
  <c r="L176" i="7"/>
  <c r="K176" i="7"/>
  <c r="J176" i="7"/>
  <c r="I176" i="7"/>
  <c r="H176" i="7"/>
  <c r="G176" i="7"/>
  <c r="F176" i="7"/>
  <c r="E176" i="7"/>
  <c r="D176" i="7"/>
  <c r="C176" i="7"/>
  <c r="B176" i="7"/>
  <c r="M175" i="7"/>
  <c r="L175" i="7"/>
  <c r="K175" i="7"/>
  <c r="J175" i="7"/>
  <c r="I175" i="7"/>
  <c r="H175" i="7"/>
  <c r="G175" i="7"/>
  <c r="F175" i="7"/>
  <c r="E175" i="7"/>
  <c r="D175" i="7"/>
  <c r="C175" i="7"/>
  <c r="B175" i="7"/>
  <c r="M174" i="7"/>
  <c r="L174" i="7"/>
  <c r="K174" i="7"/>
  <c r="J174" i="7"/>
  <c r="I174" i="7"/>
  <c r="H174" i="7"/>
  <c r="G174" i="7"/>
  <c r="F174" i="7"/>
  <c r="E174" i="7"/>
  <c r="D174" i="7"/>
  <c r="C174" i="7"/>
  <c r="B174" i="7"/>
  <c r="M173" i="7"/>
  <c r="L173" i="7"/>
  <c r="K173" i="7"/>
  <c r="J173" i="7"/>
  <c r="I173" i="7"/>
  <c r="H173" i="7"/>
  <c r="G173" i="7"/>
  <c r="F173" i="7"/>
  <c r="E173" i="7"/>
  <c r="D173" i="7"/>
  <c r="C173" i="7"/>
  <c r="B173" i="7"/>
  <c r="M172" i="7"/>
  <c r="L172" i="7"/>
  <c r="K172" i="7"/>
  <c r="J172" i="7"/>
  <c r="I172" i="7"/>
  <c r="H172" i="7"/>
  <c r="G172" i="7"/>
  <c r="F172" i="7"/>
  <c r="E172" i="7"/>
  <c r="D172" i="7"/>
  <c r="C172" i="7"/>
  <c r="B172" i="7"/>
  <c r="M171" i="7"/>
  <c r="L171" i="7"/>
  <c r="K171" i="7"/>
  <c r="J171" i="7"/>
  <c r="I171" i="7"/>
  <c r="H171" i="7"/>
  <c r="G171" i="7"/>
  <c r="F171" i="7"/>
  <c r="E171" i="7"/>
  <c r="D171" i="7"/>
  <c r="C171" i="7"/>
  <c r="B171" i="7"/>
  <c r="M170" i="7"/>
  <c r="L170" i="7"/>
  <c r="K170" i="7"/>
  <c r="J170" i="7"/>
  <c r="I170" i="7"/>
  <c r="H170" i="7"/>
  <c r="G170" i="7"/>
  <c r="F170" i="7"/>
  <c r="E170" i="7"/>
  <c r="D170" i="7"/>
  <c r="C170" i="7"/>
  <c r="B170" i="7"/>
  <c r="M169" i="7"/>
  <c r="L169" i="7"/>
  <c r="K169" i="7"/>
  <c r="J169" i="7"/>
  <c r="I169" i="7"/>
  <c r="H169" i="7"/>
  <c r="G169" i="7"/>
  <c r="F169" i="7"/>
  <c r="E169" i="7"/>
  <c r="D169" i="7"/>
  <c r="C169" i="7"/>
  <c r="B169" i="7"/>
  <c r="M168" i="7"/>
  <c r="L168" i="7"/>
  <c r="K168" i="7"/>
  <c r="J168" i="7"/>
  <c r="I168" i="7"/>
  <c r="H168" i="7"/>
  <c r="G168" i="7"/>
  <c r="F168" i="7"/>
  <c r="E168" i="7"/>
  <c r="D168" i="7"/>
  <c r="C168" i="7"/>
  <c r="B168" i="7"/>
  <c r="M167" i="7"/>
  <c r="L167" i="7"/>
  <c r="K167" i="7"/>
  <c r="J167" i="7"/>
  <c r="I167" i="7"/>
  <c r="H167" i="7"/>
  <c r="G167" i="7"/>
  <c r="F167" i="7"/>
  <c r="E167" i="7"/>
  <c r="D167" i="7"/>
  <c r="C167" i="7"/>
  <c r="B167" i="7"/>
  <c r="M166" i="7"/>
  <c r="L166" i="7"/>
  <c r="K166" i="7"/>
  <c r="J166" i="7"/>
  <c r="I166" i="7"/>
  <c r="H166" i="7"/>
  <c r="G166" i="7"/>
  <c r="F166" i="7"/>
  <c r="E166" i="7"/>
  <c r="D166" i="7"/>
  <c r="C166" i="7"/>
  <c r="B166" i="7"/>
  <c r="M165" i="7"/>
  <c r="L165" i="7"/>
  <c r="K165" i="7"/>
  <c r="J165" i="7"/>
  <c r="I165" i="7"/>
  <c r="H165" i="7"/>
  <c r="G165" i="7"/>
  <c r="F165" i="7"/>
  <c r="E165" i="7"/>
  <c r="D165" i="7"/>
  <c r="C165" i="7"/>
  <c r="B165" i="7"/>
  <c r="M164" i="7"/>
  <c r="L164" i="7"/>
  <c r="K164" i="7"/>
  <c r="J164" i="7"/>
  <c r="I164" i="7"/>
  <c r="H164" i="7"/>
  <c r="G164" i="7"/>
  <c r="F164" i="7"/>
  <c r="E164" i="7"/>
  <c r="D164" i="7"/>
  <c r="C164" i="7"/>
  <c r="B164" i="7"/>
  <c r="M163" i="7"/>
  <c r="L163" i="7"/>
  <c r="K163" i="7"/>
  <c r="J163" i="7"/>
  <c r="I163" i="7"/>
  <c r="H163" i="7"/>
  <c r="G163" i="7"/>
  <c r="F163" i="7"/>
  <c r="E163" i="7"/>
  <c r="D163" i="7"/>
  <c r="C163" i="7"/>
  <c r="B163" i="7"/>
  <c r="M162" i="7"/>
  <c r="L162" i="7"/>
  <c r="K162" i="7"/>
  <c r="J162" i="7"/>
  <c r="I162" i="7"/>
  <c r="H162" i="7"/>
  <c r="G162" i="7"/>
  <c r="F162" i="7"/>
  <c r="E162" i="7"/>
  <c r="D162" i="7"/>
  <c r="C162" i="7"/>
  <c r="B162" i="7"/>
  <c r="M161" i="7"/>
  <c r="L161" i="7"/>
  <c r="K161" i="7"/>
  <c r="J161" i="7"/>
  <c r="I161" i="7"/>
  <c r="H161" i="7"/>
  <c r="G161" i="7"/>
  <c r="F161" i="7"/>
  <c r="E161" i="7"/>
  <c r="D161" i="7"/>
  <c r="C161" i="7"/>
  <c r="B161" i="7"/>
  <c r="M160" i="7"/>
  <c r="L160" i="7"/>
  <c r="K160" i="7"/>
  <c r="J160" i="7"/>
  <c r="I160" i="7"/>
  <c r="H160" i="7"/>
  <c r="G160" i="7"/>
  <c r="F160" i="7"/>
  <c r="E160" i="7"/>
  <c r="D160" i="7"/>
  <c r="C160" i="7"/>
  <c r="B160" i="7"/>
  <c r="M159" i="7"/>
  <c r="L159" i="7"/>
  <c r="K159" i="7"/>
  <c r="J159" i="7"/>
  <c r="I159" i="7"/>
  <c r="H159" i="7"/>
  <c r="G159" i="7"/>
  <c r="F159" i="7"/>
  <c r="E159" i="7"/>
  <c r="D159" i="7"/>
  <c r="C159" i="7"/>
  <c r="B159" i="7"/>
  <c r="M158" i="7"/>
  <c r="L158" i="7"/>
  <c r="K158" i="7"/>
  <c r="J158" i="7"/>
  <c r="I158" i="7"/>
  <c r="H158" i="7"/>
  <c r="G158" i="7"/>
  <c r="F158" i="7"/>
  <c r="E158" i="7"/>
  <c r="D158" i="7"/>
  <c r="C158" i="7"/>
  <c r="B158" i="7"/>
  <c r="M157" i="7"/>
  <c r="L157" i="7"/>
  <c r="K157" i="7"/>
  <c r="J157" i="7"/>
  <c r="I157" i="7"/>
  <c r="H157" i="7"/>
  <c r="G157" i="7"/>
  <c r="F157" i="7"/>
  <c r="E157" i="7"/>
  <c r="D157" i="7"/>
  <c r="C157" i="7"/>
  <c r="B157" i="7"/>
  <c r="M156" i="7"/>
  <c r="L156" i="7"/>
  <c r="K156" i="7"/>
  <c r="J156" i="7"/>
  <c r="I156" i="7"/>
  <c r="H156" i="7"/>
  <c r="G156" i="7"/>
  <c r="F156" i="7"/>
  <c r="E156" i="7"/>
  <c r="D156" i="7"/>
  <c r="C156" i="7"/>
  <c r="B156" i="7"/>
  <c r="M155" i="7"/>
  <c r="L155" i="7"/>
  <c r="K155" i="7"/>
  <c r="J155" i="7"/>
  <c r="I155" i="7"/>
  <c r="H155" i="7"/>
  <c r="G155" i="7"/>
  <c r="F155" i="7"/>
  <c r="E155" i="7"/>
  <c r="D155" i="7"/>
  <c r="C155" i="7"/>
  <c r="B155" i="7"/>
  <c r="M154" i="7"/>
  <c r="L154" i="7"/>
  <c r="K154" i="7"/>
  <c r="J154" i="7"/>
  <c r="I154" i="7"/>
  <c r="H154" i="7"/>
  <c r="G154" i="7"/>
  <c r="F154" i="7"/>
  <c r="E154" i="7"/>
  <c r="D154" i="7"/>
  <c r="C154" i="7"/>
  <c r="B154" i="7"/>
  <c r="M153" i="7"/>
  <c r="L153" i="7"/>
  <c r="K153" i="7"/>
  <c r="J153" i="7"/>
  <c r="I153" i="7"/>
  <c r="H153" i="7"/>
  <c r="G153" i="7"/>
  <c r="F153" i="7"/>
  <c r="E153" i="7"/>
  <c r="D153" i="7"/>
  <c r="C153" i="7"/>
  <c r="B153" i="7"/>
  <c r="M152" i="7"/>
  <c r="L152" i="7"/>
  <c r="K152" i="7"/>
  <c r="J152" i="7"/>
  <c r="I152" i="7"/>
  <c r="H152" i="7"/>
  <c r="G152" i="7"/>
  <c r="F152" i="7"/>
  <c r="E152" i="7"/>
  <c r="D152" i="7"/>
  <c r="C152" i="7"/>
  <c r="B152" i="7"/>
  <c r="M151" i="7"/>
  <c r="L151" i="7"/>
  <c r="K151" i="7"/>
  <c r="J151" i="7"/>
  <c r="I151" i="7"/>
  <c r="H151" i="7"/>
  <c r="G151" i="7"/>
  <c r="F151" i="7"/>
  <c r="E151" i="7"/>
  <c r="D151" i="7"/>
  <c r="C151" i="7"/>
  <c r="B151" i="7"/>
  <c r="M150" i="7"/>
  <c r="L150" i="7"/>
  <c r="K150" i="7"/>
  <c r="J150" i="7"/>
  <c r="I150" i="7"/>
  <c r="H150" i="7"/>
  <c r="G150" i="7"/>
  <c r="F150" i="7"/>
  <c r="E150" i="7"/>
  <c r="D150" i="7"/>
  <c r="C150" i="7"/>
  <c r="B150" i="7"/>
  <c r="M149" i="7"/>
  <c r="L149" i="7"/>
  <c r="K149" i="7"/>
  <c r="J149" i="7"/>
  <c r="I149" i="7"/>
  <c r="H149" i="7"/>
  <c r="G149" i="7"/>
  <c r="F149" i="7"/>
  <c r="E149" i="7"/>
  <c r="D149" i="7"/>
  <c r="C149" i="7"/>
  <c r="B149" i="7"/>
  <c r="M148" i="7"/>
  <c r="L148" i="7"/>
  <c r="K148" i="7"/>
  <c r="J148" i="7"/>
  <c r="I148" i="7"/>
  <c r="H148" i="7"/>
  <c r="G148" i="7"/>
  <c r="F148" i="7"/>
  <c r="E148" i="7"/>
  <c r="D148" i="7"/>
  <c r="C148" i="7"/>
  <c r="B148" i="7"/>
  <c r="M147" i="7"/>
  <c r="L147" i="7"/>
  <c r="K147" i="7"/>
  <c r="J147" i="7"/>
  <c r="I147" i="7"/>
  <c r="H147" i="7"/>
  <c r="G147" i="7"/>
  <c r="F147" i="7"/>
  <c r="E147" i="7"/>
  <c r="D147" i="7"/>
  <c r="C147" i="7"/>
  <c r="B147" i="7"/>
  <c r="M146" i="7"/>
  <c r="L146" i="7"/>
  <c r="K146" i="7"/>
  <c r="J146" i="7"/>
  <c r="I146" i="7"/>
  <c r="H146" i="7"/>
  <c r="G146" i="7"/>
  <c r="F146" i="7"/>
  <c r="E146" i="7"/>
  <c r="D146" i="7"/>
  <c r="C146" i="7"/>
  <c r="B146" i="7"/>
  <c r="M145" i="7"/>
  <c r="L145" i="7"/>
  <c r="K145" i="7"/>
  <c r="J145" i="7"/>
  <c r="I145" i="7"/>
  <c r="H145" i="7"/>
  <c r="G145" i="7"/>
  <c r="F145" i="7"/>
  <c r="E145" i="7"/>
  <c r="D145" i="7"/>
  <c r="C145" i="7"/>
  <c r="B145" i="7"/>
  <c r="M144" i="7"/>
  <c r="L144" i="7"/>
  <c r="K144" i="7"/>
  <c r="J144" i="7"/>
  <c r="I144" i="7"/>
  <c r="H144" i="7"/>
  <c r="G144" i="7"/>
  <c r="F144" i="7"/>
  <c r="E144" i="7"/>
  <c r="D144" i="7"/>
  <c r="C144" i="7"/>
  <c r="B144" i="7"/>
  <c r="M143" i="7"/>
  <c r="L143" i="7"/>
  <c r="K143" i="7"/>
  <c r="J143" i="7"/>
  <c r="I143" i="7"/>
  <c r="H143" i="7"/>
  <c r="G143" i="7"/>
  <c r="F143" i="7"/>
  <c r="E143" i="7"/>
  <c r="D143" i="7"/>
  <c r="C143" i="7"/>
  <c r="B143" i="7"/>
  <c r="M142" i="7"/>
  <c r="L142" i="7"/>
  <c r="K142" i="7"/>
  <c r="J142" i="7"/>
  <c r="I142" i="7"/>
  <c r="H142" i="7"/>
  <c r="G142" i="7"/>
  <c r="F142" i="7"/>
  <c r="E142" i="7"/>
  <c r="D142" i="7"/>
  <c r="C142" i="7"/>
  <c r="B142" i="7"/>
  <c r="M141" i="7"/>
  <c r="L141" i="7"/>
  <c r="K141" i="7"/>
  <c r="J141" i="7"/>
  <c r="I141" i="7"/>
  <c r="H141" i="7"/>
  <c r="G141" i="7"/>
  <c r="F141" i="7"/>
  <c r="E141" i="7"/>
  <c r="D141" i="7"/>
  <c r="C141" i="7"/>
  <c r="B141" i="7"/>
  <c r="M140" i="7"/>
  <c r="L140" i="7"/>
  <c r="K140" i="7"/>
  <c r="J140" i="7"/>
  <c r="I140" i="7"/>
  <c r="H140" i="7"/>
  <c r="G140" i="7"/>
  <c r="F140" i="7"/>
  <c r="E140" i="7"/>
  <c r="D140" i="7"/>
  <c r="C140" i="7"/>
  <c r="B140" i="7"/>
  <c r="M139" i="7"/>
  <c r="L139" i="7"/>
  <c r="K139" i="7"/>
  <c r="J139" i="7"/>
  <c r="I139" i="7"/>
  <c r="H139" i="7"/>
  <c r="G139" i="7"/>
  <c r="F139" i="7"/>
  <c r="E139" i="7"/>
  <c r="D139" i="7"/>
  <c r="C139" i="7"/>
  <c r="B139" i="7"/>
  <c r="M138" i="7"/>
  <c r="L138" i="7"/>
  <c r="K138" i="7"/>
  <c r="J138" i="7"/>
  <c r="I138" i="7"/>
  <c r="H138" i="7"/>
  <c r="G138" i="7"/>
  <c r="F138" i="7"/>
  <c r="E138" i="7"/>
  <c r="D138" i="7"/>
  <c r="C138" i="7"/>
  <c r="B138" i="7"/>
  <c r="M137" i="7"/>
  <c r="L137" i="7"/>
  <c r="K137" i="7"/>
  <c r="J137" i="7"/>
  <c r="I137" i="7"/>
  <c r="H137" i="7"/>
  <c r="G137" i="7"/>
  <c r="F137" i="7"/>
  <c r="E137" i="7"/>
  <c r="D137" i="7"/>
  <c r="C137" i="7"/>
  <c r="B137" i="7"/>
  <c r="M136" i="7"/>
  <c r="L136" i="7"/>
  <c r="K136" i="7"/>
  <c r="J136" i="7"/>
  <c r="I136" i="7"/>
  <c r="H136" i="7"/>
  <c r="G136" i="7"/>
  <c r="F136" i="7"/>
  <c r="E136" i="7"/>
  <c r="D136" i="7"/>
  <c r="C136" i="7"/>
  <c r="B136" i="7"/>
  <c r="M135" i="7"/>
  <c r="L135" i="7"/>
  <c r="K135" i="7"/>
  <c r="J135" i="7"/>
  <c r="I135" i="7"/>
  <c r="H135" i="7"/>
  <c r="G135" i="7"/>
  <c r="F135" i="7"/>
  <c r="E135" i="7"/>
  <c r="D135" i="7"/>
  <c r="C135" i="7"/>
  <c r="B135" i="7"/>
  <c r="M134" i="7"/>
  <c r="L134" i="7"/>
  <c r="K134" i="7"/>
  <c r="J134" i="7"/>
  <c r="I134" i="7"/>
  <c r="H134" i="7"/>
  <c r="G134" i="7"/>
  <c r="F134" i="7"/>
  <c r="E134" i="7"/>
  <c r="D134" i="7"/>
  <c r="C134" i="7"/>
  <c r="B134" i="7"/>
  <c r="M133" i="7"/>
  <c r="L133" i="7"/>
  <c r="K133" i="7"/>
  <c r="J133" i="7"/>
  <c r="I133" i="7"/>
  <c r="H133" i="7"/>
  <c r="G133" i="7"/>
  <c r="F133" i="7"/>
  <c r="E133" i="7"/>
  <c r="D133" i="7"/>
  <c r="C133" i="7"/>
  <c r="B133" i="7"/>
  <c r="M132" i="7"/>
  <c r="L132" i="7"/>
  <c r="K132" i="7"/>
  <c r="J132" i="7"/>
  <c r="I132" i="7"/>
  <c r="H132" i="7"/>
  <c r="G132" i="7"/>
  <c r="F132" i="7"/>
  <c r="E132" i="7"/>
  <c r="D132" i="7"/>
  <c r="C132" i="7"/>
  <c r="B132" i="7"/>
  <c r="M131" i="7"/>
  <c r="L131" i="7"/>
  <c r="K131" i="7"/>
  <c r="J131" i="7"/>
  <c r="I131" i="7"/>
  <c r="H131" i="7"/>
  <c r="G131" i="7"/>
  <c r="F131" i="7"/>
  <c r="E131" i="7"/>
  <c r="D131" i="7"/>
  <c r="C131" i="7"/>
  <c r="B131" i="7"/>
  <c r="M130" i="7"/>
  <c r="L130" i="7"/>
  <c r="K130" i="7"/>
  <c r="J130" i="7"/>
  <c r="I130" i="7"/>
  <c r="H130" i="7"/>
  <c r="G130" i="7"/>
  <c r="F130" i="7"/>
  <c r="E130" i="7"/>
  <c r="D130" i="7"/>
  <c r="C130" i="7"/>
  <c r="B130" i="7"/>
  <c r="M129" i="7"/>
  <c r="L129" i="7"/>
  <c r="K129" i="7"/>
  <c r="J129" i="7"/>
  <c r="I129" i="7"/>
  <c r="H129" i="7"/>
  <c r="G129" i="7"/>
  <c r="F129" i="7"/>
  <c r="E129" i="7"/>
  <c r="D129" i="7"/>
  <c r="C129" i="7"/>
  <c r="B129" i="7"/>
  <c r="M128" i="7"/>
  <c r="L128" i="7"/>
  <c r="K128" i="7"/>
  <c r="J128" i="7"/>
  <c r="I128" i="7"/>
  <c r="H128" i="7"/>
  <c r="G128" i="7"/>
  <c r="F128" i="7"/>
  <c r="E128" i="7"/>
  <c r="D128" i="7"/>
  <c r="C128" i="7"/>
  <c r="B128" i="7"/>
  <c r="M127" i="7"/>
  <c r="L127" i="7"/>
  <c r="K127" i="7"/>
  <c r="J127" i="7"/>
  <c r="I127" i="7"/>
  <c r="H127" i="7"/>
  <c r="G127" i="7"/>
  <c r="F127" i="7"/>
  <c r="E127" i="7"/>
  <c r="D127" i="7"/>
  <c r="C127" i="7"/>
  <c r="B127" i="7"/>
  <c r="M126" i="7"/>
  <c r="L126" i="7"/>
  <c r="K126" i="7"/>
  <c r="J126" i="7"/>
  <c r="I126" i="7"/>
  <c r="H126" i="7"/>
  <c r="G126" i="7"/>
  <c r="F126" i="7"/>
  <c r="E126" i="7"/>
  <c r="D126" i="7"/>
  <c r="C126" i="7"/>
  <c r="B126" i="7"/>
  <c r="M125" i="7"/>
  <c r="L125" i="7"/>
  <c r="K125" i="7"/>
  <c r="J125" i="7"/>
  <c r="I125" i="7"/>
  <c r="H125" i="7"/>
  <c r="G125" i="7"/>
  <c r="F125" i="7"/>
  <c r="E125" i="7"/>
  <c r="D125" i="7"/>
  <c r="C125" i="7"/>
  <c r="B125" i="7"/>
  <c r="M124" i="7"/>
  <c r="L124" i="7"/>
  <c r="K124" i="7"/>
  <c r="J124" i="7"/>
  <c r="I124" i="7"/>
  <c r="H124" i="7"/>
  <c r="G124" i="7"/>
  <c r="F124" i="7"/>
  <c r="E124" i="7"/>
  <c r="D124" i="7"/>
  <c r="C124" i="7"/>
  <c r="B124" i="7"/>
  <c r="M123" i="7"/>
  <c r="L123" i="7"/>
  <c r="K123" i="7"/>
  <c r="J123" i="7"/>
  <c r="I123" i="7"/>
  <c r="H123" i="7"/>
  <c r="G123" i="7"/>
  <c r="F123" i="7"/>
  <c r="E123" i="7"/>
  <c r="D123" i="7"/>
  <c r="C123" i="7"/>
  <c r="B123" i="7"/>
  <c r="M122" i="7"/>
  <c r="L122" i="7"/>
  <c r="K122" i="7"/>
  <c r="J122" i="7"/>
  <c r="I122" i="7"/>
  <c r="H122" i="7"/>
  <c r="G122" i="7"/>
  <c r="F122" i="7"/>
  <c r="E122" i="7"/>
  <c r="D122" i="7"/>
  <c r="C122" i="7"/>
  <c r="B122" i="7"/>
  <c r="M121" i="7"/>
  <c r="L121" i="7"/>
  <c r="K121" i="7"/>
  <c r="J121" i="7"/>
  <c r="I121" i="7"/>
  <c r="H121" i="7"/>
  <c r="G121" i="7"/>
  <c r="F121" i="7"/>
  <c r="E121" i="7"/>
  <c r="D121" i="7"/>
  <c r="C121" i="7"/>
  <c r="B121" i="7"/>
  <c r="M120" i="7"/>
  <c r="L120" i="7"/>
  <c r="K120" i="7"/>
  <c r="J120" i="7"/>
  <c r="I120" i="7"/>
  <c r="H120" i="7"/>
  <c r="G120" i="7"/>
  <c r="F120" i="7"/>
  <c r="E120" i="7"/>
  <c r="D120" i="7"/>
  <c r="C120" i="7"/>
  <c r="B120" i="7"/>
  <c r="M119" i="7"/>
  <c r="L119" i="7"/>
  <c r="K119" i="7"/>
  <c r="J119" i="7"/>
  <c r="I119" i="7"/>
  <c r="H119" i="7"/>
  <c r="G119" i="7"/>
  <c r="F119" i="7"/>
  <c r="E119" i="7"/>
  <c r="D119" i="7"/>
  <c r="C119" i="7"/>
  <c r="B119" i="7"/>
  <c r="M118" i="7"/>
  <c r="L118" i="7"/>
  <c r="K118" i="7"/>
  <c r="J118" i="7"/>
  <c r="I118" i="7"/>
  <c r="H118" i="7"/>
  <c r="G118" i="7"/>
  <c r="F118" i="7"/>
  <c r="E118" i="7"/>
  <c r="D118" i="7"/>
  <c r="C118" i="7"/>
  <c r="B118" i="7"/>
  <c r="M117" i="7"/>
  <c r="L117" i="7"/>
  <c r="K117" i="7"/>
  <c r="J117" i="7"/>
  <c r="I117" i="7"/>
  <c r="H117" i="7"/>
  <c r="G117" i="7"/>
  <c r="F117" i="7"/>
  <c r="E117" i="7"/>
  <c r="D117" i="7"/>
  <c r="C117" i="7"/>
  <c r="B117" i="7"/>
  <c r="M116" i="7"/>
  <c r="L116" i="7"/>
  <c r="K116" i="7"/>
  <c r="J116" i="7"/>
  <c r="I116" i="7"/>
  <c r="H116" i="7"/>
  <c r="G116" i="7"/>
  <c r="F116" i="7"/>
  <c r="E116" i="7"/>
  <c r="D116" i="7"/>
  <c r="C116" i="7"/>
  <c r="B116" i="7"/>
  <c r="M115" i="7"/>
  <c r="L115" i="7"/>
  <c r="K115" i="7"/>
  <c r="J115" i="7"/>
  <c r="I115" i="7"/>
  <c r="H115" i="7"/>
  <c r="G115" i="7"/>
  <c r="F115" i="7"/>
  <c r="E115" i="7"/>
  <c r="D115" i="7"/>
  <c r="C115" i="7"/>
  <c r="B115" i="7"/>
  <c r="M114" i="7"/>
  <c r="L114" i="7"/>
  <c r="K114" i="7"/>
  <c r="J114" i="7"/>
  <c r="I114" i="7"/>
  <c r="H114" i="7"/>
  <c r="G114" i="7"/>
  <c r="F114" i="7"/>
  <c r="E114" i="7"/>
  <c r="D114" i="7"/>
  <c r="C114" i="7"/>
  <c r="B114" i="7"/>
  <c r="M113" i="7"/>
  <c r="L113" i="7"/>
  <c r="K113" i="7"/>
  <c r="J113" i="7"/>
  <c r="I113" i="7"/>
  <c r="H113" i="7"/>
  <c r="G113" i="7"/>
  <c r="F113" i="7"/>
  <c r="E113" i="7"/>
  <c r="D113" i="7"/>
  <c r="C113" i="7"/>
  <c r="B113" i="7"/>
  <c r="M112" i="7"/>
  <c r="L112" i="7"/>
  <c r="K112" i="7"/>
  <c r="J112" i="7"/>
  <c r="I112" i="7"/>
  <c r="H112" i="7"/>
  <c r="G112" i="7"/>
  <c r="F112" i="7"/>
  <c r="E112" i="7"/>
  <c r="D112" i="7"/>
  <c r="C112" i="7"/>
  <c r="B112" i="7"/>
  <c r="M111" i="7"/>
  <c r="L111" i="7"/>
  <c r="K111" i="7"/>
  <c r="J111" i="7"/>
  <c r="I111" i="7"/>
  <c r="H111" i="7"/>
  <c r="G111" i="7"/>
  <c r="F111" i="7"/>
  <c r="E111" i="7"/>
  <c r="D111" i="7"/>
  <c r="C111" i="7"/>
  <c r="B111" i="7"/>
  <c r="M110" i="7"/>
  <c r="L110" i="7"/>
  <c r="K110" i="7"/>
  <c r="J110" i="7"/>
  <c r="I110" i="7"/>
  <c r="H110" i="7"/>
  <c r="G110" i="7"/>
  <c r="F110" i="7"/>
  <c r="E110" i="7"/>
  <c r="D110" i="7"/>
  <c r="C110" i="7"/>
  <c r="B110" i="7"/>
  <c r="M109" i="7"/>
  <c r="L109" i="7"/>
  <c r="K109" i="7"/>
  <c r="J109" i="7"/>
  <c r="I109" i="7"/>
  <c r="H109" i="7"/>
  <c r="G109" i="7"/>
  <c r="F109" i="7"/>
  <c r="E109" i="7"/>
  <c r="D109" i="7"/>
  <c r="C109" i="7"/>
  <c r="B109" i="7"/>
  <c r="M108" i="7"/>
  <c r="L108" i="7"/>
  <c r="K108" i="7"/>
  <c r="J108" i="7"/>
  <c r="I108" i="7"/>
  <c r="H108" i="7"/>
  <c r="G108" i="7"/>
  <c r="F108" i="7"/>
  <c r="E108" i="7"/>
  <c r="D108" i="7"/>
  <c r="C108" i="7"/>
  <c r="B108" i="7"/>
  <c r="M107" i="7"/>
  <c r="L107" i="7"/>
  <c r="K107" i="7"/>
  <c r="J107" i="7"/>
  <c r="I107" i="7"/>
  <c r="H107" i="7"/>
  <c r="G107" i="7"/>
  <c r="F107" i="7"/>
  <c r="E107" i="7"/>
  <c r="D107" i="7"/>
  <c r="C107" i="7"/>
  <c r="B107" i="7"/>
  <c r="M106" i="7"/>
  <c r="L106" i="7"/>
  <c r="K106" i="7"/>
  <c r="J106" i="7"/>
  <c r="I106" i="7"/>
  <c r="H106" i="7"/>
  <c r="G106" i="7"/>
  <c r="F106" i="7"/>
  <c r="E106" i="7"/>
  <c r="D106" i="7"/>
  <c r="C106" i="7"/>
  <c r="B106" i="7"/>
  <c r="M105" i="7"/>
  <c r="L105" i="7"/>
  <c r="K105" i="7"/>
  <c r="J105" i="7"/>
  <c r="I105" i="7"/>
  <c r="H105" i="7"/>
  <c r="G105" i="7"/>
  <c r="F105" i="7"/>
  <c r="E105" i="7"/>
  <c r="D105" i="7"/>
  <c r="C105" i="7"/>
  <c r="B105" i="7"/>
  <c r="M104" i="7"/>
  <c r="L104" i="7"/>
  <c r="K104" i="7"/>
  <c r="J104" i="7"/>
  <c r="I104" i="7"/>
  <c r="H104" i="7"/>
  <c r="G104" i="7"/>
  <c r="F104" i="7"/>
  <c r="E104" i="7"/>
  <c r="D104" i="7"/>
  <c r="C104" i="7"/>
  <c r="B104" i="7"/>
  <c r="M103" i="7"/>
  <c r="L103" i="7"/>
  <c r="K103" i="7"/>
  <c r="J103" i="7"/>
  <c r="I103" i="7"/>
  <c r="H103" i="7"/>
  <c r="G103" i="7"/>
  <c r="F103" i="7"/>
  <c r="E103" i="7"/>
  <c r="D103" i="7"/>
  <c r="C103" i="7"/>
  <c r="B103" i="7"/>
  <c r="M102" i="7"/>
  <c r="L102" i="7"/>
  <c r="K102" i="7"/>
  <c r="J102" i="7"/>
  <c r="I102" i="7"/>
  <c r="H102" i="7"/>
  <c r="G102" i="7"/>
  <c r="F102" i="7"/>
  <c r="E102" i="7"/>
  <c r="D102" i="7"/>
  <c r="C102" i="7"/>
  <c r="B102" i="7"/>
  <c r="M101" i="7"/>
  <c r="L101" i="7"/>
  <c r="K101" i="7"/>
  <c r="J101" i="7"/>
  <c r="I101" i="7"/>
  <c r="H101" i="7"/>
  <c r="G101" i="7"/>
  <c r="F101" i="7"/>
  <c r="E101" i="7"/>
  <c r="D101" i="7"/>
  <c r="C101" i="7"/>
  <c r="B101" i="7"/>
  <c r="M100" i="7"/>
  <c r="L100" i="7"/>
  <c r="K100" i="7"/>
  <c r="J100" i="7"/>
  <c r="I100" i="7"/>
  <c r="H100" i="7"/>
  <c r="G100" i="7"/>
  <c r="F100" i="7"/>
  <c r="E100" i="7"/>
  <c r="D100" i="7"/>
  <c r="C100" i="7"/>
  <c r="B100" i="7"/>
  <c r="M99" i="7"/>
  <c r="L99" i="7"/>
  <c r="K99" i="7"/>
  <c r="J99" i="7"/>
  <c r="I99" i="7"/>
  <c r="H99" i="7"/>
  <c r="G99" i="7"/>
  <c r="F99" i="7"/>
  <c r="E99" i="7"/>
  <c r="D99" i="7"/>
  <c r="C99" i="7"/>
  <c r="B99" i="7"/>
  <c r="M98" i="7"/>
  <c r="L98" i="7"/>
  <c r="K98" i="7"/>
  <c r="J98" i="7"/>
  <c r="I98" i="7"/>
  <c r="H98" i="7"/>
  <c r="G98" i="7"/>
  <c r="F98" i="7"/>
  <c r="E98" i="7"/>
  <c r="D98" i="7"/>
  <c r="C98" i="7"/>
  <c r="B98" i="7"/>
  <c r="M97" i="7"/>
  <c r="L97" i="7"/>
  <c r="K97" i="7"/>
  <c r="J97" i="7"/>
  <c r="I97" i="7"/>
  <c r="H97" i="7"/>
  <c r="G97" i="7"/>
  <c r="F97" i="7"/>
  <c r="E97" i="7"/>
  <c r="D97" i="7"/>
  <c r="C97" i="7"/>
  <c r="B97" i="7"/>
  <c r="M96" i="7"/>
  <c r="L96" i="7"/>
  <c r="K96" i="7"/>
  <c r="J96" i="7"/>
  <c r="I96" i="7"/>
  <c r="H96" i="7"/>
  <c r="G96" i="7"/>
  <c r="F96" i="7"/>
  <c r="E96" i="7"/>
  <c r="D96" i="7"/>
  <c r="C96" i="7"/>
  <c r="B96" i="7"/>
  <c r="M95" i="7"/>
  <c r="L95" i="7"/>
  <c r="K95" i="7"/>
  <c r="J95" i="7"/>
  <c r="I95" i="7"/>
  <c r="H95" i="7"/>
  <c r="G95" i="7"/>
  <c r="F95" i="7"/>
  <c r="E95" i="7"/>
  <c r="D95" i="7"/>
  <c r="C95" i="7"/>
  <c r="B95" i="7"/>
  <c r="M94" i="7"/>
  <c r="L94" i="7"/>
  <c r="K94" i="7"/>
  <c r="J94" i="7"/>
  <c r="I94" i="7"/>
  <c r="H94" i="7"/>
  <c r="G94" i="7"/>
  <c r="F94" i="7"/>
  <c r="E94" i="7"/>
  <c r="D94" i="7"/>
  <c r="C94" i="7"/>
  <c r="B94" i="7"/>
  <c r="M93" i="7"/>
  <c r="L93" i="7"/>
  <c r="K93" i="7"/>
  <c r="J93" i="7"/>
  <c r="I93" i="7"/>
  <c r="H93" i="7"/>
  <c r="G93" i="7"/>
  <c r="F93" i="7"/>
  <c r="E93" i="7"/>
  <c r="D93" i="7"/>
  <c r="C93" i="7"/>
  <c r="B93" i="7"/>
  <c r="M92" i="7"/>
  <c r="L92" i="7"/>
  <c r="K92" i="7"/>
  <c r="J92" i="7"/>
  <c r="I92" i="7"/>
  <c r="H92" i="7"/>
  <c r="G92" i="7"/>
  <c r="F92" i="7"/>
  <c r="E92" i="7"/>
  <c r="D92" i="7"/>
  <c r="C92" i="7"/>
  <c r="B92" i="7"/>
  <c r="M91" i="7"/>
  <c r="L91" i="7"/>
  <c r="K91" i="7"/>
  <c r="J91" i="7"/>
  <c r="I91" i="7"/>
  <c r="H91" i="7"/>
  <c r="G91" i="7"/>
  <c r="F91" i="7"/>
  <c r="E91" i="7"/>
  <c r="D91" i="7"/>
  <c r="C91" i="7"/>
  <c r="B91" i="7"/>
  <c r="M90" i="7"/>
  <c r="L90" i="7"/>
  <c r="K90" i="7"/>
  <c r="J90" i="7"/>
  <c r="I90" i="7"/>
  <c r="H90" i="7"/>
  <c r="G90" i="7"/>
  <c r="F90" i="7"/>
  <c r="E90" i="7"/>
  <c r="D90" i="7"/>
  <c r="C90" i="7"/>
  <c r="B90" i="7"/>
  <c r="M89" i="7"/>
  <c r="L89" i="7"/>
  <c r="K89" i="7"/>
  <c r="J89" i="7"/>
  <c r="I89" i="7"/>
  <c r="H89" i="7"/>
  <c r="G89" i="7"/>
  <c r="F89" i="7"/>
  <c r="E89" i="7"/>
  <c r="D89" i="7"/>
  <c r="C89" i="7"/>
  <c r="B89" i="7"/>
  <c r="M88" i="7"/>
  <c r="L88" i="7"/>
  <c r="K88" i="7"/>
  <c r="J88" i="7"/>
  <c r="I88" i="7"/>
  <c r="H88" i="7"/>
  <c r="G88" i="7"/>
  <c r="F88" i="7"/>
  <c r="E88" i="7"/>
  <c r="D88" i="7"/>
  <c r="C88" i="7"/>
  <c r="B88" i="7"/>
  <c r="M87" i="7"/>
  <c r="L87" i="7"/>
  <c r="K87" i="7"/>
  <c r="J87" i="7"/>
  <c r="I87" i="7"/>
  <c r="H87" i="7"/>
  <c r="G87" i="7"/>
  <c r="F87" i="7"/>
  <c r="E87" i="7"/>
  <c r="D87" i="7"/>
  <c r="C87" i="7"/>
  <c r="B87" i="7"/>
  <c r="M86" i="7"/>
  <c r="L86" i="7"/>
  <c r="K86" i="7"/>
  <c r="J86" i="7"/>
  <c r="I86" i="7"/>
  <c r="H86" i="7"/>
  <c r="G86" i="7"/>
  <c r="F86" i="7"/>
  <c r="E86" i="7"/>
  <c r="D86" i="7"/>
  <c r="C86" i="7"/>
  <c r="B86" i="7"/>
  <c r="M85" i="7"/>
  <c r="L85" i="7"/>
  <c r="K85" i="7"/>
  <c r="J85" i="7"/>
  <c r="I85" i="7"/>
  <c r="H85" i="7"/>
  <c r="G85" i="7"/>
  <c r="F85" i="7"/>
  <c r="E85" i="7"/>
  <c r="D85" i="7"/>
  <c r="C85" i="7"/>
  <c r="B85" i="7"/>
  <c r="M84" i="7"/>
  <c r="L84" i="7"/>
  <c r="K84" i="7"/>
  <c r="J84" i="7"/>
  <c r="I84" i="7"/>
  <c r="H84" i="7"/>
  <c r="G84" i="7"/>
  <c r="F84" i="7"/>
  <c r="E84" i="7"/>
  <c r="D84" i="7"/>
  <c r="C84" i="7"/>
  <c r="B84" i="7"/>
  <c r="M83" i="7"/>
  <c r="L83" i="7"/>
  <c r="K83" i="7"/>
  <c r="J83" i="7"/>
  <c r="I83" i="7"/>
  <c r="H83" i="7"/>
  <c r="G83" i="7"/>
  <c r="F83" i="7"/>
  <c r="E83" i="7"/>
  <c r="D83" i="7"/>
  <c r="C83" i="7"/>
  <c r="B83" i="7"/>
  <c r="M82" i="7"/>
  <c r="L82" i="7"/>
  <c r="K82" i="7"/>
  <c r="J82" i="7"/>
  <c r="I82" i="7"/>
  <c r="H82" i="7"/>
  <c r="G82" i="7"/>
  <c r="F82" i="7"/>
  <c r="E82" i="7"/>
  <c r="D82" i="7"/>
  <c r="C82" i="7"/>
  <c r="B82" i="7"/>
  <c r="M81" i="7"/>
  <c r="L81" i="7"/>
  <c r="K81" i="7"/>
  <c r="J81" i="7"/>
  <c r="I81" i="7"/>
  <c r="H81" i="7"/>
  <c r="G81" i="7"/>
  <c r="F81" i="7"/>
  <c r="E81" i="7"/>
  <c r="D81" i="7"/>
  <c r="C81" i="7"/>
  <c r="B81" i="7"/>
  <c r="M80" i="7"/>
  <c r="L80" i="7"/>
  <c r="K80" i="7"/>
  <c r="J80" i="7"/>
  <c r="I80" i="7"/>
  <c r="H80" i="7"/>
  <c r="G80" i="7"/>
  <c r="F80" i="7"/>
  <c r="E80" i="7"/>
  <c r="D80" i="7"/>
  <c r="C80" i="7"/>
  <c r="B80" i="7"/>
  <c r="M79" i="7"/>
  <c r="L79" i="7"/>
  <c r="K79" i="7"/>
  <c r="J79" i="7"/>
  <c r="I79" i="7"/>
  <c r="H79" i="7"/>
  <c r="G79" i="7"/>
  <c r="F79" i="7"/>
  <c r="E79" i="7"/>
  <c r="D79" i="7"/>
  <c r="C79" i="7"/>
  <c r="B79" i="7"/>
  <c r="M78" i="7"/>
  <c r="L78" i="7"/>
  <c r="K78" i="7"/>
  <c r="J78" i="7"/>
  <c r="I78" i="7"/>
  <c r="H78" i="7"/>
  <c r="G78" i="7"/>
  <c r="F78" i="7"/>
  <c r="E78" i="7"/>
  <c r="D78" i="7"/>
  <c r="C78" i="7"/>
  <c r="B78" i="7"/>
  <c r="M77" i="7"/>
  <c r="L77" i="7"/>
  <c r="K77" i="7"/>
  <c r="J77" i="7"/>
  <c r="I77" i="7"/>
  <c r="H77" i="7"/>
  <c r="G77" i="7"/>
  <c r="F77" i="7"/>
  <c r="E77" i="7"/>
  <c r="D77" i="7"/>
  <c r="C77" i="7"/>
  <c r="B77" i="7"/>
  <c r="M76" i="7"/>
  <c r="L76" i="7"/>
  <c r="K76" i="7"/>
  <c r="J76" i="7"/>
  <c r="I76" i="7"/>
  <c r="H76" i="7"/>
  <c r="G76" i="7"/>
  <c r="F76" i="7"/>
  <c r="E76" i="7"/>
  <c r="D76" i="7"/>
  <c r="C76" i="7"/>
  <c r="B76" i="7"/>
  <c r="M75" i="7"/>
  <c r="L75" i="7"/>
  <c r="K75" i="7"/>
  <c r="J75" i="7"/>
  <c r="I75" i="7"/>
  <c r="H75" i="7"/>
  <c r="G75" i="7"/>
  <c r="F75" i="7"/>
  <c r="E75" i="7"/>
  <c r="D75" i="7"/>
  <c r="C75" i="7"/>
  <c r="B75" i="7"/>
  <c r="M74" i="7"/>
  <c r="L74" i="7"/>
  <c r="K74" i="7"/>
  <c r="J74" i="7"/>
  <c r="I74" i="7"/>
  <c r="H74" i="7"/>
  <c r="G74" i="7"/>
  <c r="F74" i="7"/>
  <c r="E74" i="7"/>
  <c r="D74" i="7"/>
  <c r="C74" i="7"/>
  <c r="B74" i="7"/>
  <c r="M73" i="7"/>
  <c r="L73" i="7"/>
  <c r="K73" i="7"/>
  <c r="J73" i="7"/>
  <c r="I73" i="7"/>
  <c r="H73" i="7"/>
  <c r="G73" i="7"/>
  <c r="F73" i="7"/>
  <c r="E73" i="7"/>
  <c r="D73" i="7"/>
  <c r="C73" i="7"/>
  <c r="B73" i="7"/>
  <c r="M72" i="7"/>
  <c r="L72" i="7"/>
  <c r="K72" i="7"/>
  <c r="J72" i="7"/>
  <c r="I72" i="7"/>
  <c r="H72" i="7"/>
  <c r="G72" i="7"/>
  <c r="F72" i="7"/>
  <c r="E72" i="7"/>
  <c r="D72" i="7"/>
  <c r="C72" i="7"/>
  <c r="B72" i="7"/>
  <c r="M71" i="7"/>
  <c r="L71" i="7"/>
  <c r="K71" i="7"/>
  <c r="J71" i="7"/>
  <c r="I71" i="7"/>
  <c r="H71" i="7"/>
  <c r="G71" i="7"/>
  <c r="F71" i="7"/>
  <c r="E71" i="7"/>
  <c r="D71" i="7"/>
  <c r="C71" i="7"/>
  <c r="B71" i="7"/>
  <c r="M70" i="7"/>
  <c r="L70" i="7"/>
  <c r="K70" i="7"/>
  <c r="J70" i="7"/>
  <c r="I70" i="7"/>
  <c r="H70" i="7"/>
  <c r="G70" i="7"/>
  <c r="F70" i="7"/>
  <c r="E70" i="7"/>
  <c r="D70" i="7"/>
  <c r="C70" i="7"/>
  <c r="B70" i="7"/>
  <c r="M69" i="7"/>
  <c r="L69" i="7"/>
  <c r="K69" i="7"/>
  <c r="J69" i="7"/>
  <c r="I69" i="7"/>
  <c r="H69" i="7"/>
  <c r="G69" i="7"/>
  <c r="F69" i="7"/>
  <c r="E69" i="7"/>
  <c r="D69" i="7"/>
  <c r="C69" i="7"/>
  <c r="B69" i="7"/>
  <c r="M68" i="7"/>
  <c r="L68" i="7"/>
  <c r="K68" i="7"/>
  <c r="J68" i="7"/>
  <c r="I68" i="7"/>
  <c r="H68" i="7"/>
  <c r="G68" i="7"/>
  <c r="F68" i="7"/>
  <c r="E68" i="7"/>
  <c r="D68" i="7"/>
  <c r="C68" i="7"/>
  <c r="B68" i="7"/>
  <c r="M67" i="7"/>
  <c r="L67" i="7"/>
  <c r="K67" i="7"/>
  <c r="J67" i="7"/>
  <c r="I67" i="7"/>
  <c r="H67" i="7"/>
  <c r="G67" i="7"/>
  <c r="F67" i="7"/>
  <c r="E67" i="7"/>
  <c r="D67" i="7"/>
  <c r="C67" i="7"/>
  <c r="B67" i="7"/>
  <c r="M66" i="7"/>
  <c r="L66" i="7"/>
  <c r="K66" i="7"/>
  <c r="J66" i="7"/>
  <c r="I66" i="7"/>
  <c r="H66" i="7"/>
  <c r="G66" i="7"/>
  <c r="F66" i="7"/>
  <c r="E66" i="7"/>
  <c r="D66" i="7"/>
  <c r="C66" i="7"/>
  <c r="B66" i="7"/>
  <c r="M65" i="7"/>
  <c r="L65" i="7"/>
  <c r="K65" i="7"/>
  <c r="J65" i="7"/>
  <c r="I65" i="7"/>
  <c r="H65" i="7"/>
  <c r="G65" i="7"/>
  <c r="F65" i="7"/>
  <c r="E65" i="7"/>
  <c r="D65" i="7"/>
  <c r="C65" i="7"/>
  <c r="B65" i="7"/>
  <c r="M64" i="7"/>
  <c r="L64" i="7"/>
  <c r="K64" i="7"/>
  <c r="J64" i="7"/>
  <c r="I64" i="7"/>
  <c r="H64" i="7"/>
  <c r="G64" i="7"/>
  <c r="F64" i="7"/>
  <c r="E64" i="7"/>
  <c r="D64" i="7"/>
  <c r="C64" i="7"/>
  <c r="B64" i="7"/>
  <c r="M63" i="7"/>
  <c r="L63" i="7"/>
  <c r="K63" i="7"/>
  <c r="J63" i="7"/>
  <c r="I63" i="7"/>
  <c r="H63" i="7"/>
  <c r="G63" i="7"/>
  <c r="F63" i="7"/>
  <c r="E63" i="7"/>
  <c r="D63" i="7"/>
  <c r="C63" i="7"/>
  <c r="B63" i="7"/>
  <c r="M62" i="7"/>
  <c r="L62" i="7"/>
  <c r="K62" i="7"/>
  <c r="J62" i="7"/>
  <c r="I62" i="7"/>
  <c r="H62" i="7"/>
  <c r="G62" i="7"/>
  <c r="F62" i="7"/>
  <c r="E62" i="7"/>
  <c r="D62" i="7"/>
  <c r="C62" i="7"/>
  <c r="B62" i="7"/>
  <c r="M61" i="7"/>
  <c r="L61" i="7"/>
  <c r="K61" i="7"/>
  <c r="J61" i="7"/>
  <c r="I61" i="7"/>
  <c r="H61" i="7"/>
  <c r="G61" i="7"/>
  <c r="F61" i="7"/>
  <c r="E61" i="7"/>
  <c r="D61" i="7"/>
  <c r="C61" i="7"/>
  <c r="B61" i="7"/>
  <c r="M60" i="7"/>
  <c r="L60" i="7"/>
  <c r="K60" i="7"/>
  <c r="J60" i="7"/>
  <c r="I60" i="7"/>
  <c r="H60" i="7"/>
  <c r="G60" i="7"/>
  <c r="F60" i="7"/>
  <c r="E60" i="7"/>
  <c r="D60" i="7"/>
  <c r="C60" i="7"/>
  <c r="B60" i="7"/>
  <c r="M59" i="7"/>
  <c r="L59" i="7"/>
  <c r="K59" i="7"/>
  <c r="J59" i="7"/>
  <c r="I59" i="7"/>
  <c r="H59" i="7"/>
  <c r="G59" i="7"/>
  <c r="F59" i="7"/>
  <c r="E59" i="7"/>
  <c r="D59" i="7"/>
  <c r="C59" i="7"/>
  <c r="B59" i="7"/>
  <c r="M58" i="7"/>
  <c r="L58" i="7"/>
  <c r="K58" i="7"/>
  <c r="J58" i="7"/>
  <c r="I58" i="7"/>
  <c r="H58" i="7"/>
  <c r="G58" i="7"/>
  <c r="F58" i="7"/>
  <c r="E58" i="7"/>
  <c r="D58" i="7"/>
  <c r="C58" i="7"/>
  <c r="B58" i="7"/>
  <c r="M57" i="7"/>
  <c r="L57" i="7"/>
  <c r="K57" i="7"/>
  <c r="J57" i="7"/>
  <c r="I57" i="7"/>
  <c r="H57" i="7"/>
  <c r="G57" i="7"/>
  <c r="F57" i="7"/>
  <c r="E57" i="7"/>
  <c r="D57" i="7"/>
  <c r="C57" i="7"/>
  <c r="B57" i="7"/>
  <c r="M56" i="7"/>
  <c r="L56" i="7"/>
  <c r="K56" i="7"/>
  <c r="J56" i="7"/>
  <c r="I56" i="7"/>
  <c r="H56" i="7"/>
  <c r="G56" i="7"/>
  <c r="F56" i="7"/>
  <c r="E56" i="7"/>
  <c r="D56" i="7"/>
  <c r="C56" i="7"/>
  <c r="B56" i="7"/>
  <c r="M55" i="7"/>
  <c r="L55" i="7"/>
  <c r="K55" i="7"/>
  <c r="J55" i="7"/>
  <c r="I55" i="7"/>
  <c r="H55" i="7"/>
  <c r="G55" i="7"/>
  <c r="F55" i="7"/>
  <c r="E55" i="7"/>
  <c r="D55" i="7"/>
  <c r="C55" i="7"/>
  <c r="B55" i="7"/>
  <c r="M54" i="7"/>
  <c r="L54" i="7"/>
  <c r="K54" i="7"/>
  <c r="J54" i="7"/>
  <c r="I54" i="7"/>
  <c r="H54" i="7"/>
  <c r="G54" i="7"/>
  <c r="F54" i="7"/>
  <c r="E54" i="7"/>
  <c r="D54" i="7"/>
  <c r="C54" i="7"/>
  <c r="B54" i="7"/>
  <c r="M53" i="7"/>
  <c r="L53" i="7"/>
  <c r="K53" i="7"/>
  <c r="J53" i="7"/>
  <c r="I53" i="7"/>
  <c r="H53" i="7"/>
  <c r="G53" i="7"/>
  <c r="F53" i="7"/>
  <c r="E53" i="7"/>
  <c r="D53" i="7"/>
  <c r="C53" i="7"/>
  <c r="B53" i="7"/>
  <c r="M52" i="7"/>
  <c r="L52" i="7"/>
  <c r="K52" i="7"/>
  <c r="J52" i="7"/>
  <c r="I52" i="7"/>
  <c r="H52" i="7"/>
  <c r="G52" i="7"/>
  <c r="F52" i="7"/>
  <c r="E52" i="7"/>
  <c r="D52" i="7"/>
  <c r="C52" i="7"/>
  <c r="B52" i="7"/>
  <c r="M51" i="7"/>
  <c r="L51" i="7"/>
  <c r="K51" i="7"/>
  <c r="J51" i="7"/>
  <c r="I51" i="7"/>
  <c r="H51" i="7"/>
  <c r="G51" i="7"/>
  <c r="F51" i="7"/>
  <c r="E51" i="7"/>
  <c r="D51" i="7"/>
  <c r="C51" i="7"/>
  <c r="B51" i="7"/>
  <c r="M50" i="7"/>
  <c r="L50" i="7"/>
  <c r="K50" i="7"/>
  <c r="J50" i="7"/>
  <c r="I50" i="7"/>
  <c r="H50" i="7"/>
  <c r="G50" i="7"/>
  <c r="F50" i="7"/>
  <c r="E50" i="7"/>
  <c r="D50" i="7"/>
  <c r="C50" i="7"/>
  <c r="B50" i="7"/>
  <c r="M49" i="7"/>
  <c r="L49" i="7"/>
  <c r="K49" i="7"/>
  <c r="J49" i="7"/>
  <c r="I49" i="7"/>
  <c r="H49" i="7"/>
  <c r="G49" i="7"/>
  <c r="F49" i="7"/>
  <c r="E49" i="7"/>
  <c r="D49" i="7"/>
  <c r="C49" i="7"/>
  <c r="B49" i="7"/>
  <c r="M48" i="7"/>
  <c r="L48" i="7"/>
  <c r="K48" i="7"/>
  <c r="J48" i="7"/>
  <c r="I48" i="7"/>
  <c r="H48" i="7"/>
  <c r="G48" i="7"/>
  <c r="F48" i="7"/>
  <c r="E48" i="7"/>
  <c r="D48" i="7"/>
  <c r="C48" i="7"/>
  <c r="B48" i="7"/>
  <c r="M47" i="7"/>
  <c r="L47" i="7"/>
  <c r="K47" i="7"/>
  <c r="J47" i="7"/>
  <c r="I47" i="7"/>
  <c r="H47" i="7"/>
  <c r="G47" i="7"/>
  <c r="F47" i="7"/>
  <c r="E47" i="7"/>
  <c r="D47" i="7"/>
  <c r="C47" i="7"/>
  <c r="B47" i="7"/>
  <c r="M46" i="7"/>
  <c r="L46" i="7"/>
  <c r="K46" i="7"/>
  <c r="J46" i="7"/>
  <c r="I46" i="7"/>
  <c r="H46" i="7"/>
  <c r="G46" i="7"/>
  <c r="F46" i="7"/>
  <c r="E46" i="7"/>
  <c r="D46" i="7"/>
  <c r="C46" i="7"/>
  <c r="B46" i="7"/>
  <c r="M45" i="7"/>
  <c r="L45" i="7"/>
  <c r="K45" i="7"/>
  <c r="J45" i="7"/>
  <c r="I45" i="7"/>
  <c r="H45" i="7"/>
  <c r="G45" i="7"/>
  <c r="F45" i="7"/>
  <c r="E45" i="7"/>
  <c r="D45" i="7"/>
  <c r="C45" i="7"/>
  <c r="B45" i="7"/>
  <c r="M44" i="7"/>
  <c r="L44" i="7"/>
  <c r="K44" i="7"/>
  <c r="J44" i="7"/>
  <c r="I44" i="7"/>
  <c r="H44" i="7"/>
  <c r="G44" i="7"/>
  <c r="F44" i="7"/>
  <c r="E44" i="7"/>
  <c r="D44" i="7"/>
  <c r="C44" i="7"/>
  <c r="B44" i="7"/>
  <c r="M43" i="7"/>
  <c r="L43" i="7"/>
  <c r="K43" i="7"/>
  <c r="J43" i="7"/>
  <c r="I43" i="7"/>
  <c r="H43" i="7"/>
  <c r="G43" i="7"/>
  <c r="F43" i="7"/>
  <c r="E43" i="7"/>
  <c r="D43" i="7"/>
  <c r="C43" i="7"/>
  <c r="B43" i="7"/>
  <c r="M42" i="7"/>
  <c r="L42" i="7"/>
  <c r="K42" i="7"/>
  <c r="J42" i="7"/>
  <c r="I42" i="7"/>
  <c r="H42" i="7"/>
  <c r="G42" i="7"/>
  <c r="F42" i="7"/>
  <c r="E42" i="7"/>
  <c r="D42" i="7"/>
  <c r="C42" i="7"/>
  <c r="B42" i="7"/>
  <c r="M41" i="7"/>
  <c r="L41" i="7"/>
  <c r="K41" i="7"/>
  <c r="J41" i="7"/>
  <c r="I41" i="7"/>
  <c r="H41" i="7"/>
  <c r="G41" i="7"/>
  <c r="F41" i="7"/>
  <c r="E41" i="7"/>
  <c r="D41" i="7"/>
  <c r="C41" i="7"/>
  <c r="B41" i="7"/>
  <c r="M40" i="7"/>
  <c r="L40" i="7"/>
  <c r="K40" i="7"/>
  <c r="J40" i="7"/>
  <c r="I40" i="7"/>
  <c r="H40" i="7"/>
  <c r="G40" i="7"/>
  <c r="F40" i="7"/>
  <c r="E40" i="7"/>
  <c r="D40" i="7"/>
  <c r="C40" i="7"/>
  <c r="B40" i="7"/>
  <c r="M39" i="7"/>
  <c r="L39" i="7"/>
  <c r="K39" i="7"/>
  <c r="J39" i="7"/>
  <c r="I39" i="7"/>
  <c r="H39" i="7"/>
  <c r="G39" i="7"/>
  <c r="F39" i="7"/>
  <c r="E39" i="7"/>
  <c r="D39" i="7"/>
  <c r="C39" i="7"/>
  <c r="B39" i="7"/>
  <c r="M38" i="7"/>
  <c r="L38" i="7"/>
  <c r="K38" i="7"/>
  <c r="J38" i="7"/>
  <c r="I38" i="7"/>
  <c r="H38" i="7"/>
  <c r="G38" i="7"/>
  <c r="F38" i="7"/>
  <c r="E38" i="7"/>
  <c r="D38" i="7"/>
  <c r="C38" i="7"/>
  <c r="B38" i="7"/>
  <c r="M37" i="7"/>
  <c r="L37" i="7"/>
  <c r="K37" i="7"/>
  <c r="J37" i="7"/>
  <c r="I37" i="7"/>
  <c r="H37" i="7"/>
  <c r="G37" i="7"/>
  <c r="F37" i="7"/>
  <c r="E37" i="7"/>
  <c r="D37" i="7"/>
  <c r="C37" i="7"/>
  <c r="B37" i="7"/>
  <c r="M36" i="7"/>
  <c r="L36" i="7"/>
  <c r="K36" i="7"/>
  <c r="J36" i="7"/>
  <c r="I36" i="7"/>
  <c r="H36" i="7"/>
  <c r="G36" i="7"/>
  <c r="F36" i="7"/>
  <c r="E36" i="7"/>
  <c r="D36" i="7"/>
  <c r="C36" i="7"/>
  <c r="B36" i="7"/>
  <c r="M35" i="7"/>
  <c r="L35" i="7"/>
  <c r="K35" i="7"/>
  <c r="J35" i="7"/>
  <c r="I35" i="7"/>
  <c r="H35" i="7"/>
  <c r="G35" i="7"/>
  <c r="F35" i="7"/>
  <c r="E35" i="7"/>
  <c r="D35" i="7"/>
  <c r="C35" i="7"/>
  <c r="B35" i="7"/>
  <c r="M34" i="7"/>
  <c r="L34" i="7"/>
  <c r="K34" i="7"/>
  <c r="J34" i="7"/>
  <c r="I34" i="7"/>
  <c r="H34" i="7"/>
  <c r="G34" i="7"/>
  <c r="F34" i="7"/>
  <c r="E34" i="7"/>
  <c r="D34" i="7"/>
  <c r="C34" i="7"/>
  <c r="B34" i="7"/>
  <c r="M33" i="7"/>
  <c r="L33" i="7"/>
  <c r="K33" i="7"/>
  <c r="J33" i="7"/>
  <c r="I33" i="7"/>
  <c r="H33" i="7"/>
  <c r="G33" i="7"/>
  <c r="F33" i="7"/>
  <c r="E33" i="7"/>
  <c r="D33" i="7"/>
  <c r="C33" i="7"/>
  <c r="B33" i="7"/>
  <c r="M32" i="7"/>
  <c r="L32" i="7"/>
  <c r="K32" i="7"/>
  <c r="J32" i="7"/>
  <c r="I32" i="7"/>
  <c r="H32" i="7"/>
  <c r="G32" i="7"/>
  <c r="F32" i="7"/>
  <c r="E32" i="7"/>
  <c r="D32" i="7"/>
  <c r="C32" i="7"/>
  <c r="B32" i="7"/>
  <c r="M31" i="7"/>
  <c r="L31" i="7"/>
  <c r="K31" i="7"/>
  <c r="J31" i="7"/>
  <c r="I31" i="7"/>
  <c r="H31" i="7"/>
  <c r="G31" i="7"/>
  <c r="F31" i="7"/>
  <c r="E31" i="7"/>
  <c r="D31" i="7"/>
  <c r="C31" i="7"/>
  <c r="B31" i="7"/>
  <c r="M30" i="7"/>
  <c r="L30" i="7"/>
  <c r="K30" i="7"/>
  <c r="J30" i="7"/>
  <c r="I30" i="7"/>
  <c r="H30" i="7"/>
  <c r="G30" i="7"/>
  <c r="F30" i="7"/>
  <c r="E30" i="7"/>
  <c r="D30" i="7"/>
  <c r="C30" i="7"/>
  <c r="B30" i="7"/>
  <c r="M29" i="7"/>
  <c r="L29" i="7"/>
  <c r="K29" i="7"/>
  <c r="J29" i="7"/>
  <c r="I29" i="7"/>
  <c r="H29" i="7"/>
  <c r="G29" i="7"/>
  <c r="F29" i="7"/>
  <c r="E29" i="7"/>
  <c r="D29" i="7"/>
  <c r="C29" i="7"/>
  <c r="B29" i="7"/>
  <c r="M28" i="7"/>
  <c r="L28" i="7"/>
  <c r="K28" i="7"/>
  <c r="J28" i="7"/>
  <c r="I28" i="7"/>
  <c r="H28" i="7"/>
  <c r="G28" i="7"/>
  <c r="F28" i="7"/>
  <c r="E28" i="7"/>
  <c r="D28" i="7"/>
  <c r="C28" i="7"/>
  <c r="B28" i="7"/>
  <c r="M27" i="7"/>
  <c r="L27" i="7"/>
  <c r="K27" i="7"/>
  <c r="J27" i="7"/>
  <c r="I27" i="7"/>
  <c r="H27" i="7"/>
  <c r="G27" i="7"/>
  <c r="F27" i="7"/>
  <c r="E27" i="7"/>
  <c r="D27" i="7"/>
  <c r="C27" i="7"/>
  <c r="B27" i="7"/>
  <c r="M26" i="7"/>
  <c r="L26" i="7"/>
  <c r="K26" i="7"/>
  <c r="J26" i="7"/>
  <c r="I26" i="7"/>
  <c r="H26" i="7"/>
  <c r="G26" i="7"/>
  <c r="F26" i="7"/>
  <c r="E26" i="7"/>
  <c r="D26" i="7"/>
  <c r="C26" i="7"/>
  <c r="B26" i="7"/>
  <c r="M25" i="7"/>
  <c r="L25" i="7"/>
  <c r="K25" i="7"/>
  <c r="J25" i="7"/>
  <c r="I25" i="7"/>
  <c r="H25" i="7"/>
  <c r="G25" i="7"/>
  <c r="F25" i="7"/>
  <c r="E25" i="7"/>
  <c r="D25" i="7"/>
  <c r="C25" i="7"/>
  <c r="B25" i="7"/>
  <c r="M24" i="7"/>
  <c r="L24" i="7"/>
  <c r="K24" i="7"/>
  <c r="J24" i="7"/>
  <c r="I24" i="7"/>
  <c r="H24" i="7"/>
  <c r="G24" i="7"/>
  <c r="F24" i="7"/>
  <c r="E24" i="7"/>
  <c r="D24" i="7"/>
  <c r="C24" i="7"/>
  <c r="B24" i="7"/>
  <c r="M23" i="7"/>
  <c r="L23" i="7"/>
  <c r="K23" i="7"/>
  <c r="J23" i="7"/>
  <c r="I23" i="7"/>
  <c r="H23" i="7"/>
  <c r="G23" i="7"/>
  <c r="F23" i="7"/>
  <c r="E23" i="7"/>
  <c r="D23" i="7"/>
  <c r="C23" i="7"/>
  <c r="B23" i="7"/>
  <c r="M22" i="7"/>
  <c r="L22" i="7"/>
  <c r="K22" i="7"/>
  <c r="J22" i="7"/>
  <c r="I22" i="7"/>
  <c r="H22" i="7"/>
  <c r="G22" i="7"/>
  <c r="F22" i="7"/>
  <c r="E22" i="7"/>
  <c r="D22" i="7"/>
  <c r="C22" i="7"/>
  <c r="B22" i="7"/>
  <c r="M21" i="7"/>
  <c r="L21" i="7"/>
  <c r="K21" i="7"/>
  <c r="J21" i="7"/>
  <c r="I21" i="7"/>
  <c r="H21" i="7"/>
  <c r="G21" i="7"/>
  <c r="F21" i="7"/>
  <c r="E21" i="7"/>
  <c r="D21" i="7"/>
  <c r="C21" i="7"/>
  <c r="B21" i="7"/>
  <c r="M20" i="7"/>
  <c r="L20" i="7"/>
  <c r="K20" i="7"/>
  <c r="J20" i="7"/>
  <c r="I20" i="7"/>
  <c r="H20" i="7"/>
  <c r="G20" i="7"/>
  <c r="F20" i="7"/>
  <c r="E20" i="7"/>
  <c r="D20" i="7"/>
  <c r="C20" i="7"/>
  <c r="B20" i="7"/>
  <c r="M19" i="7"/>
  <c r="L19" i="7"/>
  <c r="K19" i="7"/>
  <c r="J19" i="7"/>
  <c r="I19" i="7"/>
  <c r="H19" i="7"/>
  <c r="G19" i="7"/>
  <c r="F19" i="7"/>
  <c r="E19" i="7"/>
  <c r="D19" i="7"/>
  <c r="C19" i="7"/>
  <c r="B19" i="7"/>
  <c r="M18" i="7"/>
  <c r="L18" i="7"/>
  <c r="K18" i="7"/>
  <c r="J18" i="7"/>
  <c r="I18" i="7"/>
  <c r="H18" i="7"/>
  <c r="G18" i="7"/>
  <c r="F18" i="7"/>
  <c r="E18" i="7"/>
  <c r="D18" i="7"/>
  <c r="C18" i="7"/>
  <c r="B18" i="7"/>
  <c r="M17" i="7"/>
  <c r="L17" i="7"/>
  <c r="K17" i="7"/>
  <c r="J17" i="7"/>
  <c r="I17" i="7"/>
  <c r="H17" i="7"/>
  <c r="G17" i="7"/>
  <c r="F17" i="7"/>
  <c r="E17" i="7"/>
  <c r="D17" i="7"/>
  <c r="C17" i="7"/>
  <c r="B17" i="7"/>
  <c r="M16" i="7"/>
  <c r="L16" i="7"/>
  <c r="K16" i="7"/>
  <c r="J16" i="7"/>
  <c r="I16" i="7"/>
  <c r="H16" i="7"/>
  <c r="G16" i="7"/>
  <c r="F16" i="7"/>
  <c r="E16" i="7"/>
  <c r="D16" i="7"/>
  <c r="C16" i="7"/>
  <c r="B16" i="7"/>
  <c r="M15" i="7"/>
  <c r="L15" i="7"/>
  <c r="K15" i="7"/>
  <c r="J15" i="7"/>
  <c r="I15" i="7"/>
  <c r="H15" i="7"/>
  <c r="G15" i="7"/>
  <c r="F15" i="7"/>
  <c r="E15" i="7"/>
  <c r="D15" i="7"/>
  <c r="C15" i="7"/>
  <c r="B15" i="7"/>
  <c r="M14" i="7"/>
  <c r="L14" i="7"/>
  <c r="K14" i="7"/>
  <c r="J14" i="7"/>
  <c r="I14" i="7"/>
  <c r="H14" i="7"/>
  <c r="G14" i="7"/>
  <c r="F14" i="7"/>
  <c r="E14" i="7"/>
  <c r="D14" i="7"/>
  <c r="C14" i="7"/>
  <c r="B14" i="7"/>
  <c r="M13" i="7"/>
  <c r="L13" i="7"/>
  <c r="K13" i="7"/>
  <c r="J13" i="7"/>
  <c r="I13" i="7"/>
  <c r="H13" i="7"/>
  <c r="G13" i="7"/>
  <c r="F13" i="7"/>
  <c r="E13" i="7"/>
  <c r="D13" i="7"/>
  <c r="C13" i="7"/>
  <c r="B13" i="7"/>
  <c r="M12" i="7"/>
  <c r="L12" i="7"/>
  <c r="K12" i="7"/>
  <c r="J12" i="7"/>
  <c r="I12" i="7"/>
  <c r="H12" i="7"/>
  <c r="G12" i="7"/>
  <c r="F12" i="7"/>
  <c r="E12" i="7"/>
  <c r="D12" i="7"/>
  <c r="C12" i="7"/>
  <c r="B12" i="7"/>
  <c r="M11" i="7"/>
  <c r="L11" i="7"/>
  <c r="K11" i="7"/>
  <c r="J11" i="7"/>
  <c r="I11" i="7"/>
  <c r="H11" i="7"/>
  <c r="G11" i="7"/>
  <c r="F11" i="7"/>
  <c r="E11" i="7"/>
  <c r="D11" i="7"/>
  <c r="C11" i="7"/>
  <c r="B11" i="7"/>
  <c r="M10" i="7"/>
  <c r="L10" i="7"/>
  <c r="K10" i="7"/>
  <c r="J10" i="7"/>
  <c r="I10" i="7"/>
  <c r="H10" i="7"/>
  <c r="G10" i="7"/>
  <c r="F10" i="7"/>
  <c r="E10" i="7"/>
  <c r="D10" i="7"/>
  <c r="C10" i="7"/>
  <c r="B10" i="7"/>
  <c r="M9" i="7"/>
  <c r="L9" i="7"/>
  <c r="K9" i="7"/>
  <c r="J9" i="7"/>
  <c r="I9" i="7"/>
  <c r="H9" i="7"/>
  <c r="G9" i="7"/>
  <c r="F9" i="7"/>
  <c r="E9" i="7"/>
  <c r="D9" i="7"/>
  <c r="C9" i="7"/>
  <c r="B9" i="7"/>
  <c r="M8" i="7"/>
  <c r="L8" i="7"/>
  <c r="K8" i="7"/>
  <c r="J8" i="7"/>
  <c r="I8" i="7"/>
  <c r="H8" i="7"/>
  <c r="G8" i="7"/>
  <c r="F8" i="7"/>
  <c r="E8" i="7"/>
  <c r="D8" i="7"/>
  <c r="C8" i="7"/>
  <c r="B8" i="7"/>
  <c r="M7" i="7"/>
  <c r="L7" i="7"/>
  <c r="K7" i="7"/>
  <c r="J7" i="7"/>
  <c r="I7" i="7"/>
  <c r="H7" i="7"/>
  <c r="G7" i="7"/>
  <c r="F7" i="7"/>
  <c r="E7" i="7"/>
  <c r="D7" i="7"/>
  <c r="C7" i="7"/>
  <c r="B7" i="7"/>
  <c r="M6" i="7"/>
  <c r="L6" i="7"/>
  <c r="K6" i="7"/>
  <c r="J6" i="7"/>
  <c r="I6" i="7"/>
  <c r="H6" i="7"/>
  <c r="G6" i="7"/>
  <c r="F6" i="7"/>
  <c r="E6" i="7"/>
  <c r="D6" i="7"/>
  <c r="C6" i="7"/>
  <c r="B6" i="7"/>
  <c r="M5" i="7"/>
  <c r="L5" i="7"/>
  <c r="K5" i="7"/>
  <c r="J5" i="7"/>
  <c r="I5" i="7"/>
  <c r="H5" i="7"/>
  <c r="G5" i="7"/>
  <c r="E5" i="7"/>
  <c r="D5" i="7"/>
  <c r="C5" i="7"/>
  <c r="B5" i="7"/>
  <c r="M4" i="7"/>
  <c r="L4" i="7"/>
  <c r="K4" i="7"/>
  <c r="J4" i="7"/>
  <c r="I4" i="7"/>
  <c r="H4" i="7"/>
  <c r="G4" i="7"/>
  <c r="F4" i="7"/>
  <c r="E4" i="7"/>
  <c r="M3" i="7"/>
  <c r="L3" i="7"/>
  <c r="K3" i="7"/>
  <c r="J3" i="7"/>
  <c r="I3" i="7"/>
  <c r="H3" i="7"/>
  <c r="G3" i="7"/>
  <c r="F3" i="7"/>
  <c r="E3" i="7"/>
  <c r="D3" i="7"/>
  <c r="C3" i="7"/>
  <c r="B3" i="7"/>
  <c r="D4" i="7"/>
  <c r="C4" i="7"/>
  <c r="B4" i="7"/>
  <c r="S5" i="2"/>
  <c r="T5" i="2"/>
  <c r="S29" i="2"/>
  <c r="T29" i="2"/>
  <c r="S30" i="2"/>
  <c r="T30" i="2"/>
  <c r="S31" i="2"/>
  <c r="T31" i="2"/>
  <c r="S40" i="2"/>
  <c r="T40" i="2"/>
  <c r="S70" i="2"/>
  <c r="T70" i="2"/>
  <c r="S71" i="2"/>
  <c r="T71" i="2"/>
  <c r="S72" i="2"/>
  <c r="T72" i="2"/>
  <c r="S170" i="2"/>
  <c r="T170" i="2"/>
  <c r="S216" i="2"/>
  <c r="T216" i="2"/>
  <c r="AB74" i="7"/>
  <c r="AB73" i="7"/>
  <c r="S250" i="2"/>
  <c r="T250" i="2"/>
  <c r="AB249" i="7"/>
  <c r="S32" i="2"/>
  <c r="T32" i="2"/>
  <c r="S34" i="2"/>
  <c r="T34" i="2"/>
  <c r="S35" i="2"/>
  <c r="T35" i="2"/>
  <c r="S36" i="2"/>
  <c r="T36" i="2"/>
  <c r="S37" i="2"/>
  <c r="T37" i="2"/>
  <c r="S38" i="2"/>
  <c r="T38" i="2"/>
  <c r="S42" i="2"/>
  <c r="T42" i="2"/>
  <c r="S44" i="2"/>
  <c r="T44" i="2"/>
  <c r="S45" i="2"/>
  <c r="T45" i="2"/>
  <c r="S54" i="2"/>
  <c r="T54" i="2"/>
  <c r="S55" i="2"/>
  <c r="T55" i="2"/>
  <c r="S56" i="2"/>
  <c r="T56" i="2"/>
  <c r="S57" i="2"/>
  <c r="T57" i="2"/>
  <c r="S58" i="2"/>
  <c r="T58" i="2"/>
  <c r="S59" i="2"/>
  <c r="T59" i="2"/>
  <c r="S60" i="2"/>
  <c r="T60" i="2"/>
  <c r="S61" i="2"/>
  <c r="T61" i="2"/>
  <c r="S62" i="2"/>
  <c r="T62" i="2"/>
  <c r="S63" i="2"/>
  <c r="T63" i="2"/>
  <c r="S64" i="2"/>
  <c r="T64" i="2"/>
  <c r="S65" i="2"/>
  <c r="T65" i="2"/>
  <c r="S66" i="2"/>
  <c r="T66" i="2"/>
  <c r="S67" i="2"/>
  <c r="T67" i="2"/>
  <c r="S68" i="2"/>
  <c r="T68" i="2"/>
  <c r="S69" i="2"/>
  <c r="T69" i="2"/>
  <c r="S172" i="2"/>
  <c r="T172" i="2"/>
  <c r="S173" i="2"/>
  <c r="T173" i="2"/>
  <c r="S174" i="2"/>
  <c r="T174" i="2"/>
  <c r="S175" i="2"/>
  <c r="T175" i="2"/>
  <c r="S193" i="2"/>
  <c r="T193" i="2"/>
  <c r="S194" i="2"/>
  <c r="T194" i="2"/>
  <c r="S195" i="2"/>
  <c r="T195" i="2"/>
  <c r="S196" i="2"/>
  <c r="T196" i="2"/>
  <c r="S197" i="2"/>
  <c r="T197" i="2"/>
  <c r="S198" i="2"/>
  <c r="T198" i="2"/>
  <c r="S199" i="2"/>
  <c r="T199" i="2"/>
  <c r="S200" i="2"/>
  <c r="T200" i="2"/>
  <c r="S201" i="2"/>
  <c r="T201" i="2"/>
  <c r="S202" i="2"/>
  <c r="T202" i="2"/>
  <c r="S203" i="2"/>
  <c r="T203" i="2"/>
  <c r="S204" i="2"/>
  <c r="T204" i="2"/>
  <c r="S205" i="2"/>
  <c r="T205" i="2"/>
  <c r="S206" i="2"/>
  <c r="T206" i="2"/>
  <c r="S207" i="2"/>
  <c r="T207" i="2"/>
  <c r="AB43" i="7"/>
  <c r="AB192" i="7"/>
  <c r="AB164" i="7"/>
  <c r="AB171" i="7"/>
  <c r="S46" i="2"/>
  <c r="T46" i="2"/>
  <c r="S47" i="2"/>
  <c r="T47" i="2"/>
  <c r="S48" i="2"/>
  <c r="T48" i="2"/>
  <c r="S49" i="2"/>
  <c r="T49" i="2"/>
  <c r="S50" i="2"/>
  <c r="T50" i="2"/>
  <c r="S51" i="2"/>
  <c r="T51" i="2"/>
  <c r="S52" i="2"/>
  <c r="T52" i="2"/>
  <c r="S159" i="2"/>
  <c r="T159" i="2"/>
  <c r="S167" i="2"/>
  <c r="T167" i="2"/>
  <c r="S187" i="2"/>
  <c r="T187" i="2"/>
  <c r="S188" i="2"/>
  <c r="T188" i="2"/>
  <c r="S189" i="2"/>
  <c r="T189" i="2"/>
  <c r="S190" i="2"/>
  <c r="T190" i="2"/>
  <c r="S191" i="2"/>
  <c r="T191" i="2"/>
  <c r="AB41" i="7"/>
  <c r="AB158" i="7"/>
  <c r="AB160" i="7"/>
  <c r="AB161" i="7"/>
  <c r="AB162" i="7"/>
  <c r="S89" i="2"/>
  <c r="S90" i="2"/>
  <c r="T90" i="2"/>
  <c r="S91" i="2"/>
  <c r="T91" i="2"/>
  <c r="S92" i="2"/>
  <c r="T92" i="2"/>
  <c r="S168" i="2"/>
  <c r="T168" i="2"/>
  <c r="S86" i="2"/>
  <c r="T86" i="2"/>
  <c r="S87" i="2"/>
  <c r="T87" i="2"/>
  <c r="S166" i="2"/>
  <c r="T166" i="2"/>
  <c r="AB226" i="7"/>
  <c r="S227" i="2"/>
  <c r="T227" i="2"/>
  <c r="S18" i="2"/>
  <c r="T18" i="2"/>
  <c r="S19" i="2"/>
  <c r="T19" i="2"/>
  <c r="S20" i="2"/>
  <c r="T20" i="2"/>
  <c r="S21" i="2"/>
  <c r="T21" i="2"/>
  <c r="S22" i="2"/>
  <c r="T22" i="2"/>
  <c r="S23" i="2"/>
  <c r="T23" i="2"/>
  <c r="S24" i="2"/>
  <c r="T24" i="2"/>
  <c r="S25" i="2"/>
  <c r="T25" i="2"/>
  <c r="S26" i="2"/>
  <c r="T26" i="2"/>
  <c r="S27" i="2"/>
  <c r="T27" i="2"/>
  <c r="S28" i="2"/>
  <c r="T28" i="2"/>
  <c r="S131" i="2"/>
  <c r="T131" i="2"/>
  <c r="S132" i="2"/>
  <c r="T132" i="2"/>
  <c r="S133" i="2"/>
  <c r="T133" i="2"/>
  <c r="S134" i="2"/>
  <c r="T134" i="2"/>
  <c r="S135" i="2"/>
  <c r="T135" i="2"/>
  <c r="S136" i="2"/>
  <c r="T136" i="2"/>
  <c r="S144" i="2"/>
  <c r="T144" i="2"/>
  <c r="S145" i="2"/>
  <c r="T145" i="2"/>
  <c r="S146" i="2"/>
  <c r="T146" i="2"/>
  <c r="S147" i="2"/>
  <c r="T147" i="2"/>
  <c r="S148" i="2"/>
  <c r="T148" i="2"/>
  <c r="S149" i="2"/>
  <c r="T149" i="2"/>
  <c r="S150" i="2"/>
  <c r="T150" i="2"/>
  <c r="S151" i="2"/>
  <c r="T151" i="2"/>
  <c r="S152" i="2"/>
  <c r="T152" i="2"/>
  <c r="S153" i="2"/>
  <c r="T153" i="2"/>
  <c r="S253" i="2"/>
  <c r="T253" i="2"/>
  <c r="S255" i="2"/>
  <c r="T255" i="2"/>
  <c r="S256" i="2"/>
  <c r="T256" i="2"/>
  <c r="S257" i="2"/>
  <c r="T257" i="2"/>
  <c r="S258" i="2"/>
  <c r="T258" i="2"/>
  <c r="S259" i="2"/>
  <c r="T259" i="2"/>
  <c r="S260" i="2"/>
  <c r="T260" i="2"/>
  <c r="S261" i="2"/>
  <c r="T261" i="2"/>
  <c r="S262" i="2"/>
  <c r="T262" i="2"/>
  <c r="S263" i="2"/>
  <c r="T263" i="2"/>
  <c r="S264" i="2"/>
  <c r="T264" i="2"/>
  <c r="S265" i="2"/>
  <c r="T265" i="2"/>
  <c r="S266" i="2"/>
  <c r="T266" i="2"/>
  <c r="S267" i="2"/>
  <c r="T267" i="2"/>
  <c r="S268" i="2"/>
  <c r="T268" i="2"/>
  <c r="S269" i="2"/>
  <c r="T269" i="2"/>
  <c r="S270" i="2"/>
  <c r="T270" i="2"/>
  <c r="S271" i="2"/>
  <c r="T271" i="2"/>
  <c r="S272" i="2"/>
  <c r="T272" i="2"/>
  <c r="S273" i="2"/>
  <c r="T273" i="2"/>
  <c r="AB130" i="7"/>
  <c r="S119" i="2"/>
  <c r="T119" i="2"/>
  <c r="S120" i="2"/>
  <c r="T120" i="2"/>
  <c r="S275" i="2"/>
  <c r="T275" i="2"/>
  <c r="S76" i="2"/>
  <c r="T76" i="2"/>
  <c r="S217" i="2"/>
  <c r="T217" i="2"/>
  <c r="S218" i="2"/>
  <c r="T218" i="2"/>
  <c r="S219" i="2"/>
  <c r="T219" i="2"/>
  <c r="S220" i="2"/>
  <c r="T220" i="2"/>
  <c r="S186" i="2"/>
  <c r="T186" i="2"/>
  <c r="S77" i="2"/>
  <c r="T77" i="2"/>
  <c r="S78" i="2"/>
  <c r="T78" i="2"/>
  <c r="S79" i="2"/>
  <c r="T79" i="2"/>
  <c r="S80" i="2"/>
  <c r="T80" i="2"/>
  <c r="AB231" i="7"/>
  <c r="S14" i="2"/>
  <c r="T14" i="2"/>
  <c r="S15" i="2"/>
  <c r="T15" i="2"/>
  <c r="S16" i="2"/>
  <c r="T16" i="2"/>
  <c r="S17" i="2"/>
  <c r="T17" i="2"/>
  <c r="S169" i="2"/>
  <c r="T169" i="2"/>
  <c r="S248" i="2"/>
  <c r="T248" i="2"/>
  <c r="S251" i="2"/>
  <c r="T251" i="2"/>
  <c r="S252" i="2"/>
  <c r="T252" i="2"/>
  <c r="S254" i="2"/>
  <c r="T254" i="2"/>
  <c r="AB13" i="7"/>
  <c r="S6" i="2"/>
  <c r="T6" i="2"/>
  <c r="S221" i="2"/>
  <c r="T221" i="2"/>
  <c r="AB7" i="7"/>
  <c r="S33" i="2"/>
  <c r="T33" i="2"/>
  <c r="S81" i="2"/>
  <c r="T81" i="2"/>
  <c r="S176" i="2"/>
  <c r="T176" i="2"/>
  <c r="S225" i="2"/>
  <c r="T225" i="2"/>
  <c r="AB88" i="7"/>
  <c r="S8" i="2"/>
  <c r="T8" i="2"/>
  <c r="S9" i="2"/>
  <c r="T9" i="2"/>
  <c r="S10" i="2"/>
  <c r="T10" i="2"/>
  <c r="S11" i="2"/>
  <c r="T11" i="2"/>
  <c r="S12" i="2"/>
  <c r="T12" i="2"/>
  <c r="S121" i="2"/>
  <c r="T121" i="2"/>
  <c r="S122" i="2"/>
  <c r="T122" i="2"/>
  <c r="S123" i="2"/>
  <c r="T123" i="2"/>
  <c r="S124" i="2"/>
  <c r="T124" i="2"/>
  <c r="S125" i="2"/>
  <c r="T125" i="2"/>
  <c r="S126" i="2"/>
  <c r="T126" i="2"/>
  <c r="S127" i="2"/>
  <c r="T127" i="2"/>
  <c r="S128" i="2"/>
  <c r="T128" i="2"/>
  <c r="S129" i="2"/>
  <c r="T129" i="2"/>
  <c r="S137" i="2"/>
  <c r="T137" i="2"/>
  <c r="S138" i="2"/>
  <c r="T138" i="2"/>
  <c r="S139" i="2"/>
  <c r="T139" i="2"/>
  <c r="S140" i="2"/>
  <c r="T140" i="2"/>
  <c r="S141" i="2"/>
  <c r="T141" i="2"/>
  <c r="S142" i="2"/>
  <c r="T142" i="2"/>
  <c r="S143" i="2"/>
  <c r="T143" i="2"/>
  <c r="S178" i="2"/>
  <c r="T178" i="2"/>
  <c r="S179" i="2"/>
  <c r="T179" i="2"/>
  <c r="S180" i="2"/>
  <c r="T180" i="2"/>
  <c r="S236" i="2"/>
  <c r="T236" i="2"/>
  <c r="S237" i="2"/>
  <c r="T237" i="2"/>
  <c r="S238" i="2"/>
  <c r="T238" i="2"/>
  <c r="S239" i="2"/>
  <c r="T239" i="2"/>
  <c r="S240" i="2"/>
  <c r="T240" i="2"/>
  <c r="S241" i="2"/>
  <c r="T241" i="2"/>
  <c r="S242" i="2"/>
  <c r="T242" i="2"/>
  <c r="S243" i="2"/>
  <c r="T243" i="2"/>
  <c r="S244" i="2"/>
  <c r="T244" i="2"/>
  <c r="S245" i="2"/>
  <c r="T245" i="2"/>
  <c r="S246" i="2"/>
  <c r="T246" i="2"/>
  <c r="S247" i="2"/>
  <c r="T247" i="2"/>
  <c r="S274" i="2"/>
  <c r="T274" i="2"/>
  <c r="S82" i="2"/>
  <c r="T82" i="2"/>
  <c r="S83" i="2"/>
  <c r="T83" i="2"/>
  <c r="S84" i="2"/>
  <c r="T84" i="2"/>
  <c r="S85" i="2"/>
  <c r="T85" i="2"/>
  <c r="S228" i="2"/>
  <c r="T228" i="2"/>
  <c r="S229" i="2"/>
  <c r="T229" i="2"/>
  <c r="S230" i="2"/>
  <c r="T230" i="2"/>
  <c r="S232" i="2"/>
  <c r="T232" i="2"/>
  <c r="S233" i="2"/>
  <c r="T233" i="2"/>
  <c r="S234" i="2"/>
  <c r="T234" i="2"/>
  <c r="S235" i="2"/>
  <c r="T235" i="2"/>
  <c r="S39" i="2"/>
  <c r="T39" i="2"/>
  <c r="S53" i="2"/>
  <c r="T53" i="2"/>
  <c r="S93" i="2"/>
  <c r="T93" i="2"/>
  <c r="S94" i="2"/>
  <c r="T94" i="2"/>
  <c r="S95" i="2"/>
  <c r="T95" i="2"/>
  <c r="S96" i="2"/>
  <c r="T96" i="2"/>
  <c r="S97" i="2"/>
  <c r="T97" i="2"/>
  <c r="S98" i="2"/>
  <c r="T98" i="2"/>
  <c r="S99" i="2"/>
  <c r="T99" i="2"/>
  <c r="S100" i="2"/>
  <c r="T100" i="2"/>
  <c r="S101" i="2"/>
  <c r="T101" i="2"/>
  <c r="S102" i="2"/>
  <c r="T102" i="2"/>
  <c r="S103" i="2"/>
  <c r="T103" i="2"/>
  <c r="S154" i="2"/>
  <c r="T154" i="2"/>
  <c r="S155" i="2"/>
  <c r="T155" i="2"/>
  <c r="S156" i="2"/>
  <c r="T156" i="2"/>
  <c r="S157" i="2"/>
  <c r="T157" i="2"/>
  <c r="S163" i="2"/>
  <c r="T163" i="2"/>
  <c r="S165" i="2"/>
  <c r="T165" i="2"/>
  <c r="S177" i="2"/>
  <c r="T177" i="2"/>
  <c r="S181" i="2"/>
  <c r="T181" i="2"/>
  <c r="S182" i="2"/>
  <c r="T182" i="2"/>
  <c r="S183" i="2"/>
  <c r="T183" i="2"/>
  <c r="S184" i="2"/>
  <c r="T184" i="2"/>
  <c r="S185" i="2"/>
  <c r="T185" i="2"/>
  <c r="S104" i="2"/>
  <c r="T104" i="2"/>
  <c r="S105" i="2"/>
  <c r="T105" i="2"/>
  <c r="S106" i="2"/>
  <c r="T106" i="2"/>
  <c r="S107" i="2"/>
  <c r="T107" i="2"/>
  <c r="S108" i="2"/>
  <c r="T108" i="2"/>
  <c r="S109" i="2"/>
  <c r="T109" i="2"/>
  <c r="S110" i="2"/>
  <c r="T110" i="2"/>
  <c r="S111" i="2"/>
  <c r="T111" i="2"/>
  <c r="S112" i="2"/>
  <c r="T112" i="2"/>
  <c r="S113" i="2"/>
  <c r="T113" i="2"/>
  <c r="S114" i="2"/>
  <c r="T114" i="2"/>
  <c r="S115" i="2"/>
  <c r="T115" i="2"/>
  <c r="S116" i="2"/>
  <c r="T116" i="2"/>
  <c r="S117" i="2"/>
  <c r="T117" i="2"/>
  <c r="S118" i="2"/>
  <c r="T118" i="2"/>
  <c r="S208" i="2"/>
  <c r="T208" i="2"/>
  <c r="S209" i="2"/>
  <c r="T209" i="2"/>
  <c r="S210" i="2"/>
  <c r="T210" i="2"/>
  <c r="S211" i="2"/>
  <c r="T211" i="2"/>
  <c r="S212" i="2"/>
  <c r="T212" i="2"/>
  <c r="S213" i="2"/>
  <c r="T213" i="2"/>
  <c r="S214" i="2"/>
  <c r="T214" i="2"/>
  <c r="S215" i="2"/>
  <c r="T215" i="2"/>
  <c r="S75" i="2"/>
  <c r="T75" i="2"/>
  <c r="S222" i="2"/>
  <c r="T222" i="2"/>
  <c r="S223" i="2"/>
  <c r="T223" i="2"/>
  <c r="S224" i="2"/>
  <c r="T224" i="2"/>
  <c r="T4" i="2"/>
  <c r="AB4" i="7"/>
  <c r="G37" i="16" l="1"/>
  <c r="G38" i="16"/>
  <c r="H4" i="16"/>
  <c r="E86" i="10"/>
  <c r="G35" i="16"/>
  <c r="G39" i="16"/>
  <c r="G40" i="16"/>
  <c r="AB182" i="7"/>
  <c r="AB181" i="7"/>
  <c r="AB177" i="7"/>
  <c r="AB165" i="7"/>
  <c r="AB163" i="7"/>
  <c r="AB157" i="7"/>
  <c r="AB156" i="7"/>
  <c r="AB155" i="7"/>
  <c r="AB154" i="7"/>
  <c r="AB103" i="7"/>
  <c r="AB102" i="7"/>
  <c r="AB101" i="7"/>
  <c r="AB100" i="7"/>
  <c r="AB99" i="7"/>
  <c r="AB98" i="7"/>
  <c r="AB97" i="7"/>
  <c r="AB96" i="7"/>
  <c r="AB95" i="7"/>
  <c r="AB94" i="7"/>
  <c r="AB93" i="7"/>
  <c r="AB53" i="7"/>
  <c r="AB39" i="7"/>
  <c r="AB235" i="7"/>
  <c r="AB234" i="7"/>
  <c r="AB233" i="7"/>
  <c r="AB232" i="7"/>
  <c r="AB230" i="7"/>
  <c r="AB229" i="7"/>
  <c r="AB228" i="7"/>
  <c r="AB85" i="7"/>
  <c r="AB84" i="7"/>
  <c r="AB83" i="7"/>
  <c r="AB82" i="7"/>
  <c r="AB274" i="7"/>
  <c r="AB247" i="7"/>
  <c r="AB246" i="7"/>
  <c r="AB245" i="7"/>
  <c r="AB244" i="7"/>
  <c r="AB243" i="7"/>
  <c r="AB242" i="7"/>
  <c r="AB241" i="7"/>
  <c r="AB240" i="7"/>
  <c r="AB239" i="7"/>
  <c r="AB238" i="7"/>
  <c r="AB237" i="7"/>
  <c r="AB236" i="7"/>
  <c r="AB180" i="7"/>
  <c r="AB179" i="7"/>
  <c r="AB178" i="7"/>
  <c r="AB143" i="7"/>
  <c r="AB142" i="7"/>
  <c r="AB141" i="7"/>
  <c r="AB140" i="7"/>
  <c r="AB139" i="7"/>
  <c r="AB138" i="7"/>
  <c r="AB137" i="7"/>
  <c r="AB129" i="7"/>
  <c r="AB128" i="7"/>
  <c r="AB127" i="7"/>
  <c r="AB126" i="7"/>
  <c r="AB125" i="7"/>
  <c r="AB124" i="7"/>
  <c r="AB123" i="7"/>
  <c r="AB122" i="7"/>
  <c r="AB121" i="7"/>
  <c r="AB12" i="7"/>
  <c r="AB11" i="7"/>
  <c r="AB10" i="7"/>
  <c r="AB9" i="7"/>
  <c r="AB8" i="7"/>
  <c r="AB221" i="7"/>
  <c r="AB6" i="7"/>
  <c r="AB80" i="7"/>
  <c r="AB79" i="7"/>
  <c r="AB78" i="7"/>
  <c r="AB77" i="7"/>
  <c r="AB186" i="7"/>
  <c r="AB220" i="7"/>
  <c r="AB219" i="7"/>
  <c r="AB218" i="7"/>
  <c r="AB217" i="7"/>
  <c r="AB76" i="7"/>
  <c r="AB275" i="7"/>
  <c r="AB120" i="7"/>
  <c r="AB119" i="7"/>
  <c r="AB166" i="7"/>
  <c r="AB87" i="7"/>
  <c r="AB86" i="7"/>
  <c r="AB168" i="7"/>
  <c r="AB92" i="7"/>
  <c r="AB91" i="7"/>
  <c r="AB90" i="7"/>
  <c r="AB191" i="7"/>
  <c r="AB190" i="7"/>
  <c r="AB189" i="7"/>
  <c r="AB188" i="7"/>
  <c r="AB187" i="7"/>
  <c r="AB167" i="7"/>
  <c r="AB159" i="7"/>
  <c r="AB52" i="7"/>
  <c r="AB51" i="7"/>
  <c r="AB50" i="7"/>
  <c r="AB49" i="7"/>
  <c r="AB48" i="7"/>
  <c r="AB47" i="7"/>
  <c r="AB46" i="7"/>
  <c r="AB207" i="7"/>
  <c r="AB206" i="7"/>
  <c r="AB205" i="7"/>
  <c r="AB204" i="7"/>
  <c r="AB203" i="7"/>
  <c r="AB202" i="7"/>
  <c r="AB201" i="7"/>
  <c r="AB200" i="7"/>
  <c r="AB199" i="7"/>
  <c r="AB198" i="7"/>
  <c r="AB197" i="7"/>
  <c r="AB196" i="7"/>
  <c r="AB195" i="7"/>
  <c r="AB194" i="7"/>
  <c r="AB193" i="7"/>
  <c r="AB175" i="7"/>
  <c r="AB174" i="7"/>
  <c r="AB173" i="7"/>
  <c r="AB172" i="7"/>
  <c r="AB69" i="7"/>
  <c r="AB68" i="7"/>
  <c r="AB67" i="7"/>
  <c r="AB66" i="7"/>
  <c r="AB65" i="7"/>
  <c r="AB64" i="7"/>
  <c r="AB63" i="7"/>
  <c r="AB62" i="7"/>
  <c r="AB61" i="7"/>
  <c r="AB60" i="7"/>
  <c r="AB59" i="7"/>
  <c r="AB58" i="7"/>
  <c r="AB57" i="7"/>
  <c r="AB56" i="7"/>
  <c r="AB55" i="7"/>
  <c r="AB54" i="7"/>
  <c r="AB45" i="7"/>
  <c r="AB44" i="7"/>
  <c r="AB42" i="7"/>
  <c r="AB38" i="7"/>
  <c r="AB37" i="7"/>
  <c r="AB36" i="7"/>
  <c r="AB35" i="7"/>
  <c r="AB34" i="7"/>
  <c r="AB32" i="7"/>
  <c r="AB224" i="7"/>
  <c r="AB223" i="7"/>
  <c r="AB222" i="7"/>
  <c r="AB75" i="7"/>
  <c r="AB215" i="7"/>
  <c r="AB214" i="7"/>
  <c r="AB213" i="7"/>
  <c r="AB212" i="7"/>
  <c r="AB211" i="7"/>
  <c r="AB210" i="7"/>
  <c r="AB209" i="7"/>
  <c r="AB208" i="7"/>
  <c r="AB118" i="7"/>
  <c r="AB117" i="7"/>
  <c r="AB116" i="7"/>
  <c r="AB115" i="7"/>
  <c r="AB114" i="7"/>
  <c r="AB113" i="7"/>
  <c r="AB112" i="7"/>
  <c r="AB111" i="7"/>
  <c r="AB110" i="7"/>
  <c r="AB109" i="7"/>
  <c r="AB108" i="7"/>
  <c r="AB107" i="7"/>
  <c r="AB106" i="7"/>
  <c r="AB105" i="7"/>
  <c r="AB104" i="7"/>
  <c r="AB185" i="7"/>
  <c r="AB184" i="7"/>
  <c r="AB183" i="7"/>
  <c r="AB225" i="7"/>
  <c r="AB176" i="7"/>
  <c r="AB81" i="7"/>
  <c r="AB33" i="7"/>
  <c r="AB254" i="7"/>
  <c r="AB252" i="7"/>
  <c r="AB251" i="7"/>
  <c r="AB248" i="7"/>
  <c r="AB169" i="7"/>
  <c r="AB17" i="7"/>
  <c r="AB16" i="7"/>
  <c r="AB15" i="7"/>
  <c r="AB14" i="7"/>
  <c r="AB273" i="7"/>
  <c r="AB272" i="7"/>
  <c r="AB271" i="7"/>
  <c r="AB270" i="7"/>
  <c r="AB269" i="7"/>
  <c r="AB268" i="7"/>
  <c r="AB267" i="7"/>
  <c r="AB266" i="7"/>
  <c r="AB265" i="7"/>
  <c r="AB264" i="7"/>
  <c r="AB263" i="7"/>
  <c r="AB262" i="7"/>
  <c r="AB261" i="7"/>
  <c r="AB260" i="7"/>
  <c r="AB259" i="7"/>
  <c r="AB258" i="7"/>
  <c r="AB257" i="7"/>
  <c r="AB256" i="7"/>
  <c r="AB255" i="7"/>
  <c r="AB253" i="7"/>
  <c r="AB153" i="7"/>
  <c r="AB152" i="7"/>
  <c r="AB151" i="7"/>
  <c r="AB150" i="7"/>
  <c r="AB149" i="7"/>
  <c r="AB148" i="7"/>
  <c r="AB147" i="7"/>
  <c r="AB146" i="7"/>
  <c r="AB145" i="7"/>
  <c r="AB144" i="7"/>
  <c r="AB136" i="7"/>
  <c r="AB135" i="7"/>
  <c r="AB134" i="7"/>
  <c r="AB133" i="7"/>
  <c r="AB132" i="7"/>
  <c r="AB131" i="7"/>
  <c r="AB28" i="7"/>
  <c r="AB27" i="7"/>
  <c r="AB26" i="7"/>
  <c r="AB25" i="7"/>
  <c r="AB24" i="7"/>
  <c r="AB23" i="7"/>
  <c r="AB22" i="7"/>
  <c r="AB21" i="7"/>
  <c r="AB20" i="7"/>
  <c r="AB19" i="7"/>
  <c r="AB18" i="7"/>
  <c r="AB227" i="7"/>
  <c r="AB89" i="7"/>
  <c r="AB250" i="7"/>
  <c r="AB216" i="7"/>
  <c r="AB170" i="7"/>
  <c r="AB72" i="7"/>
  <c r="AB71" i="7"/>
  <c r="AB70" i="7"/>
  <c r="AB40" i="7"/>
  <c r="AB31" i="7"/>
  <c r="AB30" i="7"/>
  <c r="AB29" i="7"/>
  <c r="AB5" i="7"/>
  <c r="C86" i="10"/>
  <c r="G86" i="10"/>
  <c r="AC224" i="7"/>
  <c r="AD224" i="7"/>
  <c r="AC222" i="7"/>
  <c r="AD222" i="7"/>
  <c r="AC215" i="7"/>
  <c r="AD215" i="7"/>
  <c r="AC213" i="7"/>
  <c r="AD213" i="7"/>
  <c r="AC211" i="7"/>
  <c r="AD211" i="7"/>
  <c r="AC209" i="7"/>
  <c r="AD209" i="7"/>
  <c r="AC118" i="7"/>
  <c r="AD118" i="7"/>
  <c r="AC116" i="7"/>
  <c r="AD116" i="7"/>
  <c r="AC114" i="7"/>
  <c r="AD114" i="7"/>
  <c r="AC112" i="7"/>
  <c r="AD112" i="7"/>
  <c r="AC110" i="7"/>
  <c r="AD110" i="7"/>
  <c r="AC108" i="7"/>
  <c r="AD108" i="7"/>
  <c r="AC106" i="7"/>
  <c r="AD106" i="7"/>
  <c r="AC104" i="7"/>
  <c r="AD104" i="7"/>
  <c r="AC184" i="7"/>
  <c r="AD184" i="7"/>
  <c r="AC182" i="7"/>
  <c r="AD182" i="7"/>
  <c r="AC177" i="7"/>
  <c r="AD177" i="7"/>
  <c r="AC163" i="7"/>
  <c r="AD163" i="7"/>
  <c r="AC156" i="7"/>
  <c r="AD156" i="7"/>
  <c r="AC154" i="7"/>
  <c r="AD154" i="7"/>
  <c r="AC103" i="7"/>
  <c r="AD103" i="7"/>
  <c r="AC101" i="7"/>
  <c r="AD101" i="7"/>
  <c r="AC99" i="7"/>
  <c r="AD99" i="7"/>
  <c r="AC97" i="7"/>
  <c r="AD97" i="7"/>
  <c r="AC95" i="7"/>
  <c r="AD95" i="7"/>
  <c r="AC93" i="7"/>
  <c r="AD93" i="7"/>
  <c r="AC39" i="7"/>
  <c r="AD39" i="7"/>
  <c r="AC234" i="7"/>
  <c r="AD234" i="7"/>
  <c r="AC232" i="7"/>
  <c r="AD232" i="7"/>
  <c r="AC229" i="7"/>
  <c r="AD229" i="7"/>
  <c r="AC85" i="7"/>
  <c r="AD85" i="7"/>
  <c r="AC83" i="7"/>
  <c r="AD83" i="7"/>
  <c r="AC247" i="7"/>
  <c r="AD247" i="7"/>
  <c r="AC245" i="7"/>
  <c r="AD245" i="7"/>
  <c r="AC243" i="7"/>
  <c r="AD243" i="7"/>
  <c r="AC241" i="7"/>
  <c r="AD241" i="7"/>
  <c r="AC239" i="7"/>
  <c r="AD239" i="7"/>
  <c r="AC237" i="7"/>
  <c r="AD237" i="7"/>
  <c r="AC180" i="7"/>
  <c r="AD180" i="7"/>
  <c r="AC178" i="7"/>
  <c r="AD178" i="7"/>
  <c r="AC142" i="7"/>
  <c r="AD142" i="7"/>
  <c r="AC140" i="7"/>
  <c r="AD140" i="7"/>
  <c r="AC138" i="7"/>
  <c r="AD138" i="7"/>
  <c r="AC129" i="7"/>
  <c r="AD129" i="7"/>
  <c r="AC127" i="7"/>
  <c r="AD127" i="7"/>
  <c r="AC125" i="7"/>
  <c r="AD125" i="7"/>
  <c r="AC123" i="7"/>
  <c r="AD123" i="7"/>
  <c r="AC121" i="7"/>
  <c r="AD121" i="7"/>
  <c r="AC9" i="7"/>
  <c r="AD9" i="7"/>
  <c r="AC88" i="7"/>
  <c r="AD88" i="7"/>
  <c r="AC176" i="7"/>
  <c r="AD176" i="7"/>
  <c r="AC33" i="7"/>
  <c r="AD33" i="7"/>
  <c r="AC221" i="7"/>
  <c r="AD221" i="7"/>
  <c r="AC13" i="7"/>
  <c r="AD13" i="7"/>
  <c r="AC252" i="7"/>
  <c r="AD252" i="7"/>
  <c r="AC248" i="7"/>
  <c r="AD248" i="7"/>
  <c r="AC17" i="7"/>
  <c r="AD17" i="7"/>
  <c r="AC15" i="7"/>
  <c r="AD15" i="7"/>
  <c r="AC231" i="7"/>
  <c r="AD231" i="7"/>
  <c r="AC79" i="7"/>
  <c r="AD79" i="7"/>
  <c r="AC77" i="7"/>
  <c r="AD77" i="7"/>
  <c r="AC220" i="7"/>
  <c r="AD220" i="7"/>
  <c r="AC218" i="7"/>
  <c r="AD218" i="7"/>
  <c r="AC76" i="7"/>
  <c r="AD76" i="7"/>
  <c r="AC120" i="7"/>
  <c r="AD120" i="7"/>
  <c r="AC130" i="7"/>
  <c r="AD130" i="7"/>
  <c r="AC272" i="7"/>
  <c r="AD272" i="7"/>
  <c r="AC270" i="7"/>
  <c r="AD270" i="7"/>
  <c r="AC268" i="7"/>
  <c r="AD268" i="7"/>
  <c r="AC265" i="7"/>
  <c r="AD265" i="7"/>
  <c r="AC264" i="7"/>
  <c r="AD264" i="7"/>
  <c r="AC263" i="7"/>
  <c r="AD263" i="7"/>
  <c r="AC261" i="7"/>
  <c r="AD261" i="7"/>
  <c r="AC259" i="7"/>
  <c r="AD259" i="7"/>
  <c r="AC257" i="7"/>
  <c r="AD257" i="7"/>
  <c r="AC253" i="7"/>
  <c r="AD253" i="7"/>
  <c r="AC152" i="7"/>
  <c r="AD152" i="7"/>
  <c r="AC150" i="7"/>
  <c r="AD150" i="7"/>
  <c r="AC148" i="7"/>
  <c r="AD148" i="7"/>
  <c r="AC146" i="7"/>
  <c r="AD146" i="7"/>
  <c r="AC144" i="7"/>
  <c r="AD144" i="7"/>
  <c r="AC135" i="7"/>
  <c r="AD135" i="7"/>
  <c r="AC133" i="7"/>
  <c r="AD133" i="7"/>
  <c r="AC131" i="7"/>
  <c r="AD131" i="7"/>
  <c r="AC27" i="7"/>
  <c r="AD27" i="7"/>
  <c r="AC25" i="7"/>
  <c r="AD25" i="7"/>
  <c r="AC23" i="7"/>
  <c r="AD23" i="7"/>
  <c r="AC21" i="7"/>
  <c r="AD21" i="7"/>
  <c r="AC19" i="7"/>
  <c r="AD19" i="7"/>
  <c r="AC226" i="7"/>
  <c r="AD226" i="7"/>
  <c r="AC87" i="7"/>
  <c r="AD87" i="7"/>
  <c r="AC168" i="7"/>
  <c r="AD168" i="7"/>
  <c r="AC91" i="7"/>
  <c r="AD91" i="7"/>
  <c r="AC89" i="7"/>
  <c r="AD89" i="7"/>
  <c r="AC161" i="7"/>
  <c r="AD161" i="7"/>
  <c r="AC158" i="7"/>
  <c r="AD158" i="7"/>
  <c r="AC191" i="7"/>
  <c r="AD191" i="7"/>
  <c r="AC188" i="7"/>
  <c r="AD188" i="7"/>
  <c r="AC167" i="7"/>
  <c r="AD167" i="7"/>
  <c r="AC52" i="7"/>
  <c r="AD52" i="7"/>
  <c r="AC50" i="7"/>
  <c r="AD50" i="7"/>
  <c r="AC48" i="7"/>
  <c r="AD48" i="7"/>
  <c r="AC46" i="7"/>
  <c r="AD46" i="7"/>
  <c r="AC164" i="7"/>
  <c r="AD164" i="7"/>
  <c r="AC43" i="7"/>
  <c r="AD43" i="7"/>
  <c r="AC206" i="7"/>
  <c r="AD206" i="7"/>
  <c r="AC204" i="7"/>
  <c r="AD204" i="7"/>
  <c r="AC202" i="7"/>
  <c r="AD202" i="7"/>
  <c r="AC196" i="7"/>
  <c r="AD196" i="7"/>
  <c r="AC194" i="7"/>
  <c r="AD194" i="7"/>
  <c r="AC175" i="7"/>
  <c r="AD175" i="7"/>
  <c r="AC173" i="7"/>
  <c r="AD173" i="7"/>
  <c r="AC69" i="7"/>
  <c r="AD69" i="7"/>
  <c r="AC66" i="7"/>
  <c r="AD66" i="7"/>
  <c r="AC64" i="7"/>
  <c r="AD64" i="7"/>
  <c r="AC62" i="7"/>
  <c r="AD62" i="7"/>
  <c r="AC59" i="7"/>
  <c r="AD59" i="7"/>
  <c r="AC57" i="7"/>
  <c r="AD57" i="7"/>
  <c r="AC54" i="7"/>
  <c r="AD54" i="7"/>
  <c r="AC44" i="7"/>
  <c r="AD44" i="7"/>
  <c r="AC36" i="7"/>
  <c r="AD36" i="7"/>
  <c r="AC34" i="7"/>
  <c r="AD34" i="7"/>
  <c r="AC250" i="7"/>
  <c r="AD250" i="7"/>
  <c r="AC73" i="7"/>
  <c r="AD73" i="7"/>
  <c r="AC170" i="7"/>
  <c r="AD170" i="7"/>
  <c r="AC70" i="7"/>
  <c r="AD70" i="7"/>
  <c r="AC29" i="7"/>
  <c r="AD29" i="7"/>
  <c r="AC223" i="7"/>
  <c r="AD223" i="7"/>
  <c r="AC75" i="7"/>
  <c r="AD75" i="7"/>
  <c r="AC214" i="7"/>
  <c r="AD214" i="7"/>
  <c r="AC212" i="7"/>
  <c r="AD212" i="7"/>
  <c r="AC210" i="7"/>
  <c r="AD210" i="7"/>
  <c r="AC208" i="7"/>
  <c r="AD208" i="7"/>
  <c r="AC117" i="7"/>
  <c r="AD117" i="7"/>
  <c r="AC115" i="7"/>
  <c r="AD115" i="7"/>
  <c r="AC113" i="7"/>
  <c r="AD113" i="7"/>
  <c r="AC111" i="7"/>
  <c r="AD111" i="7"/>
  <c r="AC109" i="7"/>
  <c r="AD109" i="7"/>
  <c r="AC107" i="7"/>
  <c r="AD107" i="7"/>
  <c r="AC105" i="7"/>
  <c r="AD105" i="7"/>
  <c r="AC185" i="7"/>
  <c r="AD185" i="7"/>
  <c r="AC183" i="7"/>
  <c r="AD183" i="7"/>
  <c r="AC181" i="7"/>
  <c r="AD181" i="7"/>
  <c r="AC165" i="7"/>
  <c r="AD165" i="7"/>
  <c r="AC157" i="7"/>
  <c r="AD157" i="7"/>
  <c r="AC155" i="7"/>
  <c r="AD155" i="7"/>
  <c r="AC102" i="7"/>
  <c r="AD102" i="7"/>
  <c r="AC100" i="7"/>
  <c r="AD100" i="7"/>
  <c r="AC98" i="7"/>
  <c r="AD98" i="7"/>
  <c r="AC96" i="7"/>
  <c r="AD96" i="7"/>
  <c r="AC94" i="7"/>
  <c r="AD94" i="7"/>
  <c r="AC53" i="7"/>
  <c r="AD53" i="7"/>
  <c r="AC235" i="7"/>
  <c r="AD235" i="7"/>
  <c r="AC233" i="7"/>
  <c r="AD233" i="7"/>
  <c r="AC230" i="7"/>
  <c r="AD230" i="7"/>
  <c r="AC228" i="7"/>
  <c r="AD228" i="7"/>
  <c r="AC84" i="7"/>
  <c r="AD84" i="7"/>
  <c r="AC82" i="7"/>
  <c r="AD82" i="7"/>
  <c r="AC274" i="7"/>
  <c r="AD274" i="7"/>
  <c r="AC246" i="7"/>
  <c r="AD246" i="7"/>
  <c r="AC244" i="7"/>
  <c r="AD244" i="7"/>
  <c r="AC242" i="7"/>
  <c r="AD242" i="7"/>
  <c r="AC240" i="7"/>
  <c r="AD240" i="7"/>
  <c r="AC238" i="7"/>
  <c r="AD238" i="7"/>
  <c r="AC236" i="7"/>
  <c r="AD236" i="7"/>
  <c r="AC179" i="7"/>
  <c r="AD179" i="7"/>
  <c r="AC143" i="7"/>
  <c r="AD143" i="7"/>
  <c r="AC141" i="7"/>
  <c r="AD141" i="7"/>
  <c r="AC139" i="7"/>
  <c r="AD139" i="7"/>
  <c r="AC137" i="7"/>
  <c r="AD137" i="7"/>
  <c r="AC128" i="7"/>
  <c r="AD128" i="7"/>
  <c r="AC126" i="7"/>
  <c r="AD126" i="7"/>
  <c r="AC124" i="7"/>
  <c r="AD124" i="7"/>
  <c r="AC122" i="7"/>
  <c r="AD122" i="7"/>
  <c r="AC12" i="7"/>
  <c r="AD12" i="7"/>
  <c r="AC11" i="7"/>
  <c r="AD11" i="7"/>
  <c r="AC10" i="7"/>
  <c r="AD10" i="7"/>
  <c r="AC8" i="7"/>
  <c r="AD8" i="7"/>
  <c r="AC225" i="7"/>
  <c r="AD225" i="7"/>
  <c r="AC81" i="7"/>
  <c r="AD81" i="7"/>
  <c r="AC7" i="7"/>
  <c r="AD7" i="7"/>
  <c r="AC6" i="7"/>
  <c r="AD6" i="7"/>
  <c r="AC254" i="7"/>
  <c r="AD254" i="7"/>
  <c r="AC251" i="7"/>
  <c r="AD251" i="7"/>
  <c r="AC169" i="7"/>
  <c r="AD169" i="7"/>
  <c r="AC16" i="7"/>
  <c r="AD16" i="7"/>
  <c r="AC14" i="7"/>
  <c r="AD14" i="7"/>
  <c r="AC80" i="7"/>
  <c r="AD80" i="7"/>
  <c r="AC78" i="7"/>
  <c r="AD78" i="7"/>
  <c r="AC186" i="7"/>
  <c r="AD186" i="7"/>
  <c r="AC219" i="7"/>
  <c r="AD219" i="7"/>
  <c r="AC217" i="7"/>
  <c r="AD217" i="7"/>
  <c r="AC275" i="7"/>
  <c r="AD275" i="7"/>
  <c r="AC119" i="7"/>
  <c r="AD119" i="7"/>
  <c r="AC273" i="7"/>
  <c r="AD273" i="7"/>
  <c r="AC271" i="7"/>
  <c r="AD271" i="7"/>
  <c r="AC269" i="7"/>
  <c r="AD269" i="7"/>
  <c r="AC267" i="7"/>
  <c r="AD267" i="7"/>
  <c r="AC266" i="7"/>
  <c r="AD266" i="7"/>
  <c r="AC262" i="7"/>
  <c r="AD262" i="7"/>
  <c r="AC260" i="7"/>
  <c r="AD260" i="7"/>
  <c r="AC258" i="7"/>
  <c r="AD258" i="7"/>
  <c r="AC256" i="7"/>
  <c r="AD256" i="7"/>
  <c r="AC255" i="7"/>
  <c r="AD255" i="7"/>
  <c r="AC153" i="7"/>
  <c r="AD153" i="7"/>
  <c r="AC151" i="7"/>
  <c r="AD151" i="7"/>
  <c r="AC149" i="7"/>
  <c r="AD149" i="7"/>
  <c r="AC147" i="7"/>
  <c r="AD147" i="7"/>
  <c r="AC145" i="7"/>
  <c r="AD145" i="7"/>
  <c r="AC136" i="7"/>
  <c r="AD136" i="7"/>
  <c r="AC134" i="7"/>
  <c r="AD134" i="7"/>
  <c r="AC132" i="7"/>
  <c r="AD132" i="7"/>
  <c r="AC28" i="7"/>
  <c r="AD28" i="7"/>
  <c r="AC26" i="7"/>
  <c r="AD26" i="7"/>
  <c r="AC24" i="7"/>
  <c r="AD24" i="7"/>
  <c r="AC22" i="7"/>
  <c r="AD22" i="7"/>
  <c r="AC20" i="7"/>
  <c r="AD20" i="7"/>
  <c r="AC18" i="7"/>
  <c r="AD18" i="7"/>
  <c r="AC227" i="7"/>
  <c r="AD227" i="7"/>
  <c r="AC166" i="7"/>
  <c r="AD166" i="7"/>
  <c r="AC86" i="7"/>
  <c r="AD86" i="7"/>
  <c r="AC92" i="7"/>
  <c r="AD92" i="7"/>
  <c r="AC90" i="7"/>
  <c r="AD90" i="7"/>
  <c r="AC162" i="7"/>
  <c r="AD162" i="7"/>
  <c r="AC160" i="7"/>
  <c r="AD160" i="7"/>
  <c r="AC41" i="7"/>
  <c r="AD41" i="7"/>
  <c r="AC190" i="7"/>
  <c r="AD190" i="7"/>
  <c r="AC189" i="7"/>
  <c r="AD189" i="7"/>
  <c r="AC187" i="7"/>
  <c r="AD187" i="7"/>
  <c r="AC159" i="7"/>
  <c r="AD159" i="7"/>
  <c r="AC51" i="7"/>
  <c r="AD51" i="7"/>
  <c r="AC49" i="7"/>
  <c r="AD49" i="7"/>
  <c r="AC47" i="7"/>
  <c r="AD47" i="7"/>
  <c r="AC171" i="7"/>
  <c r="AD171" i="7"/>
  <c r="AC192" i="7"/>
  <c r="AD192" i="7"/>
  <c r="AC207" i="7"/>
  <c r="AD207" i="7"/>
  <c r="AC205" i="7"/>
  <c r="AD205" i="7"/>
  <c r="AC203" i="7"/>
  <c r="AD203" i="7"/>
  <c r="AC201" i="7"/>
  <c r="AD201" i="7"/>
  <c r="AC200" i="7"/>
  <c r="AD200" i="7"/>
  <c r="AC199" i="7"/>
  <c r="AD199" i="7"/>
  <c r="AC198" i="7"/>
  <c r="AD198" i="7"/>
  <c r="AC197" i="7"/>
  <c r="AD197" i="7"/>
  <c r="AC195" i="7"/>
  <c r="AD195" i="7"/>
  <c r="AC193" i="7"/>
  <c r="AD193" i="7"/>
  <c r="AC174" i="7"/>
  <c r="AD174" i="7"/>
  <c r="AC172" i="7"/>
  <c r="AD172" i="7"/>
  <c r="AC68" i="7"/>
  <c r="AD68" i="7"/>
  <c r="AC67" i="7"/>
  <c r="AD67" i="7"/>
  <c r="AC65" i="7"/>
  <c r="AD65" i="7"/>
  <c r="AC63" i="7"/>
  <c r="AD63" i="7"/>
  <c r="AC61" i="7"/>
  <c r="AD61" i="7"/>
  <c r="AC60" i="7"/>
  <c r="AD60" i="7"/>
  <c r="AC58" i="7"/>
  <c r="AD58" i="7"/>
  <c r="AC56" i="7"/>
  <c r="AD56" i="7"/>
  <c r="AC55" i="7"/>
  <c r="AD55" i="7"/>
  <c r="AC45" i="7"/>
  <c r="AD45" i="7"/>
  <c r="AC42" i="7"/>
  <c r="AD42" i="7"/>
  <c r="AC38" i="7"/>
  <c r="AD38" i="7"/>
  <c r="AC37" i="7"/>
  <c r="AD37" i="7"/>
  <c r="AC35" i="7"/>
  <c r="AD35" i="7"/>
  <c r="AC32" i="7"/>
  <c r="AD32" i="7"/>
  <c r="AC249" i="7"/>
  <c r="AD249" i="7"/>
  <c r="AC74" i="7"/>
  <c r="AD74" i="7"/>
  <c r="AC216" i="7"/>
  <c r="AD216" i="7"/>
  <c r="AC72" i="7"/>
  <c r="AD72" i="7"/>
  <c r="AC71" i="7"/>
  <c r="AD71" i="7"/>
  <c r="AC40" i="7"/>
  <c r="AD40" i="7"/>
  <c r="AC31" i="7"/>
  <c r="AD31" i="7"/>
  <c r="AC30" i="7"/>
  <c r="AD30" i="7"/>
  <c r="AC5" i="7"/>
  <c r="AD5" i="7"/>
  <c r="AC4" i="7"/>
  <c r="AD4" i="7"/>
  <c r="H3" i="16"/>
  <c r="H7" i="16"/>
  <c r="H6" i="16"/>
  <c r="H82" i="16"/>
  <c r="H78" i="16"/>
  <c r="H80" i="16"/>
  <c r="H83" i="16"/>
  <c r="H81" i="16"/>
  <c r="F86" i="10"/>
  <c r="D86" i="10"/>
  <c r="B86" i="10"/>
  <c r="H79" i="10" s="1"/>
  <c r="B43" i="10"/>
  <c r="G38" i="10" s="1"/>
  <c r="D10" i="10"/>
  <c r="G10" i="10"/>
  <c r="F10" i="10"/>
  <c r="E10" i="10"/>
  <c r="C10" i="10"/>
  <c r="B60" i="10"/>
  <c r="C55" i="10" s="1"/>
  <c r="C60" i="10" s="1"/>
  <c r="B10" i="10"/>
  <c r="H3" i="10" s="1"/>
  <c r="G43" i="16" l="1"/>
  <c r="H83" i="10"/>
  <c r="H10" i="16"/>
  <c r="H86" i="16"/>
  <c r="H82" i="10"/>
  <c r="H78" i="10"/>
  <c r="H80" i="10"/>
  <c r="H81" i="10"/>
  <c r="G35" i="10"/>
  <c r="G36" i="10"/>
  <c r="G37" i="10"/>
  <c r="G40" i="10"/>
  <c r="G39" i="10"/>
  <c r="H4" i="10"/>
  <c r="H6" i="10"/>
  <c r="C57" i="10"/>
  <c r="H7" i="10"/>
  <c r="H5" i="10"/>
  <c r="C56" i="10"/>
  <c r="H86" i="10" l="1"/>
  <c r="G43" i="10"/>
  <c r="H10" i="10"/>
</calcChain>
</file>

<file path=xl/comments1.xml><?xml version="1.0" encoding="utf-8"?>
<comments xmlns="http://schemas.openxmlformats.org/spreadsheetml/2006/main">
  <authors>
    <author>Autor</author>
  </authors>
  <commentList>
    <comment ref="S43" authorId="0" shapeId="0">
      <text>
        <r>
          <rPr>
            <b/>
            <sz val="9"/>
            <color indexed="81"/>
            <rFont val="Tahoma"/>
            <family val="2"/>
          </rPr>
          <t>Autor:</t>
        </r>
        <r>
          <rPr>
            <sz val="9"/>
            <color indexed="81"/>
            <rFont val="Tahoma"/>
            <family val="2"/>
          </rPr>
          <t xml:space="preserve">
BE</t>
        </r>
      </text>
    </comment>
  </commentList>
</comments>
</file>

<file path=xl/comments2.xml><?xml version="1.0" encoding="utf-8"?>
<comments xmlns="http://schemas.openxmlformats.org/spreadsheetml/2006/main">
  <authors>
    <author>Autor</author>
  </authors>
  <commentList>
    <comment ref="O13" authorId="0" shapeId="0">
      <text>
        <r>
          <rPr>
            <b/>
            <sz val="9"/>
            <color indexed="81"/>
            <rFont val="Tahoma"/>
            <family val="2"/>
          </rPr>
          <t>Autor:</t>
        </r>
        <r>
          <rPr>
            <sz val="9"/>
            <color indexed="81"/>
            <rFont val="Tahoma"/>
            <family val="2"/>
          </rPr>
          <t xml:space="preserve">
SG</t>
        </r>
      </text>
    </comment>
    <comment ref="O73" authorId="0" shapeId="0">
      <text>
        <r>
          <rPr>
            <b/>
            <sz val="9"/>
            <color indexed="81"/>
            <rFont val="Tahoma"/>
            <family val="2"/>
          </rPr>
          <t>Autor:</t>
        </r>
        <r>
          <rPr>
            <sz val="9"/>
            <color indexed="81"/>
            <rFont val="Tahoma"/>
            <family val="2"/>
          </rPr>
          <t xml:space="preserve">
AG</t>
        </r>
      </text>
    </comment>
    <comment ref="O74" authorId="0" shapeId="0">
      <text>
        <r>
          <rPr>
            <b/>
            <sz val="9"/>
            <color indexed="81"/>
            <rFont val="Tahoma"/>
            <family val="2"/>
          </rPr>
          <t>Autor:</t>
        </r>
        <r>
          <rPr>
            <sz val="9"/>
            <color indexed="81"/>
            <rFont val="Tahoma"/>
            <family val="2"/>
          </rPr>
          <t xml:space="preserve">
AG</t>
        </r>
      </text>
    </comment>
    <comment ref="O130" authorId="0" shapeId="0">
      <text>
        <r>
          <rPr>
            <b/>
            <sz val="9"/>
            <color indexed="81"/>
            <rFont val="Tahoma"/>
            <family val="2"/>
          </rPr>
          <t>Autor:</t>
        </r>
        <r>
          <rPr>
            <sz val="9"/>
            <color indexed="81"/>
            <rFont val="Tahoma"/>
            <family val="2"/>
          </rPr>
          <t xml:space="preserve">
valeurs GR</t>
        </r>
      </text>
    </comment>
  </commentList>
</comments>
</file>

<file path=xl/comments3.xml><?xml version="1.0" encoding="utf-8"?>
<comments xmlns="http://schemas.openxmlformats.org/spreadsheetml/2006/main">
  <authors>
    <author>Autor</author>
  </authors>
  <commentList>
    <comment ref="N160" authorId="0" shapeId="0">
      <text>
        <r>
          <rPr>
            <b/>
            <sz val="9"/>
            <color indexed="81"/>
            <rFont val="Tahoma"/>
            <family val="2"/>
          </rPr>
          <t>Autor:</t>
        </r>
        <r>
          <rPr>
            <sz val="9"/>
            <color indexed="81"/>
            <rFont val="Tahoma"/>
            <family val="2"/>
          </rPr>
          <t xml:space="preserve">
importance du charriage moyenne à importante sur les tronçons concernés (éval. ok). Mais il n'y a pas vraiment d'ouvrages directement à proximité des zones alluviales. Mesures prévues permettent d'améliorer beaucoup le charriage dans ces ZA. Voir p. 116 du rapport.</t>
        </r>
      </text>
    </comment>
  </commentList>
</comments>
</file>

<file path=xl/sharedStrings.xml><?xml version="1.0" encoding="utf-8"?>
<sst xmlns="http://schemas.openxmlformats.org/spreadsheetml/2006/main" count="22348" uniqueCount="1991">
  <si>
    <t xml:space="preserve">Etat </t>
  </si>
  <si>
    <t>Zustand</t>
  </si>
  <si>
    <t xml:space="preserve">Naturel, semi-naturel   </t>
  </si>
  <si>
    <t>natürlich, naturnah</t>
  </si>
  <si>
    <t xml:space="preserve">Peu atteint  </t>
  </si>
  <si>
    <t>wenig beeinträchtigt</t>
  </si>
  <si>
    <t xml:space="preserve">Moyennement atteint  </t>
  </si>
  <si>
    <t>beeinträchtigt</t>
  </si>
  <si>
    <t xml:space="preserve">Atteint </t>
  </si>
  <si>
    <t>wesentlich beeinträchtigt</t>
  </si>
  <si>
    <t xml:space="preserve">Très atteint  </t>
  </si>
  <si>
    <t>stark beeinträchtigt</t>
  </si>
  <si>
    <t xml:space="preserve">Non pertinent </t>
  </si>
  <si>
    <t>nicht relevant</t>
  </si>
  <si>
    <t>Validation Kanton</t>
  </si>
  <si>
    <t>Kontrolle / Ergänzungen durch Kanton</t>
  </si>
  <si>
    <t>Validation par le canton souhaité en première priorité</t>
  </si>
  <si>
    <t>Ergänzung durch Kanton in erster Priorität erwünscht</t>
  </si>
  <si>
    <t>Proposition Combinaison / 
Vorschlag Kombination</t>
  </si>
  <si>
    <t>Validation par le canton / Überprüfung durch Kanton</t>
  </si>
  <si>
    <t>Canton / Kanton</t>
  </si>
  <si>
    <t>Nom / Name</t>
  </si>
  <si>
    <t>Rivière / Gewässer</t>
  </si>
  <si>
    <t>I2.f</t>
  </si>
  <si>
    <t>I3d modif</t>
  </si>
  <si>
    <t>I.1b</t>
  </si>
  <si>
    <t>Beeinträchtigung</t>
  </si>
  <si>
    <t>Handlungsbedarf 
(Beeinträchtigung nach MN)</t>
  </si>
  <si>
    <t>Résultat final charriage (déficit) / 
Endresultat Geschiebe (Defizit)</t>
  </si>
  <si>
    <t>a. mesurée / gemessen
b. évaluée / ausgewertet
c. planification / Planung
d. Compatibilité / Kompatibel
e. Réevalué / Neu bewertet</t>
  </si>
  <si>
    <t>Remarques BIOP</t>
  </si>
  <si>
    <t>Validation par le canton</t>
  </si>
  <si>
    <t>Nouveau diagnostic du canton / 
neues Endresultat Kanton</t>
  </si>
  <si>
    <t>Remarques du canton / 
Bemerkungen des Kantons</t>
  </si>
  <si>
    <t>Résultat final charriage (déficit)/ Endresultat Geschiebe (Defizit)</t>
  </si>
  <si>
    <t>AG</t>
  </si>
  <si>
    <t>Haumättli</t>
  </si>
  <si>
    <t>Rhein</t>
  </si>
  <si>
    <t>pertinent</t>
  </si>
  <si>
    <t>81 -100%</t>
  </si>
  <si>
    <t>non documenté</t>
  </si>
  <si>
    <t>la remobilisation des sédiments est perturbée</t>
  </si>
  <si>
    <t>déficit dans les formations pionnières</t>
  </si>
  <si>
    <t>a</t>
  </si>
  <si>
    <t>keine Einzelbetrachtung weil keine GIS-Daten</t>
  </si>
  <si>
    <t>81-100%</t>
  </si>
  <si>
    <t>Koblenzer Rhein und Laufen</t>
  </si>
  <si>
    <t>pas ou faiblement entravé</t>
  </si>
  <si>
    <t>-</t>
  </si>
  <si>
    <t>Auenreste Klingnauer Stausee</t>
  </si>
  <si>
    <t>Aare</t>
  </si>
  <si>
    <t>non pertinent</t>
  </si>
  <si>
    <t/>
  </si>
  <si>
    <t>non pertinent / nicht relevant</t>
  </si>
  <si>
    <t>sehr stark</t>
  </si>
  <si>
    <t>Ja</t>
  </si>
  <si>
    <t>Wasserschloss Brugg–Stilli</t>
  </si>
  <si>
    <t>Aare, Reuss</t>
  </si>
  <si>
    <t>pas d'incision</t>
  </si>
  <si>
    <t>d</t>
  </si>
  <si>
    <t>Umiker Schachen–Stierenhölzli</t>
  </si>
  <si>
    <t>déficit non apparent en charriage ou en remobilisation des sédiments</t>
  </si>
  <si>
    <t>Reussinsel Risi</t>
  </si>
  <si>
    <t>Reuss</t>
  </si>
  <si>
    <t>Rüsshalden</t>
  </si>
  <si>
    <t>Tote Reuss–Alte Reuss</t>
  </si>
  <si>
    <t>Rottenschwiler Moos</t>
  </si>
  <si>
    <t>51-80%</t>
  </si>
  <si>
    <t>Rossgarten</t>
  </si>
  <si>
    <t>Möriken–Wildegg</t>
  </si>
  <si>
    <t>Bünz</t>
  </si>
  <si>
    <t>La remobilisation des sédiments est perturbée / Mobilisierung von Geschiebe beeinträchtigt</t>
  </si>
  <si>
    <t>b</t>
  </si>
  <si>
    <t>21-50%</t>
  </si>
  <si>
    <t>AG/ZG/ZH</t>
  </si>
  <si>
    <t>Ober Schachen–Rüssspitz</t>
  </si>
  <si>
    <t>problème lié à un manque de charriage ou à un manque de remobilisation des sédiments</t>
  </si>
  <si>
    <t>Die Beurteilungen erscheinen uns nachvollziehbar und stimmen mit den kantonalen Einschätzungen</t>
  </si>
  <si>
    <t>AG/ZH</t>
  </si>
  <si>
    <t>Still Rüss–Rickenbach</t>
  </si>
  <si>
    <t>AI</t>
  </si>
  <si>
    <t>Weissbad</t>
  </si>
  <si>
    <t>Wissbach</t>
  </si>
  <si>
    <t>difficile de juger</t>
  </si>
  <si>
    <t>A vérifier</t>
  </si>
  <si>
    <t>pas d'ouvrage dans le bassin versant</t>
  </si>
  <si>
    <t>charriage présumé naturel</t>
  </si>
  <si>
    <t>Charriage présumé naturel / Geschiebehaushalt vermutlich natürlich</t>
  </si>
  <si>
    <t>0-20%</t>
  </si>
  <si>
    <t>AR/SG</t>
  </si>
  <si>
    <t>Ampferenboden</t>
  </si>
  <si>
    <t>Necker</t>
  </si>
  <si>
    <t>BE</t>
  </si>
  <si>
    <t>Oberburger Schachen</t>
  </si>
  <si>
    <t>Emme</t>
  </si>
  <si>
    <t>wesentlich</t>
  </si>
  <si>
    <t>Ja (gering)</t>
  </si>
  <si>
    <t>Utzenstorfer Schachen</t>
  </si>
  <si>
    <t>Altwässer der Aare und der Zihl</t>
  </si>
  <si>
    <t>Déficit non apparent en charriage ou en remobilisation des sédiments / kein sichtbares Defizit beim Geschiebehaushalt bzw. bei der Mobilisierung von Geschiebe</t>
  </si>
  <si>
    <t>Alte Aare: Lyss–Dotzigen</t>
  </si>
  <si>
    <t>Alte Aare</t>
  </si>
  <si>
    <t>Pas de graviers à la Vieille Aar, seulement quelques sédiments fins</t>
  </si>
  <si>
    <t>charriage présumé perturbé</t>
  </si>
  <si>
    <t>Charriage présumé perturbé / Geschiebehaushalt vermutlich beeinträchtigt</t>
  </si>
  <si>
    <t>Alte Aare: Aarberg–Lyss</t>
  </si>
  <si>
    <t>Pas de graviers à la Vieille Aar, seulement quelques sédiments fins (ouvrage au niveau de la dérivation)</t>
  </si>
  <si>
    <t>Niederried–Oltigenmatt</t>
  </si>
  <si>
    <t>Aare, Saane</t>
  </si>
  <si>
    <t>wesentlich/stark</t>
  </si>
  <si>
    <t>c</t>
  </si>
  <si>
    <t>Teuffengraben–Sackau</t>
  </si>
  <si>
    <t>Schwarzwasser</t>
  </si>
  <si>
    <t>stark</t>
  </si>
  <si>
    <t>Avis du canton parait  mieux fondé</t>
  </si>
  <si>
    <t>Laupenau</t>
  </si>
  <si>
    <t>Saane</t>
  </si>
  <si>
    <t>Belper Giessen</t>
  </si>
  <si>
    <t>gering</t>
  </si>
  <si>
    <t>kein HB</t>
  </si>
  <si>
    <t>Chandergrien</t>
  </si>
  <si>
    <t>Kander, Thunersee</t>
  </si>
  <si>
    <t>Augand</t>
  </si>
  <si>
    <t>Kander, Simme</t>
  </si>
  <si>
    <t>Heustrich</t>
  </si>
  <si>
    <t>Kander</t>
  </si>
  <si>
    <t>X</t>
  </si>
  <si>
    <t>PAS EXPRIMÉ</t>
  </si>
  <si>
    <t>Gastereholz</t>
  </si>
  <si>
    <t>Brünnlisau</t>
  </si>
  <si>
    <t>Simme</t>
  </si>
  <si>
    <t>Wilerau</t>
  </si>
  <si>
    <t>dépôt donc pas de problème de charriage</t>
  </si>
  <si>
    <t>Niedermettlisau</t>
  </si>
  <si>
    <t>Engstlige: Bim Stei–Oybedly</t>
  </si>
  <si>
    <t>Engstlige</t>
  </si>
  <si>
    <t>Weissenau</t>
  </si>
  <si>
    <t>Aare, Thunersee</t>
  </si>
  <si>
    <t>Chappelistutz</t>
  </si>
  <si>
    <t>Lütschine</t>
  </si>
  <si>
    <t>In Erlen</t>
  </si>
  <si>
    <t>Weisse Lütschine, Schwarze Lütschine</t>
  </si>
  <si>
    <t>Jägglisglunte</t>
  </si>
  <si>
    <t>Sytenwald</t>
  </si>
  <si>
    <t>Sandey</t>
  </si>
  <si>
    <t>Urbachwasser</t>
  </si>
  <si>
    <t>Heidenweg/St. Petersinsel</t>
  </si>
  <si>
    <t>Bielersee</t>
  </si>
  <si>
    <t>Hagneckdelta</t>
  </si>
  <si>
    <t>Aare-Hagneck-Kanal, Bielersee</t>
  </si>
  <si>
    <t>Ja (keine MN)</t>
  </si>
  <si>
    <t>Rohr–Oey</t>
  </si>
  <si>
    <t>Louibach</t>
  </si>
  <si>
    <t>Rotenbach</t>
  </si>
  <si>
    <t>Kalte Sense</t>
  </si>
  <si>
    <t>Heubach</t>
  </si>
  <si>
    <t>Seligraben</t>
  </si>
  <si>
    <t>Seligrabenbach</t>
  </si>
  <si>
    <t>pas d'ouvrage sur le bassin versant</t>
  </si>
  <si>
    <t>Eymatt</t>
  </si>
  <si>
    <t>Gäbelbach</t>
  </si>
  <si>
    <t>Emmeschlucht</t>
  </si>
  <si>
    <t>keine</t>
  </si>
  <si>
    <t>Innereriz Zulg</t>
  </si>
  <si>
    <t>Zulg</t>
  </si>
  <si>
    <t>Harzisboden</t>
  </si>
  <si>
    <t>Rezliberg</t>
  </si>
  <si>
    <t>Trüebbach</t>
  </si>
  <si>
    <t>Hornbrügg</t>
  </si>
  <si>
    <t>Allebach, Rossbach</t>
  </si>
  <si>
    <t>Système naturel, cours multiple en tresses. Charriage paraît très actif</t>
  </si>
  <si>
    <t>Lochweid</t>
  </si>
  <si>
    <t>Tschentbach</t>
  </si>
  <si>
    <t>Peut-être incision</t>
  </si>
  <si>
    <t>Gastere bei Selden</t>
  </si>
  <si>
    <t>Tschingel</t>
  </si>
  <si>
    <t>Gamchibach, Gornerewasser, Tschingelsee</t>
  </si>
  <si>
    <t>Ganzenlouwina</t>
  </si>
  <si>
    <t>Rychenbach</t>
  </si>
  <si>
    <t>Système de cônes d'alluvions et de cours en tresse semble intact</t>
  </si>
  <si>
    <t>Engstlenalp</t>
  </si>
  <si>
    <t>Gentalwasser, Engstlensee</t>
  </si>
  <si>
    <t>Google: cônes d'éboulis, cours supérieur naturel</t>
  </si>
  <si>
    <t>BE/FR</t>
  </si>
  <si>
    <t>Senseauen</t>
  </si>
  <si>
    <t>Sense</t>
  </si>
  <si>
    <t>gering/wesentlich</t>
  </si>
  <si>
    <t>FR: keine; BE: gering/wesentlich. Discordance entre les 2 cantons. Concordance entre FR et Hanus et al. 2014. On prend la valeur la plus représentée (0-20%)</t>
  </si>
  <si>
    <t>OK (FR). Pas exprimé (BE)</t>
  </si>
  <si>
    <t>BE/NE</t>
  </si>
  <si>
    <t>Seewald–Fanel</t>
  </si>
  <si>
    <t>Canal de la Thielle, Lac de Neuchâtel</t>
  </si>
  <si>
    <t>BE/SO</t>
  </si>
  <si>
    <t>Aare bei Altreu</t>
  </si>
  <si>
    <t>Pas de sédiments en provenance du Lac de Bienne, ni d'affluents. Charriage très faible naturel depuis 2ème correction des eaux du Jura</t>
  </si>
  <si>
    <t>Interkantonale Aareplanung;GESCHIEBE: Keine relevanten Geschiebezubringer nach Bielersee.</t>
  </si>
  <si>
    <t>SO: Hochwasserschutzprojekt Emme in Realisierung  (Kontakt: Ropger Dürrenmatt, Amt für Umwelt, Tel. 032 627 27 67; roger.duerrenmatt@bd.so.ch)</t>
  </si>
  <si>
    <t>FR</t>
  </si>
  <si>
    <t>Bois du Dévin</t>
  </si>
  <si>
    <t>La Gérine</t>
  </si>
  <si>
    <t>Charriage diminué par extraction en amont (aval objet 61, 3 km amont objet 60). Cependant charriage reste actif. Preuve: cours sinueux et en tresses, développement delta de sédiments à l'embouchure dans la Sarine.</t>
  </si>
  <si>
    <t>charriage présumé faiblement perturbé</t>
  </si>
  <si>
    <t>Charriage présumé faiblement perturbé / Geschiebe vermutlich leicht beeinträchtigt</t>
  </si>
  <si>
    <t>OK</t>
  </si>
  <si>
    <t>Ärgera: Plasselb–Marly</t>
  </si>
  <si>
    <t>Ärgera / La Gérine</t>
  </si>
  <si>
    <t>pas d'ouvrages court-circuitant le charriage</t>
  </si>
  <si>
    <t>La Sarine: Rossens–Fribourg</t>
  </si>
  <si>
    <t>La Sarine</t>
  </si>
  <si>
    <t>2 (2020)</t>
  </si>
  <si>
    <t>Broc</t>
  </si>
  <si>
    <t>La Sarine, La Jogne, Lac de Gruyère</t>
  </si>
  <si>
    <t>1 (2020)</t>
  </si>
  <si>
    <t>Les Auges d'Estavannens</t>
  </si>
  <si>
    <t>Problème lié à un manque de charriage ou à un manque de remobilisation des sédiments / Problem aufgrund Geschiebemangels bzw. mangelnder Mobilisierung von Geschiebe</t>
  </si>
  <si>
    <t>Les Auges de Neirivue</t>
  </si>
  <si>
    <t>Les Grèves de Cheyres–Font</t>
  </si>
  <si>
    <t>Lac de Neuchâtel</t>
  </si>
  <si>
    <t>La Neirigue et la Glâne</t>
  </si>
  <si>
    <t>La Neirigue, La Glâne</t>
  </si>
  <si>
    <t>pas de présence d'ouvrage dna sle bassin versant</t>
  </si>
  <si>
    <t>Le Chablais</t>
  </si>
  <si>
    <t>Lac de Morat</t>
  </si>
  <si>
    <t>Lac de Montsalvens</t>
  </si>
  <si>
    <t>La Jogne, Lac de Montsalvens</t>
  </si>
  <si>
    <t>1 (2016)</t>
  </si>
  <si>
    <t>Cerniat-La Valsainte</t>
  </si>
  <si>
    <t>Le Javro</t>
  </si>
  <si>
    <t>Google: cours en tresses sinueux. Pas d'extraction visible ou notée sur la carte des atteintes</t>
  </si>
  <si>
    <t>Plasselb</t>
  </si>
  <si>
    <t>Ärgera</t>
  </si>
  <si>
    <t>Muscherensense</t>
  </si>
  <si>
    <t>Objet naturel. Si extractions sécuritaire, peu d'effet sur le style</t>
  </si>
  <si>
    <t>FR/VD</t>
  </si>
  <si>
    <t>Les Iles de Villeneuve</t>
  </si>
  <si>
    <t>La Broye</t>
  </si>
  <si>
    <t>FR: pas d'atteinte lié aux installations sur le territoire FR.
VD: atteinte notable.</t>
  </si>
  <si>
    <t>Les Grèves d'Yvonand–Cheyres</t>
  </si>
  <si>
    <t>Les Grèves d'Estavayer-le-Lac–Chevroux</t>
  </si>
  <si>
    <t>Les Grèves de Chevroux–Portalban</t>
  </si>
  <si>
    <t>Les Grèves de Portalban–Cudrefin</t>
  </si>
  <si>
    <t>GE</t>
  </si>
  <si>
    <t>Vallon de la Laire</t>
  </si>
  <si>
    <t>La Laire</t>
  </si>
  <si>
    <t>sédiments peut-être exploités en amont</t>
  </si>
  <si>
    <t>notable (amont) et faible (aval)</t>
  </si>
  <si>
    <t>nul</t>
  </si>
  <si>
    <t>Vallon de l'Allondon</t>
  </si>
  <si>
    <t>L'Allondon</t>
  </si>
  <si>
    <t>Moulin de Vert</t>
  </si>
  <si>
    <t>Le Rhône</t>
  </si>
  <si>
    <t>très prononcée</t>
  </si>
  <si>
    <t>élevé (2020)</t>
  </si>
  <si>
    <t>Les Gravines</t>
  </si>
  <si>
    <t>La Versoix</t>
  </si>
  <si>
    <t>pas de signe majeur de perturbation du charriage</t>
  </si>
  <si>
    <t>faible</t>
  </si>
  <si>
    <t>nul?</t>
  </si>
  <si>
    <t>Vers Vaux</t>
  </si>
  <si>
    <t>GL</t>
  </si>
  <si>
    <t>Hinter Klöntal</t>
  </si>
  <si>
    <t>Chlü, Klöntalersee, Sulzbach</t>
  </si>
  <si>
    <t>sédiments probablement excploités à l'embuchure dans le lac</t>
  </si>
  <si>
    <t>sédiments probablement exploités en amont</t>
  </si>
  <si>
    <t>pas d'ouvrages dans le bassin versant</t>
  </si>
  <si>
    <t>keine Massnahmen</t>
  </si>
  <si>
    <t>Chrauchbach: Haris</t>
  </si>
  <si>
    <t>Chrauchbach</t>
  </si>
  <si>
    <t>keine Anlagen</t>
  </si>
  <si>
    <t>Gampeleggen–Richisau</t>
  </si>
  <si>
    <t>Chlü, Chlön</t>
  </si>
  <si>
    <t>Système alluvial du cours principal et des affluents paraissent naturel, mais cous d'eau encaissé</t>
  </si>
  <si>
    <t>Linth Delta</t>
  </si>
  <si>
    <t>Linth, Walensee</t>
  </si>
  <si>
    <t>GR</t>
  </si>
  <si>
    <t>Zizers-Mastril</t>
  </si>
  <si>
    <t>vernachlässigbar</t>
  </si>
  <si>
    <t>Trimmiser Rodauen Rhein</t>
  </si>
  <si>
    <t>Rhäzünser Rheinauen</t>
  </si>
  <si>
    <t>Hinterrhein</t>
  </si>
  <si>
    <t>présence d'un dépotoir à moins de 10 km et de plusieurs barrages en amont</t>
  </si>
  <si>
    <t>Cumparduns</t>
  </si>
  <si>
    <t>Albula, Hinterrhein</t>
  </si>
  <si>
    <t>Cauma</t>
  </si>
  <si>
    <t>Vorderrhein</t>
  </si>
  <si>
    <t>Plaun da Foppas</t>
  </si>
  <si>
    <t>Cahuons</t>
  </si>
  <si>
    <t>keine / vernachlässigbar</t>
  </si>
  <si>
    <t>Disla–Pardomat</t>
  </si>
  <si>
    <t>vernachlässigbar / besond. Verhält.</t>
  </si>
  <si>
    <t>Fontanivas–Sonduritg</t>
  </si>
  <si>
    <t>Gravas</t>
  </si>
  <si>
    <t>Ogna da Pardiala</t>
  </si>
  <si>
    <t>Ai Fornas</t>
  </si>
  <si>
    <t>Moesa</t>
  </si>
  <si>
    <t>charriage cours inférieur Moesa à documenter plus précisément</t>
  </si>
  <si>
    <t>Pascoletto</t>
  </si>
  <si>
    <t>Rosera</t>
  </si>
  <si>
    <t>Pomareda</t>
  </si>
  <si>
    <t>Canton</t>
  </si>
  <si>
    <t>Objet situé sous des gorges. Cours large, tendance à bras multiples (tresses). Mais proximité autoroute ne permet peut-être pas charriage naturel</t>
  </si>
  <si>
    <t>Pian di Alne</t>
  </si>
  <si>
    <t>Calancasca</t>
  </si>
  <si>
    <t>Strada</t>
  </si>
  <si>
    <t>Inn</t>
  </si>
  <si>
    <t>Plan-Sot</t>
  </si>
  <si>
    <t>Panas-ch–Resgia</t>
  </si>
  <si>
    <t>Charriage interrompu par ouvrage 3.5 km en amont, mais apport de 2 affluents (torrents)</t>
  </si>
  <si>
    <t>besond. Verhältnisse</t>
  </si>
  <si>
    <t>Lischana–Suronnas</t>
  </si>
  <si>
    <t>Pas de barrage visible en amont, usine hydroélectrique juste en aval</t>
  </si>
  <si>
    <t>2 barrages en amont à plus de 10 km</t>
  </si>
  <si>
    <t>Sotruinas</t>
  </si>
  <si>
    <t>Pas de barrage visible en amont, mais extractions en Haute Engadine</t>
  </si>
  <si>
    <t>Blaisch dal Piz dal Ras</t>
  </si>
  <si>
    <t>Susasca</t>
  </si>
  <si>
    <t>Extraction dans l'objets: 2 sites</t>
  </si>
  <si>
    <t>San Batrumieu</t>
  </si>
  <si>
    <t>Isla Glischa–Arvins–Seglias</t>
  </si>
  <si>
    <t>Inn, Chamuera</t>
  </si>
  <si>
    <t>Flaz</t>
  </si>
  <si>
    <t>Flaz, Inn</t>
  </si>
  <si>
    <t>II Rom Valchava-Graveras (Müstair)</t>
  </si>
  <si>
    <t>II Rom</t>
  </si>
  <si>
    <t>Rheinau</t>
  </si>
  <si>
    <t>Val Cristallina</t>
  </si>
  <si>
    <t>Rein da Cristallina</t>
  </si>
  <si>
    <t>Alp Val Tenigia</t>
  </si>
  <si>
    <t>Rein da Sumvitg</t>
  </si>
  <si>
    <t>L'ogna da Trun</t>
  </si>
  <si>
    <t>Surin-Lumbrein</t>
  </si>
  <si>
    <t>Glogn Glenner</t>
  </si>
  <si>
    <t>Inslas Grogn</t>
  </si>
  <si>
    <t>Gatgs Glogn</t>
  </si>
  <si>
    <t>Ruinaulta</t>
  </si>
  <si>
    <t>Rein Anteriur</t>
  </si>
  <si>
    <t>Wisshus</t>
  </si>
  <si>
    <t>Rabiusa</t>
  </si>
  <si>
    <t>Safien-Platz</t>
  </si>
  <si>
    <t>Luen Plessur</t>
  </si>
  <si>
    <t>Plessur</t>
  </si>
  <si>
    <t>Saas</t>
  </si>
  <si>
    <t>Landquart</t>
  </si>
  <si>
    <t>Sardasca</t>
  </si>
  <si>
    <t>Verstancla Bach</t>
  </si>
  <si>
    <t>Borgnovo</t>
  </si>
  <si>
    <t>Maira</t>
  </si>
  <si>
    <t>Cavril</t>
  </si>
  <si>
    <t>Orlegna</t>
  </si>
  <si>
    <t>Isola / Plan Grand</t>
  </si>
  <si>
    <t>Aua da Fedoz, Lei da Segl</t>
  </si>
  <si>
    <t>Ova da Roseg</t>
  </si>
  <si>
    <t>Trupchun</t>
  </si>
  <si>
    <t>Ova da Varusch, Ova da Trupchun</t>
  </si>
  <si>
    <t>Ova dal Fuorn</t>
  </si>
  <si>
    <t>Charriage très actif, système alluvial naturel</t>
  </si>
  <si>
    <t>Ravitschana</t>
  </si>
  <si>
    <t>Clemgia</t>
  </si>
  <si>
    <t>GR/TI</t>
  </si>
  <si>
    <t>Isola</t>
  </si>
  <si>
    <t xml:space="preserve">Objet derrière digue et autoroute. </t>
  </si>
  <si>
    <t>JU</t>
  </si>
  <si>
    <t>La Réchesse</t>
  </si>
  <si>
    <t>Le Doubs</t>
  </si>
  <si>
    <t>51-80% (charriage présumé perturbé)</t>
  </si>
  <si>
    <t>moyen/important</t>
  </si>
  <si>
    <t>Notre Office propose de rester à un déficit de 21-50%, comme établi dans le rapport de 2004.</t>
  </si>
  <si>
    <t xml:space="preserve"> Selon le rapport " Assainissement du régime de charriage - Planification stratégique - Bassin versant du Doubs" du 26.11.2014, validé par l'OFEV, le charriage est peu ou pas perturbé dans cette ZA. Aucun ouvrage n'y est recensé et ceux qui influencent le charriage se situent bien en amont de la ZA, dont notamment le Châtelot, le Refrain, la Goule, le Theusseret, etc. En comparaison à ce dernier ouvrage, qui retient environ 800 m3/ans, les 3 ouvrages latéraux du Doubs qui restent à assainir selon la planification stratégique jurassienne retiennent 50 m3/ans.</t>
  </si>
  <si>
    <t>e</t>
  </si>
  <si>
    <t>La Lomenne</t>
  </si>
  <si>
    <t>présent de 3 barrages à plus de 10 km de l'objet</t>
  </si>
  <si>
    <t xml:space="preserve">Les installations hydroélectriques de Moulin-Grillon se situent à l'extrémité aval de la ZA. Selon le rapport " Assainissement du régime de charriage - Planification stratégique - Bassin versant du Doubs", validée par l'OFEV, aucune mesure d'assainissement n'est prévue pour cet ouvrage.  Pour le reste, nos remarques sont identiques à celles formulées pour la ZA de la Réchesse </t>
  </si>
  <si>
    <t>Clairbief</t>
  </si>
  <si>
    <t>Charriage naturellement faible dans le Doubs</t>
  </si>
  <si>
    <t>Notre Office propose de ramener le déficit à 21-50%, de sorte à rester cohérent avec l'influence du charriage sur les 2 autres ZA.</t>
  </si>
  <si>
    <t>Remarques identiques que celles formulées pour la ZA de la Réchesse.</t>
  </si>
  <si>
    <t>LU</t>
  </si>
  <si>
    <t>Ämmenmatt</t>
  </si>
  <si>
    <t>Kleine Emme</t>
  </si>
  <si>
    <t>mittel (wesentlich)</t>
  </si>
  <si>
    <t>Unterer Schiltwald</t>
  </si>
  <si>
    <t>Rotbach</t>
  </si>
  <si>
    <t>Très petit cours d'eau. Charriage probablement naturellement faible. Système plus marécageux qu'alluvial</t>
  </si>
  <si>
    <t>Badhus–Graben</t>
  </si>
  <si>
    <t>Grosse Fontannen</t>
  </si>
  <si>
    <t xml:space="preserve">Rivière naturelle dans gorge. </t>
  </si>
  <si>
    <t>Entlental</t>
  </si>
  <si>
    <t>Entlen</t>
  </si>
  <si>
    <t>Système alluvial naturel. Débit et charriage naturels</t>
  </si>
  <si>
    <t>Flühli</t>
  </si>
  <si>
    <t>Hohwäldlibach, Rotbach, Waldemme</t>
  </si>
  <si>
    <t>stark/mittel/gering</t>
  </si>
  <si>
    <t>Attention: stark:60-80%; mittel=40-60% et gering=20-40%. J'ai repris la même catégorie que Hanus et al., vu que l'évaluation du canton couvre également cette catégorie</t>
  </si>
  <si>
    <t>NE</t>
  </si>
  <si>
    <t>La Ramée-Préfargier</t>
  </si>
  <si>
    <t>OW</t>
  </si>
  <si>
    <t>Schlierenrüti</t>
  </si>
  <si>
    <t>Grosse Schliere</t>
  </si>
  <si>
    <t>Städerried</t>
  </si>
  <si>
    <t>Alpnachersee, Chli Schliere, Sarner Aa</t>
  </si>
  <si>
    <t>Laui</t>
  </si>
  <si>
    <t>Gross Laui</t>
  </si>
  <si>
    <t>abzuklären</t>
  </si>
  <si>
    <t>Kiesausbeutung im Objekt vorhanden</t>
  </si>
  <si>
    <t>Steinibach</t>
  </si>
  <si>
    <t>Gerisbach, Sarnersee, Steinibach</t>
  </si>
  <si>
    <t>Exploitation de gravier présente devant l'objet,drague dans le lact</t>
  </si>
  <si>
    <t>OW/UR</t>
  </si>
  <si>
    <t>Alpenrösli–Herrenrüti</t>
  </si>
  <si>
    <t>Engelberger Aa</t>
  </si>
  <si>
    <t>SG</t>
  </si>
  <si>
    <t>Glatt nordwestlich Flawil</t>
  </si>
  <si>
    <t>Glatt</t>
  </si>
  <si>
    <t>gross</t>
  </si>
  <si>
    <t>oberer gelber Bereich ggf. tiefer (knapp 20% des Geschiebedargebotes)</t>
  </si>
  <si>
    <t>Geschiebedefizit aufgrund des vollständigen Rückhalts in der Anlage Buchholz</t>
  </si>
  <si>
    <t>Gillhof–Glattburg</t>
  </si>
  <si>
    <t>Thur</t>
  </si>
  <si>
    <t>non dét.</t>
  </si>
  <si>
    <t>Thurauen Wil-Weieren</t>
  </si>
  <si>
    <t>Thur und Necker bei Lütisburg</t>
  </si>
  <si>
    <t>Necker, Thur</t>
  </si>
  <si>
    <t>Altenrhein</t>
  </si>
  <si>
    <t>Bodensee</t>
  </si>
  <si>
    <t>Goldachtobel</t>
  </si>
  <si>
    <t>Goldach</t>
  </si>
  <si>
    <t>Système naturel (visité en 2011)</t>
  </si>
  <si>
    <t>Schilstal / Sand</t>
  </si>
  <si>
    <t>Fanbach, Furschbach, Schils</t>
  </si>
  <si>
    <t>Rheinau / Cholau</t>
  </si>
  <si>
    <t>Mülbach, Rhein</t>
  </si>
  <si>
    <t>Blau</t>
  </si>
  <si>
    <t>Ungenügende Schleppkraft; Aue ist GW-Beeinflusst</t>
  </si>
  <si>
    <t>Sarelli–Rosenbergli</t>
  </si>
  <si>
    <t>Geschiebedefizit stammt aus Kt. GR</t>
  </si>
  <si>
    <t>SG/TG</t>
  </si>
  <si>
    <t>Ghöggerhütte</t>
  </si>
  <si>
    <t>Resultat Kanton gemäss strat.Planung: 0-20 % Geschiebedefizit, d.h. Farbe blau (Spalte V)
c, e (Spalte W)</t>
  </si>
  <si>
    <t>Geschiebedefizit aufgrund des vollständigen Rückhalts in der Anlage Buchholz
Massnahmen in Bezug auf Geschiebe werden im Rahmen der Ausarbeitung des Thurrichtprojektes (Stufe Machbarkeit) zur Zeit erarbeitet</t>
  </si>
  <si>
    <t>SH</t>
  </si>
  <si>
    <t>Seldenhalde</t>
  </si>
  <si>
    <t>Wutach</t>
  </si>
  <si>
    <t>aucun ouvrages dans les 10 km dans la partie suisse</t>
  </si>
  <si>
    <t>nicht wesentlich</t>
  </si>
  <si>
    <t>Das Objekt Nr. 4 „Seldenhalde“ ist seit vielen Jahren ein Totalreservat in dem sich die Dynamik und die natürliche Waldentwicklung frei entfalten können. . Aufwertungsmassnahmen sind hier nicht notwendig. Unterhalb des bestehenden Schutzgebietes hat der Kanton Schaffhausen in den letzten Jahren umfangreiche Aufwertungsmassnahmen durchgeführt. Im Rahmen der aktuellen Revision der Biotopinventare ist vorgesehen, den Perimeter des Auenschutzgebietes auf diese Gebiete auszudehnen.</t>
  </si>
  <si>
    <t>Bibermüli</t>
  </si>
  <si>
    <t>Biber</t>
  </si>
  <si>
    <t>Das Objekt Nr. 342 „Bibermüli“ ist schmal und grenzt an intensiv genutzte Landwirtschaftsflächen. Der Kanton hat ein grosses Grundstück in der angrenzenden Landwirtschaftszone erworben. Die Äcker wurden stillgelegt und es ist vorgesehen, zwei Flachweiher anzulegen. Im Mündungsbereich der biber in den Rhein wurde bereits vor ein paar Jahren eine grosse Flutmulde auf Ackerland angelegt.</t>
  </si>
  <si>
    <t>SH/ZH</t>
  </si>
  <si>
    <t>Eggrank–Thurspitz</t>
  </si>
  <si>
    <t>Rhein, Thur</t>
  </si>
  <si>
    <t>unverhältnismässig</t>
  </si>
  <si>
    <t>Thur: naturel (ZH); Rhein: faible (ZH) ou wesentlich (SH).</t>
  </si>
  <si>
    <t>Der Schaffhauser Teil des Objekts Nr.5 „ Eggrank-Thurspitz“ ist keine natürliche Flussaue. Es handelt sich um einem künstlichen „Altlauf“, mehrere Teiche und zwei Inseln, die durch den Längsdamm, der vor mehr als 100 Jahren gebaut wurde, vom Rhein abgetrennt wird. In dem Gebiet hat sich eine sehr hohe Biodiversität entwickelt. Es ist deshalb nicht vorgesehen, den Längsdamm zu entfernen. Das wäre auch aus politischen Gründen nicht machbar. Die AXPO in den letzten Jahren im Gebiet umfangreiche Aufwertungsmassnahen realisiert. Weitere Aufwertungsmassnahmen sind nicht vorgesehen.</t>
  </si>
  <si>
    <t>SO</t>
  </si>
  <si>
    <t>Emmenschachen</t>
  </si>
  <si>
    <t>Aare, Emme</t>
  </si>
  <si>
    <t>mittel/sehr stark</t>
  </si>
  <si>
    <t>Ja (-)</t>
  </si>
  <si>
    <t>Hochwasserschutzprojekt Emme in Realisierung  (Kontakt: Ropger Dürrenmatt, Amt für Umwelt, Tel. 032 627 27 67; roger.duerrenmatt@bd.so.ch)</t>
  </si>
  <si>
    <t>SZ</t>
  </si>
  <si>
    <t>Tristel</t>
  </si>
  <si>
    <t>Muota</t>
  </si>
  <si>
    <t>Die Muota hat ein Geschiebedefizit. Deshalb tieft sie sich u.a. im Bereich Tristel ein. Dies hat eine verminderte Überflutungs- und Geschiebedynamik im Auengebiet zur Folge.</t>
  </si>
  <si>
    <t>Aahorn</t>
  </si>
  <si>
    <t>Obersee, Wägitaler-Aa</t>
  </si>
  <si>
    <t>Die Wägitaler Aa bringt im Bereich Aahorn oftmals kein Restwasser. Die Überflutungs- und Geschiebedynamik ist dadurch und durch die Kraftwerknutzung beeinträchtigt.</t>
  </si>
  <si>
    <t>Muotathal</t>
  </si>
  <si>
    <t>dépotoir</t>
  </si>
  <si>
    <t>Objekt wurde nicht ins nationale Inventar aufgenommen (es handelt sich um einen Geschiebesammler) - streichen</t>
  </si>
  <si>
    <t>SZ/ZG</t>
  </si>
  <si>
    <t>Biber im Ägeriried</t>
  </si>
  <si>
    <t>TG</t>
  </si>
  <si>
    <t>Schäffäuli</t>
  </si>
  <si>
    <t>Resultat Kanton gemäss strat.Planung: 0-20 % Geschiebedefizit, d.h. Farbe blau (Spalte V)
e (Spalte W)</t>
  </si>
  <si>
    <t>keine Massnahmen erforderlich, da seit 2002 der Auenwald nicht mehr vor der Thur geschützt ist</t>
  </si>
  <si>
    <t>Wuer</t>
  </si>
  <si>
    <t>Massnahmen in Bezug auf Geschiebe werden im Rahmen der Ausarbeitung des Thurrichtprojektes (Stufe Machbarkeit) zur Zeit erarbeitet</t>
  </si>
  <si>
    <t>Hau–Äuli</t>
  </si>
  <si>
    <t>Murg, Thur</t>
  </si>
  <si>
    <t>Wyden bei Pfyn</t>
  </si>
  <si>
    <t>Unteres Ghögg</t>
  </si>
  <si>
    <t>TI</t>
  </si>
  <si>
    <t>Bosco dei Valloni</t>
  </si>
  <si>
    <t>Ticino</t>
  </si>
  <si>
    <t>Soria</t>
  </si>
  <si>
    <t>Geròra</t>
  </si>
  <si>
    <t>Albinasca</t>
  </si>
  <si>
    <t>Bolla di Loderio</t>
  </si>
  <si>
    <t>Brenno</t>
  </si>
  <si>
    <t>Brenno di Blenio</t>
  </si>
  <si>
    <t>Campall</t>
  </si>
  <si>
    <t>Brenno del Lucomagno</t>
  </si>
  <si>
    <t>Bassa</t>
  </si>
  <si>
    <t>Charriage faible, cours rectiligne</t>
  </si>
  <si>
    <t>négligeable</t>
  </si>
  <si>
    <t>21-50% choisi: voir  157-158</t>
  </si>
  <si>
    <t>Boschetti</t>
  </si>
  <si>
    <t>important</t>
  </si>
  <si>
    <t>Ciossa Antognini</t>
  </si>
  <si>
    <t>Bolle di Magadino</t>
  </si>
  <si>
    <t>Lago Maggiore, Ticino, Verzasca</t>
  </si>
  <si>
    <t>Saleggio</t>
  </si>
  <si>
    <t>Maggia</t>
  </si>
  <si>
    <t>A cause des stabilisations de berges</t>
  </si>
  <si>
    <t xml:space="preserve">Le osservazioni del SCZA possono pertanto essere considerate soddisfatte dalla Pianificazione delle rivitalizzazioni. </t>
  </si>
  <si>
    <t>un barrage situé à proximité de la zone alluviale</t>
  </si>
  <si>
    <t>A cause des stabilisations de berges et extraction de gravier des affluents</t>
  </si>
  <si>
    <t>Impact dépotoires est négligeable.</t>
  </si>
  <si>
    <t>Somprei–Lovalt</t>
  </si>
  <si>
    <t>Visite 16.11.11 avec G. Carraro: incision de 2 m. Ouvrages hydroélectriques en amont.</t>
  </si>
  <si>
    <t>nous maquons d'arguments pour conserver l'évaluation initiale</t>
  </si>
  <si>
    <t xml:space="preserve">Al momento attuale non disponiamo di sufficienti dati per poter definire l’entità del pregiudizio al trasporto solido. In termini generali vale quanto sopra esposto in merito all’assenza di importanti opere di trattenuta del materiale. </t>
  </si>
  <si>
    <t>Sonlèrt–Sabbione</t>
  </si>
  <si>
    <t>Bavona</t>
  </si>
  <si>
    <t>Peu d'extraction connue dans Val Bavona, débit eau très faible</t>
  </si>
  <si>
    <t>3 barrages présens à moins de 10 km</t>
  </si>
  <si>
    <t>nul et faible</t>
  </si>
  <si>
    <t>Foce della Maggia</t>
  </si>
  <si>
    <t>Lago Maggiore, Maggia</t>
  </si>
  <si>
    <t>Madonna del Piano</t>
  </si>
  <si>
    <t>Tresa</t>
  </si>
  <si>
    <t>Alimentation par le Lac de Lugano 2 km en amont. Pas d'affluent. Charraige naturellement faible.</t>
  </si>
  <si>
    <t>non évalué</t>
  </si>
  <si>
    <t>Ghirone</t>
  </si>
  <si>
    <t>Brenno della Greina</t>
  </si>
  <si>
    <t>Chiggiogna–Lavorgo</t>
  </si>
  <si>
    <t>moyen</t>
  </si>
  <si>
    <t>Biaschina–Giornico</t>
  </si>
  <si>
    <t>Charriage interrompu (usage hydroélectrique). Gros déficit de sédiment et d'eau</t>
  </si>
  <si>
    <t>Fontane</t>
  </si>
  <si>
    <t>Orino</t>
  </si>
  <si>
    <t>Grand bassin versant naturel. Système alluvial et charriage semblent naturel, mais influence sur le débit.</t>
  </si>
  <si>
    <t>Madra</t>
  </si>
  <si>
    <t>Calnegia</t>
  </si>
  <si>
    <t>Fiume Calnegia</t>
  </si>
  <si>
    <t>Système d'altitude naturel, gros sédiments, charriage actif</t>
  </si>
  <si>
    <t>Mött di Tirman</t>
  </si>
  <si>
    <t>Rio Colobiasca</t>
  </si>
  <si>
    <t>Sonogno–Brione</t>
  </si>
  <si>
    <t>Verzasca</t>
  </si>
  <si>
    <t>Ruscada</t>
  </si>
  <si>
    <t>Boggera</t>
  </si>
  <si>
    <t>Vezio–Aranno</t>
  </si>
  <si>
    <t>Magliasina</t>
  </si>
  <si>
    <t>Caslano</t>
  </si>
  <si>
    <t>Lago di Lugano, Magliasina</t>
  </si>
  <si>
    <t>Genestrerio</t>
  </si>
  <si>
    <t>Laveggio</t>
  </si>
  <si>
    <t>Petit cours d'eau. Pas de perturbation visible sur Google</t>
  </si>
  <si>
    <t>Lodrino–Iragna</t>
  </si>
  <si>
    <t>UR</t>
  </si>
  <si>
    <t>Reussdelta</t>
  </si>
  <si>
    <t>Reuss, Urnersee</t>
  </si>
  <si>
    <t>Stössi</t>
  </si>
  <si>
    <t>Chärstelenbach</t>
  </si>
  <si>
    <t>Widen bei Realp</t>
  </si>
  <si>
    <t>Furkareuss</t>
  </si>
  <si>
    <t>Grosstal</t>
  </si>
  <si>
    <t>Isitaler Bach</t>
  </si>
  <si>
    <t>Système naturel, pas de perturbation en amont</t>
  </si>
  <si>
    <t>LangHütte</t>
  </si>
  <si>
    <t>Bocki Bach</t>
  </si>
  <si>
    <t>Unterschächen–Spiringen</t>
  </si>
  <si>
    <t>Schächen</t>
  </si>
  <si>
    <t>Altboden</t>
  </si>
  <si>
    <t>Gorenzmettlenbach</t>
  </si>
  <si>
    <t xml:space="preserve">Zone alluviale des vallées lattérales de la Reuss. Beaucoup de sédiments, mais creusage mécanique régulier du cours d'eau </t>
  </si>
  <si>
    <t>Gorneren</t>
  </si>
  <si>
    <t>Gornerbach</t>
  </si>
  <si>
    <t>Stäuberboden</t>
  </si>
  <si>
    <t>Unteralp</t>
  </si>
  <si>
    <t>Unteralpreuss</t>
  </si>
  <si>
    <t>VD</t>
  </si>
  <si>
    <t>Sagnes de la Burtignière</t>
  </si>
  <si>
    <t>L'Orbe</t>
  </si>
  <si>
    <t>?????</t>
  </si>
  <si>
    <t>non</t>
  </si>
  <si>
    <t>Prélèvements d'eau côté français ont une influence sur le débit de l'Orbe</t>
  </si>
  <si>
    <t>La Sarine près Château-d'Oex</t>
  </si>
  <si>
    <t>aucun</t>
  </si>
  <si>
    <t>Plan de gestion fait</t>
  </si>
  <si>
    <t>Grand Bataillard</t>
  </si>
  <si>
    <t>Etude genenoise en vue adaptation prélèvements d'eau dans le Brassu. Si ces prèlèvements se font, ce sera au détriment de la Versoix. Contact Franck Pidoux</t>
  </si>
  <si>
    <t>Embouchure de l'Aubonne</t>
  </si>
  <si>
    <t>L'Aubonne</t>
  </si>
  <si>
    <t>Charriage parait bien fonctionner selon géomorphologie du cours d'eau (grands bancs de graviers, extraction régulières du delta). Mais barrage en amont et peut-être aussi extraction</t>
  </si>
  <si>
    <t>aucune</t>
  </si>
  <si>
    <t>Les Iles de Bussigny</t>
  </si>
  <si>
    <t>La Venoge</t>
  </si>
  <si>
    <t>A ma connaissance, pas de perturbation du charriage à la Venoge. Dominance alluvions sableuses, un peu de gravier</t>
  </si>
  <si>
    <t>La Roujarde</t>
  </si>
  <si>
    <t>pas d'ouvrage connu dans le bassin versant</t>
  </si>
  <si>
    <t>Bois de Vaux</t>
  </si>
  <si>
    <t>Venoge: Cours rectiligne entre 2 digues. Pas de dépôt de sédiment. Charriage perturbé par endiguement. Objet: bras mort, système marécageux, charriage non pertinent</t>
  </si>
  <si>
    <t>Aucune remobilisation des sédiments n'est possible (rives stabilisées) mais charriage intact</t>
  </si>
  <si>
    <t>Les Grangettes</t>
  </si>
  <si>
    <t>Le Rhône, Grand Canal, Lac Léman</t>
  </si>
  <si>
    <t>Iles des Clous</t>
  </si>
  <si>
    <t>Le Rhône, Grand Canal</t>
  </si>
  <si>
    <t>voir projet de 3ème correction du Rhône (R3), mesure prioritaire Chablais</t>
  </si>
  <si>
    <t>Les Grèves de Concise</t>
  </si>
  <si>
    <t>Les Grèves de Grandson–Bonvillars–Onnens</t>
  </si>
  <si>
    <t>Les Grèves d'Yverdon–des Tuileries</t>
  </si>
  <si>
    <t>Les Grèves d'Yverdon–Yvonand</t>
  </si>
  <si>
    <t>Les Grèves du Chablais de Cudrefin</t>
  </si>
  <si>
    <t>Lac de Neuchâtel, La Broye</t>
  </si>
  <si>
    <t>Les Monod</t>
  </si>
  <si>
    <t>Le Veyron</t>
  </si>
  <si>
    <t>La Torneresse à l'Etivaz</t>
  </si>
  <si>
    <t>La Torneresse</t>
  </si>
  <si>
    <t>Charriage naturel en amont. Gros apport dans l'objet pas affluent (torrent le Bourrati)</t>
  </si>
  <si>
    <t>Les Iles de Bogis</t>
  </si>
  <si>
    <t>La Lovataire - La Venoge</t>
  </si>
  <si>
    <t xml:space="preserve">voir étude dans le cadre du projet de renaturation de l'embouchure pilotée par DGE-EAU. </t>
  </si>
  <si>
    <t>Solalex</t>
  </si>
  <si>
    <t>L'Avançon d'Anzeindaz</t>
  </si>
  <si>
    <t>Charriage très important. Beau système tressé. Chenal-pilote très profond. Extraction en aval objet (dans objet)</t>
  </si>
  <si>
    <t>oui</t>
  </si>
  <si>
    <t>voir projet de renaturation</t>
  </si>
  <si>
    <t>Embouchure de la Broye</t>
  </si>
  <si>
    <t>La Broye, Lac de Morat</t>
  </si>
  <si>
    <t>Embouchure du Chandon</t>
  </si>
  <si>
    <t>Le Chandon, Lac de Morat</t>
  </si>
  <si>
    <t>Charriage de sédiments fins probablement actif. Pas d'extraction. Delta semble en progression</t>
  </si>
  <si>
    <t>VS</t>
  </si>
  <si>
    <t>Source du Trient</t>
  </si>
  <si>
    <t>Le Trient</t>
  </si>
  <si>
    <t>Image google : cours en tresses. Large. Bcp de sédiments. Extraction non exclues en aval de l'objet</t>
  </si>
  <si>
    <t>dépotoir en aval, pas d'ouvrage en amont</t>
  </si>
  <si>
    <t>Lotrey</t>
  </si>
  <si>
    <t>La Borgne</t>
  </si>
  <si>
    <t>atteinte significative</t>
  </si>
  <si>
    <t>mesure prévue</t>
  </si>
  <si>
    <t>Quantité de sédiments adéquate, mais il y a un problème de débit de restitution. Assainissement du captage prévu.</t>
  </si>
  <si>
    <t>Pramousse–Satarma</t>
  </si>
  <si>
    <t>La Borgne d'Arolla</t>
  </si>
  <si>
    <t>pas atteinte significative</t>
  </si>
  <si>
    <t>pas de mesure prévue à proximité de la ZA</t>
  </si>
  <si>
    <t>La Borgne en amont d'Arolla</t>
  </si>
  <si>
    <t>Salay</t>
  </si>
  <si>
    <t>La Borgne de Ferpècle</t>
  </si>
  <si>
    <t>Ferpècle</t>
  </si>
  <si>
    <t>Derborence</t>
  </si>
  <si>
    <t>La Lizerne, Lac de Derborence</t>
  </si>
  <si>
    <t>Charriage très actif sur cône d'alluvions. Ouvrages correctifs en amont du cône d'alluvions, dégagement de la route, sinon pas d'extraction</t>
  </si>
  <si>
    <t>Pfynwald</t>
  </si>
  <si>
    <t>Rhone</t>
  </si>
  <si>
    <t>pas de mesure prévue</t>
  </si>
  <si>
    <t>Tännmattu</t>
  </si>
  <si>
    <t>Lonza</t>
  </si>
  <si>
    <t>Charriage très actif, très grossier, très forte dynamique; entretien du cours d'eau (chenal-pilote) mais système tressé presque intact (visite sur place du 17.7.13)</t>
  </si>
  <si>
    <t>Chiemadmatte</t>
  </si>
  <si>
    <t>Grund</t>
  </si>
  <si>
    <t>Ganterbach, Nesselbach, Saltina, Taferna</t>
  </si>
  <si>
    <t>Confluence de 3 cours d'eau dont le charriage paraît actif. Extraction de sédiments ?</t>
  </si>
  <si>
    <t>Bilderne</t>
  </si>
  <si>
    <t>Rotten</t>
  </si>
  <si>
    <t>Barrage juste en dessus de l'objet</t>
  </si>
  <si>
    <t>pas de mesure prévue (assainissement dépotoirs vallées latérales)</t>
  </si>
  <si>
    <t>Atteinte significative car il y a beaucoup de prélèvements sur les affluents. Assainissement des affluents est d'ailleurs envisagé.</t>
  </si>
  <si>
    <t>Zeiterbode</t>
  </si>
  <si>
    <t>Matte</t>
  </si>
  <si>
    <t>Sand</t>
  </si>
  <si>
    <t>Goneri, Lengesbach, Rotten</t>
  </si>
  <si>
    <t>Godey-Derborence</t>
  </si>
  <si>
    <t>La Lizerne</t>
  </si>
  <si>
    <t>Google : beau système en tresses</t>
  </si>
  <si>
    <t>Jegisand</t>
  </si>
  <si>
    <t>Bietschbach</t>
  </si>
  <si>
    <t>Google : beau système en tresses à proximité du relief (cours supérieur)</t>
  </si>
  <si>
    <t>Schweif</t>
  </si>
  <si>
    <t>Gerewasser</t>
  </si>
  <si>
    <t>Google: cônes d'éboulis, cours supérieur nature</t>
  </si>
  <si>
    <t>Prayon</t>
  </si>
  <si>
    <t>La Dranse de Ferret</t>
  </si>
  <si>
    <t>Google: lit large, beau système de tresses à proximité relief (cours supérieur), barrage La Fouly, mais purges fréquentes, bcp apport sédiments par affluents, crues intactes</t>
  </si>
  <si>
    <t>Praz de Fort</t>
  </si>
  <si>
    <t>idem 332. Extraction de sédiments et chenal-pilote en aval de l'objet entraine incision sur 500 m en amont</t>
  </si>
  <si>
    <t>Plat de la Lé</t>
  </si>
  <si>
    <t>La Navisence</t>
  </si>
  <si>
    <t>Google: beau système de tresses à proximité relief (cours supérieur). Extraction de sédiments et chenal-pilote en aval de l'objet entraine modification importante de la géomorphologie</t>
  </si>
  <si>
    <t>Taschalpen</t>
  </si>
  <si>
    <t>Mellichbach, Täschbach</t>
  </si>
  <si>
    <t>Cours supérieur, naturel sinueux, tendance tresses, apparemment pas d'ouvrage en amont</t>
  </si>
  <si>
    <t>Zwischenberg</t>
  </si>
  <si>
    <t>Zwischbergenbach</t>
  </si>
  <si>
    <t>ZG</t>
  </si>
  <si>
    <t>Frauental</t>
  </si>
  <si>
    <t>Lorze</t>
  </si>
  <si>
    <t>Charriage probablement naturellement faible</t>
  </si>
  <si>
    <t>barrage à moins de 2 km</t>
  </si>
  <si>
    <t>Die Lorze unterhalb des Zugersees ist geschiebelos, da sie den Ausfluss des Zugersees bildet und über keine nennenswerten Zuflüsse verfügt. Die wenigen Zuflüsse wie Wasenbächli und Tobelbach entwässern flache Ried- und Meliorationsgebiete und erodieren nur sehr wenig Feinsediment aus de Sohle. Der theoretische Austrag aus der Sohle und aus Böschungen der Lorze selbst ist zu vernachlässigen, da die Abflussschwankungen und damit die Erosionskraft durch die Dämpfung des Zugersees gering sind.</t>
  </si>
  <si>
    <t>ZH</t>
  </si>
  <si>
    <t>Freienstein–Tössegg</t>
  </si>
  <si>
    <t>Töss</t>
  </si>
  <si>
    <t>Rivière sur molase. Naturellement peu de charriage</t>
  </si>
  <si>
    <t xml:space="preserve">cours complétement endigué en amont avec de nombreux seuils </t>
  </si>
  <si>
    <t>Dättlikon–Freienstein</t>
  </si>
  <si>
    <t>cours complètement endigué abec de nombreux seuils à l'amont</t>
  </si>
  <si>
    <t>Oberglatt</t>
  </si>
  <si>
    <t>BAFU/BIOP: Prioritées d'assainissement ***</t>
  </si>
  <si>
    <t>KANTONE: Revitalisierung</t>
  </si>
  <si>
    <t>KANTONE: Geschiebe</t>
  </si>
  <si>
    <t>Änderungen Prioritées d'assainissement</t>
  </si>
  <si>
    <t>Inventar ObjNr</t>
  </si>
  <si>
    <t>Name</t>
  </si>
  <si>
    <t>Kanton</t>
  </si>
  <si>
    <t>Gewässer</t>
  </si>
  <si>
    <t>Charriage / Geschiebe</t>
  </si>
  <si>
    <t>Débit / Abfluss</t>
  </si>
  <si>
    <t>Eclusée / Schwall-Sunk</t>
  </si>
  <si>
    <t>Revitalisation / Revitalisierung</t>
  </si>
  <si>
    <t>Öko. Pot.</t>
  </si>
  <si>
    <t>Nutzen für N+L</t>
  </si>
  <si>
    <t>Priorität</t>
  </si>
  <si>
    <t>Handlungsbedarf (Beeinträchtigung nach MN)</t>
  </si>
  <si>
    <t>Quelle / Begründung</t>
  </si>
  <si>
    <r>
      <t xml:space="preserve">Bemerkungen </t>
    </r>
    <r>
      <rPr>
        <sz val="10"/>
        <rFont val="Arial"/>
        <family val="2"/>
      </rPr>
      <t>(Klassierung unterhalb/oberhalb, Fragen, bekannte Projekte, etc.)</t>
    </r>
  </si>
  <si>
    <t>Potentiellement affecté mais non plausible / möglicherweise betroffen aber nicht nachweisbar</t>
  </si>
  <si>
    <t>Partiellement nécessaire, facile / teilweise nötig, einfach</t>
  </si>
  <si>
    <t>mittel</t>
  </si>
  <si>
    <t>Non affecté / nicht betroffen</t>
  </si>
  <si>
    <t>Partiellement nécessaire, difficile / teilweise nötig, schwierig</t>
  </si>
  <si>
    <t>gross / mittel</t>
  </si>
  <si>
    <t>gross/gering</t>
  </si>
  <si>
    <t>20 Jahre: 3. Drittel</t>
  </si>
  <si>
    <t>REVIT: MN am Rhein: 1 Abschnitt in den nächsten 20 Jahren (Aufweitung);langfristige MN (80 Jahre) oberhalb Perimeter (Auenaufwertung)</t>
  </si>
  <si>
    <t>20 Jahre: 1. Drittel</t>
  </si>
  <si>
    <t>Interkantonale Aareplanung; REVIT: MN mit hoher Priorität im Bereich Mündung in den Rhein (Auenaufwertung), Klingnauer Stausee (Seitengerinne erstellen) und an der Aare oberhalb des Stausees (Damm rückversetzen linksufrig), GESCHIEBE: Stauabsenkung Klingnauers Stausee, Kiesschüttung Koblenz</t>
  </si>
  <si>
    <t>41-60%</t>
  </si>
  <si>
    <t>Interkantonale Aareplanung; REVIT: MN mit hoher Prio an der aare gleich unterhalb Auenperimeter (Gerinne strukturieren),GESCHIEBE: Alle MN ab KW Ruppoldingen (Stauabsenkung KW Ruppoldingen, Kiesschüttungen Olten, Aarau, Wildischachen, Rückbau Dachwehr KW Wildegg-Brugg)</t>
  </si>
  <si>
    <t>20 Jahre: 2. Drittel</t>
  </si>
  <si>
    <t>Interkantonale Aareplanung; REVIT: MN über den ganzen Perimeter (Auenaufwertung); GESCHIEBE: Alle MN ab KW Ruppoldingen (Stauabsenkung KW Ruppoldingen, Kiesschüttungen Olten, Aarau, Wildischachen, Rückbau Dachwehr KW Wildegg-Brugg)</t>
  </si>
  <si>
    <t>???</t>
  </si>
  <si>
    <t>Kant. Planung</t>
  </si>
  <si>
    <t>REVIT: langfristige MN (80 Jahre) gleich unterhalb Auenperimeter (Uferverbau entfernen rechtsufrig, Aufweitung)</t>
  </si>
  <si>
    <t>Très nécessaire, facile / unbedingt nötig, einfach</t>
  </si>
  <si>
    <t>Très nécessaire, difficile / unbedingt nötig, schwierig</t>
  </si>
  <si>
    <t>gross / mittel / gering</t>
  </si>
  <si>
    <t>REVIT: MN mit hoher Prio im untersten Abschnitt des Perimeters (Seitengerinne erstellen)</t>
  </si>
  <si>
    <t>AG, ZH</t>
  </si>
  <si>
    <t>REVIT: MN mit hoher Prio im Bereich der Mündung des Jonen (Ufer-/Sohlverbau entfernen, Aufweitung)</t>
  </si>
  <si>
    <t>AG, ZG, ZH</t>
  </si>
  <si>
    <t>REVIT: MN mit hoher Prio auf einem kurzen Abschnitt am oberen Ende des Auenperimeters (Uferverbau entfernen)</t>
  </si>
  <si>
    <t>langfristig (80 Jahre)</t>
  </si>
  <si>
    <t>100%</t>
  </si>
  <si>
    <t>gross / gering</t>
  </si>
  <si>
    <t>REVIT: MN im oberen Drittel (Ufer-/Sohlverbau entfernen, Aufweitung) und im untersten Abschnitt (Gerinne strukturieren) des Perimeters</t>
  </si>
  <si>
    <t>Aarau-Rupperswil</t>
  </si>
  <si>
    <t>tw. nötig</t>
  </si>
  <si>
    <t>Régime présumé naturel (100%) / Abfluss vermutlich natürlich</t>
  </si>
  <si>
    <t>Non nécessaire / nicht nötig</t>
  </si>
  <si>
    <t>GESCHIEBE: gemäss Bericht keine Anlagen oberhalb Auenobjekt</t>
  </si>
  <si>
    <t>AR</t>
  </si>
  <si>
    <t>AR, SG</t>
  </si>
  <si>
    <t>REVIT: Nutzen gross auf sehr kurzem Abschnitt eines Zufluss (Hirzenbach); GESCHIEBE: gemäss Bericht keine Anlagen oberhalb Auenobjekt</t>
  </si>
  <si>
    <t>MN-Nr.</t>
  </si>
  <si>
    <t>hoch</t>
  </si>
  <si>
    <t>Emme (Emmenmatt-Geralfingen): REVIT: Massnahmen an noch nicht bekannten Teilstrecken</t>
  </si>
  <si>
    <t>gross/mittel</t>
  </si>
  <si>
    <t>hoch / mittel</t>
  </si>
  <si>
    <t>Interkantonale Aareplanung; REVIT:  Priorität hoch: südlich Nidau-Büren-Kanal, Alte Aare (Aarberg- Nidau-Büren-Kanal): Massnahmen an noch nicht bekannten Teilstrecken / Priorität mittel: nördlich Nidau-Büren-Kanal, Massnahmen an noch nicht bekannten Teilstrecken</t>
  </si>
  <si>
    <t>330/324</t>
  </si>
  <si>
    <t>wenig</t>
  </si>
  <si>
    <t>ursprüngliche Geschiebedynamik als Referenz nicht mehr möglich</t>
  </si>
  <si>
    <t>REVIT: Alte Aare (Aarberg- Nidau-Büren-Kanal): Massnahmen an noch nicht bekannten Teilstrecken</t>
  </si>
  <si>
    <t>Potentiellement affecté / möglicherweise betroffen</t>
  </si>
  <si>
    <t>hoch (nur im oberen Teil der Aue)</t>
  </si>
  <si>
    <t>REVIT: hoch: Aare (Wohlensee - Oltigen): Massnahmen an noch nicht bekannten Teilstrecken</t>
  </si>
  <si>
    <t>BE, FR</t>
  </si>
  <si>
    <t>hoch (nur im untersten Abschnitt)</t>
  </si>
  <si>
    <t>REVIT: grosse Priorität im untersten Abschnitt (Mündung Schwarzwasser-Riederen)</t>
  </si>
  <si>
    <t>mittel  (oberster Abschnitt bis Wislisau)</t>
  </si>
  <si>
    <t>REVIT: Nutzen gross im Bereich Wislisau</t>
  </si>
  <si>
    <t>REVIT: Grosses Potential für Revitalisierung. Umsetzung vor 2035 nicht realistisch.</t>
  </si>
  <si>
    <t>gross (nur Aare)</t>
  </si>
  <si>
    <t>hoch (nur Aare)</t>
  </si>
  <si>
    <t>REVIT: Priorität hoch: Aare (Münsingen-Muri): Massnahmen an noch nicht bekannten Teilstrecken -&gt; abgedeckt durch Projekt Aarewasser; Aufwertung Selhofen-Zopfen wird momentan umgesetzt.</t>
  </si>
  <si>
    <t>REVIT: Priorität hoch: Abschnitt Kander oberhalb Mündung Simme</t>
  </si>
  <si>
    <t>gross (nur Kander)</t>
  </si>
  <si>
    <t>hoch (nur Kander)</t>
  </si>
  <si>
    <t>Kant. Planung, MN umgesetzt</t>
  </si>
  <si>
    <t>REVIT: Priorität hoch: Kander (Frutigen-Mündung Simme): Massnahmen an noch nicht bekannten Teilstrecken; GESCHIEBE: MN aus GRP Kander bereits umgesetzt (keine weiteren MN)</t>
  </si>
  <si>
    <t>mittel (nur Kander)</t>
  </si>
  <si>
    <t>mittel (nur Simme)</t>
  </si>
  <si>
    <t>REVIT: Priorität hoch: Simme ab Mitte Auenobjekt, Brünnlisougräbli, weiteres Nebengewässer; oberer Teil Simme: grosses Potential für Revitalisierung. Umsetzung vor 2035 nicht realistisch.</t>
  </si>
  <si>
    <t>117/116</t>
  </si>
  <si>
    <t>REVIT: Unterhalb Auengebiet: Grosses Potential für Revitalisierung. Umsetzung vor 2035 nicht realistisch.</t>
  </si>
  <si>
    <t>REVIT: Priorität hoch: Aare (Unterseen-Brienzersee)</t>
  </si>
  <si>
    <t>REVIT: Priorität hoch: Weisse Lütschine, Schwarze Lütscheine ab Mündung Weisse Lütschine</t>
  </si>
  <si>
    <t>REVIT: Priorität hoch: Oltschikanal ausserhalb Perimeter</t>
  </si>
  <si>
    <t>mittel/gering</t>
  </si>
  <si>
    <t>REVIT: Priorität hoch: Hüsenbach; Priorität mittel: Hasliaare</t>
  </si>
  <si>
    <t>21-40%</t>
  </si>
  <si>
    <t>BE, NE</t>
  </si>
  <si>
    <t>Seeufer</t>
  </si>
  <si>
    <t>natürlich?</t>
  </si>
  <si>
    <t>Interkantonale Aareplanung;  Keine relevanten Geschiebezubringer nach Bielersee.</t>
  </si>
  <si>
    <t>61-80%</t>
  </si>
  <si>
    <t>REVIT: Aufwertung im Rahmen des Neubau KW Hagneck?</t>
  </si>
  <si>
    <t>REVIT: Priorität mittel: Biberze oberhalb Mündung ins Schwarzwasser</t>
  </si>
  <si>
    <t>REVIT: im unteren Teil des Auengebietes</t>
  </si>
  <si>
    <t xml:space="preserve">mittel </t>
  </si>
  <si>
    <t>REVIT: Priorität mittel: Rychenbach, Leiberengräbli</t>
  </si>
  <si>
    <t>REVIT: Mündungsbereich Potenzial gross</t>
  </si>
  <si>
    <t>BL</t>
  </si>
  <si>
    <t>Zwingen-Brislach</t>
  </si>
  <si>
    <t>FR, VD</t>
  </si>
  <si>
    <t>trop loin de FR. BRO.1?</t>
  </si>
  <si>
    <t>natürlich</t>
  </si>
  <si>
    <t>tief</t>
  </si>
  <si>
    <t>mittel/hoch</t>
  </si>
  <si>
    <t>natürlich/mittel</t>
  </si>
  <si>
    <t>Delta, z. T. auch Seeaue. Nur 1/2 Flüssen im System berücksichtigt.</t>
  </si>
  <si>
    <t>faible et moyen</t>
  </si>
  <si>
    <t>élevée et faible</t>
  </si>
  <si>
    <t>REVITALISATION: écomorphologie considérée naturelle pour la plupart de la ZA. Le bénéfice est donc faible. La priorité de revitalisation est quand même élevée sur la plupart de la zone. Type de revitalisation prévue:" restauration de la dynamique alluviale et reconnexion du lit et des berges" (mesure R.02.71.11).</t>
  </si>
  <si>
    <t>élevée et nulle</t>
  </si>
  <si>
    <t>REVITALISATION: écomorphologie considérée naturelle pour la plupart de la ZA. Le bénéfice est donc faible. La priorité de revitalisation est quand même élevée sur la plupart de la zone. Type de revitalisation prévue:" restauration de la dynamique alluviale et reconnexion du lit et des berges" (mesure R.02.84.41). REMARQUE: MODIFIER EVALUATION "BESOINS VALORISATION ZA" EN "TRES NECESSAIRE, FACILE".</t>
  </si>
  <si>
    <t>faible et nulle</t>
  </si>
  <si>
    <t>Charriage assaini dans le Rhône, mais la zone n'est pas directement reliée au fleuve</t>
  </si>
  <si>
    <t>REVITALISATION: Seulement quelques tronçons concernés. Travaux en cours pour "Aménagement du chenal de liaison entre le  Rhône et l'étang ouest du Moulin-de-Vert". CHARRIAGE: Charriage assaini dans le Rhône, mais selon nos connaissances la zone n'est pas directement reliée au fleuve. Quel effet aura sur la zone alluviale l'assainissement du charriage dans le Rhône?</t>
  </si>
  <si>
    <t>élevé</t>
  </si>
  <si>
    <t>élevé et faible</t>
  </si>
  <si>
    <t>élevé, moyen, faible et nul</t>
  </si>
  <si>
    <t>REVITALISATION: Ecomorpho. Naturelle à peu atteinte. Presque tout le cours d'eau est en priorité (élevée à faible). (prio. élevée mesure R2.145.46; prio. moyenne R.03.145.47)</t>
  </si>
  <si>
    <t>moyenne</t>
  </si>
  <si>
    <t>REVITALISATION: "Reconnexion des terrasses alluviales" (mesure R.08.2.11), priorité 2025.</t>
  </si>
  <si>
    <t xml:space="preserve">SB Kanton: Entnahmen </t>
  </si>
  <si>
    <t>GESCHIEBE: offenbar regelmässige Geschiebeentnahmen und Baggerungen zum Schutz von Zeltplatz und Ferienhäuser; keine Massnahmen vorgesehen. Laut Schlussbericht scheint aber eine bessere Lösung möglich zu sein.</t>
  </si>
  <si>
    <t>und Baggerungen</t>
  </si>
  <si>
    <t>nicht im Planungsperimeter; REVIT: Abschnitt unterhalb mittel; mittel; gering eingestuft</t>
  </si>
  <si>
    <t>Gampeleggen</t>
  </si>
  <si>
    <t>GL, SZ</t>
  </si>
  <si>
    <t>nicht im Planungsperimeter</t>
  </si>
  <si>
    <t>nur für Geschiebe angeschaut. Bei Revitalisierung nicht im Planungsperimeter</t>
  </si>
  <si>
    <t>hoch/gering</t>
  </si>
  <si>
    <t>REVIT: gemäss Entwicklungskonzept Alpenrhein (IRKA), keine MN in den nächsten 20 Jahren (MN Revit: AR43, AR45, AR46)</t>
  </si>
  <si>
    <t>REVIT: gemäss Entwicklungskonzept Alpenrhein (IRKA), keine MN in den nächsten 20 Jahren (MN Revit: AR39)</t>
  </si>
  <si>
    <t>gross/mittel/gering</t>
  </si>
  <si>
    <t>REVIT: hohe und mittlerer Nutzen im obersten und untersten Abschnitt; Aufweitung im obersten Abschnitt geplant (2020)</t>
  </si>
  <si>
    <t>REVIT: keine MN in den nächsten 20 Jahren</t>
  </si>
  <si>
    <t xml:space="preserve">gross/mittel/ - </t>
  </si>
  <si>
    <t>REVIT: mittlere Priorität im obersten Abschnitt</t>
  </si>
  <si>
    <t>REVIT: VR29 Aufweitung (2025) Konflikt mit Landw., FFF, Altlasten</t>
  </si>
  <si>
    <t xml:space="preserve">gross/mittel/gering/ - </t>
  </si>
  <si>
    <t>REVIT: keine MN in den nächsten 20 Jahren (MN Revit: VR9, VR 13, VR15)</t>
  </si>
  <si>
    <t>hoch/mittel/gering</t>
  </si>
  <si>
    <t>REVIT: VR05 Loipenverlegung im obersten Abschnitt (2018) / GESCHIEBE: Neubeurteilung Spühlkonzept Stausee Barcuns in 5-10 Jahren</t>
  </si>
  <si>
    <t>gross/ -</t>
  </si>
  <si>
    <t>REVIT: VR02 Aufwertung (2016) Konflikt mit Altlasten / GESCHIEBE: Anpassung Spühlkonzept Fassung Sedrun</t>
  </si>
  <si>
    <t>kein/nicht best.</t>
  </si>
  <si>
    <t>REVIT: VR24 Aufweitung (2026) Konflikt mit Landw., FFF, Altlasten</t>
  </si>
  <si>
    <t>GR, TI</t>
  </si>
  <si>
    <t>minim</t>
  </si>
  <si>
    <t>REVIT: Antrag ZB: mind. mittlerer Nutzen / nicht berücksichtigt</t>
  </si>
  <si>
    <t>REVIT: MI22 Aufweitung (2015) Konflikt mit Landw., FFF; Antrag ZB: mind. mittlerer Nutzen / nicht berücksichtigt</t>
  </si>
  <si>
    <t>gross/mittel/kein/nicht best.</t>
  </si>
  <si>
    <t>REVIT: keine MN in den nächsten 20 Jahren (MN Revit: , MI18, MI20), oberhalb Auenobjekt MN Revit: MI19 Längsvernetzung (2018)</t>
  </si>
  <si>
    <t>gross/mittel/minim/kein/nicht best.</t>
  </si>
  <si>
    <t>hoch/mittel</t>
  </si>
  <si>
    <t>REVIT: keine MN in den nächsten 20 Jahren (MN Revit: , MI13, MI15, MI16,MI17)</t>
  </si>
  <si>
    <t>REVIT: Priorität hoch in der unteren Hälfte des Perimeters; MN Revit: MI08 Aufwertung (2020), Konflikt mit Altlasten</t>
  </si>
  <si>
    <t>GESCHIEBE: am Stausee Isola nicht wirtschaftlich</t>
  </si>
  <si>
    <t>REVIT:Antrag ZB: mind. mittlerer Nutzen / nicht berücksichtigt</t>
  </si>
  <si>
    <t>mittel/kein/nicht best.</t>
  </si>
  <si>
    <t>REVIT: UE15 Aufweitung (2032) Konflikt mit Landw.; mittlerer Nutzen nur am obern und unteren Ende des Auenobjekts</t>
  </si>
  <si>
    <t>gross/kein/nicht best.</t>
  </si>
  <si>
    <t>REVIT: keine MN in den nächsten 20 Jahren (MN Revit: UE14); GESCHIEBE: Anpassung Spühlkonzept Wasserfassung Pradella prüfen</t>
  </si>
  <si>
    <t>REVIT: Priorität hoch am oberen Ende des Perimeters; keine MN in den nächsten 20 Jahren (OE34)</t>
  </si>
  <si>
    <t xml:space="preserve">REVIT: OE27 Aufweitung einseitig (2016); OE28 Aufweitung einseitig (2016); OE30 Aufweitung einseitig (2016) Konflikt mit Landw., Altlasten; OE32 Aufweitung einseitig (2016) Konflikt mit Altlasten; </t>
  </si>
  <si>
    <t>REVIT: OE21 Aufweitung (2022)</t>
  </si>
  <si>
    <t>mittel/gering/kein/nicht best.</t>
  </si>
  <si>
    <t>REVIT: unterhalb Auenobjekt MN Revit: SM03 Aufwertung (2022)</t>
  </si>
  <si>
    <t>REVIT: gemäss Entwicklungskonzept Alpenrhein (IRKA), keine MN in den nächsten 20 Jahren (MN Revit: AR47), GESCHIEBE: Monitoring, ev. Reduktion bzw. Einstellung Kiesentnahmen bei Landquart</t>
  </si>
  <si>
    <t>REVIT: keine MN in den nächsten 20 Jahren (MN Revit: VR13)</t>
  </si>
  <si>
    <t>gross/mittel/minim</t>
  </si>
  <si>
    <t>REVIT: grosses Potenzial im unteren Abschnitt</t>
  </si>
  <si>
    <t>REVIT: VR37 Aufwertung (2030) Konflikt mit Landw., FFF, Altlasten</t>
  </si>
  <si>
    <t>REVIT: MN unterhalb Auengebiet: VR48 Aufwertung (2030)</t>
  </si>
  <si>
    <t>REVIT: keine MN in den nächsten 20 Jahren (MN Revit:AR04)</t>
  </si>
  <si>
    <t>keine Angaben</t>
  </si>
  <si>
    <t>Gewässerabschnitt nicht in der Planung berücksichtigt</t>
  </si>
  <si>
    <t>REVIT: Prio hoch in der oberen Hälfte des Perimeters;  MN Revit: SB05 Aufweitung, Längsvernetzung (2015),  Konflikt mit Landw.</t>
  </si>
  <si>
    <t>REVIT: SB02 Auensanierung (2022),  Konflikt mitAltlasten</t>
  </si>
  <si>
    <t>minim/kein/nicht best.</t>
  </si>
  <si>
    <t>REVIT: ganz kurzer Abschnitt mit mittlerem Nutzen im Bereich der Brücke</t>
  </si>
  <si>
    <t>Mulin da Pitasch</t>
  </si>
  <si>
    <t>nulle</t>
  </si>
  <si>
    <t>év. Prio Faible (mais bénéf. important)</t>
  </si>
  <si>
    <t>Charriage ok. Problème priorité renat. Car écomorpho classe II. Pourquoi pas correction manuelle ZA? Ass. Migration et Qs prennent en compte le Doubs, donc la renaturation sera plutôt coordonnée avec ces autres assainissements.</t>
  </si>
  <si>
    <t>Charriage ok. Prio. Renat ok.</t>
  </si>
  <si>
    <t>Prio et Bénéfice Important</t>
  </si>
  <si>
    <t>Etude déjà menées sur la zone (inondation terrasses alluviales, etc.)</t>
  </si>
  <si>
    <t>* GIS-Analyse weicht von BAFU-Vollzugshilfe ab!</t>
  </si>
  <si>
    <t>REVIT: Nutzen "mittel" in der unteren Hälfte des Perimeters. Im Perimeter befinden sich 1 Absturz, der mit hoher Priorität beseitigt werden soll. GESCHIEBE: MN an Anlagen im Oberlauf.</t>
  </si>
  <si>
    <t>1. Priorität</t>
  </si>
  <si>
    <t>REVIT: MN 1. Priorität am Waldibach (Umsetzung bis 2035): MN-Typ 4: grosse Gerinneverbreiterung, Ufer- und Sohlenstruktur. GESCHIEBE: MN an Anlagen im Oberlauf.</t>
  </si>
  <si>
    <t>REVIT: Im Perimeter befinden sich 9 Abstürze, die mit hoher Priorität beseitigt werden sollen. GESCHIEBE: Einstellung von regelmässigen Kiesentnahmen an den beiden Entnahmestellen am Rotbach, insbesondere von Feingeschiebe. Nach grossen Hochwasserereignissen Situation durch Fachperson prüfen und allfällige Entnahmen auf Minimum beschränken (möglichst ausserhalb Auenperimeter).</t>
  </si>
  <si>
    <t>REVIT: Verweis auf HWS-Projekt Sarneraa unterhalb Geschiebesammler</t>
  </si>
  <si>
    <t>Priorität 2 (2024 - 2033)</t>
  </si>
  <si>
    <t>REVIT: MN 2. Priorität Sarneraa (Abschnitt Alpnachersee - Rückgabe Kraftwerk Sarneraa) mit Binnenkanal: Entfernung Ufer- und Sohlenverbau, Abflachung Ufer, Strukturen schaffen, Vernetzung mit Umland verbessern</t>
  </si>
  <si>
    <t>Verweis auf HWS-Projekt</t>
  </si>
  <si>
    <t>REVIT: OW hatte zuviele Abschnitte mit mittleren Nutzen, der Abschnitt im Perimeter wurde zurückgestuft.</t>
  </si>
  <si>
    <t>OW, UR</t>
  </si>
  <si>
    <t>REVIT: Punktuelle Revitalisierungsmassnahmen im Rahmen Schutz- und Nutzungsplanung (auf der Karte nicht ersichtlich); OW hatte zuviele Abschnitte mit mittleren Nutzen, der Abschnitt im Perimeter wurde zurückgestuft.</t>
  </si>
  <si>
    <t>SG, TG</t>
  </si>
  <si>
    <t>voir projet intercantonal Thur</t>
  </si>
  <si>
    <t>Important et moyen</t>
  </si>
  <si>
    <t>pas de remarque</t>
  </si>
  <si>
    <t xml:space="preserve">harmoniser diagnostic canton (priorité revitalisation gross) et diagnostic BIOP (objet naturel, pas de besoin de revitalisation </t>
  </si>
  <si>
    <t>kein</t>
  </si>
  <si>
    <t>objet lacustre</t>
  </si>
  <si>
    <t>diagnostic charriage à établir</t>
  </si>
  <si>
    <t>non det.</t>
  </si>
  <si>
    <t>objet naturel</t>
  </si>
  <si>
    <t>important et moyen</t>
  </si>
  <si>
    <t>voir priorités de projet Alpenrhein. Le rapport mentionne priorité de revitalisation  "gross", mais pas la carte (données SIG)</t>
  </si>
  <si>
    <t>voir priorités de projet Alpenrhein. Le rapport mentionne priorité "gross", mais pas la carte (données SIG)</t>
  </si>
  <si>
    <t xml:space="preserve">keine </t>
  </si>
  <si>
    <t>SH, ZH</t>
  </si>
  <si>
    <t>REVIT: Kt.SH möchte die Gewässerdynamik im Bereich des Altarms nicht weiter fördern; Angst, dass bestehende Artenvielfalt zerstört wird. GESCHIEBE: MN wird als unverhältnismässig angesehen (Einstaubereich KW und Grundwasserschutzzonen)</t>
  </si>
  <si>
    <t>Priorität 1 (2018)</t>
  </si>
  <si>
    <t>REVIT: MN 1. Priorität: Rechtsseitig grosszügiger Gewässerraum mit Auenstrukturen und breitem Gehölzsaum, (Realisierung bis 2018); In Ergänzung dazu sind stromaufwärts weitere Massnahmen zur Wiederherstellung der Durchgängigkeit priorisiert (Nr. 35, 37, 38).</t>
  </si>
  <si>
    <t>Umsetzung in den nächsten 20 Jahren</t>
  </si>
  <si>
    <t>Interkantonale Aareplanung; REVIT: Die Revitalisierung des Auengebietes ist Teil des HWS Projekts zwischen dem Wehr Biberist und der Mündung in die Aare. Die Planung läuft bereits - Baubeginn ca. 2016. GESCHIEBE: Der Geschiebesammler bleibt bestehen. Geschiebe wir unterhalb des KW Flumenthal in die Aare zurückgegeben</t>
  </si>
  <si>
    <t>teilweise Umsetzung in den nächsten 20 Jahren</t>
  </si>
  <si>
    <t>Interkantonale Aareplanung; REVIT: Abschnittsweise ist eine Revitalisierung der Aare flussabwärts (Erweiterung bis Solothurn) mit grosser Priorität geplant. GESCHIEBE: Keine relevanten Geschiebezubringer nach Bielersee.</t>
  </si>
  <si>
    <t>REVIT: Prioritäre MN: Instream-Strukturen und Uferaufwertung</t>
  </si>
  <si>
    <t>SZ, ZG</t>
  </si>
  <si>
    <t>gering/mittel</t>
  </si>
  <si>
    <t>REVIT: Bewertung im Mündungsbereich ergänzt. Delta bereits revitalisiert. Prioritäre MN oberhalb Delta: Instream-Strukturen und Uferabflachung</t>
  </si>
  <si>
    <t>GESCHIEBE: Der Geschiebhaushaltr ist unterhalb des Geschiebsammlers stark beeinträchtigt. Der Geschiebesammler Hoechi Muur soll mit hoher Priorität saniert werden</t>
  </si>
  <si>
    <t>REVIT: Klassierung nur für Brüschbach, nicht für Chlön ( fehlender Ökomorphologie).  Auf Antrag BAFU wurde der  Nutzen Chlön (gross) auf Karte ergänzt (in GIS-Daten nicht ersichtlich)</t>
  </si>
  <si>
    <t>REVIT: Grosser Nutzenan an den Nebengewässer der Thur; Thurrichtprojekt 2013; Kt. ZH: Strecke 1. Priorität direkt unterhalb der Aue</t>
  </si>
  <si>
    <t>gross/mittel/gering/kein/nicht best.</t>
  </si>
  <si>
    <t>REVIT: Grosser Nutzen an der Thur, Binnenkanal und Giesse; Thurrichtprojekt 2013</t>
  </si>
  <si>
    <t>REVIT: Grosser Nutzen an der Thur und den Nebengewässer; Thurrichtprojekt 2013</t>
  </si>
  <si>
    <t>REVIT: Grosser Nutzen an der Thur und dem Ausleitkanal; Thurrichtprojekt 2013</t>
  </si>
  <si>
    <t>mässig</t>
  </si>
  <si>
    <t>REVIT: Grosser Nutzen an der Thur; Thurrichtprojekt 2013</t>
  </si>
  <si>
    <t>augmenter la priorité</t>
  </si>
  <si>
    <t>REVITALISATION: Le fait qu'une revitalisation est prévue dans le tronçon à l'amont de la zone alluviale est très positif. A notre avis (BIOP) le potentiel écologique devrait être moyen à important. Systèmes montagnards très intéressants, à mettre en valeur. Privilegier protection des de berge au pieds de la route et enlever toutes les atteintes dans la zone alluviale (qui ont été mises en place après la crue de 1987, lorsque l'objet avait déjà été cartographié pour sa future insertion dans l'inventaire).</t>
  </si>
  <si>
    <t>REVITALISATION: A notre avis (BIOP) le potentiel écologique devrait être moyen à important. Systèmes montagnards très intéressants, à mettre en valeur.</t>
  </si>
  <si>
    <t>moyen et faible</t>
  </si>
  <si>
    <t>REVITALISATION: Tant qu'il y a une utilisation militaire de la partie amont, la revitalisation parait en effet plus difficile que ce qui a été évalué sur la base de la carte des atteintes à l'interieur de la zone.  A notre avis (BIOP) le potentiel écologique devrait être moyen à important. Systèmes montagnards très intéressants, à mettre en valeur.</t>
  </si>
  <si>
    <t>important et faible</t>
  </si>
  <si>
    <t>REVITALISATION: Le tronçon rectiligne dans la partie amont de la zone alluviale a une priorité faible (2024-2035). A notre avis cette priorité pourrait être augmentée, mais nous comprenons qu'il est mieux de traiter la partie du cours d'eau dans la zone alluviale en même temps que le tronçon à l'amont de l'objet, qui pourrait être plus compliqué à revitaliser (terrains agricoles).</t>
  </si>
  <si>
    <t>moyen et important</t>
  </si>
  <si>
    <t>faible et important</t>
  </si>
  <si>
    <t>nulle et important</t>
  </si>
  <si>
    <t>attention, tronçon prioritaire est naturel</t>
  </si>
  <si>
    <t>REVITALISATION: ATTENTION! Tronçon naturel! en cas de revitalisation du tronçon prioritaire, il faut faire très attention à la zone alluviale, qui est globalement en très bon état. Nous n'avons pas les éléments pour comprendre pourquoi ce tronçon est prioritaire.</t>
  </si>
  <si>
    <t>év. Priorité faible</t>
  </si>
  <si>
    <t>REVITALISATION: Terrasse alluviale en RG relativement facile a revitaliser. Sans obstacles. / Charriage: indépendant du Tessin. Tous les ouvrages influençant le charriage dans cette zone se trouvent aux Grisons.</t>
  </si>
  <si>
    <t>REVITALISATION: La zone alluviale est à revitaliser avec urgence, mais effectivement l'autoroute se trouve entre la Moesa et la zone alluviale sur la partie tessinoise de l'objet. Une revalorisation des affluents reste envisageable, et en partie envisagée puisque l'affluents sortant de la ZA est prioritaire. Il faut assurer la coordination avec le canton des Grisons pour une eventuelle revitalisation de cette zone. CHARRIAGE: indépendant du Tessin. Tous les ouvrages influençant le charriage dans cette zone se trouvent aux Grisons.</t>
  </si>
  <si>
    <t>on ne sait pas comment le charriage va évoluer dans ces zones; impossible d'évaluer la pertinence des mesures.</t>
  </si>
  <si>
    <t>REVITALISATION: Projeten cours. Affluents mentionnés à plusieurs reprises, en soulignant l'importance de leur revitalisation et optimisation: ok.</t>
  </si>
  <si>
    <t>REMARQUE REVITALISATION: Delta déjà revitalisé.</t>
  </si>
  <si>
    <t>mettre toute la zone en priorité faible si possible</t>
  </si>
  <si>
    <t>REVITALISATION: Tronçon central à priorité faible: ok. Toute la zone devrait être revitalisée, mais le tronçon sélectionné est celui qui a effectivement le plus besoin d'une revitalisation.</t>
  </si>
  <si>
    <t>moyen et nulle</t>
  </si>
  <si>
    <t>REVITALISATION: Tronçon de bras secondaire à revitaliser dans la partie centrale. Ce tronçon est  bien choisi (évaluation "priorité assanissement" fesait une évaluation globale)</t>
  </si>
  <si>
    <t>REVITALISATION: Revitalisation prévue dans le tronçon amont de la zone alluviale et dans le tronçon à l'aval de la confluence, où le cours d'eau divague moins.</t>
  </si>
  <si>
    <t>pbm</t>
  </si>
  <si>
    <t>nulle (2 affluents prio 3)</t>
  </si>
  <si>
    <t>REVITALISATION: La carte des atteintes montre en effet peu d'atteintes, à l'exception des protections pour le pont. Un chenal pilote a quand même été creusé dans le lit mineur.</t>
  </si>
  <si>
    <t>faible et moyen et important</t>
  </si>
  <si>
    <t>REVITALISATION: Morphologie peu à très atteinte.</t>
  </si>
  <si>
    <t>REVITALISATION: év. Bénéfice et potentiel écologique importants.</t>
  </si>
  <si>
    <t>REVITALISATION:  Cette zone alluviale a une morphologie par endroits plutôt très atteinte (avis d'experts). Il faudrait prévoir une amélioration de certains tronçons.</t>
  </si>
  <si>
    <t>Lodrino</t>
  </si>
  <si>
    <t>REVITALISATION:  ok, tout le Tessin dès 2km à l'amont de l'embouchure avec le Brenno et jusqu'à l'embouchure de la Moesa est en priorité 1.</t>
  </si>
  <si>
    <t>Piano della Reisa</t>
  </si>
  <si>
    <t>Pian della Madonna</t>
  </si>
  <si>
    <t>klein (Gräben)</t>
  </si>
  <si>
    <t>hoch (Gräben)</t>
  </si>
  <si>
    <t>REVIT: I.2 Gräben im Reussdelta; Uferabflachungen; Umsetzung teilweise vor 2016 geplant; das Reussdelta ist weiterzuentwickeln und zu erhalten</t>
  </si>
  <si>
    <t>REVIT: III.1 Auengebiet Widen; Aufwertung Auengebiet, Rückwärtige Schutzmassnahmen (Aufwertungsmassnahmen bereits in Abschlussphase)</t>
  </si>
  <si>
    <t>REVIT: keine Revitalisierung geplant; Antrag ZB: mind. mittlerer Nutzen / nicht berücksichtigt</t>
  </si>
  <si>
    <t>Lang Hütte</t>
  </si>
  <si>
    <t>REVIT: II.8 Auengebiet Waldnacht; Sicherung dynamischer Überflutungsflächen und Schaffen von rückwärtigen Schutzmassnahmen (Umsetzung 2020-2023)</t>
  </si>
  <si>
    <t>nulle à faible</t>
  </si>
  <si>
    <t>REVITALISATION: priorité faible dans zone de paturage (sans végétation) et nulle dans zone avec un peu de végétation. Résultat très intéressant et cohérent. CHARRIAGE: il semblerait que l'Orbe a été évaluée sur la totalité de sa longueur, même en amont du lac de Joux, par contre les résultats ne sont pas reportés sur la carte. Si ce tronçon a été effectuivement évalué, il faudrait reporter les résultats pour la zone alluviale 50.</t>
  </si>
  <si>
    <t>moyen à élevé</t>
  </si>
  <si>
    <t>moyen (amont); élevé (centre); moyen (aval)</t>
  </si>
  <si>
    <t>notable (partie amont) / ??? Aval</t>
  </si>
  <si>
    <t>REVITALISATION: Déjà revitalisé dans la partie amont. Revitalisation de la partie aval en cours d'étude. CHARRIAGE: manque de charriage notable dans la partie amont de la ZA (deux berges FR, partie revitalisée). Le charriage dans la partie aval n'est pas spécifié. Selon le canton, aucune installation portant atteinte au charriage sur sol vaudois (sauf stabilisations de berge). Les seuils en amont de Moudon n’ont pas été évalués en tant qu’ouvrages. Au vu de la dimension de ces seuils, ils pourraient bien causer une atteinte au charriage.</t>
  </si>
  <si>
    <t>élevé (faible pour affluents et une partie de la Sarine)</t>
  </si>
  <si>
    <t>élevé (nulle pour une partie de la Sarine; faible ou nulle pour les affluents)</t>
  </si>
  <si>
    <t>Revitalisation: re-évaluer partie amont de l'objet</t>
  </si>
  <si>
    <t>(partie terrestre de l'embouchure) REVITALISATION: Uniquement la partie aval de l'objet est prioritaire. Il pourrait être intéressant de revitaliser également le cours d'eau dans la partie amont de l'objet.</t>
  </si>
  <si>
    <t>moyen (tronçon aval) et faible</t>
  </si>
  <si>
    <t>élevé (partie aval) et nulle</t>
  </si>
  <si>
    <t>élevé (affluent faible)</t>
  </si>
  <si>
    <t>moyen (affluent nulle)</t>
  </si>
  <si>
    <t>élevé (tous les affluents au lac, y c. le Rhône)</t>
  </si>
  <si>
    <t>Rhône: moyen amont; élevé aval. Grand Canal: élevé. Vieux Rhône: faible. Autres affluents: moyen.</t>
  </si>
  <si>
    <t>Rhône: moyen amont; élevé embouchure. Vieux Rhône: nulle. Grand Canal: élevé. Autres affluents: moyen.</t>
  </si>
  <si>
    <t>REVITALISATION: tous les affluents au lac, sauf le Vieux Rhône, sont prioritaires (moyen ou élevé). CHARRIAGE: Contradiction entre estimation Schälchli (21-50% manque) et estimation du canton.</t>
  </si>
  <si>
    <t>CHARRIAGE: Contradiction entre estimation Schälchli (21-50% manque) et estimation du canton.</t>
  </si>
  <si>
    <t>nulle (sauf affluent moyen)</t>
  </si>
  <si>
    <t>élevé (dans le tiers amont de l'objet)</t>
  </si>
  <si>
    <t>REVITALISATION: écomorphologie jugée naturelle par le canton, mais dans le tiers amont de la zone (cœur de l'objet) il y a des stabilisations de berge qui causent atteinte à la dynamique. Il faut assainir ces protections de berge.</t>
  </si>
  <si>
    <t>élevé (Venoge et "canal")</t>
  </si>
  <si>
    <t>moyen (Venoge) et faible ("canal")</t>
  </si>
  <si>
    <t>élevé et faible (1/5 amont)</t>
  </si>
  <si>
    <t>élevé et nulle (1/5 amont)</t>
  </si>
  <si>
    <t>REVITALISATION: projet de revitalisation (et mesures contre l'ensablement) déjà en cours.</t>
  </si>
  <si>
    <t>pas de mesure</t>
  </si>
  <si>
    <t>mesure</t>
  </si>
  <si>
    <t>REVITALISATION: mesures R-M4-004, R-M4-005, R-M4-006 et R-M4-015, toutes ok. R-M4-004: mesure ok; permettre la dynamique naturelle aux endroits où elle est active; extensification de la zone tampon. R-M4-005: mesure ok; érosion contrôlée des berges et synergie protection contre les crues; délimitation d'une zone tampon (espace cours d'eau). R-M4-006: mesure ok; revitalisation embouchure borgne d'arolla; élargir le lit des deux borgnes; gravière est maintenue. R-M4-015: mesure ok; revitalisation totalité du linéaire Torrent de Berté; revitalisation du passage sous tuyau en amont de l'embouchure, avec déplacement du pont; remplacement dépotoir en béton par aménagement naturel (zone plane élargie).  CHARRIAGE: Atteinte causée notamment par un débit de restitution faible qui n'est pas en mesure de transporter les sédiments. Assainissement du captage prévu. Assainissement du site d'extraction de gravier.</t>
  </si>
  <si>
    <r>
      <rPr>
        <b/>
        <sz val="8"/>
        <rFont val="Arial"/>
        <family val="2"/>
      </rPr>
      <t>moyen</t>
    </r>
    <r>
      <rPr>
        <sz val="8"/>
        <rFont val="Arial"/>
        <family val="2"/>
      </rPr>
      <t xml:space="preserve"> à élevé</t>
    </r>
  </si>
  <si>
    <t>Mesure R-M4-016 non compatible OZA</t>
  </si>
  <si>
    <t>REVITALISATION: mesures R-M4-007 (1/2 aval) et R-M4-016 (1/2 amont) prévues. R-M4-007 prévoit d'enlever stabilisations en rive droite et permettre divagation. Déplacement d'un pont. C'est une bonne mesure. Mesure R-M4-016 est problématique. Il s'agit de la création d'un chenal pilote, de pièges à gravier et d'épis dans le lit de la Borgne. Cette mesure n'est pas une revitalisation mais plutôt une correction fluviale et n'est pas compatible avec les buts de protection de l'OZA. CHARRIAGE: Atteinte causée par un débit de restitution faible qui n'est pas en mesure de transporter les sédiments. Assainissement du captage prévu.</t>
  </si>
  <si>
    <t xml:space="preserve"> CHARRIAGE: Atteinte causée par un débit de restitution faible qui n'est pas en mesure de transporter les sédiments. Assainissement du captage prévu.</t>
  </si>
  <si>
    <t xml:space="preserve">élevé </t>
  </si>
  <si>
    <t>REVITALISATION: mesures R-M2-021, R-M2-022, R-M2-023, R-M2-024, R-M2-025 et R-M5-002: les mesures paraissent peu ambitieuses. R-M2-021: mesure ok; extrémité aval de la zone (Canal du Russen); diversifier les habitats aquatiques et riverains du canal; milieux annexes huimides; réseau écologique plaine. R-M2-022 (Canal du Russen): idem R-M2-021. R-M2-023 (Le Russen): mesure développée dans le dossier A9; restauration continuum longitudinal avec débit suffisant. R-M2-024 (Buttenbach): mesure développée dans le dossier A9; renaturation du linéaire amont rectiligne. R-M2-025 (Buttenbach): idem R-M2-024. R-M5-002 (Dala): révalorisation des berges.</t>
  </si>
  <si>
    <t>REVITALISATION: mesure ok R-M5-013: élargissement du cours d'eau;</t>
  </si>
  <si>
    <t>REVITALISATION: mesure R-M6-004 (mesure ok): augmentation du débit de restitution et enlèvement des stabilisations de berge.</t>
  </si>
  <si>
    <t>Revitalisation nécessaire</t>
  </si>
  <si>
    <t>REVITALISATION: une revitalisation de cette ZA parait nécessaire pour reconnecter le niveau des forêts alluviales avec celui du cours d'eau.</t>
  </si>
  <si>
    <t>pas de mesure; mesure R3</t>
  </si>
  <si>
    <t>REVITALISATION: mesure R-R3-23: revitalisation prévue dans le cadre de la troisième correction du Rhône;  amélioration de l'embouchure de l'affluent; restructuration du lit du Rhône.</t>
  </si>
  <si>
    <t>mesure; mesure R3</t>
  </si>
  <si>
    <t>REVITALISATION:  mesure R-R3-17 et R-M7-001. R-R3-17: partie de la ZA sur le Rhône traité par une mesure R3; élargissement et création de zones inondables. Affluent traité par la mesure R-M7-001 (mesure ok): élargissement du ruisseau et de l'embouchure; démolition des seuils.</t>
  </si>
  <si>
    <t>élevé (Goneri moyen)</t>
  </si>
  <si>
    <t>REVITALISATION: mesure R-M7-004, R-M7-005, R-R3-22. R-M7-004 (mesure ok): élargissement et revitalisation de l'embouchure de l'affluent (Goneri). R-M7-005: pas de description générale de la mesure ("Die spezifischen Massnahmen zum Lengesbach sind im Gesamtkonzept integriert"). R-R3-22: revitalisation de la zone alluviale (pas de détail).</t>
  </si>
  <si>
    <t>élevé à moyen</t>
  </si>
  <si>
    <t>mesure (affluent uniquement)</t>
  </si>
  <si>
    <t>REVITALISATION:  mesure R-M3-038 sur l'affluent: Rétablissement de la dynamique alluviale naturelle. Rien de prévu dans la ZA elle-même (rivière principale).  CHARRIAGE: Atteinte causée par un débit de restitution faible qui n'est pas en mesure de transporter les sédiments. Assainissement du captage prévu.</t>
  </si>
  <si>
    <t>mesure (partie aval uniquement)</t>
  </si>
  <si>
    <t>REVITALISATION: mesure R-M3-030 dans la partie aval de l'objet: mesure ok, partie amont n'a pas besoin de revitalisation; permettre la libre dynamique de la zone alluviale. CHARRIAGE: Atteinte causée par un débit de restitution faible qui n'est pas en mesure de transporter les sédiments. Assainissement du captage prévu.</t>
  </si>
  <si>
    <t>REVITALISATION: mesure R-M4-018 (R-P-4 dans les géodonnées): mesure ok; renaturation de la Navisence et de ses berges.</t>
  </si>
  <si>
    <t>Tali</t>
  </si>
  <si>
    <t>A1</t>
  </si>
  <si>
    <t>REVIT: Priorität A1 (Umsetzung ab sofort): im obersten Abschnitt der Aue; Uferverbauung am Prallhang partiell entfernen (Interessenabwägung Flussdynamik versus Erhalt Auenwald)</t>
  </si>
  <si>
    <t>keine flächendeckende GIS-Analyse: naturnahe/wenig beeinträchtigte Gewässer nicht weiter beurteilt</t>
  </si>
  <si>
    <t>gross (Thur)/mittel</t>
  </si>
  <si>
    <t>1 (Rhein), 3 (Thur)</t>
  </si>
  <si>
    <t>Thur (charriage naturel), Rhein (charriage faible)</t>
  </si>
  <si>
    <t>SB Planif. Strat</t>
  </si>
  <si>
    <t>REVIT: Aggregiert keine Strecke mit hoher Priorität, Revitalisierungsstrecke gemäss kantonalem Richtplan</t>
  </si>
  <si>
    <t>OK: 35% déficit</t>
  </si>
  <si>
    <t>Carte Schälchli</t>
  </si>
  <si>
    <t>REVIT: Priorität 1: Ottenbach/Obfelden, Revitalisierungsstrecke gemäss kantonalem Richtplan; auf Seite AG Moorgebiet (Konflikt?)</t>
  </si>
  <si>
    <t>REVIT: Priorität 1: nur im untersten Abschnitt der Aue; Ottenbach/Obfelden, Revitalisierungsstrecke gemäss kantonalem Richtplan; auf Seite AG Moorgebiet (Konflikt?)</t>
  </si>
  <si>
    <t>Revitalisierung in Planung (zusammen mit Flughafen, Kompensationsmassnahmen)</t>
  </si>
  <si>
    <t>Strategische Planungen Revitalisierung und Geschiebe:</t>
  </si>
  <si>
    <t>* Kantonsübergreifende Objekte sind mehrmals aufgeführt.</t>
  </si>
  <si>
    <t>** ohne alpine Auenobjekte</t>
  </si>
  <si>
    <r>
      <t>*** Aufwertungspotential aus Bericht "</t>
    </r>
    <r>
      <rPr>
        <i/>
        <sz val="11"/>
        <color indexed="8"/>
        <rFont val="Calibri"/>
        <family val="2"/>
      </rPr>
      <t>Priorités d’assainissement du charriage, des débits résiduels, des éclusées et des revitalisations – Zones alluviales et candidates“, Version 02.2014</t>
    </r>
  </si>
  <si>
    <t>InvObjNr</t>
  </si>
  <si>
    <t xml:space="preserve">Potentiel écologique </t>
  </si>
  <si>
    <t>Nutzen</t>
  </si>
  <si>
    <t>Remarque du canton / 
Bemerkungen des Kantons</t>
  </si>
  <si>
    <t>très nécessaire, facile</t>
  </si>
  <si>
    <t>schwierig</t>
  </si>
  <si>
    <t>K3</t>
  </si>
  <si>
    <t xml:space="preserve">Im Rahmen der Konzessionserneuerung Ryburg-Schwörstadt wurde dieses Gebiet thematisiert und man ist zum Schluss gekommen, dass im Haumättli keine Aufwertungsmassnahmen angebracht sind. Die Beibehaltung des Status quo bringt am meisten.  Aus Sicht ASP besteht kein Handlungsbedarf. </t>
  </si>
  <si>
    <t>non nécessaire</t>
  </si>
  <si>
    <t>pour une partie de la ZA uniquement</t>
  </si>
  <si>
    <t>Die 1. Etappe der grossen Renaturierung Chly Rhy in Rietheim wurde 2015 abgeschlossen. Die 2. Etappe darf aus vertraglichen Gründen nicht vor 2021 begonnen werden.</t>
  </si>
  <si>
    <t>K2</t>
  </si>
  <si>
    <t>Im Rahmen der laufenden Konzessionserneuerung sind ökologische Aufwertungsmassnahmen, zur Ergänzung des oder gar innerhalb des Auengebiets, vorgesehen. Innerhalb des Stauseebereichs haben Zugvogellebensräume Vorrang (WZVV=&gt; internat. Bed.).</t>
  </si>
  <si>
    <t>peu nécessaire, facile</t>
  </si>
  <si>
    <t>Die grossen Massnahmen wurden umgesetzt, der Unterhalt ist organisiert. Für weitere Revitalisierungsvorhaben wird zusätzliches Land ausserhalb des Auenperimeters benötigt.</t>
  </si>
  <si>
    <t>K1</t>
  </si>
  <si>
    <t>Im Rahmen der Umsetzung GSchG ist momentan ein Baugesuch der Konzessionärin hängig, welches die Geschiebedurchgängigkeit und die Fischwanderung sicherstellen und die Restwassermenge erhöhen soll. Dies sind die Voraussetzungen für eine Auenrevitalisierung durch den ASP, wofür bereits ein Vorprojekt vorliegt.</t>
  </si>
  <si>
    <t>kein Handlungsbedarf</t>
  </si>
  <si>
    <t>leicht</t>
  </si>
  <si>
    <t>peu nécessaire, difficile</t>
  </si>
  <si>
    <t>wenig beeinträchtigt, Unterhalt ist organisiert, kein Handlungsbedarf. Eine grössere Revitalisierung ist projektiert, liegt unmittelbar angrenzend, wird z.Z. durch Gemeinde verzögert.</t>
  </si>
  <si>
    <t>car occupation du sol au-delà des entraves non dommageables</t>
  </si>
  <si>
    <t xml:space="preserve">Revitalisierung Altlauf wurde 2011 abgeschlossen, Unterhalt ist organisiert, kein Handlungsbedarf. </t>
  </si>
  <si>
    <t>Der ASP sieht keinen unbedingt nötigen Handlungsbedarf.</t>
  </si>
  <si>
    <t>TGH: Même dans la planification ils disent nutzen: gross. Le fait qu'il ne soit pas prioritaire ne veut pas dire qu'il n'a pas besoin de revitalisation.</t>
  </si>
  <si>
    <t>très nécessaire, difficile</t>
  </si>
  <si>
    <t>nicht nötig</t>
  </si>
  <si>
    <t>Für die Revitalisierung des kanalisierten Bünzlaufs in Othmarsingen besteht ein Vorprojekt, welches in den kommenden Jahren zur Baureife gebracht werden soll. Der Teil  Möriken ist grösstenteils beendet. Weitere Revitalisierungen sind erst möglich, wenn bestehnde Infrastrukturanlagen verlegt werden können.</t>
  </si>
  <si>
    <t xml:space="preserve">Revitalisierungen sind abgeschlossen, Unterhalt ist organisiert, Dynamisierung des Reussufers denkbar. </t>
  </si>
  <si>
    <t>TGH: Il est même dans les cours d'eau prioritaires!!!!!!!</t>
  </si>
  <si>
    <t xml:space="preserve">Grosse Revitalisierungen sind abgeschlossen, Unterhalt ist organisiert, weitere Dynamisierung des Reussufers denkbar. </t>
  </si>
  <si>
    <t>TGH: apparemment ils ont déjà fait des travaux?</t>
  </si>
  <si>
    <t xml:space="preserve">unbedingt nötig, schwierig. </t>
  </si>
  <si>
    <t>unbedingt nötig. Schwierig (wenn Abfluss / Geschiebe / Revitalisation verknüpft werden, sehr schwierig</t>
  </si>
  <si>
    <t>rives stabilisées</t>
  </si>
  <si>
    <t>Welcher Teil ist 47.1 und welcher ist 47.2?</t>
  </si>
  <si>
    <t>Méandre développé</t>
  </si>
  <si>
    <t>système naturel</t>
  </si>
  <si>
    <t>Méandre migrant</t>
  </si>
  <si>
    <t>ok</t>
  </si>
  <si>
    <t xml:space="preserve">Zielkonflikte FM, ALG, Aue national. </t>
  </si>
  <si>
    <t>mit der Revision nimmt der Handlungsbedarf stark zu (Zusammenfluss Sense bis Bütschelbach)</t>
  </si>
  <si>
    <t>Fraglich: wenn an Saane angebunden werden soll: sehr hohe Höhendifferenz Fluss/Auenwald, alles andere als einfach. Aber: Wald ist wunderschön, von Seitengewässern gespiesen… Handlungsbedarf?</t>
  </si>
  <si>
    <t>CRL: forêt très coupée du cours d'eau</t>
  </si>
  <si>
    <t>Beurteilung ok. schwierig. + Zielkonflikte Artenschutz / Auen</t>
  </si>
  <si>
    <t>Etat actuel(2016) satisfaisant</t>
  </si>
  <si>
    <t>unbedingt nötig, schwierig</t>
  </si>
  <si>
    <t xml:space="preserve">Nur geringer Teil ist dynamisch (Baggerloch ist abgehängt). Handlungsbedarf unbedingt nötig  aber schwierig.. </t>
  </si>
  <si>
    <t>einfach?</t>
  </si>
  <si>
    <t>CRL: facile car il y a une rive stabilisée entre le CE et la ZA et pas trop de contraintes dans la ZA</t>
  </si>
  <si>
    <t>CRL: facile car ZA assez large et sans trop de contraintes</t>
  </si>
  <si>
    <t>concerne le delta</t>
  </si>
  <si>
    <t>nicht Aue</t>
  </si>
  <si>
    <t>? Die Aare  gehört nicht zum Auenperimeter. Oder was ist hier gemeint?</t>
  </si>
  <si>
    <t>CRL: on pourrait recréer un delta dans la ZA</t>
  </si>
  <si>
    <t>communautés de bas-marais bien présentes</t>
  </si>
  <si>
    <t>concerne la rive lacustre</t>
  </si>
  <si>
    <t>nicht relevant oder nicht nötig</t>
  </si>
  <si>
    <t>Zielkonflikt FM, ALG, Aue, Artenschutz.Kein Handlungsbedarf für Aue, sondern klarer Handlungsbedarf für FM und Artenschutz.</t>
  </si>
  <si>
    <t>méandres qui ne migrent plus vraiment.</t>
  </si>
  <si>
    <t>dringend nötig aber nicht einfach: Kieswerk, Hochwasserschutz…</t>
  </si>
  <si>
    <t>unbedingt nötig? was kann man da überhaupt machen? Eigentlich kann man da gar nichts machen… und mitten im intensiven Landwirtschaftsland: sicher nicht einfach.</t>
  </si>
  <si>
    <t>nur theoretisch einfach, Grundeigentümer… nicht einfach</t>
  </si>
  <si>
    <t>Travaux e partie déjà terminés (Neukonzessionierung KW Hagneck) actuellement joli développement du delta</t>
  </si>
  <si>
    <t>Aufteilung? Unterwasserkanal? dann ok, kein Handlungsbedarf mehr.</t>
  </si>
  <si>
    <t>Aufteilung? Seeufer? kein Handlungsbedarf, Zielkonflikt FM Aue</t>
  </si>
  <si>
    <t>teilweise nötig</t>
  </si>
  <si>
    <t>z.T. Zielkonflikt FM Aue</t>
  </si>
  <si>
    <t>pas  évalué:  peu nécessaire car système semblant encore naturel et fonctionnel (bois tendre), et facile car relativement peu d'atteintes</t>
  </si>
  <si>
    <t>TGH: ok, on revient à l'éval initiale</t>
  </si>
  <si>
    <t>TGH: canton confirme planif strat</t>
  </si>
  <si>
    <t>Unterteilung? Kein Handlungsbedarf</t>
  </si>
  <si>
    <t>Tronçon aval à revitaliser selon BE</t>
  </si>
  <si>
    <t>nur punktuell nötig (z.B. Sodbachbrücke), technisch sehr einfach aber politisch sehr schwierig</t>
  </si>
  <si>
    <t>Cohérence entre les 2 cantons</t>
  </si>
  <si>
    <t>Modifier Poten éco : Gross        
 Modifier Priorität :  gering</t>
  </si>
  <si>
    <t>Keine Bemerkungen, Erhaltung Schilfflächen durch forstliche Eingriffe</t>
  </si>
  <si>
    <t>Modifier Nutzen : Mittel/gering 
Modifier Priorität : Mittel / gering</t>
  </si>
  <si>
    <t>Secteurs à revitaliser: Plasselb, aval Stersmühle</t>
  </si>
  <si>
    <t>Modifier Poten éco : Gross/mittel                              Modifier Nutzen : gross/gering  
Modifier Priorität : Mittel / gering</t>
  </si>
  <si>
    <t>Modifier Nutzen : gross/gering
 Modifier Priorität : gross / gering</t>
  </si>
  <si>
    <t>Modifier Poten éco : Gross/mittel
 Modifier Priorität : hochl / gering</t>
  </si>
  <si>
    <t>Modifier Priorität : hoch / gering</t>
  </si>
  <si>
    <t>Modifier Poten éco : Gross/mittel                              Modifier Nutzen : gross/gering  
Modifier Priorität : gross / gering</t>
  </si>
  <si>
    <t>Pas de données disponibles</t>
  </si>
  <si>
    <t>CRL: pas de revit nécessaire pour la Jogne (naturel, problème Qres); pas pertinent pour le canal de restitution</t>
  </si>
  <si>
    <t>Modifier Nutzen : gering     
 Modifier Priorität :  gering</t>
  </si>
  <si>
    <t>Modifier Nutzen : gering      
Modifier Priorität :  gering</t>
  </si>
  <si>
    <t>Modifier Nutzen : gross</t>
  </si>
  <si>
    <t>revitalisation du delta de la Menthue nécessaire</t>
  </si>
  <si>
    <t>très nécessaire , facile</t>
  </si>
  <si>
    <t>diminuer le dragage</t>
  </si>
  <si>
    <t>hors périmètre revit.</t>
  </si>
  <si>
    <t>peu  nécessaire, facile</t>
  </si>
  <si>
    <t>unmöglich</t>
  </si>
  <si>
    <t>très entravé mais potentiel dans le lac</t>
  </si>
  <si>
    <t>RG naturelle, revitalisable. RD bloquée par l'autoroute</t>
  </si>
  <si>
    <t>bois tendre encore bien représentés et très entravé</t>
  </si>
  <si>
    <t>catégorie confirmée par le canton</t>
  </si>
  <si>
    <t>déjà revitalisé</t>
  </si>
  <si>
    <t>déjà revitalisé 2006</t>
  </si>
  <si>
    <t>Suffit de retirer les entraves. Pas de biens dommageables au-delà des entraves</t>
  </si>
  <si>
    <t>pas évalué : beau potentiel car système encore fonctionnel (bcp bois tendre) mais longue entrave entre cours d'eau et z. alluviale</t>
  </si>
  <si>
    <t>car entravé sur un petit tronçon</t>
  </si>
  <si>
    <t>Revitalisation partiellement nécessaire confirmée par le plan de gestion</t>
  </si>
  <si>
    <t>La finalisation du plan de gestion est prévue pour le début 2017. Les mesures de gestion vont dans le même sens que celles prévues dans la ZA de la Lomenne.</t>
  </si>
  <si>
    <t xml:space="preserve">Selon le plan de gestion finalisé, notre Office propose de modifier le besoin de revitalisation à partiellement nécessaire </t>
  </si>
  <si>
    <t>Le plan de gestion est achevé et sera présenté aux propriétaires concernés, selon l'art. 3 OZA, dans le 1er semestre 2017. Celui-ci prévoit notamment une série d'aménagements tels que la création d'annexes hydrauliques, de terrasses basses, le renforcement de la ripisylve avec ou sans abaissement de la rive, la revitalisation de zones humides, la restriction d’utilisation, etc.</t>
  </si>
  <si>
    <t>K0</t>
  </si>
  <si>
    <t xml:space="preserve">Selon le plan de gestion, notre Office propose de laisser le besoin de revitalisation à très nécessaire </t>
  </si>
  <si>
    <t>Lit endigué mais grand potentiel de restauration écologique</t>
  </si>
  <si>
    <t>Uri non nécessaire; OW partiellement nécessaire car il y a des stabilisations.</t>
  </si>
  <si>
    <t>réponse OW</t>
  </si>
  <si>
    <t>CRL: pas d'accord pour OW. Il y a un potentiel à Engelberg sur la partie OW.</t>
  </si>
  <si>
    <t>c, e (Spalte T)</t>
  </si>
  <si>
    <t>Revitalisierungsmassnahmen werden im Rahmen Prüfung eines eingereichten Konzessionsgesuches zur Wasserkraftnutzung zur Zeit diskutiert.</t>
  </si>
  <si>
    <t>nicht vorgesehen</t>
  </si>
  <si>
    <t>LIRE EMAIL ZH</t>
  </si>
  <si>
    <t>Revitalisierung im Rahmen des Hochwasserschutzprojektes genehmigt; Realisierung ab 2017.</t>
  </si>
  <si>
    <t>Revitalisierung 2009 erfolgt, Monitoring beim Amt für Natur, Jagd und Fischerei</t>
  </si>
  <si>
    <t>Revitalisierung rechter Deltaflügel 2010 erfolgt, linker Deltaflügel noch ausstehend</t>
  </si>
  <si>
    <t>classe commune retenue (gering)</t>
  </si>
  <si>
    <t>OK - keine wesentliche Beeinträchtigung, natürliches Gewässer</t>
  </si>
  <si>
    <t>keine Massnahmen erforderlich, da seit 2002 der Auenwald nicht mehr vor der Thur geschützt ist
Einstufung: Farbe Blau</t>
  </si>
  <si>
    <t>mais pas de mesure prévue</t>
  </si>
  <si>
    <t>Revitalisierungsmassnahmen werden im Rahmen der Ausarbeitung des Thurrichtprojektes (Stufe Machbarkeit) zur Zeit erarbeitet</t>
  </si>
  <si>
    <r>
      <t xml:space="preserve">Resultat Kanton gemäss strat.Planung: Priorität </t>
    </r>
    <r>
      <rPr>
        <sz val="8"/>
        <color rgb="FFFF33CC"/>
        <rFont val="Arial"/>
        <family val="2"/>
      </rPr>
      <t>"gross" (Spalte Q)</t>
    </r>
    <r>
      <rPr>
        <sz val="8"/>
        <rFont val="Arial"/>
        <family val="2"/>
      </rPr>
      <t xml:space="preserve">
c, e (Spalte T)</t>
    </r>
  </si>
  <si>
    <t>assainir le charriage et revitaliser l'affluent</t>
  </si>
  <si>
    <t>TG: selon moi c'est difficile au vu de l'autoroute en RD et de la montagne + grotto etc. en RG</t>
  </si>
  <si>
    <t>revitalisation terminée</t>
  </si>
  <si>
    <t>nécessaire seulement sur certains tronçons</t>
  </si>
  <si>
    <t>car déjà en partie naturel</t>
  </si>
  <si>
    <t>2 affulents prioritaires</t>
  </si>
  <si>
    <t xml:space="preserve">Non riteniamo prioritario intervenire con opere di rivitalizzazione sul fiume Brenno presso l’oggetto inventariato. Il rapporto tra i costi e i benefici non giustifica una necessità di intervento nell’orizzonte temporale previsto dalla pianificazione strategica per quanto riguarda le tratte a beneficio rilevante </t>
  </si>
  <si>
    <t>CRL: le besoin de revitalisation n'est pas lié au rapport entre coûts et bénéfices.</t>
  </si>
  <si>
    <t xml:space="preserve"> Il rapporto tra i costi e i benefici non giustifica una necessità di intervento nell’orizzonte temporale previsto dalla pianificazione strategica per quanto riguarda le tratte a beneficio rilevante </t>
  </si>
  <si>
    <t>peu de bois tendre en apparence sur les othophotos ?</t>
  </si>
  <si>
    <t>suffit de retirer les entraves. Pas de biens dommageables au-delà des entraves</t>
  </si>
  <si>
    <t>peu nécessaire difficile</t>
  </si>
  <si>
    <t>revitalisation terminée mais la diminution du dragage serait très favorable pour le développement du delta</t>
  </si>
  <si>
    <t>objet très entravé et impact sur la végétation (pas de bois tendre)</t>
  </si>
  <si>
    <t>facile, suffit de stopper le dragage</t>
  </si>
  <si>
    <t>CRL: méandre "en Crause" nécessite une revitalisation, mais voie CFF à proximité</t>
  </si>
  <si>
    <t>Attention sans doute une erreur dans le calcul d'indice d'entrave</t>
  </si>
  <si>
    <t>revitlaisation du delta de l'Arnon  nécessaire</t>
  </si>
  <si>
    <t>Haut potentiel : encore formation de bas-marais et bois tendre, nécessite seulement le retrait des entraves. Pas de biens dommageables au-delà des digues</t>
  </si>
  <si>
    <t>Problèmes sécuritaires. La mesure propose un chenal pilote, incompatible avec l'OZA</t>
  </si>
  <si>
    <t>Il y a des seuils</t>
  </si>
  <si>
    <t>Stabilisation de berge seront enlevées</t>
  </si>
  <si>
    <t>la nécessité ne concerne que les affluents (le canton prévoit effectivement des mesures sur les affluents)</t>
  </si>
  <si>
    <t>situation qui a évalué depuis 2005. Nécessaire selon S. LUSSI (visite du 13.07.2013)</t>
  </si>
  <si>
    <t>Aufwertungsprojekt ausgeführt 2003/2004</t>
  </si>
  <si>
    <t>LIRE EMAIL</t>
  </si>
  <si>
    <t>Revitalisierungen, die die Auenlebensräume tatsächlich in grösserem Umfeld wieder in einen funktionierenden, dynamischen Zustand bringen, sind im dicht bebauten Kanton Zürich kaum mehr umsetzbar.</t>
  </si>
  <si>
    <t>Nr ss-sys</t>
  </si>
  <si>
    <t>Région / Region</t>
  </si>
  <si>
    <t>Etage / Höhenstufe</t>
  </si>
  <si>
    <t>Altitude / Höhe ü. M.</t>
  </si>
  <si>
    <t>Inscription / Aufnahme</t>
  </si>
  <si>
    <t>Typo</t>
  </si>
  <si>
    <t>Typologie</t>
  </si>
  <si>
    <t>Style naturel / natürlicher Stil</t>
  </si>
  <si>
    <t>Etat actuel / aktueller Zustand</t>
  </si>
  <si>
    <t>Bassins lémanique et rhénan</t>
  </si>
  <si>
    <t>Collinéen</t>
  </si>
  <si>
    <t>Cours d'eau naturels de l'étage collinéen du Moyen-Pays</t>
  </si>
  <si>
    <t>en méandres migrants</t>
  </si>
  <si>
    <t>Cours d'eau corrigés de l'étage collinéen du Moyen-Pays</t>
  </si>
  <si>
    <t>cours rectiligne (bras mort)</t>
  </si>
  <si>
    <t>Jura et Randen</t>
  </si>
  <si>
    <t>cours rectiligne</t>
  </si>
  <si>
    <t>Bassins lémanique et rhénan, Plateau oriental</t>
  </si>
  <si>
    <t>en tresses</t>
  </si>
  <si>
    <t>Plateau oriental</t>
  </si>
  <si>
    <t>méandres développés</t>
  </si>
  <si>
    <t>méandres développés - cours encaissé</t>
  </si>
  <si>
    <t>Plateau oriental, Préalpes</t>
  </si>
  <si>
    <t>Alpes septentrionales</t>
  </si>
  <si>
    <t>520 m</t>
  </si>
  <si>
    <t>candidat</t>
  </si>
  <si>
    <t>Cours d'eau de l'étage collinéen des Alpes centrales</t>
  </si>
  <si>
    <t>540 m</t>
  </si>
  <si>
    <t>Alpes centrales orientales</t>
  </si>
  <si>
    <t>Montagnard inf.</t>
  </si>
  <si>
    <t>Cours d'eau corrigés de l'étage montagnard</t>
  </si>
  <si>
    <t>méandres migrants</t>
  </si>
  <si>
    <t>Montagnard sup.</t>
  </si>
  <si>
    <t>Cours d'eau naturels de l'étage montagnard</t>
  </si>
  <si>
    <t>Subalpin inf.</t>
  </si>
  <si>
    <t>Rives de lacs de retenue des étages collinéen et montagnard</t>
  </si>
  <si>
    <t>rives lacustres</t>
  </si>
  <si>
    <t>Bassins lémanique et rhénan, Jura et Randen</t>
  </si>
  <si>
    <t xml:space="preserve">bras latéral en tresses </t>
  </si>
  <si>
    <t>Plateau occidental</t>
  </si>
  <si>
    <t>méandres stabilisés</t>
  </si>
  <si>
    <t>en méandres migrants - bras morts</t>
  </si>
  <si>
    <t>Singularité: Cours d'eau en milieu marécageux</t>
  </si>
  <si>
    <t>rives de lacs de retenues</t>
  </si>
  <si>
    <t>Préalpes, Plateau occidental</t>
  </si>
  <si>
    <t>Plateau occidental, Préalpes</t>
  </si>
  <si>
    <t>méandres - cours encaissé</t>
  </si>
  <si>
    <t>cours encaissé</t>
  </si>
  <si>
    <t>Préalpes</t>
  </si>
  <si>
    <t>Delta</t>
  </si>
  <si>
    <t>delta</t>
  </si>
  <si>
    <t>delta dégradé</t>
  </si>
  <si>
    <t>Préalpes, Alpes septentrionales</t>
  </si>
  <si>
    <t>Alpes septentrionales, Préalpes</t>
  </si>
  <si>
    <t>Rives de lacs des étages collinéen et montagnard</t>
  </si>
  <si>
    <t>rives lacustres temporairement inondées</t>
  </si>
  <si>
    <t>cours rectiligne (en bancs alternés)</t>
  </si>
  <si>
    <t>en méandres développés</t>
  </si>
  <si>
    <t>Singularité: Cônes d'alluvions de l'étage collinéen</t>
  </si>
  <si>
    <t>Subalpin sup.</t>
  </si>
  <si>
    <t>Cours d'eau naturels de l'étage subalpin</t>
  </si>
  <si>
    <t>Cours d'eau naturels de l'étage collinéen du Sud des Alpes</t>
  </si>
  <si>
    <t>Bassins lémanique et rhénan, Plateau occidental</t>
  </si>
  <si>
    <t>Plateau occidental, Alpes septentrionales</t>
  </si>
  <si>
    <t>Alpes centrales occidentales</t>
  </si>
  <si>
    <t>Alpin</t>
  </si>
  <si>
    <t>en méandres - glaciers</t>
  </si>
  <si>
    <t>glaciers</t>
  </si>
  <si>
    <t>en tresses (dégradé)</t>
  </si>
  <si>
    <t>Singularité: Cours d'eau jurassiens</t>
  </si>
  <si>
    <t>Alpes méridionales</t>
  </si>
  <si>
    <t>cours rectiligne (bancs alternés)</t>
  </si>
  <si>
    <t>Tessin méridional</t>
  </si>
  <si>
    <t>Cours d'eau corrigés de l'étage collinéen du Sud des Alpes</t>
  </si>
  <si>
    <t>en méandres migrants ?????</t>
  </si>
  <si>
    <t>cours rectiligne (avec élargissement latéral)</t>
  </si>
  <si>
    <t>Tessin méridional, Alpes méridionales</t>
  </si>
  <si>
    <t>méandres migrants (en bancs alternés)</t>
  </si>
  <si>
    <t>Cours d'eau corrigés de l'étage subalpin</t>
  </si>
  <si>
    <t>Plateau occidental, Jura et Randen</t>
  </si>
  <si>
    <t>Rives de lacs de l'étage collinéen</t>
  </si>
  <si>
    <t>Jura et Randen, Plateau occidental</t>
  </si>
  <si>
    <t>rives lacustres (pas d'embouchure de cours d'eau)</t>
  </si>
  <si>
    <t>rectiligne</t>
  </si>
  <si>
    <t>400 m</t>
  </si>
  <si>
    <t>430 m</t>
  </si>
  <si>
    <t xml:space="preserve">Montagnard sup. </t>
  </si>
  <si>
    <t>900 m</t>
  </si>
  <si>
    <t>960 m</t>
  </si>
  <si>
    <t>860 m</t>
  </si>
  <si>
    <t>480 m</t>
  </si>
  <si>
    <t>Cours d'eau naturels de l'étage collinéen du Sud des Alpes, Plateau occidental</t>
  </si>
  <si>
    <t>en méandres</t>
  </si>
  <si>
    <t>1900 m</t>
  </si>
  <si>
    <t>1380 m</t>
  </si>
  <si>
    <t>1740 m</t>
  </si>
  <si>
    <t>1780 m</t>
  </si>
  <si>
    <t>1480 m</t>
  </si>
  <si>
    <t>1240 m</t>
  </si>
  <si>
    <t>1700 m</t>
  </si>
  <si>
    <t>2260 m</t>
  </si>
  <si>
    <t>1800 m</t>
  </si>
  <si>
    <t>Plateau oriental, Bassins lémanique et rhénan</t>
  </si>
  <si>
    <t>660 m</t>
  </si>
  <si>
    <t>pseudo tresse formée à l'amont d'un dépotoire</t>
  </si>
  <si>
    <t>420 m</t>
  </si>
  <si>
    <t>1420 m</t>
  </si>
  <si>
    <t>ménadres migrants</t>
  </si>
  <si>
    <t>Rhein - cours rectiligne (Mülbach - en méandres migrants)</t>
  </si>
  <si>
    <t>490 m</t>
  </si>
  <si>
    <t>1630 m</t>
  </si>
  <si>
    <t>840 m</t>
  </si>
  <si>
    <t>1160 m</t>
  </si>
  <si>
    <t>830 m</t>
  </si>
  <si>
    <t>730 m</t>
  </si>
  <si>
    <t>620 m</t>
  </si>
  <si>
    <t>1220 m</t>
  </si>
  <si>
    <t>800 m</t>
  </si>
  <si>
    <t>1640 m</t>
  </si>
  <si>
    <t>990 m</t>
  </si>
  <si>
    <t>1550 m</t>
  </si>
  <si>
    <t>1760 m</t>
  </si>
  <si>
    <t>Alpes méridionales, Tessin méridional</t>
  </si>
  <si>
    <t>270 m</t>
  </si>
  <si>
    <t>cours rectiligne avec bancs alternés</t>
  </si>
  <si>
    <t>466 m</t>
  </si>
  <si>
    <t>Cours d'eau jurassien</t>
  </si>
  <si>
    <t>&gt;90%</t>
  </si>
  <si>
    <t>AG-W 314</t>
  </si>
  <si>
    <t>Windisch / Spinnerei Kunz AG</t>
  </si>
  <si>
    <t>50-90%</t>
  </si>
  <si>
    <t>AG-W 309</t>
  </si>
  <si>
    <t>Wildegg-Brugg</t>
  </si>
  <si>
    <t>Restwassermenge mind. 10 m3/s ganzjährig</t>
  </si>
  <si>
    <t>AG-W853</t>
  </si>
  <si>
    <t>Albbruck</t>
  </si>
  <si>
    <t>Restwassermenge 200 m3/s</t>
  </si>
  <si>
    <t>Qmoy=1000m3/s</t>
  </si>
  <si>
    <t>aucune information supplémentaire</t>
  </si>
  <si>
    <t>&lt;10%</t>
  </si>
  <si>
    <t>ZH-c70KA1</t>
  </si>
  <si>
    <t>Kraftanlage zum Betrieb einer Weberei</t>
  </si>
  <si>
    <t>Keine Ergänzungen</t>
  </si>
  <si>
    <t>BE-298</t>
  </si>
  <si>
    <t>Hagerhüsli</t>
  </si>
  <si>
    <t>BE-91</t>
  </si>
  <si>
    <t>Spiez</t>
  </si>
  <si>
    <t>10-50% / 50-90%</t>
  </si>
  <si>
    <t>10-50%</t>
  </si>
  <si>
    <t>BE-112</t>
  </si>
  <si>
    <t>Simmenfluh</t>
  </si>
  <si>
    <t>BE-59</t>
  </si>
  <si>
    <t>Interlaken</t>
  </si>
  <si>
    <t>BE-5</t>
  </si>
  <si>
    <t>Hagneck</t>
  </si>
  <si>
    <t>Tient compte des prélèvements &gt;50% sur les affluents en rive gauche</t>
  </si>
  <si>
    <t xml:space="preserve"> Prélèvement : &lt;50%</t>
  </si>
  <si>
    <t>FR-W 2</t>
  </si>
  <si>
    <t>Hauterive</t>
  </si>
  <si>
    <t>Débit résiduel dans tronçon court-circuité</t>
  </si>
  <si>
    <t>Tout le débit de la Sarine passe dans la ZA (pas de tronçon court-circuité)</t>
  </si>
  <si>
    <t>&gt;90% (mais ne concerne que le tiers amont de l'objet, les deux-tiers aval sont à 100%)</t>
  </si>
  <si>
    <t xml:space="preserve">(GE-002) Prélèvement : &gt; 50% </t>
  </si>
  <si>
    <t>GE-W 3</t>
  </si>
  <si>
    <t>L'usine de Richelien influence uniquement ~1/5 du tronçon, dans la partie amont de la ZA</t>
  </si>
  <si>
    <t>GR-EWZN7-1</t>
  </si>
  <si>
    <t>Rothenbrunnen (EWZ)</t>
  </si>
  <si>
    <t>GR-KWI1-1</t>
  </si>
  <si>
    <t>Ilanz I (Stufe Tavanasa)</t>
  </si>
  <si>
    <t>Fehlende Angaben</t>
  </si>
  <si>
    <t>GR-KVR3-4</t>
  </si>
  <si>
    <t>Tavanasa</t>
  </si>
  <si>
    <t>GR-KVR2-1</t>
  </si>
  <si>
    <t>Sedrun, Laufwerk</t>
  </si>
  <si>
    <t>GR-MKW3-4</t>
  </si>
  <si>
    <t>Soazza</t>
  </si>
  <si>
    <t>GR-MKW1-2</t>
  </si>
  <si>
    <t>Spina (Valbella)</t>
  </si>
  <si>
    <t>GR-EKW5-1</t>
  </si>
  <si>
    <t>Martina</t>
  </si>
  <si>
    <t>GR-EKW4-2</t>
  </si>
  <si>
    <t>Pradella</t>
  </si>
  <si>
    <t>Fehlende Angaben / 10-50%</t>
  </si>
  <si>
    <t>Muranzina</t>
  </si>
  <si>
    <t>GR-KVR1-14</t>
  </si>
  <si>
    <t>Sedrun</t>
  </si>
  <si>
    <t>GR-KWZ1-2</t>
  </si>
  <si>
    <t>Zervreila</t>
  </si>
  <si>
    <t>GR-KWZ4-1</t>
  </si>
  <si>
    <t>Realta</t>
  </si>
  <si>
    <t>GR-KWZ2-4</t>
  </si>
  <si>
    <t>Safien Platz</t>
  </si>
  <si>
    <t>GR-GKL1-2</t>
  </si>
  <si>
    <t>Lueen</t>
  </si>
  <si>
    <t>GR-REK3-2</t>
  </si>
  <si>
    <t>Küblis</t>
  </si>
  <si>
    <t>GR-EWZS4-1</t>
  </si>
  <si>
    <t>Castasegna</t>
  </si>
  <si>
    <t>GR-EWZS2-1</t>
  </si>
  <si>
    <t>Loebbia (Forno)</t>
  </si>
  <si>
    <t>&lt;10% (prélévement hydro-électrique en amont )</t>
  </si>
  <si>
    <t>Prélèvement &gt;50% (GR-164)</t>
  </si>
  <si>
    <t>GR-EWSA1-1</t>
  </si>
  <si>
    <t>Rosegg</t>
  </si>
  <si>
    <t xml:space="preserve"> Abfluss vermutlich natürlich (100%)</t>
  </si>
  <si>
    <t>Pas d'assainissement nécessaire</t>
  </si>
  <si>
    <t>Pas de tronçon à débit court-circuité</t>
  </si>
  <si>
    <t>Prélèvement d'eau superficielle compatible avec les objectifs de protection de la zone alluviale</t>
  </si>
  <si>
    <t>JU-56 G 72</t>
  </si>
  <si>
    <t>Moulin Grillon</t>
  </si>
  <si>
    <t>Le concessionnaire jouit d'un droit d'eau illimité. Le débit résiduel a été fixé en 1999 à 4 - 4.5 m3/s et confirmé à 4 m3/s en 2013, dans la procédure liée à la réalisation du dispositif de franchissement. Il sera donc augmenté dès réalisation de l'ouvrage. Par ailleurs, la part du débit résiduel qui n'est pas dévolue au débit d'équipement de l'ouvrage de franchissement, doit être déversée sur toute la longueur du seuil pour des raisons paysagères et biologiques. Ce débit de "déversement", sous réserve d'un débit naturel plus faible, doit en tout temps être garanti. Tout prélèvement en-dessous de 11m3/s doit être adapté et proscrit en-dessous 7m3/s.</t>
  </si>
  <si>
    <t>Wasserentnahme am untersten  Ende des Auengebiets</t>
  </si>
  <si>
    <t>LU-W 10</t>
  </si>
  <si>
    <t>Konzession läuft 2021 aus. Vgl. Ergänzungen im Begleitschreiben.</t>
  </si>
  <si>
    <t>affluent (Gerisbach) au delta  à débit résiduel non pris en compte dans l'évaluation globale</t>
  </si>
  <si>
    <t>ne tient pas compte du prélévement de quantité inconnue sur affluent en amont</t>
  </si>
  <si>
    <t>100% malgré un tout petit tronçon à débit résiduel au Glattmüli</t>
  </si>
  <si>
    <t>Qdot= 200 l/s; Q347 = 430 l/s</t>
  </si>
  <si>
    <t>Jahresmittel = 2'500 l/s</t>
  </si>
  <si>
    <t>SG-W VI/171-1</t>
  </si>
  <si>
    <t>Niederglatt</t>
  </si>
  <si>
    <t>Die Restwasserstrecke (ca. 700 m) im Auenperimeter; Qdot nach Art. 31 GSchG = 248.8 l/s, daher kann die Beeinflussung bezüglich Restwasser auf grün gesetzt werden; Sanierung WK bis 2024 (Umsetzung) geplant</t>
  </si>
  <si>
    <t xml:space="preserve"> Prélèv :&gt; 50%(SG-016) (petit tronçon à debit résiduel non pris en compte dans évaluation globale)</t>
  </si>
  <si>
    <t>Q dot= 132 l/s; Q347 = 174 l/s</t>
  </si>
  <si>
    <t>Jahresmittel = 1'412 l/s</t>
  </si>
  <si>
    <t>SG-W II/41-1</t>
  </si>
  <si>
    <t>Lochmühle</t>
  </si>
  <si>
    <t>Die Restwasserstrecke beträgt 5.2 km, davon 2 km im Auenperimeter; Qdot nach Art. 31 GSchG = 136 l/s, daher kann die Beeinflussung bezüglich Restwasser auf blau gesetzt werden; Sanierung Wasserkraft bis 2021 (Umsetzung) geplant</t>
  </si>
  <si>
    <t>Aue wird durch GW gespiesen; aufgrund der (stark) gefallenen GW Spiegel wird die Aue mit Oberflächenwasser zus. alimentiert</t>
  </si>
  <si>
    <t>GW=Grundwasser. Se refère probablement plutôt à l'affluent. On évalue le Rhin pour la ZA.</t>
  </si>
  <si>
    <t>Zurzeit besteht ein Projekt unter der Federführung des Kt. TG mit einer erheblichen Verschlechterung der bestehenden Situation</t>
  </si>
  <si>
    <t>SO-W 6</t>
  </si>
  <si>
    <t>Biberist</t>
  </si>
  <si>
    <t xml:space="preserve">Neukonzessionierung 2030 (UVB 2017) </t>
  </si>
  <si>
    <t>Die Wägitaler Aa fällt im Bereich Aahorn häufig trocken (Restwasserproblematik - Kraftwerk im Oberlauf, Versickerung)</t>
  </si>
  <si>
    <t>Il y a un impact sur le débit, selon le canton, mais on ne sait pas de combien. On dégrade d'une classe.</t>
  </si>
  <si>
    <t>SZ-W4</t>
  </si>
  <si>
    <t>Balm (Muota)</t>
  </si>
  <si>
    <t>Neukonzessionierung 2030 (UVB 2017)</t>
  </si>
  <si>
    <t>10-50% (secteur amont : 0-20% du Qmoy, secteur aval : 100%)</t>
  </si>
  <si>
    <t>80 %</t>
  </si>
  <si>
    <t>Liegt unterhalb Einmündung Unterwasserkanal in den Binnenkanal. Somit 100% Wassermenge in Bezug auf Binnenkanal.
Ein Teil der Gesamtfläche des Auenschutzperimeter grenzt jedoch an Thur mit Restwasser</t>
  </si>
  <si>
    <t>TG-1771.28.07</t>
  </si>
  <si>
    <t>Vigogne</t>
  </si>
  <si>
    <t>Restwassersanierung in Berarbeitung</t>
  </si>
  <si>
    <t>Le tiers amont est influencé par une dérivation, mais on ne sait pas de combien.</t>
  </si>
  <si>
    <t>41 - 60 %</t>
  </si>
  <si>
    <t>neues Konzessionsgesuch</t>
  </si>
  <si>
    <t>TG-3361.28.01</t>
  </si>
  <si>
    <t>Bischofszell</t>
  </si>
  <si>
    <t>Prüfung Konzessionsgesuch für den Ausbau der Wasserkraftnutzung.</t>
  </si>
  <si>
    <t xml:space="preserve">In via di principio concordiamo con UFAM </t>
  </si>
  <si>
    <t>TI-W 42.1</t>
  </si>
  <si>
    <t>10-50% / &lt;10%</t>
  </si>
  <si>
    <t>TI-W 60</t>
  </si>
  <si>
    <t>Biasca</t>
  </si>
  <si>
    <t>TI-W 65.2</t>
  </si>
  <si>
    <t>&lt;10% / 10-50%</t>
  </si>
  <si>
    <t>TI-W 47</t>
  </si>
  <si>
    <t>Luzzone</t>
  </si>
  <si>
    <t>TI-W 26</t>
  </si>
  <si>
    <t>Verbano</t>
  </si>
  <si>
    <t>TI-W 25</t>
  </si>
  <si>
    <t>Peccia</t>
  </si>
  <si>
    <t>&lt;10% /  10-50%</t>
  </si>
  <si>
    <t>Il biotopo non è influenzato dal prelievo dell’impianto di Ponte Brolla, che restituisce le acque nella Maggia a monte della zona golenale, inoltre nessun bacino di compenso è presente presso l’impianto.</t>
  </si>
  <si>
    <t>TI-W 70</t>
  </si>
  <si>
    <t>Ponte Brolla</t>
  </si>
  <si>
    <t>In assenza di misurazioni disponibili il Cantone non può convalidare la situazione idrologica nel biotopo</t>
  </si>
  <si>
    <t>TI-W 54</t>
  </si>
  <si>
    <t>TI-W 4</t>
  </si>
  <si>
    <t>Piottino</t>
  </si>
  <si>
    <t>TI-W 9</t>
  </si>
  <si>
    <t>Biaschina</t>
  </si>
  <si>
    <t>TI-W 55</t>
  </si>
  <si>
    <t>UR-W 20.1</t>
  </si>
  <si>
    <t>Göschenen (Göscheneralp)</t>
  </si>
  <si>
    <t>UR-W .5.1</t>
  </si>
  <si>
    <t>Bürglen</t>
  </si>
  <si>
    <t>UR-W .9.1</t>
  </si>
  <si>
    <t>Ritom</t>
  </si>
  <si>
    <t>VD-W morges 501</t>
  </si>
  <si>
    <t>Prélèvement : &lt;50%</t>
  </si>
  <si>
    <t>VD-W cossonay 13</t>
  </si>
  <si>
    <t>VD-W vevey 8.1</t>
  </si>
  <si>
    <t>Veytaux</t>
  </si>
  <si>
    <t>VS-624.1</t>
  </si>
  <si>
    <t>Fionnay (Dixence)</t>
  </si>
  <si>
    <t>VS-613.3</t>
  </si>
  <si>
    <t>VS-500.2</t>
  </si>
  <si>
    <t>Chippis (Rhonewerke)</t>
  </si>
  <si>
    <t>Silliboden</t>
  </si>
  <si>
    <t>VS-200.3</t>
  </si>
  <si>
    <t>Massaboden</t>
  </si>
  <si>
    <t>VS-200.1</t>
  </si>
  <si>
    <t>Ernen</t>
  </si>
  <si>
    <t>VS-725.2</t>
  </si>
  <si>
    <t>Ardon</t>
  </si>
  <si>
    <t>VS-832.3</t>
  </si>
  <si>
    <t>Chatelard-Vallorcine (Emosson)</t>
  </si>
  <si>
    <t>Orsières</t>
  </si>
  <si>
    <t>VS-424.2</t>
  </si>
  <si>
    <t>VS-315.2</t>
  </si>
  <si>
    <t>Tannuwald</t>
  </si>
  <si>
    <t>ZG-W 4</t>
  </si>
  <si>
    <t>Für die Wasserspeisung der Auenlebensräume (Auenwald, Flachmoor) ist die Wassermenge in der Restwasserstrecke (Lorzenlauf) nicht ausschlaggebend. Viel wichtiger für die Wasserspeisung der Auenlebensräume ist die Wasserdotierung über Ausleitungen aus dem Oberwasserkanal des Kraftwerkes.</t>
  </si>
  <si>
    <t>GR-KVR3-4
GR-KVR3-10</t>
  </si>
  <si>
    <t>BE-416
BE-91</t>
  </si>
  <si>
    <t>BE-447c
BE-447d</t>
  </si>
  <si>
    <t>VS-627.1
VS-625.1</t>
  </si>
  <si>
    <t>VS-269.1
VS-261.2
VS-262.1</t>
  </si>
  <si>
    <t>TI-W 58
TI-W 60</t>
  </si>
  <si>
    <t>GR-PEM1-1
GR-PEM2-1</t>
  </si>
  <si>
    <t>TI-W D
TI-W 36</t>
  </si>
  <si>
    <t>Bavona
Cavergno</t>
  </si>
  <si>
    <t>VS-832.2
VS-832.1</t>
  </si>
  <si>
    <t>GR-KWZ3-1
GR-KWZ2-4</t>
  </si>
  <si>
    <t>Rothenbrunnen (KWZ)
Safien Platz</t>
  </si>
  <si>
    <t>Nombre d'objets
Anzahl Objekte</t>
  </si>
  <si>
    <t xml:space="preserve">a  </t>
  </si>
  <si>
    <t>%</t>
  </si>
  <si>
    <t>Non pertinent
Nicht relevant</t>
  </si>
  <si>
    <t>Naturel ou déficit 0-20% 
Natürlich oder Defizit 
0-20%</t>
  </si>
  <si>
    <t>Faiblement perturbé ou déficit 21-50% 
Wenig beeinträchtigt oder Defizit 21-50%</t>
  </si>
  <si>
    <t>Perturbé ou déficit 51-80% 
Beeinträchtigt oder Defizit 51-80%</t>
  </si>
  <si>
    <t>Fortement perturbé ou déficit 81-100% 
Stark beeinträchtigt oder Defizit 81-100%</t>
  </si>
  <si>
    <t>Total</t>
  </si>
  <si>
    <t>Non pertinent / nicht relevant</t>
  </si>
  <si>
    <t>81-100% 
du débit naturel / des natürlichen Abflusses</t>
  </si>
  <si>
    <t>61-80% 
du débit naturel / des natürlichen Abflusses</t>
  </si>
  <si>
    <t>41-60% 
du débit naturel / des natürlichen Abflusses</t>
  </si>
  <si>
    <t>21-40% 
du débit naturel / des natürlichen Abflusses</t>
  </si>
  <si>
    <t>0-20% 
du débit naturel / des natürlichen Abflusses</t>
  </si>
  <si>
    <t>Non affecté 
nicht betroffen</t>
  </si>
  <si>
    <t>Potentiellement affecté (non plausible) 
möglicherweise betroffen
 (nicht nachweisbar)</t>
  </si>
  <si>
    <t>Potentiellement affecté  (plausible)
 möglicherweise betroffen (nachweisbar)</t>
  </si>
  <si>
    <t>Non pertinent
 nicht relevant</t>
  </si>
  <si>
    <t>Non nécessaire
nicht nötig</t>
  </si>
  <si>
    <t>Partiellement nécessaire, difficile 
teilweise nötig, schwierig</t>
  </si>
  <si>
    <t>Partiellement nécessaire, facile 
teilweise nötig, einfach</t>
  </si>
  <si>
    <t>Très nécessaire, difficile 
unbedingt nötig, schwierig</t>
  </si>
  <si>
    <t>Très nécessaire, facile 
unbedingt nötig, einfach</t>
  </si>
  <si>
    <t>Lignes pour calculs</t>
  </si>
  <si>
    <t>Valeur attribuée</t>
  </si>
  <si>
    <t>Valeur Hanus et al. 2014</t>
  </si>
  <si>
    <t xml:space="preserve">« Beeinträchtigung » </t>
  </si>
  <si>
    <t>Non évalué</t>
  </si>
  <si>
    <t>pas utilisé</t>
  </si>
  <si>
    <t>Remarque</t>
  </si>
  <si>
    <t>Faible/notable</t>
  </si>
  <si>
    <t>notable</t>
  </si>
  <si>
    <t>très prononcé</t>
  </si>
  <si>
    <t>wesentlich/mittel</t>
  </si>
  <si>
    <t>Non évalué / abzuklären</t>
  </si>
  <si>
    <t>mittel/stark</t>
  </si>
  <si>
    <t>gering/mässig</t>
  </si>
  <si>
    <t>mässig/stark</t>
  </si>
  <si>
    <t>terminologie utilisée par Schälchli</t>
  </si>
  <si>
    <t>Nul/négligeable</t>
  </si>
  <si>
    <t>Aucun objet n'a été évalué</t>
  </si>
  <si>
    <t>Situation rencontrée pour une grande partie des objets</t>
  </si>
  <si>
    <t>Pour Valais : valeur sélectionnée si Hanus et al. 2014 est 0-20%</t>
  </si>
  <si>
    <t>Pour Valais : valeur sélectionnée si Hanus et al. 2014 est &gt;20% ou si « atteinte significative » et il est indiqué que le problème est lié au débit de restitution.</t>
  </si>
  <si>
    <t>Pour Valais : valeur sélectionnée si Hanus et al. 2014 est 0-80%</t>
  </si>
  <si>
    <t>Pour Valais : valeur sélectionnée si Hanus et al. 2014 est 81-100%</t>
  </si>
  <si>
    <t>naturel</t>
  </si>
  <si>
    <t>moyen/wesentlich et 35%</t>
  </si>
  <si>
    <t>moyen/wesentlich</t>
  </si>
  <si>
    <t>Obj. 5: Thur Qs naturel et Rhin Qs faible</t>
  </si>
  <si>
    <t>Obj. 92 et 95 chiffrés à 35%</t>
  </si>
  <si>
    <t>atteinte</t>
  </si>
  <si>
    <t>0-20</t>
  </si>
  <si>
    <t>21-40</t>
  </si>
  <si>
    <t>41-60</t>
  </si>
  <si>
    <t>wesentlich /mässig/mittel</t>
  </si>
  <si>
    <t>61-80</t>
  </si>
  <si>
    <t>prononcée</t>
  </si>
  <si>
    <t>stark/gross</t>
  </si>
  <si>
    <t>81-100</t>
  </si>
  <si>
    <t>Non pertinent / Nicht relevant</t>
  </si>
  <si>
    <t>Naturel ou déficit 0-20% / Natürlich oder Defizit 0-20%</t>
  </si>
  <si>
    <t>Faiblement perturbé ou déficit 21-50% / Wenig beeinträchtigt oder Defizit 21-50%</t>
  </si>
  <si>
    <t>Perturbé ou déficit 51-80% / Beeinträchtigt oder Defizit 51-80%</t>
  </si>
  <si>
    <t>Fortement perturbé ou déficit 81-100% / Stark beeinträchtigt oder Defizit 81-100%</t>
  </si>
  <si>
    <t>81-100% du débit naturel / des natürlichen Abflusses</t>
  </si>
  <si>
    <t>61-80% du débit naturel / des natürlichen Abflusses</t>
  </si>
  <si>
    <t>41-60% du débit naturel / des natürlichen Abflusses</t>
  </si>
  <si>
    <t>21-40% du débit naturel / des natürlichen Abflusses</t>
  </si>
  <si>
    <t>0-20% du débit naturel / des natürlichen Abflusses</t>
  </si>
  <si>
    <t>Non nécessaire/ nicht nötig</t>
  </si>
  <si>
    <t>AU_OBJ</t>
  </si>
  <si>
    <t>Nombre centrales</t>
  </si>
  <si>
    <t>Numero centrale</t>
  </si>
  <si>
    <t>Kantonaler</t>
  </si>
  <si>
    <t>Zentrale</t>
  </si>
  <si>
    <t>Haupt/Neben</t>
  </si>
  <si>
    <t>TextKlassierungEAWAG</t>
  </si>
  <si>
    <t>Résultat final débit / Endresultat Abfluss</t>
  </si>
  <si>
    <t>Neukonz</t>
  </si>
  <si>
    <t>Nutzungsende</t>
  </si>
  <si>
    <t>TextStandSanierung</t>
  </si>
  <si>
    <t>Sanierung</t>
  </si>
  <si>
    <t>Hauptgewässer</t>
  </si>
  <si>
    <t>N</t>
  </si>
  <si>
    <t>x</t>
  </si>
  <si>
    <t>Neukonzessionierung</t>
  </si>
  <si>
    <t>neuk</t>
  </si>
  <si>
    <t>Sanierung nach 80.1 abgeschlossen</t>
  </si>
  <si>
    <t>abgeschlossen?</t>
  </si>
  <si>
    <t>Aussage Kanton: bis auf KW Sarganserland alle abgeschlossen</t>
  </si>
  <si>
    <t>SG-W VI/236-1</t>
  </si>
  <si>
    <t>Ibach</t>
  </si>
  <si>
    <t>Nebengewässer</t>
  </si>
  <si>
    <t>kein zusätzliches Restwasser</t>
  </si>
  <si>
    <t>San -</t>
  </si>
  <si>
    <t>RT abgeschlossen</t>
  </si>
  <si>
    <t>kein zusätzliches Wasser</t>
  </si>
  <si>
    <t>GR-KWG1-1</t>
  </si>
  <si>
    <t>Glaris Mühle</t>
  </si>
  <si>
    <t>Restwassersanierung offen</t>
  </si>
  <si>
    <t xml:space="preserve">RT offen; </t>
  </si>
  <si>
    <t>KT und Axpo: Sanierung mit damaligem BG Entscheid abgeschlossen, kein zusätzliches Wasser</t>
  </si>
  <si>
    <t>GR-KWI2-3</t>
  </si>
  <si>
    <t>Ilanz II (Stufe Panix)</t>
  </si>
  <si>
    <t>Vorderrhein, Rein de Sumvitg, Rein da Medel</t>
  </si>
  <si>
    <t>Restwassersanierung am laufen</t>
  </si>
  <si>
    <t>San</t>
  </si>
  <si>
    <t>GR-KVR3-10</t>
  </si>
  <si>
    <t>Vorderrhein, Rein da Medel</t>
  </si>
  <si>
    <t>GR-HSU1-1</t>
  </si>
  <si>
    <t>Russein</t>
  </si>
  <si>
    <t>GR-KVR3-1</t>
  </si>
  <si>
    <t>GR-HSU2-2</t>
  </si>
  <si>
    <t>Tavanasa (Patvag)</t>
  </si>
  <si>
    <t>GR-KWF1-1</t>
  </si>
  <si>
    <t>Mutteins</t>
  </si>
  <si>
    <t>unbekannt</t>
  </si>
  <si>
    <t>AG-W 163</t>
  </si>
  <si>
    <t>Stroppel</t>
  </si>
  <si>
    <t>AG-W 117</t>
  </si>
  <si>
    <t>BAG Turgi</t>
  </si>
  <si>
    <t>San ?</t>
  </si>
  <si>
    <t>bei Kanton 'hängig'</t>
  </si>
  <si>
    <t xml:space="preserve">RT sollte eigentlich schon angelaufen sein, Dotierversuche waren in Planung, wurden wieder abgesagt. </t>
  </si>
  <si>
    <t>?</t>
  </si>
  <si>
    <t>RW Sanierung verfügt; evt. Verfahren offen?</t>
  </si>
  <si>
    <t>FR-W 1</t>
  </si>
  <si>
    <t>Oelberg</t>
  </si>
  <si>
    <t>Kander, Thunersee, Simme</t>
  </si>
  <si>
    <t>BKW OW</t>
  </si>
  <si>
    <t>RT offen</t>
  </si>
  <si>
    <t>BE-416</t>
  </si>
  <si>
    <t>BE-447c</t>
  </si>
  <si>
    <t>mit KWO NK saniert?</t>
  </si>
  <si>
    <t>BE-447d</t>
  </si>
  <si>
    <t>Im unteren Abschnitt vom Urbachwasser wird derzeit ein neues KW gebaut, konnte leider nicht verhindert werden.</t>
  </si>
  <si>
    <t>Keine Infos, wohl ehehaftes Recht?</t>
  </si>
  <si>
    <t>RW Sanierung liegt gerade auf</t>
  </si>
  <si>
    <t>ehehaftes Recht müsste aufgelöst werden! WWF spricht ein und fordert langfristig Rückbau.</t>
  </si>
  <si>
    <t>OW-W 13.1E</t>
  </si>
  <si>
    <t>Säge</t>
  </si>
  <si>
    <t>Sanierung verfügt</t>
  </si>
  <si>
    <t>umgesetzt; wurde revitalisiert (Aufhebung Camping etc.)</t>
  </si>
  <si>
    <t>GE-W 2</t>
  </si>
  <si>
    <t>saniert 70% Art. 31</t>
  </si>
  <si>
    <t>Borgne</t>
  </si>
  <si>
    <t>VS-616.1</t>
  </si>
  <si>
    <t>VS-615.1</t>
  </si>
  <si>
    <t>VS-613.1</t>
  </si>
  <si>
    <t>VS-629.1</t>
  </si>
  <si>
    <t>La Borgne de Ferpècle, Torrent de Darbonneire, Torrent de Bricola</t>
  </si>
  <si>
    <t>VS-627.1</t>
  </si>
  <si>
    <t>VS-625.1</t>
  </si>
  <si>
    <t>VS-552.1</t>
  </si>
  <si>
    <t>Oberems</t>
  </si>
  <si>
    <t>VS-269.1</t>
  </si>
  <si>
    <t>VS-261.2</t>
  </si>
  <si>
    <t>WICKERTWALD</t>
  </si>
  <si>
    <t>VS-262.1</t>
  </si>
  <si>
    <t>Rotten / Rhone</t>
  </si>
  <si>
    <t>keine San</t>
  </si>
  <si>
    <t>xx</t>
  </si>
  <si>
    <t>San TI</t>
  </si>
  <si>
    <t>TI-W 58</t>
  </si>
  <si>
    <t>TI-W 63</t>
  </si>
  <si>
    <t>GR-ELIN2-2</t>
  </si>
  <si>
    <t>Grono</t>
  </si>
  <si>
    <t>GR-ELIN2-3</t>
  </si>
  <si>
    <t>San Misox</t>
  </si>
  <si>
    <t>GR-MKW3-7</t>
  </si>
  <si>
    <t>GR-ELIN1-3</t>
  </si>
  <si>
    <t>Lostallo</t>
  </si>
  <si>
    <t>GR-ELIN1-2</t>
  </si>
  <si>
    <t>GR-MKW3-5</t>
  </si>
  <si>
    <t>erhält u.U. Wasser, aber 12 neue KleinKW im EZG der Calancasca geplant. Kleine Aue</t>
  </si>
  <si>
    <t>TI-W 68</t>
  </si>
  <si>
    <t>Giumaglio</t>
  </si>
  <si>
    <t>TI-W 31</t>
  </si>
  <si>
    <t>TI-W 28</t>
  </si>
  <si>
    <t>TI-W 29</t>
  </si>
  <si>
    <t>TI-W 30</t>
  </si>
  <si>
    <t>TI-W 24.3</t>
  </si>
  <si>
    <t>TI-W 37</t>
  </si>
  <si>
    <t>Cavergno</t>
  </si>
  <si>
    <t>Inn / En</t>
  </si>
  <si>
    <t>RW Sanierung verfügt</t>
  </si>
  <si>
    <t xml:space="preserve">bestehende Dotierung nicht verändert, </t>
  </si>
  <si>
    <t>GR-EKW5-2</t>
  </si>
  <si>
    <t>bestehende Dotierung nicht verändert, Inn erhält aber über die neue Dotierung der Zuflüsse Vallember und Clemgia indirekt mehr Wasser (Clemgia bis zu 1000l/s; Vallember bis zu 400l/s)</t>
  </si>
  <si>
    <t>GR-PEM1-1</t>
  </si>
  <si>
    <t>GR-PEM2-1</t>
  </si>
  <si>
    <t>Chasseras</t>
  </si>
  <si>
    <t>TI-W D</t>
  </si>
  <si>
    <t>TI-W 36</t>
  </si>
  <si>
    <t>BE-458</t>
  </si>
  <si>
    <t>Obere Mühle</t>
  </si>
  <si>
    <t>BE-64</t>
  </si>
  <si>
    <t>Gasterntal</t>
  </si>
  <si>
    <t>100%?</t>
  </si>
  <si>
    <t>La Dranse de Ferret, Torrent de la Fouly</t>
  </si>
  <si>
    <t>VS-843.1</t>
  </si>
  <si>
    <t>VS-832.2</t>
  </si>
  <si>
    <t>schon neue Konz?</t>
  </si>
  <si>
    <t>RT noch offen</t>
  </si>
  <si>
    <t>Es gab irgendeine Anpassung der Konzession oder eine separtate Auflage, muss ich nochmal nachlesen oder nachforschen. Wurde im Zusammenhang mit Emosson diskutiert. Isabelle Dunant ist involviert bzw. sollte Bescheid wissen.</t>
  </si>
  <si>
    <t>VS-832.1</t>
  </si>
  <si>
    <t>VS-426.1</t>
  </si>
  <si>
    <t>Zwischbergenbach, Grosses Wasser</t>
  </si>
  <si>
    <t>umgesetzt, ohne Erhöhung 80.2</t>
  </si>
  <si>
    <t>UR-W 7.3</t>
  </si>
  <si>
    <t>Unterschächen</t>
  </si>
  <si>
    <t>TI-W 52</t>
  </si>
  <si>
    <t>TI-W 7</t>
  </si>
  <si>
    <t>Rein da Cristallina, Val Uffiern</t>
  </si>
  <si>
    <t>Inslas Glogn</t>
  </si>
  <si>
    <t>Glogn Glenner, Valser Rhein</t>
  </si>
  <si>
    <t>San x</t>
  </si>
  <si>
    <t>RT offen, kurz vor Abchluss od Abbruch</t>
  </si>
  <si>
    <t>Vorschlag: keine Massnahmen</t>
  </si>
  <si>
    <t>Rein Anteriur, Rabiusa</t>
  </si>
  <si>
    <t>Vorschlag: 300/500 plus Fracht f. Erhöhung</t>
  </si>
  <si>
    <t>GR-KWZ3-1</t>
  </si>
  <si>
    <t>Rothenbrunnen (KWZ)</t>
  </si>
  <si>
    <t>GR-GKL1-1</t>
  </si>
  <si>
    <t>KW Chlus - SchwallAusleit, bzw. Neukonz?</t>
  </si>
  <si>
    <t>Einsprache hängig falls KW Chlus</t>
  </si>
  <si>
    <t>GR-REK3-3</t>
  </si>
  <si>
    <t>hohe RW Sanierung, neu zusätzlich naturemadestar zertifziert: RW Mengen deutlich über Art. 31.1 in Vegetationsperiode</t>
  </si>
  <si>
    <t>GR-EWZS2-2</t>
  </si>
  <si>
    <t>Loebbia (Albigna)</t>
  </si>
  <si>
    <t>Orlegna: 0l/s, Fokus auf Maira</t>
  </si>
  <si>
    <t>Ova da Roseg, Roseggquelle</t>
  </si>
  <si>
    <t>Fassung vlgsweise hoch gelegen, RW-pflichtig?</t>
  </si>
  <si>
    <t>TI-W 67</t>
  </si>
  <si>
    <t>Dietikon-Geroldswil</t>
  </si>
  <si>
    <t>Limmat</t>
  </si>
  <si>
    <t>ZH-n21KA1</t>
  </si>
  <si>
    <t>Dietikon</t>
  </si>
  <si>
    <t>AG-W 2</t>
  </si>
  <si>
    <t>Rüchlig</t>
  </si>
  <si>
    <t>AG-W 555</t>
  </si>
  <si>
    <t>Rupperswil</t>
  </si>
  <si>
    <t>Birs</t>
  </si>
  <si>
    <t>BL-W 4</t>
  </si>
  <si>
    <t>Nenzlingermatten</t>
  </si>
  <si>
    <t>Glenner, Valser Rhein</t>
  </si>
  <si>
    <t>Wöschnau</t>
  </si>
  <si>
    <t>SO-W 1</t>
  </si>
  <si>
    <t>Aarau Stadt</t>
  </si>
  <si>
    <t>TI-W C</t>
  </si>
  <si>
    <t>TI-W 22.2</t>
  </si>
  <si>
    <t>Gland</t>
  </si>
  <si>
    <t>La Promenthouse</t>
  </si>
  <si>
    <t>VD-W nyon 17</t>
  </si>
  <si>
    <t>Saltina</t>
  </si>
  <si>
    <t>Andeer-Clugin</t>
  </si>
  <si>
    <t>GR-KHR6-1</t>
  </si>
  <si>
    <t>Sils (KHR)</t>
  </si>
  <si>
    <t>RW Sanierung verfügt (2012)</t>
  </si>
  <si>
    <t>GR-KHR6-2</t>
  </si>
  <si>
    <t>Plessuraue bei Molinis</t>
  </si>
  <si>
    <t>Alvaneu Bad</t>
  </si>
  <si>
    <t>Alvra / Albula, Landwasser</t>
  </si>
  <si>
    <t>GR-ALK1-1</t>
  </si>
  <si>
    <t>Filisur</t>
  </si>
  <si>
    <t>erhält minimal Wasser unter 80.1 (bis zu 350l/s) Verbesserungen wahrscheinlich bis zur Aue nicht mehr nachweisbar (mehrere km unterhalb Entnahme)</t>
  </si>
  <si>
    <t>GR-ALK2-1</t>
  </si>
  <si>
    <t>Tiefencastel (ALK)</t>
  </si>
  <si>
    <t>bestehende Dotierung beibehalten (Mittel 308l/s)</t>
  </si>
  <si>
    <t>Cavaglia</t>
  </si>
  <si>
    <t>Cavagliasch, Lagh da Palue</t>
  </si>
  <si>
    <t>GR-RÄE2-1</t>
  </si>
  <si>
    <t>Aktuell S-S, Pumpspeicher</t>
  </si>
  <si>
    <t>GR-RÄE1-1</t>
  </si>
  <si>
    <t>Palue</t>
  </si>
  <si>
    <t>Hohlichtgletscher</t>
  </si>
  <si>
    <t>Schalibach</t>
  </si>
  <si>
    <t>VS-428.1</t>
  </si>
  <si>
    <t>Glacier d'Otemma</t>
  </si>
  <si>
    <t>Dranse de Bagnes</t>
  </si>
  <si>
    <t>VS-801.6</t>
  </si>
  <si>
    <t>Chanrion</t>
  </si>
  <si>
    <t>Sanierung verfügt! Kein Restwasser</t>
  </si>
  <si>
    <t>VS-801.5</t>
  </si>
  <si>
    <t>Glacier du Brenay</t>
  </si>
  <si>
    <t>Torrent de Brenay</t>
  </si>
  <si>
    <t>VS-804.1</t>
  </si>
  <si>
    <t>Glacier de Corbassière</t>
  </si>
  <si>
    <t>Torrent de Corbassière</t>
  </si>
  <si>
    <t>VS-816.1</t>
  </si>
  <si>
    <t>Fionnay (Mauvoisin)</t>
  </si>
  <si>
    <t>VS-817.1</t>
  </si>
  <si>
    <t>Glacier de l'A Neuve</t>
  </si>
  <si>
    <t>Reuse de l’Amône</t>
  </si>
  <si>
    <t>VS-841.1</t>
  </si>
  <si>
    <t>Chatelard-Vallorcine</t>
  </si>
  <si>
    <t>Schwierige Verhandlung, gute Grundlagenberichte von Auenfachstelle (BIOP), aber vorgeschlagene Mengen liegen weit darunter. Anscheindend v.a. schwierig da internationale Sanierung (Koordination mit ESA), aber absolut Kandidat für Abs. 2 Sanierung!</t>
  </si>
  <si>
    <t>Rabiusa Engi</t>
  </si>
  <si>
    <t>ZH, SH</t>
  </si>
  <si>
    <t>TG, SG</t>
  </si>
  <si>
    <t>mässig /
non dét.</t>
  </si>
  <si>
    <t>mässig /
-</t>
  </si>
  <si>
    <t>wesentlich /
Thur (charriage naturel), Rhein (charriage faible)</t>
  </si>
  <si>
    <t xml:space="preserve">unverhältnismässig /
important
</t>
  </si>
  <si>
    <t>VD, FR</t>
  </si>
  <si>
    <t>keine /
notable (partie amont) / ??? Aval</t>
  </si>
  <si>
    <t>- /
aucun</t>
  </si>
  <si>
    <t>FR, BE</t>
  </si>
  <si>
    <t>gering/wesentlich /
keine</t>
  </si>
  <si>
    <t>Ja (gering) /
-</t>
  </si>
  <si>
    <t>Annexe 2 : Tableau synthétique / Synthese Tabelle - Final</t>
  </si>
  <si>
    <t>Charriage / Abfluss</t>
  </si>
  <si>
    <t>Besoins</t>
  </si>
  <si>
    <t>Combi</t>
  </si>
  <si>
    <t>Final</t>
  </si>
  <si>
    <t>ZH, AG</t>
  </si>
  <si>
    <t>- /
OK: 35% déficit</t>
  </si>
  <si>
    <t>- /
moyen</t>
  </si>
  <si>
    <t>ZG, ZH, AG</t>
  </si>
  <si>
    <t>ZH, AG, ZG</t>
  </si>
  <si>
    <t>- /
- /
OK: 35% déficit</t>
  </si>
  <si>
    <t>- /
- /
moyen</t>
  </si>
  <si>
    <t>ZG, SZ</t>
  </si>
  <si>
    <t>- /
-</t>
  </si>
  <si>
    <t>TI, GR</t>
  </si>
  <si>
    <t>vernachlässigbar /
-</t>
  </si>
  <si>
    <t>NE, BE</t>
  </si>
  <si>
    <t>BE, SO</t>
  </si>
  <si>
    <t>SO, BE</t>
  </si>
  <si>
    <t>- /
keine</t>
  </si>
  <si>
    <t>SZ, GL</t>
  </si>
  <si>
    <t>keine Anlagen /
-</t>
  </si>
  <si>
    <t>UR, OW</t>
  </si>
  <si>
    <t>keine /
-</t>
  </si>
  <si>
    <t>SG, AR</t>
  </si>
  <si>
    <t>gering /
non dét.</t>
  </si>
  <si>
    <t>Eclusées - Résultat final / 
Endresultat Schwall-Sunk</t>
  </si>
  <si>
    <t>gross /
gross (Thur)/mittel</t>
  </si>
  <si>
    <t>gross/mittel/gering /
mittel</t>
  </si>
  <si>
    <t>keine /
1 (Rhein), 3 (Thur)</t>
  </si>
  <si>
    <t xml:space="preserve"> gross/mittel /
important</t>
  </si>
  <si>
    <t>gross/mittel /
important</t>
  </si>
  <si>
    <t>keine Angaben /
gross</t>
  </si>
  <si>
    <t>gross /
moyen à élevé</t>
  </si>
  <si>
    <t>gering /
moyen à élevé</t>
  </si>
  <si>
    <t>hoch /
moyen (amont); élevé (centre); moyen (aval)</t>
  </si>
  <si>
    <t>gross /
gross</t>
  </si>
  <si>
    <t>gross/gering /
natürlich</t>
  </si>
  <si>
    <t>hoch (nur im untersten Abschnitt) /
tief</t>
  </si>
  <si>
    <t>gross/mittel /
gross</t>
  </si>
  <si>
    <t>gross / mittel / gering /
gross</t>
  </si>
  <si>
    <t>20 Jahre: 1. Drittel /
1</t>
  </si>
  <si>
    <t>gross /
gross /
gross</t>
  </si>
  <si>
    <t>gross/gering /
gross /
gross/mittel</t>
  </si>
  <si>
    <t>20 Jahre: 1. Drittel /
A1 /
1</t>
  </si>
  <si>
    <t>gross /
keine Angaben</t>
  </si>
  <si>
    <t>gering/mittel /
keine Angaben</t>
  </si>
  <si>
    <t>gross /
moyen</t>
  </si>
  <si>
    <t>minim /
moyen et faible</t>
  </si>
  <si>
    <t>gering /
nulle</t>
  </si>
  <si>
    <t>mittel/gering /
mittel</t>
  </si>
  <si>
    <t>mittel /
mittel</t>
  </si>
  <si>
    <t>mittel /
teilweise Umsetzung in den nächsten 20 Jahren</t>
  </si>
  <si>
    <t>gross/mittel /
mittel</t>
  </si>
  <si>
    <t>gering /
natürlich</t>
  </si>
  <si>
    <t>- /
tief</t>
  </si>
  <si>
    <t>GL/SZ</t>
  </si>
  <si>
    <t>- /
gross</t>
  </si>
  <si>
    <t>gross /
keing Angaben</t>
  </si>
  <si>
    <t>gerig /
keing Angaben</t>
  </si>
  <si>
    <t>gering /
non det.</t>
  </si>
  <si>
    <t>gering  /
non det.</t>
  </si>
  <si>
    <t>Catégorie</t>
  </si>
  <si>
    <t>Eclusée (données du rapport de besoin)</t>
  </si>
  <si>
    <t>TGH CATEGORIE</t>
  </si>
  <si>
    <t>1?</t>
  </si>
  <si>
    <t>3?</t>
  </si>
  <si>
    <t>Erreur dans notre évaluation de 2014. Source Atlas Hydrologique dit 21-40% et pas 41-60%.</t>
  </si>
  <si>
    <t>Concerne les deux tiers superieurs de la zone alluviales. On évalue le % du débit naturel restant et non l'obbligation d'assinissement.</t>
  </si>
  <si>
    <t>On évalue le % du débit naturel restant et non l'obbligation d'assinissement.</t>
  </si>
  <si>
    <t>nouvelle Source / neue Quelle</t>
  </si>
  <si>
    <t>Etape 1</t>
  </si>
  <si>
    <t>Etape 2</t>
  </si>
  <si>
    <t>Etape 3</t>
  </si>
  <si>
    <t>Etape 4</t>
  </si>
  <si>
    <t>Etape 5</t>
  </si>
  <si>
    <t>Etape 6</t>
  </si>
  <si>
    <t>Etape 7</t>
  </si>
  <si>
    <t>Résultat 1ère évaluation (2014)</t>
  </si>
  <si>
    <t>Etape 8</t>
  </si>
  <si>
    <t>Résultat final</t>
  </si>
  <si>
    <t>Pertinence charriage</t>
  </si>
  <si>
    <t>Déficit en charriage</t>
  </si>
  <si>
    <t>Résultat - incision du lit</t>
  </si>
  <si>
    <t>Résultat - entrave à la dynamique</t>
  </si>
  <si>
    <t>Résultat - représentation des formations pionnières</t>
  </si>
  <si>
    <t>Avis d'expert</t>
  </si>
  <si>
    <t>Résultat avis d'expert</t>
  </si>
  <si>
    <t>Examen détaillé du bassin versant</t>
  </si>
  <si>
    <t>Résultat examen détaillé</t>
  </si>
  <si>
    <t>Résultat final charriage (déficit)</t>
  </si>
  <si>
    <t>Rapport Besoins d'assainissement 2014</t>
  </si>
  <si>
    <t>Planification strategique</t>
  </si>
  <si>
    <t>Proposition finale</t>
  </si>
  <si>
    <t>a. mesurée / b. évaluée / c. planification / d. Compatibilité / e. Réevalué</t>
  </si>
  <si>
    <t>a. mesurée / b. évaluée /
c. planification /
d. Compatibilité / e. Réevalué</t>
  </si>
  <si>
    <t>Résultat P.S.</t>
  </si>
  <si>
    <t>Déficit non apparent en charriage ou en remobilisation des sédiments</t>
  </si>
  <si>
    <t>La remobilisation des sédiments est perturbée</t>
  </si>
  <si>
    <t>Charriage présumé perturbé</t>
  </si>
  <si>
    <t>Problème lié à un manque de charriage ou à un manque de remobilisation des sédiments</t>
  </si>
  <si>
    <t>Charriage présumé naturel</t>
  </si>
  <si>
    <t>Résultat intermédiaire</t>
  </si>
  <si>
    <t xml:space="preserve">Klassierung Restwasserkarte 
EAWAG (2011) </t>
  </si>
  <si>
    <t>Proposition Combinaison</t>
  </si>
  <si>
    <t>Prise d'eau, centrale</t>
  </si>
  <si>
    <t>Tronçons à Q rés</t>
  </si>
  <si>
    <t>Prélèvement</t>
  </si>
  <si>
    <t>Résultat final débit</t>
  </si>
  <si>
    <t xml:space="preserve">Résultat intermédiaire débit
</t>
  </si>
  <si>
    <t>Nouveau diagnostic du canton débit</t>
  </si>
  <si>
    <t>Remarque du canton</t>
  </si>
  <si>
    <t>Code cantonal</t>
  </si>
  <si>
    <t>Centrale</t>
  </si>
  <si>
    <r>
      <t>Canton: données complémentaires</t>
    </r>
    <r>
      <rPr>
        <sz val="10"/>
        <rFont val="Arial"/>
        <family val="2"/>
      </rPr>
      <t/>
    </r>
  </si>
  <si>
    <t>Restwasserkarte EAWAG</t>
  </si>
  <si>
    <t>Atlas hydrologique (part du débit naturel)</t>
  </si>
  <si>
    <t>Résultat 1ère éval. (2014)</t>
  </si>
  <si>
    <t>Validation par le canton?</t>
  </si>
  <si>
    <t>Priorité</t>
  </si>
  <si>
    <t>Nécessité</t>
  </si>
  <si>
    <t>Difficulté</t>
  </si>
  <si>
    <t>Evaluation 1</t>
  </si>
  <si>
    <t>Catégorie de restauration écologique</t>
  </si>
  <si>
    <t>Evaluation 2</t>
  </si>
  <si>
    <t>Avis d'experts</t>
  </si>
  <si>
    <t>Résultat final  Besoin de revitalisation</t>
  </si>
  <si>
    <t>Résultat final  planification stratégique</t>
  </si>
  <si>
    <t>Formulaire de terrain</t>
  </si>
  <si>
    <t>Résultat 2014</t>
  </si>
  <si>
    <t>Etape 7. Résultat final</t>
  </si>
  <si>
    <t>a. mesurée / b. évaluée</t>
  </si>
  <si>
    <t>Partiellement nécessaire, difficile</t>
  </si>
  <si>
    <t>Très nécessaire, facile</t>
  </si>
  <si>
    <t>Non nécessaire</t>
  </si>
  <si>
    <t>Partiellement nécessaire, facile</t>
  </si>
  <si>
    <t>Très nécessaire, difficile</t>
  </si>
  <si>
    <t>Nouveau diagnostic du canton</t>
  </si>
  <si>
    <t>CHARRIAGE</t>
  </si>
  <si>
    <t>DÉBIT</t>
  </si>
  <si>
    <t>ECLUSÉE</t>
  </si>
  <si>
    <t>REVITALISATION</t>
  </si>
  <si>
    <t>DONNÉS DE BASE</t>
  </si>
  <si>
    <t>Origine dérivation / Herkunft Ausleitung</t>
  </si>
  <si>
    <t>force hydraulique</t>
  </si>
  <si>
    <t>force hydraulique + autre prélèvement</t>
  </si>
  <si>
    <t xml:space="preserve"> - </t>
  </si>
  <si>
    <t>autre prélèvement</t>
  </si>
  <si>
    <t>Rapport 2014</t>
  </si>
  <si>
    <r>
      <t xml:space="preserve">Klassierung der Auengebiete von nationaler Bedeutung (Inventarobjekte / </t>
    </r>
    <r>
      <rPr>
        <b/>
        <sz val="14"/>
        <color indexed="10"/>
        <rFont val="Calibri"/>
        <family val="2"/>
      </rPr>
      <t>Kandidaten avant révision 2017</t>
    </r>
    <r>
      <rPr>
        <b/>
        <sz val="14"/>
        <color indexed="8"/>
        <rFont val="Calibri"/>
        <family val="2"/>
      </rPr>
      <t>)</t>
    </r>
  </si>
  <si>
    <t>Tableau synthétique / Synthese Tabelle - Total</t>
  </si>
  <si>
    <r>
      <t>Tableau synthétique / Synthese Tabelle - Besoins</t>
    </r>
    <r>
      <rPr>
        <sz val="16"/>
        <color indexed="8"/>
        <rFont val="Calibri"/>
        <family val="2"/>
      </rPr>
      <t xml:space="preserve"> (résultat 2014)</t>
    </r>
  </si>
  <si>
    <t>Eclusées - Résultat 2014</t>
  </si>
  <si>
    <t>a. mesuré / b. évalué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</si>
</sst>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00"/>
    <numFmt numFmtId="165" formatCode="0.0"/>
    <numFmt numFmtId="166" formatCode="0&quot; m&quot;"/>
    <numFmt numFmtId="167" formatCode="_ * #,##0.000_ ;_ * \-#,##0.000_ ;_ * &quot;-&quot;??_ ;_ @_ "/>
  </numFmts>
  <fonts count="114" x14ac:knownFonts="1">
    <font>
      <sz val="11"/>
      <color theme="1"/>
      <name val="Calibri"/>
      <family val="2"/>
      <scheme val="minor"/>
    </font>
    <font>
      <sz val="10"/>
      <color theme="1"/>
      <name val="Arial"/>
      <family val="2"/>
    </font>
    <font>
      <sz val="11"/>
      <color theme="1"/>
      <name val="Calibri"/>
      <family val="2"/>
      <scheme val="minor"/>
    </font>
    <font>
      <b/>
      <sz val="9"/>
      <color indexed="8"/>
      <name val="Arial"/>
      <family val="2"/>
    </font>
    <font>
      <b/>
      <i/>
      <sz val="9"/>
      <color indexed="8"/>
      <name val="Arial"/>
      <family val="2"/>
    </font>
    <font>
      <sz val="9"/>
      <color indexed="8"/>
      <name val="Arial"/>
      <family val="2"/>
    </font>
    <font>
      <i/>
      <sz val="9"/>
      <color indexed="8"/>
      <name val="Arial"/>
      <family val="2"/>
    </font>
    <font>
      <b/>
      <sz val="9"/>
      <color indexed="8"/>
      <name val="Calibri"/>
      <family val="2"/>
    </font>
    <font>
      <sz val="11"/>
      <name val="Calibri"/>
      <family val="2"/>
    </font>
    <font>
      <sz val="10"/>
      <color indexed="8"/>
      <name val="Arial"/>
      <family val="2"/>
    </font>
    <font>
      <b/>
      <sz val="10"/>
      <name val="Arial"/>
      <family val="2"/>
    </font>
    <font>
      <sz val="10"/>
      <name val="Arial"/>
      <family val="2"/>
    </font>
    <font>
      <b/>
      <sz val="10"/>
      <color indexed="8"/>
      <name val="Arial"/>
      <family val="2"/>
    </font>
    <font>
      <sz val="8"/>
      <color theme="1"/>
      <name val="Arial"/>
      <family val="2"/>
    </font>
    <font>
      <sz val="7"/>
      <color indexed="8"/>
      <name val="Arial"/>
      <family val="2"/>
    </font>
    <font>
      <b/>
      <sz val="7"/>
      <color indexed="8"/>
      <name val="Arial"/>
      <family val="2"/>
    </font>
    <font>
      <sz val="7"/>
      <name val="Arial"/>
      <family val="2"/>
    </font>
    <font>
      <sz val="8"/>
      <color indexed="8"/>
      <name val="Calibri"/>
      <family val="2"/>
    </font>
    <font>
      <sz val="8"/>
      <name val="Calibri"/>
      <family val="2"/>
    </font>
    <font>
      <sz val="12"/>
      <name val="Calibri"/>
      <family val="2"/>
    </font>
    <font>
      <sz val="8"/>
      <color indexed="8"/>
      <name val="Arial"/>
      <family val="2"/>
    </font>
    <font>
      <b/>
      <sz val="7"/>
      <name val="Arial"/>
      <family val="2"/>
    </font>
    <font>
      <b/>
      <sz val="9"/>
      <color indexed="10"/>
      <name val="Arial"/>
      <family val="2"/>
    </font>
    <font>
      <b/>
      <sz val="9"/>
      <name val="Arial"/>
      <family val="2"/>
    </font>
    <font>
      <sz val="12"/>
      <color rgb="FFFF0000"/>
      <name val="Calibri"/>
      <family val="2"/>
    </font>
    <font>
      <sz val="8"/>
      <name val="Arial"/>
      <family val="2"/>
    </font>
    <font>
      <b/>
      <sz val="9"/>
      <color indexed="81"/>
      <name val="Tahoma"/>
      <family val="2"/>
    </font>
    <font>
      <sz val="9"/>
      <color indexed="81"/>
      <name val="Tahoma"/>
      <family val="2"/>
    </font>
    <font>
      <b/>
      <sz val="11"/>
      <color indexed="8"/>
      <name val="Calibri"/>
      <family val="2"/>
    </font>
    <font>
      <b/>
      <sz val="11"/>
      <name val="Calibri"/>
      <family val="2"/>
    </font>
    <font>
      <b/>
      <sz val="11"/>
      <color rgb="FF7030A0"/>
      <name val="Calibri"/>
      <family val="2"/>
    </font>
    <font>
      <b/>
      <sz val="8"/>
      <name val="Arial"/>
      <family val="2"/>
    </font>
    <font>
      <b/>
      <sz val="10"/>
      <color rgb="FF000000"/>
      <name val="Calibri"/>
      <family val="2"/>
    </font>
    <font>
      <b/>
      <sz val="10"/>
      <name val="Calibri"/>
      <family val="2"/>
    </font>
    <font>
      <b/>
      <sz val="10"/>
      <color rgb="FF7030A0"/>
      <name val="Calibri"/>
      <family val="2"/>
    </font>
    <font>
      <b/>
      <sz val="8"/>
      <color rgb="FF7030A0"/>
      <name val="Arial"/>
      <family val="2"/>
    </font>
    <font>
      <sz val="14"/>
      <name val="Calibri"/>
      <family val="2"/>
    </font>
    <font>
      <sz val="8"/>
      <color rgb="FF000000"/>
      <name val="Calibri"/>
      <family val="2"/>
    </font>
    <font>
      <b/>
      <sz val="7"/>
      <color rgb="FF000000"/>
      <name val="Arial"/>
      <family val="2"/>
    </font>
    <font>
      <sz val="14"/>
      <color rgb="FF000000"/>
      <name val="Calibri"/>
      <family val="2"/>
    </font>
    <font>
      <sz val="8"/>
      <color rgb="FF7030A0"/>
      <name val="Arial"/>
      <family val="2"/>
    </font>
    <font>
      <sz val="8"/>
      <color indexed="10"/>
      <name val="Arial"/>
      <family val="2"/>
    </font>
    <font>
      <sz val="8"/>
      <color rgb="FF7030A0"/>
      <name val="Calibri"/>
      <family val="2"/>
    </font>
    <font>
      <sz val="11"/>
      <color rgb="FF7030A0"/>
      <name val="Calibri"/>
      <family val="2"/>
    </font>
    <font>
      <sz val="8"/>
      <color rgb="FFFF0000"/>
      <name val="Calibri"/>
      <family val="2"/>
    </font>
    <font>
      <b/>
      <sz val="14"/>
      <color indexed="8"/>
      <name val="Calibri"/>
      <family val="2"/>
    </font>
    <font>
      <b/>
      <sz val="14"/>
      <color indexed="10"/>
      <name val="Calibri"/>
      <family val="2"/>
    </font>
    <font>
      <b/>
      <sz val="12"/>
      <color rgb="FFFF0000"/>
      <name val="Calibri"/>
      <family val="2"/>
    </font>
    <font>
      <b/>
      <sz val="12"/>
      <name val="Calibri"/>
      <family val="2"/>
    </font>
    <font>
      <i/>
      <sz val="11"/>
      <color indexed="8"/>
      <name val="Calibri"/>
      <family val="2"/>
    </font>
    <font>
      <sz val="10"/>
      <color indexed="8"/>
      <name val="Calibri"/>
      <family val="2"/>
    </font>
    <font>
      <sz val="11"/>
      <color rgb="FFFF0000"/>
      <name val="Calibri"/>
      <family val="2"/>
    </font>
    <font>
      <b/>
      <sz val="11"/>
      <name val="Arial"/>
      <family val="2"/>
    </font>
    <font>
      <sz val="8"/>
      <name val="Arial Narrow"/>
      <family val="2"/>
    </font>
    <font>
      <sz val="8"/>
      <color indexed="8"/>
      <name val="Arial Narrow"/>
      <family val="2"/>
    </font>
    <font>
      <sz val="12"/>
      <color indexed="8"/>
      <name val="Calibri"/>
      <family val="2"/>
      <scheme val="minor"/>
    </font>
    <font>
      <b/>
      <sz val="16"/>
      <color rgb="FFFF0000"/>
      <name val="Arial"/>
      <family val="2"/>
    </font>
    <font>
      <sz val="8"/>
      <color rgb="FFFF33CC"/>
      <name val="Arial"/>
      <family val="2"/>
    </font>
    <font>
      <i/>
      <sz val="8"/>
      <name val="Calibri"/>
      <family val="2"/>
    </font>
    <font>
      <sz val="7"/>
      <color theme="1"/>
      <name val="Arial"/>
      <family val="2"/>
    </font>
    <font>
      <b/>
      <sz val="8"/>
      <name val="Calibri"/>
      <family val="2"/>
    </font>
    <font>
      <sz val="8"/>
      <color rgb="FFFF33CC"/>
      <name val="Calibri"/>
      <family val="2"/>
    </font>
    <font>
      <sz val="11"/>
      <name val="Arial"/>
      <family val="2"/>
    </font>
    <font>
      <b/>
      <i/>
      <sz val="10.5"/>
      <color indexed="8"/>
      <name val="Arial"/>
      <family val="2"/>
    </font>
    <font>
      <b/>
      <i/>
      <sz val="10"/>
      <color indexed="8"/>
      <name val="Arial"/>
      <family val="2"/>
    </font>
    <font>
      <b/>
      <sz val="10.5"/>
      <color indexed="8"/>
      <name val="Arial"/>
      <family val="2"/>
    </font>
    <font>
      <sz val="10.5"/>
      <color indexed="8"/>
      <name val="Arial"/>
      <family val="2"/>
    </font>
    <font>
      <i/>
      <sz val="10.5"/>
      <color indexed="8"/>
      <name val="Arial"/>
      <family val="2"/>
    </font>
    <font>
      <sz val="22"/>
      <color indexed="8"/>
      <name val="Calibri"/>
      <family val="2"/>
    </font>
    <font>
      <b/>
      <sz val="10"/>
      <color indexed="8"/>
      <name val="Calibri"/>
      <family val="2"/>
      <scheme val="minor"/>
    </font>
    <font>
      <b/>
      <sz val="10"/>
      <color theme="1"/>
      <name val="Calibri"/>
      <family val="2"/>
      <scheme val="minor"/>
    </font>
    <font>
      <sz val="8"/>
      <color theme="1"/>
      <name val="Calibri"/>
      <family val="2"/>
      <scheme val="minor"/>
    </font>
    <font>
      <sz val="14"/>
      <name val="Calibri"/>
      <family val="2"/>
      <scheme val="minor"/>
    </font>
    <font>
      <sz val="14"/>
      <color indexed="8"/>
      <name val="Calibri"/>
      <family val="2"/>
      <scheme val="minor"/>
    </font>
    <font>
      <sz val="8"/>
      <color indexed="8"/>
      <name val="Calibri"/>
      <family val="2"/>
      <scheme val="minor"/>
    </font>
    <font>
      <b/>
      <sz val="10"/>
      <color indexed="10"/>
      <name val="Calibri"/>
      <family val="2"/>
      <scheme val="minor"/>
    </font>
    <font>
      <b/>
      <sz val="10"/>
      <name val="Calibri"/>
      <family val="2"/>
      <scheme val="minor"/>
    </font>
    <font>
      <sz val="11"/>
      <color indexed="8"/>
      <name val="Calibri"/>
      <family val="2"/>
    </font>
    <font>
      <sz val="11"/>
      <color indexed="8"/>
      <name val="Calibri"/>
      <family val="2"/>
      <scheme val="minor"/>
    </font>
    <font>
      <sz val="10"/>
      <color rgb="FFFF0000"/>
      <name val="Arial"/>
      <family val="2"/>
    </font>
    <font>
      <b/>
      <sz val="14"/>
      <color theme="0"/>
      <name val="Arial"/>
      <family val="2"/>
    </font>
    <font>
      <b/>
      <sz val="11"/>
      <color theme="1"/>
      <name val="Calibri"/>
      <family val="2"/>
      <scheme val="minor"/>
    </font>
    <font>
      <sz val="10"/>
      <name val="Calibri"/>
      <family val="2"/>
    </font>
    <font>
      <b/>
      <sz val="11"/>
      <color indexed="8"/>
      <name val="Arial"/>
      <family val="2"/>
    </font>
    <font>
      <sz val="11"/>
      <color theme="1"/>
      <name val="Arial"/>
      <family val="2"/>
    </font>
    <font>
      <sz val="11"/>
      <color indexed="8"/>
      <name val="Arial"/>
      <family val="2"/>
    </font>
    <font>
      <sz val="11"/>
      <color indexed="10"/>
      <name val="Arial"/>
      <family val="2"/>
    </font>
    <font>
      <sz val="14"/>
      <color theme="1"/>
      <name val="Calibri"/>
      <family val="2"/>
      <scheme val="minor"/>
    </font>
    <font>
      <sz val="16"/>
      <color theme="1"/>
      <name val="Calibri"/>
      <family val="2"/>
      <scheme val="minor"/>
    </font>
    <font>
      <sz val="16"/>
      <color indexed="8"/>
      <name val="Calibri"/>
      <family val="2"/>
    </font>
    <font>
      <sz val="16"/>
      <name val="Calibri"/>
      <family val="2"/>
    </font>
    <font>
      <sz val="10"/>
      <color indexed="10"/>
      <name val="Arial"/>
      <family val="2"/>
    </font>
    <font>
      <b/>
      <sz val="14"/>
      <name val="Arial"/>
      <family val="2"/>
    </font>
    <font>
      <b/>
      <sz val="14"/>
      <color indexed="8"/>
      <name val="Arial"/>
      <family val="2"/>
    </font>
    <font>
      <sz val="12"/>
      <name val="Arial"/>
      <family val="2"/>
    </font>
    <font>
      <sz val="14"/>
      <name val="Arial"/>
      <family val="2"/>
    </font>
    <font>
      <b/>
      <sz val="16"/>
      <color indexed="8"/>
      <name val="Calibri"/>
      <family val="2"/>
    </font>
    <font>
      <sz val="16"/>
      <name val="Calibri"/>
      <family val="2"/>
      <scheme val="minor"/>
    </font>
    <font>
      <sz val="12"/>
      <color indexed="8"/>
      <name val="Arial"/>
      <family val="2"/>
    </font>
    <font>
      <sz val="16"/>
      <color indexed="8"/>
      <name val="Arial"/>
      <family val="2"/>
    </font>
    <font>
      <sz val="10"/>
      <name val="Arial Narrow"/>
      <family val="2"/>
    </font>
    <font>
      <sz val="10"/>
      <color indexed="8"/>
      <name val="Arial Narrow"/>
      <family val="2"/>
    </font>
    <font>
      <sz val="10"/>
      <color indexed="8"/>
      <name val="Calibri"/>
      <family val="2"/>
      <scheme val="minor"/>
    </font>
    <font>
      <b/>
      <sz val="22"/>
      <color indexed="8"/>
      <name val="Arial"/>
      <family val="2"/>
    </font>
    <font>
      <b/>
      <sz val="20"/>
      <color indexed="8"/>
      <name val="Arial"/>
      <family val="2"/>
    </font>
    <font>
      <b/>
      <sz val="22"/>
      <color theme="1"/>
      <name val="Arial"/>
      <family val="2"/>
    </font>
    <font>
      <sz val="8"/>
      <color rgb="FFFF0000"/>
      <name val="Arial"/>
      <family val="2"/>
    </font>
    <font>
      <i/>
      <sz val="8"/>
      <name val="Arial"/>
      <family val="2"/>
    </font>
    <font>
      <b/>
      <sz val="8"/>
      <color indexed="8"/>
      <name val="Arial"/>
      <family val="2"/>
    </font>
    <font>
      <b/>
      <sz val="8"/>
      <color rgb="FFFF0000"/>
      <name val="Arial"/>
      <family val="2"/>
    </font>
    <font>
      <b/>
      <sz val="9"/>
      <color rgb="FF00B050"/>
      <name val="Arial"/>
      <family val="2"/>
    </font>
    <font>
      <b/>
      <sz val="9"/>
      <color rgb="FFFFFF00"/>
      <name val="Arial"/>
      <family val="2"/>
    </font>
    <font>
      <b/>
      <sz val="20"/>
      <name val="Calibri"/>
      <family val="2"/>
      <scheme val="minor"/>
    </font>
    <font>
      <sz val="12"/>
      <color theme="1"/>
      <name val="Calibri"/>
      <family val="2"/>
      <scheme val="minor"/>
    </font>
  </fonts>
  <fills count="5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808080"/>
        <bgColor indexed="64"/>
      </patternFill>
    </fill>
    <fill>
      <patternFill patternType="solid">
        <fgColor rgb="FFCC99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55"/>
        <bgColor indexed="64"/>
      </patternFill>
    </fill>
    <fill>
      <patternFill patternType="solid">
        <fgColor indexed="22"/>
        <bgColor indexed="64"/>
      </patternFill>
    </fill>
    <fill>
      <patternFill patternType="lightUp"/>
    </fill>
    <fill>
      <patternFill patternType="solid">
        <fgColor indexed="65"/>
        <bgColor indexed="64"/>
      </patternFill>
    </fill>
    <fill>
      <patternFill patternType="solid">
        <fgColor rgb="FFBFBFBF"/>
        <bgColor rgb="FF000000"/>
      </patternFill>
    </fill>
    <fill>
      <patternFill patternType="solid">
        <fgColor rgb="FFD9D9D9"/>
        <bgColor rgb="FF000000"/>
      </patternFill>
    </fill>
    <fill>
      <patternFill patternType="solid">
        <fgColor rgb="FFCCFFFF"/>
        <bgColor rgb="FF000000"/>
      </patternFill>
    </fill>
    <fill>
      <patternFill patternType="solid">
        <fgColor rgb="FFCCCCFF"/>
        <bgColor rgb="FF000000"/>
      </patternFill>
    </fill>
    <fill>
      <patternFill patternType="solid">
        <fgColor rgb="FFFFFF99"/>
        <bgColor rgb="FF000000"/>
      </patternFill>
    </fill>
    <fill>
      <patternFill patternType="solid">
        <fgColor indexed="13"/>
        <bgColor indexed="64"/>
      </patternFill>
    </fill>
    <fill>
      <patternFill patternType="solid">
        <fgColor indexed="53"/>
        <bgColor indexed="64"/>
      </patternFill>
    </fill>
    <fill>
      <patternFill patternType="solid">
        <fgColor indexed="50"/>
        <bgColor indexed="64"/>
      </patternFill>
    </fill>
    <fill>
      <patternFill patternType="solid">
        <fgColor rgb="FFFFFF00"/>
        <bgColor rgb="FF000000"/>
      </patternFill>
    </fill>
    <fill>
      <patternFill patternType="solid">
        <fgColor indexed="43"/>
        <bgColor indexed="64"/>
      </patternFill>
    </fill>
    <fill>
      <patternFill patternType="solid">
        <fgColor rgb="FFFFFF99"/>
        <bgColor indexed="64"/>
      </patternFill>
    </fill>
    <fill>
      <patternFill patternType="solid">
        <fgColor rgb="FF00B0F0"/>
        <bgColor rgb="FF000000"/>
      </patternFill>
    </fill>
    <fill>
      <patternFill patternType="solid">
        <fgColor rgb="FF92D050"/>
        <bgColor rgb="FF000000"/>
      </patternFill>
    </fill>
    <fill>
      <patternFill patternType="solid">
        <fgColor indexed="31"/>
        <bgColor indexed="64"/>
      </patternFill>
    </fill>
    <fill>
      <patternFill patternType="solid">
        <fgColor rgb="FFFFFBAB"/>
        <bgColor indexed="64"/>
      </patternFill>
    </fill>
    <fill>
      <patternFill patternType="solid">
        <fgColor indexed="26"/>
        <bgColor indexed="64"/>
      </patternFill>
    </fill>
    <fill>
      <patternFill patternType="solid">
        <fgColor rgb="FF7030A0"/>
        <bgColor indexed="64"/>
      </patternFill>
    </fill>
    <fill>
      <patternFill patternType="lightUp">
        <bgColor rgb="FFCC99FF"/>
      </patternFill>
    </fill>
    <fill>
      <patternFill patternType="solid">
        <fgColor theme="0"/>
        <bgColor indexed="64"/>
      </patternFill>
    </fill>
    <fill>
      <patternFill patternType="solid">
        <fgColor indexed="47"/>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CC99FF"/>
        <bgColor indexed="0"/>
      </patternFill>
    </fill>
    <fill>
      <patternFill patternType="solid">
        <fgColor rgb="FF99CCFF"/>
        <bgColor indexed="64"/>
      </patternFill>
    </fill>
    <fill>
      <patternFill patternType="solid">
        <fgColor indexed="27"/>
        <bgColor indexed="64"/>
      </patternFill>
    </fill>
    <fill>
      <patternFill patternType="solid">
        <fgColor indexed="41"/>
        <bgColor indexed="64"/>
      </patternFill>
    </fill>
    <fill>
      <patternFill patternType="lightUp">
        <bgColor theme="0"/>
      </patternFill>
    </fill>
    <fill>
      <patternFill patternType="solid">
        <fgColor indexed="44"/>
        <bgColor indexed="64"/>
      </patternFill>
    </fill>
    <fill>
      <patternFill patternType="lightUp">
        <bgColor theme="2" tint="-9.9978637043366805E-2"/>
      </patternFill>
    </fill>
    <fill>
      <patternFill patternType="solid">
        <fgColor indexed="22"/>
        <bgColor indexed="0"/>
      </patternFill>
    </fill>
    <fill>
      <patternFill patternType="lightUp">
        <bgColor theme="0" tint="-0.14999847407452621"/>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DDEBF7"/>
        <bgColor indexed="64"/>
      </patternFill>
    </fill>
    <fill>
      <patternFill patternType="solid">
        <fgColor rgb="FFDDEBF7"/>
        <bgColor indexed="0"/>
      </patternFill>
    </fill>
    <fill>
      <patternFill patternType="lightUp">
        <bgColor rgb="FFDDEBF7"/>
      </patternFill>
    </fill>
    <fill>
      <patternFill patternType="lightUp">
        <bgColor rgb="FFFFFBAB"/>
      </patternFill>
    </fill>
    <fill>
      <patternFill patternType="solid">
        <fgColor theme="9" tint="0.39997558519241921"/>
        <bgColor indexed="64"/>
      </patternFill>
    </fill>
    <fill>
      <patternFill patternType="solid">
        <fgColor rgb="FFFFFFCC"/>
        <bgColor indexed="64"/>
      </patternFill>
    </fill>
  </fills>
  <borders count="99">
    <border>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2">
    <xf numFmtId="0" fontId="0" fillId="0" borderId="0"/>
    <xf numFmtId="9" fontId="2" fillId="0" borderId="0" applyFont="0" applyFill="0" applyBorder="0" applyAlignment="0" applyProtection="0"/>
    <xf numFmtId="0" fontId="9" fillId="0" borderId="0"/>
    <xf numFmtId="0" fontId="9" fillId="0" borderId="0"/>
    <xf numFmtId="0" fontId="9" fillId="0" borderId="0"/>
    <xf numFmtId="0" fontId="11" fillId="0" borderId="0"/>
    <xf numFmtId="0" fontId="2" fillId="0" borderId="0"/>
    <xf numFmtId="0" fontId="2" fillId="0" borderId="0"/>
    <xf numFmtId="0" fontId="2" fillId="0" borderId="0"/>
    <xf numFmtId="0" fontId="9" fillId="0" borderId="0"/>
    <xf numFmtId="0" fontId="9" fillId="0" borderId="0"/>
    <xf numFmtId="43" fontId="2" fillId="0" borderId="0" applyFont="0" applyFill="0" applyBorder="0" applyAlignment="0" applyProtection="0"/>
  </cellStyleXfs>
  <cellXfs count="1419">
    <xf numFmtId="0" fontId="0" fillId="0" borderId="0" xfId="0"/>
    <xf numFmtId="0" fontId="0" fillId="0" borderId="0" xfId="0" applyAlignment="1">
      <alignment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5" fillId="2" borderId="3" xfId="0" applyFont="1" applyFill="1" applyBorder="1" applyAlignment="1">
      <alignment horizontal="justify" vertical="center" wrapText="1"/>
    </xf>
    <xf numFmtId="0" fontId="5" fillId="0" borderId="4" xfId="0" applyFont="1" applyBorder="1" applyAlignment="1">
      <alignment horizontal="justify" vertical="center" wrapText="1"/>
    </xf>
    <xf numFmtId="0" fontId="6" fillId="0" borderId="4" xfId="0" applyFont="1" applyBorder="1" applyAlignment="1">
      <alignment horizontal="justify" vertical="center" wrapText="1"/>
    </xf>
    <xf numFmtId="0" fontId="5" fillId="3" borderId="5"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6" borderId="5" xfId="0" applyFont="1" applyFill="1" applyBorder="1" applyAlignment="1">
      <alignment horizontal="justify" vertical="center" wrapText="1"/>
    </xf>
    <xf numFmtId="0" fontId="5" fillId="7" borderId="5" xfId="0" applyFont="1" applyFill="1" applyBorder="1" applyAlignment="1">
      <alignment horizontal="justify" vertical="center" wrapText="1"/>
    </xf>
    <xf numFmtId="0" fontId="3" fillId="0" borderId="3" xfId="0" applyFont="1" applyBorder="1" applyAlignment="1">
      <alignment horizontal="justify" vertical="center" wrapText="1"/>
    </xf>
    <xf numFmtId="0" fontId="0" fillId="8" borderId="3" xfId="0" applyFill="1" applyBorder="1"/>
    <xf numFmtId="0" fontId="7" fillId="0" borderId="0" xfId="0" applyFont="1" applyFill="1" applyAlignment="1">
      <alignment horizontal="center" vertical="center" wrapText="1"/>
    </xf>
    <xf numFmtId="0" fontId="0" fillId="0" borderId="0" xfId="0" applyAlignment="1">
      <alignment horizontal="center" vertical="center" wrapText="1"/>
    </xf>
    <xf numFmtId="0" fontId="10" fillId="0" borderId="8" xfId="2" applyFont="1" applyFill="1" applyBorder="1" applyAlignment="1" applyProtection="1">
      <alignment horizontal="center" vertical="center" textRotation="90" wrapText="1"/>
    </xf>
    <xf numFmtId="0" fontId="10" fillId="0" borderId="9" xfId="2" applyFont="1" applyFill="1" applyBorder="1" applyAlignment="1" applyProtection="1">
      <alignment horizontal="center" vertical="center" textRotation="90" wrapText="1"/>
    </xf>
    <xf numFmtId="0" fontId="10" fillId="0" borderId="10" xfId="2" applyFont="1" applyFill="1" applyBorder="1" applyAlignment="1">
      <alignment horizontal="center" vertical="center" textRotation="90" wrapText="1"/>
    </xf>
    <xf numFmtId="0" fontId="10" fillId="0" borderId="9" xfId="2" applyFont="1" applyFill="1" applyBorder="1" applyAlignment="1">
      <alignment horizontal="center" vertical="center" textRotation="90" wrapText="1"/>
    </xf>
    <xf numFmtId="0" fontId="10" fillId="9" borderId="8" xfId="2" applyFont="1" applyFill="1" applyBorder="1" applyAlignment="1" applyProtection="1">
      <alignment horizontal="center" vertical="center" textRotation="90" wrapText="1"/>
    </xf>
    <xf numFmtId="1" fontId="3" fillId="0" borderId="17" xfId="3" applyNumberFormat="1" applyFont="1" applyFill="1" applyBorder="1" applyAlignment="1" applyProtection="1">
      <alignment horizontal="center" vertical="center" wrapText="1"/>
    </xf>
    <xf numFmtId="0" fontId="13" fillId="0" borderId="18" xfId="3" applyFont="1" applyFill="1" applyBorder="1" applyAlignment="1">
      <alignment horizontal="center" vertical="center" wrapText="1" shrinkToFit="1"/>
    </xf>
    <xf numFmtId="0" fontId="13" fillId="0" borderId="17" xfId="3" applyFont="1" applyFill="1" applyBorder="1" applyAlignment="1">
      <alignment horizontal="center" vertical="center" wrapText="1" shrinkToFit="1"/>
    </xf>
    <xf numFmtId="0" fontId="14" fillId="13" borderId="19" xfId="2" applyFont="1" applyFill="1" applyBorder="1" applyAlignment="1" applyProtection="1">
      <alignment horizontal="center" vertical="center" wrapText="1"/>
    </xf>
    <xf numFmtId="0" fontId="15" fillId="13" borderId="18" xfId="2" applyFont="1" applyFill="1" applyBorder="1" applyAlignment="1" applyProtection="1">
      <alignment horizontal="center" vertical="center" wrapText="1"/>
    </xf>
    <xf numFmtId="2" fontId="14" fillId="14" borderId="18" xfId="2" applyNumberFormat="1" applyFont="1" applyFill="1" applyBorder="1" applyAlignment="1" applyProtection="1">
      <alignment horizontal="center" vertical="center" wrapText="1"/>
    </xf>
    <xf numFmtId="164" fontId="14" fillId="14" borderId="18" xfId="2" applyNumberFormat="1" applyFont="1" applyFill="1" applyBorder="1" applyAlignment="1" applyProtection="1">
      <alignment horizontal="center" vertical="center" wrapText="1"/>
    </xf>
    <xf numFmtId="1" fontId="14" fillId="14" borderId="18" xfId="2" applyNumberFormat="1" applyFont="1" applyFill="1" applyBorder="1" applyAlignment="1" applyProtection="1">
      <alignment horizontal="center" vertical="center" wrapText="1"/>
    </xf>
    <xf numFmtId="0" fontId="16" fillId="14" borderId="18" xfId="2" applyFont="1" applyFill="1" applyBorder="1" applyAlignment="1" applyProtection="1">
      <alignment horizontal="center" vertical="center" wrapText="1"/>
    </xf>
    <xf numFmtId="0" fontId="16" fillId="14" borderId="20" xfId="2" applyFont="1" applyFill="1" applyBorder="1" applyAlignment="1" applyProtection="1">
      <alignment horizontal="center" vertical="center" wrapText="1"/>
    </xf>
    <xf numFmtId="1" fontId="17" fillId="9" borderId="16" xfId="0" applyNumberFormat="1" applyFont="1" applyFill="1" applyBorder="1" applyAlignment="1" applyProtection="1">
      <alignment horizontal="center" vertical="center" wrapText="1" shrinkToFit="1"/>
    </xf>
    <xf numFmtId="0" fontId="18" fillId="10" borderId="18" xfId="0" applyFont="1" applyFill="1" applyBorder="1" applyAlignment="1" applyProtection="1">
      <alignment horizontal="center" vertical="center" wrapText="1"/>
    </xf>
    <xf numFmtId="1" fontId="18" fillId="0" borderId="21" xfId="0" applyNumberFormat="1"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8" fillId="11" borderId="18" xfId="0" applyFont="1" applyFill="1" applyBorder="1" applyAlignment="1" applyProtection="1">
      <alignment horizontal="center" vertical="center" wrapText="1"/>
    </xf>
    <xf numFmtId="0" fontId="18" fillId="11" borderId="17" xfId="0" applyFont="1" applyFill="1" applyBorder="1" applyAlignment="1" applyProtection="1">
      <alignment horizontal="center" vertical="center" wrapText="1"/>
    </xf>
    <xf numFmtId="0" fontId="20" fillId="15" borderId="22" xfId="0" applyFont="1" applyFill="1" applyBorder="1" applyAlignment="1" applyProtection="1">
      <alignment horizontal="center" vertical="center" wrapText="1"/>
      <protection locked="0"/>
    </xf>
    <xf numFmtId="0" fontId="20" fillId="15" borderId="20" xfId="0" applyFont="1" applyFill="1" applyBorder="1" applyAlignment="1" applyProtection="1">
      <alignment horizontal="center" vertical="center" wrapText="1"/>
      <protection locked="0"/>
    </xf>
    <xf numFmtId="1" fontId="3" fillId="0" borderId="24" xfId="3" applyNumberFormat="1" applyFont="1" applyFill="1" applyBorder="1" applyAlignment="1" applyProtection="1">
      <alignment horizontal="center" vertical="center" wrapText="1"/>
    </xf>
    <xf numFmtId="0" fontId="13" fillId="0" borderId="25" xfId="3" applyFont="1" applyFill="1" applyBorder="1" applyAlignment="1">
      <alignment horizontal="center" vertical="center" wrapText="1" shrinkToFit="1"/>
    </xf>
    <xf numFmtId="0" fontId="13" fillId="0" borderId="24" xfId="3" applyFont="1" applyFill="1" applyBorder="1" applyAlignment="1">
      <alignment horizontal="center" vertical="center" wrapText="1" shrinkToFit="1"/>
    </xf>
    <xf numFmtId="0" fontId="14" fillId="13" borderId="26" xfId="2" applyFont="1" applyFill="1" applyBorder="1" applyAlignment="1" applyProtection="1">
      <alignment horizontal="center" vertical="center" wrapText="1"/>
    </xf>
    <xf numFmtId="0" fontId="15" fillId="13" borderId="25" xfId="2" applyFont="1" applyFill="1" applyBorder="1" applyAlignment="1" applyProtection="1">
      <alignment horizontal="center" vertical="center" wrapText="1"/>
    </xf>
    <xf numFmtId="2" fontId="14" fillId="14" borderId="25" xfId="2" applyNumberFormat="1" applyFont="1" applyFill="1" applyBorder="1" applyAlignment="1" applyProtection="1">
      <alignment horizontal="center" vertical="center" wrapText="1"/>
    </xf>
    <xf numFmtId="164" fontId="14" fillId="14" borderId="25" xfId="2" applyNumberFormat="1" applyFont="1" applyFill="1" applyBorder="1" applyAlignment="1" applyProtection="1">
      <alignment horizontal="center" vertical="center" wrapText="1"/>
    </xf>
    <xf numFmtId="1" fontId="14" fillId="14" borderId="25" xfId="2" applyNumberFormat="1" applyFont="1" applyFill="1" applyBorder="1" applyAlignment="1" applyProtection="1">
      <alignment horizontal="center" vertical="center" wrapText="1"/>
    </xf>
    <xf numFmtId="0" fontId="16" fillId="14" borderId="25" xfId="2" applyFont="1" applyFill="1" applyBorder="1" applyAlignment="1" applyProtection="1">
      <alignment horizontal="center" vertical="center" wrapText="1"/>
    </xf>
    <xf numFmtId="0" fontId="21" fillId="14" borderId="25" xfId="2" applyFont="1" applyFill="1" applyBorder="1" applyAlignment="1" applyProtection="1">
      <alignment horizontal="center" vertical="center" wrapText="1"/>
    </xf>
    <xf numFmtId="0" fontId="16" fillId="14" borderId="27" xfId="2" applyFont="1" applyFill="1" applyBorder="1" applyAlignment="1" applyProtection="1">
      <alignment horizontal="center" vertical="center" wrapText="1"/>
    </xf>
    <xf numFmtId="1" fontId="17" fillId="9" borderId="23" xfId="0" applyNumberFormat="1" applyFont="1" applyFill="1" applyBorder="1" applyAlignment="1" applyProtection="1">
      <alignment horizontal="center" vertical="center" wrapText="1" shrinkToFit="1"/>
    </xf>
    <xf numFmtId="0" fontId="19" fillId="11" borderId="26" xfId="0" applyFont="1" applyFill="1" applyBorder="1" applyAlignment="1" applyProtection="1">
      <alignment horizontal="center" vertical="center" wrapText="1"/>
    </xf>
    <xf numFmtId="0" fontId="18" fillId="11" borderId="25" xfId="0" applyFont="1" applyFill="1" applyBorder="1" applyAlignment="1" applyProtection="1">
      <alignment horizontal="center" vertical="center" wrapText="1"/>
    </xf>
    <xf numFmtId="0" fontId="18" fillId="11" borderId="24" xfId="0" applyFont="1" applyFill="1" applyBorder="1" applyAlignment="1" applyProtection="1">
      <alignment horizontal="center" vertical="center" wrapText="1"/>
    </xf>
    <xf numFmtId="0" fontId="20" fillId="15" borderId="28" xfId="0" applyFont="1" applyFill="1" applyBorder="1" applyAlignment="1" applyProtection="1">
      <alignment horizontal="center" vertical="center" wrapText="1"/>
      <protection locked="0"/>
    </xf>
    <xf numFmtId="0" fontId="20" fillId="15" borderId="27" xfId="0" applyFont="1" applyFill="1" applyBorder="1" applyAlignment="1" applyProtection="1">
      <alignment horizontal="center" vertical="center" wrapText="1"/>
      <protection locked="0"/>
    </xf>
    <xf numFmtId="0" fontId="15" fillId="13" borderId="26" xfId="2" applyFont="1" applyFill="1" applyBorder="1" applyAlignment="1" applyProtection="1">
      <alignment horizontal="center" vertical="center" wrapText="1"/>
    </xf>
    <xf numFmtId="0" fontId="14" fillId="14" borderId="25" xfId="2" applyFont="1" applyFill="1" applyBorder="1" applyAlignment="1" applyProtection="1">
      <alignment horizontal="center" vertical="center" wrapText="1"/>
    </xf>
    <xf numFmtId="0" fontId="15" fillId="14" borderId="25" xfId="2" applyFont="1" applyFill="1" applyBorder="1" applyAlignment="1" applyProtection="1">
      <alignment horizontal="center" vertical="center" wrapText="1"/>
    </xf>
    <xf numFmtId="0" fontId="14" fillId="13" borderId="25" xfId="2" applyFont="1" applyFill="1" applyBorder="1" applyAlignment="1" applyProtection="1">
      <alignment horizontal="center" vertical="center" wrapText="1"/>
    </xf>
    <xf numFmtId="2" fontId="14" fillId="13" borderId="25" xfId="2" applyNumberFormat="1" applyFont="1" applyFill="1" applyBorder="1" applyAlignment="1" applyProtection="1">
      <alignment horizontal="center" vertical="center" wrapText="1"/>
    </xf>
    <xf numFmtId="164" fontId="14" fillId="13" borderId="25" xfId="2" applyNumberFormat="1" applyFont="1" applyFill="1" applyBorder="1" applyAlignment="1" applyProtection="1">
      <alignment horizontal="center" vertical="center" wrapText="1"/>
    </xf>
    <xf numFmtId="1" fontId="15" fillId="13" borderId="25" xfId="2" applyNumberFormat="1" applyFont="1" applyFill="1" applyBorder="1" applyAlignment="1" applyProtection="1">
      <alignment horizontal="center" vertical="center" wrapText="1"/>
    </xf>
    <xf numFmtId="0" fontId="20" fillId="0" borderId="27" xfId="0" applyFont="1" applyBorder="1" applyAlignment="1" applyProtection="1">
      <alignment horizontal="center" vertical="center" wrapText="1"/>
      <protection locked="0"/>
    </xf>
    <xf numFmtId="1" fontId="14" fillId="13" borderId="25" xfId="2" applyNumberFormat="1" applyFont="1" applyFill="1" applyBorder="1" applyAlignment="1" applyProtection="1">
      <alignment horizontal="center" vertical="center" wrapText="1"/>
    </xf>
    <xf numFmtId="0" fontId="16" fillId="13" borderId="25" xfId="2" applyFont="1" applyFill="1" applyBorder="1" applyAlignment="1" applyProtection="1">
      <alignment horizontal="center" vertical="center" wrapText="1"/>
    </xf>
    <xf numFmtId="0" fontId="21" fillId="13" borderId="27" xfId="2" applyFont="1" applyFill="1" applyBorder="1" applyAlignment="1" applyProtection="1">
      <alignment horizontal="center" vertical="center" wrapText="1"/>
    </xf>
    <xf numFmtId="0" fontId="21" fillId="13" borderId="25" xfId="2" applyFont="1" applyFill="1" applyBorder="1" applyAlignment="1" applyProtection="1">
      <alignment horizontal="center" vertical="center" wrapText="1"/>
    </xf>
    <xf numFmtId="0" fontId="21" fillId="14" borderId="27" xfId="2" applyFont="1" applyFill="1" applyBorder="1" applyAlignment="1" applyProtection="1">
      <alignment horizontal="center" vertical="center" wrapText="1"/>
    </xf>
    <xf numFmtId="0" fontId="18" fillId="8" borderId="21"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24"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2" fontId="15" fillId="13" borderId="25" xfId="2" applyNumberFormat="1" applyFont="1" applyFill="1" applyBorder="1" applyAlignment="1" applyProtection="1">
      <alignment horizontal="center" vertical="center" wrapText="1"/>
    </xf>
    <xf numFmtId="164" fontId="16" fillId="14" borderId="25" xfId="2" applyNumberFormat="1" applyFont="1" applyFill="1" applyBorder="1" applyAlignment="1" applyProtection="1">
      <alignment horizontal="center" vertical="center" wrapText="1"/>
    </xf>
    <xf numFmtId="1" fontId="16" fillId="14" borderId="25" xfId="2" applyNumberFormat="1" applyFont="1" applyFill="1" applyBorder="1" applyAlignment="1" applyProtection="1">
      <alignment horizontal="center" vertical="center" wrapText="1"/>
    </xf>
    <xf numFmtId="0" fontId="13" fillId="0" borderId="24" xfId="2" applyFont="1" applyFill="1" applyBorder="1" applyAlignment="1">
      <alignment horizontal="center" vertical="center" wrapText="1" shrinkToFit="1"/>
    </xf>
    <xf numFmtId="0" fontId="15" fillId="13" borderId="27" xfId="2" applyFont="1" applyFill="1" applyBorder="1" applyAlignment="1" applyProtection="1">
      <alignment horizontal="center" vertical="center" wrapText="1"/>
    </xf>
    <xf numFmtId="0" fontId="20" fillId="16" borderId="28" xfId="0" applyFont="1" applyFill="1" applyBorder="1" applyAlignment="1" applyProtection="1">
      <alignment horizontal="center" vertical="center" wrapText="1"/>
      <protection locked="0"/>
    </xf>
    <xf numFmtId="164" fontId="15" fillId="13" borderId="25" xfId="2" applyNumberFormat="1" applyFont="1" applyFill="1" applyBorder="1" applyAlignment="1" applyProtection="1">
      <alignment horizontal="center" vertical="center" wrapText="1"/>
    </xf>
    <xf numFmtId="0" fontId="13" fillId="0" borderId="24" xfId="0" applyFont="1" applyFill="1" applyBorder="1" applyAlignment="1">
      <alignment horizontal="center" vertical="center" wrapText="1" shrinkToFit="1"/>
    </xf>
    <xf numFmtId="0" fontId="25" fillId="16" borderId="28"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14" fillId="13" borderId="26" xfId="0" applyFont="1" applyFill="1" applyBorder="1" applyAlignment="1">
      <alignment horizontal="center" vertical="center" wrapText="1"/>
    </xf>
    <xf numFmtId="0" fontId="14" fillId="13" borderId="25" xfId="0" applyFont="1" applyFill="1" applyBorder="1" applyAlignment="1">
      <alignment horizontal="center" vertical="center" wrapText="1"/>
    </xf>
    <xf numFmtId="0" fontId="16" fillId="14" borderId="25" xfId="0" applyFont="1" applyFill="1" applyBorder="1" applyAlignment="1" applyProtection="1">
      <alignment horizontal="center" vertical="center" wrapText="1"/>
    </xf>
    <xf numFmtId="0" fontId="16" fillId="14" borderId="27"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20" fillId="16" borderId="27"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xf>
    <xf numFmtId="0" fontId="18" fillId="8" borderId="28" xfId="0" applyFont="1" applyFill="1" applyBorder="1" applyAlignment="1" applyProtection="1">
      <alignment horizontal="center" vertical="center" wrapText="1"/>
    </xf>
    <xf numFmtId="0" fontId="25" fillId="0" borderId="28" xfId="0" applyFont="1" applyBorder="1" applyAlignment="1" applyProtection="1">
      <alignment horizontal="center" vertical="center" wrapText="1"/>
      <protection locked="0"/>
    </xf>
    <xf numFmtId="0" fontId="25" fillId="15" borderId="28" xfId="0" applyFont="1" applyFill="1" applyBorder="1" applyAlignment="1" applyProtection="1">
      <alignment horizontal="center" vertical="center" wrapText="1"/>
      <protection locked="0"/>
    </xf>
    <xf numFmtId="1" fontId="18" fillId="0" borderId="23" xfId="0" applyNumberFormat="1" applyFont="1" applyFill="1" applyBorder="1" applyAlignment="1" applyProtection="1">
      <alignment horizontal="center" vertical="center" wrapText="1"/>
    </xf>
    <xf numFmtId="0" fontId="25" fillId="0" borderId="27"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1" fontId="18" fillId="8" borderId="21" xfId="0" applyNumberFormat="1" applyFont="1" applyFill="1" applyBorder="1" applyAlignment="1" applyProtection="1">
      <alignment horizontal="center" vertical="center" wrapText="1"/>
    </xf>
    <xf numFmtId="0" fontId="20" fillId="16" borderId="27" xfId="0" applyFont="1" applyFill="1" applyBorder="1" applyAlignment="1" applyProtection="1">
      <alignment horizontal="left" vertical="center" wrapText="1"/>
      <protection locked="0"/>
    </xf>
    <xf numFmtId="1" fontId="18" fillId="0" borderId="21" xfId="0" applyNumberFormat="1" applyFont="1" applyFill="1" applyBorder="1" applyAlignment="1" applyProtection="1">
      <alignment horizontal="center" vertical="center" wrapText="1" shrinkToFit="1"/>
    </xf>
    <xf numFmtId="9" fontId="19" fillId="11" borderId="26" xfId="0" applyNumberFormat="1" applyFont="1" applyFill="1" applyBorder="1" applyAlignment="1" applyProtection="1">
      <alignment horizontal="center" vertical="center" wrapText="1"/>
    </xf>
    <xf numFmtId="0" fontId="0" fillId="0" borderId="23" xfId="0" applyBorder="1" applyAlignment="1" applyProtection="1">
      <alignment horizontal="center" vertical="center" wrapText="1"/>
      <protection locked="0"/>
    </xf>
    <xf numFmtId="0" fontId="20" fillId="16" borderId="31" xfId="0" applyFont="1" applyFill="1" applyBorder="1" applyAlignment="1" applyProtection="1">
      <alignment horizontal="center" vertical="center" wrapText="1"/>
      <protection locked="0"/>
    </xf>
    <xf numFmtId="0" fontId="13" fillId="0" borderId="34" xfId="3" applyFont="1" applyFill="1" applyBorder="1" applyAlignment="1">
      <alignment horizontal="center" vertical="center" wrapText="1" shrinkToFit="1"/>
    </xf>
    <xf numFmtId="1" fontId="3" fillId="0" borderId="36" xfId="3" applyNumberFormat="1" applyFont="1" applyFill="1" applyBorder="1" applyAlignment="1" applyProtection="1">
      <alignment horizontal="center" vertical="center" wrapText="1"/>
    </xf>
    <xf numFmtId="0" fontId="13" fillId="0" borderId="12" xfId="3" applyFont="1" applyFill="1" applyBorder="1" applyAlignment="1">
      <alignment horizontal="center" vertical="center" wrapText="1" shrinkToFit="1"/>
    </xf>
    <xf numFmtId="0" fontId="13" fillId="0" borderId="36" xfId="3" applyFont="1" applyFill="1" applyBorder="1" applyAlignment="1">
      <alignment horizontal="center" vertical="center" wrapText="1" shrinkToFit="1"/>
    </xf>
    <xf numFmtId="1" fontId="17" fillId="9" borderId="35" xfId="0" applyNumberFormat="1" applyFont="1" applyFill="1" applyBorder="1" applyAlignment="1" applyProtection="1">
      <alignment horizontal="center" vertical="center" wrapText="1" shrinkToFit="1"/>
    </xf>
    <xf numFmtId="0" fontId="19" fillId="11" borderId="11"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0" fontId="18" fillId="11" borderId="36" xfId="0" applyFont="1" applyFill="1" applyBorder="1" applyAlignment="1" applyProtection="1">
      <alignment horizontal="center" vertical="center" wrapText="1"/>
    </xf>
    <xf numFmtId="0" fontId="20" fillId="0" borderId="39" xfId="0" applyFont="1" applyBorder="1" applyAlignment="1" applyProtection="1">
      <alignment horizontal="center" vertical="center" wrapText="1"/>
      <protection locked="0"/>
    </xf>
    <xf numFmtId="0" fontId="0" fillId="0" borderId="0" xfId="0" applyAlignment="1">
      <alignment horizontal="center"/>
    </xf>
    <xf numFmtId="49" fontId="28" fillId="0" borderId="40" xfId="0" applyNumberFormat="1" applyFont="1" applyFill="1" applyBorder="1" applyAlignment="1">
      <alignment vertical="center"/>
    </xf>
    <xf numFmtId="49" fontId="28" fillId="0" borderId="41" xfId="0" applyNumberFormat="1" applyFont="1" applyFill="1" applyBorder="1" applyAlignment="1">
      <alignment vertical="center"/>
    </xf>
    <xf numFmtId="49" fontId="28" fillId="0" borderId="2" xfId="0" applyNumberFormat="1" applyFont="1" applyFill="1" applyBorder="1" applyAlignment="1">
      <alignment vertical="center"/>
    </xf>
    <xf numFmtId="49" fontId="8" fillId="0" borderId="0" xfId="0" applyNumberFormat="1" applyFont="1"/>
    <xf numFmtId="0" fontId="31" fillId="0" borderId="9" xfId="5" applyFont="1" applyBorder="1" applyAlignment="1">
      <alignment horizontal="left" wrapText="1"/>
    </xf>
    <xf numFmtId="0" fontId="31" fillId="0" borderId="10" xfId="5" applyFont="1" applyBorder="1" applyAlignment="1">
      <alignment horizontal="left"/>
    </xf>
    <xf numFmtId="0" fontId="31" fillId="0" borderId="9" xfId="5" applyFont="1" applyBorder="1" applyAlignment="1">
      <alignment horizontal="left"/>
    </xf>
    <xf numFmtId="0" fontId="32" fillId="17" borderId="8" xfId="3" applyFont="1" applyFill="1" applyBorder="1" applyAlignment="1">
      <alignment horizontal="center" vertical="center" wrapText="1"/>
    </xf>
    <xf numFmtId="0" fontId="32" fillId="17" borderId="10" xfId="3" applyFont="1" applyFill="1" applyBorder="1" applyAlignment="1">
      <alignment horizontal="center" vertical="center" wrapText="1"/>
    </xf>
    <xf numFmtId="0" fontId="32" fillId="17" borderId="9" xfId="3" applyFont="1" applyFill="1" applyBorder="1" applyAlignment="1">
      <alignment vertical="center" wrapText="1"/>
    </xf>
    <xf numFmtId="0" fontId="32" fillId="17" borderId="7" xfId="3" applyFont="1" applyFill="1" applyBorder="1" applyAlignment="1">
      <alignment vertical="center" wrapText="1"/>
    </xf>
    <xf numFmtId="49" fontId="33" fillId="0" borderId="14" xfId="3" applyNumberFormat="1" applyFont="1" applyFill="1" applyBorder="1" applyAlignment="1">
      <alignment horizontal="center" vertical="center" wrapText="1"/>
    </xf>
    <xf numFmtId="49" fontId="33" fillId="0" borderId="43" xfId="3" applyNumberFormat="1" applyFont="1" applyFill="1" applyBorder="1" applyAlignment="1">
      <alignment horizontal="center" vertical="center" wrapText="1"/>
    </xf>
    <xf numFmtId="49" fontId="33" fillId="0" borderId="44" xfId="3" applyNumberFormat="1" applyFont="1" applyFill="1" applyBorder="1" applyAlignment="1">
      <alignment horizontal="center" vertical="center" wrapText="1"/>
    </xf>
    <xf numFmtId="49" fontId="33" fillId="0" borderId="14" xfId="3" applyNumberFormat="1" applyFont="1" applyFill="1" applyBorder="1" applyAlignment="1">
      <alignment horizontal="left" vertical="center" wrapText="1"/>
    </xf>
    <xf numFmtId="49" fontId="33" fillId="0" borderId="44" xfId="3" applyNumberFormat="1" applyFont="1" applyFill="1" applyBorder="1" applyAlignment="1">
      <alignment horizontal="left" vertical="center" wrapText="1"/>
    </xf>
    <xf numFmtId="49" fontId="34" fillId="17" borderId="14" xfId="3" applyNumberFormat="1" applyFont="1" applyFill="1" applyBorder="1" applyAlignment="1">
      <alignment horizontal="left" vertical="center" wrapText="1"/>
    </xf>
    <xf numFmtId="49" fontId="34" fillId="17" borderId="43" xfId="3" applyNumberFormat="1" applyFont="1" applyFill="1" applyBorder="1" applyAlignment="1">
      <alignment horizontal="left" vertical="center" wrapText="1"/>
    </xf>
    <xf numFmtId="49" fontId="34" fillId="17" borderId="45" xfId="3" applyNumberFormat="1" applyFont="1" applyFill="1" applyBorder="1" applyAlignment="1">
      <alignment horizontal="left" vertical="center" wrapText="1"/>
    </xf>
    <xf numFmtId="49" fontId="10" fillId="0" borderId="2" xfId="5" applyNumberFormat="1" applyFont="1" applyBorder="1" applyAlignment="1">
      <alignment horizontal="left"/>
    </xf>
    <xf numFmtId="0" fontId="25" fillId="0" borderId="23" xfId="5" applyFont="1" applyBorder="1" applyAlignment="1">
      <alignment horizontal="center"/>
    </xf>
    <xf numFmtId="0" fontId="25" fillId="0" borderId="25" xfId="5" applyFont="1" applyBorder="1" applyAlignment="1">
      <alignment horizontal="left"/>
    </xf>
    <xf numFmtId="0" fontId="25" fillId="0" borderId="24" xfId="5" applyFont="1" applyBorder="1" applyAlignment="1">
      <alignment horizontal="left"/>
    </xf>
    <xf numFmtId="1" fontId="36" fillId="0" borderId="23" xfId="0" applyNumberFormat="1" applyFont="1" applyFill="1" applyBorder="1" applyAlignment="1">
      <alignment horizontal="center" vertical="center" wrapText="1" shrinkToFit="1"/>
    </xf>
    <xf numFmtId="1" fontId="37" fillId="18" borderId="25" xfId="0" applyNumberFormat="1" applyFont="1" applyFill="1" applyBorder="1" applyAlignment="1">
      <alignment horizontal="center" vertical="center" wrapText="1" shrinkToFit="1"/>
    </xf>
    <xf numFmtId="1" fontId="37" fillId="19" borderId="25" xfId="0" applyNumberFormat="1" applyFont="1" applyFill="1" applyBorder="1" applyAlignment="1">
      <alignment horizontal="center" vertical="center" wrapText="1" shrinkToFit="1"/>
    </xf>
    <xf numFmtId="0" fontId="38" fillId="20" borderId="25" xfId="2" applyFont="1" applyFill="1" applyBorder="1" applyAlignment="1">
      <alignment horizontal="left" vertical="center" wrapText="1"/>
    </xf>
    <xf numFmtId="0" fontId="39" fillId="0" borderId="24" xfId="0" applyFont="1" applyFill="1" applyBorder="1" applyAlignment="1">
      <alignment horizontal="center" vertical="center"/>
    </xf>
    <xf numFmtId="1" fontId="37" fillId="21" borderId="15" xfId="0" applyNumberFormat="1" applyFont="1" applyFill="1" applyBorder="1" applyAlignment="1">
      <alignment horizontal="center" vertical="center" wrapText="1" shrinkToFit="1"/>
    </xf>
    <xf numFmtId="0" fontId="25" fillId="22" borderId="25" xfId="0" applyFont="1" applyFill="1" applyBorder="1" applyAlignment="1">
      <alignment horizontal="left"/>
    </xf>
    <xf numFmtId="0" fontId="25" fillId="0" borderId="27" xfId="0" applyFont="1" applyFill="1" applyBorder="1" applyAlignment="1">
      <alignment horizontal="left"/>
    </xf>
    <xf numFmtId="49" fontId="40" fillId="0" borderId="23" xfId="0" quotePrefix="1" applyNumberFormat="1" applyFont="1" applyFill="1" applyBorder="1" applyAlignment="1">
      <alignment horizontal="left"/>
    </xf>
    <xf numFmtId="49" fontId="40" fillId="0" borderId="25" xfId="0" applyNumberFormat="1" applyFont="1" applyFill="1" applyBorder="1" applyAlignment="1">
      <alignment horizontal="left"/>
    </xf>
    <xf numFmtId="49" fontId="40" fillId="0" borderId="24" xfId="0" applyNumberFormat="1" applyFont="1" applyFill="1" applyBorder="1" applyAlignment="1">
      <alignment horizontal="left"/>
    </xf>
    <xf numFmtId="49" fontId="25" fillId="0" borderId="33" xfId="0" applyNumberFormat="1" applyFont="1" applyBorder="1"/>
    <xf numFmtId="49" fontId="25" fillId="23" borderId="23" xfId="0" applyNumberFormat="1" applyFont="1" applyFill="1" applyBorder="1" applyAlignment="1">
      <alignment horizontal="left"/>
    </xf>
    <xf numFmtId="0" fontId="25" fillId="23" borderId="25" xfId="0" applyFont="1" applyFill="1" applyBorder="1" applyAlignment="1">
      <alignment horizontal="left"/>
    </xf>
    <xf numFmtId="49" fontId="25" fillId="0" borderId="23" xfId="0" applyNumberFormat="1" applyFont="1" applyFill="1" applyBorder="1" applyAlignment="1">
      <alignment horizontal="left"/>
    </xf>
    <xf numFmtId="49" fontId="25" fillId="0" borderId="27" xfId="0" applyNumberFormat="1" applyFont="1" applyFill="1" applyBorder="1" applyAlignment="1">
      <alignment horizontal="left"/>
    </xf>
    <xf numFmtId="49" fontId="25" fillId="0" borderId="24" xfId="0" applyNumberFormat="1" applyFont="1" applyFill="1" applyBorder="1" applyAlignment="1">
      <alignment horizontal="left"/>
    </xf>
    <xf numFmtId="49" fontId="25" fillId="24" borderId="25" xfId="0" applyNumberFormat="1" applyFont="1" applyFill="1" applyBorder="1" applyAlignment="1">
      <alignment horizontal="left"/>
    </xf>
    <xf numFmtId="49" fontId="25" fillId="23" borderId="28" xfId="0" applyNumberFormat="1" applyFont="1" applyFill="1" applyBorder="1" applyAlignment="1">
      <alignment horizontal="left"/>
    </xf>
    <xf numFmtId="49" fontId="25" fillId="23" borderId="25" xfId="0" applyNumberFormat="1" applyFont="1" applyFill="1" applyBorder="1" applyAlignment="1">
      <alignment horizontal="left"/>
    </xf>
    <xf numFmtId="49" fontId="25" fillId="0" borderId="25" xfId="0" applyNumberFormat="1" applyFont="1" applyFill="1" applyBorder="1" applyAlignment="1">
      <alignment horizontal="left"/>
    </xf>
    <xf numFmtId="0" fontId="41" fillId="0" borderId="23" xfId="5" applyNumberFormat="1" applyFont="1" applyFill="1" applyBorder="1" applyAlignment="1">
      <alignment horizontal="center"/>
    </xf>
    <xf numFmtId="49" fontId="40" fillId="6" borderId="23" xfId="0" applyNumberFormat="1" applyFont="1" applyFill="1" applyBorder="1" applyAlignment="1">
      <alignment horizontal="left"/>
    </xf>
    <xf numFmtId="49" fontId="40" fillId="3" borderId="25" xfId="0" applyNumberFormat="1" applyFont="1" applyFill="1" applyBorder="1" applyAlignment="1">
      <alignment horizontal="left"/>
    </xf>
    <xf numFmtId="0" fontId="25" fillId="23" borderId="23" xfId="0" applyFont="1" applyFill="1" applyBorder="1" applyAlignment="1">
      <alignment horizontal="left"/>
    </xf>
    <xf numFmtId="0" fontId="31" fillId="12" borderId="23" xfId="5" applyFont="1" applyFill="1" applyBorder="1" applyAlignment="1">
      <alignment horizontal="left"/>
    </xf>
    <xf numFmtId="0" fontId="31" fillId="12" borderId="25" xfId="5" applyFont="1" applyFill="1" applyBorder="1" applyAlignment="1">
      <alignment horizontal="left"/>
    </xf>
    <xf numFmtId="0" fontId="31" fillId="12" borderId="24" xfId="5" applyFont="1" applyFill="1" applyBorder="1" applyAlignment="1">
      <alignment horizontal="left"/>
    </xf>
    <xf numFmtId="0" fontId="11" fillId="12" borderId="53" xfId="5" applyFill="1" applyBorder="1" applyAlignment="1">
      <alignment horizontal="left"/>
    </xf>
    <xf numFmtId="49" fontId="10" fillId="12" borderId="23" xfId="5" applyNumberFormat="1" applyFont="1" applyFill="1" applyBorder="1" applyAlignment="1">
      <alignment horizontal="left"/>
    </xf>
    <xf numFmtId="49" fontId="10" fillId="12" borderId="25" xfId="5" applyNumberFormat="1" applyFont="1" applyFill="1" applyBorder="1" applyAlignment="1">
      <alignment horizontal="left"/>
    </xf>
    <xf numFmtId="49" fontId="23" fillId="12" borderId="27" xfId="5" applyNumberFormat="1" applyFont="1" applyFill="1" applyBorder="1" applyAlignment="1">
      <alignment horizontal="left"/>
    </xf>
    <xf numFmtId="49" fontId="23" fillId="12" borderId="23" xfId="5" applyNumberFormat="1" applyFont="1" applyFill="1" applyBorder="1" applyAlignment="1">
      <alignment horizontal="left"/>
    </xf>
    <xf numFmtId="49" fontId="35" fillId="12" borderId="23" xfId="5" applyNumberFormat="1" applyFont="1" applyFill="1" applyBorder="1" applyAlignment="1">
      <alignment horizontal="left"/>
    </xf>
    <xf numFmtId="49" fontId="35" fillId="12" borderId="25" xfId="5" applyNumberFormat="1" applyFont="1" applyFill="1" applyBorder="1" applyAlignment="1">
      <alignment horizontal="left"/>
    </xf>
    <xf numFmtId="49" fontId="35" fillId="12" borderId="24" xfId="5" applyNumberFormat="1" applyFont="1" applyFill="1" applyBorder="1" applyAlignment="1">
      <alignment horizontal="left"/>
    </xf>
    <xf numFmtId="49" fontId="31" fillId="12" borderId="33" xfId="5" applyNumberFormat="1" applyFont="1" applyFill="1" applyBorder="1" applyAlignment="1">
      <alignment horizontal="left"/>
    </xf>
    <xf numFmtId="0" fontId="25" fillId="0" borderId="17" xfId="5" applyFont="1" applyBorder="1" applyAlignment="1">
      <alignment horizontal="left"/>
    </xf>
    <xf numFmtId="1" fontId="36" fillId="0" borderId="16" xfId="0" applyNumberFormat="1" applyFont="1" applyFill="1" applyBorder="1" applyAlignment="1">
      <alignment horizontal="center" vertical="center" wrapText="1" shrinkToFit="1"/>
    </xf>
    <xf numFmtId="1" fontId="37" fillId="18" borderId="18" xfId="0" applyNumberFormat="1" applyFont="1" applyFill="1" applyBorder="1" applyAlignment="1">
      <alignment horizontal="center" vertical="center" wrapText="1" shrinkToFit="1"/>
    </xf>
    <xf numFmtId="1" fontId="37" fillId="19" borderId="18" xfId="0" applyNumberFormat="1" applyFont="1" applyFill="1" applyBorder="1" applyAlignment="1">
      <alignment horizontal="center" vertical="center" wrapText="1" shrinkToFit="1"/>
    </xf>
    <xf numFmtId="0" fontId="38" fillId="20" borderId="18" xfId="2" applyFont="1" applyFill="1" applyBorder="1" applyAlignment="1">
      <alignment horizontal="left" vertical="center" wrapText="1"/>
    </xf>
    <xf numFmtId="0" fontId="39" fillId="0" borderId="17" xfId="0" applyFont="1" applyFill="1" applyBorder="1" applyAlignment="1">
      <alignment horizontal="center" vertical="center"/>
    </xf>
    <xf numFmtId="49" fontId="40" fillId="0" borderId="26" xfId="0" applyNumberFormat="1" applyFont="1" applyFill="1" applyBorder="1" applyAlignment="1">
      <alignment horizontal="left"/>
    </xf>
    <xf numFmtId="49" fontId="40" fillId="0" borderId="17" xfId="0" applyNumberFormat="1" applyFont="1" applyFill="1" applyBorder="1" applyAlignment="1">
      <alignment horizontal="left"/>
    </xf>
    <xf numFmtId="49" fontId="23" fillId="12" borderId="24" xfId="5" applyNumberFormat="1" applyFont="1" applyFill="1" applyBorder="1" applyAlignment="1">
      <alignment horizontal="left"/>
    </xf>
    <xf numFmtId="49" fontId="31" fillId="12" borderId="33" xfId="5" applyNumberFormat="1" applyFont="1" applyFill="1" applyBorder="1" applyAlignment="1">
      <alignment horizontal="left" wrapText="1"/>
    </xf>
    <xf numFmtId="49" fontId="25" fillId="24" borderId="23" xfId="0" applyNumberFormat="1" applyFont="1" applyFill="1" applyBorder="1" applyAlignment="1">
      <alignment horizontal="left"/>
    </xf>
    <xf numFmtId="49" fontId="25" fillId="0" borderId="33" xfId="0" applyNumberFormat="1" applyFont="1" applyBorder="1" applyAlignment="1">
      <alignment wrapText="1"/>
    </xf>
    <xf numFmtId="49" fontId="42" fillId="25" borderId="23" xfId="0" applyNumberFormat="1" applyFont="1" applyFill="1" applyBorder="1" applyAlignment="1">
      <alignment horizontal="left" vertical="center" wrapText="1" shrinkToFit="1"/>
    </xf>
    <xf numFmtId="0" fontId="25" fillId="0" borderId="33" xfId="0" applyFont="1" applyBorder="1" applyAlignment="1">
      <alignment wrapText="1"/>
    </xf>
    <xf numFmtId="49" fontId="25" fillId="0" borderId="28" xfId="0" applyNumberFormat="1" applyFont="1" applyFill="1" applyBorder="1" applyAlignment="1">
      <alignment horizontal="left"/>
    </xf>
    <xf numFmtId="0" fontId="25" fillId="26" borderId="23" xfId="5" applyFont="1" applyFill="1" applyBorder="1" applyAlignment="1">
      <alignment horizontal="center"/>
    </xf>
    <xf numFmtId="0" fontId="25" fillId="26" borderId="25" xfId="5" applyFont="1" applyFill="1" applyBorder="1" applyAlignment="1">
      <alignment horizontal="left"/>
    </xf>
    <xf numFmtId="0" fontId="25" fillId="26" borderId="24" xfId="5" applyFont="1" applyFill="1" applyBorder="1" applyAlignment="1">
      <alignment horizontal="left"/>
    </xf>
    <xf numFmtId="0" fontId="25" fillId="27" borderId="27" xfId="5" applyFont="1" applyFill="1" applyBorder="1" applyAlignment="1">
      <alignment horizontal="left"/>
    </xf>
    <xf numFmtId="49" fontId="25" fillId="26" borderId="23" xfId="5" applyNumberFormat="1" applyFont="1" applyFill="1" applyBorder="1" applyAlignment="1">
      <alignment horizontal="left"/>
    </xf>
    <xf numFmtId="49" fontId="25" fillId="26" borderId="27" xfId="5" applyNumberFormat="1" applyFont="1" applyFill="1" applyBorder="1" applyAlignment="1">
      <alignment horizontal="left"/>
    </xf>
    <xf numFmtId="49" fontId="40" fillId="26" borderId="23" xfId="5" applyNumberFormat="1" applyFont="1" applyFill="1" applyBorder="1" applyAlignment="1">
      <alignment horizontal="left"/>
    </xf>
    <xf numFmtId="49" fontId="40" fillId="26" borderId="25" xfId="5" applyNumberFormat="1" applyFont="1" applyFill="1" applyBorder="1" applyAlignment="1">
      <alignment horizontal="left"/>
    </xf>
    <xf numFmtId="49" fontId="40" fillId="26" borderId="24" xfId="5" applyNumberFormat="1" applyFont="1" applyFill="1" applyBorder="1" applyAlignment="1">
      <alignment horizontal="left"/>
    </xf>
    <xf numFmtId="0" fontId="25" fillId="27" borderId="33" xfId="5" applyFont="1" applyFill="1" applyBorder="1" applyAlignment="1">
      <alignment horizontal="left"/>
    </xf>
    <xf numFmtId="49" fontId="40" fillId="3" borderId="23" xfId="0" applyNumberFormat="1" applyFont="1" applyFill="1" applyBorder="1" applyAlignment="1">
      <alignment horizontal="left"/>
    </xf>
    <xf numFmtId="49" fontId="40" fillId="0" borderId="23" xfId="0" applyNumberFormat="1" applyFont="1" applyFill="1" applyBorder="1" applyAlignment="1">
      <alignment horizontal="left"/>
    </xf>
    <xf numFmtId="0" fontId="25" fillId="24" borderId="25" xfId="0" applyFont="1" applyFill="1" applyBorder="1" applyAlignment="1">
      <alignment horizontal="left"/>
    </xf>
    <xf numFmtId="0" fontId="25" fillId="22" borderId="23" xfId="0" applyFont="1" applyFill="1" applyBorder="1" applyAlignment="1">
      <alignment horizontal="left"/>
    </xf>
    <xf numFmtId="0" fontId="25" fillId="26" borderId="27" xfId="5" applyFont="1" applyFill="1" applyBorder="1" applyAlignment="1">
      <alignment horizontal="left"/>
    </xf>
    <xf numFmtId="0" fontId="25" fillId="26" borderId="33" xfId="5" applyFont="1" applyFill="1" applyBorder="1" applyAlignment="1">
      <alignment horizontal="left"/>
    </xf>
    <xf numFmtId="0" fontId="25" fillId="26" borderId="23" xfId="0" applyFont="1" applyFill="1" applyBorder="1" applyAlignment="1">
      <alignment horizontal="left"/>
    </xf>
    <xf numFmtId="0" fontId="25" fillId="26" borderId="25" xfId="0" applyFont="1" applyFill="1" applyBorder="1" applyAlignment="1">
      <alignment horizontal="left"/>
    </xf>
    <xf numFmtId="0" fontId="25" fillId="26" borderId="27" xfId="0" applyFont="1" applyFill="1" applyBorder="1" applyAlignment="1">
      <alignment horizontal="left"/>
    </xf>
    <xf numFmtId="49" fontId="25" fillId="26" borderId="23" xfId="0" applyNumberFormat="1" applyFont="1" applyFill="1" applyBorder="1" applyAlignment="1">
      <alignment horizontal="left"/>
    </xf>
    <xf numFmtId="49" fontId="25" fillId="26" borderId="27" xfId="0" applyNumberFormat="1" applyFont="1" applyFill="1" applyBorder="1" applyAlignment="1">
      <alignment horizontal="left"/>
    </xf>
    <xf numFmtId="49" fontId="40" fillId="26" borderId="23" xfId="0" applyNumberFormat="1" applyFont="1" applyFill="1" applyBorder="1" applyAlignment="1">
      <alignment horizontal="left"/>
    </xf>
    <xf numFmtId="49" fontId="40" fillId="26" borderId="25" xfId="0" applyNumberFormat="1" applyFont="1" applyFill="1" applyBorder="1" applyAlignment="1">
      <alignment horizontal="left"/>
    </xf>
    <xf numFmtId="49" fontId="40" fillId="26" borderId="24" xfId="0" applyNumberFormat="1" applyFont="1" applyFill="1" applyBorder="1" applyAlignment="1">
      <alignment horizontal="left"/>
    </xf>
    <xf numFmtId="0" fontId="41" fillId="0" borderId="25" xfId="5" applyFont="1" applyFill="1" applyBorder="1" applyAlignment="1">
      <alignment horizontal="left"/>
    </xf>
    <xf numFmtId="0" fontId="41" fillId="0" borderId="23" xfId="5" applyFont="1" applyFill="1" applyBorder="1" applyAlignment="1">
      <alignment horizontal="center"/>
    </xf>
    <xf numFmtId="49" fontId="25" fillId="2" borderId="25" xfId="0" applyNumberFormat="1" applyFont="1" applyFill="1" applyBorder="1" applyAlignment="1">
      <alignment horizontal="left"/>
    </xf>
    <xf numFmtId="49" fontId="40" fillId="2" borderId="25" xfId="0" applyNumberFormat="1" applyFont="1" applyFill="1" applyBorder="1" applyAlignment="1">
      <alignment horizontal="left"/>
    </xf>
    <xf numFmtId="0" fontId="25" fillId="22" borderId="25" xfId="5" applyFont="1" applyFill="1" applyBorder="1" applyAlignment="1">
      <alignment horizontal="left"/>
    </xf>
    <xf numFmtId="49" fontId="25" fillId="26" borderId="24" xfId="5" applyNumberFormat="1" applyFont="1" applyFill="1" applyBorder="1" applyAlignment="1">
      <alignment horizontal="left"/>
    </xf>
    <xf numFmtId="49" fontId="25" fillId="22" borderId="25" xfId="0" applyNumberFormat="1" applyFont="1" applyFill="1" applyBorder="1" applyAlignment="1">
      <alignment horizontal="left"/>
    </xf>
    <xf numFmtId="49" fontId="42" fillId="29" borderId="23" xfId="0" applyNumberFormat="1" applyFont="1" applyFill="1" applyBorder="1" applyAlignment="1">
      <alignment horizontal="left" vertical="center" wrapText="1" shrinkToFit="1"/>
    </xf>
    <xf numFmtId="49" fontId="40" fillId="0" borderId="25" xfId="0" quotePrefix="1" applyNumberFormat="1" applyFont="1" applyFill="1" applyBorder="1" applyAlignment="1">
      <alignment horizontal="left"/>
    </xf>
    <xf numFmtId="49" fontId="25" fillId="0" borderId="23" xfId="0" quotePrefix="1" applyNumberFormat="1" applyFont="1" applyFill="1" applyBorder="1" applyAlignment="1">
      <alignment horizontal="left"/>
    </xf>
    <xf numFmtId="49" fontId="25" fillId="22" borderId="23" xfId="0" applyNumberFormat="1" applyFont="1" applyFill="1" applyBorder="1" applyAlignment="1">
      <alignment horizontal="left"/>
    </xf>
    <xf numFmtId="49" fontId="25" fillId="4" borderId="23" xfId="0" applyNumberFormat="1" applyFont="1" applyFill="1" applyBorder="1" applyAlignment="1">
      <alignment horizontal="left"/>
    </xf>
    <xf numFmtId="49" fontId="25" fillId="4" borderId="27" xfId="0" applyNumberFormat="1" applyFont="1" applyFill="1" applyBorder="1" applyAlignment="1">
      <alignment horizontal="left"/>
    </xf>
    <xf numFmtId="0" fontId="41" fillId="26" borderId="23" xfId="5" applyNumberFormat="1" applyFont="1" applyFill="1" applyBorder="1" applyAlignment="1">
      <alignment horizontal="center"/>
    </xf>
    <xf numFmtId="0" fontId="41" fillId="26" borderId="25" xfId="5" applyFont="1" applyFill="1" applyBorder="1" applyAlignment="1">
      <alignment horizontal="left"/>
    </xf>
    <xf numFmtId="0" fontId="25" fillId="0" borderId="23" xfId="0" applyFont="1" applyFill="1" applyBorder="1" applyAlignment="1">
      <alignment horizontal="left"/>
    </xf>
    <xf numFmtId="0" fontId="25" fillId="0" borderId="25" xfId="0" applyFont="1" applyFill="1" applyBorder="1" applyAlignment="1">
      <alignment horizontal="left"/>
    </xf>
    <xf numFmtId="0" fontId="25" fillId="0" borderId="24" xfId="0" applyFont="1" applyFill="1" applyBorder="1" applyAlignment="1">
      <alignment horizontal="left"/>
    </xf>
    <xf numFmtId="49" fontId="25" fillId="0" borderId="23" xfId="6" applyNumberFormat="1" applyFont="1" applyFill="1" applyBorder="1" applyAlignment="1">
      <alignment horizontal="left"/>
    </xf>
    <xf numFmtId="49" fontId="40" fillId="0" borderId="27" xfId="0" applyNumberFormat="1" applyFont="1" applyFill="1" applyBorder="1" applyAlignment="1">
      <alignment horizontal="left"/>
    </xf>
    <xf numFmtId="49" fontId="25" fillId="23" borderId="23" xfId="7" applyNumberFormat="1" applyFont="1" applyFill="1" applyBorder="1" applyAlignment="1">
      <alignment horizontal="left"/>
    </xf>
    <xf numFmtId="49" fontId="25" fillId="23" borderId="25" xfId="7" applyNumberFormat="1" applyFont="1" applyFill="1" applyBorder="1" applyAlignment="1">
      <alignment horizontal="left"/>
    </xf>
    <xf numFmtId="49" fontId="25" fillId="0" borderId="23" xfId="7" applyNumberFormat="1" applyFont="1" applyFill="1" applyBorder="1" applyAlignment="1">
      <alignment horizontal="left"/>
    </xf>
    <xf numFmtId="49" fontId="25" fillId="0" borderId="24" xfId="7" applyNumberFormat="1" applyFont="1" applyFill="1" applyBorder="1" applyAlignment="1">
      <alignment horizontal="left"/>
    </xf>
    <xf numFmtId="49" fontId="40" fillId="4" borderId="25" xfId="0" applyNumberFormat="1" applyFont="1" applyFill="1" applyBorder="1" applyAlignment="1">
      <alignment horizontal="left"/>
    </xf>
    <xf numFmtId="49" fontId="25" fillId="0" borderId="33" xfId="7" applyNumberFormat="1" applyFont="1" applyBorder="1"/>
    <xf numFmtId="49" fontId="25" fillId="24" borderId="25" xfId="7" applyNumberFormat="1" applyFont="1" applyFill="1" applyBorder="1" applyAlignment="1">
      <alignment horizontal="left"/>
    </xf>
    <xf numFmtId="49" fontId="40" fillId="0" borderId="24" xfId="7" applyNumberFormat="1" applyFont="1" applyFill="1" applyBorder="1" applyAlignment="1">
      <alignment horizontal="left"/>
    </xf>
    <xf numFmtId="1" fontId="18" fillId="19" borderId="25" xfId="0" applyNumberFormat="1" applyFont="1" applyFill="1" applyBorder="1" applyAlignment="1">
      <alignment horizontal="center" vertical="center" wrapText="1" shrinkToFit="1"/>
    </xf>
    <xf numFmtId="49" fontId="25" fillId="22" borderId="25" xfId="7" applyNumberFormat="1" applyFont="1" applyFill="1" applyBorder="1" applyAlignment="1">
      <alignment horizontal="left"/>
    </xf>
    <xf numFmtId="49" fontId="25" fillId="0" borderId="27" xfId="7" applyNumberFormat="1" applyFont="1" applyFill="1" applyBorder="1" applyAlignment="1">
      <alignment horizontal="left"/>
    </xf>
    <xf numFmtId="49" fontId="25" fillId="0" borderId="26" xfId="0" applyNumberFormat="1" applyFont="1" applyFill="1" applyBorder="1" applyAlignment="1">
      <alignment horizontal="left"/>
    </xf>
    <xf numFmtId="49" fontId="25" fillId="0" borderId="33" xfId="0" applyNumberFormat="1" applyFont="1" applyFill="1" applyBorder="1"/>
    <xf numFmtId="49" fontId="25" fillId="0" borderId="53" xfId="0" applyNumberFormat="1" applyFont="1" applyFill="1" applyBorder="1" applyAlignment="1">
      <alignment horizontal="left"/>
    </xf>
    <xf numFmtId="49" fontId="25" fillId="23" borderId="25" xfId="8" applyNumberFormat="1" applyFont="1" applyFill="1" applyBorder="1" applyAlignment="1">
      <alignment horizontal="left"/>
    </xf>
    <xf numFmtId="1" fontId="37" fillId="21" borderId="53" xfId="0" applyNumberFormat="1" applyFont="1" applyFill="1" applyBorder="1" applyAlignment="1">
      <alignment horizontal="center" vertical="center" wrapText="1" shrinkToFit="1"/>
    </xf>
    <xf numFmtId="49" fontId="25" fillId="0" borderId="23" xfId="0" applyNumberFormat="1" applyFont="1" applyFill="1" applyBorder="1" applyAlignment="1">
      <alignment horizontal="left" wrapText="1"/>
    </xf>
    <xf numFmtId="0" fontId="43" fillId="2" borderId="23" xfId="0" applyFont="1" applyFill="1" applyBorder="1" applyAlignment="1">
      <alignment horizontal="left" vertical="center"/>
    </xf>
    <xf numFmtId="1" fontId="36" fillId="0" borderId="35" xfId="0" applyNumberFormat="1" applyFont="1" applyFill="1" applyBorder="1" applyAlignment="1">
      <alignment horizontal="center" vertical="center" wrapText="1" shrinkToFit="1"/>
    </xf>
    <xf numFmtId="1" fontId="37" fillId="19" borderId="12" xfId="0" applyNumberFormat="1" applyFont="1" applyFill="1" applyBorder="1" applyAlignment="1">
      <alignment horizontal="center" vertical="center" wrapText="1" shrinkToFit="1"/>
    </xf>
    <xf numFmtId="0" fontId="38" fillId="20" borderId="12" xfId="2" applyFont="1" applyFill="1" applyBorder="1" applyAlignment="1">
      <alignment horizontal="left" vertical="center" wrapText="1"/>
    </xf>
    <xf numFmtId="0" fontId="39" fillId="0" borderId="36" xfId="0" applyFont="1" applyFill="1" applyBorder="1" applyAlignment="1">
      <alignment horizontal="center" vertical="center"/>
    </xf>
    <xf numFmtId="49" fontId="25" fillId="0" borderId="54" xfId="0" applyNumberFormat="1" applyFont="1" applyBorder="1"/>
    <xf numFmtId="0" fontId="45" fillId="0" borderId="0" xfId="0" applyFont="1" applyAlignment="1">
      <alignment horizontal="left"/>
    </xf>
    <xf numFmtId="49" fontId="8" fillId="0" borderId="0" xfId="0" applyNumberFormat="1" applyFont="1" applyAlignment="1">
      <alignment horizontal="left"/>
    </xf>
    <xf numFmtId="49" fontId="8" fillId="0" borderId="0" xfId="0" applyNumberFormat="1" applyFont="1" applyFill="1" applyAlignment="1">
      <alignment horizontal="left"/>
    </xf>
    <xf numFmtId="49" fontId="43" fillId="0" borderId="0" xfId="0" applyNumberFormat="1" applyFont="1" applyFill="1" applyAlignment="1">
      <alignment horizontal="left"/>
    </xf>
    <xf numFmtId="0" fontId="0" fillId="0" borderId="0" xfId="0" applyAlignment="1">
      <alignment horizontal="left"/>
    </xf>
    <xf numFmtId="0" fontId="50" fillId="0" borderId="0" xfId="0" applyFont="1" applyFill="1" applyAlignment="1">
      <alignment horizontal="center" vertical="center" wrapText="1"/>
    </xf>
    <xf numFmtId="0" fontId="51" fillId="0" borderId="0" xfId="0" applyFont="1" applyAlignment="1">
      <alignment horizontal="center" vertical="center" wrapText="1"/>
    </xf>
    <xf numFmtId="0" fontId="8" fillId="0" borderId="0" xfId="0" applyFont="1" applyAlignment="1">
      <alignment horizontal="center" vertical="center" wrapText="1"/>
    </xf>
    <xf numFmtId="0" fontId="52" fillId="12" borderId="25" xfId="2" applyFont="1" applyFill="1" applyBorder="1" applyAlignment="1">
      <alignment horizontal="center" vertical="center" textRotation="90" wrapText="1"/>
    </xf>
    <xf numFmtId="1" fontId="22" fillId="12" borderId="50" xfId="0" applyNumberFormat="1" applyFont="1" applyFill="1" applyBorder="1" applyAlignment="1">
      <alignment horizontal="center" vertical="center" shrinkToFit="1"/>
    </xf>
    <xf numFmtId="0" fontId="0" fillId="0" borderId="0" xfId="0" applyAlignment="1">
      <alignment horizontal="center" vertical="center"/>
    </xf>
    <xf numFmtId="0" fontId="10" fillId="12" borderId="26" xfId="2" applyFont="1" applyFill="1" applyBorder="1" applyAlignment="1">
      <alignment horizontal="center" vertical="center" textRotation="90" wrapText="1"/>
    </xf>
    <xf numFmtId="0" fontId="10" fillId="12" borderId="25" xfId="2" applyFont="1" applyFill="1" applyBorder="1" applyAlignment="1">
      <alignment horizontal="center" vertical="center" textRotation="90" wrapText="1"/>
    </xf>
    <xf numFmtId="1" fontId="3" fillId="0" borderId="25" xfId="3" applyNumberFormat="1" applyFont="1" applyFill="1" applyBorder="1" applyAlignment="1">
      <alignment horizontal="center" vertical="center" wrapText="1"/>
    </xf>
    <xf numFmtId="2" fontId="53" fillId="26" borderId="25" xfId="2" applyNumberFormat="1" applyFont="1" applyFill="1" applyBorder="1" applyAlignment="1">
      <alignment horizontal="center" vertical="center" wrapText="1"/>
    </xf>
    <xf numFmtId="0" fontId="54" fillId="26" borderId="25" xfId="4" applyFont="1" applyFill="1" applyBorder="1" applyAlignment="1">
      <alignment horizontal="center" vertical="center" wrapText="1"/>
    </xf>
    <xf numFmtId="0" fontId="53" fillId="32" borderId="25" xfId="2" applyFont="1" applyFill="1" applyBorder="1" applyAlignment="1">
      <alignment horizontal="center" vertical="center" wrapText="1"/>
    </xf>
    <xf numFmtId="0" fontId="53" fillId="32" borderId="25" xfId="4" applyFont="1" applyFill="1" applyBorder="1" applyAlignment="1">
      <alignment horizontal="center" vertical="center" wrapText="1"/>
    </xf>
    <xf numFmtId="0" fontId="54" fillId="32" borderId="27" xfId="4" applyFont="1" applyFill="1" applyBorder="1" applyAlignment="1">
      <alignment horizontal="center" vertical="center" wrapText="1"/>
    </xf>
    <xf numFmtId="1" fontId="17" fillId="26" borderId="16" xfId="0" applyNumberFormat="1" applyFont="1" applyFill="1" applyBorder="1" applyAlignment="1">
      <alignment horizontal="center" vertical="center" wrapText="1" shrinkToFit="1"/>
    </xf>
    <xf numFmtId="0" fontId="18" fillId="10" borderId="25"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53" fillId="26" borderId="25" xfId="2" applyFont="1" applyFill="1" applyBorder="1" applyAlignment="1">
      <alignment horizontal="center" vertical="center" wrapText="1"/>
    </xf>
    <xf numFmtId="0" fontId="53" fillId="26" borderId="25" xfId="4" applyFont="1" applyFill="1" applyBorder="1" applyAlignment="1">
      <alignment horizontal="center" vertical="center" wrapText="1"/>
    </xf>
    <xf numFmtId="0" fontId="54" fillId="26" borderId="27" xfId="4" applyFont="1" applyFill="1" applyBorder="1" applyAlignment="1">
      <alignment horizontal="center" vertical="center" wrapText="1"/>
    </xf>
    <xf numFmtId="0" fontId="18" fillId="11" borderId="26" xfId="0" applyFont="1" applyFill="1" applyBorder="1" applyAlignment="1">
      <alignment horizontal="center" vertical="center" wrapText="1"/>
    </xf>
    <xf numFmtId="0" fontId="54" fillId="26" borderId="25" xfId="0" applyFont="1" applyFill="1" applyBorder="1" applyAlignment="1">
      <alignment horizontal="center" vertical="center"/>
    </xf>
    <xf numFmtId="1" fontId="17" fillId="26" borderId="23" xfId="0" applyNumberFormat="1" applyFont="1" applyFill="1" applyBorder="1" applyAlignment="1">
      <alignment horizontal="center" vertical="center" wrapText="1" shrinkToFit="1"/>
    </xf>
    <xf numFmtId="0" fontId="53" fillId="32" borderId="25" xfId="0" applyFont="1" applyFill="1" applyBorder="1" applyAlignment="1">
      <alignment horizontal="center" vertical="center"/>
    </xf>
    <xf numFmtId="0" fontId="53" fillId="26" borderId="25" xfId="0" applyFont="1" applyFill="1" applyBorder="1" applyAlignment="1">
      <alignment horizontal="center" vertical="center"/>
    </xf>
    <xf numFmtId="1" fontId="18" fillId="0" borderId="25" xfId="0" applyNumberFormat="1" applyFont="1" applyBorder="1" applyAlignment="1">
      <alignment horizontal="center" vertical="center" wrapText="1"/>
    </xf>
    <xf numFmtId="0" fontId="54" fillId="32" borderId="27" xfId="0" applyFont="1" applyFill="1" applyBorder="1" applyAlignment="1">
      <alignment horizontal="center" vertical="center"/>
    </xf>
    <xf numFmtId="1" fontId="19" fillId="11" borderId="25" xfId="0" applyNumberFormat="1" applyFont="1" applyFill="1" applyBorder="1" applyAlignment="1">
      <alignment horizontal="center" vertical="center" wrapText="1"/>
    </xf>
    <xf numFmtId="1" fontId="17" fillId="26" borderId="35" xfId="0" applyNumberFormat="1" applyFont="1" applyFill="1" applyBorder="1" applyAlignment="1">
      <alignment horizontal="center" vertical="center" wrapText="1" shrinkToFit="1"/>
    </xf>
    <xf numFmtId="1" fontId="22" fillId="12" borderId="23" xfId="0" applyNumberFormat="1" applyFont="1" applyFill="1" applyBorder="1" applyAlignment="1">
      <alignment horizontal="center" vertical="center" shrinkToFit="1"/>
    </xf>
    <xf numFmtId="0" fontId="0" fillId="0" borderId="0" xfId="0" applyAlignment="1">
      <alignment horizontal="center" vertical="center" shrinkToFit="1"/>
    </xf>
    <xf numFmtId="1" fontId="3" fillId="12" borderId="23" xfId="3" applyNumberFormat="1" applyFont="1" applyFill="1" applyBorder="1" applyAlignment="1">
      <alignment horizontal="center" vertical="center" wrapText="1" shrinkToFit="1"/>
    </xf>
    <xf numFmtId="0" fontId="59" fillId="37" borderId="25" xfId="9" applyFont="1" applyFill="1" applyBorder="1" applyAlignment="1">
      <alignment horizontal="center" vertical="center" wrapText="1" shrinkToFit="1"/>
    </xf>
    <xf numFmtId="0" fontId="59" fillId="37" borderId="25" xfId="3" applyFont="1" applyFill="1" applyBorder="1" applyAlignment="1">
      <alignment horizontal="center" vertical="center" wrapText="1" shrinkToFit="1"/>
    </xf>
    <xf numFmtId="0" fontId="59" fillId="37" borderId="25" xfId="2" applyFont="1" applyFill="1" applyBorder="1" applyAlignment="1">
      <alignment horizontal="center" vertical="center" wrapText="1" shrinkToFit="1"/>
    </xf>
    <xf numFmtId="166" fontId="59" fillId="37" borderId="25" xfId="2" applyNumberFormat="1" applyFont="1" applyFill="1" applyBorder="1" applyAlignment="1">
      <alignment horizontal="center" vertical="center" wrapText="1" shrinkToFit="1"/>
    </xf>
    <xf numFmtId="0" fontId="59" fillId="37" borderId="25" xfId="3" applyNumberFormat="1" applyFont="1" applyFill="1" applyBorder="1" applyAlignment="1">
      <alignment horizontal="center" vertical="center" wrapText="1" shrinkToFit="1"/>
    </xf>
    <xf numFmtId="0" fontId="59" fillId="37" borderId="26" xfId="2" applyFont="1" applyFill="1" applyBorder="1" applyAlignment="1" applyProtection="1">
      <alignment horizontal="center" vertical="center" wrapText="1" shrinkToFit="1"/>
      <protection locked="0"/>
    </xf>
    <xf numFmtId="0" fontId="59" fillId="37" borderId="25" xfId="2" applyFont="1" applyFill="1" applyBorder="1" applyAlignment="1" applyProtection="1">
      <alignment horizontal="center" vertical="center" wrapText="1" shrinkToFit="1"/>
      <protection locked="0"/>
    </xf>
    <xf numFmtId="0" fontId="59" fillId="0" borderId="25" xfId="3" applyFont="1" applyFill="1" applyBorder="1" applyAlignment="1">
      <alignment horizontal="center" vertical="center" wrapText="1" shrinkToFit="1"/>
    </xf>
    <xf numFmtId="0" fontId="59" fillId="37" borderId="25" xfId="0" applyFont="1" applyFill="1" applyBorder="1" applyAlignment="1">
      <alignment horizontal="center" vertical="center" shrinkToFit="1"/>
    </xf>
    <xf numFmtId="165" fontId="23" fillId="12" borderId="23" xfId="3" applyNumberFormat="1" applyFont="1" applyFill="1" applyBorder="1" applyAlignment="1">
      <alignment horizontal="center" vertical="center" wrapText="1" shrinkToFit="1"/>
    </xf>
    <xf numFmtId="1" fontId="23" fillId="12" borderId="23" xfId="3" applyNumberFormat="1" applyFont="1" applyFill="1" applyBorder="1" applyAlignment="1">
      <alignment horizontal="center" vertical="center" wrapText="1" shrinkToFit="1"/>
    </xf>
    <xf numFmtId="0" fontId="59" fillId="37" borderId="12" xfId="9" applyFont="1" applyFill="1" applyBorder="1" applyAlignment="1">
      <alignment horizontal="center" vertical="center" wrapText="1" shrinkToFit="1"/>
    </xf>
    <xf numFmtId="1" fontId="22" fillId="12" borderId="23" xfId="3" applyNumberFormat="1" applyFont="1" applyFill="1" applyBorder="1" applyAlignment="1">
      <alignment horizontal="center" vertical="center" wrapText="1" shrinkToFit="1"/>
    </xf>
    <xf numFmtId="0" fontId="59" fillId="37" borderId="25" xfId="0" applyFont="1" applyFill="1" applyBorder="1" applyAlignment="1">
      <alignment horizontal="center" vertical="center" wrapText="1" shrinkToFit="1"/>
    </xf>
    <xf numFmtId="1" fontId="3" fillId="12" borderId="50" xfId="3" applyNumberFormat="1" applyFont="1" applyFill="1" applyBorder="1" applyAlignment="1">
      <alignment horizontal="center" vertical="center" wrapText="1" shrinkToFit="1"/>
    </xf>
    <xf numFmtId="0" fontId="59" fillId="37" borderId="34" xfId="9" applyFont="1" applyFill="1" applyBorder="1" applyAlignment="1">
      <alignment horizontal="center" vertical="center" wrapText="1" shrinkToFit="1"/>
    </xf>
    <xf numFmtId="0" fontId="59" fillId="37" borderId="34" xfId="3" applyFont="1" applyFill="1" applyBorder="1" applyAlignment="1">
      <alignment horizontal="center" vertical="center" wrapText="1" shrinkToFit="1"/>
    </xf>
    <xf numFmtId="0" fontId="59" fillId="37" borderId="34" xfId="2" applyFont="1" applyFill="1" applyBorder="1" applyAlignment="1">
      <alignment horizontal="center" vertical="center" wrapText="1" shrinkToFit="1"/>
    </xf>
    <xf numFmtId="0" fontId="59" fillId="37" borderId="34" xfId="3" applyNumberFormat="1" applyFont="1" applyFill="1" applyBorder="1" applyAlignment="1">
      <alignment horizontal="center" vertical="center" wrapText="1" shrinkToFit="1"/>
    </xf>
    <xf numFmtId="0" fontId="59" fillId="37" borderId="34" xfId="2" applyFont="1" applyFill="1" applyBorder="1" applyAlignment="1" applyProtection="1">
      <alignment horizontal="center" vertical="center" wrapText="1" shrinkToFit="1"/>
      <protection locked="0"/>
    </xf>
    <xf numFmtId="0" fontId="59" fillId="37" borderId="34" xfId="0" applyFont="1" applyFill="1" applyBorder="1" applyAlignment="1">
      <alignment horizontal="center" vertical="center" shrinkToFit="1"/>
    </xf>
    <xf numFmtId="0" fontId="7" fillId="0" borderId="0" xfId="0" applyFont="1" applyAlignment="1">
      <alignment horizontal="center" vertical="center" shrinkToFit="1"/>
    </xf>
    <xf numFmtId="2" fontId="14" fillId="13" borderId="26" xfId="0" applyNumberFormat="1" applyFont="1" applyFill="1" applyBorder="1" applyAlignment="1" applyProtection="1">
      <alignment horizontal="center" vertical="center" wrapText="1"/>
    </xf>
    <xf numFmtId="1" fontId="18" fillId="0" borderId="37" xfId="0" applyNumberFormat="1" applyFont="1" applyFill="1" applyBorder="1" applyAlignment="1" applyProtection="1">
      <alignment horizontal="center" vertical="center" wrapText="1"/>
    </xf>
    <xf numFmtId="0" fontId="18" fillId="11" borderId="26" xfId="0" applyFont="1" applyFill="1" applyBorder="1" applyAlignment="1" applyProtection="1">
      <alignment horizontal="center" vertical="center" wrapText="1"/>
    </xf>
    <xf numFmtId="0" fontId="0" fillId="0" borderId="28" xfId="0" applyBorder="1" applyAlignment="1" applyProtection="1">
      <alignment horizontal="center" vertical="center" wrapText="1"/>
      <protection locked="0"/>
    </xf>
    <xf numFmtId="0" fontId="20" fillId="15" borderId="23" xfId="0" applyFont="1" applyFill="1" applyBorder="1" applyAlignment="1" applyProtection="1">
      <alignment horizontal="center" vertical="center" wrapText="1"/>
      <protection locked="0"/>
    </xf>
    <xf numFmtId="0" fontId="20" fillId="16" borderId="23" xfId="0" applyFont="1" applyFill="1" applyBorder="1" applyAlignment="1" applyProtection="1">
      <alignment horizontal="center" vertical="center" wrapText="1"/>
      <protection locked="0"/>
    </xf>
    <xf numFmtId="0" fontId="25" fillId="16" borderId="38" xfId="0"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24" fillId="8" borderId="27" xfId="0" applyFont="1" applyFill="1" applyBorder="1" applyAlignment="1" applyProtection="1">
      <alignment horizontal="center" vertical="center" wrapText="1"/>
    </xf>
    <xf numFmtId="0" fontId="14" fillId="41" borderId="25" xfId="2" applyFont="1" applyFill="1" applyBorder="1" applyAlignment="1">
      <alignment horizontal="center" vertical="center" wrapText="1"/>
    </xf>
    <xf numFmtId="0" fontId="14" fillId="41" borderId="27" xfId="2" applyFont="1" applyFill="1" applyBorder="1" applyAlignment="1">
      <alignment horizontal="center" vertical="center" wrapText="1"/>
    </xf>
    <xf numFmtId="1" fontId="17" fillId="42" borderId="30" xfId="0" applyNumberFormat="1" applyFont="1" applyFill="1" applyBorder="1" applyAlignment="1">
      <alignment horizontal="center" vertical="center" wrapText="1" shrinkToFit="1"/>
    </xf>
    <xf numFmtId="0" fontId="14" fillId="42" borderId="25" xfId="2" applyFont="1" applyFill="1" applyBorder="1" applyAlignment="1">
      <alignment horizontal="center" vertical="center" wrapText="1"/>
    </xf>
    <xf numFmtId="0" fontId="14" fillId="42" borderId="27" xfId="2" applyFont="1" applyFill="1" applyBorder="1" applyAlignment="1">
      <alignment horizontal="center" vertical="center" wrapText="1"/>
    </xf>
    <xf numFmtId="1" fontId="17" fillId="42" borderId="21" xfId="0" applyNumberFormat="1" applyFont="1" applyFill="1" applyBorder="1" applyAlignment="1">
      <alignment horizontal="center" vertical="center" wrapText="1" shrinkToFit="1"/>
    </xf>
    <xf numFmtId="0" fontId="14" fillId="44" borderId="25" xfId="2" applyFont="1" applyFill="1" applyBorder="1" applyAlignment="1">
      <alignment horizontal="center" vertical="center" wrapText="1"/>
    </xf>
    <xf numFmtId="0" fontId="14" fillId="44" borderId="27" xfId="2" applyFont="1" applyFill="1" applyBorder="1" applyAlignment="1">
      <alignment horizontal="center" vertical="center" wrapText="1"/>
    </xf>
    <xf numFmtId="1" fontId="17" fillId="42" borderId="24" xfId="0" applyNumberFormat="1" applyFont="1" applyFill="1" applyBorder="1" applyAlignment="1">
      <alignment horizontal="center" vertical="center" wrapText="1" shrinkToFit="1"/>
    </xf>
    <xf numFmtId="0" fontId="15" fillId="44" borderId="25" xfId="2" applyFont="1" applyFill="1" applyBorder="1" applyAlignment="1">
      <alignment horizontal="center" vertical="center" wrapText="1"/>
    </xf>
    <xf numFmtId="0" fontId="15" fillId="44" borderId="27" xfId="2" applyFont="1" applyFill="1" applyBorder="1" applyAlignment="1">
      <alignment horizontal="center" vertical="center" wrapText="1"/>
    </xf>
    <xf numFmtId="0" fontId="14" fillId="41" borderId="27" xfId="0" applyFont="1" applyFill="1" applyBorder="1" applyAlignment="1">
      <alignment horizontal="center" vertical="center"/>
    </xf>
    <xf numFmtId="49" fontId="14" fillId="44" borderId="25" xfId="2" applyNumberFormat="1" applyFont="1" applyFill="1" applyBorder="1" applyAlignment="1">
      <alignment horizontal="center" vertical="center" wrapText="1"/>
    </xf>
    <xf numFmtId="49" fontId="14" fillId="44" borderId="27" xfId="2" applyNumberFormat="1" applyFont="1" applyFill="1" applyBorder="1" applyAlignment="1">
      <alignment horizontal="center" vertical="center" wrapText="1"/>
    </xf>
    <xf numFmtId="1" fontId="60" fillId="35" borderId="18" xfId="0" applyNumberFormat="1" applyFont="1" applyFill="1" applyBorder="1" applyAlignment="1" applyProtection="1">
      <alignment horizontal="center" vertical="center" wrapText="1" shrinkToFit="1"/>
      <protection locked="0"/>
    </xf>
    <xf numFmtId="1" fontId="17" fillId="42" borderId="16" xfId="0" applyNumberFormat="1" applyFont="1" applyFill="1" applyBorder="1" applyAlignment="1">
      <alignment horizontal="center" vertical="center" wrapText="1" shrinkToFit="1"/>
    </xf>
    <xf numFmtId="0" fontId="25" fillId="0" borderId="25" xfId="0" applyFont="1" applyBorder="1" applyAlignment="1" applyProtection="1">
      <alignment horizontal="center" vertical="center" wrapText="1"/>
      <protection locked="0"/>
    </xf>
    <xf numFmtId="0" fontId="28" fillId="12" borderId="0" xfId="0" applyFont="1" applyFill="1"/>
    <xf numFmtId="0" fontId="0" fillId="12" borderId="0" xfId="0" applyFill="1"/>
    <xf numFmtId="0" fontId="0" fillId="0" borderId="0" xfId="0" applyNumberFormat="1" applyFont="1"/>
    <xf numFmtId="0" fontId="0" fillId="0" borderId="0" xfId="0" applyNumberFormat="1"/>
    <xf numFmtId="9" fontId="0" fillId="0" borderId="0" xfId="1" applyFont="1"/>
    <xf numFmtId="0" fontId="51" fillId="0" borderId="0" xfId="0" applyFont="1"/>
    <xf numFmtId="2" fontId="0" fillId="0" borderId="0" xfId="0" applyNumberFormat="1" applyFont="1"/>
    <xf numFmtId="2" fontId="0" fillId="0" borderId="0" xfId="0" applyNumberFormat="1"/>
    <xf numFmtId="0" fontId="63" fillId="0" borderId="25" xfId="0" applyFont="1" applyBorder="1" applyAlignment="1">
      <alignment vertical="center" wrapText="1"/>
    </xf>
    <xf numFmtId="0" fontId="64" fillId="9" borderId="25" xfId="0" applyFont="1" applyFill="1" applyBorder="1" applyAlignment="1">
      <alignment vertical="center" wrapText="1"/>
    </xf>
    <xf numFmtId="0" fontId="65" fillId="9" borderId="25" xfId="0" applyFont="1" applyFill="1" applyBorder="1" applyAlignment="1">
      <alignment vertical="center" wrapText="1"/>
    </xf>
    <xf numFmtId="0" fontId="28" fillId="0" borderId="0" xfId="0" applyFont="1"/>
    <xf numFmtId="0" fontId="64" fillId="0" borderId="25" xfId="0" applyFont="1" applyBorder="1" applyAlignment="1">
      <alignment vertical="center" wrapText="1"/>
    </xf>
    <xf numFmtId="0" fontId="66" fillId="0" borderId="25" xfId="0" applyFont="1" applyBorder="1" applyAlignment="1">
      <alignment vertical="center" wrapText="1"/>
    </xf>
    <xf numFmtId="0" fontId="67" fillId="0" borderId="25" xfId="0" applyFont="1" applyBorder="1" applyAlignment="1">
      <alignment vertical="center" wrapText="1"/>
    </xf>
    <xf numFmtId="0" fontId="66" fillId="0" borderId="25" xfId="0" applyFont="1" applyFill="1" applyBorder="1" applyAlignment="1">
      <alignment vertical="center" wrapText="1"/>
    </xf>
    <xf numFmtId="0" fontId="50" fillId="9" borderId="25" xfId="0" applyFont="1" applyFill="1" applyBorder="1"/>
    <xf numFmtId="0" fontId="28" fillId="9" borderId="25" xfId="0" applyFont="1" applyFill="1" applyBorder="1"/>
    <xf numFmtId="0" fontId="0" fillId="9" borderId="25" xfId="0" applyFill="1" applyBorder="1"/>
    <xf numFmtId="0" fontId="50" fillId="0" borderId="0" xfId="0" applyFont="1"/>
    <xf numFmtId="0" fontId="68" fillId="37" borderId="6" xfId="0" applyFont="1" applyFill="1" applyBorder="1" applyAlignment="1">
      <alignment horizontal="left" vertical="center"/>
    </xf>
    <xf numFmtId="0" fontId="0" fillId="37" borderId="7" xfId="0" applyFill="1" applyBorder="1" applyAlignment="1">
      <alignment horizontal="left" vertical="center"/>
    </xf>
    <xf numFmtId="0" fontId="0" fillId="37" borderId="7" xfId="0" applyFill="1" applyBorder="1" applyAlignment="1">
      <alignment horizontal="left" vertical="center" wrapText="1"/>
    </xf>
    <xf numFmtId="0" fontId="0" fillId="37" borderId="2" xfId="0" applyFill="1" applyBorder="1" applyAlignment="1">
      <alignment horizontal="left"/>
    </xf>
    <xf numFmtId="0" fontId="28" fillId="9" borderId="40" xfId="0" applyFont="1" applyFill="1" applyBorder="1"/>
    <xf numFmtId="0" fontId="0" fillId="9" borderId="42" xfId="0" applyFill="1" applyBorder="1"/>
    <xf numFmtId="0" fontId="0" fillId="9" borderId="42" xfId="0" applyFill="1" applyBorder="1" applyAlignment="1">
      <alignment wrapText="1"/>
    </xf>
    <xf numFmtId="0" fontId="0" fillId="9" borderId="41" xfId="0" applyFill="1" applyBorder="1"/>
    <xf numFmtId="0" fontId="0" fillId="0" borderId="28" xfId="0" applyBorder="1" applyAlignment="1"/>
    <xf numFmtId="0" fontId="0" fillId="0" borderId="53" xfId="0" applyBorder="1" applyAlignment="1">
      <alignment wrapText="1" shrinkToFit="1"/>
    </xf>
    <xf numFmtId="0" fontId="0" fillId="12" borderId="27" xfId="0" applyFill="1" applyBorder="1" applyAlignment="1">
      <alignment wrapText="1" shrinkToFit="1"/>
    </xf>
    <xf numFmtId="0" fontId="0" fillId="12" borderId="33" xfId="0" applyFill="1" applyBorder="1" applyAlignment="1">
      <alignment wrapText="1" shrinkToFit="1"/>
    </xf>
    <xf numFmtId="0" fontId="0" fillId="0" borderId="0" xfId="0" applyAlignment="1">
      <alignment wrapText="1" shrinkToFit="1"/>
    </xf>
    <xf numFmtId="0" fontId="0" fillId="2" borderId="27" xfId="0" applyFill="1" applyBorder="1" applyAlignment="1">
      <alignment wrapText="1" shrinkToFit="1"/>
    </xf>
    <xf numFmtId="0" fontId="0" fillId="2" borderId="33" xfId="0" applyFill="1" applyBorder="1" applyAlignment="1">
      <alignment wrapText="1" shrinkToFit="1"/>
    </xf>
    <xf numFmtId="0" fontId="0" fillId="3" borderId="27" xfId="0" applyFill="1" applyBorder="1" applyAlignment="1">
      <alignment wrapText="1" shrinkToFit="1"/>
    </xf>
    <xf numFmtId="0" fontId="0" fillId="3" borderId="33" xfId="0" applyFill="1" applyBorder="1" applyAlignment="1">
      <alignment wrapText="1" shrinkToFit="1"/>
    </xf>
    <xf numFmtId="0" fontId="0" fillId="4" borderId="27" xfId="0" applyFill="1" applyBorder="1" applyAlignment="1">
      <alignment wrapText="1" shrinkToFit="1"/>
    </xf>
    <xf numFmtId="0" fontId="0" fillId="4" borderId="33" xfId="0" applyFill="1" applyBorder="1" applyAlignment="1">
      <alignment wrapText="1" shrinkToFit="1"/>
    </xf>
    <xf numFmtId="0" fontId="0" fillId="0" borderId="38" xfId="0" applyBorder="1" applyAlignment="1"/>
    <xf numFmtId="0" fontId="0" fillId="0" borderId="58" xfId="0" applyBorder="1" applyAlignment="1">
      <alignment wrapText="1" shrinkToFit="1"/>
    </xf>
    <xf numFmtId="0" fontId="0" fillId="6" borderId="13" xfId="0" applyFill="1" applyBorder="1" applyAlignment="1">
      <alignment wrapText="1" shrinkToFit="1"/>
    </xf>
    <xf numFmtId="0" fontId="0" fillId="6" borderId="54" xfId="0" applyFill="1" applyBorder="1" applyAlignment="1">
      <alignment wrapText="1" shrinkToFit="1"/>
    </xf>
    <xf numFmtId="0" fontId="0" fillId="0" borderId="53" xfId="0" applyBorder="1"/>
    <xf numFmtId="0" fontId="0" fillId="0" borderId="53" xfId="0" applyBorder="1" applyAlignment="1">
      <alignment wrapText="1"/>
    </xf>
    <xf numFmtId="0" fontId="0" fillId="5" borderId="27" xfId="0" applyFill="1" applyBorder="1"/>
    <xf numFmtId="0" fontId="0" fillId="5" borderId="33" xfId="0" applyFill="1" applyBorder="1"/>
    <xf numFmtId="0" fontId="0" fillId="0" borderId="58" xfId="0" applyBorder="1"/>
    <xf numFmtId="0" fontId="0" fillId="0" borderId="58" xfId="0" applyBorder="1" applyAlignment="1">
      <alignment wrapText="1"/>
    </xf>
    <xf numFmtId="0" fontId="28" fillId="9" borderId="42" xfId="0" applyFont="1" applyFill="1" applyBorder="1"/>
    <xf numFmtId="0" fontId="28" fillId="9" borderId="42" xfId="0" applyFont="1" applyFill="1" applyBorder="1" applyAlignment="1">
      <alignment wrapText="1"/>
    </xf>
    <xf numFmtId="0" fontId="28" fillId="9" borderId="41" xfId="0" applyFont="1" applyFill="1" applyBorder="1"/>
    <xf numFmtId="0" fontId="69" fillId="12" borderId="25" xfId="3" applyNumberFormat="1" applyFont="1" applyFill="1" applyBorder="1" applyAlignment="1">
      <alignment horizontal="center" vertical="center" wrapText="1"/>
    </xf>
    <xf numFmtId="0" fontId="70" fillId="12" borderId="25" xfId="3" applyNumberFormat="1" applyFont="1" applyFill="1" applyBorder="1" applyAlignment="1">
      <alignment horizontal="center" vertical="center" wrapText="1"/>
    </xf>
    <xf numFmtId="0" fontId="70" fillId="12" borderId="27" xfId="3" applyNumberFormat="1" applyFont="1" applyFill="1" applyBorder="1" applyAlignment="1">
      <alignment horizontal="center" vertical="center" wrapText="1"/>
    </xf>
    <xf numFmtId="0" fontId="69" fillId="12" borderId="59" xfId="3" applyFont="1" applyFill="1" applyBorder="1" applyAlignment="1">
      <alignment horizontal="center" vertical="center" wrapText="1"/>
    </xf>
    <xf numFmtId="0" fontId="69" fillId="0" borderId="0" xfId="3" applyFont="1" applyFill="1" applyBorder="1" applyAlignment="1">
      <alignment horizontal="center" vertical="center"/>
    </xf>
    <xf numFmtId="0" fontId="69" fillId="9" borderId="25" xfId="3" applyNumberFormat="1" applyFont="1" applyFill="1" applyBorder="1" applyAlignment="1">
      <alignment horizontal="center" vertical="center" wrapText="1"/>
    </xf>
    <xf numFmtId="0" fontId="71" fillId="9" borderId="25" xfId="3" applyNumberFormat="1" applyFont="1" applyFill="1" applyBorder="1" applyAlignment="1">
      <alignment horizontal="center" vertical="center" wrapText="1"/>
    </xf>
    <xf numFmtId="0" fontId="71" fillId="9" borderId="27" xfId="3" applyNumberFormat="1" applyFont="1" applyFill="1" applyBorder="1" applyAlignment="1">
      <alignment horizontal="center" vertical="center" wrapText="1"/>
    </xf>
    <xf numFmtId="1" fontId="17" fillId="9" borderId="28" xfId="0" applyNumberFormat="1" applyFont="1" applyFill="1" applyBorder="1" applyAlignment="1">
      <alignment horizontal="center" vertical="center" wrapText="1" shrinkToFit="1"/>
    </xf>
    <xf numFmtId="1" fontId="72" fillId="0" borderId="24" xfId="0" applyNumberFormat="1" applyFont="1" applyFill="1" applyBorder="1" applyAlignment="1">
      <alignment horizontal="center" vertical="center" wrapText="1" shrinkToFit="1"/>
    </xf>
    <xf numFmtId="0" fontId="15" fillId="30" borderId="21" xfId="2" applyFont="1" applyFill="1" applyBorder="1" applyAlignment="1">
      <alignment horizontal="left" vertical="center" wrapText="1"/>
    </xf>
    <xf numFmtId="1" fontId="17" fillId="26" borderId="28" xfId="0" applyNumberFormat="1" applyFont="1" applyFill="1" applyBorder="1" applyAlignment="1">
      <alignment horizontal="center" vertical="center" wrapText="1" shrinkToFit="1"/>
    </xf>
    <xf numFmtId="0" fontId="73" fillId="0" borderId="24" xfId="0" applyFont="1" applyFill="1" applyBorder="1" applyAlignment="1">
      <alignment horizontal="center" vertical="center"/>
    </xf>
    <xf numFmtId="0" fontId="74" fillId="0" borderId="0" xfId="0" applyFont="1" applyFill="1" applyBorder="1"/>
    <xf numFmtId="0" fontId="75" fillId="9" borderId="25" xfId="0" applyNumberFormat="1" applyFont="1" applyFill="1" applyBorder="1" applyAlignment="1">
      <alignment horizontal="center" vertical="center"/>
    </xf>
    <xf numFmtId="0" fontId="71" fillId="9" borderId="25" xfId="0" applyNumberFormat="1" applyFont="1" applyFill="1" applyBorder="1" applyAlignment="1">
      <alignment horizontal="center" vertical="center"/>
    </xf>
    <xf numFmtId="0" fontId="71" fillId="9" borderId="25" xfId="0" applyNumberFormat="1" applyFont="1" applyFill="1" applyBorder="1" applyAlignment="1">
      <alignment horizontal="center" vertical="center" wrapText="1"/>
    </xf>
    <xf numFmtId="0" fontId="71" fillId="9" borderId="27" xfId="0" applyNumberFormat="1" applyFont="1" applyFill="1" applyBorder="1" applyAlignment="1">
      <alignment horizontal="center" vertical="center"/>
    </xf>
    <xf numFmtId="0" fontId="76" fillId="9" borderId="25" xfId="3" applyNumberFormat="1" applyFont="1" applyFill="1" applyBorder="1" applyAlignment="1">
      <alignment horizontal="center" vertical="center" wrapText="1"/>
    </xf>
    <xf numFmtId="0" fontId="75" fillId="9" borderId="25" xfId="3" applyNumberFormat="1" applyFont="1" applyFill="1" applyBorder="1" applyAlignment="1">
      <alignment horizontal="center" vertical="center" wrapText="1"/>
    </xf>
    <xf numFmtId="0" fontId="69" fillId="9" borderId="25" xfId="0" applyNumberFormat="1" applyFont="1" applyFill="1" applyBorder="1" applyAlignment="1">
      <alignment horizontal="center" vertical="center"/>
    </xf>
    <xf numFmtId="0" fontId="77" fillId="46" borderId="60" xfId="10" applyFont="1" applyFill="1" applyBorder="1" applyAlignment="1">
      <alignment horizontal="left"/>
    </xf>
    <xf numFmtId="167" fontId="77" fillId="46" borderId="60" xfId="11" applyNumberFormat="1" applyFont="1" applyFill="1" applyBorder="1" applyAlignment="1">
      <alignment horizontal="left"/>
    </xf>
    <xf numFmtId="0" fontId="77" fillId="0" borderId="61" xfId="10" applyFont="1" applyFill="1" applyBorder="1" applyAlignment="1">
      <alignment horizontal="left"/>
    </xf>
    <xf numFmtId="1" fontId="77" fillId="0" borderId="61" xfId="10" applyNumberFormat="1" applyFont="1" applyFill="1" applyBorder="1" applyAlignment="1">
      <alignment horizontal="left"/>
    </xf>
    <xf numFmtId="0" fontId="77" fillId="0" borderId="61" xfId="11" applyNumberFormat="1" applyFont="1" applyFill="1" applyBorder="1" applyAlignment="1">
      <alignment horizontal="left"/>
    </xf>
    <xf numFmtId="0" fontId="77" fillId="0" borderId="61" xfId="10" applyNumberFormat="1" applyFont="1" applyFill="1" applyBorder="1" applyAlignment="1">
      <alignment horizontal="left"/>
    </xf>
    <xf numFmtId="0" fontId="77" fillId="2" borderId="61" xfId="10" applyFont="1" applyFill="1" applyBorder="1" applyAlignment="1">
      <alignment horizontal="left"/>
    </xf>
    <xf numFmtId="0" fontId="77" fillId="4" borderId="61" xfId="10" applyFont="1" applyFill="1" applyBorder="1" applyAlignment="1">
      <alignment horizontal="left"/>
    </xf>
    <xf numFmtId="0" fontId="77" fillId="3" borderId="61" xfId="10" applyFont="1" applyFill="1" applyBorder="1" applyAlignment="1">
      <alignment horizontal="left"/>
    </xf>
    <xf numFmtId="167" fontId="77" fillId="0" borderId="61" xfId="11" applyNumberFormat="1" applyFont="1" applyFill="1" applyBorder="1" applyAlignment="1">
      <alignment horizontal="left"/>
    </xf>
    <xf numFmtId="0" fontId="77" fillId="0" borderId="0" xfId="10" applyFont="1" applyFill="1" applyBorder="1" applyAlignment="1">
      <alignment horizontal="left"/>
    </xf>
    <xf numFmtId="1" fontId="77" fillId="0" borderId="0" xfId="10" applyNumberFormat="1" applyFont="1" applyFill="1" applyBorder="1" applyAlignment="1">
      <alignment horizontal="left"/>
    </xf>
    <xf numFmtId="0" fontId="77" fillId="0" borderId="0" xfId="11" applyNumberFormat="1" applyFont="1" applyFill="1" applyBorder="1" applyAlignment="1">
      <alignment horizontal="left"/>
    </xf>
    <xf numFmtId="0" fontId="0" fillId="0" borderId="61" xfId="0" applyBorder="1"/>
    <xf numFmtId="167" fontId="0" fillId="0" borderId="61" xfId="11" applyNumberFormat="1" applyFont="1" applyBorder="1"/>
    <xf numFmtId="167" fontId="0" fillId="0" borderId="0" xfId="11" applyNumberFormat="1" applyFont="1"/>
    <xf numFmtId="0" fontId="20" fillId="47" borderId="22" xfId="0" applyFont="1" applyFill="1" applyBorder="1" applyAlignment="1" applyProtection="1">
      <alignment horizontal="center" vertical="center" wrapText="1"/>
      <protection locked="0"/>
    </xf>
    <xf numFmtId="0" fontId="20" fillId="9" borderId="20" xfId="0" applyFont="1" applyFill="1" applyBorder="1" applyAlignment="1" applyProtection="1">
      <alignment horizontal="center" vertical="center" wrapText="1"/>
      <protection locked="0"/>
    </xf>
    <xf numFmtId="0" fontId="20" fillId="47" borderId="28" xfId="0" applyFont="1" applyFill="1" applyBorder="1" applyAlignment="1" applyProtection="1">
      <alignment horizontal="center" vertical="center" wrapText="1"/>
      <protection locked="0"/>
    </xf>
    <xf numFmtId="0" fontId="20" fillId="47" borderId="27" xfId="0" applyFont="1" applyFill="1" applyBorder="1" applyAlignment="1" applyProtection="1">
      <alignment horizontal="center" vertical="center" wrapText="1"/>
      <protection locked="0"/>
    </xf>
    <xf numFmtId="0" fontId="20" fillId="9" borderId="28" xfId="0" applyFont="1" applyFill="1" applyBorder="1" applyAlignment="1" applyProtection="1">
      <alignment horizontal="center" vertical="center" wrapText="1"/>
      <protection locked="0"/>
    </xf>
    <xf numFmtId="0" fontId="20" fillId="9" borderId="27" xfId="0" applyFont="1" applyFill="1" applyBorder="1" applyAlignment="1" applyProtection="1">
      <alignment horizontal="center" vertical="center" wrapText="1"/>
      <protection locked="0"/>
    </xf>
    <xf numFmtId="0" fontId="25" fillId="9" borderId="28" xfId="0" applyFont="1" applyFill="1" applyBorder="1" applyAlignment="1" applyProtection="1">
      <alignment horizontal="center" vertical="center" wrapText="1"/>
      <protection locked="0"/>
    </xf>
    <xf numFmtId="0" fontId="20" fillId="9" borderId="23" xfId="0" applyFont="1" applyFill="1" applyBorder="1" applyAlignment="1" applyProtection="1">
      <alignment horizontal="center" vertical="center" wrapText="1"/>
      <protection locked="0"/>
    </xf>
    <xf numFmtId="0" fontId="25" fillId="9" borderId="27" xfId="0" applyFont="1" applyFill="1" applyBorder="1" applyAlignment="1" applyProtection="1">
      <alignment horizontal="center" vertical="center" wrapText="1"/>
      <protection locked="0"/>
    </xf>
    <xf numFmtId="0" fontId="20" fillId="9" borderId="27" xfId="0" applyFont="1" applyFill="1" applyBorder="1" applyAlignment="1" applyProtection="1">
      <alignment horizontal="left" vertical="center" wrapText="1"/>
      <protection locked="0"/>
    </xf>
    <xf numFmtId="0" fontId="20" fillId="47" borderId="23" xfId="0" applyFont="1" applyFill="1" applyBorder="1" applyAlignment="1" applyProtection="1">
      <alignment horizontal="center" vertical="center" wrapText="1"/>
      <protection locked="0"/>
    </xf>
    <xf numFmtId="0" fontId="20" fillId="9" borderId="31" xfId="0" applyFont="1" applyFill="1" applyBorder="1" applyAlignment="1" applyProtection="1">
      <alignment horizontal="center" vertical="center" wrapText="1"/>
      <protection locked="0"/>
    </xf>
    <xf numFmtId="0" fontId="25" fillId="9" borderId="27" xfId="2" applyFont="1" applyFill="1" applyBorder="1" applyAlignment="1">
      <alignment horizontal="center" vertical="center" wrapText="1"/>
    </xf>
    <xf numFmtId="0" fontId="25" fillId="47" borderId="28" xfId="0" applyFont="1" applyFill="1" applyBorder="1" applyAlignment="1" applyProtection="1">
      <alignment horizontal="center" vertical="center" wrapText="1"/>
      <protection locked="0"/>
    </xf>
    <xf numFmtId="0" fontId="25" fillId="9" borderId="38" xfId="0" applyFont="1" applyFill="1" applyBorder="1" applyAlignment="1" applyProtection="1">
      <alignment horizontal="center" vertical="center" wrapText="1"/>
      <protection locked="0"/>
    </xf>
    <xf numFmtId="0" fontId="20" fillId="9" borderId="39"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25" fillId="15" borderId="25" xfId="0" applyFont="1" applyFill="1" applyBorder="1" applyAlignment="1" applyProtection="1">
      <alignment horizontal="center" vertical="center" wrapText="1"/>
      <protection locked="0"/>
    </xf>
    <xf numFmtId="1" fontId="18" fillId="8" borderId="25" xfId="0" applyNumberFormat="1" applyFont="1" applyFill="1" applyBorder="1" applyAlignment="1">
      <alignment horizontal="center" vertical="center" wrapText="1"/>
    </xf>
    <xf numFmtId="0" fontId="0" fillId="0" borderId="25" xfId="0" applyBorder="1" applyAlignment="1">
      <alignment horizontal="center" vertical="center"/>
    </xf>
    <xf numFmtId="0" fontId="25" fillId="0" borderId="16" xfId="5" applyFont="1" applyBorder="1" applyAlignment="1">
      <alignment horizontal="center"/>
    </xf>
    <xf numFmtId="0" fontId="25" fillId="0" borderId="18" xfId="5" applyFont="1" applyBorder="1" applyAlignment="1">
      <alignment horizontal="left"/>
    </xf>
    <xf numFmtId="0" fontId="25" fillId="27" borderId="24" xfId="5" applyFont="1" applyFill="1" applyBorder="1" applyAlignment="1">
      <alignment horizontal="left"/>
    </xf>
    <xf numFmtId="0" fontId="25" fillId="0" borderId="27" xfId="5" applyFont="1" applyBorder="1" applyAlignment="1">
      <alignment horizontal="left"/>
    </xf>
    <xf numFmtId="1" fontId="37" fillId="18" borderId="12" xfId="0" applyNumberFormat="1" applyFont="1" applyFill="1" applyBorder="1" applyAlignment="1">
      <alignment horizontal="center" vertical="center" wrapText="1" shrinkToFit="1"/>
    </xf>
    <xf numFmtId="0" fontId="25" fillId="26" borderId="23" xfId="5" applyFont="1" applyFill="1" applyBorder="1" applyAlignment="1">
      <alignment horizontal="left"/>
    </xf>
    <xf numFmtId="49" fontId="25" fillId="0" borderId="27" xfId="0" applyNumberFormat="1" applyFont="1" applyFill="1" applyBorder="1" applyAlignment="1">
      <alignment horizontal="center"/>
    </xf>
    <xf numFmtId="49" fontId="25" fillId="26" borderId="24" xfId="0" applyNumberFormat="1" applyFont="1" applyFill="1" applyBorder="1" applyAlignment="1">
      <alignment horizontal="left"/>
    </xf>
    <xf numFmtId="0" fontId="25" fillId="26" borderId="26" xfId="5" applyFont="1" applyFill="1" applyBorder="1" applyAlignment="1">
      <alignment horizontal="left"/>
    </xf>
    <xf numFmtId="49" fontId="40" fillId="0" borderId="26" xfId="0" quotePrefix="1" applyNumberFormat="1" applyFont="1" applyFill="1" applyBorder="1" applyAlignment="1">
      <alignment horizontal="left"/>
    </xf>
    <xf numFmtId="1" fontId="42" fillId="28" borderId="23" xfId="0" applyNumberFormat="1" applyFont="1" applyFill="1" applyBorder="1" applyAlignment="1">
      <alignment horizontal="left" vertical="center" wrapText="1" shrinkToFit="1"/>
    </xf>
    <xf numFmtId="49" fontId="40" fillId="3" borderId="23" xfId="0" quotePrefix="1" applyNumberFormat="1" applyFont="1" applyFill="1" applyBorder="1" applyAlignment="1">
      <alignment horizontal="left"/>
    </xf>
    <xf numFmtId="0" fontId="25" fillId="26" borderId="33" xfId="0" applyFont="1" applyFill="1" applyBorder="1" applyAlignment="1">
      <alignment horizontal="left"/>
    </xf>
    <xf numFmtId="0" fontId="20" fillId="47" borderId="20" xfId="0" applyFont="1" applyFill="1" applyBorder="1" applyAlignment="1" applyProtection="1">
      <alignment horizontal="center" vertical="center" wrapText="1"/>
      <protection locked="0"/>
    </xf>
    <xf numFmtId="11" fontId="25" fillId="0" borderId="24" xfId="5" applyNumberFormat="1" applyFont="1" applyBorder="1" applyAlignment="1">
      <alignment horizontal="left"/>
    </xf>
    <xf numFmtId="1" fontId="17" fillId="42" borderId="18" xfId="0" applyNumberFormat="1" applyFont="1" applyFill="1" applyBorder="1" applyAlignment="1">
      <alignment horizontal="center" vertical="center" wrapText="1" shrinkToFit="1"/>
    </xf>
    <xf numFmtId="0" fontId="14" fillId="30" borderId="25" xfId="2" applyFont="1" applyFill="1" applyBorder="1" applyAlignment="1">
      <alignment horizontal="center" vertical="center" wrapText="1"/>
    </xf>
    <xf numFmtId="1" fontId="17" fillId="42" borderId="25" xfId="0" applyNumberFormat="1" applyFont="1" applyFill="1" applyBorder="1" applyAlignment="1">
      <alignment horizontal="center" vertical="center" wrapText="1" shrinkToFit="1"/>
    </xf>
    <xf numFmtId="0" fontId="18" fillId="10" borderId="18" xfId="0" quotePrefix="1" applyFont="1" applyFill="1" applyBorder="1" applyAlignment="1" applyProtection="1">
      <alignment horizontal="center" vertical="center" wrapText="1"/>
    </xf>
    <xf numFmtId="0" fontId="25" fillId="0" borderId="35" xfId="5" applyFont="1" applyBorder="1" applyAlignment="1">
      <alignment horizontal="center"/>
    </xf>
    <xf numFmtId="0" fontId="25" fillId="0" borderId="12" xfId="5" applyFont="1" applyBorder="1" applyAlignment="1">
      <alignment horizontal="left"/>
    </xf>
    <xf numFmtId="0" fontId="25" fillId="0" borderId="23" xfId="5" applyFont="1" applyBorder="1" applyAlignment="1">
      <alignment horizontal="left"/>
    </xf>
    <xf numFmtId="0" fontId="25" fillId="0" borderId="36" xfId="5" applyFont="1" applyBorder="1" applyAlignment="1">
      <alignment horizontal="left"/>
    </xf>
    <xf numFmtId="0" fontId="11" fillId="12" borderId="15" xfId="5" applyFill="1" applyBorder="1" applyAlignment="1">
      <alignment horizontal="left"/>
    </xf>
    <xf numFmtId="49" fontId="25" fillId="23" borderId="35" xfId="0" applyNumberFormat="1" applyFont="1" applyFill="1" applyBorder="1" applyAlignment="1">
      <alignment horizontal="left"/>
    </xf>
    <xf numFmtId="49" fontId="25" fillId="24" borderId="16" xfId="0" applyNumberFormat="1" applyFont="1" applyFill="1" applyBorder="1" applyAlignment="1">
      <alignment horizontal="left"/>
    </xf>
    <xf numFmtId="49" fontId="10" fillId="12" borderId="28" xfId="5" applyNumberFormat="1" applyFont="1" applyFill="1" applyBorder="1" applyAlignment="1">
      <alignment horizontal="left"/>
    </xf>
    <xf numFmtId="49" fontId="25" fillId="23" borderId="12" xfId="0" applyNumberFormat="1" applyFont="1" applyFill="1" applyBorder="1" applyAlignment="1">
      <alignment horizontal="left"/>
    </xf>
    <xf numFmtId="49" fontId="25" fillId="24" borderId="18" xfId="0" applyNumberFormat="1" applyFont="1" applyFill="1" applyBorder="1" applyAlignment="1">
      <alignment horizontal="left"/>
    </xf>
    <xf numFmtId="49" fontId="25" fillId="0" borderId="54" xfId="0" applyNumberFormat="1" applyFont="1" applyFill="1" applyBorder="1" applyAlignment="1">
      <alignment horizontal="left"/>
    </xf>
    <xf numFmtId="49" fontId="23" fillId="12" borderId="25" xfId="5" applyNumberFormat="1" applyFont="1" applyFill="1" applyBorder="1" applyAlignment="1">
      <alignment horizontal="left"/>
    </xf>
    <xf numFmtId="49" fontId="25" fillId="0" borderId="24" xfId="0" applyNumberFormat="1" applyFont="1" applyFill="1" applyBorder="1" applyAlignment="1">
      <alignment horizontal="center"/>
    </xf>
    <xf numFmtId="49" fontId="25" fillId="0" borderId="12" xfId="0" quotePrefix="1" applyNumberFormat="1" applyFont="1" applyFill="1" applyBorder="1" applyAlignment="1">
      <alignment horizontal="left"/>
    </xf>
    <xf numFmtId="49" fontId="25" fillId="0" borderId="13" xfId="0" applyNumberFormat="1" applyFont="1" applyFill="1" applyBorder="1" applyAlignment="1">
      <alignment horizontal="left"/>
    </xf>
    <xf numFmtId="49" fontId="25" fillId="26" borderId="26" xfId="5" applyNumberFormat="1" applyFont="1" applyFill="1" applyBorder="1" applyAlignment="1">
      <alignment horizontal="left"/>
    </xf>
    <xf numFmtId="49" fontId="40" fillId="6" borderId="25" xfId="0" applyNumberFormat="1" applyFont="1" applyFill="1" applyBorder="1" applyAlignment="1">
      <alignment horizontal="left"/>
    </xf>
    <xf numFmtId="49" fontId="40" fillId="0" borderId="35" xfId="0" applyNumberFormat="1" applyFont="1" applyFill="1" applyBorder="1" applyAlignment="1">
      <alignment horizontal="left"/>
    </xf>
    <xf numFmtId="49" fontId="40" fillId="3" borderId="26" xfId="0" applyNumberFormat="1" applyFont="1" applyFill="1" applyBorder="1" applyAlignment="1">
      <alignment horizontal="left"/>
    </xf>
    <xf numFmtId="49" fontId="42" fillId="25" borderId="26" xfId="0" applyNumberFormat="1" applyFont="1" applyFill="1" applyBorder="1" applyAlignment="1">
      <alignment horizontal="left" vertical="center" wrapText="1" shrinkToFit="1"/>
    </xf>
    <xf numFmtId="49" fontId="35" fillId="12" borderId="26" xfId="5" applyNumberFormat="1" applyFont="1" applyFill="1" applyBorder="1" applyAlignment="1">
      <alignment horizontal="left"/>
    </xf>
    <xf numFmtId="49" fontId="40" fillId="26" borderId="26" xfId="0" applyNumberFormat="1" applyFont="1" applyFill="1" applyBorder="1" applyAlignment="1">
      <alignment horizontal="left"/>
    </xf>
    <xf numFmtId="49" fontId="40" fillId="0" borderId="12" xfId="0" quotePrefix="1" applyNumberFormat="1" applyFont="1" applyFill="1" applyBorder="1" applyAlignment="1">
      <alignment horizontal="left"/>
    </xf>
    <xf numFmtId="49" fontId="40" fillId="0" borderId="36" xfId="0" applyNumberFormat="1" applyFont="1" applyFill="1" applyBorder="1" applyAlignment="1">
      <alignment horizontal="left"/>
    </xf>
    <xf numFmtId="49" fontId="25" fillId="0" borderId="32" xfId="0" applyNumberFormat="1" applyFont="1" applyBorder="1" applyAlignment="1">
      <alignment wrapText="1"/>
    </xf>
    <xf numFmtId="0" fontId="25" fillId="0" borderId="23" xfId="0" applyFont="1" applyBorder="1" applyAlignment="1">
      <alignment wrapText="1"/>
    </xf>
    <xf numFmtId="0" fontId="31" fillId="12" borderId="16" xfId="5" applyFont="1" applyFill="1" applyBorder="1" applyAlignment="1">
      <alignment horizontal="left"/>
    </xf>
    <xf numFmtId="0" fontId="31" fillId="12" borderId="18" xfId="5" applyFont="1" applyFill="1" applyBorder="1" applyAlignment="1">
      <alignment horizontal="left"/>
    </xf>
    <xf numFmtId="0" fontId="31" fillId="12" borderId="17" xfId="5" applyFont="1" applyFill="1" applyBorder="1" applyAlignment="1">
      <alignment horizontal="left"/>
    </xf>
    <xf numFmtId="49" fontId="10" fillId="12" borderId="46" xfId="5" applyNumberFormat="1" applyFont="1" applyFill="1" applyBorder="1" applyAlignment="1">
      <alignment horizontal="left"/>
    </xf>
    <xf numFmtId="49" fontId="25" fillId="23" borderId="23" xfId="8" applyNumberFormat="1" applyFont="1" applyFill="1" applyBorder="1" applyAlignment="1">
      <alignment horizontal="left"/>
    </xf>
    <xf numFmtId="49" fontId="10" fillId="12" borderId="47" xfId="5" applyNumberFormat="1" applyFont="1" applyFill="1" applyBorder="1" applyAlignment="1">
      <alignment horizontal="left"/>
    </xf>
    <xf numFmtId="49" fontId="23" fillId="12" borderId="48" xfId="5" applyNumberFormat="1" applyFont="1" applyFill="1" applyBorder="1" applyAlignment="1">
      <alignment horizontal="left"/>
    </xf>
    <xf numFmtId="49" fontId="23" fillId="12" borderId="46" xfId="5" applyNumberFormat="1" applyFont="1" applyFill="1" applyBorder="1" applyAlignment="1">
      <alignment horizontal="left"/>
    </xf>
    <xf numFmtId="49" fontId="35" fillId="12" borderId="46" xfId="5" applyNumberFormat="1" applyFont="1" applyFill="1" applyBorder="1" applyAlignment="1">
      <alignment horizontal="left"/>
    </xf>
    <xf numFmtId="49" fontId="40" fillId="26" borderId="26" xfId="5" applyNumberFormat="1" applyFont="1" applyFill="1" applyBorder="1" applyAlignment="1">
      <alignment horizontal="left"/>
    </xf>
    <xf numFmtId="49" fontId="35" fillId="12" borderId="47" xfId="5" applyNumberFormat="1" applyFont="1" applyFill="1" applyBorder="1" applyAlignment="1">
      <alignment horizontal="left"/>
    </xf>
    <xf numFmtId="49" fontId="35" fillId="12" borderId="49" xfId="5" applyNumberFormat="1" applyFont="1" applyFill="1" applyBorder="1" applyAlignment="1">
      <alignment horizontal="left"/>
    </xf>
    <xf numFmtId="49" fontId="31" fillId="12" borderId="32" xfId="5" applyNumberFormat="1" applyFont="1" applyFill="1" applyBorder="1" applyAlignment="1">
      <alignment horizontal="left"/>
    </xf>
    <xf numFmtId="0" fontId="41" fillId="0" borderId="50" xfId="5" applyNumberFormat="1" applyFont="1" applyFill="1" applyBorder="1" applyAlignment="1">
      <alignment horizontal="center"/>
    </xf>
    <xf numFmtId="0" fontId="41" fillId="0" borderId="34" xfId="5" applyFont="1" applyFill="1" applyBorder="1" applyAlignment="1">
      <alignment horizontal="left"/>
    </xf>
    <xf numFmtId="0" fontId="25" fillId="0" borderId="51" xfId="5" applyFont="1" applyBorder="1" applyAlignment="1">
      <alignment horizontal="left"/>
    </xf>
    <xf numFmtId="1" fontId="36" fillId="0" borderId="50" xfId="0" applyNumberFormat="1" applyFont="1" applyFill="1" applyBorder="1" applyAlignment="1">
      <alignment horizontal="center" vertical="center" wrapText="1" shrinkToFit="1"/>
    </xf>
    <xf numFmtId="1" fontId="37" fillId="18" borderId="34" xfId="0" applyNumberFormat="1" applyFont="1" applyFill="1" applyBorder="1" applyAlignment="1">
      <alignment horizontal="center" vertical="center" wrapText="1" shrinkToFit="1"/>
    </xf>
    <xf numFmtId="1" fontId="37" fillId="19" borderId="34" xfId="0" applyNumberFormat="1" applyFont="1" applyFill="1" applyBorder="1" applyAlignment="1">
      <alignment horizontal="center" vertical="center" wrapText="1" shrinkToFit="1"/>
    </xf>
    <xf numFmtId="0" fontId="38" fillId="20" borderId="34" xfId="2" applyFont="1" applyFill="1" applyBorder="1" applyAlignment="1">
      <alignment horizontal="left" vertical="center" wrapText="1"/>
    </xf>
    <xf numFmtId="0" fontId="39" fillId="0" borderId="51" xfId="0" applyFont="1" applyFill="1" applyBorder="1" applyAlignment="1">
      <alignment horizontal="center" vertical="center"/>
    </xf>
    <xf numFmtId="1" fontId="37" fillId="21" borderId="0" xfId="0" applyNumberFormat="1" applyFont="1" applyFill="1" applyBorder="1" applyAlignment="1">
      <alignment horizontal="center" vertical="center" wrapText="1" shrinkToFit="1"/>
    </xf>
    <xf numFmtId="0" fontId="25" fillId="22" borderId="28" xfId="0" applyFont="1" applyFill="1" applyBorder="1" applyAlignment="1">
      <alignment horizontal="left"/>
    </xf>
    <xf numFmtId="49" fontId="25" fillId="0" borderId="28" xfId="0" applyNumberFormat="1" applyFont="1" applyFill="1" applyBorder="1" applyAlignment="1"/>
    <xf numFmtId="49" fontId="40" fillId="0" borderId="27" xfId="0" quotePrefix="1" applyNumberFormat="1" applyFont="1" applyFill="1" applyBorder="1" applyAlignment="1">
      <alignment horizontal="left"/>
    </xf>
    <xf numFmtId="49" fontId="25" fillId="0" borderId="52" xfId="0" applyNumberFormat="1" applyFont="1" applyBorder="1" applyAlignment="1">
      <alignment wrapText="1"/>
    </xf>
    <xf numFmtId="1" fontId="17" fillId="9" borderId="23" xfId="0" applyNumberFormat="1" applyFont="1" applyFill="1" applyBorder="1" applyAlignment="1">
      <alignment horizontal="center" vertical="center" wrapText="1" shrinkToFit="1"/>
    </xf>
    <xf numFmtId="1" fontId="72" fillId="0" borderId="25" xfId="0" applyNumberFormat="1" applyFont="1" applyFill="1" applyBorder="1" applyAlignment="1">
      <alignment horizontal="center" vertical="center" wrapText="1" shrinkToFit="1"/>
    </xf>
    <xf numFmtId="1" fontId="17" fillId="9" borderId="25" xfId="0" applyNumberFormat="1" applyFont="1" applyFill="1" applyBorder="1" applyAlignment="1">
      <alignment horizontal="center" vertical="center" wrapText="1" shrinkToFit="1"/>
    </xf>
    <xf numFmtId="1" fontId="17" fillId="9" borderId="35" xfId="0" applyNumberFormat="1" applyFont="1" applyFill="1" applyBorder="1" applyAlignment="1">
      <alignment horizontal="center" vertical="center" wrapText="1" shrinkToFit="1"/>
    </xf>
    <xf numFmtId="1" fontId="72" fillId="0" borderId="12" xfId="0" applyNumberFormat="1" applyFont="1" applyFill="1" applyBorder="1" applyAlignment="1">
      <alignment horizontal="center" vertical="center" wrapText="1" shrinkToFit="1"/>
    </xf>
    <xf numFmtId="1" fontId="17" fillId="9" borderId="12" xfId="0" applyNumberFormat="1" applyFont="1" applyFill="1" applyBorder="1" applyAlignment="1">
      <alignment horizontal="center" vertical="center" wrapText="1" shrinkToFit="1"/>
    </xf>
    <xf numFmtId="1" fontId="72" fillId="0" borderId="36" xfId="0" applyNumberFormat="1" applyFont="1" applyFill="1" applyBorder="1" applyAlignment="1">
      <alignment horizontal="center" vertical="center" wrapText="1" shrinkToFit="1"/>
    </xf>
    <xf numFmtId="1" fontId="17" fillId="9" borderId="16" xfId="0" applyNumberFormat="1" applyFont="1" applyFill="1" applyBorder="1" applyAlignment="1">
      <alignment horizontal="center" vertical="center" wrapText="1" shrinkToFit="1"/>
    </xf>
    <xf numFmtId="1" fontId="72" fillId="0" borderId="18" xfId="0" applyNumberFormat="1" applyFont="1" applyFill="1" applyBorder="1" applyAlignment="1">
      <alignment horizontal="center" vertical="center" wrapText="1" shrinkToFit="1"/>
    </xf>
    <xf numFmtId="1" fontId="17" fillId="9" borderId="18" xfId="0" applyNumberFormat="1" applyFont="1" applyFill="1" applyBorder="1" applyAlignment="1">
      <alignment horizontal="center" vertical="center" wrapText="1" shrinkToFit="1"/>
    </xf>
    <xf numFmtId="1" fontId="72" fillId="0" borderId="17" xfId="0" applyNumberFormat="1" applyFont="1" applyFill="1" applyBorder="1" applyAlignment="1">
      <alignment horizontal="center" vertical="center" wrapText="1" shrinkToFit="1"/>
    </xf>
    <xf numFmtId="1" fontId="17" fillId="42" borderId="23" xfId="0" applyNumberFormat="1" applyFont="1" applyFill="1" applyBorder="1" applyAlignment="1">
      <alignment horizontal="center" vertical="center" wrapText="1" shrinkToFit="1"/>
    </xf>
    <xf numFmtId="1" fontId="17" fillId="42" borderId="35" xfId="0" applyNumberFormat="1" applyFont="1" applyFill="1" applyBorder="1" applyAlignment="1">
      <alignment horizontal="center" vertical="center" wrapText="1" shrinkToFit="1"/>
    </xf>
    <xf numFmtId="1" fontId="17" fillId="42" borderId="12" xfId="0" applyNumberFormat="1" applyFont="1" applyFill="1" applyBorder="1" applyAlignment="1">
      <alignment horizontal="center" vertical="center" wrapText="1" shrinkToFit="1"/>
    </xf>
    <xf numFmtId="1" fontId="17" fillId="42" borderId="36" xfId="0" applyNumberFormat="1" applyFont="1" applyFill="1" applyBorder="1" applyAlignment="1">
      <alignment horizontal="center" vertical="center" wrapText="1" shrinkToFit="1"/>
    </xf>
    <xf numFmtId="0" fontId="0" fillId="0" borderId="25" xfId="0" applyBorder="1"/>
    <xf numFmtId="0" fontId="0" fillId="0" borderId="24" xfId="0" applyBorder="1"/>
    <xf numFmtId="0" fontId="0" fillId="0" borderId="12" xfId="0" applyBorder="1"/>
    <xf numFmtId="0" fontId="0" fillId="0" borderId="36" xfId="0" applyBorder="1"/>
    <xf numFmtId="0" fontId="73" fillId="0" borderId="25" xfId="0" applyFont="1" applyFill="1" applyBorder="1" applyAlignment="1">
      <alignment horizontal="center" vertical="center"/>
    </xf>
    <xf numFmtId="1" fontId="17" fillId="26" borderId="25" xfId="0" applyNumberFormat="1" applyFont="1" applyFill="1" applyBorder="1" applyAlignment="1">
      <alignment horizontal="center" vertical="center" wrapText="1" shrinkToFit="1"/>
    </xf>
    <xf numFmtId="0" fontId="73" fillId="0" borderId="12" xfId="0" applyFont="1" applyFill="1" applyBorder="1" applyAlignment="1">
      <alignment horizontal="center" vertical="center"/>
    </xf>
    <xf numFmtId="1" fontId="17" fillId="26" borderId="12" xfId="0" applyNumberFormat="1" applyFont="1" applyFill="1" applyBorder="1" applyAlignment="1">
      <alignment horizontal="center" vertical="center" wrapText="1" shrinkToFit="1"/>
    </xf>
    <xf numFmtId="0" fontId="73" fillId="0" borderId="36" xfId="0" applyFont="1" applyFill="1" applyBorder="1" applyAlignment="1">
      <alignment horizontal="center" vertical="center"/>
    </xf>
    <xf numFmtId="1" fontId="17" fillId="42" borderId="17" xfId="0" applyNumberFormat="1" applyFont="1" applyFill="1" applyBorder="1" applyAlignment="1">
      <alignment horizontal="center" vertical="center" wrapText="1" shrinkToFit="1"/>
    </xf>
    <xf numFmtId="0" fontId="0" fillId="0" borderId="18" xfId="0" applyBorder="1"/>
    <xf numFmtId="0" fontId="0" fillId="0" borderId="17" xfId="0" applyBorder="1"/>
    <xf numFmtId="0" fontId="73" fillId="0" borderId="18" xfId="0" applyFont="1" applyFill="1" applyBorder="1" applyAlignment="1">
      <alignment horizontal="center" vertical="center"/>
    </xf>
    <xf numFmtId="1" fontId="17" fillId="26" borderId="18" xfId="0" applyNumberFormat="1" applyFont="1" applyFill="1" applyBorder="1" applyAlignment="1">
      <alignment horizontal="center" vertical="center" wrapText="1" shrinkToFit="1"/>
    </xf>
    <xf numFmtId="0" fontId="73" fillId="0" borderId="17" xfId="0" applyFont="1" applyFill="1" applyBorder="1" applyAlignment="1">
      <alignment horizontal="center" vertical="center"/>
    </xf>
    <xf numFmtId="0" fontId="69" fillId="12" borderId="35" xfId="3" applyFont="1" applyFill="1" applyBorder="1" applyAlignment="1">
      <alignment horizontal="center" vertical="center" wrapText="1"/>
    </xf>
    <xf numFmtId="0" fontId="69" fillId="12" borderId="12" xfId="3" applyFont="1" applyFill="1" applyBorder="1" applyAlignment="1">
      <alignment horizontal="center" vertical="center" wrapText="1"/>
    </xf>
    <xf numFmtId="0" fontId="69" fillId="12" borderId="36" xfId="3" applyFont="1" applyFill="1" applyBorder="1" applyAlignment="1">
      <alignment horizontal="center" vertical="center" wrapText="1"/>
    </xf>
    <xf numFmtId="0" fontId="18" fillId="10" borderId="25" xfId="0" quotePrefix="1" applyFont="1" applyFill="1" applyBorder="1" applyAlignment="1">
      <alignment horizontal="center" vertical="center" wrapText="1"/>
    </xf>
    <xf numFmtId="0" fontId="69" fillId="12" borderId="3" xfId="3" applyFont="1" applyFill="1" applyBorder="1" applyAlignment="1">
      <alignment horizontal="center" vertical="center" wrapText="1"/>
    </xf>
    <xf numFmtId="1" fontId="17" fillId="9" borderId="46" xfId="0" applyNumberFormat="1" applyFont="1" applyFill="1" applyBorder="1" applyAlignment="1">
      <alignment horizontal="center" vertical="center" wrapText="1" shrinkToFit="1"/>
    </xf>
    <xf numFmtId="1" fontId="17" fillId="9" borderId="57" xfId="0" applyNumberFormat="1" applyFont="1" applyFill="1" applyBorder="1" applyAlignment="1">
      <alignment horizontal="center" vertical="center" wrapText="1" shrinkToFit="1"/>
    </xf>
    <xf numFmtId="1" fontId="17" fillId="26" borderId="46" xfId="0" applyNumberFormat="1" applyFont="1" applyFill="1" applyBorder="1" applyAlignment="1">
      <alignment horizontal="center" vertical="center" wrapText="1" shrinkToFit="1"/>
    </xf>
    <xf numFmtId="1" fontId="17" fillId="26" borderId="57" xfId="0" applyNumberFormat="1" applyFont="1" applyFill="1" applyBorder="1" applyAlignment="1">
      <alignment horizontal="center" vertical="center" wrapText="1" shrinkToFit="1"/>
    </xf>
    <xf numFmtId="1" fontId="17" fillId="42" borderId="59" xfId="0" applyNumberFormat="1" applyFont="1" applyFill="1" applyBorder="1" applyAlignment="1">
      <alignment horizontal="center" vertical="center" wrapText="1" shrinkToFit="1"/>
    </xf>
    <xf numFmtId="1" fontId="17" fillId="42" borderId="5" xfId="0" applyNumberFormat="1" applyFont="1" applyFill="1" applyBorder="1" applyAlignment="1">
      <alignment horizontal="center" vertical="center" wrapText="1" shrinkToFit="1"/>
    </xf>
    <xf numFmtId="0" fontId="70" fillId="12" borderId="3" xfId="3" applyNumberFormat="1" applyFont="1" applyFill="1" applyBorder="1" applyAlignment="1">
      <alignment horizontal="center" vertical="center" wrapText="1"/>
    </xf>
    <xf numFmtId="0" fontId="10" fillId="9" borderId="10" xfId="2" applyFont="1" applyFill="1" applyBorder="1" applyAlignment="1" applyProtection="1">
      <alignment horizontal="center" vertical="center" textRotation="90" wrapText="1"/>
    </xf>
    <xf numFmtId="0" fontId="10" fillId="9" borderId="9" xfId="2" applyFont="1" applyFill="1" applyBorder="1" applyAlignment="1" applyProtection="1">
      <alignment horizontal="center" vertical="center" textRotation="90" wrapText="1"/>
    </xf>
    <xf numFmtId="0" fontId="10" fillId="9" borderId="8" xfId="2" applyFont="1" applyFill="1" applyBorder="1" applyAlignment="1">
      <alignment horizontal="center" vertical="center" textRotation="90" wrapText="1"/>
    </xf>
    <xf numFmtId="1" fontId="0" fillId="0" borderId="49" xfId="0" applyNumberFormat="1" applyBorder="1" applyAlignment="1">
      <alignment horizontal="center"/>
    </xf>
    <xf numFmtId="1" fontId="0" fillId="0" borderId="24" xfId="0" applyNumberFormat="1" applyBorder="1" applyAlignment="1">
      <alignment horizontal="center"/>
    </xf>
    <xf numFmtId="0" fontId="78" fillId="0" borderId="49" xfId="0" applyFont="1" applyFill="1" applyBorder="1" applyAlignment="1">
      <alignment horizontal="center" vertical="center"/>
    </xf>
    <xf numFmtId="0" fontId="78" fillId="0" borderId="17" xfId="0" applyFont="1" applyFill="1" applyBorder="1" applyAlignment="1">
      <alignment horizontal="center" vertical="center"/>
    </xf>
    <xf numFmtId="0" fontId="78" fillId="0" borderId="56" xfId="0" applyFont="1" applyFill="1" applyBorder="1" applyAlignment="1">
      <alignment horizontal="center" vertical="center"/>
    </xf>
    <xf numFmtId="0" fontId="0" fillId="0" borderId="25" xfId="0" applyBorder="1" applyAlignment="1">
      <alignment horizontal="center" vertical="center" wrapText="1"/>
    </xf>
    <xf numFmtId="0" fontId="52" fillId="12" borderId="25" xfId="2" applyFont="1" applyFill="1" applyBorder="1" applyAlignment="1">
      <alignment horizontal="center" vertical="center" textRotation="90" wrapText="1"/>
    </xf>
    <xf numFmtId="0" fontId="80" fillId="12" borderId="12" xfId="2" applyFont="1" applyFill="1" applyBorder="1" applyAlignment="1" applyProtection="1">
      <alignment horizontal="center" vertical="center" textRotation="90" wrapText="1"/>
    </xf>
    <xf numFmtId="0" fontId="80" fillId="12" borderId="11" xfId="2" applyFont="1" applyFill="1" applyBorder="1" applyAlignment="1" applyProtection="1">
      <alignment horizontal="center" vertical="center" textRotation="90" wrapText="1"/>
    </xf>
    <xf numFmtId="0" fontId="80" fillId="12" borderId="13" xfId="2" applyFont="1" applyFill="1" applyBorder="1" applyAlignment="1" applyProtection="1">
      <alignment horizontal="center" vertical="center" textRotation="90" wrapText="1"/>
    </xf>
    <xf numFmtId="0" fontId="81" fillId="0" borderId="15" xfId="0" applyFont="1" applyBorder="1" applyAlignment="1">
      <alignment horizontal="center" vertical="center" wrapText="1"/>
    </xf>
    <xf numFmtId="0" fontId="8" fillId="0" borderId="25" xfId="0" applyFont="1" applyBorder="1" applyAlignment="1">
      <alignment horizontal="center" vertical="center"/>
    </xf>
    <xf numFmtId="1" fontId="83" fillId="0" borderId="24" xfId="3" applyNumberFormat="1" applyFont="1" applyFill="1" applyBorder="1" applyAlignment="1" applyProtection="1">
      <alignment horizontal="center" vertical="center" wrapText="1"/>
    </xf>
    <xf numFmtId="0" fontId="84" fillId="0" borderId="25" xfId="3" applyFont="1" applyFill="1" applyBorder="1" applyAlignment="1">
      <alignment horizontal="center" vertical="center" wrapText="1" shrinkToFit="1"/>
    </xf>
    <xf numFmtId="0" fontId="84" fillId="0" borderId="24" xfId="3" applyFont="1" applyFill="1" applyBorder="1" applyAlignment="1">
      <alignment horizontal="center" vertical="center" wrapText="1" shrinkToFit="1"/>
    </xf>
    <xf numFmtId="0" fontId="85" fillId="13" borderId="26" xfId="2" applyFont="1" applyFill="1" applyBorder="1" applyAlignment="1" applyProtection="1">
      <alignment horizontal="center" vertical="center" wrapText="1"/>
    </xf>
    <xf numFmtId="0" fontId="83" fillId="13" borderId="25" xfId="2" applyFont="1" applyFill="1" applyBorder="1" applyAlignment="1" applyProtection="1">
      <alignment horizontal="center" vertical="center" wrapText="1"/>
    </xf>
    <xf numFmtId="2" fontId="85" fillId="14" borderId="25" xfId="2" applyNumberFormat="1" applyFont="1" applyFill="1" applyBorder="1" applyAlignment="1" applyProtection="1">
      <alignment horizontal="center" vertical="center" wrapText="1"/>
    </xf>
    <xf numFmtId="164" fontId="85" fillId="14" borderId="25" xfId="2" applyNumberFormat="1" applyFont="1" applyFill="1" applyBorder="1" applyAlignment="1" applyProtection="1">
      <alignment horizontal="center" vertical="center" wrapText="1"/>
    </xf>
    <xf numFmtId="1" fontId="85" fillId="14" borderId="25" xfId="2" applyNumberFormat="1" applyFont="1" applyFill="1" applyBorder="1" applyAlignment="1" applyProtection="1">
      <alignment horizontal="center" vertical="center" wrapText="1"/>
    </xf>
    <xf numFmtId="0" fontId="62" fillId="14" borderId="25" xfId="2" applyFont="1" applyFill="1" applyBorder="1" applyAlignment="1" applyProtection="1">
      <alignment horizontal="center" vertical="center" wrapText="1"/>
    </xf>
    <xf numFmtId="0" fontId="62" fillId="14" borderId="27" xfId="2" applyFont="1" applyFill="1" applyBorder="1" applyAlignment="1" applyProtection="1">
      <alignment horizontal="center" vertical="center" wrapText="1"/>
    </xf>
    <xf numFmtId="1" fontId="77" fillId="9" borderId="23" xfId="0" applyNumberFormat="1" applyFont="1" applyFill="1" applyBorder="1" applyAlignment="1" applyProtection="1">
      <alignment horizontal="center" vertical="center" wrapText="1" shrinkToFit="1"/>
    </xf>
    <xf numFmtId="0" fontId="8" fillId="10" borderId="18" xfId="0" applyFont="1" applyFill="1" applyBorder="1" applyAlignment="1" applyProtection="1">
      <alignment horizontal="center" vertical="center" wrapText="1"/>
    </xf>
    <xf numFmtId="0" fontId="8" fillId="8" borderId="21" xfId="0" applyFont="1" applyFill="1" applyBorder="1" applyAlignment="1" applyProtection="1">
      <alignment horizontal="center" vertical="center" wrapText="1"/>
    </xf>
    <xf numFmtId="0" fontId="8" fillId="11" borderId="26" xfId="0" applyFont="1" applyFill="1" applyBorder="1" applyAlignment="1" applyProtection="1">
      <alignment horizontal="center" vertical="center" wrapText="1"/>
    </xf>
    <xf numFmtId="0" fontId="8" fillId="8" borderId="25" xfId="0" applyFont="1" applyFill="1" applyBorder="1" applyAlignment="1" applyProtection="1">
      <alignment horizontal="center" vertical="center" wrapText="1"/>
    </xf>
    <xf numFmtId="0" fontId="8" fillId="8" borderId="24" xfId="0" applyFont="1" applyFill="1" applyBorder="1" applyAlignment="1" applyProtection="1">
      <alignment horizontal="center" vertical="center" wrapText="1"/>
    </xf>
    <xf numFmtId="0" fontId="62" fillId="8" borderId="28" xfId="0" applyFont="1" applyFill="1" applyBorder="1" applyAlignment="1" applyProtection="1">
      <alignment horizontal="center" vertical="center" wrapText="1"/>
      <protection locked="0"/>
    </xf>
    <xf numFmtId="0" fontId="62" fillId="8" borderId="27" xfId="2" applyFont="1" applyFill="1" applyBorder="1" applyAlignment="1">
      <alignment horizontal="center" vertical="center" wrapText="1"/>
    </xf>
    <xf numFmtId="1" fontId="8" fillId="0" borderId="21" xfId="0" applyNumberFormat="1" applyFont="1" applyFill="1" applyBorder="1" applyAlignment="1" applyProtection="1">
      <alignment horizontal="center" vertical="center" wrapText="1"/>
    </xf>
    <xf numFmtId="0" fontId="8" fillId="11" borderId="25" xfId="0" applyFont="1" applyFill="1" applyBorder="1" applyAlignment="1" applyProtection="1">
      <alignment horizontal="center" vertical="center" wrapText="1"/>
    </xf>
    <xf numFmtId="0" fontId="8" fillId="11" borderId="24" xfId="0" applyFont="1" applyFill="1" applyBorder="1" applyAlignment="1" applyProtection="1">
      <alignment horizontal="center" vertical="center" wrapText="1"/>
    </xf>
    <xf numFmtId="0" fontId="62" fillId="0" borderId="28" xfId="0" applyFont="1" applyBorder="1" applyAlignment="1" applyProtection="1">
      <alignment horizontal="center" vertical="center" wrapText="1"/>
      <protection locked="0"/>
    </xf>
    <xf numFmtId="0" fontId="85" fillId="0" borderId="27" xfId="0" applyFont="1" applyBorder="1" applyAlignment="1" applyProtection="1">
      <alignment horizontal="center" vertical="center" wrapText="1"/>
      <protection locked="0"/>
    </xf>
    <xf numFmtId="0" fontId="85" fillId="15" borderId="28" xfId="0" applyFont="1" applyFill="1" applyBorder="1" applyAlignment="1" applyProtection="1">
      <alignment horizontal="center" vertical="center" wrapText="1"/>
      <protection locked="0"/>
    </xf>
    <xf numFmtId="0" fontId="85" fillId="15" borderId="27" xfId="0" applyFont="1" applyFill="1" applyBorder="1" applyAlignment="1" applyProtection="1">
      <alignment horizontal="center" vertical="center" wrapText="1"/>
      <protection locked="0"/>
    </xf>
    <xf numFmtId="0" fontId="8" fillId="8" borderId="28" xfId="0" applyFont="1" applyFill="1" applyBorder="1" applyAlignment="1" applyProtection="1">
      <alignment horizontal="center" vertical="center" wrapText="1"/>
    </xf>
    <xf numFmtId="0" fontId="51" fillId="8" borderId="27" xfId="0" applyFont="1" applyFill="1" applyBorder="1" applyAlignment="1" applyProtection="1">
      <alignment horizontal="center" vertical="center" wrapText="1"/>
    </xf>
    <xf numFmtId="0" fontId="85" fillId="13" borderId="25" xfId="2" applyFont="1" applyFill="1" applyBorder="1" applyAlignment="1" applyProtection="1">
      <alignment horizontal="center" vertical="center" wrapText="1"/>
    </xf>
    <xf numFmtId="2" fontId="85" fillId="13" borderId="25" xfId="2" applyNumberFormat="1" applyFont="1" applyFill="1" applyBorder="1" applyAlignment="1" applyProtection="1">
      <alignment horizontal="center" vertical="center" wrapText="1"/>
    </xf>
    <xf numFmtId="164" fontId="85" fillId="13" borderId="25" xfId="2" applyNumberFormat="1" applyFont="1" applyFill="1" applyBorder="1" applyAlignment="1" applyProtection="1">
      <alignment horizontal="center" vertical="center" wrapText="1"/>
    </xf>
    <xf numFmtId="1" fontId="85" fillId="13" borderId="25" xfId="2" applyNumberFormat="1" applyFont="1" applyFill="1" applyBorder="1" applyAlignment="1" applyProtection="1">
      <alignment horizontal="center" vertical="center" wrapText="1"/>
    </xf>
    <xf numFmtId="0" fontId="52" fillId="13" borderId="25" xfId="2" applyFont="1" applyFill="1" applyBorder="1" applyAlignment="1" applyProtection="1">
      <alignment horizontal="center" vertical="center" wrapText="1"/>
    </xf>
    <xf numFmtId="0" fontId="62" fillId="13" borderId="25" xfId="2" applyFont="1" applyFill="1" applyBorder="1" applyAlignment="1" applyProtection="1">
      <alignment horizontal="center" vertical="center" wrapText="1"/>
    </xf>
    <xf numFmtId="0" fontId="52" fillId="13" borderId="27" xfId="2" applyFont="1" applyFill="1" applyBorder="1" applyAlignment="1" applyProtection="1">
      <alignment horizontal="center" vertical="center" wrapText="1"/>
    </xf>
    <xf numFmtId="0" fontId="85" fillId="16" borderId="28" xfId="0" applyFont="1" applyFill="1" applyBorder="1" applyAlignment="1" applyProtection="1">
      <alignment horizontal="center" vertical="center" wrapText="1"/>
      <protection locked="0"/>
    </xf>
    <xf numFmtId="0" fontId="83" fillId="13" borderId="26" xfId="2" applyFont="1" applyFill="1" applyBorder="1" applyAlignment="1" applyProtection="1">
      <alignment horizontal="center" vertical="center" wrapText="1"/>
    </xf>
    <xf numFmtId="0" fontId="85" fillId="14" borderId="25" xfId="2" applyFont="1" applyFill="1" applyBorder="1" applyAlignment="1" applyProtection="1">
      <alignment horizontal="center" vertical="center" wrapText="1"/>
    </xf>
    <xf numFmtId="164" fontId="85" fillId="13" borderId="25" xfId="4" applyNumberFormat="1" applyFont="1" applyFill="1" applyBorder="1" applyAlignment="1" applyProtection="1">
      <alignment horizontal="center" vertical="center" wrapText="1"/>
    </xf>
    <xf numFmtId="164" fontId="62" fillId="13" borderId="25" xfId="2" applyNumberFormat="1" applyFont="1" applyFill="1" applyBorder="1" applyAlignment="1" applyProtection="1">
      <alignment horizontal="center" vertical="center" wrapText="1"/>
    </xf>
    <xf numFmtId="0" fontId="2" fillId="0" borderId="2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8" fillId="10" borderId="18" xfId="0" quotePrefix="1" applyFont="1" applyFill="1" applyBorder="1" applyAlignment="1" applyProtection="1">
      <alignment horizontal="center" vertical="center" wrapText="1"/>
    </xf>
    <xf numFmtId="0" fontId="86" fillId="14" borderId="25" xfId="2" applyFont="1" applyFill="1" applyBorder="1" applyAlignment="1" applyProtection="1">
      <alignment horizontal="center" vertical="center" wrapText="1"/>
    </xf>
    <xf numFmtId="2" fontId="86" fillId="14" borderId="25" xfId="2" applyNumberFormat="1" applyFont="1" applyFill="1" applyBorder="1" applyAlignment="1" applyProtection="1">
      <alignment horizontal="center" vertical="center" wrapText="1"/>
    </xf>
    <xf numFmtId="2" fontId="62" fillId="14" borderId="25" xfId="2" applyNumberFormat="1" applyFont="1" applyFill="1" applyBorder="1" applyAlignment="1" applyProtection="1">
      <alignment horizontal="center" vertical="center" wrapText="1"/>
    </xf>
    <xf numFmtId="0" fontId="62" fillId="13" borderId="25" xfId="0" applyFont="1" applyFill="1" applyBorder="1" applyAlignment="1" applyProtection="1">
      <alignment horizontal="center" vertical="center" wrapText="1"/>
    </xf>
    <xf numFmtId="1" fontId="62" fillId="13" borderId="25" xfId="2" applyNumberFormat="1" applyFont="1" applyFill="1" applyBorder="1" applyAlignment="1" applyProtection="1">
      <alignment horizontal="center" vertical="center" wrapText="1"/>
    </xf>
    <xf numFmtId="0" fontId="85" fillId="13" borderId="27" xfId="2" applyFont="1" applyFill="1" applyBorder="1" applyAlignment="1" applyProtection="1">
      <alignment horizontal="center" vertical="center" wrapText="1"/>
    </xf>
    <xf numFmtId="1" fontId="77" fillId="2" borderId="23" xfId="0" applyNumberFormat="1" applyFont="1" applyFill="1" applyBorder="1" applyAlignment="1" applyProtection="1">
      <alignment horizontal="center" vertical="center" wrapText="1" shrinkToFit="1"/>
    </xf>
    <xf numFmtId="1" fontId="77" fillId="6" borderId="23" xfId="0" applyNumberFormat="1" applyFont="1" applyFill="1" applyBorder="1" applyAlignment="1" applyProtection="1">
      <alignment horizontal="center" vertical="center" wrapText="1" shrinkToFit="1"/>
    </xf>
    <xf numFmtId="1" fontId="77" fillId="4" borderId="23" xfId="0" applyNumberFormat="1" applyFont="1" applyFill="1" applyBorder="1" applyAlignment="1" applyProtection="1">
      <alignment horizontal="center" vertical="center" wrapText="1" shrinkToFit="1"/>
    </xf>
    <xf numFmtId="1" fontId="77" fillId="3" borderId="23" xfId="0" applyNumberFormat="1" applyFont="1" applyFill="1" applyBorder="1" applyAlignment="1" applyProtection="1">
      <alignment horizontal="center" vertical="center" wrapText="1" shrinkToFit="1"/>
    </xf>
    <xf numFmtId="0" fontId="88" fillId="0" borderId="25" xfId="0" applyFont="1" applyBorder="1" applyAlignment="1">
      <alignment horizontal="center" vertical="center" wrapText="1"/>
    </xf>
    <xf numFmtId="0" fontId="62" fillId="13" borderId="25" xfId="2" applyFont="1" applyFill="1" applyBorder="1" applyAlignment="1" applyProtection="1">
      <alignment horizontal="center" vertical="top" wrapText="1"/>
    </xf>
    <xf numFmtId="0" fontId="28" fillId="0" borderId="25" xfId="0" applyFont="1" applyBorder="1" applyAlignment="1">
      <alignment horizontal="center" vertical="center"/>
    </xf>
    <xf numFmtId="0" fontId="9" fillId="42" borderId="25" xfId="2" applyFont="1" applyFill="1" applyBorder="1" applyAlignment="1">
      <alignment horizontal="center" vertical="center" wrapText="1"/>
    </xf>
    <xf numFmtId="0" fontId="9" fillId="41" borderId="27" xfId="2" applyFont="1" applyFill="1" applyBorder="1" applyAlignment="1">
      <alignment horizontal="center" vertical="center" wrapText="1"/>
    </xf>
    <xf numFmtId="0" fontId="9" fillId="44" borderId="25" xfId="2" applyFont="1" applyFill="1" applyBorder="1" applyAlignment="1">
      <alignment horizontal="center" vertical="center" wrapText="1"/>
    </xf>
    <xf numFmtId="0" fontId="9" fillId="44" borderId="27" xfId="2" applyFont="1" applyFill="1" applyBorder="1" applyAlignment="1">
      <alignment horizontal="center" vertical="center" wrapText="1"/>
    </xf>
    <xf numFmtId="0" fontId="9" fillId="42" borderId="27" xfId="2" applyFont="1" applyFill="1" applyBorder="1" applyAlignment="1">
      <alignment horizontal="center" vertical="center" wrapText="1"/>
    </xf>
    <xf numFmtId="0" fontId="9" fillId="41" borderId="25" xfId="2" applyFont="1" applyFill="1" applyBorder="1" applyAlignment="1">
      <alignment horizontal="center" vertical="center" wrapText="1"/>
    </xf>
    <xf numFmtId="0" fontId="12" fillId="44" borderId="25" xfId="2" applyFont="1" applyFill="1" applyBorder="1" applyAlignment="1">
      <alignment horizontal="center" vertical="center" wrapText="1"/>
    </xf>
    <xf numFmtId="0" fontId="12" fillId="44" borderId="27" xfId="2" applyFont="1" applyFill="1" applyBorder="1" applyAlignment="1">
      <alignment horizontal="center" vertical="center" wrapText="1"/>
    </xf>
    <xf numFmtId="0" fontId="10" fillId="44" borderId="27" xfId="2" applyFont="1" applyFill="1" applyBorder="1" applyAlignment="1">
      <alignment horizontal="center" vertical="center" wrapText="1"/>
    </xf>
    <xf numFmtId="0" fontId="91" fillId="41" borderId="27" xfId="2" applyFont="1" applyFill="1" applyBorder="1" applyAlignment="1">
      <alignment horizontal="center" vertical="center" wrapText="1"/>
    </xf>
    <xf numFmtId="0" fontId="12" fillId="42" borderId="25" xfId="2" applyFont="1" applyFill="1" applyBorder="1" applyAlignment="1">
      <alignment horizontal="center" vertical="center" wrapText="1"/>
    </xf>
    <xf numFmtId="49" fontId="9" fillId="44" borderId="25" xfId="2" applyNumberFormat="1" applyFont="1" applyFill="1" applyBorder="1" applyAlignment="1">
      <alignment horizontal="center" vertical="center" wrapText="1"/>
    </xf>
    <xf numFmtId="49" fontId="9" fillId="44" borderId="27" xfId="2" applyNumberFormat="1" applyFont="1" applyFill="1" applyBorder="1" applyAlignment="1">
      <alignment horizontal="center" vertical="center" wrapText="1"/>
    </xf>
    <xf numFmtId="49" fontId="12" fillId="44" borderId="25" xfId="2" applyNumberFormat="1" applyFont="1" applyFill="1" applyBorder="1" applyAlignment="1">
      <alignment horizontal="center" vertical="center" wrapText="1"/>
    </xf>
    <xf numFmtId="0" fontId="12" fillId="42" borderId="27" xfId="2" applyFont="1" applyFill="1" applyBorder="1" applyAlignment="1">
      <alignment horizontal="center" vertical="center" wrapText="1"/>
    </xf>
    <xf numFmtId="0" fontId="89" fillId="0" borderId="25" xfId="0" applyFont="1" applyBorder="1" applyAlignment="1">
      <alignment horizontal="center" vertical="center" wrapText="1"/>
    </xf>
    <xf numFmtId="0" fontId="88" fillId="0" borderId="26" xfId="0" applyFont="1" applyBorder="1" applyAlignment="1">
      <alignment horizontal="center" vertical="center" wrapText="1"/>
    </xf>
    <xf numFmtId="1" fontId="12" fillId="0" borderId="25" xfId="3" applyNumberFormat="1" applyFont="1" applyFill="1" applyBorder="1" applyAlignment="1">
      <alignment horizontal="center" vertical="center" wrapText="1"/>
    </xf>
    <xf numFmtId="0" fontId="1" fillId="0" borderId="25" xfId="3" applyFont="1" applyFill="1" applyBorder="1" applyAlignment="1">
      <alignment horizontal="center" vertical="center" wrapText="1" shrinkToFit="1"/>
    </xf>
    <xf numFmtId="2" fontId="100" fillId="26" borderId="25" xfId="2" applyNumberFormat="1" applyFont="1" applyFill="1" applyBorder="1" applyAlignment="1">
      <alignment horizontal="center" vertical="center" wrapText="1"/>
    </xf>
    <xf numFmtId="0" fontId="101" fillId="26" borderId="25" xfId="4" applyFont="1" applyFill="1" applyBorder="1" applyAlignment="1">
      <alignment horizontal="center" vertical="center" wrapText="1"/>
    </xf>
    <xf numFmtId="0" fontId="100" fillId="32" borderId="25" xfId="2" applyFont="1" applyFill="1" applyBorder="1" applyAlignment="1">
      <alignment horizontal="center" vertical="center" wrapText="1"/>
    </xf>
    <xf numFmtId="0" fontId="100" fillId="32" borderId="25" xfId="4" applyFont="1" applyFill="1" applyBorder="1" applyAlignment="1">
      <alignment horizontal="center" vertical="center" wrapText="1"/>
    </xf>
    <xf numFmtId="0" fontId="101" fillId="32" borderId="27" xfId="4" applyFont="1" applyFill="1" applyBorder="1" applyAlignment="1">
      <alignment horizontal="center" vertical="center" wrapText="1"/>
    </xf>
    <xf numFmtId="0" fontId="82" fillId="10" borderId="25" xfId="0" applyFont="1" applyFill="1" applyBorder="1" applyAlignment="1">
      <alignment horizontal="center" vertical="center" wrapText="1"/>
    </xf>
    <xf numFmtId="0" fontId="82" fillId="11" borderId="25" xfId="0" applyFont="1" applyFill="1" applyBorder="1" applyAlignment="1">
      <alignment horizontal="center" vertical="center" wrapText="1"/>
    </xf>
    <xf numFmtId="0" fontId="82" fillId="11" borderId="26" xfId="0" applyFont="1" applyFill="1" applyBorder="1" applyAlignment="1">
      <alignment horizontal="center" vertical="center" wrapText="1"/>
    </xf>
    <xf numFmtId="0" fontId="11" fillId="15" borderId="25" xfId="0" applyFont="1" applyFill="1" applyBorder="1" applyAlignment="1" applyProtection="1">
      <alignment horizontal="center" vertical="center" wrapText="1"/>
      <protection locked="0"/>
    </xf>
    <xf numFmtId="0" fontId="100" fillId="26" borderId="25" xfId="2" applyFont="1" applyFill="1" applyBorder="1" applyAlignment="1">
      <alignment horizontal="center" vertical="center" wrapText="1"/>
    </xf>
    <xf numFmtId="0" fontId="100" fillId="26" borderId="25" xfId="4" applyFont="1" applyFill="1" applyBorder="1" applyAlignment="1">
      <alignment horizontal="center" vertical="center" wrapText="1"/>
    </xf>
    <xf numFmtId="0" fontId="101" fillId="26" borderId="27" xfId="4" applyFont="1" applyFill="1" applyBorder="1" applyAlignment="1">
      <alignment horizontal="center" vertical="center" wrapText="1"/>
    </xf>
    <xf numFmtId="0" fontId="10" fillId="9" borderId="14" xfId="2" applyFont="1" applyFill="1" applyBorder="1" applyAlignment="1" applyProtection="1">
      <alignment horizontal="center" vertical="center" textRotation="90" wrapText="1"/>
    </xf>
    <xf numFmtId="0" fontId="11" fillId="9" borderId="10" xfId="2" applyFont="1" applyFill="1" applyBorder="1" applyAlignment="1" applyProtection="1">
      <alignment horizontal="center" vertical="center" textRotation="90" wrapText="1"/>
    </xf>
    <xf numFmtId="0" fontId="10" fillId="51" borderId="25" xfId="2" applyFont="1" applyFill="1" applyBorder="1" applyAlignment="1">
      <alignment horizontal="center" vertical="center" textRotation="90" wrapText="1"/>
    </xf>
    <xf numFmtId="0" fontId="10" fillId="51" borderId="27" xfId="2" applyFont="1" applyFill="1" applyBorder="1" applyAlignment="1">
      <alignment horizontal="center" vertical="center" textRotation="90" wrapText="1"/>
    </xf>
    <xf numFmtId="0" fontId="10" fillId="51" borderId="21" xfId="2" applyFont="1" applyFill="1" applyBorder="1" applyAlignment="1">
      <alignment horizontal="center" vertical="center" textRotation="90" wrapText="1"/>
    </xf>
    <xf numFmtId="0" fontId="10" fillId="51" borderId="16" xfId="2" applyFont="1" applyFill="1" applyBorder="1" applyAlignment="1">
      <alignment horizontal="center" vertical="center" textRotation="90" wrapText="1"/>
    </xf>
    <xf numFmtId="0" fontId="10" fillId="51" borderId="17" xfId="2" applyFont="1" applyFill="1" applyBorder="1" applyAlignment="1">
      <alignment horizontal="center" vertical="center" textRotation="90" wrapText="1"/>
    </xf>
    <xf numFmtId="0" fontId="10" fillId="51" borderId="23" xfId="2" applyFont="1" applyFill="1" applyBorder="1" applyAlignment="1">
      <alignment horizontal="center" vertical="center" textRotation="90" wrapText="1"/>
    </xf>
    <xf numFmtId="0" fontId="10" fillId="51" borderId="24" xfId="2" applyFont="1" applyFill="1" applyBorder="1" applyAlignment="1">
      <alignment horizontal="center" vertical="center" textRotation="90" wrapText="1"/>
    </xf>
    <xf numFmtId="0" fontId="10" fillId="51" borderId="31" xfId="2" applyFont="1" applyFill="1" applyBorder="1" applyAlignment="1">
      <alignment horizontal="center" vertical="center" textRotation="90" wrapText="1"/>
    </xf>
    <xf numFmtId="0" fontId="10" fillId="52" borderId="55" xfId="10" applyFont="1" applyFill="1" applyBorder="1" applyAlignment="1">
      <alignment horizontal="left" vertical="center" wrapText="1"/>
    </xf>
    <xf numFmtId="0" fontId="12" fillId="51" borderId="6" xfId="0" applyFont="1" applyFill="1" applyBorder="1" applyAlignment="1">
      <alignment horizontal="center" vertical="center" textRotation="90" wrapText="1"/>
    </xf>
    <xf numFmtId="0" fontId="25" fillId="53" borderId="33" xfId="0" applyFont="1" applyFill="1" applyBorder="1" applyAlignment="1" applyProtection="1">
      <alignment vertical="center" wrapText="1"/>
      <protection locked="0"/>
    </xf>
    <xf numFmtId="0" fontId="25" fillId="51" borderId="23" xfId="2" applyFont="1" applyFill="1" applyBorder="1" applyAlignment="1">
      <alignment horizontal="center" vertical="center" wrapText="1"/>
    </xf>
    <xf numFmtId="0" fontId="25" fillId="51" borderId="33" xfId="0" applyFont="1" applyFill="1" applyBorder="1" applyAlignment="1" applyProtection="1">
      <alignment vertical="center" wrapText="1"/>
      <protection locked="0"/>
    </xf>
    <xf numFmtId="0" fontId="25" fillId="51" borderId="17" xfId="2" applyFont="1" applyFill="1" applyBorder="1" applyAlignment="1" applyProtection="1">
      <alignment horizontal="center" vertical="center" wrapText="1"/>
      <protection locked="0"/>
    </xf>
    <xf numFmtId="0" fontId="25" fillId="53" borderId="24" xfId="0" applyFont="1" applyFill="1" applyBorder="1" applyAlignment="1" applyProtection="1">
      <alignment vertical="center" wrapText="1"/>
      <protection locked="0"/>
    </xf>
    <xf numFmtId="0" fontId="25" fillId="51" borderId="17" xfId="0" applyFont="1" applyFill="1" applyBorder="1" applyAlignment="1" applyProtection="1">
      <alignment vertical="center" wrapText="1"/>
      <protection locked="0"/>
    </xf>
    <xf numFmtId="0" fontId="20" fillId="51" borderId="24" xfId="0" applyFont="1" applyFill="1" applyBorder="1" applyAlignment="1">
      <alignment vertical="center" wrapText="1"/>
    </xf>
    <xf numFmtId="0" fontId="25" fillId="53" borderId="17" xfId="0" applyFont="1" applyFill="1" applyBorder="1" applyAlignment="1" applyProtection="1">
      <alignment vertical="center" wrapText="1"/>
      <protection locked="0"/>
    </xf>
    <xf numFmtId="0" fontId="25" fillId="53" borderId="32" xfId="0" applyFont="1" applyFill="1" applyBorder="1" applyAlignment="1" applyProtection="1">
      <alignment vertical="center" wrapText="1"/>
      <protection locked="0"/>
    </xf>
    <xf numFmtId="0" fontId="20" fillId="51" borderId="17" xfId="0" applyFont="1" applyFill="1" applyBorder="1" applyAlignment="1" applyProtection="1">
      <alignment horizontal="center" vertical="center" wrapText="1"/>
      <protection locked="0"/>
    </xf>
    <xf numFmtId="0" fontId="20" fillId="51" borderId="18" xfId="0" applyFont="1" applyFill="1" applyBorder="1" applyAlignment="1">
      <alignment vertical="center" wrapText="1"/>
    </xf>
    <xf numFmtId="0" fontId="25" fillId="51" borderId="24" xfId="0" applyFont="1" applyFill="1" applyBorder="1" applyAlignment="1" applyProtection="1">
      <alignment vertical="center" wrapText="1"/>
      <protection locked="0"/>
    </xf>
    <xf numFmtId="0" fontId="25" fillId="51" borderId="52" xfId="0" applyFont="1" applyFill="1" applyBorder="1" applyAlignment="1" applyProtection="1">
      <alignment vertical="center" wrapText="1"/>
      <protection locked="0"/>
    </xf>
    <xf numFmtId="0" fontId="25" fillId="53" borderId="54" xfId="0" applyFont="1" applyFill="1" applyBorder="1" applyAlignment="1" applyProtection="1">
      <alignment vertical="center" wrapText="1"/>
      <protection locked="0"/>
    </xf>
    <xf numFmtId="0" fontId="10" fillId="31" borderId="25" xfId="2" applyFont="1" applyFill="1" applyBorder="1" applyAlignment="1">
      <alignment horizontal="center" vertical="center" textRotation="90" wrapText="1"/>
    </xf>
    <xf numFmtId="0" fontId="10" fillId="31" borderId="27" xfId="2" applyFont="1" applyFill="1" applyBorder="1" applyAlignment="1">
      <alignment horizontal="center" vertical="center" textRotation="90" wrapText="1"/>
    </xf>
    <xf numFmtId="0" fontId="10" fillId="31" borderId="21" xfId="2" applyFont="1" applyFill="1" applyBorder="1" applyAlignment="1">
      <alignment horizontal="center" vertical="center" textRotation="90" wrapText="1"/>
    </xf>
    <xf numFmtId="0" fontId="10" fillId="31" borderId="46" xfId="2" applyFont="1" applyFill="1" applyBorder="1" applyAlignment="1">
      <alignment horizontal="center" vertical="center" textRotation="90" wrapText="1"/>
    </xf>
    <xf numFmtId="0" fontId="10" fillId="31" borderId="47" xfId="2" applyFont="1" applyFill="1" applyBorder="1" applyAlignment="1">
      <alignment horizontal="center" vertical="center" textRotation="90" wrapText="1"/>
    </xf>
    <xf numFmtId="0" fontId="10" fillId="31" borderId="49" xfId="2" applyFont="1" applyFill="1" applyBorder="1" applyAlignment="1">
      <alignment horizontal="center" vertical="center" textRotation="90" wrapText="1"/>
    </xf>
    <xf numFmtId="0" fontId="11" fillId="31" borderId="47" xfId="2" applyFont="1" applyFill="1" applyBorder="1" applyAlignment="1">
      <alignment horizontal="center" vertical="center" textRotation="90" wrapText="1"/>
    </xf>
    <xf numFmtId="0" fontId="12" fillId="31" borderId="8" xfId="0" applyFont="1" applyFill="1" applyBorder="1" applyAlignment="1">
      <alignment horizontal="center" vertical="center" textRotation="90" wrapText="1"/>
    </xf>
    <xf numFmtId="0" fontId="25" fillId="31" borderId="24" xfId="0" applyFont="1" applyFill="1" applyBorder="1" applyAlignment="1" applyProtection="1">
      <alignment horizontal="center" vertical="center" wrapText="1"/>
      <protection locked="0"/>
    </xf>
    <xf numFmtId="0" fontId="25" fillId="31" borderId="23" xfId="0" applyFont="1" applyFill="1" applyBorder="1" applyAlignment="1" applyProtection="1">
      <alignment horizontal="center" vertical="center" wrapText="1"/>
      <protection locked="0"/>
    </xf>
    <xf numFmtId="0" fontId="13" fillId="31" borderId="25" xfId="3" applyFont="1" applyFill="1" applyBorder="1" applyAlignment="1">
      <alignment horizontal="center" vertical="center" wrapText="1" shrinkToFit="1"/>
    </xf>
    <xf numFmtId="0" fontId="25" fillId="31" borderId="25" xfId="0" applyFont="1" applyFill="1" applyBorder="1" applyAlignment="1" applyProtection="1">
      <alignment horizontal="center" vertical="center" wrapText="1"/>
      <protection locked="0"/>
    </xf>
    <xf numFmtId="0" fontId="25" fillId="54" borderId="23" xfId="0" applyFont="1" applyFill="1" applyBorder="1" applyAlignment="1" applyProtection="1">
      <alignment horizontal="center" vertical="center" wrapText="1"/>
      <protection locked="0"/>
    </xf>
    <xf numFmtId="0" fontId="25" fillId="54" borderId="24" xfId="0" applyFont="1" applyFill="1" applyBorder="1" applyAlignment="1" applyProtection="1">
      <alignment horizontal="center" vertical="center" wrapText="1"/>
      <protection locked="0"/>
    </xf>
    <xf numFmtId="0" fontId="25" fillId="54" borderId="33" xfId="0" applyFont="1" applyFill="1" applyBorder="1" applyAlignment="1" applyProtection="1">
      <alignment horizontal="center" vertical="center" wrapText="1"/>
      <protection locked="0"/>
    </xf>
    <xf numFmtId="0" fontId="25" fillId="31" borderId="26" xfId="0" applyFont="1" applyFill="1" applyBorder="1" applyAlignment="1" applyProtection="1">
      <alignment horizontal="center" vertical="center" wrapText="1"/>
      <protection locked="0"/>
    </xf>
    <xf numFmtId="0" fontId="25" fillId="31" borderId="33" xfId="0" applyFont="1" applyFill="1" applyBorder="1" applyAlignment="1" applyProtection="1">
      <alignment horizontal="center" vertical="center" wrapText="1"/>
      <protection locked="0"/>
    </xf>
    <xf numFmtId="0" fontId="25" fillId="54" borderId="16" xfId="0" applyFont="1" applyFill="1" applyBorder="1" applyAlignment="1" applyProtection="1">
      <alignment horizontal="center" vertical="center" wrapText="1"/>
      <protection locked="0"/>
    </xf>
    <xf numFmtId="0" fontId="13" fillId="31" borderId="24" xfId="3" applyFont="1" applyFill="1" applyBorder="1" applyAlignment="1">
      <alignment horizontal="center" vertical="center" wrapText="1" shrinkToFit="1"/>
    </xf>
    <xf numFmtId="0" fontId="20" fillId="31" borderId="24" xfId="0" applyFont="1" applyFill="1" applyBorder="1" applyAlignment="1">
      <alignment vertical="center" wrapText="1"/>
    </xf>
    <xf numFmtId="0" fontId="25" fillId="31" borderId="24" xfId="0" applyFont="1" applyFill="1" applyBorder="1" applyAlignment="1" applyProtection="1">
      <alignment horizontal="left" vertical="center" wrapText="1"/>
      <protection locked="0"/>
    </xf>
    <xf numFmtId="0" fontId="25" fillId="31" borderId="0" xfId="0" applyFont="1" applyFill="1" applyBorder="1" applyAlignment="1" applyProtection="1">
      <alignment horizontal="center" vertical="center" wrapText="1"/>
      <protection locked="0"/>
    </xf>
    <xf numFmtId="0" fontId="25" fillId="31" borderId="36" xfId="0" applyFont="1" applyFill="1" applyBorder="1" applyAlignment="1" applyProtection="1">
      <alignment horizontal="center" vertical="center" wrapText="1"/>
      <protection locked="0"/>
    </xf>
    <xf numFmtId="0" fontId="10" fillId="9" borderId="66" xfId="2" applyFont="1" applyFill="1" applyBorder="1" applyAlignment="1" applyProtection="1">
      <alignment horizontal="center" vertical="center" textRotation="90" wrapText="1"/>
    </xf>
    <xf numFmtId="0" fontId="10" fillId="9" borderId="39" xfId="2" applyFont="1" applyFill="1" applyBorder="1" applyAlignment="1" applyProtection="1">
      <alignment horizontal="center" vertical="center" textRotation="90" wrapText="1"/>
    </xf>
    <xf numFmtId="0" fontId="10" fillId="9" borderId="57" xfId="2" applyFont="1" applyFill="1" applyBorder="1" applyAlignment="1" applyProtection="1">
      <alignment horizontal="center" vertical="center" textRotation="90" wrapText="1"/>
    </xf>
    <xf numFmtId="0" fontId="25" fillId="51" borderId="25" xfId="2" applyFont="1" applyFill="1" applyBorder="1" applyAlignment="1">
      <alignment horizontal="center" vertical="center" wrapText="1"/>
    </xf>
    <xf numFmtId="0" fontId="10" fillId="51" borderId="72" xfId="2" applyFont="1" applyFill="1" applyBorder="1" applyAlignment="1">
      <alignment horizontal="center" vertical="center" textRotation="90" wrapText="1"/>
    </xf>
    <xf numFmtId="0" fontId="10" fillId="31" borderId="68" xfId="2" applyFont="1" applyFill="1" applyBorder="1" applyAlignment="1">
      <alignment horizontal="center" vertical="center" textRotation="90" wrapText="1"/>
    </xf>
    <xf numFmtId="0" fontId="10" fillId="9" borderId="80" xfId="2" applyFont="1" applyFill="1" applyBorder="1" applyAlignment="1" applyProtection="1">
      <alignment horizontal="center" vertical="center" textRotation="90" wrapText="1"/>
    </xf>
    <xf numFmtId="0" fontId="103" fillId="51" borderId="25" xfId="0" applyFont="1" applyFill="1" applyBorder="1" applyAlignment="1">
      <alignment horizontal="center" vertical="center" wrapText="1" shrinkToFit="1"/>
    </xf>
    <xf numFmtId="0" fontId="104" fillId="51" borderId="69" xfId="0" applyFont="1" applyFill="1" applyBorder="1" applyAlignment="1">
      <alignment horizontal="center" vertical="center" wrapText="1" shrinkToFit="1"/>
    </xf>
    <xf numFmtId="0" fontId="20" fillId="0" borderId="0" xfId="0" applyFont="1" applyBorder="1" applyAlignment="1">
      <alignment horizontal="center" vertical="center" wrapText="1" shrinkToFit="1"/>
    </xf>
    <xf numFmtId="0" fontId="3" fillId="0" borderId="0" xfId="0" applyNumberFormat="1" applyFont="1" applyFill="1" applyBorder="1" applyAlignment="1">
      <alignment horizontal="center" vertical="center"/>
    </xf>
    <xf numFmtId="0" fontId="14" fillId="0" borderId="0" xfId="0" applyFont="1" applyBorder="1" applyAlignment="1">
      <alignment horizontal="center" vertical="center" wrapText="1" shrinkToFit="1"/>
    </xf>
    <xf numFmtId="0" fontId="84" fillId="49" borderId="35" xfId="0" applyFont="1" applyFill="1" applyBorder="1" applyAlignment="1">
      <alignment horizontal="center" vertical="center" wrapText="1"/>
    </xf>
    <xf numFmtId="0" fontId="84" fillId="8" borderId="63" xfId="0" applyFont="1" applyFill="1" applyBorder="1" applyAlignment="1">
      <alignment vertical="center" wrapText="1"/>
    </xf>
    <xf numFmtId="0" fontId="84" fillId="55" borderId="63"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84" fillId="11" borderId="71" xfId="0" applyFont="1" applyFill="1" applyBorder="1" applyAlignment="1">
      <alignment horizontal="center" vertical="center" wrapText="1"/>
    </xf>
    <xf numFmtId="0" fontId="12" fillId="36" borderId="6" xfId="3" applyNumberFormat="1" applyFont="1" applyFill="1" applyBorder="1" applyAlignment="1">
      <alignment horizontal="center" vertical="center" textRotation="90"/>
    </xf>
    <xf numFmtId="1" fontId="12" fillId="36" borderId="8" xfId="0" applyNumberFormat="1" applyFont="1" applyFill="1" applyBorder="1" applyAlignment="1">
      <alignment horizontal="center" vertical="center" textRotation="90" wrapText="1" shrinkToFit="1"/>
    </xf>
    <xf numFmtId="1" fontId="12" fillId="36" borderId="10" xfId="0" applyNumberFormat="1" applyFont="1" applyFill="1" applyBorder="1" applyAlignment="1">
      <alignment horizontal="center" vertical="center" textRotation="90" wrapText="1" shrinkToFit="1"/>
    </xf>
    <xf numFmtId="1" fontId="12" fillId="36" borderId="79" xfId="0" applyNumberFormat="1" applyFont="1" applyFill="1" applyBorder="1" applyAlignment="1">
      <alignment horizontal="center" vertical="center" textRotation="90" wrapText="1" shrinkToFit="1"/>
    </xf>
    <xf numFmtId="0" fontId="12" fillId="0" borderId="0" xfId="0" applyFont="1" applyFill="1" applyBorder="1" applyAlignment="1">
      <alignment horizontal="center" vertical="center" wrapText="1" shrinkToFit="1"/>
    </xf>
    <xf numFmtId="1" fontId="20" fillId="9" borderId="16" xfId="0" applyNumberFormat="1" applyFont="1" applyFill="1" applyBorder="1" applyAlignment="1" applyProtection="1">
      <alignment horizontal="center" vertical="center" wrapText="1" shrinkToFit="1"/>
    </xf>
    <xf numFmtId="0" fontId="25" fillId="9" borderId="16" xfId="0" applyFont="1" applyFill="1" applyBorder="1" applyAlignment="1" applyProtection="1">
      <alignment horizontal="center" vertical="center" wrapText="1"/>
    </xf>
    <xf numFmtId="0" fontId="25" fillId="9" borderId="18" xfId="0" applyFont="1" applyFill="1" applyBorder="1" applyAlignment="1" applyProtection="1">
      <alignment horizontal="center" vertical="center" wrapText="1"/>
    </xf>
    <xf numFmtId="0" fontId="25" fillId="9" borderId="17" xfId="0" applyFont="1" applyFill="1" applyBorder="1" applyAlignment="1" applyProtection="1">
      <alignment horizontal="center" vertical="center" wrapText="1"/>
    </xf>
    <xf numFmtId="1" fontId="25" fillId="9" borderId="21" xfId="0" applyNumberFormat="1" applyFont="1" applyFill="1" applyBorder="1" applyAlignment="1" applyProtection="1">
      <alignment horizontal="center" vertical="center" wrapText="1"/>
    </xf>
    <xf numFmtId="1" fontId="20" fillId="51" borderId="30" xfId="0" applyNumberFormat="1" applyFont="1" applyFill="1" applyBorder="1" applyAlignment="1">
      <alignment horizontal="center" vertical="center" wrapText="1" shrinkToFit="1"/>
    </xf>
    <xf numFmtId="1" fontId="25" fillId="51" borderId="16" xfId="0" applyNumberFormat="1" applyFont="1" applyFill="1" applyBorder="1" applyAlignment="1">
      <alignment horizontal="center" vertical="center" wrapText="1" shrinkToFit="1"/>
    </xf>
    <xf numFmtId="1" fontId="25" fillId="51" borderId="17" xfId="0" applyNumberFormat="1" applyFont="1" applyFill="1" applyBorder="1" applyAlignment="1">
      <alignment horizontal="center" vertical="center" wrapText="1" shrinkToFit="1"/>
    </xf>
    <xf numFmtId="1" fontId="106" fillId="53" borderId="16" xfId="0" applyNumberFormat="1" applyFont="1" applyFill="1" applyBorder="1" applyAlignment="1" applyProtection="1">
      <alignment horizontal="center" vertical="center" wrapText="1" shrinkToFit="1"/>
      <protection locked="0"/>
    </xf>
    <xf numFmtId="1" fontId="106" fillId="53" borderId="17" xfId="0" applyNumberFormat="1" applyFont="1" applyFill="1" applyBorder="1" applyAlignment="1" applyProtection="1">
      <alignment horizontal="center" vertical="center" wrapText="1" shrinkToFit="1"/>
      <protection locked="0"/>
    </xf>
    <xf numFmtId="1" fontId="31" fillId="51" borderId="20" xfId="0" applyNumberFormat="1" applyFont="1" applyFill="1" applyBorder="1" applyAlignment="1" applyProtection="1">
      <alignment horizontal="center" vertical="center" wrapText="1" shrinkToFit="1"/>
      <protection locked="0"/>
    </xf>
    <xf numFmtId="1" fontId="25" fillId="51" borderId="24" xfId="0" applyNumberFormat="1" applyFont="1" applyFill="1" applyBorder="1" applyAlignment="1" applyProtection="1">
      <alignment horizontal="center" vertical="center" wrapText="1" shrinkToFit="1"/>
      <protection locked="0"/>
    </xf>
    <xf numFmtId="1" fontId="25" fillId="51" borderId="20" xfId="0" applyNumberFormat="1" applyFont="1" applyFill="1" applyBorder="1" applyAlignment="1">
      <alignment horizontal="center" vertical="center" wrapText="1" shrinkToFit="1"/>
    </xf>
    <xf numFmtId="1" fontId="25" fillId="51" borderId="30" xfId="0" applyNumberFormat="1" applyFont="1" applyFill="1" applyBorder="1" applyAlignment="1">
      <alignment horizontal="center" vertical="center" wrapText="1" shrinkToFit="1"/>
    </xf>
    <xf numFmtId="1" fontId="25" fillId="48" borderId="73" xfId="0" applyNumberFormat="1" applyFont="1" applyFill="1" applyBorder="1" applyAlignment="1">
      <alignment horizontal="center" vertical="center" wrapText="1" shrinkToFit="1"/>
    </xf>
    <xf numFmtId="2" fontId="25" fillId="31" borderId="68" xfId="2" applyNumberFormat="1" applyFont="1" applyFill="1" applyBorder="1" applyAlignment="1">
      <alignment horizontal="center" vertical="center" wrapText="1"/>
    </xf>
    <xf numFmtId="2" fontId="25" fillId="31" borderId="25" xfId="2" applyNumberFormat="1" applyFont="1" applyFill="1" applyBorder="1" applyAlignment="1">
      <alignment horizontal="center" vertical="center" wrapText="1"/>
    </xf>
    <xf numFmtId="0" fontId="20" fillId="31" borderId="25" xfId="4" applyFont="1" applyFill="1" applyBorder="1" applyAlignment="1">
      <alignment horizontal="center" vertical="center" wrapText="1"/>
    </xf>
    <xf numFmtId="0" fontId="25" fillId="31" borderId="25" xfId="2" applyFont="1" applyFill="1" applyBorder="1" applyAlignment="1">
      <alignment horizontal="center" vertical="center" wrapText="1"/>
    </xf>
    <xf numFmtId="0" fontId="25" fillId="31" borderId="25" xfId="4" applyFont="1" applyFill="1" applyBorder="1" applyAlignment="1">
      <alignment horizontal="center" vertical="center" wrapText="1"/>
    </xf>
    <xf numFmtId="0" fontId="20" fillId="31" borderId="27" xfId="4" applyFont="1" applyFill="1" applyBorder="1" applyAlignment="1">
      <alignment horizontal="center" vertical="center" wrapText="1"/>
    </xf>
    <xf numFmtId="1" fontId="20" fillId="31" borderId="16" xfId="0" applyNumberFormat="1" applyFont="1" applyFill="1" applyBorder="1" applyAlignment="1">
      <alignment horizontal="center" vertical="center" wrapText="1" shrinkToFit="1"/>
    </xf>
    <xf numFmtId="0" fontId="25" fillId="31" borderId="23" xfId="0" applyFont="1" applyFill="1" applyBorder="1" applyAlignment="1">
      <alignment horizontal="center" vertical="center" wrapText="1"/>
    </xf>
    <xf numFmtId="0" fontId="25" fillId="31" borderId="25" xfId="0" applyFont="1" applyFill="1" applyBorder="1" applyAlignment="1">
      <alignment horizontal="center" vertical="center" wrapText="1"/>
    </xf>
    <xf numFmtId="1" fontId="25" fillId="31" borderId="24" xfId="0" applyNumberFormat="1" applyFont="1" applyFill="1" applyBorder="1" applyAlignment="1">
      <alignment horizontal="center" vertical="center" wrapText="1"/>
    </xf>
    <xf numFmtId="1" fontId="25" fillId="31" borderId="23" xfId="0" applyNumberFormat="1" applyFont="1" applyFill="1" applyBorder="1" applyAlignment="1">
      <alignment horizontal="center" vertical="center" wrapText="1"/>
    </xf>
    <xf numFmtId="0" fontId="25" fillId="31" borderId="24" xfId="0" applyFont="1" applyFill="1" applyBorder="1" applyAlignment="1">
      <alignment horizontal="center" vertical="center" wrapText="1"/>
    </xf>
    <xf numFmtId="1" fontId="20" fillId="9" borderId="23" xfId="0" applyNumberFormat="1" applyFont="1" applyFill="1" applyBorder="1" applyAlignment="1" applyProtection="1">
      <alignment horizontal="center" vertical="center" wrapText="1" shrinkToFit="1"/>
    </xf>
    <xf numFmtId="0" fontId="25" fillId="9" borderId="24" xfId="0" applyFont="1" applyFill="1" applyBorder="1" applyAlignment="1" applyProtection="1">
      <alignment horizontal="center" vertical="center" wrapText="1"/>
    </xf>
    <xf numFmtId="0" fontId="25" fillId="9" borderId="25" xfId="0" applyFont="1" applyFill="1" applyBorder="1" applyAlignment="1" applyProtection="1">
      <alignment horizontal="center" vertical="center" wrapText="1"/>
    </xf>
    <xf numFmtId="1" fontId="20" fillId="51" borderId="21" xfId="0" applyNumberFormat="1" applyFont="1" applyFill="1" applyBorder="1" applyAlignment="1">
      <alignment horizontal="center" vertical="center" wrapText="1" shrinkToFit="1"/>
    </xf>
    <xf numFmtId="1" fontId="25" fillId="51" borderId="24" xfId="0" applyNumberFormat="1" applyFont="1" applyFill="1" applyBorder="1" applyAlignment="1">
      <alignment horizontal="center" vertical="center" wrapText="1" shrinkToFit="1"/>
    </xf>
    <xf numFmtId="1" fontId="25" fillId="51" borderId="17" xfId="0" applyNumberFormat="1" applyFont="1" applyFill="1" applyBorder="1" applyAlignment="1" applyProtection="1">
      <alignment horizontal="center" vertical="center" wrapText="1" shrinkToFit="1"/>
      <protection locked="0"/>
    </xf>
    <xf numFmtId="1" fontId="25" fillId="51" borderId="27" xfId="0" applyNumberFormat="1" applyFont="1" applyFill="1" applyBorder="1" applyAlignment="1">
      <alignment horizontal="center" vertical="center" wrapText="1" shrinkToFit="1"/>
    </xf>
    <xf numFmtId="1" fontId="20" fillId="51" borderId="24" xfId="0" applyNumberFormat="1" applyFont="1" applyFill="1" applyBorder="1" applyAlignment="1">
      <alignment horizontal="center" vertical="center" wrapText="1" shrinkToFit="1"/>
    </xf>
    <xf numFmtId="0" fontId="25" fillId="9" borderId="28" xfId="0" applyFont="1" applyFill="1" applyBorder="1" applyAlignment="1" applyProtection="1">
      <alignment horizontal="center" vertical="center" wrapText="1"/>
    </xf>
    <xf numFmtId="0" fontId="25" fillId="9" borderId="21" xfId="0" applyFont="1" applyFill="1" applyBorder="1" applyAlignment="1" applyProtection="1">
      <alignment horizontal="center" vertical="center" wrapText="1"/>
    </xf>
    <xf numFmtId="0" fontId="25" fillId="51" borderId="24" xfId="0" applyFont="1" applyFill="1" applyBorder="1" applyAlignment="1">
      <alignment horizontal="center" vertical="center" wrapText="1"/>
    </xf>
    <xf numFmtId="1" fontId="25" fillId="51" borderId="16" xfId="0" quotePrefix="1" applyNumberFormat="1" applyFont="1" applyFill="1" applyBorder="1" applyAlignment="1" applyProtection="1">
      <alignment horizontal="center" vertical="center" wrapText="1" shrinkToFit="1"/>
      <protection locked="0"/>
    </xf>
    <xf numFmtId="0" fontId="25" fillId="51" borderId="27" xfId="0" applyFont="1" applyFill="1" applyBorder="1" applyAlignment="1">
      <alignment horizontal="center" vertical="center" wrapText="1"/>
    </xf>
    <xf numFmtId="1" fontId="20" fillId="51" borderId="27" xfId="0" applyNumberFormat="1" applyFont="1" applyFill="1" applyBorder="1" applyAlignment="1">
      <alignment horizontal="center" vertical="center" wrapText="1" shrinkToFit="1"/>
    </xf>
    <xf numFmtId="0" fontId="25" fillId="31" borderId="26" xfId="0" applyFont="1" applyFill="1" applyBorder="1" applyAlignment="1">
      <alignment horizontal="center" vertical="center" wrapText="1"/>
    </xf>
    <xf numFmtId="1" fontId="106" fillId="51" borderId="16" xfId="0" applyNumberFormat="1" applyFont="1" applyFill="1" applyBorder="1" applyAlignment="1" applyProtection="1">
      <alignment horizontal="center" vertical="center" wrapText="1" shrinkToFit="1"/>
      <protection locked="0"/>
    </xf>
    <xf numFmtId="1" fontId="106" fillId="51" borderId="17" xfId="0" applyNumberFormat="1" applyFont="1" applyFill="1" applyBorder="1" applyAlignment="1" applyProtection="1">
      <alignment horizontal="center" vertical="center" wrapText="1" shrinkToFit="1"/>
      <protection locked="0"/>
    </xf>
    <xf numFmtId="0" fontId="25" fillId="51" borderId="28" xfId="0" applyFont="1" applyFill="1" applyBorder="1" applyAlignment="1">
      <alignment horizontal="center" vertical="center" wrapText="1"/>
    </xf>
    <xf numFmtId="1" fontId="25" fillId="51" borderId="21" xfId="0" applyNumberFormat="1" applyFont="1" applyFill="1" applyBorder="1" applyAlignment="1">
      <alignment horizontal="center" vertical="center" wrapText="1" shrinkToFit="1"/>
    </xf>
    <xf numFmtId="1" fontId="20" fillId="51" borderId="16" xfId="0" applyNumberFormat="1" applyFont="1" applyFill="1" applyBorder="1" applyAlignment="1">
      <alignment horizontal="center" vertical="center" wrapText="1" shrinkToFit="1"/>
    </xf>
    <xf numFmtId="0" fontId="106" fillId="51" borderId="17" xfId="0" applyFont="1" applyFill="1" applyBorder="1" applyAlignment="1">
      <alignment wrapText="1"/>
    </xf>
    <xf numFmtId="1" fontId="25" fillId="31" borderId="23" xfId="0" applyNumberFormat="1" applyFont="1" applyFill="1" applyBorder="1" applyAlignment="1">
      <alignment horizontal="center" vertical="center" wrapText="1" shrinkToFit="1"/>
    </xf>
    <xf numFmtId="1" fontId="106" fillId="53" borderId="0" xfId="0" applyNumberFormat="1" applyFont="1" applyFill="1" applyBorder="1" applyAlignment="1" applyProtection="1">
      <alignment horizontal="center" vertical="center" wrapText="1" shrinkToFit="1"/>
      <protection locked="0"/>
    </xf>
    <xf numFmtId="1" fontId="20" fillId="51" borderId="28" xfId="0" applyNumberFormat="1" applyFont="1" applyFill="1" applyBorder="1" applyAlignment="1">
      <alignment horizontal="center" vertical="center" wrapText="1" shrinkToFit="1"/>
    </xf>
    <xf numFmtId="0" fontId="25" fillId="9" borderId="26" xfId="0" applyFont="1" applyFill="1" applyBorder="1" applyAlignment="1" applyProtection="1">
      <alignment horizontal="center" vertical="center" wrapText="1"/>
    </xf>
    <xf numFmtId="1" fontId="20" fillId="31" borderId="23" xfId="0" applyNumberFormat="1" applyFont="1" applyFill="1" applyBorder="1" applyAlignment="1">
      <alignment horizontal="center" vertical="center" wrapText="1" shrinkToFit="1"/>
    </xf>
    <xf numFmtId="1" fontId="25" fillId="9" borderId="24" xfId="0" applyNumberFormat="1" applyFont="1" applyFill="1" applyBorder="1" applyAlignment="1" applyProtection="1">
      <alignment horizontal="center" vertical="center" wrapText="1" shrinkToFit="1"/>
    </xf>
    <xf numFmtId="1" fontId="25" fillId="51" borderId="16" xfId="0" applyNumberFormat="1" applyFont="1" applyFill="1" applyBorder="1" applyAlignment="1" applyProtection="1">
      <alignment horizontal="center" vertical="center" wrapText="1" shrinkToFit="1"/>
      <protection locked="0"/>
    </xf>
    <xf numFmtId="1" fontId="31" fillId="51" borderId="15" xfId="0" applyNumberFormat="1" applyFont="1" applyFill="1" applyBorder="1" applyAlignment="1" applyProtection="1">
      <alignment horizontal="center" vertical="center" wrapText="1" shrinkToFit="1"/>
      <protection locked="0"/>
    </xf>
    <xf numFmtId="0" fontId="25" fillId="51" borderId="21" xfId="0" applyFont="1" applyFill="1" applyBorder="1" applyAlignment="1">
      <alignment horizontal="center" vertical="center" wrapText="1"/>
    </xf>
    <xf numFmtId="1" fontId="25" fillId="9" borderId="24" xfId="0" applyNumberFormat="1" applyFont="1" applyFill="1" applyBorder="1" applyAlignment="1" applyProtection="1">
      <alignment horizontal="center" vertical="center" wrapText="1"/>
    </xf>
    <xf numFmtId="0" fontId="25" fillId="31" borderId="25" xfId="0" applyFont="1" applyFill="1" applyBorder="1" applyAlignment="1">
      <alignment horizontal="center" vertical="center"/>
    </xf>
    <xf numFmtId="0" fontId="25" fillId="51" borderId="23" xfId="0" applyFont="1" applyFill="1" applyBorder="1" applyAlignment="1">
      <alignment horizontal="center" vertical="center" wrapText="1"/>
    </xf>
    <xf numFmtId="0" fontId="25" fillId="51" borderId="16" xfId="0" applyFont="1" applyFill="1" applyBorder="1" applyAlignment="1">
      <alignment horizontal="center" vertical="center" wrapText="1"/>
    </xf>
    <xf numFmtId="0" fontId="25" fillId="51" borderId="18" xfId="0" applyFont="1" applyFill="1" applyBorder="1" applyAlignment="1">
      <alignment horizontal="center" vertical="center" wrapText="1"/>
    </xf>
    <xf numFmtId="0" fontId="25" fillId="9" borderId="29" xfId="0" applyFont="1" applyFill="1" applyBorder="1" applyAlignment="1" applyProtection="1">
      <alignment horizontal="center" vertical="center" wrapText="1"/>
    </xf>
    <xf numFmtId="1" fontId="25" fillId="51" borderId="22" xfId="0" applyNumberFormat="1" applyFont="1" applyFill="1" applyBorder="1" applyAlignment="1">
      <alignment horizontal="center" vertical="center" wrapText="1" shrinkToFit="1"/>
    </xf>
    <xf numFmtId="0" fontId="25" fillId="9" borderId="30" xfId="0" applyFont="1" applyFill="1" applyBorder="1" applyAlignment="1" applyProtection="1">
      <alignment horizontal="center" vertical="center" wrapText="1"/>
    </xf>
    <xf numFmtId="1" fontId="25" fillId="9" borderId="23" xfId="0" applyNumberFormat="1" applyFont="1" applyFill="1" applyBorder="1" applyAlignment="1" applyProtection="1">
      <alignment horizontal="center" vertical="center" wrapText="1"/>
    </xf>
    <xf numFmtId="1" fontId="25" fillId="51" borderId="28" xfId="0" applyNumberFormat="1" applyFont="1" applyFill="1" applyBorder="1" applyAlignment="1">
      <alignment horizontal="center" vertical="center" wrapText="1" shrinkToFit="1"/>
    </xf>
    <xf numFmtId="1" fontId="25" fillId="53" borderId="17" xfId="0" applyNumberFormat="1" applyFont="1" applyFill="1" applyBorder="1" applyAlignment="1" applyProtection="1">
      <alignment horizontal="center" vertical="center" wrapText="1" shrinkToFit="1"/>
      <protection locked="0"/>
    </xf>
    <xf numFmtId="1" fontId="25" fillId="31" borderId="25" xfId="0" applyNumberFormat="1" applyFont="1" applyFill="1" applyBorder="1" applyAlignment="1">
      <alignment horizontal="center" vertical="center" wrapText="1"/>
    </xf>
    <xf numFmtId="1" fontId="25" fillId="9" borderId="21" xfId="0" applyNumberFormat="1" applyFont="1" applyFill="1" applyBorder="1" applyAlignment="1" applyProtection="1">
      <alignment horizontal="center" vertical="center" wrapText="1" shrinkToFit="1"/>
    </xf>
    <xf numFmtId="1" fontId="106" fillId="53" borderId="24" xfId="0" applyNumberFormat="1" applyFont="1" applyFill="1" applyBorder="1" applyAlignment="1" applyProtection="1">
      <alignment horizontal="center" vertical="center" wrapText="1" shrinkToFit="1"/>
      <protection locked="0"/>
    </xf>
    <xf numFmtId="49" fontId="25" fillId="31" borderId="25" xfId="0" applyNumberFormat="1" applyFont="1" applyFill="1" applyBorder="1" applyAlignment="1">
      <alignment horizontal="center" vertical="center" wrapText="1"/>
    </xf>
    <xf numFmtId="49" fontId="25" fillId="31" borderId="24" xfId="0" applyNumberFormat="1" applyFont="1" applyFill="1" applyBorder="1" applyAlignment="1">
      <alignment horizontal="center" vertical="center" wrapText="1"/>
    </xf>
    <xf numFmtId="0" fontId="107" fillId="31" borderId="25" xfId="0" applyFont="1" applyFill="1" applyBorder="1" applyAlignment="1">
      <alignment horizontal="center" vertical="center" wrapText="1"/>
    </xf>
    <xf numFmtId="0" fontId="107" fillId="31" borderId="24" xfId="0" applyFont="1" applyFill="1" applyBorder="1" applyAlignment="1">
      <alignment horizontal="center" vertical="center" wrapText="1"/>
    </xf>
    <xf numFmtId="0" fontId="20" fillId="31" borderId="27" xfId="0" applyFont="1" applyFill="1" applyBorder="1" applyAlignment="1">
      <alignment horizontal="center" vertical="center"/>
    </xf>
    <xf numFmtId="9" fontId="25" fillId="51" borderId="16" xfId="0" applyNumberFormat="1" applyFont="1" applyFill="1" applyBorder="1" applyAlignment="1">
      <alignment horizontal="center" vertical="center" wrapText="1"/>
    </xf>
    <xf numFmtId="1" fontId="57" fillId="51" borderId="17" xfId="0" applyNumberFormat="1" applyFont="1" applyFill="1" applyBorder="1" applyAlignment="1" applyProtection="1">
      <alignment horizontal="center" vertical="center" wrapText="1" shrinkToFit="1"/>
      <protection locked="0"/>
    </xf>
    <xf numFmtId="0" fontId="25" fillId="9" borderId="23" xfId="0" applyFont="1" applyFill="1" applyBorder="1" applyAlignment="1" applyProtection="1">
      <alignment horizontal="center" vertical="center" wrapText="1"/>
    </xf>
    <xf numFmtId="49" fontId="20" fillId="51" borderId="21" xfId="0" applyNumberFormat="1" applyFont="1" applyFill="1" applyBorder="1" applyAlignment="1">
      <alignment horizontal="center" vertical="center" wrapText="1" shrinkToFit="1"/>
    </xf>
    <xf numFmtId="49" fontId="25" fillId="51" borderId="24" xfId="0" applyNumberFormat="1" applyFont="1" applyFill="1" applyBorder="1" applyAlignment="1">
      <alignment horizontal="center" vertical="center" wrapText="1" shrinkToFit="1"/>
    </xf>
    <xf numFmtId="49" fontId="106" fillId="53" borderId="16" xfId="0" applyNumberFormat="1" applyFont="1" applyFill="1" applyBorder="1" applyAlignment="1" applyProtection="1">
      <alignment horizontal="center" vertical="center" wrapText="1" shrinkToFit="1"/>
      <protection locked="0"/>
    </xf>
    <xf numFmtId="49" fontId="106" fillId="53" borderId="17" xfId="0" applyNumberFormat="1" applyFont="1" applyFill="1" applyBorder="1" applyAlignment="1" applyProtection="1">
      <alignment horizontal="center" vertical="center" wrapText="1" shrinkToFit="1"/>
      <protection locked="0"/>
    </xf>
    <xf numFmtId="1" fontId="106" fillId="51" borderId="24" xfId="0" applyNumberFormat="1" applyFont="1" applyFill="1" applyBorder="1" applyAlignment="1" applyProtection="1">
      <alignment horizontal="center" vertical="center" wrapText="1" shrinkToFit="1"/>
      <protection locked="0"/>
    </xf>
    <xf numFmtId="1" fontId="31" fillId="51" borderId="18" xfId="0" applyNumberFormat="1" applyFont="1" applyFill="1" applyBorder="1" applyAlignment="1" applyProtection="1">
      <alignment horizontal="center" vertical="center" wrapText="1" shrinkToFit="1"/>
      <protection locked="0"/>
    </xf>
    <xf numFmtId="1" fontId="106" fillId="53" borderId="23" xfId="0" applyNumberFormat="1" applyFont="1" applyFill="1" applyBorder="1" applyAlignment="1" applyProtection="1">
      <alignment horizontal="center" vertical="center" wrapText="1" shrinkToFit="1"/>
      <protection locked="0"/>
    </xf>
    <xf numFmtId="1" fontId="20" fillId="9" borderId="35" xfId="0" applyNumberFormat="1" applyFont="1" applyFill="1" applyBorder="1" applyAlignment="1" applyProtection="1">
      <alignment horizontal="center" vertical="center" wrapText="1" shrinkToFit="1"/>
    </xf>
    <xf numFmtId="0" fontId="25" fillId="9" borderId="36" xfId="0" applyFont="1" applyFill="1" applyBorder="1" applyAlignment="1" applyProtection="1">
      <alignment horizontal="center" vertical="center" wrapText="1"/>
    </xf>
    <xf numFmtId="1" fontId="25" fillId="9" borderId="37" xfId="0" applyNumberFormat="1" applyFont="1" applyFill="1" applyBorder="1" applyAlignment="1" applyProtection="1">
      <alignment horizontal="center" vertical="center" wrapText="1"/>
    </xf>
    <xf numFmtId="0" fontId="25" fillId="9" borderId="12" xfId="0" applyFont="1" applyFill="1" applyBorder="1" applyAlignment="1" applyProtection="1">
      <alignment horizontal="center" vertical="center" wrapText="1"/>
    </xf>
    <xf numFmtId="1" fontId="20" fillId="51" borderId="37" xfId="0" applyNumberFormat="1" applyFont="1" applyFill="1" applyBorder="1" applyAlignment="1">
      <alignment horizontal="center" vertical="center" wrapText="1" shrinkToFit="1"/>
    </xf>
    <xf numFmtId="1" fontId="25" fillId="51" borderId="57" xfId="0" applyNumberFormat="1" applyFont="1" applyFill="1" applyBorder="1" applyAlignment="1">
      <alignment horizontal="center" vertical="center" wrapText="1" shrinkToFit="1"/>
    </xf>
    <xf numFmtId="1" fontId="25" fillId="51" borderId="36" xfId="0" applyNumberFormat="1" applyFont="1" applyFill="1" applyBorder="1" applyAlignment="1">
      <alignment horizontal="center" vertical="center" wrapText="1" shrinkToFit="1"/>
    </xf>
    <xf numFmtId="1" fontId="25" fillId="51" borderId="13" xfId="0" applyNumberFormat="1" applyFont="1" applyFill="1" applyBorder="1" applyAlignment="1">
      <alignment horizontal="center" vertical="center" wrapText="1" shrinkToFit="1"/>
    </xf>
    <xf numFmtId="1" fontId="25" fillId="51" borderId="35" xfId="0" applyNumberFormat="1" applyFont="1" applyFill="1" applyBorder="1" applyAlignment="1" applyProtection="1">
      <alignment horizontal="center" vertical="center" wrapText="1" shrinkToFit="1"/>
      <protection locked="0"/>
    </xf>
    <xf numFmtId="1" fontId="25" fillId="51" borderId="36" xfId="0" applyNumberFormat="1" applyFont="1" applyFill="1" applyBorder="1" applyAlignment="1" applyProtection="1">
      <alignment horizontal="center" vertical="center" wrapText="1" shrinkToFit="1"/>
      <protection locked="0"/>
    </xf>
    <xf numFmtId="1" fontId="31" fillId="51" borderId="35" xfId="0" applyNumberFormat="1" applyFont="1" applyFill="1" applyBorder="1" applyAlignment="1" applyProtection="1">
      <alignment horizontal="center" vertical="center" wrapText="1" shrinkToFit="1"/>
      <protection locked="0"/>
    </xf>
    <xf numFmtId="1" fontId="25" fillId="51" borderId="56" xfId="0" applyNumberFormat="1" applyFont="1" applyFill="1" applyBorder="1" applyAlignment="1" applyProtection="1">
      <alignment horizontal="center" vertical="center" wrapText="1" shrinkToFit="1"/>
      <protection locked="0"/>
    </xf>
    <xf numFmtId="1" fontId="25" fillId="51" borderId="5" xfId="0" applyNumberFormat="1" applyFont="1" applyFill="1" applyBorder="1" applyAlignment="1">
      <alignment horizontal="center" vertical="center" wrapText="1" shrinkToFit="1"/>
    </xf>
    <xf numFmtId="1" fontId="20" fillId="31" borderId="35" xfId="0" applyNumberFormat="1" applyFont="1" applyFill="1" applyBorder="1" applyAlignment="1">
      <alignment horizontal="center" vertical="center" wrapText="1" shrinkToFit="1"/>
    </xf>
    <xf numFmtId="0" fontId="25" fillId="31" borderId="35" xfId="0" applyFont="1" applyFill="1" applyBorder="1" applyAlignment="1">
      <alignment horizontal="center" vertical="center" wrapText="1"/>
    </xf>
    <xf numFmtId="0" fontId="25" fillId="31" borderId="12" xfId="0" applyFont="1" applyFill="1" applyBorder="1" applyAlignment="1">
      <alignment horizontal="center" vertical="center" wrapText="1"/>
    </xf>
    <xf numFmtId="1" fontId="25" fillId="31" borderId="36" xfId="0" applyNumberFormat="1" applyFont="1" applyFill="1" applyBorder="1" applyAlignment="1">
      <alignment horizontal="center" vertical="center" wrapText="1"/>
    </xf>
    <xf numFmtId="1" fontId="25" fillId="31" borderId="35" xfId="0" applyNumberFormat="1" applyFont="1" applyFill="1" applyBorder="1" applyAlignment="1">
      <alignment horizontal="center" vertical="center" wrapText="1"/>
    </xf>
    <xf numFmtId="0" fontId="25" fillId="31" borderId="36" xfId="0" applyFont="1" applyFill="1" applyBorder="1" applyAlignment="1">
      <alignment horizontal="center" vertical="center" wrapText="1"/>
    </xf>
    <xf numFmtId="0" fontId="20" fillId="0" borderId="74" xfId="0" applyFont="1" applyBorder="1" applyAlignment="1">
      <alignment horizontal="center" vertical="center" wrapText="1" shrinkToFit="1"/>
    </xf>
    <xf numFmtId="2" fontId="20" fillId="0" borderId="0" xfId="0" applyNumberFormat="1" applyFont="1" applyBorder="1" applyAlignment="1">
      <alignment horizontal="center" vertical="center" wrapText="1" shrinkToFit="1"/>
    </xf>
    <xf numFmtId="0" fontId="20" fillId="0" borderId="0" xfId="0" applyNumberFormat="1" applyFont="1" applyBorder="1" applyAlignment="1">
      <alignment horizontal="center" vertical="center" wrapText="1" shrinkToFit="1"/>
    </xf>
    <xf numFmtId="0" fontId="20" fillId="0" borderId="75" xfId="0" applyFont="1" applyBorder="1" applyAlignment="1">
      <alignment horizontal="center" vertical="center" wrapText="1" shrinkToFit="1"/>
    </xf>
    <xf numFmtId="0" fontId="20" fillId="0" borderId="74" xfId="0" applyFont="1" applyFill="1" applyBorder="1" applyAlignment="1">
      <alignment horizontal="center" vertical="center" wrapText="1" shrinkToFit="1"/>
    </xf>
    <xf numFmtId="0" fontId="20" fillId="0" borderId="0" xfId="0" applyFont="1" applyFill="1" applyBorder="1" applyAlignment="1">
      <alignment horizontal="center" vertical="center" wrapText="1" shrinkToFit="1"/>
    </xf>
    <xf numFmtId="0" fontId="20" fillId="0" borderId="65" xfId="0" applyFont="1" applyFill="1" applyBorder="1" applyAlignment="1">
      <alignment horizontal="center" vertical="center" wrapText="1" shrinkToFit="1"/>
    </xf>
    <xf numFmtId="0" fontId="20" fillId="0" borderId="67" xfId="0" applyFont="1" applyFill="1" applyBorder="1" applyAlignment="1">
      <alignment horizontal="center" vertical="center" wrapText="1" shrinkToFit="1"/>
    </xf>
    <xf numFmtId="0" fontId="20" fillId="0" borderId="75" xfId="0" applyFont="1" applyFill="1" applyBorder="1" applyAlignment="1">
      <alignment horizontal="center" vertical="center" wrapText="1" shrinkToFit="1"/>
    </xf>
    <xf numFmtId="0" fontId="84" fillId="0" borderId="74" xfId="0" applyFont="1" applyBorder="1" applyAlignment="1">
      <alignment horizontal="center" vertical="center"/>
    </xf>
    <xf numFmtId="0" fontId="84" fillId="0" borderId="0" xfId="0" applyFont="1" applyBorder="1" applyAlignment="1">
      <alignment horizontal="center" vertical="center"/>
    </xf>
    <xf numFmtId="0" fontId="62" fillId="0" borderId="0" xfId="0" applyFont="1" applyBorder="1" applyAlignment="1">
      <alignment horizontal="center" vertical="center"/>
    </xf>
    <xf numFmtId="0" fontId="83" fillId="0" borderId="0" xfId="0" applyFont="1" applyBorder="1" applyAlignment="1">
      <alignment horizontal="center" vertical="center"/>
    </xf>
    <xf numFmtId="0" fontId="62" fillId="0" borderId="0" xfId="0" applyFont="1" applyBorder="1" applyAlignment="1">
      <alignment horizontal="center" vertical="center" wrapText="1"/>
    </xf>
    <xf numFmtId="0" fontId="62" fillId="0" borderId="75" xfId="0" applyFont="1" applyBorder="1" applyAlignment="1">
      <alignment horizontal="center" vertical="center" wrapText="1"/>
    </xf>
    <xf numFmtId="1" fontId="13" fillId="35" borderId="16" xfId="0" applyNumberFormat="1" applyFont="1" applyFill="1" applyBorder="1" applyAlignment="1">
      <alignment horizontal="center" vertical="center" wrapText="1" shrinkToFit="1"/>
    </xf>
    <xf numFmtId="1" fontId="13" fillId="35" borderId="18" xfId="0" applyNumberFormat="1" applyFont="1" applyFill="1" applyBorder="1" applyAlignment="1">
      <alignment horizontal="center" vertical="center" wrapText="1" shrinkToFit="1"/>
    </xf>
    <xf numFmtId="1" fontId="13" fillId="35" borderId="20" xfId="0" applyNumberFormat="1" applyFont="1" applyFill="1" applyBorder="1" applyAlignment="1">
      <alignment horizontal="center" vertical="center" wrapText="1" shrinkToFit="1"/>
    </xf>
    <xf numFmtId="0" fontId="20" fillId="9" borderId="81" xfId="2" applyFont="1" applyFill="1" applyBorder="1" applyAlignment="1" applyProtection="1">
      <alignment horizontal="center" vertical="center" wrapText="1"/>
    </xf>
    <xf numFmtId="0" fontId="108" fillId="9" borderId="18" xfId="2" applyFont="1" applyFill="1" applyBorder="1" applyAlignment="1" applyProtection="1">
      <alignment horizontal="center" vertical="center" wrapText="1"/>
    </xf>
    <xf numFmtId="2" fontId="20" fillId="9" borderId="18" xfId="2" applyNumberFormat="1" applyFont="1" applyFill="1" applyBorder="1" applyAlignment="1" applyProtection="1">
      <alignment horizontal="center" vertical="center" wrapText="1"/>
    </xf>
    <xf numFmtId="164" fontId="20" fillId="9" borderId="18" xfId="2" applyNumberFormat="1" applyFont="1" applyFill="1" applyBorder="1" applyAlignment="1" applyProtection="1">
      <alignment horizontal="center" vertical="center" wrapText="1"/>
    </xf>
    <xf numFmtId="1" fontId="20" fillId="9" borderId="18" xfId="2" applyNumberFormat="1" applyFont="1" applyFill="1" applyBorder="1" applyAlignment="1" applyProtection="1">
      <alignment horizontal="center" vertical="center" wrapText="1"/>
    </xf>
    <xf numFmtId="0" fontId="25" fillId="9" borderId="18" xfId="2" applyFont="1" applyFill="1" applyBorder="1" applyAlignment="1" applyProtection="1">
      <alignment horizontal="center" vertical="center" wrapText="1"/>
    </xf>
    <xf numFmtId="0" fontId="25" fillId="9" borderId="20" xfId="2" applyFont="1" applyFill="1" applyBorder="1" applyAlignment="1" applyProtection="1">
      <alignment horizontal="center" vertical="center" wrapText="1"/>
    </xf>
    <xf numFmtId="0" fontId="25" fillId="9" borderId="17" xfId="2" applyFont="1" applyFill="1" applyBorder="1" applyAlignment="1" applyProtection="1">
      <alignment horizontal="center" vertical="center" wrapText="1"/>
    </xf>
    <xf numFmtId="0" fontId="25" fillId="9" borderId="19" xfId="0" applyFont="1" applyFill="1" applyBorder="1" applyAlignment="1" applyProtection="1">
      <alignment horizontal="center" vertical="center" wrapText="1"/>
    </xf>
    <xf numFmtId="0" fontId="20" fillId="51" borderId="25" xfId="2" applyFont="1" applyFill="1" applyBorder="1" applyAlignment="1">
      <alignment horizontal="center" vertical="center" wrapText="1"/>
    </xf>
    <xf numFmtId="0" fontId="20" fillId="51" borderId="27" xfId="2" applyFont="1" applyFill="1" applyBorder="1" applyAlignment="1">
      <alignment horizontal="center" vertical="center" wrapText="1"/>
    </xf>
    <xf numFmtId="0" fontId="20" fillId="31" borderId="24" xfId="4" applyFont="1" applyFill="1" applyBorder="1" applyAlignment="1">
      <alignment horizontal="center" vertical="center" wrapText="1"/>
    </xf>
    <xf numFmtId="0" fontId="25" fillId="31" borderId="69" xfId="0" applyFont="1" applyFill="1" applyBorder="1" applyAlignment="1">
      <alignment horizontal="center" vertical="center" wrapText="1"/>
    </xf>
    <xf numFmtId="0" fontId="20" fillId="9" borderId="68" xfId="2" applyFont="1" applyFill="1" applyBorder="1" applyAlignment="1" applyProtection="1">
      <alignment horizontal="center" vertical="center" wrapText="1"/>
    </xf>
    <xf numFmtId="0" fontId="108" fillId="9" borderId="25" xfId="2" applyFont="1" applyFill="1" applyBorder="1" applyAlignment="1" applyProtection="1">
      <alignment horizontal="center" vertical="center" wrapText="1"/>
    </xf>
    <xf numFmtId="2" fontId="20" fillId="9" borderId="25" xfId="2" applyNumberFormat="1" applyFont="1" applyFill="1" applyBorder="1" applyAlignment="1" applyProtection="1">
      <alignment horizontal="center" vertical="center" wrapText="1"/>
    </xf>
    <xf numFmtId="164" fontId="20" fillId="9" borderId="25" xfId="2" applyNumberFormat="1" applyFont="1" applyFill="1" applyBorder="1" applyAlignment="1" applyProtection="1">
      <alignment horizontal="center" vertical="center" wrapText="1"/>
    </xf>
    <xf numFmtId="1" fontId="20" fillId="9" borderId="25" xfId="2" applyNumberFormat="1" applyFont="1" applyFill="1" applyBorder="1" applyAlignment="1" applyProtection="1">
      <alignment horizontal="center" vertical="center" wrapText="1"/>
    </xf>
    <xf numFmtId="0" fontId="25" fillId="9" borderId="25" xfId="2" applyFont="1" applyFill="1" applyBorder="1" applyAlignment="1" applyProtection="1">
      <alignment horizontal="center" vertical="center" wrapText="1"/>
    </xf>
    <xf numFmtId="0" fontId="31" fillId="9" borderId="25" xfId="2" applyFont="1" applyFill="1" applyBorder="1" applyAlignment="1" applyProtection="1">
      <alignment horizontal="center" vertical="center" wrapText="1"/>
    </xf>
    <xf numFmtId="0" fontId="25" fillId="9" borderId="27" xfId="2" applyFont="1" applyFill="1" applyBorder="1" applyAlignment="1" applyProtection="1">
      <alignment horizontal="center" vertical="center" wrapText="1"/>
    </xf>
    <xf numFmtId="0" fontId="25" fillId="9" borderId="24" xfId="2" applyFont="1" applyFill="1" applyBorder="1" applyAlignment="1" applyProtection="1">
      <alignment horizontal="center" vertical="center" wrapText="1"/>
    </xf>
    <xf numFmtId="0" fontId="20" fillId="9" borderId="25" xfId="2" applyFont="1" applyFill="1" applyBorder="1" applyAlignment="1" applyProtection="1">
      <alignment horizontal="center" vertical="center" wrapText="1"/>
    </xf>
    <xf numFmtId="0" fontId="31" fillId="9" borderId="27" xfId="2" applyFont="1" applyFill="1" applyBorder="1" applyAlignment="1" applyProtection="1">
      <alignment horizontal="center" vertical="center" wrapText="1"/>
    </xf>
    <xf numFmtId="49" fontId="20" fillId="51" borderId="25" xfId="2" applyNumberFormat="1" applyFont="1" applyFill="1" applyBorder="1" applyAlignment="1">
      <alignment horizontal="center" vertical="center" wrapText="1"/>
    </xf>
    <xf numFmtId="49" fontId="20" fillId="51" borderId="27" xfId="2" applyNumberFormat="1" applyFont="1" applyFill="1" applyBorder="1" applyAlignment="1">
      <alignment horizontal="center" vertical="center" wrapText="1"/>
    </xf>
    <xf numFmtId="0" fontId="108" fillId="51" borderId="25" xfId="2" applyFont="1" applyFill="1" applyBorder="1" applyAlignment="1">
      <alignment horizontal="center" vertical="center" wrapText="1"/>
    </xf>
    <xf numFmtId="0" fontId="25" fillId="51" borderId="16" xfId="2" applyFont="1" applyFill="1" applyBorder="1" applyAlignment="1" applyProtection="1">
      <alignment horizontal="center" vertical="center" wrapText="1"/>
      <protection locked="0"/>
    </xf>
    <xf numFmtId="0" fontId="106" fillId="53" borderId="16" xfId="2" applyFont="1" applyFill="1" applyBorder="1" applyAlignment="1" applyProtection="1">
      <alignment horizontal="center" vertical="center" wrapText="1"/>
      <protection locked="0"/>
    </xf>
    <xf numFmtId="0" fontId="106" fillId="53" borderId="17" xfId="2" applyFont="1" applyFill="1" applyBorder="1" applyAlignment="1" applyProtection="1">
      <alignment horizontal="center" vertical="center" wrapText="1"/>
      <protection locked="0"/>
    </xf>
    <xf numFmtId="0" fontId="108" fillId="51" borderId="27" xfId="2" applyFont="1" applyFill="1" applyBorder="1" applyAlignment="1">
      <alignment horizontal="center" vertical="center" wrapText="1"/>
    </xf>
    <xf numFmtId="0" fontId="106" fillId="9" borderId="27" xfId="0" applyFont="1" applyFill="1" applyBorder="1" applyAlignment="1" applyProtection="1">
      <alignment horizontal="center" vertical="center" wrapText="1"/>
    </xf>
    <xf numFmtId="0" fontId="108" fillId="9" borderId="68" xfId="2" applyFont="1" applyFill="1" applyBorder="1" applyAlignment="1" applyProtection="1">
      <alignment horizontal="center" vertical="center" wrapText="1"/>
    </xf>
    <xf numFmtId="164" fontId="20" fillId="9" borderId="25" xfId="4" applyNumberFormat="1" applyFont="1" applyFill="1" applyBorder="1" applyAlignment="1" applyProtection="1">
      <alignment horizontal="center" vertical="center" wrapText="1"/>
    </xf>
    <xf numFmtId="164" fontId="25" fillId="9" borderId="25" xfId="2" applyNumberFormat="1" applyFont="1" applyFill="1" applyBorder="1" applyAlignment="1" applyProtection="1">
      <alignment horizontal="center" vertical="center" wrapText="1"/>
    </xf>
    <xf numFmtId="1" fontId="31" fillId="9" borderId="25" xfId="2" applyNumberFormat="1" applyFont="1" applyFill="1" applyBorder="1" applyAlignment="1" applyProtection="1">
      <alignment horizontal="center" vertical="center" wrapText="1"/>
    </xf>
    <xf numFmtId="1" fontId="108" fillId="9" borderId="25" xfId="2" applyNumberFormat="1" applyFont="1" applyFill="1" applyBorder="1" applyAlignment="1" applyProtection="1">
      <alignment horizontal="center" vertical="center" wrapText="1"/>
    </xf>
    <xf numFmtId="0" fontId="13" fillId="9" borderId="28"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2" fontId="108" fillId="9" borderId="25" xfId="2" applyNumberFormat="1" applyFont="1" applyFill="1" applyBorder="1" applyAlignment="1" applyProtection="1">
      <alignment horizontal="center" vertical="center" wrapText="1"/>
    </xf>
    <xf numFmtId="0" fontId="41" fillId="9" borderId="25" xfId="2" applyFont="1" applyFill="1" applyBorder="1" applyAlignment="1" applyProtection="1">
      <alignment horizontal="center" vertical="center" wrapText="1"/>
    </xf>
    <xf numFmtId="2" fontId="41" fillId="9" borderId="25" xfId="2" applyNumberFormat="1" applyFont="1" applyFill="1" applyBorder="1" applyAlignment="1" applyProtection="1">
      <alignment horizontal="center" vertical="center" wrapText="1"/>
    </xf>
    <xf numFmtId="2" fontId="25" fillId="9" borderId="25" xfId="2" applyNumberFormat="1" applyFont="1" applyFill="1" applyBorder="1" applyAlignment="1" applyProtection="1">
      <alignment horizontal="center" vertical="center" wrapText="1"/>
    </xf>
    <xf numFmtId="0" fontId="108" fillId="9" borderId="27" xfId="2" applyFont="1" applyFill="1" applyBorder="1" applyAlignment="1" applyProtection="1">
      <alignment horizontal="center" vertical="center" wrapText="1"/>
    </xf>
    <xf numFmtId="0" fontId="13" fillId="9" borderId="23" xfId="0" applyFont="1" applyFill="1" applyBorder="1" applyAlignment="1" applyProtection="1">
      <alignment horizontal="center" vertical="center" wrapText="1"/>
      <protection locked="0"/>
    </xf>
    <xf numFmtId="9" fontId="25" fillId="9" borderId="26" xfId="0" applyNumberFormat="1" applyFont="1" applyFill="1" applyBorder="1" applyAlignment="1" applyProtection="1">
      <alignment horizontal="center" vertical="center" wrapText="1"/>
    </xf>
    <xf numFmtId="0" fontId="31" fillId="51" borderId="27" xfId="2" applyFont="1" applyFill="1" applyBorder="1" applyAlignment="1">
      <alignment horizontal="center" vertical="center" wrapText="1"/>
    </xf>
    <xf numFmtId="0" fontId="41" fillId="51" borderId="27" xfId="2" applyFont="1" applyFill="1" applyBorder="1" applyAlignment="1">
      <alignment horizontal="center" vertical="center" wrapText="1"/>
    </xf>
    <xf numFmtId="1" fontId="25" fillId="9" borderId="25" xfId="2" applyNumberFormat="1" applyFont="1" applyFill="1" applyBorder="1" applyAlignment="1" applyProtection="1">
      <alignment horizontal="center" vertical="center" wrapText="1"/>
    </xf>
    <xf numFmtId="164" fontId="108" fillId="9" borderId="25" xfId="2" applyNumberFormat="1" applyFont="1" applyFill="1" applyBorder="1" applyAlignment="1" applyProtection="1">
      <alignment horizontal="center" vertical="center" wrapText="1"/>
    </xf>
    <xf numFmtId="0" fontId="20" fillId="51" borderId="34" xfId="2" applyFont="1" applyFill="1" applyBorder="1" applyAlignment="1">
      <alignment horizontal="center" vertical="center" wrapText="1"/>
    </xf>
    <xf numFmtId="0" fontId="20" fillId="51" borderId="31" xfId="2" applyFont="1" applyFill="1" applyBorder="1" applyAlignment="1">
      <alignment horizontal="center" vertical="center" wrapText="1"/>
    </xf>
    <xf numFmtId="0" fontId="109" fillId="54" borderId="23" xfId="0" applyFont="1" applyFill="1" applyBorder="1" applyAlignment="1" applyProtection="1">
      <alignment horizontal="center" vertical="center" wrapText="1"/>
      <protection locked="0"/>
    </xf>
    <xf numFmtId="0" fontId="20" fillId="9" borderId="68" xfId="0" applyFont="1" applyFill="1" applyBorder="1" applyAlignment="1">
      <alignment horizontal="center" vertical="center" wrapText="1"/>
    </xf>
    <xf numFmtId="2" fontId="20" fillId="9" borderId="26" xfId="0" applyNumberFormat="1" applyFont="1" applyFill="1" applyBorder="1" applyAlignment="1" applyProtection="1">
      <alignment horizontal="center" vertical="center" wrapText="1"/>
    </xf>
    <xf numFmtId="0" fontId="20" fillId="9" borderId="26" xfId="0" applyFont="1" applyFill="1" applyBorder="1" applyAlignment="1">
      <alignment horizontal="center" vertical="center" wrapText="1"/>
    </xf>
    <xf numFmtId="0" fontId="25" fillId="9" borderId="27" xfId="0" applyFont="1" applyFill="1" applyBorder="1" applyAlignment="1" applyProtection="1">
      <alignment horizontal="center" vertical="center" wrapText="1"/>
    </xf>
    <xf numFmtId="0" fontId="25" fillId="9" borderId="36" xfId="2" applyFont="1" applyFill="1" applyBorder="1" applyAlignment="1" applyProtection="1">
      <alignment horizontal="center" vertical="center" wrapText="1"/>
    </xf>
    <xf numFmtId="0" fontId="25" fillId="9" borderId="11" xfId="0" applyFont="1" applyFill="1" applyBorder="1" applyAlignment="1" applyProtection="1">
      <alignment horizontal="center" vertical="center" wrapText="1"/>
    </xf>
    <xf numFmtId="0" fontId="20" fillId="51" borderId="27" xfId="0" applyFont="1" applyFill="1" applyBorder="1" applyAlignment="1">
      <alignment horizontal="center" vertical="center"/>
    </xf>
    <xf numFmtId="0" fontId="20" fillId="31" borderId="36" xfId="4" applyFont="1" applyFill="1" applyBorder="1" applyAlignment="1">
      <alignment horizontal="center" vertical="center" wrapText="1"/>
    </xf>
    <xf numFmtId="0" fontId="20" fillId="31" borderId="25" xfId="0" applyFont="1" applyFill="1" applyBorder="1" applyAlignment="1">
      <alignment horizontal="center" vertical="center" wrapText="1"/>
    </xf>
    <xf numFmtId="0" fontId="84" fillId="0" borderId="0" xfId="0" applyFont="1" applyBorder="1" applyAlignment="1">
      <alignment horizontal="center" vertical="center" wrapText="1"/>
    </xf>
    <xf numFmtId="1" fontId="110" fillId="12" borderId="23" xfId="0" applyNumberFormat="1" applyFont="1" applyFill="1" applyBorder="1" applyAlignment="1">
      <alignment horizontal="center" vertical="center" shrinkToFit="1"/>
    </xf>
    <xf numFmtId="1" fontId="111" fillId="12" borderId="23" xfId="3" applyNumberFormat="1" applyFont="1" applyFill="1" applyBorder="1" applyAlignment="1">
      <alignment horizontal="center" vertical="center" wrapText="1" shrinkToFit="1"/>
    </xf>
    <xf numFmtId="1" fontId="111" fillId="12" borderId="23" xfId="0" applyNumberFormat="1" applyFont="1" applyFill="1" applyBorder="1" applyAlignment="1">
      <alignment horizontal="center" vertical="center" shrinkToFit="1"/>
    </xf>
    <xf numFmtId="1" fontId="110" fillId="12" borderId="50" xfId="0" applyNumberFormat="1" applyFont="1" applyFill="1" applyBorder="1" applyAlignment="1">
      <alignment horizontal="center" vertical="center" shrinkToFit="1"/>
    </xf>
    <xf numFmtId="1" fontId="3" fillId="9" borderId="23" xfId="3" applyNumberFormat="1" applyFont="1" applyFill="1" applyBorder="1" applyAlignment="1">
      <alignment horizontal="center" vertical="center" wrapText="1" shrinkToFit="1"/>
    </xf>
    <xf numFmtId="165" fontId="23" fillId="9" borderId="23" xfId="3" applyNumberFormat="1" applyFont="1" applyFill="1" applyBorder="1" applyAlignment="1">
      <alignment horizontal="center" vertical="center" wrapText="1" shrinkToFit="1"/>
    </xf>
    <xf numFmtId="1" fontId="23" fillId="9" borderId="23" xfId="3" applyNumberFormat="1" applyFont="1" applyFill="1" applyBorder="1" applyAlignment="1">
      <alignment horizontal="center" vertical="center" wrapText="1" shrinkToFit="1"/>
    </xf>
    <xf numFmtId="1" fontId="22" fillId="9" borderId="23" xfId="0" applyNumberFormat="1" applyFont="1" applyFill="1" applyBorder="1" applyAlignment="1">
      <alignment horizontal="center" vertical="center" shrinkToFit="1"/>
    </xf>
    <xf numFmtId="1" fontId="111" fillId="9" borderId="23" xfId="3" applyNumberFormat="1" applyFont="1" applyFill="1" applyBorder="1" applyAlignment="1">
      <alignment horizontal="center" vertical="center" wrapText="1" shrinkToFit="1"/>
    </xf>
    <xf numFmtId="1" fontId="22" fillId="9" borderId="23" xfId="3" applyNumberFormat="1" applyFont="1" applyFill="1" applyBorder="1" applyAlignment="1">
      <alignment horizontal="center" vertical="center" wrapText="1" shrinkToFit="1"/>
    </xf>
    <xf numFmtId="1" fontId="111" fillId="9" borderId="23" xfId="0" applyNumberFormat="1" applyFont="1" applyFill="1" applyBorder="1" applyAlignment="1">
      <alignment horizontal="center" vertical="center" shrinkToFit="1"/>
    </xf>
    <xf numFmtId="1" fontId="3" fillId="9" borderId="50" xfId="3" applyNumberFormat="1" applyFont="1" applyFill="1" applyBorder="1" applyAlignment="1">
      <alignment horizontal="center" vertical="center" wrapText="1" shrinkToFit="1"/>
    </xf>
    <xf numFmtId="1" fontId="22" fillId="9" borderId="50" xfId="0" applyNumberFormat="1" applyFont="1" applyFill="1" applyBorder="1" applyAlignment="1">
      <alignment horizontal="center" vertical="center" shrinkToFit="1"/>
    </xf>
    <xf numFmtId="1" fontId="3" fillId="55" borderId="23" xfId="3" applyNumberFormat="1" applyFont="1" applyFill="1" applyBorder="1" applyAlignment="1">
      <alignment horizontal="center" vertical="center" wrapText="1" shrinkToFit="1"/>
    </xf>
    <xf numFmtId="165" fontId="23" fillId="55" borderId="23" xfId="3" applyNumberFormat="1" applyFont="1" applyFill="1" applyBorder="1" applyAlignment="1">
      <alignment horizontal="center" vertical="center" wrapText="1" shrinkToFit="1"/>
    </xf>
    <xf numFmtId="1" fontId="23" fillId="55" borderId="23" xfId="3" applyNumberFormat="1" applyFont="1" applyFill="1" applyBorder="1" applyAlignment="1">
      <alignment horizontal="center" vertical="center" wrapText="1" shrinkToFit="1"/>
    </xf>
    <xf numFmtId="1" fontId="22" fillId="55" borderId="23" xfId="0" applyNumberFormat="1" applyFont="1" applyFill="1" applyBorder="1" applyAlignment="1">
      <alignment horizontal="center" vertical="center" shrinkToFit="1"/>
    </xf>
    <xf numFmtId="1" fontId="111" fillId="55" borderId="23" xfId="3" applyNumberFormat="1" applyFont="1" applyFill="1" applyBorder="1" applyAlignment="1">
      <alignment horizontal="center" vertical="center" wrapText="1" shrinkToFit="1"/>
    </xf>
    <xf numFmtId="1" fontId="22" fillId="55" borderId="23" xfId="3" applyNumberFormat="1" applyFont="1" applyFill="1" applyBorder="1" applyAlignment="1">
      <alignment horizontal="center" vertical="center" wrapText="1" shrinkToFit="1"/>
    </xf>
    <xf numFmtId="1" fontId="111" fillId="55" borderId="23" xfId="0" applyNumberFormat="1" applyFont="1" applyFill="1" applyBorder="1" applyAlignment="1">
      <alignment horizontal="center" vertical="center" shrinkToFit="1"/>
    </xf>
    <xf numFmtId="1" fontId="3" fillId="55" borderId="50" xfId="3" applyNumberFormat="1" applyFont="1" applyFill="1" applyBorder="1" applyAlignment="1">
      <alignment horizontal="center" vertical="center" wrapText="1" shrinkToFit="1"/>
    </xf>
    <xf numFmtId="1" fontId="22" fillId="55" borderId="50" xfId="0" applyNumberFormat="1" applyFont="1" applyFill="1" applyBorder="1" applyAlignment="1">
      <alignment horizontal="center" vertical="center" shrinkToFit="1"/>
    </xf>
    <xf numFmtId="0" fontId="88" fillId="0" borderId="25" xfId="0" applyFont="1" applyBorder="1" applyAlignment="1">
      <alignment horizontal="center" vertical="center" wrapText="1"/>
    </xf>
    <xf numFmtId="0" fontId="0" fillId="11" borderId="4" xfId="0" applyFill="1" applyBorder="1" applyAlignment="1">
      <alignment horizontal="center" vertical="center" wrapText="1"/>
    </xf>
    <xf numFmtId="0" fontId="88" fillId="0" borderId="25" xfId="0" applyFont="1" applyBorder="1" applyAlignment="1">
      <alignment horizontal="center" vertical="center"/>
    </xf>
    <xf numFmtId="49" fontId="47" fillId="0" borderId="0" xfId="0" applyNumberFormat="1" applyFont="1" applyFill="1" applyAlignment="1">
      <alignment horizontal="left"/>
    </xf>
    <xf numFmtId="49" fontId="48" fillId="0" borderId="0" xfId="0" applyNumberFormat="1" applyFont="1" applyFill="1" applyAlignment="1">
      <alignment horizontal="left"/>
    </xf>
    <xf numFmtId="0" fontId="11" fillId="11" borderId="17" xfId="2" applyFont="1" applyFill="1" applyBorder="1" applyAlignment="1" applyProtection="1">
      <alignment horizontal="center" vertical="center" wrapText="1"/>
    </xf>
    <xf numFmtId="0" fontId="11" fillId="11" borderId="24" xfId="2" applyFont="1" applyFill="1" applyBorder="1" applyAlignment="1" applyProtection="1">
      <alignment horizontal="center" vertical="center" wrapText="1"/>
    </xf>
    <xf numFmtId="0" fontId="62" fillId="11" borderId="24" xfId="2" applyFont="1" applyFill="1" applyBorder="1" applyAlignment="1" applyProtection="1">
      <alignment horizontal="center" vertical="center" wrapText="1"/>
    </xf>
    <xf numFmtId="0" fontId="11" fillId="11" borderId="36" xfId="2" applyFont="1" applyFill="1" applyBorder="1" applyAlignment="1" applyProtection="1">
      <alignment horizontal="center" vertical="center" wrapText="1"/>
    </xf>
    <xf numFmtId="0" fontId="8" fillId="11" borderId="0" xfId="0" applyFont="1" applyFill="1" applyAlignment="1">
      <alignment horizontal="center" vertical="center" wrapText="1"/>
    </xf>
    <xf numFmtId="0" fontId="51" fillId="11" borderId="0" xfId="0" applyFont="1" applyFill="1" applyAlignment="1">
      <alignment horizontal="center" vertical="center" wrapText="1"/>
    </xf>
    <xf numFmtId="0" fontId="18" fillId="49" borderId="16" xfId="0" applyFont="1" applyFill="1" applyBorder="1" applyAlignment="1" applyProtection="1">
      <alignment horizontal="center" vertical="center" wrapText="1"/>
    </xf>
    <xf numFmtId="0" fontId="8" fillId="49" borderId="16" xfId="0" applyFont="1" applyFill="1" applyBorder="1" applyAlignment="1" applyProtection="1">
      <alignment horizontal="center" vertical="center" wrapText="1"/>
    </xf>
    <xf numFmtId="0" fontId="18" fillId="49" borderId="16" xfId="0" quotePrefix="1" applyFont="1" applyFill="1" applyBorder="1" applyAlignment="1" applyProtection="1">
      <alignment horizontal="center" vertical="center" wrapText="1"/>
    </xf>
    <xf numFmtId="0" fontId="8" fillId="49" borderId="0" xfId="0" applyFont="1" applyFill="1" applyAlignment="1">
      <alignment horizontal="center" vertical="center" wrapText="1"/>
    </xf>
    <xf numFmtId="0" fontId="18" fillId="35" borderId="17" xfId="0" applyFont="1" applyFill="1" applyBorder="1" applyAlignment="1" applyProtection="1">
      <alignment horizontal="center" vertical="center" wrapText="1"/>
    </xf>
    <xf numFmtId="0" fontId="18" fillId="35" borderId="24" xfId="0" applyFont="1" applyFill="1" applyBorder="1" applyAlignment="1" applyProtection="1">
      <alignment horizontal="center" vertical="center" wrapText="1"/>
    </xf>
    <xf numFmtId="0" fontId="8" fillId="35" borderId="24" xfId="0" applyFont="1" applyFill="1" applyBorder="1" applyAlignment="1" applyProtection="1">
      <alignment horizontal="center" vertical="center" wrapText="1"/>
    </xf>
    <xf numFmtId="1" fontId="18" fillId="35" borderId="24" xfId="0" applyNumberFormat="1" applyFont="1" applyFill="1" applyBorder="1" applyAlignment="1" applyProtection="1">
      <alignment horizontal="center" vertical="center" wrapText="1" shrinkToFit="1"/>
    </xf>
    <xf numFmtId="1" fontId="18" fillId="35" borderId="24" xfId="0" applyNumberFormat="1" applyFont="1" applyFill="1" applyBorder="1" applyAlignment="1" applyProtection="1">
      <alignment horizontal="center" vertical="center" wrapText="1"/>
    </xf>
    <xf numFmtId="0" fontId="18" fillId="35" borderId="36" xfId="0" applyFont="1" applyFill="1" applyBorder="1" applyAlignment="1" applyProtection="1">
      <alignment horizontal="center" vertical="center" wrapText="1"/>
    </xf>
    <xf numFmtId="0" fontId="0" fillId="35" borderId="0" xfId="0" applyFill="1" applyAlignment="1">
      <alignment horizontal="center" vertical="center" wrapText="1"/>
    </xf>
    <xf numFmtId="0" fontId="8" fillId="35" borderId="0" xfId="0" applyFont="1" applyFill="1" applyAlignment="1">
      <alignment horizontal="center" vertical="center" wrapText="1"/>
    </xf>
    <xf numFmtId="0" fontId="19" fillId="55" borderId="25" xfId="0" applyFont="1" applyFill="1" applyBorder="1" applyAlignment="1" applyProtection="1">
      <alignment horizontal="center" vertical="center" wrapText="1"/>
    </xf>
    <xf numFmtId="0" fontId="0" fillId="55" borderId="0" xfId="0" applyFill="1" applyAlignment="1">
      <alignment horizontal="center" vertical="center" wrapText="1"/>
    </xf>
    <xf numFmtId="0" fontId="92" fillId="11" borderId="8" xfId="2" applyFont="1" applyFill="1" applyBorder="1" applyAlignment="1" applyProtection="1">
      <alignment horizontal="center" vertical="center" textRotation="90" wrapText="1"/>
    </xf>
    <xf numFmtId="0" fontId="92" fillId="11" borderId="9" xfId="2" applyFont="1" applyFill="1" applyBorder="1" applyAlignment="1" applyProtection="1">
      <alignment horizontal="center" vertical="center" textRotation="90" wrapText="1"/>
    </xf>
    <xf numFmtId="0" fontId="92" fillId="49" borderId="8" xfId="2" applyFont="1" applyFill="1" applyBorder="1" applyAlignment="1" applyProtection="1">
      <alignment horizontal="center" vertical="center" textRotation="90" wrapText="1"/>
    </xf>
    <xf numFmtId="0" fontId="92" fillId="49" borderId="10" xfId="2" applyFont="1" applyFill="1" applyBorder="1" applyAlignment="1" applyProtection="1">
      <alignment horizontal="center" vertical="center" textRotation="90" wrapText="1"/>
    </xf>
    <xf numFmtId="0" fontId="92" fillId="49" borderId="9" xfId="2" applyFont="1" applyFill="1" applyBorder="1" applyAlignment="1" applyProtection="1">
      <alignment horizontal="center" vertical="center" textRotation="90" wrapText="1"/>
    </xf>
    <xf numFmtId="0" fontId="92" fillId="11" borderId="14" xfId="2" applyFont="1" applyFill="1" applyBorder="1" applyAlignment="1" applyProtection="1">
      <alignment horizontal="center" vertical="center" textRotation="90" wrapText="1"/>
    </xf>
    <xf numFmtId="0" fontId="92" fillId="11" borderId="10" xfId="2" applyFont="1" applyFill="1" applyBorder="1" applyAlignment="1" applyProtection="1">
      <alignment horizontal="center" vertical="center" textRotation="90" wrapText="1"/>
    </xf>
    <xf numFmtId="0" fontId="92" fillId="8" borderId="8" xfId="2" applyFont="1" applyFill="1" applyBorder="1" applyAlignment="1">
      <alignment horizontal="center" vertical="center" textRotation="90" wrapText="1"/>
    </xf>
    <xf numFmtId="0" fontId="18" fillId="49" borderId="25" xfId="0" applyFont="1" applyFill="1" applyBorder="1" applyAlignment="1">
      <alignment horizontal="center" vertical="center" wrapText="1"/>
    </xf>
    <xf numFmtId="0" fontId="82" fillId="49" borderId="25" xfId="0" applyFont="1" applyFill="1" applyBorder="1" applyAlignment="1">
      <alignment horizontal="center" vertical="center" wrapText="1"/>
    </xf>
    <xf numFmtId="0" fontId="18" fillId="49" borderId="25" xfId="0" quotePrefix="1" applyFont="1" applyFill="1" applyBorder="1" applyAlignment="1">
      <alignment horizontal="center" vertical="center" wrapText="1"/>
    </xf>
    <xf numFmtId="1" fontId="18" fillId="11" borderId="84" xfId="0" applyNumberFormat="1" applyFont="1" applyFill="1" applyBorder="1" applyAlignment="1">
      <alignment horizontal="center" vertical="center" wrapText="1" shrinkToFit="1"/>
    </xf>
    <xf numFmtId="1" fontId="18" fillId="11" borderId="85" xfId="0" applyNumberFormat="1" applyFont="1" applyFill="1" applyBorder="1" applyAlignment="1">
      <alignment horizontal="center" vertical="center" wrapText="1" shrinkToFit="1"/>
    </xf>
    <xf numFmtId="1" fontId="18" fillId="0" borderId="85" xfId="0" applyNumberFormat="1" applyFont="1" applyFill="1" applyBorder="1" applyAlignment="1">
      <alignment horizontal="center" vertical="center" wrapText="1" shrinkToFit="1"/>
    </xf>
    <xf numFmtId="0" fontId="82" fillId="8" borderId="85" xfId="0" applyFont="1" applyFill="1" applyBorder="1" applyAlignment="1">
      <alignment horizontal="center" vertical="center" wrapText="1"/>
    </xf>
    <xf numFmtId="1" fontId="82" fillId="11" borderId="85" xfId="0" applyNumberFormat="1" applyFont="1" applyFill="1" applyBorder="1" applyAlignment="1">
      <alignment horizontal="center" vertical="center" wrapText="1" shrinkToFit="1"/>
    </xf>
    <xf numFmtId="1" fontId="82" fillId="0" borderId="85" xfId="0" applyNumberFormat="1" applyFont="1" applyFill="1" applyBorder="1" applyAlignment="1">
      <alignment horizontal="center" vertical="center" wrapText="1" shrinkToFit="1"/>
    </xf>
    <xf numFmtId="1" fontId="50" fillId="42" borderId="85" xfId="0" applyNumberFormat="1" applyFont="1" applyFill="1" applyBorder="1" applyAlignment="1">
      <alignment horizontal="center" vertical="center" wrapText="1" shrinkToFit="1"/>
    </xf>
    <xf numFmtId="1" fontId="82" fillId="35" borderId="85" xfId="0" applyNumberFormat="1" applyFont="1" applyFill="1" applyBorder="1" applyAlignment="1">
      <alignment horizontal="center" vertical="center" wrapText="1" shrinkToFit="1"/>
    </xf>
    <xf numFmtId="1" fontId="17" fillId="42" borderId="85" xfId="0" applyNumberFormat="1" applyFont="1" applyFill="1" applyBorder="1" applyAlignment="1">
      <alignment horizontal="center" vertical="center" wrapText="1" shrinkToFit="1"/>
    </xf>
    <xf numFmtId="0" fontId="18" fillId="8" borderId="85" xfId="0" applyFont="1" applyFill="1" applyBorder="1" applyAlignment="1">
      <alignment horizontal="center" vertical="center" wrapText="1"/>
    </xf>
    <xf numFmtId="0" fontId="88" fillId="0" borderId="27" xfId="0" applyFont="1" applyBorder="1" applyAlignment="1">
      <alignment horizontal="center" vertical="center" wrapText="1"/>
    </xf>
    <xf numFmtId="0" fontId="0" fillId="0" borderId="27" xfId="0" applyBorder="1" applyAlignment="1">
      <alignment horizontal="center" vertical="center"/>
    </xf>
    <xf numFmtId="0" fontId="88" fillId="11" borderId="87" xfId="0" applyFont="1" applyFill="1" applyBorder="1" applyAlignment="1">
      <alignment horizontal="center" vertical="center" wrapText="1"/>
    </xf>
    <xf numFmtId="1" fontId="17" fillId="42" borderId="88" xfId="0" applyNumberFormat="1" applyFont="1" applyFill="1" applyBorder="1" applyAlignment="1">
      <alignment horizontal="center" vertical="center" wrapText="1" shrinkToFit="1"/>
    </xf>
    <xf numFmtId="1" fontId="17" fillId="42" borderId="87" xfId="0" applyNumberFormat="1" applyFont="1" applyFill="1" applyBorder="1" applyAlignment="1">
      <alignment horizontal="center" vertical="center" wrapText="1" shrinkToFit="1"/>
    </xf>
    <xf numFmtId="1" fontId="50" fillId="42" borderId="87" xfId="0" applyNumberFormat="1" applyFont="1" applyFill="1" applyBorder="1" applyAlignment="1">
      <alignment horizontal="center" vertical="center" wrapText="1" shrinkToFit="1"/>
    </xf>
    <xf numFmtId="1" fontId="82" fillId="11" borderId="87" xfId="0" applyNumberFormat="1" applyFont="1" applyFill="1" applyBorder="1" applyAlignment="1">
      <alignment horizontal="center" vertical="center" wrapText="1" shrinkToFit="1"/>
    </xf>
    <xf numFmtId="1" fontId="82" fillId="0" borderId="87" xfId="0" applyNumberFormat="1" applyFont="1" applyFill="1" applyBorder="1" applyAlignment="1">
      <alignment horizontal="center" vertical="center" wrapText="1" shrinkToFit="1"/>
    </xf>
    <xf numFmtId="0" fontId="82" fillId="8" borderId="87" xfId="0" applyFont="1" applyFill="1" applyBorder="1" applyAlignment="1">
      <alignment horizontal="center" vertical="center" wrapText="1"/>
    </xf>
    <xf numFmtId="49" fontId="17" fillId="42" borderId="87" xfId="0" applyNumberFormat="1" applyFont="1" applyFill="1" applyBorder="1" applyAlignment="1">
      <alignment horizontal="center" vertical="center" wrapText="1" shrinkToFit="1"/>
    </xf>
    <xf numFmtId="0" fontId="90" fillId="49" borderId="26" xfId="0" applyFont="1" applyFill="1" applyBorder="1" applyAlignment="1">
      <alignment horizontal="center" vertical="center" wrapText="1"/>
    </xf>
    <xf numFmtId="1" fontId="18" fillId="49" borderId="19" xfId="0" applyNumberFormat="1" applyFont="1" applyFill="1" applyBorder="1" applyAlignment="1">
      <alignment horizontal="center" vertical="center" wrapText="1" shrinkToFit="1"/>
    </xf>
    <xf numFmtId="0" fontId="11" fillId="49" borderId="26" xfId="2" applyFont="1" applyFill="1" applyBorder="1" applyAlignment="1">
      <alignment horizontal="center" vertical="center" wrapText="1"/>
    </xf>
    <xf numFmtId="0" fontId="82" fillId="49" borderId="26" xfId="0" applyFont="1" applyFill="1" applyBorder="1" applyAlignment="1">
      <alignment horizontal="center" vertical="center" wrapText="1"/>
    </xf>
    <xf numFmtId="0" fontId="25" fillId="49" borderId="26" xfId="2" applyFont="1" applyFill="1" applyBorder="1" applyAlignment="1">
      <alignment horizontal="center" vertical="center" wrapText="1"/>
    </xf>
    <xf numFmtId="0" fontId="96" fillId="0" borderId="25" xfId="0" applyFont="1" applyBorder="1" applyAlignment="1">
      <alignment horizontal="center" vertical="center" wrapText="1"/>
    </xf>
    <xf numFmtId="0" fontId="7" fillId="0" borderId="25" xfId="0" applyFont="1" applyBorder="1" applyAlignment="1">
      <alignment horizontal="center" vertical="center"/>
    </xf>
    <xf numFmtId="0" fontId="0" fillId="0" borderId="25" xfId="0" applyBorder="1" applyAlignment="1">
      <alignment horizontal="left" vertical="center"/>
    </xf>
    <xf numFmtId="1" fontId="14" fillId="0" borderId="25" xfId="3" applyNumberFormat="1" applyFont="1" applyFill="1" applyBorder="1" applyAlignment="1">
      <alignment horizontal="center" vertical="center" wrapText="1"/>
    </xf>
    <xf numFmtId="1" fontId="18" fillId="11" borderId="25" xfId="0" applyNumberFormat="1" applyFont="1" applyFill="1" applyBorder="1" applyAlignment="1">
      <alignment horizontal="center" vertical="center" wrapText="1" shrinkToFit="1"/>
    </xf>
    <xf numFmtId="1" fontId="44" fillId="15" borderId="25" xfId="0" applyNumberFormat="1" applyFont="1" applyFill="1" applyBorder="1" applyAlignment="1" applyProtection="1">
      <alignment horizontal="center" vertical="center" wrapText="1" shrinkToFit="1"/>
      <protection locked="0"/>
    </xf>
    <xf numFmtId="1" fontId="60" fillId="35" borderId="25" xfId="0" applyNumberFormat="1" applyFont="1" applyFill="1" applyBorder="1" applyAlignment="1" applyProtection="1">
      <alignment horizontal="center" vertical="center" wrapText="1" shrinkToFit="1"/>
      <protection locked="0"/>
    </xf>
    <xf numFmtId="1" fontId="18" fillId="35" borderId="25" xfId="0" applyNumberFormat="1" applyFont="1" applyFill="1" applyBorder="1" applyAlignment="1" applyProtection="1">
      <alignment horizontal="center" vertical="center" wrapText="1" shrinkToFit="1"/>
      <protection locked="0"/>
    </xf>
    <xf numFmtId="49" fontId="15" fillId="44" borderId="25" xfId="2" applyNumberFormat="1" applyFont="1" applyFill="1" applyBorder="1" applyAlignment="1">
      <alignment horizontal="center" vertical="center" wrapText="1"/>
    </xf>
    <xf numFmtId="1" fontId="18" fillId="0" borderId="25" xfId="0" applyNumberFormat="1" applyFont="1" applyFill="1" applyBorder="1" applyAlignment="1">
      <alignment horizontal="center" vertical="center" wrapText="1" shrinkToFit="1"/>
    </xf>
    <xf numFmtId="1" fontId="11" fillId="8" borderId="25" xfId="0" quotePrefix="1" applyNumberFormat="1" applyFont="1" applyFill="1" applyBorder="1" applyAlignment="1" applyProtection="1">
      <alignment horizontal="center" vertical="center" wrapText="1" shrinkToFit="1"/>
      <protection locked="0"/>
    </xf>
    <xf numFmtId="1" fontId="11" fillId="8" borderId="25" xfId="0" applyNumberFormat="1" applyFont="1" applyFill="1" applyBorder="1" applyAlignment="1" applyProtection="1">
      <alignment horizontal="center" vertical="center" wrapText="1" shrinkToFit="1"/>
      <protection locked="0"/>
    </xf>
    <xf numFmtId="1" fontId="60" fillId="38" borderId="25" xfId="0" applyNumberFormat="1" applyFont="1" applyFill="1" applyBorder="1" applyAlignment="1" applyProtection="1">
      <alignment horizontal="center" vertical="center" wrapText="1" shrinkToFit="1"/>
      <protection locked="0"/>
    </xf>
    <xf numFmtId="1" fontId="18" fillId="38" borderId="25" xfId="0" applyNumberFormat="1" applyFont="1" applyFill="1" applyBorder="1" applyAlignment="1" applyProtection="1">
      <alignment horizontal="center" vertical="center" wrapText="1" shrinkToFit="1"/>
      <protection locked="0"/>
    </xf>
    <xf numFmtId="0" fontId="11" fillId="8" borderId="25" xfId="2" applyFont="1" applyFill="1" applyBorder="1" applyAlignment="1" applyProtection="1">
      <alignment horizontal="center" vertical="center" wrapText="1"/>
      <protection locked="0"/>
    </xf>
    <xf numFmtId="0" fontId="79" fillId="15" borderId="25" xfId="2" applyFont="1" applyFill="1" applyBorder="1" applyAlignment="1" applyProtection="1">
      <alignment horizontal="center" vertical="center" wrapText="1"/>
      <protection locked="0"/>
    </xf>
    <xf numFmtId="1" fontId="79" fillId="15" borderId="25" xfId="0" applyNumberFormat="1" applyFont="1" applyFill="1" applyBorder="1" applyAlignment="1" applyProtection="1">
      <alignment horizontal="center" vertical="center" wrapText="1" shrinkToFit="1"/>
      <protection locked="0"/>
    </xf>
    <xf numFmtId="1" fontId="79" fillId="0" borderId="25" xfId="0" applyNumberFormat="1" applyFont="1" applyFill="1" applyBorder="1" applyAlignment="1" applyProtection="1">
      <alignment horizontal="center" vertical="center" wrapText="1" shrinkToFit="1"/>
      <protection locked="0"/>
    </xf>
    <xf numFmtId="1" fontId="79" fillId="8" borderId="25" xfId="0" applyNumberFormat="1" applyFont="1" applyFill="1" applyBorder="1" applyAlignment="1" applyProtection="1">
      <alignment horizontal="center" vertical="center" wrapText="1" shrinkToFit="1"/>
      <protection locked="0"/>
    </xf>
    <xf numFmtId="1" fontId="79" fillId="34" borderId="25" xfId="0" applyNumberFormat="1" applyFont="1" applyFill="1" applyBorder="1" applyAlignment="1" applyProtection="1">
      <alignment horizontal="center" vertical="center" wrapText="1" shrinkToFit="1"/>
      <protection locked="0"/>
    </xf>
    <xf numFmtId="1" fontId="11" fillId="0" borderId="25" xfId="0" applyNumberFormat="1" applyFont="1" applyFill="1" applyBorder="1" applyAlignment="1" applyProtection="1">
      <alignment horizontal="center" vertical="center" wrapText="1" shrinkToFit="1"/>
      <protection locked="0"/>
    </xf>
    <xf numFmtId="1" fontId="9" fillId="42" borderId="25" xfId="0" applyNumberFormat="1" applyFont="1" applyFill="1" applyBorder="1" applyAlignment="1">
      <alignment horizontal="center" vertical="center" wrapText="1" shrinkToFit="1"/>
    </xf>
    <xf numFmtId="0" fontId="11" fillId="0" borderId="25" xfId="0" applyFont="1" applyBorder="1" applyAlignment="1">
      <alignment wrapText="1"/>
    </xf>
    <xf numFmtId="1" fontId="9" fillId="0" borderId="25" xfId="3" applyNumberFormat="1" applyFont="1" applyFill="1" applyBorder="1" applyAlignment="1">
      <alignment horizontal="center" vertical="center" wrapText="1"/>
    </xf>
    <xf numFmtId="1" fontId="11" fillId="11" borderId="25" xfId="0" applyNumberFormat="1" applyFont="1" applyFill="1" applyBorder="1" applyAlignment="1">
      <alignment horizontal="center" vertical="center" wrapText="1" shrinkToFit="1"/>
    </xf>
    <xf numFmtId="1" fontId="11" fillId="0" borderId="25" xfId="0" applyNumberFormat="1" applyFont="1" applyFill="1" applyBorder="1" applyAlignment="1">
      <alignment horizontal="center" vertical="center" wrapText="1" shrinkToFit="1"/>
    </xf>
    <xf numFmtId="0" fontId="9" fillId="0" borderId="25" xfId="0" applyFont="1" applyBorder="1" applyAlignment="1">
      <alignment vertical="center" wrapText="1"/>
    </xf>
    <xf numFmtId="1" fontId="11" fillId="15" borderId="25" xfId="0" applyNumberFormat="1" applyFont="1" applyFill="1" applyBorder="1" applyAlignment="1" applyProtection="1">
      <alignment horizontal="center" vertical="center" wrapText="1" shrinkToFit="1"/>
      <protection locked="0"/>
    </xf>
    <xf numFmtId="1" fontId="44" fillId="8" borderId="25" xfId="0" applyNumberFormat="1" applyFont="1" applyFill="1" applyBorder="1" applyAlignment="1" applyProtection="1">
      <alignment horizontal="center" vertical="center" wrapText="1" shrinkToFit="1"/>
      <protection locked="0"/>
    </xf>
    <xf numFmtId="1" fontId="44" fillId="0" borderId="25" xfId="0" applyNumberFormat="1" applyFont="1" applyFill="1" applyBorder="1" applyAlignment="1" applyProtection="1">
      <alignment horizontal="center" vertical="center" wrapText="1" shrinkToFit="1"/>
      <protection locked="0"/>
    </xf>
    <xf numFmtId="9" fontId="18" fillId="8" borderId="25" xfId="0" applyNumberFormat="1" applyFont="1" applyFill="1" applyBorder="1" applyAlignment="1">
      <alignment horizontal="center" vertical="center" wrapText="1"/>
    </xf>
    <xf numFmtId="1" fontId="18" fillId="8" borderId="25" xfId="0" applyNumberFormat="1" applyFont="1" applyFill="1" applyBorder="1" applyAlignment="1" applyProtection="1">
      <alignment horizontal="center" vertical="center" wrapText="1" shrinkToFit="1"/>
      <protection locked="0"/>
    </xf>
    <xf numFmtId="0" fontId="20" fillId="0" borderId="25" xfId="0" applyFont="1" applyBorder="1" applyAlignment="1" applyProtection="1">
      <alignment horizontal="center" vertical="center" wrapText="1"/>
      <protection locked="0"/>
    </xf>
    <xf numFmtId="1" fontId="61" fillId="0" borderId="25" xfId="0" applyNumberFormat="1" applyFont="1" applyFill="1" applyBorder="1" applyAlignment="1" applyProtection="1">
      <alignment horizontal="center" vertical="center" wrapText="1" shrinkToFit="1"/>
      <protection locked="0"/>
    </xf>
    <xf numFmtId="0" fontId="20" fillId="0" borderId="25" xfId="0" applyFont="1" applyBorder="1" applyAlignment="1">
      <alignment vertical="center" wrapText="1"/>
    </xf>
    <xf numFmtId="49" fontId="44" fillId="15" borderId="25" xfId="0" applyNumberFormat="1" applyFont="1" applyFill="1" applyBorder="1" applyAlignment="1" applyProtection="1">
      <alignment horizontal="center" vertical="center" wrapText="1" shrinkToFit="1"/>
      <protection locked="0"/>
    </xf>
    <xf numFmtId="0" fontId="16" fillId="8" borderId="25" xfId="2" applyFont="1" applyFill="1" applyBorder="1" applyAlignment="1" applyProtection="1">
      <alignment horizontal="center" vertical="center" wrapText="1"/>
      <protection locked="0"/>
    </xf>
    <xf numFmtId="1" fontId="18" fillId="0" borderId="25" xfId="0" applyNumberFormat="1" applyFont="1" applyFill="1" applyBorder="1" applyAlignment="1" applyProtection="1">
      <alignment horizontal="center" vertical="center" wrapText="1" shrinkToFit="1"/>
      <protection locked="0"/>
    </xf>
    <xf numFmtId="9" fontId="15" fillId="44" borderId="25" xfId="2" applyNumberFormat="1" applyFont="1" applyFill="1" applyBorder="1" applyAlignment="1">
      <alignment horizontal="center" vertical="center" wrapText="1"/>
    </xf>
    <xf numFmtId="0" fontId="8" fillId="49" borderId="25" xfId="0" applyFont="1" applyFill="1" applyBorder="1" applyAlignment="1">
      <alignment horizontal="center" vertical="center"/>
    </xf>
    <xf numFmtId="0" fontId="51" fillId="0" borderId="25" xfId="0" applyFont="1" applyBorder="1" applyAlignment="1">
      <alignment horizontal="center" vertical="center"/>
    </xf>
    <xf numFmtId="0" fontId="0" fillId="49" borderId="26" xfId="0" applyFill="1" applyBorder="1" applyAlignment="1">
      <alignment horizontal="center" vertical="center" wrapText="1"/>
    </xf>
    <xf numFmtId="1" fontId="18" fillId="49" borderId="26" xfId="0" applyNumberFormat="1" applyFont="1" applyFill="1" applyBorder="1" applyAlignment="1">
      <alignment horizontal="center" vertical="center" wrapText="1" shrinkToFit="1"/>
    </xf>
    <xf numFmtId="1" fontId="82" fillId="49" borderId="26" xfId="0" applyNumberFormat="1" applyFont="1" applyFill="1" applyBorder="1" applyAlignment="1">
      <alignment horizontal="center" vertical="center" wrapText="1" shrinkToFit="1"/>
    </xf>
    <xf numFmtId="0" fontId="8" fillId="49" borderId="26" xfId="0" applyFont="1" applyFill="1" applyBorder="1" applyAlignment="1">
      <alignment horizontal="center" vertical="center"/>
    </xf>
    <xf numFmtId="1" fontId="18" fillId="11" borderId="26" xfId="0" applyNumberFormat="1" applyFont="1" applyFill="1" applyBorder="1" applyAlignment="1">
      <alignment horizontal="center" vertical="center" wrapText="1" shrinkToFit="1"/>
    </xf>
    <xf numFmtId="0" fontId="82" fillId="8" borderId="26" xfId="0" applyFont="1" applyFill="1" applyBorder="1" applyAlignment="1">
      <alignment horizontal="center" vertical="center" wrapText="1"/>
    </xf>
    <xf numFmtId="1" fontId="82" fillId="11" borderId="26" xfId="0" applyNumberFormat="1" applyFont="1" applyFill="1" applyBorder="1" applyAlignment="1">
      <alignment horizontal="center" vertical="center" wrapText="1" shrinkToFit="1"/>
    </xf>
    <xf numFmtId="0" fontId="18" fillId="8" borderId="26" xfId="0" applyFont="1" applyFill="1" applyBorder="1" applyAlignment="1">
      <alignment horizontal="center" vertical="center" wrapText="1"/>
    </xf>
    <xf numFmtId="1" fontId="18" fillId="0" borderId="26" xfId="0" applyNumberFormat="1" applyFont="1" applyFill="1" applyBorder="1" applyAlignment="1">
      <alignment horizontal="center" vertical="center" wrapText="1" shrinkToFit="1"/>
    </xf>
    <xf numFmtId="49" fontId="18" fillId="0" borderId="26" xfId="0" applyNumberFormat="1" applyFont="1" applyFill="1" applyBorder="1" applyAlignment="1">
      <alignment horizontal="center" vertical="center" wrapText="1" shrinkToFit="1"/>
    </xf>
    <xf numFmtId="0" fontId="8" fillId="0" borderId="26" xfId="0" applyFont="1" applyBorder="1" applyAlignment="1">
      <alignment horizontal="center" vertical="center"/>
    </xf>
    <xf numFmtId="0" fontId="0" fillId="8" borderId="27" xfId="0" applyFill="1" applyBorder="1" applyAlignment="1">
      <alignment vertical="center" wrapText="1"/>
    </xf>
    <xf numFmtId="0" fontId="25" fillId="43" borderId="27" xfId="0" applyFont="1" applyFill="1" applyBorder="1" applyAlignment="1" applyProtection="1">
      <alignment vertical="center"/>
      <protection locked="0"/>
    </xf>
    <xf numFmtId="0" fontId="11" fillId="8" borderId="27" xfId="0" applyFont="1" applyFill="1" applyBorder="1" applyAlignment="1" applyProtection="1">
      <alignment vertical="center"/>
      <protection locked="0"/>
    </xf>
    <xf numFmtId="0" fontId="11" fillId="35" borderId="27" xfId="0" applyFont="1" applyFill="1" applyBorder="1" applyAlignment="1" applyProtection="1">
      <alignment vertical="center" wrapText="1"/>
      <protection locked="0"/>
    </xf>
    <xf numFmtId="0" fontId="11" fillId="8" borderId="27" xfId="0" applyFont="1" applyFill="1" applyBorder="1" applyAlignment="1" applyProtection="1">
      <alignment vertical="center" wrapText="1"/>
      <protection locked="0"/>
    </xf>
    <xf numFmtId="0" fontId="11" fillId="43" borderId="27" xfId="0" applyFont="1" applyFill="1" applyBorder="1" applyAlignment="1" applyProtection="1">
      <alignment vertical="center"/>
      <protection locked="0"/>
    </xf>
    <xf numFmtId="0" fontId="11" fillId="35" borderId="27" xfId="0" applyFont="1" applyFill="1" applyBorder="1" applyAlignment="1" applyProtection="1">
      <alignment vertical="center"/>
      <protection locked="0"/>
    </xf>
    <xf numFmtId="0" fontId="11" fillId="45" borderId="27" xfId="0" applyFont="1" applyFill="1" applyBorder="1" applyAlignment="1" applyProtection="1">
      <alignment vertical="center"/>
      <protection locked="0"/>
    </xf>
    <xf numFmtId="0" fontId="11" fillId="34" borderId="27" xfId="0" applyFont="1" applyFill="1" applyBorder="1" applyAlignment="1" applyProtection="1">
      <alignment vertical="center"/>
      <protection locked="0"/>
    </xf>
    <xf numFmtId="0" fontId="25" fillId="8" borderId="27" xfId="0" applyFont="1" applyFill="1" applyBorder="1" applyAlignment="1" applyProtection="1">
      <alignment vertical="center"/>
      <protection locked="0"/>
    </xf>
    <xf numFmtId="0" fontId="25" fillId="35" borderId="27" xfId="0" applyFont="1" applyFill="1" applyBorder="1" applyAlignment="1" applyProtection="1">
      <alignment vertical="center"/>
      <protection locked="0"/>
    </xf>
    <xf numFmtId="0" fontId="25" fillId="8" borderId="27" xfId="0" applyFont="1" applyFill="1" applyBorder="1" applyAlignment="1" applyProtection="1">
      <alignment vertical="center" wrapText="1"/>
      <protection locked="0"/>
    </xf>
    <xf numFmtId="0" fontId="25" fillId="35" borderId="27" xfId="0" applyFont="1" applyFill="1" applyBorder="1" applyAlignment="1" applyProtection="1">
      <alignment vertical="center" wrapText="1"/>
      <protection locked="0"/>
    </xf>
    <xf numFmtId="0" fontId="62" fillId="35" borderId="27" xfId="0" applyFont="1" applyFill="1" applyBorder="1"/>
    <xf numFmtId="0" fontId="62" fillId="0" borderId="27" xfId="0" applyFont="1" applyBorder="1"/>
    <xf numFmtId="0" fontId="88" fillId="0" borderId="26" xfId="0" applyFont="1" applyBorder="1" applyAlignment="1">
      <alignment horizontal="left" vertical="center" wrapText="1"/>
    </xf>
    <xf numFmtId="0" fontId="0" fillId="0" borderId="26" xfId="0" applyBorder="1" applyAlignment="1">
      <alignment horizontal="left" vertical="center"/>
    </xf>
    <xf numFmtId="0" fontId="0" fillId="0" borderId="26" xfId="0" applyFill="1" applyBorder="1" applyAlignment="1">
      <alignment horizontal="left" vertical="center"/>
    </xf>
    <xf numFmtId="1" fontId="14" fillId="0" borderId="18" xfId="3" applyNumberFormat="1" applyFont="1" applyFill="1" applyBorder="1" applyAlignment="1">
      <alignment horizontal="center" vertical="center" wrapText="1"/>
    </xf>
    <xf numFmtId="49" fontId="15" fillId="40" borderId="18" xfId="2" applyNumberFormat="1" applyFont="1" applyFill="1" applyBorder="1" applyAlignment="1">
      <alignment horizontal="center" vertical="center" wrapText="1"/>
    </xf>
    <xf numFmtId="0" fontId="14" fillId="41" borderId="18" xfId="2" applyFont="1" applyFill="1" applyBorder="1" applyAlignment="1">
      <alignment horizontal="center" vertical="center" wrapText="1"/>
    </xf>
    <xf numFmtId="0" fontId="14" fillId="41" borderId="20" xfId="2" applyFont="1" applyFill="1" applyBorder="1" applyAlignment="1">
      <alignment horizontal="center" vertical="center" wrapText="1"/>
    </xf>
    <xf numFmtId="1" fontId="18" fillId="11" borderId="19" xfId="0" applyNumberFormat="1" applyFont="1" applyFill="1" applyBorder="1" applyAlignment="1">
      <alignment horizontal="center" vertical="center" wrapText="1" shrinkToFit="1"/>
    </xf>
    <xf numFmtId="1" fontId="44" fillId="43" borderId="18" xfId="0" applyNumberFormat="1" applyFont="1" applyFill="1" applyBorder="1" applyAlignment="1" applyProtection="1">
      <alignment horizontal="center" vertical="center" wrapText="1" shrinkToFit="1"/>
      <protection locked="0"/>
    </xf>
    <xf numFmtId="1" fontId="44" fillId="15" borderId="18" xfId="0" applyNumberFormat="1" applyFont="1" applyFill="1" applyBorder="1" applyAlignment="1" applyProtection="1">
      <alignment horizontal="center" vertical="center" wrapText="1" shrinkToFit="1"/>
      <protection locked="0"/>
    </xf>
    <xf numFmtId="1" fontId="18" fillId="35" borderId="18" xfId="0" applyNumberFormat="1" applyFont="1" applyFill="1" applyBorder="1" applyAlignment="1" applyProtection="1">
      <alignment horizontal="center" vertical="center" wrapText="1" shrinkToFit="1"/>
      <protection locked="0"/>
    </xf>
    <xf numFmtId="0" fontId="25" fillId="43" borderId="20" xfId="0" applyFont="1" applyFill="1" applyBorder="1" applyAlignment="1" applyProtection="1">
      <alignment vertical="center"/>
      <protection locked="0"/>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0" fillId="11" borderId="87" xfId="0" applyFill="1" applyBorder="1" applyAlignment="1">
      <alignment horizontal="center" vertical="center" wrapText="1"/>
    </xf>
    <xf numFmtId="0" fontId="0" fillId="0" borderId="87" xfId="0" applyBorder="1" applyAlignment="1">
      <alignment horizontal="center" vertical="center"/>
    </xf>
    <xf numFmtId="0" fontId="8" fillId="0" borderId="85" xfId="0" applyFont="1" applyBorder="1" applyAlignment="1">
      <alignment horizontal="center" vertical="center"/>
    </xf>
    <xf numFmtId="0" fontId="97" fillId="55" borderId="87" xfId="0" applyFont="1" applyFill="1" applyBorder="1" applyAlignment="1">
      <alignment horizontal="center" vertical="center" wrapText="1"/>
    </xf>
    <xf numFmtId="0" fontId="0" fillId="55" borderId="87" xfId="0" applyFill="1" applyBorder="1" applyAlignment="1">
      <alignment horizontal="center" vertical="center" wrapText="1"/>
    </xf>
    <xf numFmtId="1" fontId="18" fillId="11" borderId="88" xfId="0" applyNumberFormat="1" applyFont="1" applyFill="1" applyBorder="1" applyAlignment="1">
      <alignment horizontal="center" vertical="center" wrapText="1" shrinkToFit="1"/>
    </xf>
    <xf numFmtId="1" fontId="18" fillId="11" borderId="87" xfId="0" applyNumberFormat="1" applyFont="1" applyFill="1" applyBorder="1" applyAlignment="1">
      <alignment horizontal="center" vertical="center" wrapText="1" shrinkToFit="1"/>
    </xf>
    <xf numFmtId="1" fontId="18" fillId="0" borderId="87" xfId="0" applyNumberFormat="1" applyFont="1" applyFill="1" applyBorder="1" applyAlignment="1">
      <alignment horizontal="center" vertical="center" wrapText="1" shrinkToFit="1"/>
    </xf>
    <xf numFmtId="1" fontId="82" fillId="35" borderId="87" xfId="0" applyNumberFormat="1" applyFont="1" applyFill="1" applyBorder="1" applyAlignment="1">
      <alignment horizontal="center" vertical="center" wrapText="1" shrinkToFit="1"/>
    </xf>
    <xf numFmtId="0" fontId="18" fillId="8" borderId="87" xfId="0" applyFont="1" applyFill="1" applyBorder="1" applyAlignment="1">
      <alignment horizontal="center" vertical="center" wrapText="1"/>
    </xf>
    <xf numFmtId="0" fontId="62" fillId="35" borderId="87" xfId="0" applyFont="1" applyFill="1" applyBorder="1"/>
    <xf numFmtId="0" fontId="62" fillId="0" borderId="87" xfId="0" applyFont="1" applyBorder="1"/>
    <xf numFmtId="0" fontId="92" fillId="0" borderId="89" xfId="2" applyFont="1" applyFill="1" applyBorder="1" applyAlignment="1" applyProtection="1">
      <alignment horizontal="center" vertical="center" textRotation="90" wrapText="1"/>
    </xf>
    <xf numFmtId="0" fontId="92" fillId="0" borderId="89" xfId="2" applyFont="1" applyFill="1" applyBorder="1" applyAlignment="1">
      <alignment horizontal="center" vertical="center" textRotation="90" wrapText="1"/>
    </xf>
    <xf numFmtId="0" fontId="92" fillId="12" borderId="89" xfId="2" applyFont="1" applyFill="1" applyBorder="1" applyAlignment="1">
      <alignment horizontal="center" vertical="center" textRotation="90" wrapText="1"/>
    </xf>
    <xf numFmtId="0" fontId="92" fillId="12" borderId="90" xfId="2" applyFont="1" applyFill="1" applyBorder="1" applyAlignment="1">
      <alignment horizontal="center" vertical="center" textRotation="90" wrapText="1"/>
    </xf>
    <xf numFmtId="0" fontId="92" fillId="11" borderId="91" xfId="2" applyFont="1" applyFill="1" applyBorder="1" applyAlignment="1">
      <alignment horizontal="center" vertical="center" textRotation="90" wrapText="1"/>
    </xf>
    <xf numFmtId="0" fontId="92" fillId="49" borderId="92" xfId="2" applyFont="1" applyFill="1" applyBorder="1" applyAlignment="1">
      <alignment horizontal="center" vertical="center" textRotation="90" wrapText="1"/>
    </xf>
    <xf numFmtId="0" fontId="92" fillId="49" borderId="93" xfId="2" applyFont="1" applyFill="1" applyBorder="1" applyAlignment="1">
      <alignment horizontal="center" vertical="center" textRotation="90" wrapText="1"/>
    </xf>
    <xf numFmtId="0" fontId="92" fillId="8" borderId="89" xfId="2" applyFont="1" applyFill="1" applyBorder="1" applyAlignment="1">
      <alignment horizontal="center" vertical="center" textRotation="90" wrapText="1"/>
    </xf>
    <xf numFmtId="0" fontId="92" fillId="38" borderId="89" xfId="2" applyFont="1" applyFill="1" applyBorder="1" applyAlignment="1">
      <alignment horizontal="center" vertical="center" textRotation="90" wrapText="1"/>
    </xf>
    <xf numFmtId="0" fontId="92" fillId="39" borderId="90" xfId="10" applyFont="1" applyFill="1" applyBorder="1" applyAlignment="1">
      <alignment horizontal="left" vertical="center" textRotation="90" wrapText="1"/>
    </xf>
    <xf numFmtId="0" fontId="93" fillId="55" borderId="91" xfId="0" applyFont="1" applyFill="1" applyBorder="1" applyAlignment="1">
      <alignment horizontal="center" vertical="center" textRotation="90" wrapText="1"/>
    </xf>
    <xf numFmtId="0" fontId="87" fillId="0" borderId="92" xfId="0" applyFont="1" applyBorder="1" applyAlignment="1">
      <alignment horizontal="left" vertical="center"/>
    </xf>
    <xf numFmtId="0" fontId="87" fillId="0" borderId="89" xfId="0" applyFont="1" applyBorder="1" applyAlignment="1">
      <alignment horizontal="center" vertical="center"/>
    </xf>
    <xf numFmtId="0" fontId="92" fillId="8" borderId="92" xfId="2" applyFont="1" applyFill="1" applyBorder="1" applyAlignment="1">
      <alignment horizontal="center" vertical="center" textRotation="90" wrapText="1"/>
    </xf>
    <xf numFmtId="0" fontId="90" fillId="49" borderId="85" xfId="0" applyFont="1" applyFill="1" applyBorder="1" applyAlignment="1">
      <alignment horizontal="center" vertical="center" wrapText="1"/>
    </xf>
    <xf numFmtId="0" fontId="0" fillId="49" borderId="85" xfId="0" applyFill="1" applyBorder="1" applyAlignment="1">
      <alignment horizontal="center" vertical="center" wrapText="1"/>
    </xf>
    <xf numFmtId="1" fontId="18" fillId="11" borderId="15" xfId="0" applyNumberFormat="1" applyFont="1" applyFill="1" applyBorder="1" applyAlignment="1">
      <alignment horizontal="center" vertical="center" wrapText="1" shrinkToFit="1"/>
    </xf>
    <xf numFmtId="0" fontId="87" fillId="0" borderId="89" xfId="0" applyFont="1" applyBorder="1" applyAlignment="1">
      <alignment horizontal="left" vertical="center"/>
    </xf>
    <xf numFmtId="0" fontId="0" fillId="0" borderId="18" xfId="0" applyBorder="1" applyAlignment="1">
      <alignment horizontal="left" vertical="center"/>
    </xf>
    <xf numFmtId="0" fontId="88" fillId="0" borderId="25" xfId="0" applyFont="1" applyBorder="1" applyAlignment="1">
      <alignment horizontal="left" vertical="center"/>
    </xf>
    <xf numFmtId="0" fontId="0" fillId="11" borderId="53" xfId="0" applyFill="1" applyBorder="1" applyAlignment="1">
      <alignment horizontal="center" vertical="center" wrapText="1"/>
    </xf>
    <xf numFmtId="0" fontId="62" fillId="11" borderId="0" xfId="0" applyFont="1" applyFill="1" applyBorder="1"/>
    <xf numFmtId="0" fontId="62" fillId="11" borderId="53" xfId="0" applyFont="1" applyFill="1" applyBorder="1"/>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xf>
    <xf numFmtId="0" fontId="0" fillId="11" borderId="85" xfId="0" applyFill="1" applyBorder="1" applyAlignment="1">
      <alignment horizontal="left" vertical="center" wrapText="1"/>
    </xf>
    <xf numFmtId="0" fontId="0" fillId="11" borderId="84" xfId="0" applyFill="1" applyBorder="1" applyAlignment="1">
      <alignment horizontal="left" vertical="center" wrapText="1"/>
    </xf>
    <xf numFmtId="0" fontId="0" fillId="11" borderId="86" xfId="0" applyFill="1" applyBorder="1" applyAlignment="1">
      <alignment horizontal="left" wrapText="1"/>
    </xf>
    <xf numFmtId="0" fontId="92" fillId="11" borderId="89" xfId="2" applyFont="1" applyFill="1" applyBorder="1" applyAlignment="1">
      <alignment horizontal="center" vertical="center" textRotation="90" wrapText="1"/>
    </xf>
    <xf numFmtId="0" fontId="92" fillId="11" borderId="93" xfId="2" applyFont="1" applyFill="1" applyBorder="1" applyAlignment="1">
      <alignment horizontal="center" vertical="center" textRotation="90" wrapText="1"/>
    </xf>
    <xf numFmtId="0" fontId="53" fillId="56" borderId="25" xfId="2" applyFont="1" applyFill="1" applyBorder="1" applyAlignment="1">
      <alignment horizontal="center" vertical="center" wrapText="1"/>
    </xf>
    <xf numFmtId="0" fontId="89" fillId="0" borderId="25" xfId="0" applyFont="1" applyFill="1" applyBorder="1" applyAlignment="1">
      <alignment horizontal="center" vertical="center"/>
    </xf>
    <xf numFmtId="0" fontId="99" fillId="0" borderId="25" xfId="0" applyFont="1" applyFill="1" applyBorder="1" applyAlignment="1">
      <alignment horizontal="center" vertical="center" shrinkToFit="1"/>
    </xf>
    <xf numFmtId="0" fontId="7" fillId="0" borderId="25" xfId="0" applyFont="1" applyFill="1" applyBorder="1" applyAlignment="1">
      <alignment horizontal="center" vertical="center"/>
    </xf>
    <xf numFmtId="0" fontId="20" fillId="0" borderId="25" xfId="0" applyFont="1" applyFill="1" applyBorder="1" applyAlignment="1">
      <alignment horizontal="center" vertical="center" shrinkToFit="1"/>
    </xf>
    <xf numFmtId="0" fontId="11" fillId="0" borderId="25" xfId="0" applyFont="1" applyBorder="1" applyAlignment="1" applyProtection="1">
      <alignment horizontal="center" vertical="center" wrapText="1"/>
      <protection locked="0"/>
    </xf>
    <xf numFmtId="1" fontId="82" fillId="0" borderId="25" xfId="0" applyNumberFormat="1" applyFont="1" applyBorder="1" applyAlignment="1">
      <alignment horizontal="center" vertical="center" wrapText="1"/>
    </xf>
    <xf numFmtId="1" fontId="50" fillId="0" borderId="25" xfId="0" applyNumberFormat="1" applyFont="1" applyFill="1" applyBorder="1" applyAlignment="1">
      <alignment horizontal="center" vertical="center" wrapText="1" shrinkToFit="1"/>
    </xf>
    <xf numFmtId="1" fontId="18" fillId="33" borderId="25" xfId="0" applyNumberFormat="1" applyFont="1" applyFill="1" applyBorder="1" applyAlignment="1">
      <alignment horizontal="center" vertical="center" wrapText="1"/>
    </xf>
    <xf numFmtId="0" fontId="8" fillId="2" borderId="25" xfId="0" applyFont="1" applyFill="1" applyBorder="1" applyAlignment="1" applyProtection="1">
      <alignment horizontal="center" vertical="center" wrapText="1"/>
      <protection locked="0"/>
    </xf>
    <xf numFmtId="0" fontId="25" fillId="34" borderId="25" xfId="0" applyFont="1" applyFill="1" applyBorder="1" applyAlignment="1" applyProtection="1">
      <alignment horizontal="center" vertical="center" wrapText="1"/>
      <protection locked="0"/>
    </xf>
    <xf numFmtId="0" fontId="25" fillId="8" borderId="25"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56" fillId="15" borderId="25" xfId="0" applyFont="1" applyFill="1" applyBorder="1" applyAlignment="1" applyProtection="1">
      <alignment horizontal="center" vertical="center" wrapText="1"/>
      <protection locked="0"/>
    </xf>
    <xf numFmtId="0" fontId="8" fillId="0" borderId="25" xfId="0" applyFont="1" applyBorder="1" applyAlignment="1">
      <alignment horizontal="center" vertical="center" wrapText="1"/>
    </xf>
    <xf numFmtId="0" fontId="90" fillId="49" borderId="26" xfId="0" applyFont="1" applyFill="1" applyBorder="1" applyAlignment="1">
      <alignment horizontal="center" vertical="center"/>
    </xf>
    <xf numFmtId="0" fontId="18" fillId="10" borderId="26" xfId="0" applyFont="1" applyFill="1" applyBorder="1" applyAlignment="1">
      <alignment horizontal="center" vertical="center" wrapText="1"/>
    </xf>
    <xf numFmtId="0" fontId="82" fillId="10" borderId="26" xfId="0" applyFont="1" applyFill="1" applyBorder="1" applyAlignment="1">
      <alignment horizontal="center" vertical="center" wrapText="1"/>
    </xf>
    <xf numFmtId="0" fontId="18" fillId="10" borderId="26" xfId="0" quotePrefix="1" applyFont="1" applyFill="1" applyBorder="1" applyAlignment="1">
      <alignment horizontal="center" vertical="center" wrapText="1"/>
    </xf>
    <xf numFmtId="1" fontId="17" fillId="26" borderId="82" xfId="0" applyNumberFormat="1" applyFont="1" applyFill="1" applyBorder="1" applyAlignment="1">
      <alignment horizontal="center" vertical="center" wrapText="1" shrinkToFit="1"/>
    </xf>
    <xf numFmtId="0" fontId="55" fillId="11" borderId="85" xfId="4" applyFont="1" applyFill="1" applyBorder="1" applyAlignment="1">
      <alignment horizontal="center" vertical="center" wrapText="1"/>
    </xf>
    <xf numFmtId="1" fontId="50" fillId="3" borderId="82" xfId="0" applyNumberFormat="1" applyFont="1" applyFill="1" applyBorder="1" applyAlignment="1">
      <alignment horizontal="center" vertical="center" wrapText="1" shrinkToFit="1"/>
    </xf>
    <xf numFmtId="0" fontId="102" fillId="11" borderId="85" xfId="4" applyFont="1" applyFill="1" applyBorder="1" applyAlignment="1">
      <alignment horizontal="center" vertical="center" wrapText="1"/>
    </xf>
    <xf numFmtId="1" fontId="50" fillId="26" borderId="82" xfId="0" applyNumberFormat="1" applyFont="1" applyFill="1" applyBorder="1" applyAlignment="1">
      <alignment horizontal="center" vertical="center" wrapText="1" shrinkToFit="1"/>
    </xf>
    <xf numFmtId="1" fontId="50" fillId="6" borderId="82" xfId="0" applyNumberFormat="1" applyFont="1" applyFill="1" applyBorder="1" applyAlignment="1">
      <alignment horizontal="center" vertical="center" wrapText="1" shrinkToFit="1"/>
    </xf>
    <xf numFmtId="1" fontId="50" fillId="2" borderId="82" xfId="0" applyNumberFormat="1" applyFont="1" applyFill="1" applyBorder="1" applyAlignment="1">
      <alignment horizontal="center" vertical="center" wrapText="1" shrinkToFit="1"/>
    </xf>
    <xf numFmtId="1" fontId="50" fillId="4" borderId="82" xfId="0" applyNumberFormat="1" applyFont="1" applyFill="1" applyBorder="1" applyAlignment="1">
      <alignment horizontal="center" vertical="center" wrapText="1" shrinkToFit="1"/>
    </xf>
    <xf numFmtId="1" fontId="50" fillId="5" borderId="82" xfId="0" applyNumberFormat="1" applyFont="1" applyFill="1" applyBorder="1" applyAlignment="1">
      <alignment horizontal="center" vertical="center" wrapText="1" shrinkToFit="1"/>
    </xf>
    <xf numFmtId="0" fontId="28" fillId="0" borderId="82" xfId="0" applyFont="1" applyBorder="1" applyAlignment="1">
      <alignment horizontal="center" vertical="center"/>
    </xf>
    <xf numFmtId="0" fontId="0" fillId="11" borderId="85" xfId="0" applyFill="1" applyBorder="1" applyAlignment="1">
      <alignment horizontal="center" vertical="center"/>
    </xf>
    <xf numFmtId="1" fontId="18" fillId="0" borderId="27" xfId="0" applyNumberFormat="1" applyFont="1" applyBorder="1" applyAlignment="1">
      <alignment horizontal="center" vertical="center" wrapText="1"/>
    </xf>
    <xf numFmtId="1" fontId="82" fillId="3" borderId="27" xfId="0" applyNumberFormat="1" applyFont="1" applyFill="1" applyBorder="1" applyAlignment="1">
      <alignment horizontal="center" vertical="center" wrapText="1"/>
    </xf>
    <xf numFmtId="1" fontId="82" fillId="0" borderId="27" xfId="0" applyNumberFormat="1" applyFont="1" applyBorder="1" applyAlignment="1">
      <alignment horizontal="center" vertical="center" wrapText="1"/>
    </xf>
    <xf numFmtId="1" fontId="50" fillId="6" borderId="27" xfId="0" applyNumberFormat="1" applyFont="1" applyFill="1" applyBorder="1" applyAlignment="1">
      <alignment horizontal="center" vertical="center" wrapText="1" shrinkToFit="1"/>
    </xf>
    <xf numFmtId="1" fontId="50" fillId="5" borderId="27" xfId="0" applyNumberFormat="1" applyFont="1" applyFill="1" applyBorder="1" applyAlignment="1">
      <alignment horizontal="center" vertical="center" wrapText="1" shrinkToFit="1"/>
    </xf>
    <xf numFmtId="1" fontId="50" fillId="4" borderId="27" xfId="0" applyNumberFormat="1" applyFont="1" applyFill="1" applyBorder="1" applyAlignment="1">
      <alignment horizontal="center" vertical="center" wrapText="1" shrinkToFit="1"/>
    </xf>
    <xf numFmtId="1" fontId="50" fillId="2" borderId="27" xfId="0" applyNumberFormat="1" applyFont="1" applyFill="1" applyBorder="1" applyAlignment="1">
      <alignment horizontal="center" vertical="center" wrapText="1" shrinkToFit="1"/>
    </xf>
    <xf numFmtId="1" fontId="18" fillId="10" borderId="27" xfId="0" applyNumberFormat="1" applyFont="1" applyFill="1" applyBorder="1" applyAlignment="1">
      <alignment horizontal="center" vertical="center" wrapText="1"/>
    </xf>
    <xf numFmtId="0" fontId="8" fillId="0" borderId="27" xfId="0" applyFont="1" applyBorder="1" applyAlignment="1">
      <alignment horizontal="center" vertical="center"/>
    </xf>
    <xf numFmtId="49" fontId="18" fillId="11" borderId="26" xfId="0" applyNumberFormat="1" applyFont="1" applyFill="1" applyBorder="1" applyAlignment="1">
      <alignment horizontal="center" vertical="center" wrapText="1"/>
    </xf>
    <xf numFmtId="0" fontId="58" fillId="11" borderId="26" xfId="0" applyFont="1" applyFill="1" applyBorder="1" applyAlignment="1">
      <alignment horizontal="center" vertical="center" wrapText="1"/>
    </xf>
    <xf numFmtId="1" fontId="18" fillId="0" borderId="82" xfId="0" applyNumberFormat="1" applyFont="1" applyBorder="1" applyAlignment="1">
      <alignment horizontal="center" vertical="center" wrapText="1"/>
    </xf>
    <xf numFmtId="0" fontId="18" fillId="9" borderId="85" xfId="0" applyFont="1" applyFill="1" applyBorder="1" applyAlignment="1">
      <alignment horizontal="center" vertical="center" wrapText="1"/>
    </xf>
    <xf numFmtId="1" fontId="82" fillId="3" borderId="82" xfId="0" applyNumberFormat="1" applyFont="1" applyFill="1" applyBorder="1" applyAlignment="1">
      <alignment horizontal="center" vertical="center" wrapText="1"/>
    </xf>
    <xf numFmtId="0" fontId="82" fillId="9" borderId="85" xfId="0" applyFont="1" applyFill="1" applyBorder="1" applyAlignment="1">
      <alignment horizontal="center" vertical="center" wrapText="1"/>
    </xf>
    <xf numFmtId="1" fontId="82" fillId="0" borderId="82" xfId="0" applyNumberFormat="1" applyFont="1" applyBorder="1" applyAlignment="1">
      <alignment horizontal="center" vertical="center" wrapText="1"/>
    </xf>
    <xf numFmtId="1" fontId="18" fillId="33" borderId="82" xfId="0" applyNumberFormat="1" applyFont="1" applyFill="1" applyBorder="1" applyAlignment="1">
      <alignment horizontal="center" vertical="center" wrapText="1"/>
    </xf>
    <xf numFmtId="1" fontId="18" fillId="8" borderId="82" xfId="0" applyNumberFormat="1" applyFont="1" applyFill="1" applyBorder="1" applyAlignment="1">
      <alignment horizontal="center" vertical="center" wrapText="1" shrinkToFit="1"/>
    </xf>
    <xf numFmtId="1" fontId="18" fillId="8" borderId="82" xfId="0" applyNumberFormat="1" applyFont="1" applyFill="1" applyBorder="1" applyAlignment="1">
      <alignment horizontal="center" vertical="center" wrapText="1"/>
    </xf>
    <xf numFmtId="49" fontId="18" fillId="9" borderId="85" xfId="0" applyNumberFormat="1" applyFont="1" applyFill="1" applyBorder="1" applyAlignment="1">
      <alignment horizontal="center" vertical="center" wrapText="1"/>
    </xf>
    <xf numFmtId="0" fontId="58" fillId="9" borderId="85" xfId="0" applyFont="1" applyFill="1" applyBorder="1" applyAlignment="1">
      <alignment horizontal="center" vertical="center" wrapText="1"/>
    </xf>
    <xf numFmtId="1" fontId="18" fillId="0" borderId="82" xfId="0" applyNumberFormat="1" applyFont="1" applyFill="1" applyBorder="1" applyAlignment="1">
      <alignment horizontal="center" vertical="center" wrapText="1"/>
    </xf>
    <xf numFmtId="0" fontId="8" fillId="0" borderId="82" xfId="0" applyFont="1" applyBorder="1" applyAlignment="1">
      <alignment horizontal="center" vertical="center"/>
    </xf>
    <xf numFmtId="0" fontId="8" fillId="9" borderId="85" xfId="0" applyFont="1" applyFill="1" applyBorder="1" applyAlignment="1">
      <alignment horizontal="center" vertical="center"/>
    </xf>
    <xf numFmtId="0" fontId="13" fillId="0" borderId="27" xfId="3" applyFont="1" applyFill="1" applyBorder="1" applyAlignment="1">
      <alignment horizontal="center" vertical="center" wrapText="1" shrinkToFit="1"/>
    </xf>
    <xf numFmtId="0" fontId="11" fillId="0" borderId="27" xfId="0" applyFont="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25" fillId="8" borderId="27" xfId="0" applyFont="1" applyFill="1" applyBorder="1" applyAlignment="1" applyProtection="1">
      <alignment horizontal="center" vertical="center" wrapText="1"/>
      <protection locked="0"/>
    </xf>
    <xf numFmtId="0" fontId="25" fillId="15" borderId="27" xfId="0" applyFont="1" applyFill="1" applyBorder="1" applyAlignment="1" applyProtection="1">
      <alignment horizontal="center" vertical="center" wrapText="1"/>
      <protection locked="0"/>
    </xf>
    <xf numFmtId="0" fontId="25" fillId="0" borderId="27" xfId="0" applyFont="1" applyFill="1" applyBorder="1" applyAlignment="1" applyProtection="1">
      <alignment horizontal="center" vertical="center" wrapText="1"/>
      <protection locked="0"/>
    </xf>
    <xf numFmtId="0" fontId="25" fillId="34" borderId="27" xfId="0" applyFont="1" applyFill="1" applyBorder="1" applyAlignment="1" applyProtection="1">
      <alignment horizontal="center" vertical="center" wrapText="1"/>
      <protection locked="0"/>
    </xf>
    <xf numFmtId="0" fontId="20" fillId="0" borderId="27" xfId="0" applyFont="1" applyBorder="1" applyAlignment="1">
      <alignment vertical="center" wrapText="1"/>
    </xf>
    <xf numFmtId="0" fontId="25" fillId="35" borderId="27" xfId="0" applyFont="1" applyFill="1" applyBorder="1" applyAlignment="1" applyProtection="1">
      <alignment horizontal="left" vertical="center" wrapText="1"/>
      <protection locked="0"/>
    </xf>
    <xf numFmtId="0" fontId="8" fillId="0" borderId="27" xfId="0" applyFont="1" applyBorder="1" applyAlignment="1">
      <alignment horizontal="center" vertical="center" wrapText="1"/>
    </xf>
    <xf numFmtId="0" fontId="88" fillId="0" borderId="26" xfId="0" applyFont="1" applyBorder="1" applyAlignment="1">
      <alignment horizontal="left" vertical="center"/>
    </xf>
    <xf numFmtId="0" fontId="0" fillId="0" borderId="26" xfId="0" applyFill="1" applyBorder="1" applyAlignment="1">
      <alignment horizontal="center" vertical="center"/>
    </xf>
    <xf numFmtId="0" fontId="56" fillId="15" borderId="26" xfId="0" applyFont="1" applyFill="1" applyBorder="1" applyAlignment="1" applyProtection="1">
      <alignment horizontal="center" vertical="center" wrapText="1"/>
      <protection locked="0"/>
    </xf>
    <xf numFmtId="0" fontId="8" fillId="0" borderId="82" xfId="0" applyFont="1" applyBorder="1" applyAlignment="1">
      <alignment horizontal="center" vertical="center" wrapText="1"/>
    </xf>
    <xf numFmtId="0" fontId="8" fillId="55" borderId="85" xfId="0" applyFont="1" applyFill="1" applyBorder="1" applyAlignment="1">
      <alignment horizontal="center" vertical="center" wrapText="1"/>
    </xf>
    <xf numFmtId="1" fontId="3" fillId="0" borderId="18" xfId="3" applyNumberFormat="1" applyFont="1" applyFill="1" applyBorder="1" applyAlignment="1">
      <alignment horizontal="center" vertical="center" wrapText="1"/>
    </xf>
    <xf numFmtId="2" fontId="53" fillId="26" borderId="18" xfId="2" applyNumberFormat="1" applyFont="1" applyFill="1" applyBorder="1" applyAlignment="1">
      <alignment horizontal="center" vertical="center" wrapText="1"/>
    </xf>
    <xf numFmtId="0" fontId="54" fillId="26" borderId="18" xfId="4" applyFont="1" applyFill="1" applyBorder="1" applyAlignment="1">
      <alignment horizontal="center" vertical="center" wrapText="1"/>
    </xf>
    <xf numFmtId="0" fontId="53" fillId="32" borderId="18" xfId="2" applyFont="1" applyFill="1" applyBorder="1" applyAlignment="1">
      <alignment horizontal="center" vertical="center" wrapText="1"/>
    </xf>
    <xf numFmtId="0" fontId="53" fillId="32" borderId="18" xfId="4" applyFont="1" applyFill="1" applyBorder="1" applyAlignment="1">
      <alignment horizontal="center" vertical="center" wrapText="1"/>
    </xf>
    <xf numFmtId="0" fontId="54" fillId="32" borderId="20" xfId="4" applyFont="1" applyFill="1" applyBorder="1" applyAlignment="1">
      <alignment horizontal="center" vertical="center" wrapText="1"/>
    </xf>
    <xf numFmtId="1" fontId="17" fillId="26" borderId="83" xfId="0" applyNumberFormat="1" applyFont="1" applyFill="1" applyBorder="1" applyAlignment="1">
      <alignment horizontal="center" vertical="center" wrapText="1" shrinkToFit="1"/>
    </xf>
    <xf numFmtId="0" fontId="55" fillId="11" borderId="84" xfId="4"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49" borderId="18" xfId="0" applyFont="1" applyFill="1" applyBorder="1" applyAlignment="1">
      <alignment horizontal="center" vertical="center" wrapText="1"/>
    </xf>
    <xf numFmtId="0" fontId="18" fillId="10" borderId="18" xfId="0" applyFont="1" applyFill="1" applyBorder="1" applyAlignment="1">
      <alignment horizontal="center" vertical="center" wrapText="1"/>
    </xf>
    <xf numFmtId="1" fontId="18" fillId="0" borderId="20" xfId="0" applyNumberFormat="1" applyFont="1" applyBorder="1" applyAlignment="1">
      <alignment horizontal="center" vertical="center" wrapText="1"/>
    </xf>
    <xf numFmtId="1" fontId="18" fillId="0" borderId="83" xfId="0" applyNumberFormat="1" applyFont="1" applyBorder="1" applyAlignment="1">
      <alignment horizontal="center" vertical="center" wrapText="1"/>
    </xf>
    <xf numFmtId="0" fontId="19" fillId="11" borderId="18" xfId="0" applyFont="1" applyFill="1" applyBorder="1" applyAlignment="1">
      <alignment horizontal="center" vertical="center" wrapText="1"/>
    </xf>
    <xf numFmtId="0" fontId="18" fillId="9" borderId="84" xfId="0" applyFont="1" applyFill="1" applyBorder="1" applyAlignment="1">
      <alignment horizontal="center" vertical="center" wrapText="1"/>
    </xf>
    <xf numFmtId="0" fontId="18" fillId="11" borderId="19" xfId="0" applyFont="1" applyFill="1" applyBorder="1" applyAlignment="1">
      <alignment horizontal="center" vertical="center" wrapText="1"/>
    </xf>
    <xf numFmtId="1" fontId="18" fillId="0" borderId="18" xfId="0" applyNumberFormat="1" applyFont="1" applyBorder="1" applyAlignment="1">
      <alignment horizontal="center" vertical="center" wrapText="1"/>
    </xf>
    <xf numFmtId="0" fontId="25" fillId="0" borderId="20" xfId="0" applyFont="1" applyBorder="1" applyAlignment="1" applyProtection="1">
      <alignment horizontal="center" vertical="center" wrapText="1"/>
      <protection locked="0"/>
    </xf>
    <xf numFmtId="0" fontId="92" fillId="11" borderId="96" xfId="2" applyFont="1" applyFill="1" applyBorder="1" applyAlignment="1">
      <alignment horizontal="center" vertical="center" textRotation="90" wrapText="1"/>
    </xf>
    <xf numFmtId="0" fontId="95" fillId="11" borderId="93" xfId="2" applyFont="1" applyFill="1" applyBorder="1" applyAlignment="1" applyProtection="1">
      <alignment horizontal="center" vertical="center" textRotation="90" wrapText="1"/>
    </xf>
    <xf numFmtId="0" fontId="92" fillId="49" borderId="89" xfId="2" applyFont="1" applyFill="1" applyBorder="1" applyAlignment="1">
      <alignment horizontal="center" vertical="center" textRotation="90" wrapText="1"/>
    </xf>
    <xf numFmtId="0" fontId="92" fillId="49" borderId="90" xfId="2" applyFont="1" applyFill="1" applyBorder="1" applyAlignment="1">
      <alignment horizontal="center" vertical="center" textRotation="90" wrapText="1"/>
    </xf>
    <xf numFmtId="0" fontId="92" fillId="9" borderId="96" xfId="2" applyFont="1" applyFill="1" applyBorder="1" applyAlignment="1">
      <alignment horizontal="center" vertical="center" textRotation="90" wrapText="1"/>
    </xf>
    <xf numFmtId="0" fontId="94" fillId="9" borderId="89" xfId="2" applyFont="1" applyFill="1" applyBorder="1" applyAlignment="1">
      <alignment horizontal="center" textRotation="90" wrapText="1"/>
    </xf>
    <xf numFmtId="0" fontId="92" fillId="9" borderId="93" xfId="2" applyFont="1" applyFill="1" applyBorder="1" applyAlignment="1">
      <alignment horizontal="center" vertical="center" textRotation="90" wrapText="1"/>
    </xf>
    <xf numFmtId="0" fontId="92" fillId="8" borderId="90" xfId="2" applyFont="1" applyFill="1" applyBorder="1" applyAlignment="1">
      <alignment horizontal="center" vertical="center" textRotation="90" wrapText="1"/>
    </xf>
    <xf numFmtId="1" fontId="106" fillId="31" borderId="24" xfId="0" applyNumberFormat="1" applyFont="1" applyFill="1" applyBorder="1" applyAlignment="1">
      <alignment horizontal="center" vertical="center" wrapText="1"/>
    </xf>
    <xf numFmtId="1" fontId="25" fillId="2" borderId="28" xfId="0" applyNumberFormat="1" applyFont="1" applyFill="1" applyBorder="1" applyAlignment="1">
      <alignment horizontal="center" vertical="center" wrapText="1" shrinkToFit="1"/>
    </xf>
    <xf numFmtId="1" fontId="23" fillId="55" borderId="23" xfId="0" applyNumberFormat="1" applyFont="1" applyFill="1" applyBorder="1" applyAlignment="1">
      <alignment horizontal="center" vertical="center" shrinkToFit="1"/>
    </xf>
    <xf numFmtId="1" fontId="23" fillId="55" borderId="50" xfId="3" applyNumberFormat="1" applyFont="1" applyFill="1" applyBorder="1" applyAlignment="1">
      <alignment horizontal="center" vertical="center" wrapText="1" shrinkToFit="1"/>
    </xf>
    <xf numFmtId="1" fontId="23" fillId="55" borderId="50" xfId="0" applyNumberFormat="1" applyFont="1" applyFill="1" applyBorder="1" applyAlignment="1">
      <alignment horizontal="center" vertical="center" shrinkToFit="1"/>
    </xf>
    <xf numFmtId="1" fontId="23" fillId="9" borderId="23" xfId="0" applyNumberFormat="1" applyFont="1" applyFill="1" applyBorder="1" applyAlignment="1">
      <alignment horizontal="center" vertical="center" shrinkToFit="1"/>
    </xf>
    <xf numFmtId="1" fontId="23" fillId="9" borderId="50" xfId="3" applyNumberFormat="1" applyFont="1" applyFill="1" applyBorder="1" applyAlignment="1">
      <alignment horizontal="center" vertical="center" wrapText="1" shrinkToFit="1"/>
    </xf>
    <xf numFmtId="1" fontId="23" fillId="9" borderId="50" xfId="0" applyNumberFormat="1" applyFont="1" applyFill="1" applyBorder="1" applyAlignment="1">
      <alignment horizontal="center" vertical="center" shrinkToFit="1"/>
    </xf>
    <xf numFmtId="0" fontId="85" fillId="15" borderId="53" xfId="0" applyFont="1" applyFill="1" applyBorder="1" applyAlignment="1" applyProtection="1">
      <alignment horizontal="center" vertical="center" wrapText="1"/>
      <protection locked="0"/>
    </xf>
    <xf numFmtId="0" fontId="20" fillId="16" borderId="53" xfId="0" applyFont="1" applyFill="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55" borderId="25" xfId="0" applyFill="1" applyBorder="1" applyAlignment="1">
      <alignment horizontal="center" vertical="center" wrapText="1"/>
    </xf>
    <xf numFmtId="0" fontId="2" fillId="55" borderId="25" xfId="0" applyFont="1" applyFill="1" applyBorder="1" applyAlignment="1">
      <alignment horizontal="center" vertical="center" wrapText="1"/>
    </xf>
    <xf numFmtId="0" fontId="8" fillId="55" borderId="25" xfId="0" applyFont="1" applyFill="1" applyBorder="1" applyAlignment="1" applyProtection="1">
      <alignment horizontal="center" vertical="center" wrapText="1"/>
    </xf>
    <xf numFmtId="9" fontId="19" fillId="55" borderId="25" xfId="0" applyNumberFormat="1" applyFont="1" applyFill="1" applyBorder="1" applyAlignment="1" applyProtection="1">
      <alignment horizontal="center" vertical="center" wrapText="1"/>
    </xf>
    <xf numFmtId="0" fontId="0" fillId="55" borderId="24" xfId="0" applyFill="1" applyBorder="1" applyAlignment="1">
      <alignment horizontal="center" vertical="center" wrapText="1"/>
    </xf>
    <xf numFmtId="0" fontId="8" fillId="0" borderId="23" xfId="0" applyFont="1" applyFill="1" applyBorder="1" applyAlignment="1" applyProtection="1">
      <alignment horizontal="center" vertical="center" wrapText="1"/>
    </xf>
    <xf numFmtId="1" fontId="8" fillId="0" borderId="23" xfId="0" applyNumberFormat="1" applyFont="1" applyFill="1" applyBorder="1" applyAlignment="1" applyProtection="1">
      <alignment horizontal="center" vertical="center" wrapText="1"/>
    </xf>
    <xf numFmtId="0" fontId="8" fillId="8" borderId="23" xfId="0" applyFont="1" applyFill="1" applyBorder="1" applyAlignment="1" applyProtection="1">
      <alignment horizontal="center" vertical="center" wrapText="1"/>
    </xf>
    <xf numFmtId="0" fontId="18" fillId="8" borderId="23" xfId="0" applyFont="1" applyFill="1" applyBorder="1" applyAlignment="1" applyProtection="1">
      <alignment horizontal="center" vertical="center" wrapText="1"/>
    </xf>
    <xf numFmtId="1" fontId="18" fillId="8" borderId="23" xfId="0" applyNumberFormat="1" applyFont="1" applyFill="1" applyBorder="1" applyAlignment="1" applyProtection="1">
      <alignment horizontal="center" vertical="center" wrapText="1"/>
    </xf>
    <xf numFmtId="1" fontId="18" fillId="0" borderId="23" xfId="0" applyNumberFormat="1" applyFont="1" applyFill="1" applyBorder="1" applyAlignment="1" applyProtection="1">
      <alignment horizontal="center" vertical="center" wrapText="1" shrinkToFit="1"/>
    </xf>
    <xf numFmtId="0" fontId="18" fillId="0" borderId="35" xfId="0" applyFont="1" applyFill="1" applyBorder="1" applyAlignment="1" applyProtection="1">
      <alignment horizontal="center" vertical="center" wrapText="1"/>
    </xf>
    <xf numFmtId="0" fontId="19" fillId="55" borderId="12" xfId="0" applyFont="1" applyFill="1" applyBorder="1" applyAlignment="1" applyProtection="1">
      <alignment horizontal="center" vertical="center" wrapText="1"/>
    </xf>
    <xf numFmtId="0" fontId="0" fillId="55" borderId="36" xfId="0" applyFill="1" applyBorder="1" applyAlignment="1">
      <alignment horizontal="center" vertical="center" wrapText="1"/>
    </xf>
    <xf numFmtId="0" fontId="19" fillId="55" borderId="15" xfId="0" applyFont="1" applyFill="1" applyBorder="1" applyAlignment="1">
      <alignment horizontal="center" vertical="center" wrapText="1"/>
    </xf>
    <xf numFmtId="0" fontId="19" fillId="55" borderId="53" xfId="0" applyFont="1" applyFill="1" applyBorder="1" applyAlignment="1">
      <alignment horizontal="center" vertical="center" wrapText="1"/>
    </xf>
    <xf numFmtId="0" fontId="8" fillId="0" borderId="83" xfId="0" applyFont="1" applyBorder="1" applyAlignment="1">
      <alignment horizontal="center" vertical="center" wrapText="1"/>
    </xf>
    <xf numFmtId="0" fontId="8" fillId="55" borderId="84" xfId="0" applyFont="1" applyFill="1" applyBorder="1" applyAlignment="1">
      <alignment horizontal="center" vertical="center" wrapText="1"/>
    </xf>
    <xf numFmtId="0" fontId="98" fillId="55" borderId="25" xfId="0" applyFont="1" applyFill="1" applyBorder="1" applyAlignment="1">
      <alignment horizontal="center" textRotation="90" wrapText="1"/>
    </xf>
    <xf numFmtId="0" fontId="19" fillId="55" borderId="25" xfId="0" applyFont="1" applyFill="1" applyBorder="1" applyAlignment="1">
      <alignment horizontal="center" vertical="center" wrapText="1"/>
    </xf>
    <xf numFmtId="0" fontId="82" fillId="55" borderId="25" xfId="0" applyFont="1" applyFill="1" applyBorder="1" applyAlignment="1">
      <alignment horizontal="center" vertical="center" wrapText="1"/>
    </xf>
    <xf numFmtId="0" fontId="0" fillId="55" borderId="25" xfId="0" applyFill="1" applyBorder="1" applyAlignment="1">
      <alignment horizontal="center" vertical="center"/>
    </xf>
    <xf numFmtId="1" fontId="19" fillId="55" borderId="25" xfId="0" applyNumberFormat="1" applyFont="1" applyFill="1" applyBorder="1" applyAlignment="1">
      <alignment horizontal="center" vertical="center" wrapText="1"/>
    </xf>
    <xf numFmtId="1" fontId="18" fillId="55" borderId="25" xfId="0" applyNumberFormat="1" applyFont="1" applyFill="1" applyBorder="1" applyAlignment="1">
      <alignment horizontal="center" vertical="center" wrapText="1"/>
    </xf>
    <xf numFmtId="0" fontId="93" fillId="55" borderId="23" xfId="0" applyFont="1" applyFill="1" applyBorder="1" applyAlignment="1">
      <alignment horizontal="center" vertical="center" textRotation="90" wrapText="1"/>
    </xf>
    <xf numFmtId="0" fontId="98" fillId="55" borderId="24" xfId="0" applyFont="1" applyFill="1" applyBorder="1" applyAlignment="1">
      <alignment horizontal="center" vertical="center" textRotation="90" wrapText="1"/>
    </xf>
    <xf numFmtId="1" fontId="18" fillId="0" borderId="23" xfId="0" applyNumberFormat="1" applyFont="1" applyBorder="1" applyAlignment="1">
      <alignment horizontal="center" vertical="center" wrapText="1"/>
    </xf>
    <xf numFmtId="0" fontId="113" fillId="55" borderId="24" xfId="0" applyFont="1" applyFill="1" applyBorder="1" applyAlignment="1">
      <alignment horizontal="center" vertical="center" wrapText="1"/>
    </xf>
    <xf numFmtId="1" fontId="82" fillId="3" borderId="23" xfId="0" applyNumberFormat="1" applyFont="1" applyFill="1" applyBorder="1" applyAlignment="1">
      <alignment horizontal="center" vertical="center" wrapText="1"/>
    </xf>
    <xf numFmtId="1" fontId="82" fillId="0" borderId="23" xfId="0" applyNumberFormat="1" applyFont="1" applyBorder="1" applyAlignment="1">
      <alignment horizontal="center" vertical="center" wrapText="1"/>
    </xf>
    <xf numFmtId="1" fontId="50" fillId="6" borderId="23" xfId="0" applyNumberFormat="1" applyFont="1" applyFill="1" applyBorder="1" applyAlignment="1">
      <alignment horizontal="center" vertical="center" wrapText="1" shrinkToFit="1"/>
    </xf>
    <xf numFmtId="1" fontId="50" fillId="5" borderId="23" xfId="0" applyNumberFormat="1" applyFont="1" applyFill="1" applyBorder="1" applyAlignment="1">
      <alignment horizontal="center" vertical="center" wrapText="1" shrinkToFit="1"/>
    </xf>
    <xf numFmtId="1" fontId="50" fillId="4" borderId="23" xfId="0" applyNumberFormat="1" applyFont="1" applyFill="1" applyBorder="1" applyAlignment="1">
      <alignment horizontal="center" vertical="center" wrapText="1" shrinkToFit="1"/>
    </xf>
    <xf numFmtId="1" fontId="50" fillId="3" borderId="23" xfId="0" applyNumberFormat="1" applyFont="1" applyFill="1" applyBorder="1" applyAlignment="1">
      <alignment horizontal="center" vertical="center" wrapText="1" shrinkToFit="1"/>
    </xf>
    <xf numFmtId="1" fontId="18" fillId="8" borderId="23" xfId="0" applyNumberFormat="1" applyFont="1" applyFill="1" applyBorder="1" applyAlignment="1">
      <alignment horizontal="center" vertical="center" wrapText="1"/>
    </xf>
    <xf numFmtId="1" fontId="18" fillId="33" borderId="23" xfId="0" applyNumberFormat="1" applyFont="1" applyFill="1" applyBorder="1" applyAlignment="1">
      <alignment horizontal="center" vertical="center" wrapText="1"/>
    </xf>
    <xf numFmtId="1" fontId="18" fillId="0" borderId="23" xfId="0" applyNumberFormat="1" applyFont="1" applyFill="1" applyBorder="1" applyAlignment="1">
      <alignment horizontal="center" vertical="center" wrapText="1"/>
    </xf>
    <xf numFmtId="1" fontId="18" fillId="33" borderId="35" xfId="0" applyNumberFormat="1" applyFont="1" applyFill="1" applyBorder="1" applyAlignment="1">
      <alignment horizontal="center" vertical="center" wrapText="1"/>
    </xf>
    <xf numFmtId="0" fontId="19" fillId="55" borderId="12" xfId="0" applyFont="1" applyFill="1" applyBorder="1" applyAlignment="1">
      <alignment horizontal="center" vertical="center" wrapText="1"/>
    </xf>
    <xf numFmtId="0" fontId="10" fillId="51" borderId="26" xfId="2" applyFont="1" applyFill="1" applyBorder="1" applyAlignment="1">
      <alignment horizontal="center" vertical="center" textRotation="90" wrapText="1"/>
    </xf>
    <xf numFmtId="49" fontId="108" fillId="51" borderId="26" xfId="2" applyNumberFormat="1" applyFont="1" applyFill="1" applyBorder="1" applyAlignment="1">
      <alignment horizontal="center" vertical="center" wrapText="1"/>
    </xf>
    <xf numFmtId="9" fontId="108" fillId="51" borderId="26" xfId="2" applyNumberFormat="1" applyFont="1" applyFill="1" applyBorder="1" applyAlignment="1">
      <alignment horizontal="center" vertical="center" wrapText="1"/>
    </xf>
    <xf numFmtId="0" fontId="10" fillId="9" borderId="79" xfId="2" applyFont="1" applyFill="1" applyBorder="1" applyAlignment="1">
      <alignment horizontal="center" vertical="center" textRotation="90" wrapText="1"/>
    </xf>
    <xf numFmtId="0" fontId="20" fillId="47" borderId="53" xfId="0" applyFont="1" applyFill="1" applyBorder="1" applyAlignment="1" applyProtection="1">
      <alignment horizontal="center" vertical="center" wrapText="1"/>
      <protection locked="0"/>
    </xf>
    <xf numFmtId="0" fontId="20" fillId="9" borderId="53" xfId="0" applyFont="1" applyFill="1" applyBorder="1" applyAlignment="1" applyProtection="1">
      <alignment horizontal="center" vertical="center" wrapText="1"/>
      <protection locked="0"/>
    </xf>
    <xf numFmtId="0" fontId="13" fillId="9" borderId="53" xfId="0" applyFont="1" applyFill="1" applyBorder="1" applyAlignment="1" applyProtection="1">
      <alignment horizontal="center" vertical="center" wrapText="1"/>
      <protection locked="0"/>
    </xf>
    <xf numFmtId="0" fontId="13" fillId="9" borderId="24" xfId="0" applyFont="1" applyFill="1" applyBorder="1" applyAlignment="1">
      <alignment horizontal="center" vertical="center" wrapText="1"/>
    </xf>
    <xf numFmtId="1" fontId="25" fillId="9" borderId="23" xfId="0" applyNumberFormat="1" applyFont="1" applyFill="1" applyBorder="1" applyAlignment="1" applyProtection="1">
      <alignment horizontal="center" vertical="center" wrapText="1" shrinkToFit="1"/>
    </xf>
    <xf numFmtId="0" fontId="25" fillId="9" borderId="35" xfId="0" applyFont="1" applyFill="1" applyBorder="1" applyAlignment="1" applyProtection="1">
      <alignment horizontal="center" vertical="center" wrapText="1"/>
    </xf>
    <xf numFmtId="0" fontId="13" fillId="9" borderId="36" xfId="0" applyFont="1" applyFill="1" applyBorder="1" applyAlignment="1">
      <alignment horizontal="center" vertical="center" wrapText="1"/>
    </xf>
    <xf numFmtId="0" fontId="12" fillId="9" borderId="16" xfId="0" applyFont="1" applyFill="1" applyBorder="1" applyAlignment="1">
      <alignment horizontal="center" vertical="center" textRotation="90" wrapText="1"/>
    </xf>
    <xf numFmtId="0" fontId="12" fillId="31" borderId="77" xfId="0" applyFont="1" applyFill="1" applyBorder="1" applyAlignment="1">
      <alignment horizontal="center" vertical="center" textRotation="90" wrapText="1"/>
    </xf>
    <xf numFmtId="0" fontId="10" fillId="9" borderId="56" xfId="2" applyFont="1" applyFill="1" applyBorder="1" applyAlignment="1" applyProtection="1">
      <alignment horizontal="center" vertical="center" textRotation="90" wrapText="1"/>
    </xf>
    <xf numFmtId="0" fontId="12" fillId="9" borderId="17" xfId="0" applyFont="1" applyFill="1" applyBorder="1" applyAlignment="1">
      <alignment horizontal="center" vertical="center" textRotation="90" wrapText="1"/>
    </xf>
    <xf numFmtId="1" fontId="0" fillId="0" borderId="0" xfId="0" applyNumberFormat="1"/>
    <xf numFmtId="0" fontId="92" fillId="8" borderId="79" xfId="2" applyFont="1" applyFill="1" applyBorder="1" applyAlignment="1">
      <alignment horizontal="center" vertical="center" textRotation="90" wrapText="1"/>
    </xf>
    <xf numFmtId="0" fontId="92" fillId="55" borderId="16" xfId="0" applyFont="1" applyFill="1" applyBorder="1" applyAlignment="1">
      <alignment horizontal="center" vertical="center" textRotation="90" wrapText="1"/>
    </xf>
    <xf numFmtId="0" fontId="92" fillId="55" borderId="18" xfId="0" applyFont="1" applyFill="1" applyBorder="1" applyAlignment="1">
      <alignment horizontal="center" vertical="center" textRotation="90" wrapText="1"/>
    </xf>
    <xf numFmtId="0" fontId="92" fillId="55" borderId="17" xfId="0" applyFont="1" applyFill="1" applyBorder="1" applyAlignment="1">
      <alignment horizontal="center" vertical="center" textRotation="90" wrapText="1"/>
    </xf>
    <xf numFmtId="0" fontId="0" fillId="0" borderId="27" xfId="0" applyBorder="1" applyAlignment="1">
      <alignment horizontal="center" vertical="center" wrapText="1"/>
    </xf>
    <xf numFmtId="0" fontId="0" fillId="11" borderId="63" xfId="0" applyFill="1" applyBorder="1" applyAlignment="1">
      <alignment horizontal="center" vertical="center" wrapText="1"/>
    </xf>
    <xf numFmtId="0" fontId="90" fillId="0" borderId="26" xfId="0" applyFont="1" applyBorder="1" applyAlignment="1">
      <alignment horizontal="center" vertical="center" wrapText="1"/>
    </xf>
    <xf numFmtId="0" fontId="90" fillId="49" borderId="46" xfId="0" applyFont="1" applyFill="1" applyBorder="1" applyAlignment="1">
      <alignment horizontal="center" vertical="center" wrapText="1"/>
    </xf>
    <xf numFmtId="0" fontId="90" fillId="49" borderId="47" xfId="0" applyFont="1" applyFill="1" applyBorder="1" applyAlignment="1">
      <alignment horizontal="center" vertical="center" wrapText="1"/>
    </xf>
    <xf numFmtId="0" fontId="90" fillId="49" borderId="49" xfId="0" applyFont="1" applyFill="1" applyBorder="1" applyAlignment="1">
      <alignment horizontal="center" vertical="center" wrapText="1"/>
    </xf>
    <xf numFmtId="0" fontId="52" fillId="12" borderId="25" xfId="2" applyFont="1" applyFill="1" applyBorder="1" applyAlignment="1">
      <alignment vertical="center" textRotation="90" wrapText="1"/>
    </xf>
    <xf numFmtId="0" fontId="52" fillId="12" borderId="26" xfId="2" applyFont="1" applyFill="1" applyBorder="1" applyAlignment="1">
      <alignment vertical="center" textRotation="90"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88" fillId="55" borderId="46" xfId="0" applyFont="1" applyFill="1" applyBorder="1" applyAlignment="1">
      <alignment horizontal="center" vertical="center" wrapText="1"/>
    </xf>
    <xf numFmtId="0" fontId="88" fillId="55" borderId="47" xfId="0" applyFont="1" applyFill="1" applyBorder="1" applyAlignment="1">
      <alignment horizontal="center" vertical="center" wrapText="1"/>
    </xf>
    <xf numFmtId="0" fontId="88" fillId="55" borderId="49" xfId="0" applyFont="1" applyFill="1" applyBorder="1" applyAlignment="1">
      <alignment horizontal="center" vertical="center" wrapText="1"/>
    </xf>
    <xf numFmtId="0" fontId="8" fillId="49" borderId="63" xfId="0" applyFont="1" applyFill="1" applyBorder="1" applyAlignment="1">
      <alignment horizontal="center" vertical="center" wrapText="1"/>
    </xf>
    <xf numFmtId="0" fontId="8" fillId="49" borderId="62" xfId="0" applyFont="1" applyFill="1" applyBorder="1" applyAlignment="1">
      <alignment horizontal="center" vertical="center" wrapText="1"/>
    </xf>
    <xf numFmtId="0" fontId="8" fillId="49" borderId="4" xfId="0" applyFont="1" applyFill="1" applyBorder="1" applyAlignment="1">
      <alignment horizontal="center" vertical="center" wrapText="1"/>
    </xf>
    <xf numFmtId="0" fontId="8" fillId="11" borderId="62"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0" fillId="8" borderId="63" xfId="0" applyFill="1" applyBorder="1" applyAlignment="1">
      <alignment horizontal="center" vertical="center" wrapText="1"/>
    </xf>
    <xf numFmtId="0" fontId="0" fillId="8" borderId="62" xfId="0" applyFill="1" applyBorder="1" applyAlignment="1">
      <alignment horizontal="center" vertical="center" wrapText="1"/>
    </xf>
    <xf numFmtId="0" fontId="0" fillId="55" borderId="35" xfId="0" applyFill="1" applyBorder="1" applyAlignment="1">
      <alignment horizontal="center" vertical="center" wrapText="1"/>
    </xf>
    <xf numFmtId="0" fontId="0" fillId="55" borderId="12" xfId="0" applyFill="1" applyBorder="1" applyAlignment="1">
      <alignment horizontal="center" vertical="center" wrapText="1"/>
    </xf>
    <xf numFmtId="0" fontId="0" fillId="55" borderId="36" xfId="0" applyFill="1" applyBorder="1" applyAlignment="1">
      <alignment horizontal="center" vertical="center" wrapText="1"/>
    </xf>
    <xf numFmtId="0" fontId="90" fillId="11" borderId="46" xfId="0" applyFont="1" applyFill="1" applyBorder="1" applyAlignment="1">
      <alignment horizontal="center" vertical="center" wrapText="1"/>
    </xf>
    <xf numFmtId="0" fontId="90" fillId="11" borderId="49" xfId="0" applyFont="1" applyFill="1" applyBorder="1" applyAlignment="1">
      <alignment horizontal="center" vertical="center" wrapText="1"/>
    </xf>
    <xf numFmtId="0" fontId="88" fillId="0" borderId="25" xfId="0" applyFont="1" applyBorder="1" applyAlignment="1">
      <alignment horizontal="center" vertical="center" wrapText="1"/>
    </xf>
    <xf numFmtId="0" fontId="89" fillId="0" borderId="25" xfId="0" applyFont="1" applyFill="1" applyBorder="1" applyAlignment="1">
      <alignment horizontal="center" vertical="center" wrapText="1"/>
    </xf>
    <xf numFmtId="0" fontId="89" fillId="0" borderId="27" xfId="0" applyFont="1" applyFill="1" applyBorder="1" applyAlignment="1">
      <alignment horizontal="center" vertical="center" wrapText="1"/>
    </xf>
    <xf numFmtId="0" fontId="0" fillId="38" borderId="25" xfId="0" applyFill="1" applyBorder="1" applyAlignment="1">
      <alignment horizontal="center" vertical="center" wrapText="1"/>
    </xf>
    <xf numFmtId="0" fontId="90" fillId="0" borderId="53" xfId="0" applyFont="1" applyBorder="1" applyAlignment="1">
      <alignment horizontal="center" vertical="center" wrapText="1"/>
    </xf>
    <xf numFmtId="0" fontId="90" fillId="0" borderId="94" xfId="0" applyFont="1" applyBorder="1" applyAlignment="1">
      <alignment horizontal="center" vertical="center" wrapText="1"/>
    </xf>
    <xf numFmtId="0" fontId="0" fillId="8" borderId="53" xfId="0" applyFill="1" applyBorder="1" applyAlignment="1">
      <alignment horizontal="center" vertical="center" wrapText="1"/>
    </xf>
    <xf numFmtId="0" fontId="0" fillId="8" borderId="26" xfId="0" applyFill="1" applyBorder="1" applyAlignment="1">
      <alignment horizontal="center" vertical="center" wrapText="1"/>
    </xf>
    <xf numFmtId="0" fontId="112" fillId="11" borderId="95" xfId="0" applyFont="1" applyFill="1" applyBorder="1" applyAlignment="1">
      <alignment horizontal="center" vertical="center" wrapText="1"/>
    </xf>
    <xf numFmtId="0" fontId="112" fillId="11" borderId="26" xfId="0" applyFont="1" applyFill="1" applyBorder="1" applyAlignment="1">
      <alignment horizontal="center" vertical="center" wrapText="1"/>
    </xf>
    <xf numFmtId="0" fontId="90" fillId="55" borderId="46" xfId="0" applyFont="1" applyFill="1" applyBorder="1" applyAlignment="1">
      <alignment horizontal="center" vertical="center" wrapText="1"/>
    </xf>
    <xf numFmtId="0" fontId="90" fillId="55" borderId="47" xfId="0" applyFont="1" applyFill="1" applyBorder="1" applyAlignment="1">
      <alignment horizontal="center" vertical="center" wrapText="1"/>
    </xf>
    <xf numFmtId="0" fontId="90" fillId="55" borderId="49" xfId="0" applyFont="1" applyFill="1" applyBorder="1" applyAlignment="1">
      <alignment horizontal="center" vertical="center" wrapText="1"/>
    </xf>
    <xf numFmtId="0" fontId="52" fillId="12" borderId="25" xfId="2" applyFont="1" applyFill="1" applyBorder="1" applyAlignment="1">
      <alignment horizontal="center" vertical="center" textRotation="90" wrapText="1"/>
    </xf>
    <xf numFmtId="0" fontId="87" fillId="11" borderId="82" xfId="0" applyFont="1" applyFill="1" applyBorder="1" applyAlignment="1">
      <alignment horizontal="center" vertical="center" wrapText="1"/>
    </xf>
    <xf numFmtId="0" fontId="87" fillId="11" borderId="85" xfId="0" applyFont="1" applyFill="1" applyBorder="1" applyAlignment="1">
      <alignment horizontal="center" vertical="center" wrapText="1"/>
    </xf>
    <xf numFmtId="0" fontId="36" fillId="49" borderId="25" xfId="0" applyFont="1" applyFill="1" applyBorder="1" applyAlignment="1">
      <alignment horizontal="center" vertical="center" wrapText="1"/>
    </xf>
    <xf numFmtId="0" fontId="36" fillId="49" borderId="25" xfId="0" applyFont="1" applyFill="1" applyBorder="1" applyAlignment="1">
      <alignment horizontal="center" vertical="center"/>
    </xf>
    <xf numFmtId="0" fontId="36" fillId="49" borderId="27" xfId="0" applyFont="1" applyFill="1" applyBorder="1" applyAlignment="1">
      <alignment horizontal="center" vertical="center"/>
    </xf>
    <xf numFmtId="0" fontId="87" fillId="8" borderId="53" xfId="0" applyFont="1" applyFill="1" applyBorder="1" applyAlignment="1">
      <alignment horizontal="center" vertical="center" wrapText="1"/>
    </xf>
    <xf numFmtId="0" fontId="36" fillId="9" borderId="95" xfId="0" applyFont="1" applyFill="1" applyBorder="1" applyAlignment="1">
      <alignment horizontal="center" vertical="center" wrapText="1"/>
    </xf>
    <xf numFmtId="0" fontId="36" fillId="9" borderId="53" xfId="0" applyFont="1" applyFill="1" applyBorder="1" applyAlignment="1">
      <alignment horizontal="center" vertical="center" wrapText="1"/>
    </xf>
    <xf numFmtId="0" fontId="36" fillId="9" borderId="94" xfId="0" applyFont="1" applyFill="1" applyBorder="1" applyAlignment="1">
      <alignment horizontal="center" vertical="center" wrapText="1"/>
    </xf>
    <xf numFmtId="0" fontId="87" fillId="55" borderId="23" xfId="0" applyFont="1" applyFill="1" applyBorder="1" applyAlignment="1">
      <alignment horizontal="center" vertical="center" wrapText="1"/>
    </xf>
    <xf numFmtId="0" fontId="87" fillId="55" borderId="25" xfId="0" applyFont="1" applyFill="1" applyBorder="1" applyAlignment="1">
      <alignment horizontal="center" vertical="center" wrapText="1"/>
    </xf>
    <xf numFmtId="0" fontId="87" fillId="55" borderId="24" xfId="0" applyFont="1" applyFill="1" applyBorder="1" applyAlignment="1">
      <alignment horizontal="center" vertical="center" wrapText="1"/>
    </xf>
    <xf numFmtId="0" fontId="89" fillId="11" borderId="82" xfId="0" applyFont="1" applyFill="1" applyBorder="1" applyAlignment="1">
      <alignment horizontal="center" vertical="center"/>
    </xf>
    <xf numFmtId="0" fontId="89" fillId="11" borderId="85" xfId="0" applyFont="1" applyFill="1" applyBorder="1" applyAlignment="1">
      <alignment horizontal="center" vertical="center"/>
    </xf>
    <xf numFmtId="0" fontId="88" fillId="0" borderId="25" xfId="0" applyFont="1" applyBorder="1" applyAlignment="1">
      <alignment horizontal="center" vertical="center"/>
    </xf>
    <xf numFmtId="0" fontId="90" fillId="0" borderId="25" xfId="0" applyFont="1" applyBorder="1" applyAlignment="1">
      <alignment horizontal="center" vertical="center"/>
    </xf>
    <xf numFmtId="0" fontId="90" fillId="49" borderId="25" xfId="0" applyFont="1" applyFill="1" applyBorder="1" applyAlignment="1">
      <alignment horizontal="center" vertical="center"/>
    </xf>
    <xf numFmtId="0" fontId="90" fillId="49" borderId="27" xfId="0" applyFont="1" applyFill="1" applyBorder="1" applyAlignment="1">
      <alignment horizontal="center" vertical="center"/>
    </xf>
    <xf numFmtId="0" fontId="90" fillId="9" borderId="95" xfId="0" applyFont="1" applyFill="1" applyBorder="1" applyAlignment="1">
      <alignment horizontal="center" vertical="center" wrapText="1"/>
    </xf>
    <xf numFmtId="0" fontId="90" fillId="9" borderId="53" xfId="0" applyFont="1" applyFill="1" applyBorder="1" applyAlignment="1">
      <alignment horizontal="center" vertical="center" wrapText="1"/>
    </xf>
    <xf numFmtId="0" fontId="90" fillId="9" borderId="94" xfId="0" applyFont="1" applyFill="1" applyBorder="1" applyAlignment="1">
      <alignment horizontal="center" vertical="center" wrapText="1"/>
    </xf>
    <xf numFmtId="0" fontId="84" fillId="11" borderId="68" xfId="0" applyFont="1" applyFill="1" applyBorder="1" applyAlignment="1">
      <alignment horizontal="center" vertical="center" wrapText="1"/>
    </xf>
    <xf numFmtId="0" fontId="84" fillId="11" borderId="25" xfId="0" applyFont="1" applyFill="1" applyBorder="1" applyAlignment="1">
      <alignment horizontal="center" vertical="center" wrapText="1"/>
    </xf>
    <xf numFmtId="0" fontId="84" fillId="11" borderId="64" xfId="0" applyFont="1" applyFill="1" applyBorder="1" applyAlignment="1">
      <alignment horizontal="center" vertical="center" wrapText="1"/>
    </xf>
    <xf numFmtId="0" fontId="84" fillId="11" borderId="52" xfId="0" applyFont="1" applyFill="1" applyBorder="1" applyAlignment="1">
      <alignment horizontal="center" vertical="center" wrapText="1"/>
    </xf>
    <xf numFmtId="0" fontId="84" fillId="11" borderId="70" xfId="0" applyFont="1" applyFill="1" applyBorder="1" applyAlignment="1">
      <alignment horizontal="center" vertical="center" wrapText="1"/>
    </xf>
    <xf numFmtId="0" fontId="103" fillId="9" borderId="68" xfId="0" applyFont="1" applyFill="1" applyBorder="1" applyAlignment="1">
      <alignment horizontal="center" vertical="center" wrapText="1" shrinkToFit="1"/>
    </xf>
    <xf numFmtId="0" fontId="103" fillId="9" borderId="25" xfId="0" applyFont="1" applyFill="1" applyBorder="1" applyAlignment="1">
      <alignment horizontal="center" vertical="center" wrapText="1" shrinkToFit="1"/>
    </xf>
    <xf numFmtId="0" fontId="103" fillId="9" borderId="34" xfId="0" applyFont="1" applyFill="1" applyBorder="1" applyAlignment="1">
      <alignment horizontal="center" vertical="center" wrapText="1" shrinkToFit="1"/>
    </xf>
    <xf numFmtId="0" fontId="103" fillId="9" borderId="78" xfId="0" applyFont="1" applyFill="1" applyBorder="1" applyAlignment="1">
      <alignment horizontal="center" vertical="center" wrapText="1" shrinkToFit="1"/>
    </xf>
    <xf numFmtId="0" fontId="103" fillId="51" borderId="68" xfId="0" applyFont="1" applyFill="1" applyBorder="1" applyAlignment="1">
      <alignment horizontal="center" vertical="center" wrapText="1" shrinkToFit="1"/>
    </xf>
    <xf numFmtId="0" fontId="103" fillId="51" borderId="25" xfId="0" applyFont="1" applyFill="1" applyBorder="1" applyAlignment="1">
      <alignment horizontal="center" vertical="center" wrapText="1" shrinkToFit="1"/>
    </xf>
    <xf numFmtId="0" fontId="105" fillId="31" borderId="68" xfId="0" applyFont="1" applyFill="1" applyBorder="1" applyAlignment="1">
      <alignment horizontal="center" vertical="center"/>
    </xf>
    <xf numFmtId="0" fontId="105" fillId="31" borderId="25" xfId="0" applyFont="1" applyFill="1" applyBorder="1" applyAlignment="1">
      <alignment horizontal="center" vertical="center"/>
    </xf>
    <xf numFmtId="0" fontId="105" fillId="31" borderId="69" xfId="0" applyFont="1" applyFill="1" applyBorder="1" applyAlignment="1">
      <alignment horizontal="center" vertical="center"/>
    </xf>
    <xf numFmtId="0" fontId="103" fillId="0" borderId="25" xfId="0" applyNumberFormat="1" applyFont="1" applyFill="1" applyBorder="1" applyAlignment="1">
      <alignment horizontal="center" vertical="center"/>
    </xf>
    <xf numFmtId="0" fontId="84" fillId="8" borderId="63" xfId="0" applyFont="1" applyFill="1" applyBorder="1" applyAlignment="1">
      <alignment horizontal="center" vertical="center" wrapText="1"/>
    </xf>
    <xf numFmtId="0" fontId="84" fillId="8" borderId="62" xfId="0" applyFont="1" applyFill="1" applyBorder="1" applyAlignment="1">
      <alignment horizontal="center" vertical="center" wrapText="1"/>
    </xf>
    <xf numFmtId="0" fontId="84" fillId="55" borderId="63" xfId="0" applyFont="1" applyFill="1" applyBorder="1" applyAlignment="1">
      <alignment horizontal="center" vertical="center" wrapText="1"/>
    </xf>
    <xf numFmtId="0" fontId="84" fillId="55" borderId="76" xfId="0" applyFont="1" applyFill="1" applyBorder="1" applyAlignment="1">
      <alignment horizontal="center" vertical="center" wrapText="1"/>
    </xf>
    <xf numFmtId="0" fontId="62" fillId="49" borderId="63" xfId="0" applyFont="1" applyFill="1" applyBorder="1" applyAlignment="1">
      <alignment horizontal="center" vertical="center" wrapText="1"/>
    </xf>
    <xf numFmtId="0" fontId="62" fillId="49" borderId="62" xfId="0" applyFont="1" applyFill="1" applyBorder="1" applyAlignment="1">
      <alignment horizontal="center" vertical="center"/>
    </xf>
    <xf numFmtId="0" fontId="62" fillId="49" borderId="4" xfId="0" applyFont="1" applyFill="1" applyBorder="1" applyAlignment="1">
      <alignment horizontal="center" vertical="center"/>
    </xf>
    <xf numFmtId="0" fontId="62" fillId="50" borderId="63" xfId="0" applyFont="1" applyFill="1" applyBorder="1" applyAlignment="1">
      <alignment horizontal="center" vertical="center" wrapText="1"/>
    </xf>
    <xf numFmtId="0" fontId="62" fillId="50" borderId="62" xfId="0" applyFont="1" applyFill="1" applyBorder="1" applyAlignment="1">
      <alignment horizontal="center" vertical="center"/>
    </xf>
    <xf numFmtId="0" fontId="62" fillId="50" borderId="4" xfId="0" applyFont="1" applyFill="1" applyBorder="1" applyAlignment="1">
      <alignment horizontal="center" vertical="center"/>
    </xf>
    <xf numFmtId="0" fontId="84" fillId="49" borderId="12" xfId="0" applyFont="1" applyFill="1" applyBorder="1" applyAlignment="1">
      <alignment horizontal="center" vertical="center" wrapText="1"/>
    </xf>
    <xf numFmtId="0" fontId="84" fillId="49" borderId="36" xfId="0" applyFont="1" applyFill="1" applyBorder="1" applyAlignment="1">
      <alignment horizontal="center" vertical="center" wrapText="1"/>
    </xf>
    <xf numFmtId="0" fontId="84" fillId="8" borderId="4" xfId="0" applyFont="1" applyFill="1" applyBorder="1" applyAlignment="1">
      <alignment horizontal="center" vertical="center" wrapText="1"/>
    </xf>
    <xf numFmtId="0" fontId="84" fillId="50" borderId="22" xfId="0" applyFont="1" applyFill="1" applyBorder="1" applyAlignment="1">
      <alignment horizontal="center" vertical="center" wrapText="1"/>
    </xf>
    <xf numFmtId="0" fontId="84" fillId="50" borderId="15" xfId="0" applyFont="1" applyFill="1" applyBorder="1" applyAlignment="1">
      <alignment horizontal="center" vertical="center" wrapText="1"/>
    </xf>
    <xf numFmtId="0" fontId="62" fillId="49" borderId="62" xfId="0" applyFont="1" applyFill="1" applyBorder="1" applyAlignment="1">
      <alignment horizontal="center" vertical="center" wrapText="1"/>
    </xf>
    <xf numFmtId="0" fontId="62" fillId="49" borderId="4" xfId="0" applyFont="1" applyFill="1" applyBorder="1" applyAlignment="1">
      <alignment horizontal="center" vertical="center" wrapText="1"/>
    </xf>
    <xf numFmtId="0" fontId="62" fillId="50" borderId="62" xfId="0" applyFont="1" applyFill="1" applyBorder="1" applyAlignment="1">
      <alignment horizontal="center" vertical="center" wrapText="1"/>
    </xf>
    <xf numFmtId="0" fontId="62" fillId="50" borderId="4" xfId="0" applyFont="1" applyFill="1" applyBorder="1" applyAlignment="1">
      <alignment horizontal="center" vertical="center" wrapText="1"/>
    </xf>
    <xf numFmtId="0" fontId="84" fillId="55" borderId="97" xfId="0" applyFont="1" applyFill="1" applyBorder="1" applyAlignment="1">
      <alignment horizontal="center" vertical="center" wrapText="1"/>
    </xf>
    <xf numFmtId="0" fontId="84" fillId="55" borderId="98" xfId="0" applyFont="1" applyFill="1" applyBorder="1" applyAlignment="1">
      <alignment horizontal="center" vertical="center" wrapText="1"/>
    </xf>
    <xf numFmtId="0" fontId="69" fillId="12" borderId="46" xfId="3" applyFont="1" applyFill="1" applyBorder="1" applyAlignment="1">
      <alignment horizontal="center" vertical="center" wrapText="1"/>
    </xf>
    <xf numFmtId="0" fontId="0" fillId="12" borderId="49" xfId="0" applyFill="1" applyBorder="1" applyAlignment="1">
      <alignment horizontal="center" vertical="center" wrapText="1"/>
    </xf>
    <xf numFmtId="0" fontId="70" fillId="12" borderId="3" xfId="3" applyNumberFormat="1" applyFont="1" applyFill="1" applyBorder="1" applyAlignment="1">
      <alignment horizontal="center" vertical="center" wrapText="1"/>
    </xf>
    <xf numFmtId="0" fontId="69" fillId="12" borderId="6" xfId="3" applyFont="1" applyFill="1" applyBorder="1" applyAlignment="1">
      <alignment horizontal="center" vertical="center" wrapText="1"/>
    </xf>
    <xf numFmtId="0" fontId="69" fillId="12" borderId="7" xfId="3" applyFont="1" applyFill="1" applyBorder="1" applyAlignment="1">
      <alignment horizontal="center" vertical="center" wrapText="1"/>
    </xf>
    <xf numFmtId="0" fontId="69" fillId="12" borderId="2" xfId="3" applyFont="1" applyFill="1" applyBorder="1" applyAlignment="1">
      <alignment horizontal="center" vertical="center" wrapText="1"/>
    </xf>
    <xf numFmtId="0" fontId="69" fillId="12" borderId="12" xfId="3" applyFont="1" applyFill="1" applyBorder="1" applyAlignment="1">
      <alignment horizontal="center" vertical="center" wrapText="1"/>
    </xf>
    <xf numFmtId="0" fontId="0" fillId="12" borderId="36" xfId="0" applyFill="1" applyBorder="1" applyAlignment="1">
      <alignment horizontal="center" vertical="center" wrapText="1"/>
    </xf>
    <xf numFmtId="0" fontId="70" fillId="12" borderId="46" xfId="3" applyNumberFormat="1" applyFont="1" applyFill="1" applyBorder="1" applyAlignment="1">
      <alignment horizontal="center" vertical="center" wrapText="1"/>
    </xf>
    <xf numFmtId="0" fontId="70" fillId="12" borderId="47" xfId="3" applyNumberFormat="1" applyFont="1" applyFill="1" applyBorder="1" applyAlignment="1">
      <alignment horizontal="center" vertical="center" wrapText="1"/>
    </xf>
    <xf numFmtId="0" fontId="70" fillId="12" borderId="49" xfId="3" applyNumberFormat="1" applyFont="1" applyFill="1" applyBorder="1" applyAlignment="1">
      <alignment horizontal="center" vertical="center" wrapText="1"/>
    </xf>
    <xf numFmtId="0" fontId="69" fillId="12" borderId="35" xfId="3" applyFont="1" applyFill="1" applyBorder="1" applyAlignment="1">
      <alignment horizontal="center" vertical="center" wrapText="1"/>
    </xf>
    <xf numFmtId="0" fontId="0" fillId="12" borderId="12" xfId="0" applyFill="1" applyBorder="1" applyAlignment="1">
      <alignment horizontal="center" vertical="center" wrapText="1"/>
    </xf>
    <xf numFmtId="0" fontId="63" fillId="0" borderId="34" xfId="0" applyFont="1" applyBorder="1" applyAlignment="1">
      <alignment horizontal="center" vertical="center" wrapText="1"/>
    </xf>
    <xf numFmtId="0" fontId="63" fillId="0" borderId="18" xfId="0" applyFont="1" applyBorder="1" applyAlignment="1">
      <alignment horizontal="center" vertical="center" wrapText="1"/>
    </xf>
    <xf numFmtId="49" fontId="29" fillId="0" borderId="40" xfId="0" applyNumberFormat="1" applyFont="1" applyFill="1" applyBorder="1" applyAlignment="1">
      <alignment horizontal="center" vertical="center"/>
    </xf>
    <xf numFmtId="49" fontId="29" fillId="0" borderId="42" xfId="0" applyNumberFormat="1" applyFont="1" applyFill="1" applyBorder="1" applyAlignment="1">
      <alignment horizontal="center" vertical="center"/>
    </xf>
    <xf numFmtId="49" fontId="29" fillId="0" borderId="41" xfId="0" applyNumberFormat="1" applyFont="1" applyFill="1" applyBorder="1" applyAlignment="1">
      <alignment horizontal="center" vertical="center"/>
    </xf>
    <xf numFmtId="49" fontId="29" fillId="0" borderId="40" xfId="0" applyNumberFormat="1" applyFont="1" applyFill="1" applyBorder="1" applyAlignment="1">
      <alignment horizontal="left" vertical="center"/>
    </xf>
    <xf numFmtId="49" fontId="29" fillId="0" borderId="41" xfId="0" applyNumberFormat="1" applyFont="1" applyFill="1" applyBorder="1" applyAlignment="1">
      <alignment horizontal="left" vertical="center"/>
    </xf>
    <xf numFmtId="49" fontId="30" fillId="0" borderId="40" xfId="0" applyNumberFormat="1" applyFont="1" applyFill="1" applyBorder="1" applyAlignment="1">
      <alignment horizontal="left" vertical="center"/>
    </xf>
    <xf numFmtId="49" fontId="30" fillId="0" borderId="42" xfId="0" applyNumberFormat="1" applyFont="1" applyFill="1" applyBorder="1" applyAlignment="1">
      <alignment horizontal="left" vertical="center"/>
    </xf>
    <xf numFmtId="49" fontId="30" fillId="0" borderId="41" xfId="0" applyNumberFormat="1" applyFont="1" applyFill="1" applyBorder="1" applyAlignment="1">
      <alignment horizontal="left" vertical="center"/>
    </xf>
  </cellXfs>
  <cellStyles count="12">
    <cellStyle name="Komma" xfId="11" builtinId="3"/>
    <cellStyle name="Normal_Autres" xfId="3"/>
    <cellStyle name="Normal_Feuil1" xfId="4"/>
    <cellStyle name="Normal_Feuil3" xfId="2"/>
    <cellStyle name="Normal_Satisfactions" xfId="9"/>
    <cellStyle name="Prozent" xfId="1" builtinId="5"/>
    <cellStyle name="Standard" xfId="0" builtinId="0"/>
    <cellStyle name="Standard 2" xfId="5"/>
    <cellStyle name="Standard 4 3" xfId="8"/>
    <cellStyle name="Standard 4 4" xfId="7"/>
    <cellStyle name="Standard 4 5" xfId="6"/>
    <cellStyle name="Standard_Tabelle1" xfId="10"/>
  </cellStyles>
  <dxfs count="9814">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FFC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FFC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FFC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A6A6A6"/>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A6A6A6"/>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A6A6A6"/>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rgb="FFA6A6A6"/>
      </font>
      <fill>
        <patternFill>
          <bgColor rgb="FFA6A6A6"/>
        </patternFill>
      </fill>
    </dxf>
    <dxf>
      <font>
        <color rgb="FF00B0F0"/>
      </font>
      <fill>
        <patternFill>
          <bgColor rgb="FF00B0F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0000"/>
      </font>
      <fill>
        <patternFill>
          <bgColor rgb="FFFF0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0000"/>
      </font>
      <fill>
        <patternFill>
          <bgColor rgb="FFFF0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strike val="0"/>
        <color rgb="FFFF0000"/>
      </font>
      <fill>
        <patternFill>
          <bgColor rgb="FFFF0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0000"/>
      </font>
      <fill>
        <patternFill>
          <bgColor rgb="FFFF0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92D050"/>
      </font>
      <fill>
        <patternFill>
          <bgColor rgb="FF92D050"/>
        </patternFill>
      </fill>
    </dxf>
    <dxf>
      <font>
        <color rgb="FFFF0000"/>
      </font>
      <fill>
        <patternFill>
          <bgColor rgb="FFFF0000"/>
        </patternFill>
      </fill>
    </dxf>
    <dxf>
      <font>
        <color rgb="FF00B0F0"/>
      </font>
      <fill>
        <patternFill>
          <bgColor rgb="FF00B0F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strike val="0"/>
        <color rgb="FFFF0000"/>
      </font>
      <fill>
        <patternFill>
          <bgColor rgb="FFFF0000"/>
        </patternFill>
      </fill>
    </dxf>
    <dxf>
      <font>
        <color rgb="FF00B0F0"/>
      </font>
      <fill>
        <patternFill>
          <bgColor rgb="FF00B0F0"/>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0000"/>
      </font>
      <fill>
        <patternFill>
          <bgColor rgb="FFFF0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theme="0" tint="-0.34998626667073579"/>
      </font>
      <fill>
        <patternFill>
          <bgColor theme="0" tint="-0.34998626667073579"/>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rgb="FF00B0F0"/>
      </font>
      <fill>
        <patternFill>
          <bgColor rgb="FF00B0F0"/>
        </patternFill>
      </fill>
    </dxf>
    <dxf>
      <font>
        <color rgb="FF00B0F0"/>
      </font>
      <fill>
        <patternFill>
          <bgColor rgb="FF00B0F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FF00"/>
      </font>
      <fill>
        <patternFill>
          <bgColor rgb="FFFFFF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FFFF00"/>
      </font>
      <fill>
        <patternFill>
          <bgColor rgb="FFFFFF00"/>
        </patternFill>
      </fill>
    </dxf>
    <dxf>
      <font>
        <color rgb="FF92D050"/>
      </font>
      <fill>
        <patternFill>
          <bgColor rgb="FF92D050"/>
        </patternFill>
      </fill>
    </dxf>
    <dxf>
      <font>
        <color theme="0" tint="-0.34998626667073579"/>
      </font>
      <fill>
        <patternFill>
          <bgColor theme="0" tint="-0.34998626667073579"/>
        </patternFill>
      </fill>
    </dxf>
    <dxf>
      <font>
        <color rgb="FF00B0F0"/>
      </font>
      <fill>
        <patternFill>
          <bgColor rgb="FF00B0F0"/>
        </patternFill>
      </fill>
    </dxf>
    <dxf>
      <font>
        <color rgb="FFFF0000"/>
      </font>
      <fill>
        <patternFill>
          <bgColor rgb="FFFF00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ont>
        <color rgb="FFFF0000"/>
      </font>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00B0F0"/>
        </patternFill>
      </fill>
    </dxf>
    <dxf>
      <fill>
        <patternFill>
          <bgColor rgb="FF92D050"/>
        </patternFill>
      </fill>
    </dxf>
    <dxf>
      <fill>
        <patternFill>
          <bgColor rgb="FFFFFF00"/>
        </patternFill>
      </fill>
    </dxf>
    <dxf>
      <fill>
        <patternFill>
          <bgColor rgb="FFFFC000"/>
        </patternFill>
      </fill>
    </dxf>
    <dxf>
      <font>
        <color auto="1"/>
      </font>
      <fill>
        <patternFill>
          <bgColor rgb="FFFF0000"/>
        </patternFill>
      </fill>
    </dxf>
    <dxf>
      <fill>
        <patternFill>
          <bgColor rgb="FFA0A0A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FFFF00"/>
        </patternFill>
      </fill>
    </dxf>
    <dxf>
      <font>
        <color auto="1"/>
      </font>
      <fill>
        <patternFill>
          <bgColor rgb="FFFF0000"/>
        </patternFill>
      </fill>
    </dxf>
    <dxf>
      <fill>
        <patternFill>
          <bgColor rgb="FFA6A6A6"/>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theme="0" tint="-0.34998626667073579"/>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92D050"/>
        </patternFill>
      </fill>
    </dxf>
    <dxf>
      <font>
        <color rgb="FF9C0006"/>
      </font>
    </dxf>
  </dxfs>
  <tableStyles count="0" defaultTableStyle="TableStyleMedium2" defaultPivotStyle="PivotStyleMedium9"/>
  <colors>
    <mruColors>
      <color rgb="FFCC99FF"/>
      <color rgb="FFFFFFCC"/>
      <color rgb="FF9999FF"/>
      <color rgb="FFFFFBAB"/>
      <color rgb="FFDDEBF7"/>
      <color rgb="FF92D050"/>
      <color rgb="FFFFCCCC"/>
      <color rgb="FFFFFF00"/>
      <color rgb="FFCCCC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Débit / Abfluss - Final 2018</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'Graphiques - Grafiken FINAL a-b'!$B$34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1-BDEE-458B-9435-B4B70540C4E6}"/>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3-BDEE-458B-9435-B4B70540C4E6}"/>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5-BDEE-458B-9435-B4B70540C4E6}"/>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BDEE-458B-9435-B4B70540C4E6}"/>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9-BDEE-458B-9435-B4B70540C4E6}"/>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B-BDEE-458B-9435-B4B70540C4E6}"/>
              </c:ext>
            </c:extLst>
          </c:dPt>
          <c:dLbls>
            <c:delete val="1"/>
          </c:dLbls>
          <c:cat>
            <c:strRef>
              <c:f>'Graphiques - Grafiken FINAL a-b'!$A$35:$A$40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FINAL a-b'!$B$35:$B$40</c:f>
              <c:numCache>
                <c:formatCode>General</c:formatCode>
                <c:ptCount val="6"/>
                <c:pt idx="0">
                  <c:v>24</c:v>
                </c:pt>
                <c:pt idx="1">
                  <c:v>170</c:v>
                </c:pt>
                <c:pt idx="2">
                  <c:v>9</c:v>
                </c:pt>
                <c:pt idx="3">
                  <c:v>12</c:v>
                </c:pt>
                <c:pt idx="4">
                  <c:v>27</c:v>
                </c:pt>
                <c:pt idx="5">
                  <c:v>30</c:v>
                </c:pt>
              </c:numCache>
            </c:numRef>
          </c:val>
          <c:extLst>
            <c:ext xmlns:c16="http://schemas.microsoft.com/office/drawing/2014/chart" uri="{C3380CC4-5D6E-409C-BE32-E72D297353CC}">
              <c16:uniqueId val="{0000000C-BDEE-458B-9435-B4B70540C4E6}"/>
            </c:ext>
          </c:extLst>
        </c:ser>
        <c:ser>
          <c:idx val="1"/>
          <c:order val="1"/>
          <c:tx>
            <c:strRef>
              <c:f>'Graphiques - Grafiken FINAL a-b'!$G$34</c:f>
              <c:strCache>
                <c:ptCount val="1"/>
                <c:pt idx="0">
                  <c:v>%</c:v>
                </c:pt>
              </c:strCache>
            </c:strRef>
          </c:tx>
          <c:spPr>
            <a:noFill/>
          </c:spPr>
          <c:invertIfNegative val="0"/>
          <c:dLbls>
            <c:dLbl>
              <c:idx val="0"/>
              <c:layout>
                <c:manualLayout>
                  <c:x val="2.6967045785943423E-2"/>
                  <c:y val="-5.51872682581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EE-458B-9435-B4B70540C4E6}"/>
                </c:ext>
              </c:extLst>
            </c:dLbl>
            <c:dLbl>
              <c:idx val="1"/>
              <c:layout>
                <c:manualLayout>
                  <c:x val="2.4987848741129581E-2"/>
                  <c:y val="-5.1456484606090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DEE-458B-9435-B4B70540C4E6}"/>
                </c:ext>
              </c:extLst>
            </c:dLbl>
            <c:dLbl>
              <c:idx val="2"/>
              <c:layout>
                <c:manualLayout>
                  <c:x val="2.1055093807718535E-2"/>
                  <c:y val="-5.5159771695204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DEE-458B-9435-B4B70540C4E6}"/>
                </c:ext>
              </c:extLst>
            </c:dLbl>
            <c:dLbl>
              <c:idx val="3"/>
              <c:layout>
                <c:manualLayout>
                  <c:x val="1.8691601049868767E-2"/>
                  <c:y val="-8.369650068813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DEE-458B-9435-B4B70540C4E6}"/>
                </c:ext>
              </c:extLst>
            </c:dLbl>
            <c:dLbl>
              <c:idx val="4"/>
              <c:layout>
                <c:manualLayout>
                  <c:x val="2.3321182074462914E-2"/>
                  <c:y val="-5.7778194392367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DEE-458B-9435-B4B70540C4E6}"/>
                </c:ext>
              </c:extLst>
            </c:dLbl>
            <c:dLbl>
              <c:idx val="5"/>
              <c:layout>
                <c:manualLayout>
                  <c:x val="2.6530815592495496E-2"/>
                  <c:y val="-4.9861267341582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DEE-458B-9435-B4B70540C4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a-b'!$A$35:$A$40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FINAL a-b'!$G$35:$G$40</c:f>
              <c:numCache>
                <c:formatCode>0%</c:formatCode>
                <c:ptCount val="6"/>
                <c:pt idx="0">
                  <c:v>8.8235294117647065E-2</c:v>
                </c:pt>
                <c:pt idx="1">
                  <c:v>0.625</c:v>
                </c:pt>
                <c:pt idx="2">
                  <c:v>3.3088235294117647E-2</c:v>
                </c:pt>
                <c:pt idx="3">
                  <c:v>4.4117647058823532E-2</c:v>
                </c:pt>
                <c:pt idx="4">
                  <c:v>9.9264705882352935E-2</c:v>
                </c:pt>
                <c:pt idx="5">
                  <c:v>0.11029411764705882</c:v>
                </c:pt>
              </c:numCache>
            </c:numRef>
          </c:val>
          <c:extLst>
            <c:ext xmlns:c16="http://schemas.microsoft.com/office/drawing/2014/chart" uri="{C3380CC4-5D6E-409C-BE32-E72D297353CC}">
              <c16:uniqueId val="{00000013-BDEE-458B-9435-B4B70540C4E6}"/>
            </c:ext>
          </c:extLst>
        </c:ser>
        <c:dLbls>
          <c:showLegendKey val="0"/>
          <c:showVal val="1"/>
          <c:showCatName val="0"/>
          <c:showSerName val="0"/>
          <c:showPercent val="0"/>
          <c:showBubbleSize val="0"/>
        </c:dLbls>
        <c:gapWidth val="95"/>
        <c:gapDepth val="0"/>
        <c:shape val="box"/>
        <c:axId val="539720736"/>
        <c:axId val="539721128"/>
        <c:axId val="0"/>
      </c:bar3DChart>
      <c:catAx>
        <c:axId val="539720736"/>
        <c:scaling>
          <c:orientation val="minMax"/>
        </c:scaling>
        <c:delete val="0"/>
        <c:axPos val="b"/>
        <c:numFmt formatCode="General" sourceLinked="0"/>
        <c:majorTickMark val="out"/>
        <c:minorTickMark val="none"/>
        <c:tickLblPos val="nextTo"/>
        <c:crossAx val="539721128"/>
        <c:crosses val="autoZero"/>
        <c:auto val="0"/>
        <c:lblAlgn val="ctr"/>
        <c:lblOffset val="100"/>
        <c:noMultiLvlLbl val="0"/>
      </c:catAx>
      <c:valAx>
        <c:axId val="539721128"/>
        <c:scaling>
          <c:orientation val="minMax"/>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539720736"/>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Eclusée / Schwall-Sunk - Besoins 2014</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'[1]Graphiques - Grafiken PLANIF'!$B$54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327C-4804-AB2E-5E725E43BF29}"/>
              </c:ext>
            </c:extLst>
          </c:dPt>
          <c:dPt>
            <c:idx val="1"/>
            <c:invertIfNegative val="0"/>
            <c:bubble3D val="0"/>
            <c:spPr>
              <a:solidFill>
                <a:srgbClr val="FFFF00"/>
              </a:solidFill>
              <a:ln>
                <a:solidFill>
                  <a:schemeClr val="tx1"/>
                </a:solidFill>
              </a:ln>
            </c:spPr>
            <c:extLst>
              <c:ext xmlns:c16="http://schemas.microsoft.com/office/drawing/2014/chart" uri="{C3380CC4-5D6E-409C-BE32-E72D297353CC}">
                <c16:uniqueId val="{00000003-327C-4804-AB2E-5E725E43BF29}"/>
              </c:ext>
            </c:extLst>
          </c:dPt>
          <c:dPt>
            <c:idx val="2"/>
            <c:invertIfNegative val="0"/>
            <c:bubble3D val="0"/>
            <c:spPr>
              <a:solidFill>
                <a:srgbClr val="FF0000"/>
              </a:solidFill>
              <a:ln>
                <a:solidFill>
                  <a:schemeClr val="tx1"/>
                </a:solidFill>
              </a:ln>
            </c:spPr>
            <c:extLst>
              <c:ext xmlns:c16="http://schemas.microsoft.com/office/drawing/2014/chart" uri="{C3380CC4-5D6E-409C-BE32-E72D297353CC}">
                <c16:uniqueId val="{00000005-327C-4804-AB2E-5E725E43BF29}"/>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327C-4804-AB2E-5E725E43BF29}"/>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9-327C-4804-AB2E-5E725E43BF29}"/>
              </c:ext>
            </c:extLst>
          </c:dPt>
          <c:dLbls>
            <c:delete val="1"/>
          </c:dLbls>
          <c:cat>
            <c:strRef>
              <c:f>'[1]Graphiques - Grafiken PLANIF'!$A$55:$A$57</c:f>
              <c:strCache>
                <c:ptCount val="3"/>
                <c:pt idx="0">
                  <c:v>Non affecté 
nicht betroffen</c:v>
                </c:pt>
                <c:pt idx="1">
                  <c:v>Potentiellement affecté (non plausible) 
möglicherweise betroffen
 (nicht nachweisbar)</c:v>
                </c:pt>
                <c:pt idx="2">
                  <c:v>Potentiellement affecté  (plausible)
 möglicherweise betroffen (nachweisbar)</c:v>
                </c:pt>
              </c:strCache>
            </c:strRef>
          </c:cat>
          <c:val>
            <c:numRef>
              <c:f>'[1]Graphiques - Grafiken PLANIF'!$B$55:$B$57</c:f>
              <c:numCache>
                <c:formatCode>General</c:formatCode>
                <c:ptCount val="3"/>
                <c:pt idx="0">
                  <c:v>0</c:v>
                </c:pt>
                <c:pt idx="1">
                  <c:v>0</c:v>
                </c:pt>
                <c:pt idx="2">
                  <c:v>0</c:v>
                </c:pt>
              </c:numCache>
            </c:numRef>
          </c:val>
          <c:extLst>
            <c:ext xmlns:c16="http://schemas.microsoft.com/office/drawing/2014/chart" uri="{C3380CC4-5D6E-409C-BE32-E72D297353CC}">
              <c16:uniqueId val="{0000000A-327C-4804-AB2E-5E725E43BF29}"/>
            </c:ext>
          </c:extLst>
        </c:ser>
        <c:ser>
          <c:idx val="1"/>
          <c:order val="1"/>
          <c:tx>
            <c:strRef>
              <c:f>'[1]Graphiques - Grafiken PLANIF'!$C$54</c:f>
              <c:strCache>
                <c:ptCount val="1"/>
                <c:pt idx="0">
                  <c:v>%</c:v>
                </c:pt>
              </c:strCache>
            </c:strRef>
          </c:tx>
          <c:spPr>
            <a:noFill/>
          </c:spPr>
          <c:invertIfNegative val="0"/>
          <c:dLbls>
            <c:dLbl>
              <c:idx val="0"/>
              <c:layout>
                <c:manualLayout>
                  <c:x val="2.401579933754797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7C-4804-AB2E-5E725E43BF29}"/>
                </c:ext>
              </c:extLst>
            </c:dLbl>
            <c:dLbl>
              <c:idx val="1"/>
              <c:layout>
                <c:manualLayout>
                  <c:x val="2.3111877517623294E-2"/>
                  <c:y val="-6.7247451730066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7C-4804-AB2E-5E725E43BF29}"/>
                </c:ext>
              </c:extLst>
            </c:dLbl>
            <c:dLbl>
              <c:idx val="2"/>
              <c:layout>
                <c:manualLayout>
                  <c:x val="2.2925725242043768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7C-4804-AB2E-5E725E43BF2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'[1]Graphiques - Grafiken PLANIF'!$C$55:$C$57</c:f>
              <c:numCache>
                <c:formatCode>General</c:formatCode>
                <c:ptCount val="3"/>
                <c:pt idx="0">
                  <c:v>0</c:v>
                </c:pt>
                <c:pt idx="1">
                  <c:v>0</c:v>
                </c:pt>
                <c:pt idx="2">
                  <c:v>0</c:v>
                </c:pt>
              </c:numCache>
            </c:numRef>
          </c:val>
          <c:extLst>
            <c:ext xmlns:c16="http://schemas.microsoft.com/office/drawing/2014/chart" uri="{C3380CC4-5D6E-409C-BE32-E72D297353CC}">
              <c16:uniqueId val="{0000000E-327C-4804-AB2E-5E725E43BF29}"/>
            </c:ext>
          </c:extLst>
        </c:ser>
        <c:dLbls>
          <c:showLegendKey val="0"/>
          <c:showVal val="1"/>
          <c:showCatName val="0"/>
          <c:showSerName val="0"/>
          <c:showPercent val="0"/>
          <c:showBubbleSize val="0"/>
        </c:dLbls>
        <c:gapWidth val="369"/>
        <c:gapDepth val="0"/>
        <c:shape val="box"/>
        <c:axId val="104445872"/>
        <c:axId val="423809936"/>
        <c:axId val="0"/>
      </c:bar3DChart>
      <c:catAx>
        <c:axId val="104445872"/>
        <c:scaling>
          <c:orientation val="minMax"/>
        </c:scaling>
        <c:delete val="0"/>
        <c:axPos val="b"/>
        <c:numFmt formatCode="General" sourceLinked="0"/>
        <c:majorTickMark val="out"/>
        <c:minorTickMark val="none"/>
        <c:tickLblPos val="nextTo"/>
        <c:crossAx val="423809936"/>
        <c:crosses val="autoZero"/>
        <c:auto val="0"/>
        <c:lblAlgn val="ctr"/>
        <c:lblOffset val="100"/>
        <c:noMultiLvlLbl val="0"/>
      </c:catAx>
      <c:valAx>
        <c:axId val="423809936"/>
        <c:scaling>
          <c:orientation val="minMax"/>
        </c:scaling>
        <c:delete val="0"/>
        <c:axPos val="l"/>
        <c:majorGridlines/>
        <c:title>
          <c:tx>
            <c:rich>
              <a:bodyPr rot="-5400000" vert="horz"/>
              <a:lstStyle/>
              <a:p>
                <a:pPr>
                  <a:defRPr/>
                </a:pPr>
                <a:r>
                  <a:rPr lang="en-US"/>
                  <a:t>Nombre d'objets / Anzahl Objekte</a:t>
                </a:r>
              </a:p>
            </c:rich>
          </c:tx>
          <c:overlay val="0"/>
        </c:title>
        <c:numFmt formatCode="General" sourceLinked="1"/>
        <c:majorTickMark val="out"/>
        <c:minorTickMark val="none"/>
        <c:tickLblPos val="nextTo"/>
        <c:crossAx val="10444587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Revitalisation / Revitalisierung -</a:t>
            </a:r>
            <a:r>
              <a:rPr lang="fr-CH" baseline="0"/>
              <a:t> Besoins 2014</a:t>
            </a:r>
            <a:endParaRPr lang="fr-CH"/>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6"/>
          <c:order val="0"/>
          <c:tx>
            <c:strRef>
              <c:f>'Graphiques - Grafiken 2014'!$G$77</c:f>
              <c:strCache>
                <c:ptCount val="1"/>
                <c:pt idx="0">
                  <c:v>e</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25-EEA5-4C7A-807C-B12EE0A55BEE}"/>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26-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24-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27-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23-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8-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5-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2014'!$G$78:$G$83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8-EEA5-4C7A-807C-B12EE0A55BEE}"/>
            </c:ext>
          </c:extLst>
        </c:ser>
        <c:ser>
          <c:idx val="5"/>
          <c:order val="1"/>
          <c:tx>
            <c:strRef>
              <c:f>'Graphiques - Grafiken 2014'!$F$77</c:f>
              <c:strCache>
                <c:ptCount val="1"/>
                <c:pt idx="0">
                  <c:v>d</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A-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B-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E-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1F-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1-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9-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2014'!$F$78:$F$83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7-EEA5-4C7A-807C-B12EE0A55BEE}"/>
            </c:ext>
          </c:extLst>
        </c:ser>
        <c:ser>
          <c:idx val="4"/>
          <c:order val="2"/>
          <c:tx>
            <c:strRef>
              <c:f>'Graphiques - Grafiken 2014'!$E$77</c:f>
              <c:strCache>
                <c:ptCount val="1"/>
                <c:pt idx="0">
                  <c:v>c</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9-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C-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D-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20-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2-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A-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2014'!$E$78:$E$83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6-EEA5-4C7A-807C-B12EE0A55BEE}"/>
            </c:ext>
          </c:extLst>
        </c:ser>
        <c:ser>
          <c:idx val="1"/>
          <c:order val="3"/>
          <c:tx>
            <c:strRef>
              <c:f>'Graphiques - Grafiken 2014'!$D$77</c:f>
              <c:strCache>
                <c:ptCount val="1"/>
                <c:pt idx="0">
                  <c:v>b</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7-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9-C260-4B81-86D6-13270780D35E}"/>
              </c:ext>
            </c:extLst>
          </c:dPt>
          <c:dLbls>
            <c:dLbl>
              <c:idx val="0"/>
              <c:delete val="1"/>
              <c:extLst>
                <c:ext xmlns:c15="http://schemas.microsoft.com/office/drawing/2012/chart" uri="{CE6537A1-D6FC-4f65-9D91-7224C49458BB}"/>
                <c:ext xmlns:c16="http://schemas.microsoft.com/office/drawing/2014/chart" uri="{C3380CC4-5D6E-409C-BE32-E72D297353CC}">
                  <c16:uniqueId val="{0000000A-C260-4B81-86D6-13270780D3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2014'!$D$78:$D$83</c:f>
              <c:numCache>
                <c:formatCode>General</c:formatCode>
                <c:ptCount val="6"/>
                <c:pt idx="0">
                  <c:v>0</c:v>
                </c:pt>
                <c:pt idx="1">
                  <c:v>29</c:v>
                </c:pt>
                <c:pt idx="2">
                  <c:v>8</c:v>
                </c:pt>
                <c:pt idx="3">
                  <c:v>12</c:v>
                </c:pt>
                <c:pt idx="4">
                  <c:v>15</c:v>
                </c:pt>
                <c:pt idx="5">
                  <c:v>34</c:v>
                </c:pt>
              </c:numCache>
            </c:numRef>
          </c:val>
          <c:extLst>
            <c:ext xmlns:c16="http://schemas.microsoft.com/office/drawing/2014/chart" uri="{C3380CC4-5D6E-409C-BE32-E72D297353CC}">
              <c16:uniqueId val="{0000000B-C260-4B81-86D6-13270780D35E}"/>
            </c:ext>
          </c:extLst>
        </c:ser>
        <c:ser>
          <c:idx val="0"/>
          <c:order val="4"/>
          <c:tx>
            <c:strRef>
              <c:f>'Graphiques - Grafiken 2014'!$C$77</c:f>
              <c:strCache>
                <c:ptCount val="1"/>
                <c:pt idx="0">
                  <c:v>a</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D-C260-4B81-86D6-13270780D35E}"/>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F-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1-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3-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15-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17-C260-4B81-86D6-13270780D35E}"/>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2014'!$C$78:$C$83</c:f>
              <c:numCache>
                <c:formatCode>General</c:formatCode>
                <c:ptCount val="6"/>
                <c:pt idx="0">
                  <c:v>14</c:v>
                </c:pt>
                <c:pt idx="1">
                  <c:v>71</c:v>
                </c:pt>
                <c:pt idx="2">
                  <c:v>5</c:v>
                </c:pt>
                <c:pt idx="3">
                  <c:v>26</c:v>
                </c:pt>
                <c:pt idx="4">
                  <c:v>8</c:v>
                </c:pt>
                <c:pt idx="5">
                  <c:v>41</c:v>
                </c:pt>
              </c:numCache>
            </c:numRef>
          </c:val>
          <c:extLst>
            <c:ext xmlns:c16="http://schemas.microsoft.com/office/drawing/2014/chart" uri="{C3380CC4-5D6E-409C-BE32-E72D297353CC}">
              <c16:uniqueId val="{00000018-C260-4B81-86D6-13270780D35E}"/>
            </c:ext>
          </c:extLst>
        </c:ser>
        <c:ser>
          <c:idx val="3"/>
          <c:order val="5"/>
          <c:tx>
            <c:strRef>
              <c:f>'Graphiques - Grafiken 2014'!$H$77</c:f>
              <c:strCache>
                <c:ptCount val="1"/>
                <c:pt idx="0">
                  <c:v>%</c:v>
                </c:pt>
              </c:strCache>
            </c:strRef>
          </c:tx>
          <c:spPr>
            <a:noFill/>
          </c:spPr>
          <c:invertIfNegative val="0"/>
          <c:dLbls>
            <c:dLbl>
              <c:idx val="0"/>
              <c:layout>
                <c:manualLayout>
                  <c:x val="2.3951870799880169E-2"/>
                  <c:y val="-5.3719196558763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260-4B81-86D6-13270780D35E}"/>
                </c:ext>
              </c:extLst>
            </c:dLbl>
            <c:dLbl>
              <c:idx val="1"/>
              <c:layout>
                <c:manualLayout>
                  <c:x val="2.453012983374742E-2"/>
                  <c:y val="-4.5756026186381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260-4B81-86D6-13270780D35E}"/>
                </c:ext>
              </c:extLst>
            </c:dLbl>
            <c:dLbl>
              <c:idx val="2"/>
              <c:layout>
                <c:manualLayout>
                  <c:x val="2.5541214163691414E-2"/>
                  <c:y val="-4.70587397505544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260-4B81-86D6-13270780D35E}"/>
                </c:ext>
              </c:extLst>
            </c:dLbl>
            <c:dLbl>
              <c:idx val="3"/>
              <c:layout>
                <c:manualLayout>
                  <c:x val="2.7987929297694645E-2"/>
                  <c:y val="-5.8632801108194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260-4B81-86D6-13270780D35E}"/>
                </c:ext>
              </c:extLst>
            </c:dLbl>
            <c:dLbl>
              <c:idx val="4"/>
              <c:layout>
                <c:manualLayout>
                  <c:x val="2.2084715006597554E-2"/>
                  <c:y val="-5.0865959463400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260-4B81-86D6-13270780D35E}"/>
                </c:ext>
              </c:extLst>
            </c:dLbl>
            <c:dLbl>
              <c:idx val="5"/>
              <c:layout>
                <c:manualLayout>
                  <c:x val="2.2854568372218803E-2"/>
                  <c:y val="-6.57257067004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260-4B81-86D6-13270780D35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2014'!$H$78:$H$83</c:f>
              <c:numCache>
                <c:formatCode>0%</c:formatCode>
                <c:ptCount val="6"/>
                <c:pt idx="0">
                  <c:v>5.3231939163498096E-2</c:v>
                </c:pt>
                <c:pt idx="1">
                  <c:v>0.38022813688212925</c:v>
                </c:pt>
                <c:pt idx="2">
                  <c:v>4.9429657794676805E-2</c:v>
                </c:pt>
                <c:pt idx="3">
                  <c:v>0.14448669201520911</c:v>
                </c:pt>
                <c:pt idx="4">
                  <c:v>8.7452471482889732E-2</c:v>
                </c:pt>
                <c:pt idx="5">
                  <c:v>0.28517110266159695</c:v>
                </c:pt>
              </c:numCache>
            </c:numRef>
          </c:val>
          <c:extLst>
            <c:ext xmlns:c16="http://schemas.microsoft.com/office/drawing/2014/chart" uri="{C3380CC4-5D6E-409C-BE32-E72D297353CC}">
              <c16:uniqueId val="{0000001F-C260-4B81-86D6-13270780D35E}"/>
            </c:ext>
          </c:extLst>
        </c:ser>
        <c:ser>
          <c:idx val="2"/>
          <c:order val="6"/>
          <c:tx>
            <c:strRef>
              <c:f>'Graphiques - Grafiken 2014'!$B$77</c:f>
              <c:strCache>
                <c:ptCount val="1"/>
                <c:pt idx="0">
                  <c:v>Nombre d'objets
Anzahl Objekte</c:v>
                </c:pt>
              </c:strCache>
            </c:strRef>
          </c:tx>
          <c:spPr>
            <a:noFill/>
          </c:spPr>
          <c:invertIfNegative val="0"/>
          <c:cat>
            <c:strRef>
              <c:f>'Graphiques - Grafiken 2014'!$A$78:$A$83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2014'!$B$78:$B$83</c:f>
              <c:numCache>
                <c:formatCode>General</c:formatCode>
                <c:ptCount val="6"/>
                <c:pt idx="0">
                  <c:v>14</c:v>
                </c:pt>
                <c:pt idx="1">
                  <c:v>100</c:v>
                </c:pt>
                <c:pt idx="2">
                  <c:v>13</c:v>
                </c:pt>
                <c:pt idx="3">
                  <c:v>38</c:v>
                </c:pt>
                <c:pt idx="4">
                  <c:v>23</c:v>
                </c:pt>
                <c:pt idx="5">
                  <c:v>75</c:v>
                </c:pt>
              </c:numCache>
            </c:numRef>
          </c:val>
          <c:extLst>
            <c:ext xmlns:c16="http://schemas.microsoft.com/office/drawing/2014/chart" uri="{C3380CC4-5D6E-409C-BE32-E72D297353CC}">
              <c16:uniqueId val="{00000020-C260-4B81-86D6-13270780D35E}"/>
            </c:ext>
          </c:extLst>
        </c:ser>
        <c:dLbls>
          <c:showLegendKey val="0"/>
          <c:showVal val="0"/>
          <c:showCatName val="0"/>
          <c:showSerName val="0"/>
          <c:showPercent val="0"/>
          <c:showBubbleSize val="0"/>
        </c:dLbls>
        <c:gapWidth val="84"/>
        <c:gapDepth val="0"/>
        <c:shape val="box"/>
        <c:axId val="423811112"/>
        <c:axId val="423811504"/>
        <c:axId val="0"/>
      </c:bar3DChart>
      <c:catAx>
        <c:axId val="423811112"/>
        <c:scaling>
          <c:orientation val="minMax"/>
        </c:scaling>
        <c:delete val="0"/>
        <c:axPos val="b"/>
        <c:numFmt formatCode="General" sourceLinked="0"/>
        <c:majorTickMark val="out"/>
        <c:minorTickMark val="none"/>
        <c:tickLblPos val="nextTo"/>
        <c:crossAx val="423811504"/>
        <c:crosses val="autoZero"/>
        <c:auto val="1"/>
        <c:lblAlgn val="ctr"/>
        <c:lblOffset val="100"/>
        <c:noMultiLvlLbl val="0"/>
      </c:catAx>
      <c:valAx>
        <c:axId val="423811504"/>
        <c:scaling>
          <c:orientation val="minMax"/>
          <c:max val="10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42381111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Charriage / Geschiebe - Besoins 2014</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6"/>
          <c:order val="0"/>
          <c:tx>
            <c:strRef>
              <c:f>'Graphiques - Grafiken 2014'!$G$2</c:f>
              <c:strCache>
                <c:ptCount val="1"/>
                <c:pt idx="0">
                  <c:v>e</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1C-163C-4563-9074-AA3E3CE7864D}"/>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F-163C-4563-9074-AA3E3CE7864D}"/>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20-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21-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22-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C-163C-4563-9074-AA3E3CE7864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2014'!$G$3:$G$7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5-163C-4563-9074-AA3E3CE7864D}"/>
            </c:ext>
          </c:extLst>
        </c:ser>
        <c:ser>
          <c:idx val="5"/>
          <c:order val="1"/>
          <c:tx>
            <c:strRef>
              <c:f>'Graphiques - Grafiken 2014'!$F$2</c:f>
              <c:strCache>
                <c:ptCount val="1"/>
                <c:pt idx="0">
                  <c:v>d</c:v>
                </c:pt>
              </c:strCache>
            </c:strRef>
          </c:tx>
          <c:spPr>
            <a:solidFill>
              <a:srgbClr val="92D050"/>
            </a:solidFill>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7-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9-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B-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D-163C-4563-9074-AA3E3CE7864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2014'!$F$3:$F$7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4-163C-4563-9074-AA3E3CE7864D}"/>
            </c:ext>
          </c:extLst>
        </c:ser>
        <c:ser>
          <c:idx val="4"/>
          <c:order val="2"/>
          <c:tx>
            <c:strRef>
              <c:f>'Graphiques - Grafiken 2014'!$E$2</c:f>
              <c:strCache>
                <c:ptCount val="1"/>
                <c:pt idx="0">
                  <c:v>c</c:v>
                </c:pt>
              </c:strCache>
            </c:strRef>
          </c:tx>
          <c:spPr>
            <a:solidFill>
              <a:srgbClr val="92D050"/>
            </a:solidFill>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6-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8-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A-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E-163C-4563-9074-AA3E3CE7864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2014'!$E$3:$E$7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3-163C-4563-9074-AA3E3CE7864D}"/>
            </c:ext>
          </c:extLst>
        </c:ser>
        <c:ser>
          <c:idx val="1"/>
          <c:order val="3"/>
          <c:tx>
            <c:strRef>
              <c:f>'Graphiques - Grafiken 2014'!$D$2</c:f>
              <c:strCache>
                <c:ptCount val="1"/>
                <c:pt idx="0">
                  <c:v>b</c:v>
                </c:pt>
              </c:strCache>
            </c:strRef>
          </c:tx>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7-59D4-4F2A-9C71-2C6B3208B61B}"/>
              </c:ext>
            </c:extLst>
          </c:dPt>
          <c:dLbls>
            <c:dLbl>
              <c:idx val="0"/>
              <c:delete val="1"/>
              <c:extLst>
                <c:ext xmlns:c15="http://schemas.microsoft.com/office/drawing/2012/chart" uri="{CE6537A1-D6FC-4f65-9D91-7224C49458BB}"/>
                <c:ext xmlns:c16="http://schemas.microsoft.com/office/drawing/2014/chart" uri="{C3380CC4-5D6E-409C-BE32-E72D297353CC}">
                  <c16:uniqueId val="{00000008-59D4-4F2A-9C71-2C6B3208B61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2014'!$D$3:$D$7</c:f>
              <c:numCache>
                <c:formatCode>General</c:formatCode>
                <c:ptCount val="5"/>
                <c:pt idx="0">
                  <c:v>0</c:v>
                </c:pt>
                <c:pt idx="1">
                  <c:v>65</c:v>
                </c:pt>
                <c:pt idx="2">
                  <c:v>33</c:v>
                </c:pt>
                <c:pt idx="3">
                  <c:v>22</c:v>
                </c:pt>
                <c:pt idx="4">
                  <c:v>3</c:v>
                </c:pt>
              </c:numCache>
            </c:numRef>
          </c:val>
          <c:extLst>
            <c:ext xmlns:c16="http://schemas.microsoft.com/office/drawing/2014/chart" uri="{C3380CC4-5D6E-409C-BE32-E72D297353CC}">
              <c16:uniqueId val="{00000009-59D4-4F2A-9C71-2C6B3208B61B}"/>
            </c:ext>
          </c:extLst>
        </c:ser>
        <c:ser>
          <c:idx val="0"/>
          <c:order val="4"/>
          <c:tx>
            <c:strRef>
              <c:f>'Graphiques - Grafiken 2014'!$C$2</c:f>
              <c:strCache>
                <c:ptCount val="1"/>
                <c:pt idx="0">
                  <c:v>a  </c:v>
                </c:pt>
              </c:strCache>
            </c:strRef>
          </c:tx>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B-59D4-4F2A-9C71-2C6B3208B61B}"/>
              </c:ext>
            </c:extLst>
          </c:dPt>
          <c:dPt>
            <c:idx val="1"/>
            <c:invertIfNegative val="0"/>
            <c:bubble3D val="0"/>
            <c:spPr>
              <a:solidFill>
                <a:srgbClr val="00B0F0"/>
              </a:solidFill>
              <a:ln w="9525">
                <a:solidFill>
                  <a:schemeClr val="tx1"/>
                </a:solidFill>
              </a:ln>
            </c:spPr>
            <c:extLst>
              <c:ext xmlns:c16="http://schemas.microsoft.com/office/drawing/2014/chart" uri="{C3380CC4-5D6E-409C-BE32-E72D297353CC}">
                <c16:uniqueId val="{0000000D-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F-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1-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3-59D4-4F2A-9C71-2C6B3208B61B}"/>
              </c:ext>
            </c:extLst>
          </c:dPt>
          <c:dLbls>
            <c:numFmt formatCode="General"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2014'!$C$3:$C$7</c:f>
              <c:numCache>
                <c:formatCode>General</c:formatCode>
                <c:ptCount val="5"/>
                <c:pt idx="0">
                  <c:v>23</c:v>
                </c:pt>
                <c:pt idx="1">
                  <c:v>50</c:v>
                </c:pt>
                <c:pt idx="2">
                  <c:v>36</c:v>
                </c:pt>
                <c:pt idx="3">
                  <c:v>18</c:v>
                </c:pt>
                <c:pt idx="4">
                  <c:v>15</c:v>
                </c:pt>
              </c:numCache>
            </c:numRef>
          </c:val>
          <c:extLst>
            <c:ext xmlns:c16="http://schemas.microsoft.com/office/drawing/2014/chart" uri="{C3380CC4-5D6E-409C-BE32-E72D297353CC}">
              <c16:uniqueId val="{00000014-59D4-4F2A-9C71-2C6B3208B61B}"/>
            </c:ext>
          </c:extLst>
        </c:ser>
        <c:ser>
          <c:idx val="2"/>
          <c:order val="5"/>
          <c:tx>
            <c:strRef>
              <c:f>'Graphiques - Grafiken 2014'!$H$2</c:f>
              <c:strCache>
                <c:ptCount val="1"/>
                <c:pt idx="0">
                  <c:v>%</c:v>
                </c:pt>
              </c:strCache>
            </c:strRef>
          </c:tx>
          <c:spPr>
            <a:noFill/>
          </c:spPr>
          <c:invertIfNegative val="0"/>
          <c:dLbls>
            <c:dLbl>
              <c:idx val="0"/>
              <c:layout>
                <c:manualLayout>
                  <c:x val="2.3191473535443697E-2"/>
                  <c:y val="-6.7786009260006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9D4-4F2A-9C71-2C6B3208B61B}"/>
                </c:ext>
              </c:extLst>
            </c:dLbl>
            <c:dLbl>
              <c:idx val="1"/>
              <c:layout>
                <c:manualLayout>
                  <c:x val="2.3079367103403574E-2"/>
                  <c:y val="-7.7205435427435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9D4-4F2A-9C71-2C6B3208B61B}"/>
                </c:ext>
              </c:extLst>
            </c:dLbl>
            <c:dLbl>
              <c:idx val="2"/>
              <c:layout>
                <c:manualLayout>
                  <c:x val="2.2057357405937391E-2"/>
                  <c:y val="-6.838846856560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9D4-4F2A-9C71-2C6B3208B61B}"/>
                </c:ext>
              </c:extLst>
            </c:dLbl>
            <c:dLbl>
              <c:idx val="3"/>
              <c:layout>
                <c:manualLayout>
                  <c:x val="2.1758955231810598E-2"/>
                  <c:y val="-6.7225452295873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9D4-4F2A-9C71-2C6B3208B61B}"/>
                </c:ext>
              </c:extLst>
            </c:dLbl>
            <c:dLbl>
              <c:idx val="4"/>
              <c:layout>
                <c:manualLayout>
                  <c:x val="2.072247548003868E-2"/>
                  <c:y val="-6.5362023629451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9D4-4F2A-9C71-2C6B3208B61B}"/>
                </c:ext>
              </c:extLst>
            </c:dLbl>
            <c:numFmt formatCode="0%" sourceLinked="0"/>
            <c:spPr>
              <a:effectLst>
                <a:glow>
                  <a:schemeClr val="accent1"/>
                </a:glow>
              </a:effectLst>
            </c:spPr>
            <c:txPr>
              <a:bodyPr rot="0" vert="horz" anchor="t" anchorCtr="0"/>
              <a:lstStyle/>
              <a:p>
                <a:pPr>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2014'!$H$3:$H$7</c:f>
              <c:numCache>
                <c:formatCode>0%</c:formatCode>
                <c:ptCount val="5"/>
                <c:pt idx="0">
                  <c:v>8.6792452830188674E-2</c:v>
                </c:pt>
                <c:pt idx="1">
                  <c:v>0.43396226415094341</c:v>
                </c:pt>
                <c:pt idx="2">
                  <c:v>0.26037735849056604</c:v>
                </c:pt>
                <c:pt idx="3">
                  <c:v>0.15094339622641509</c:v>
                </c:pt>
                <c:pt idx="4">
                  <c:v>6.7924528301886791E-2</c:v>
                </c:pt>
              </c:numCache>
            </c:numRef>
          </c:val>
          <c:extLst>
            <c:ext xmlns:c16="http://schemas.microsoft.com/office/drawing/2014/chart" uri="{C3380CC4-5D6E-409C-BE32-E72D297353CC}">
              <c16:uniqueId val="{0000001A-59D4-4F2A-9C71-2C6B3208B61B}"/>
            </c:ext>
          </c:extLst>
        </c:ser>
        <c:ser>
          <c:idx val="3"/>
          <c:order val="6"/>
          <c:tx>
            <c:strRef>
              <c:f>'Graphiques - Grafiken 2014'!$B$2</c:f>
              <c:strCache>
                <c:ptCount val="1"/>
                <c:pt idx="0">
                  <c:v>Nombre d'objets
Anzahl Objekte</c:v>
                </c:pt>
              </c:strCache>
            </c:strRef>
          </c:tx>
          <c:spPr>
            <a:noFill/>
          </c:spPr>
          <c:invertIfNegative val="0"/>
          <c:dLbls>
            <c:delete val="1"/>
          </c:dLbls>
          <c:cat>
            <c:strRef>
              <c:f>'Graphiques - Grafiken 2014'!$A$3:$A$7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2014'!$B$3:$B$7</c:f>
              <c:numCache>
                <c:formatCode>General</c:formatCode>
                <c:ptCount val="5"/>
                <c:pt idx="0">
                  <c:v>23</c:v>
                </c:pt>
                <c:pt idx="1">
                  <c:v>115</c:v>
                </c:pt>
                <c:pt idx="2">
                  <c:v>69</c:v>
                </c:pt>
                <c:pt idx="3">
                  <c:v>40</c:v>
                </c:pt>
                <c:pt idx="4">
                  <c:v>18</c:v>
                </c:pt>
              </c:numCache>
            </c:numRef>
          </c:val>
          <c:extLst>
            <c:ext xmlns:c16="http://schemas.microsoft.com/office/drawing/2014/chart" uri="{C3380CC4-5D6E-409C-BE32-E72D297353CC}">
              <c16:uniqueId val="{0000001B-59D4-4F2A-9C71-2C6B3208B61B}"/>
            </c:ext>
          </c:extLst>
        </c:ser>
        <c:dLbls>
          <c:showLegendKey val="0"/>
          <c:showVal val="1"/>
          <c:showCatName val="0"/>
          <c:showSerName val="0"/>
          <c:showPercent val="0"/>
          <c:showBubbleSize val="0"/>
        </c:dLbls>
        <c:gapWidth val="117"/>
        <c:gapDepth val="0"/>
        <c:shape val="box"/>
        <c:axId val="104445480"/>
        <c:axId val="104443520"/>
        <c:axId val="0"/>
      </c:bar3DChart>
      <c:catAx>
        <c:axId val="104445480"/>
        <c:scaling>
          <c:orientation val="minMax"/>
        </c:scaling>
        <c:delete val="0"/>
        <c:axPos val="b"/>
        <c:numFmt formatCode="General" sourceLinked="0"/>
        <c:majorTickMark val="out"/>
        <c:minorTickMark val="none"/>
        <c:tickLblPos val="nextTo"/>
        <c:crossAx val="104443520"/>
        <c:crosses val="autoZero"/>
        <c:auto val="1"/>
        <c:lblAlgn val="ctr"/>
        <c:lblOffset val="100"/>
        <c:noMultiLvlLbl val="0"/>
      </c:catAx>
      <c:valAx>
        <c:axId val="104443520"/>
        <c:scaling>
          <c:orientation val="minMax"/>
          <c:max val="12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104445480"/>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Eclusée / Schwall-Sunk - Final</a:t>
            </a:r>
            <a:r>
              <a:rPr lang="fr-CH" baseline="0"/>
              <a:t> 2017</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'Graphiques - Grafiken FINAL a-b'!$B$54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327C-4804-AB2E-5E725E43BF29}"/>
              </c:ext>
            </c:extLst>
          </c:dPt>
          <c:dPt>
            <c:idx val="1"/>
            <c:invertIfNegative val="0"/>
            <c:bubble3D val="0"/>
            <c:spPr>
              <a:solidFill>
                <a:srgbClr val="FFFF00"/>
              </a:solidFill>
              <a:ln>
                <a:solidFill>
                  <a:schemeClr val="tx1"/>
                </a:solidFill>
              </a:ln>
            </c:spPr>
            <c:extLst>
              <c:ext xmlns:c16="http://schemas.microsoft.com/office/drawing/2014/chart" uri="{C3380CC4-5D6E-409C-BE32-E72D297353CC}">
                <c16:uniqueId val="{00000003-327C-4804-AB2E-5E725E43BF29}"/>
              </c:ext>
            </c:extLst>
          </c:dPt>
          <c:dPt>
            <c:idx val="2"/>
            <c:invertIfNegative val="0"/>
            <c:bubble3D val="0"/>
            <c:spPr>
              <a:solidFill>
                <a:srgbClr val="FF0000"/>
              </a:solidFill>
              <a:ln>
                <a:solidFill>
                  <a:schemeClr val="tx1"/>
                </a:solidFill>
              </a:ln>
            </c:spPr>
            <c:extLst>
              <c:ext xmlns:c16="http://schemas.microsoft.com/office/drawing/2014/chart" uri="{C3380CC4-5D6E-409C-BE32-E72D297353CC}">
                <c16:uniqueId val="{00000005-327C-4804-AB2E-5E725E43BF29}"/>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327C-4804-AB2E-5E725E43BF29}"/>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9-327C-4804-AB2E-5E725E43BF29}"/>
              </c:ext>
            </c:extLst>
          </c:dPt>
          <c:dLbls>
            <c:delete val="1"/>
          </c:dLbls>
          <c:cat>
            <c:strRef>
              <c:f>'Graphiques - Grafiken FINAL a-b'!$A$55:$A$57</c:f>
              <c:strCache>
                <c:ptCount val="3"/>
                <c:pt idx="0">
                  <c:v>Non affecté 
nicht betroffen</c:v>
                </c:pt>
                <c:pt idx="1">
                  <c:v>Potentiellement affecté (non plausible) 
möglicherweise betroffen
 (nicht nachweisbar)</c:v>
                </c:pt>
                <c:pt idx="2">
                  <c:v>Potentiellement affecté  (plausible)
 möglicherweise betroffen (nachweisbar)</c:v>
                </c:pt>
              </c:strCache>
            </c:strRef>
          </c:cat>
          <c:val>
            <c:numRef>
              <c:f>'Graphiques - Grafiken FINAL a-b'!$B$55:$B$57</c:f>
              <c:numCache>
                <c:formatCode>General</c:formatCode>
                <c:ptCount val="3"/>
                <c:pt idx="0">
                  <c:v>202</c:v>
                </c:pt>
                <c:pt idx="1">
                  <c:v>13</c:v>
                </c:pt>
                <c:pt idx="2">
                  <c:v>57</c:v>
                </c:pt>
              </c:numCache>
            </c:numRef>
          </c:val>
          <c:extLst>
            <c:ext xmlns:c16="http://schemas.microsoft.com/office/drawing/2014/chart" uri="{C3380CC4-5D6E-409C-BE32-E72D297353CC}">
              <c16:uniqueId val="{0000000A-327C-4804-AB2E-5E725E43BF29}"/>
            </c:ext>
          </c:extLst>
        </c:ser>
        <c:ser>
          <c:idx val="1"/>
          <c:order val="1"/>
          <c:tx>
            <c:strRef>
              <c:f>'Graphiques - Grafiken FINAL a-b'!$C$54</c:f>
              <c:strCache>
                <c:ptCount val="1"/>
                <c:pt idx="0">
                  <c:v>%</c:v>
                </c:pt>
              </c:strCache>
            </c:strRef>
          </c:tx>
          <c:spPr>
            <a:noFill/>
          </c:spPr>
          <c:invertIfNegative val="0"/>
          <c:dLbls>
            <c:dLbl>
              <c:idx val="0"/>
              <c:layout>
                <c:manualLayout>
                  <c:x val="2.401579933754797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7C-4804-AB2E-5E725E43BF29}"/>
                </c:ext>
              </c:extLst>
            </c:dLbl>
            <c:dLbl>
              <c:idx val="1"/>
              <c:layout>
                <c:manualLayout>
                  <c:x val="2.3111877517623294E-2"/>
                  <c:y val="-6.7247451730066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7C-4804-AB2E-5E725E43BF29}"/>
                </c:ext>
              </c:extLst>
            </c:dLbl>
            <c:dLbl>
              <c:idx val="2"/>
              <c:layout>
                <c:manualLayout>
                  <c:x val="2.2925725242043768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7C-4804-AB2E-5E725E43BF2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a-b'!$A$55:$A$57</c:f>
              <c:strCache>
                <c:ptCount val="3"/>
                <c:pt idx="0">
                  <c:v>Non affecté 
nicht betroffen</c:v>
                </c:pt>
                <c:pt idx="1">
                  <c:v>Potentiellement affecté (non plausible) 
möglicherweise betroffen
 (nicht nachweisbar)</c:v>
                </c:pt>
                <c:pt idx="2">
                  <c:v>Potentiellement affecté  (plausible)
 möglicherweise betroffen (nachweisbar)</c:v>
                </c:pt>
              </c:strCache>
            </c:strRef>
          </c:cat>
          <c:val>
            <c:numRef>
              <c:f>'Graphiques - Grafiken FINAL a-b'!$C$55:$C$57</c:f>
              <c:numCache>
                <c:formatCode>0%</c:formatCode>
                <c:ptCount val="3"/>
                <c:pt idx="0">
                  <c:v>0.74264705882352944</c:v>
                </c:pt>
                <c:pt idx="1">
                  <c:v>4.779411764705882E-2</c:v>
                </c:pt>
                <c:pt idx="2">
                  <c:v>0.20955882352941177</c:v>
                </c:pt>
              </c:numCache>
            </c:numRef>
          </c:val>
          <c:extLst>
            <c:ext xmlns:c16="http://schemas.microsoft.com/office/drawing/2014/chart" uri="{C3380CC4-5D6E-409C-BE32-E72D297353CC}">
              <c16:uniqueId val="{0000000E-327C-4804-AB2E-5E725E43BF29}"/>
            </c:ext>
          </c:extLst>
        </c:ser>
        <c:dLbls>
          <c:showLegendKey val="0"/>
          <c:showVal val="1"/>
          <c:showCatName val="0"/>
          <c:showSerName val="0"/>
          <c:showPercent val="0"/>
          <c:showBubbleSize val="0"/>
        </c:dLbls>
        <c:gapWidth val="369"/>
        <c:gapDepth val="0"/>
        <c:shape val="box"/>
        <c:axId val="539722304"/>
        <c:axId val="539722696"/>
        <c:axId val="0"/>
      </c:bar3DChart>
      <c:catAx>
        <c:axId val="539722304"/>
        <c:scaling>
          <c:orientation val="minMax"/>
        </c:scaling>
        <c:delete val="0"/>
        <c:axPos val="b"/>
        <c:numFmt formatCode="General" sourceLinked="0"/>
        <c:majorTickMark val="out"/>
        <c:minorTickMark val="none"/>
        <c:tickLblPos val="nextTo"/>
        <c:crossAx val="539722696"/>
        <c:crosses val="autoZero"/>
        <c:auto val="0"/>
        <c:lblAlgn val="ctr"/>
        <c:lblOffset val="100"/>
        <c:noMultiLvlLbl val="0"/>
      </c:catAx>
      <c:valAx>
        <c:axId val="539722696"/>
        <c:scaling>
          <c:orientation val="minMax"/>
        </c:scaling>
        <c:delete val="0"/>
        <c:axPos val="l"/>
        <c:majorGridlines/>
        <c:title>
          <c:tx>
            <c:rich>
              <a:bodyPr rot="-5400000" vert="horz"/>
              <a:lstStyle/>
              <a:p>
                <a:pPr>
                  <a:defRPr/>
                </a:pPr>
                <a:r>
                  <a:rPr lang="en-US"/>
                  <a:t>Nombre d'objets / Anzahl Objekte</a:t>
                </a:r>
              </a:p>
            </c:rich>
          </c:tx>
          <c:overlay val="0"/>
        </c:title>
        <c:numFmt formatCode="General" sourceLinked="1"/>
        <c:majorTickMark val="out"/>
        <c:minorTickMark val="none"/>
        <c:tickLblPos val="nextTo"/>
        <c:crossAx val="539722304"/>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Revitalisation / Revitalisierung - Final</a:t>
            </a:r>
            <a:r>
              <a:rPr lang="fr-CH" baseline="0"/>
              <a:t> 2017</a:t>
            </a:r>
            <a:endParaRPr lang="fr-CH"/>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1"/>
          <c:order val="0"/>
          <c:tx>
            <c:strRef>
              <c:f>'Graphiques - Grafiken FINAL a-b'!$D$77</c:f>
              <c:strCache>
                <c:ptCount val="1"/>
                <c:pt idx="0">
                  <c:v>b</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7-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9-C260-4B81-86D6-13270780D35E}"/>
              </c:ext>
            </c:extLst>
          </c:dPt>
          <c:dLbls>
            <c:dLbl>
              <c:idx val="0"/>
              <c:delete val="1"/>
              <c:extLst>
                <c:ext xmlns:c15="http://schemas.microsoft.com/office/drawing/2012/chart" uri="{CE6537A1-D6FC-4f65-9D91-7224C49458BB}"/>
                <c:ext xmlns:c16="http://schemas.microsoft.com/office/drawing/2014/chart" uri="{C3380CC4-5D6E-409C-BE32-E72D297353CC}">
                  <c16:uniqueId val="{0000000A-C260-4B81-86D6-13270780D3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a-b'!$A$78:$A$83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a-b'!$D$78:$D$83</c:f>
              <c:numCache>
                <c:formatCode>General</c:formatCode>
                <c:ptCount val="6"/>
                <c:pt idx="0">
                  <c:v>0</c:v>
                </c:pt>
                <c:pt idx="1">
                  <c:v>11</c:v>
                </c:pt>
                <c:pt idx="2" formatCode="0">
                  <c:v>9</c:v>
                </c:pt>
                <c:pt idx="3" formatCode="0">
                  <c:v>11</c:v>
                </c:pt>
                <c:pt idx="4" formatCode="0">
                  <c:v>6</c:v>
                </c:pt>
                <c:pt idx="5" formatCode="0">
                  <c:v>3</c:v>
                </c:pt>
              </c:numCache>
            </c:numRef>
          </c:val>
          <c:extLst>
            <c:ext xmlns:c16="http://schemas.microsoft.com/office/drawing/2014/chart" uri="{C3380CC4-5D6E-409C-BE32-E72D297353CC}">
              <c16:uniqueId val="{0000000B-C260-4B81-86D6-13270780D35E}"/>
            </c:ext>
          </c:extLst>
        </c:ser>
        <c:ser>
          <c:idx val="0"/>
          <c:order val="1"/>
          <c:tx>
            <c:strRef>
              <c:f>'Graphiques - Grafiken FINAL a-b'!$C$77</c:f>
              <c:strCache>
                <c:ptCount val="1"/>
                <c:pt idx="0">
                  <c:v>a</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D-C260-4B81-86D6-13270780D35E}"/>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F-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1-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3-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15-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17-C260-4B81-86D6-13270780D35E}"/>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a-b'!$A$78:$A$83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a-b'!$C$78:$C$83</c:f>
              <c:numCache>
                <c:formatCode>General</c:formatCode>
                <c:ptCount val="6"/>
                <c:pt idx="0">
                  <c:v>14</c:v>
                </c:pt>
                <c:pt idx="1">
                  <c:v>85</c:v>
                </c:pt>
                <c:pt idx="2" formatCode="0">
                  <c:v>14</c:v>
                </c:pt>
                <c:pt idx="3" formatCode="0">
                  <c:v>38</c:v>
                </c:pt>
                <c:pt idx="4" formatCode="0">
                  <c:v>20</c:v>
                </c:pt>
                <c:pt idx="5" formatCode="0">
                  <c:v>61</c:v>
                </c:pt>
              </c:numCache>
            </c:numRef>
          </c:val>
          <c:extLst>
            <c:ext xmlns:c16="http://schemas.microsoft.com/office/drawing/2014/chart" uri="{C3380CC4-5D6E-409C-BE32-E72D297353CC}">
              <c16:uniqueId val="{00000018-C260-4B81-86D6-13270780D35E}"/>
            </c:ext>
          </c:extLst>
        </c:ser>
        <c:ser>
          <c:idx val="3"/>
          <c:order val="2"/>
          <c:tx>
            <c:strRef>
              <c:f>'Graphiques - Grafiken FINAL a-b'!$H$77</c:f>
              <c:strCache>
                <c:ptCount val="1"/>
                <c:pt idx="0">
                  <c:v>%</c:v>
                </c:pt>
              </c:strCache>
            </c:strRef>
          </c:tx>
          <c:spPr>
            <a:noFill/>
          </c:spPr>
          <c:invertIfNegative val="0"/>
          <c:dLbls>
            <c:dLbl>
              <c:idx val="0"/>
              <c:layout>
                <c:manualLayout>
                  <c:x val="2.3951870799880169E-2"/>
                  <c:y val="-5.3719196558763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260-4B81-86D6-13270780D35E}"/>
                </c:ext>
              </c:extLst>
            </c:dLbl>
            <c:dLbl>
              <c:idx val="1"/>
              <c:layout>
                <c:manualLayout>
                  <c:x val="2.453012983374742E-2"/>
                  <c:y val="-4.5756026186381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260-4B81-86D6-13270780D35E}"/>
                </c:ext>
              </c:extLst>
            </c:dLbl>
            <c:dLbl>
              <c:idx val="2"/>
              <c:layout>
                <c:manualLayout>
                  <c:x val="2.5541214163691414E-2"/>
                  <c:y val="-4.70587397505544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260-4B81-86D6-13270780D35E}"/>
                </c:ext>
              </c:extLst>
            </c:dLbl>
            <c:dLbl>
              <c:idx val="3"/>
              <c:layout>
                <c:manualLayout>
                  <c:x val="2.7987929297694645E-2"/>
                  <c:y val="-5.8632801108194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260-4B81-86D6-13270780D35E}"/>
                </c:ext>
              </c:extLst>
            </c:dLbl>
            <c:dLbl>
              <c:idx val="4"/>
              <c:layout>
                <c:manualLayout>
                  <c:x val="2.2084715006597554E-2"/>
                  <c:y val="-5.0865959463400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260-4B81-86D6-13270780D35E}"/>
                </c:ext>
              </c:extLst>
            </c:dLbl>
            <c:dLbl>
              <c:idx val="5"/>
              <c:layout>
                <c:manualLayout>
                  <c:x val="2.2854568372218803E-2"/>
                  <c:y val="-6.57257067004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260-4B81-86D6-13270780D35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a-b'!$A$78:$A$83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a-b'!$H$78:$H$83</c:f>
              <c:numCache>
                <c:formatCode>0%</c:formatCode>
                <c:ptCount val="6"/>
                <c:pt idx="0">
                  <c:v>5.1470588235294115E-2</c:v>
                </c:pt>
                <c:pt idx="1">
                  <c:v>0.35294117647058826</c:v>
                </c:pt>
                <c:pt idx="2">
                  <c:v>8.455882352941177E-2</c:v>
                </c:pt>
                <c:pt idx="3">
                  <c:v>0.18014705882352941</c:v>
                </c:pt>
                <c:pt idx="4">
                  <c:v>9.5588235294117641E-2</c:v>
                </c:pt>
                <c:pt idx="5">
                  <c:v>0.23529411764705882</c:v>
                </c:pt>
              </c:numCache>
            </c:numRef>
          </c:val>
          <c:extLst>
            <c:ext xmlns:c16="http://schemas.microsoft.com/office/drawing/2014/chart" uri="{C3380CC4-5D6E-409C-BE32-E72D297353CC}">
              <c16:uniqueId val="{0000001F-C260-4B81-86D6-13270780D35E}"/>
            </c:ext>
          </c:extLst>
        </c:ser>
        <c:ser>
          <c:idx val="2"/>
          <c:order val="3"/>
          <c:tx>
            <c:strRef>
              <c:f>'Graphiques - Grafiken FINAL a-b'!$B$77</c:f>
              <c:strCache>
                <c:ptCount val="1"/>
                <c:pt idx="0">
                  <c:v>Nombre d'objets
Anzahl Objekte</c:v>
                </c:pt>
              </c:strCache>
            </c:strRef>
          </c:tx>
          <c:spPr>
            <a:noFill/>
          </c:spPr>
          <c:invertIfNegative val="0"/>
          <c:cat>
            <c:strRef>
              <c:f>'Graphiques - Grafiken FINAL a-b'!$A$78:$A$83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a-b'!$B$78:$B$83</c:f>
              <c:numCache>
                <c:formatCode>General</c:formatCode>
                <c:ptCount val="6"/>
                <c:pt idx="0">
                  <c:v>14</c:v>
                </c:pt>
                <c:pt idx="1">
                  <c:v>96</c:v>
                </c:pt>
                <c:pt idx="2" formatCode="0">
                  <c:v>23</c:v>
                </c:pt>
                <c:pt idx="3" formatCode="0">
                  <c:v>49</c:v>
                </c:pt>
                <c:pt idx="4" formatCode="0">
                  <c:v>26</c:v>
                </c:pt>
                <c:pt idx="5" formatCode="0">
                  <c:v>64</c:v>
                </c:pt>
              </c:numCache>
            </c:numRef>
          </c:val>
          <c:extLst>
            <c:ext xmlns:c16="http://schemas.microsoft.com/office/drawing/2014/chart" uri="{C3380CC4-5D6E-409C-BE32-E72D297353CC}">
              <c16:uniqueId val="{00000020-C260-4B81-86D6-13270780D35E}"/>
            </c:ext>
          </c:extLst>
        </c:ser>
        <c:dLbls>
          <c:showLegendKey val="0"/>
          <c:showVal val="0"/>
          <c:showCatName val="0"/>
          <c:showSerName val="0"/>
          <c:showPercent val="0"/>
          <c:showBubbleSize val="0"/>
        </c:dLbls>
        <c:gapWidth val="84"/>
        <c:gapDepth val="0"/>
        <c:shape val="box"/>
        <c:axId val="539723872"/>
        <c:axId val="539724264"/>
        <c:axId val="0"/>
      </c:bar3DChart>
      <c:catAx>
        <c:axId val="539723872"/>
        <c:scaling>
          <c:orientation val="minMax"/>
        </c:scaling>
        <c:delete val="0"/>
        <c:axPos val="b"/>
        <c:numFmt formatCode="General" sourceLinked="0"/>
        <c:majorTickMark val="out"/>
        <c:minorTickMark val="none"/>
        <c:tickLblPos val="nextTo"/>
        <c:crossAx val="539724264"/>
        <c:crosses val="autoZero"/>
        <c:auto val="1"/>
        <c:lblAlgn val="ctr"/>
        <c:lblOffset val="100"/>
        <c:noMultiLvlLbl val="0"/>
      </c:catAx>
      <c:valAx>
        <c:axId val="539724264"/>
        <c:scaling>
          <c:orientation val="minMax"/>
          <c:max val="10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53972387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Charriage / Geschiebe -Final 2018</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1"/>
          <c:order val="0"/>
          <c:tx>
            <c:strRef>
              <c:f>'Graphiques - Grafiken FINAL a-b'!$D$2</c:f>
              <c:strCache>
                <c:ptCount val="1"/>
                <c:pt idx="0">
                  <c:v>b</c:v>
                </c:pt>
              </c:strCache>
            </c:strRef>
          </c:tx>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7-59D4-4F2A-9C71-2C6B3208B61B}"/>
              </c:ext>
            </c:extLst>
          </c:dPt>
          <c:dLbls>
            <c:dLbl>
              <c:idx val="0"/>
              <c:delete val="1"/>
              <c:extLst>
                <c:ext xmlns:c15="http://schemas.microsoft.com/office/drawing/2012/chart" uri="{CE6537A1-D6FC-4f65-9D91-7224C49458BB}"/>
                <c:ext xmlns:c16="http://schemas.microsoft.com/office/drawing/2014/chart" uri="{C3380CC4-5D6E-409C-BE32-E72D297353CC}">
                  <c16:uniqueId val="{00000008-AF87-4954-82C4-B04660BC896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a-b'!$A$3:$A$7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a-b'!$D$3:$D$7</c:f>
              <c:numCache>
                <c:formatCode>General</c:formatCode>
                <c:ptCount val="5"/>
                <c:pt idx="0">
                  <c:v>0</c:v>
                </c:pt>
                <c:pt idx="1">
                  <c:v>42</c:v>
                </c:pt>
                <c:pt idx="2">
                  <c:v>11</c:v>
                </c:pt>
                <c:pt idx="3">
                  <c:v>8</c:v>
                </c:pt>
                <c:pt idx="4">
                  <c:v>2</c:v>
                </c:pt>
              </c:numCache>
            </c:numRef>
          </c:val>
          <c:extLst>
            <c:ext xmlns:c16="http://schemas.microsoft.com/office/drawing/2014/chart" uri="{C3380CC4-5D6E-409C-BE32-E72D297353CC}">
              <c16:uniqueId val="{00000009-59D4-4F2A-9C71-2C6B3208B61B}"/>
            </c:ext>
          </c:extLst>
        </c:ser>
        <c:ser>
          <c:idx val="0"/>
          <c:order val="1"/>
          <c:tx>
            <c:strRef>
              <c:f>'Graphiques - Grafiken FINAL a-b'!$C$2</c:f>
              <c:strCache>
                <c:ptCount val="1"/>
                <c:pt idx="0">
                  <c:v>a  </c:v>
                </c:pt>
              </c:strCache>
            </c:strRef>
          </c:tx>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B-59D4-4F2A-9C71-2C6B3208B61B}"/>
              </c:ext>
            </c:extLst>
          </c:dPt>
          <c:dPt>
            <c:idx val="1"/>
            <c:invertIfNegative val="0"/>
            <c:bubble3D val="0"/>
            <c:spPr>
              <a:solidFill>
                <a:srgbClr val="00B0F0"/>
              </a:solidFill>
              <a:ln w="9525">
                <a:solidFill>
                  <a:schemeClr val="tx1"/>
                </a:solidFill>
              </a:ln>
            </c:spPr>
            <c:extLst>
              <c:ext xmlns:c16="http://schemas.microsoft.com/office/drawing/2014/chart" uri="{C3380CC4-5D6E-409C-BE32-E72D297353CC}">
                <c16:uniqueId val="{0000000D-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F-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1-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3-59D4-4F2A-9C71-2C6B3208B61B}"/>
              </c:ext>
            </c:extLst>
          </c:dPt>
          <c:dLbls>
            <c:numFmt formatCode="General"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a-b'!$A$3:$A$7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a-b'!$C$3:$C$7</c:f>
              <c:numCache>
                <c:formatCode>General</c:formatCode>
                <c:ptCount val="5"/>
                <c:pt idx="0">
                  <c:v>22</c:v>
                </c:pt>
                <c:pt idx="1">
                  <c:v>70</c:v>
                </c:pt>
                <c:pt idx="2">
                  <c:v>75</c:v>
                </c:pt>
                <c:pt idx="3">
                  <c:v>22</c:v>
                </c:pt>
                <c:pt idx="4">
                  <c:v>20</c:v>
                </c:pt>
              </c:numCache>
            </c:numRef>
          </c:val>
          <c:extLst>
            <c:ext xmlns:c16="http://schemas.microsoft.com/office/drawing/2014/chart" uri="{C3380CC4-5D6E-409C-BE32-E72D297353CC}">
              <c16:uniqueId val="{00000014-59D4-4F2A-9C71-2C6B3208B61B}"/>
            </c:ext>
          </c:extLst>
        </c:ser>
        <c:ser>
          <c:idx val="2"/>
          <c:order val="2"/>
          <c:tx>
            <c:strRef>
              <c:f>'Graphiques - Grafiken FINAL a-b'!$H$2</c:f>
              <c:strCache>
                <c:ptCount val="1"/>
                <c:pt idx="0">
                  <c:v>%</c:v>
                </c:pt>
              </c:strCache>
            </c:strRef>
          </c:tx>
          <c:spPr>
            <a:noFill/>
          </c:spPr>
          <c:invertIfNegative val="0"/>
          <c:dLbls>
            <c:dLbl>
              <c:idx val="0"/>
              <c:layout>
                <c:manualLayout>
                  <c:x val="2.3191473535443697E-2"/>
                  <c:y val="-6.7786009260006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87-4954-82C4-B04660BC896E}"/>
                </c:ext>
              </c:extLst>
            </c:dLbl>
            <c:dLbl>
              <c:idx val="1"/>
              <c:layout>
                <c:manualLayout>
                  <c:x val="2.3079367103403574E-2"/>
                  <c:y val="-7.7205435427435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87-4954-82C4-B04660BC896E}"/>
                </c:ext>
              </c:extLst>
            </c:dLbl>
            <c:dLbl>
              <c:idx val="2"/>
              <c:layout>
                <c:manualLayout>
                  <c:x val="2.2057357405937391E-2"/>
                  <c:y val="-6.838846856560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87-4954-82C4-B04660BC896E}"/>
                </c:ext>
              </c:extLst>
            </c:dLbl>
            <c:dLbl>
              <c:idx val="3"/>
              <c:layout>
                <c:manualLayout>
                  <c:x val="2.1758955231810598E-2"/>
                  <c:y val="-6.7225452295873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F87-4954-82C4-B04660BC896E}"/>
                </c:ext>
              </c:extLst>
            </c:dLbl>
            <c:dLbl>
              <c:idx val="4"/>
              <c:layout>
                <c:manualLayout>
                  <c:x val="2.072247548003868E-2"/>
                  <c:y val="-6.5362023629451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F87-4954-82C4-B04660BC896E}"/>
                </c:ext>
              </c:extLst>
            </c:dLbl>
            <c:numFmt formatCode="0%" sourceLinked="0"/>
            <c:spPr>
              <a:effectLst>
                <a:glow>
                  <a:schemeClr val="accent1"/>
                </a:glow>
              </a:effectLst>
            </c:spPr>
            <c:txPr>
              <a:bodyPr rot="0" vert="horz" anchor="t" anchorCtr="0"/>
              <a:lstStyle/>
              <a:p>
                <a:pPr>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a-b'!$A$3:$A$7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a-b'!$H$3:$H$7</c:f>
              <c:numCache>
                <c:formatCode>0%</c:formatCode>
                <c:ptCount val="5"/>
                <c:pt idx="0">
                  <c:v>8.0882352941176475E-2</c:v>
                </c:pt>
                <c:pt idx="1">
                  <c:v>0.41176470588235292</c:v>
                </c:pt>
                <c:pt idx="2">
                  <c:v>0.31617647058823528</c:v>
                </c:pt>
                <c:pt idx="3">
                  <c:v>0.11029411764705882</c:v>
                </c:pt>
                <c:pt idx="4">
                  <c:v>8.0882352941176475E-2</c:v>
                </c:pt>
              </c:numCache>
            </c:numRef>
          </c:val>
          <c:extLst>
            <c:ext xmlns:c16="http://schemas.microsoft.com/office/drawing/2014/chart" uri="{C3380CC4-5D6E-409C-BE32-E72D297353CC}">
              <c16:uniqueId val="{0000001A-59D4-4F2A-9C71-2C6B3208B61B}"/>
            </c:ext>
          </c:extLst>
        </c:ser>
        <c:ser>
          <c:idx val="3"/>
          <c:order val="3"/>
          <c:tx>
            <c:strRef>
              <c:f>'Graphiques - Grafiken FINAL a-b'!$B$2</c:f>
              <c:strCache>
                <c:ptCount val="1"/>
                <c:pt idx="0">
                  <c:v>Nombre d'objets
Anzahl Objekte</c:v>
                </c:pt>
              </c:strCache>
            </c:strRef>
          </c:tx>
          <c:spPr>
            <a:noFill/>
          </c:spPr>
          <c:invertIfNegative val="0"/>
          <c:dLbls>
            <c:delete val="1"/>
          </c:dLbls>
          <c:cat>
            <c:strRef>
              <c:f>'Graphiques - Grafiken FINAL a-b'!$A$3:$A$7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a-b'!$B$3:$B$7</c:f>
              <c:numCache>
                <c:formatCode>General</c:formatCode>
                <c:ptCount val="5"/>
                <c:pt idx="0">
                  <c:v>22</c:v>
                </c:pt>
                <c:pt idx="1">
                  <c:v>112</c:v>
                </c:pt>
                <c:pt idx="2">
                  <c:v>86</c:v>
                </c:pt>
                <c:pt idx="3">
                  <c:v>30</c:v>
                </c:pt>
                <c:pt idx="4">
                  <c:v>22</c:v>
                </c:pt>
              </c:numCache>
            </c:numRef>
          </c:val>
          <c:extLst>
            <c:ext xmlns:c16="http://schemas.microsoft.com/office/drawing/2014/chart" uri="{C3380CC4-5D6E-409C-BE32-E72D297353CC}">
              <c16:uniqueId val="{0000001B-59D4-4F2A-9C71-2C6B3208B61B}"/>
            </c:ext>
          </c:extLst>
        </c:ser>
        <c:dLbls>
          <c:showLegendKey val="0"/>
          <c:showVal val="1"/>
          <c:showCatName val="0"/>
          <c:showSerName val="0"/>
          <c:showPercent val="0"/>
          <c:showBubbleSize val="0"/>
        </c:dLbls>
        <c:gapWidth val="117"/>
        <c:gapDepth val="0"/>
        <c:shape val="box"/>
        <c:axId val="539725440"/>
        <c:axId val="539725832"/>
        <c:axId val="0"/>
      </c:bar3DChart>
      <c:catAx>
        <c:axId val="539725440"/>
        <c:scaling>
          <c:orientation val="minMax"/>
        </c:scaling>
        <c:delete val="0"/>
        <c:axPos val="b"/>
        <c:numFmt formatCode="General" sourceLinked="0"/>
        <c:majorTickMark val="out"/>
        <c:minorTickMark val="none"/>
        <c:tickLblPos val="nextTo"/>
        <c:crossAx val="539725832"/>
        <c:crosses val="autoZero"/>
        <c:auto val="1"/>
        <c:lblAlgn val="ctr"/>
        <c:lblOffset val="100"/>
        <c:noMultiLvlLbl val="0"/>
      </c:catAx>
      <c:valAx>
        <c:axId val="539725832"/>
        <c:scaling>
          <c:orientation val="minMax"/>
          <c:max val="12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539725440"/>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Débit / Abfluss - Final 2018</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'Graphiques - Grafiken FINAL a-e'!$B$34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1-BDEE-458B-9435-B4B70540C4E6}"/>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3-BDEE-458B-9435-B4B70540C4E6}"/>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5-BDEE-458B-9435-B4B70540C4E6}"/>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BDEE-458B-9435-B4B70540C4E6}"/>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9-BDEE-458B-9435-B4B70540C4E6}"/>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B-BDEE-458B-9435-B4B70540C4E6}"/>
              </c:ext>
            </c:extLst>
          </c:dPt>
          <c:dLbls>
            <c:delete val="1"/>
          </c:dLbls>
          <c:cat>
            <c:strRef>
              <c:f>'Graphiques - Grafiken FINAL a-e'!$A$35:$A$40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FINAL a-e'!$B$35:$B$40</c:f>
              <c:numCache>
                <c:formatCode>General</c:formatCode>
                <c:ptCount val="6"/>
                <c:pt idx="0">
                  <c:v>24</c:v>
                </c:pt>
                <c:pt idx="1">
                  <c:v>170</c:v>
                </c:pt>
                <c:pt idx="2">
                  <c:v>9</c:v>
                </c:pt>
                <c:pt idx="3">
                  <c:v>12</c:v>
                </c:pt>
                <c:pt idx="4">
                  <c:v>27</c:v>
                </c:pt>
                <c:pt idx="5">
                  <c:v>30</c:v>
                </c:pt>
              </c:numCache>
            </c:numRef>
          </c:val>
          <c:extLst>
            <c:ext xmlns:c16="http://schemas.microsoft.com/office/drawing/2014/chart" uri="{C3380CC4-5D6E-409C-BE32-E72D297353CC}">
              <c16:uniqueId val="{0000000C-BDEE-458B-9435-B4B70540C4E6}"/>
            </c:ext>
          </c:extLst>
        </c:ser>
        <c:ser>
          <c:idx val="1"/>
          <c:order val="1"/>
          <c:tx>
            <c:strRef>
              <c:f>'Graphiques - Grafiken FINAL a-e'!$G$34</c:f>
              <c:strCache>
                <c:ptCount val="1"/>
                <c:pt idx="0">
                  <c:v>%</c:v>
                </c:pt>
              </c:strCache>
            </c:strRef>
          </c:tx>
          <c:spPr>
            <a:noFill/>
          </c:spPr>
          <c:invertIfNegative val="0"/>
          <c:dLbls>
            <c:dLbl>
              <c:idx val="0"/>
              <c:layout>
                <c:manualLayout>
                  <c:x val="2.6967045785943423E-2"/>
                  <c:y val="-5.51872682581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EE-458B-9435-B4B70540C4E6}"/>
                </c:ext>
              </c:extLst>
            </c:dLbl>
            <c:dLbl>
              <c:idx val="1"/>
              <c:layout>
                <c:manualLayout>
                  <c:x val="2.4987848741129581E-2"/>
                  <c:y val="-5.1456484606090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DEE-458B-9435-B4B70540C4E6}"/>
                </c:ext>
              </c:extLst>
            </c:dLbl>
            <c:dLbl>
              <c:idx val="2"/>
              <c:layout>
                <c:manualLayout>
                  <c:x val="2.1055093807718535E-2"/>
                  <c:y val="-5.5159771695204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DEE-458B-9435-B4B70540C4E6}"/>
                </c:ext>
              </c:extLst>
            </c:dLbl>
            <c:dLbl>
              <c:idx val="3"/>
              <c:layout>
                <c:manualLayout>
                  <c:x val="1.8691601049868767E-2"/>
                  <c:y val="-8.369650068813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DEE-458B-9435-B4B70540C4E6}"/>
                </c:ext>
              </c:extLst>
            </c:dLbl>
            <c:dLbl>
              <c:idx val="4"/>
              <c:layout>
                <c:manualLayout>
                  <c:x val="2.3321182074462914E-2"/>
                  <c:y val="-5.7778194392367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DEE-458B-9435-B4B70540C4E6}"/>
                </c:ext>
              </c:extLst>
            </c:dLbl>
            <c:dLbl>
              <c:idx val="5"/>
              <c:layout>
                <c:manualLayout>
                  <c:x val="2.6530815592495496E-2"/>
                  <c:y val="-4.9861267341582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DEE-458B-9435-B4B70540C4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a-e'!$A$35:$A$40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FINAL a-e'!$G$35:$G$40</c:f>
              <c:numCache>
                <c:formatCode>0%</c:formatCode>
                <c:ptCount val="6"/>
                <c:pt idx="0">
                  <c:v>8.8235294117647065E-2</c:v>
                </c:pt>
                <c:pt idx="1">
                  <c:v>0.625</c:v>
                </c:pt>
                <c:pt idx="2">
                  <c:v>3.3088235294117647E-2</c:v>
                </c:pt>
                <c:pt idx="3">
                  <c:v>4.4117647058823532E-2</c:v>
                </c:pt>
                <c:pt idx="4">
                  <c:v>9.9264705882352935E-2</c:v>
                </c:pt>
                <c:pt idx="5">
                  <c:v>0.11029411764705882</c:v>
                </c:pt>
              </c:numCache>
            </c:numRef>
          </c:val>
          <c:extLst>
            <c:ext xmlns:c16="http://schemas.microsoft.com/office/drawing/2014/chart" uri="{C3380CC4-5D6E-409C-BE32-E72D297353CC}">
              <c16:uniqueId val="{00000013-BDEE-458B-9435-B4B70540C4E6}"/>
            </c:ext>
          </c:extLst>
        </c:ser>
        <c:dLbls>
          <c:showLegendKey val="0"/>
          <c:showVal val="1"/>
          <c:showCatName val="0"/>
          <c:showSerName val="0"/>
          <c:showPercent val="0"/>
          <c:showBubbleSize val="0"/>
        </c:dLbls>
        <c:gapWidth val="95"/>
        <c:gapDepth val="0"/>
        <c:shape val="box"/>
        <c:axId val="404429824"/>
        <c:axId val="404431000"/>
        <c:axId val="0"/>
      </c:bar3DChart>
      <c:catAx>
        <c:axId val="404429824"/>
        <c:scaling>
          <c:orientation val="minMax"/>
        </c:scaling>
        <c:delete val="0"/>
        <c:axPos val="b"/>
        <c:numFmt formatCode="General" sourceLinked="0"/>
        <c:majorTickMark val="out"/>
        <c:minorTickMark val="none"/>
        <c:tickLblPos val="nextTo"/>
        <c:crossAx val="404431000"/>
        <c:crosses val="autoZero"/>
        <c:auto val="0"/>
        <c:lblAlgn val="ctr"/>
        <c:lblOffset val="100"/>
        <c:noMultiLvlLbl val="0"/>
      </c:catAx>
      <c:valAx>
        <c:axId val="404431000"/>
        <c:scaling>
          <c:orientation val="minMax"/>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404429824"/>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Eclusée / Schwall-Sunk - Final</a:t>
            </a:r>
            <a:r>
              <a:rPr lang="fr-CH" baseline="0"/>
              <a:t> 2018</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'[1]Graphiques - Grafiken PLANIF'!$B$54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327C-4804-AB2E-5E725E43BF29}"/>
              </c:ext>
            </c:extLst>
          </c:dPt>
          <c:dPt>
            <c:idx val="1"/>
            <c:invertIfNegative val="0"/>
            <c:bubble3D val="0"/>
            <c:spPr>
              <a:solidFill>
                <a:srgbClr val="FFFF00"/>
              </a:solidFill>
              <a:ln>
                <a:solidFill>
                  <a:schemeClr val="tx1"/>
                </a:solidFill>
              </a:ln>
            </c:spPr>
            <c:extLst>
              <c:ext xmlns:c16="http://schemas.microsoft.com/office/drawing/2014/chart" uri="{C3380CC4-5D6E-409C-BE32-E72D297353CC}">
                <c16:uniqueId val="{00000003-327C-4804-AB2E-5E725E43BF29}"/>
              </c:ext>
            </c:extLst>
          </c:dPt>
          <c:dPt>
            <c:idx val="2"/>
            <c:invertIfNegative val="0"/>
            <c:bubble3D val="0"/>
            <c:spPr>
              <a:solidFill>
                <a:srgbClr val="FF0000"/>
              </a:solidFill>
              <a:ln>
                <a:solidFill>
                  <a:schemeClr val="tx1"/>
                </a:solidFill>
              </a:ln>
            </c:spPr>
            <c:extLst>
              <c:ext xmlns:c16="http://schemas.microsoft.com/office/drawing/2014/chart" uri="{C3380CC4-5D6E-409C-BE32-E72D297353CC}">
                <c16:uniqueId val="{00000005-327C-4804-AB2E-5E725E43BF29}"/>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327C-4804-AB2E-5E725E43BF29}"/>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9-327C-4804-AB2E-5E725E43BF29}"/>
              </c:ext>
            </c:extLst>
          </c:dPt>
          <c:dLbls>
            <c:delete val="1"/>
          </c:dLbls>
          <c:cat>
            <c:strRef>
              <c:f>'[1]Graphiques - Grafiken PLANIF'!$A$55:$A$57</c:f>
              <c:strCache>
                <c:ptCount val="3"/>
                <c:pt idx="0">
                  <c:v>Non affecté 
nicht betroffen</c:v>
                </c:pt>
                <c:pt idx="1">
                  <c:v>Potentiellement affecté (non plausible) 
möglicherweise betroffen
 (nicht nachweisbar)</c:v>
                </c:pt>
                <c:pt idx="2">
                  <c:v>Potentiellement affecté  (plausible)
 möglicherweise betroffen (nachweisbar)</c:v>
                </c:pt>
              </c:strCache>
            </c:strRef>
          </c:cat>
          <c:val>
            <c:numRef>
              <c:f>'[1]Graphiques - Grafiken PLANIF'!$B$55:$B$57</c:f>
              <c:numCache>
                <c:formatCode>General</c:formatCode>
                <c:ptCount val="3"/>
                <c:pt idx="0">
                  <c:v>0</c:v>
                </c:pt>
                <c:pt idx="1">
                  <c:v>0</c:v>
                </c:pt>
                <c:pt idx="2">
                  <c:v>0</c:v>
                </c:pt>
              </c:numCache>
            </c:numRef>
          </c:val>
          <c:extLst>
            <c:ext xmlns:c16="http://schemas.microsoft.com/office/drawing/2014/chart" uri="{C3380CC4-5D6E-409C-BE32-E72D297353CC}">
              <c16:uniqueId val="{0000000A-327C-4804-AB2E-5E725E43BF29}"/>
            </c:ext>
          </c:extLst>
        </c:ser>
        <c:ser>
          <c:idx val="1"/>
          <c:order val="1"/>
          <c:tx>
            <c:strRef>
              <c:f>'[1]Graphiques - Grafiken PLANIF'!$C$54</c:f>
              <c:strCache>
                <c:ptCount val="1"/>
                <c:pt idx="0">
                  <c:v>%</c:v>
                </c:pt>
              </c:strCache>
            </c:strRef>
          </c:tx>
          <c:spPr>
            <a:noFill/>
          </c:spPr>
          <c:invertIfNegative val="0"/>
          <c:dLbls>
            <c:dLbl>
              <c:idx val="0"/>
              <c:layout>
                <c:manualLayout>
                  <c:x val="2.401579933754797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7C-4804-AB2E-5E725E43BF29}"/>
                </c:ext>
              </c:extLst>
            </c:dLbl>
            <c:dLbl>
              <c:idx val="1"/>
              <c:layout>
                <c:manualLayout>
                  <c:x val="2.3111877517623294E-2"/>
                  <c:y val="-6.7247451730066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7C-4804-AB2E-5E725E43BF29}"/>
                </c:ext>
              </c:extLst>
            </c:dLbl>
            <c:dLbl>
              <c:idx val="2"/>
              <c:layout>
                <c:manualLayout>
                  <c:x val="2.2925725242043768E-2"/>
                  <c:y val="-6.8269805125070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7C-4804-AB2E-5E725E43BF2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'[1]Graphiques - Grafiken PLANIF'!$C$55:$C$57</c:f>
              <c:numCache>
                <c:formatCode>General</c:formatCode>
                <c:ptCount val="3"/>
                <c:pt idx="0">
                  <c:v>0</c:v>
                </c:pt>
                <c:pt idx="1">
                  <c:v>0</c:v>
                </c:pt>
                <c:pt idx="2">
                  <c:v>0</c:v>
                </c:pt>
              </c:numCache>
            </c:numRef>
          </c:val>
          <c:extLst>
            <c:ext xmlns:c16="http://schemas.microsoft.com/office/drawing/2014/chart" uri="{C3380CC4-5D6E-409C-BE32-E72D297353CC}">
              <c16:uniqueId val="{0000000E-327C-4804-AB2E-5E725E43BF29}"/>
            </c:ext>
          </c:extLst>
        </c:ser>
        <c:dLbls>
          <c:showLegendKey val="0"/>
          <c:showVal val="1"/>
          <c:showCatName val="0"/>
          <c:showSerName val="0"/>
          <c:showPercent val="0"/>
          <c:showBubbleSize val="0"/>
        </c:dLbls>
        <c:gapWidth val="369"/>
        <c:gapDepth val="0"/>
        <c:shape val="box"/>
        <c:axId val="424207312"/>
        <c:axId val="424208096"/>
        <c:axId val="0"/>
      </c:bar3DChart>
      <c:catAx>
        <c:axId val="424207312"/>
        <c:scaling>
          <c:orientation val="minMax"/>
        </c:scaling>
        <c:delete val="0"/>
        <c:axPos val="b"/>
        <c:numFmt formatCode="General" sourceLinked="0"/>
        <c:majorTickMark val="out"/>
        <c:minorTickMark val="none"/>
        <c:tickLblPos val="nextTo"/>
        <c:crossAx val="424208096"/>
        <c:crosses val="autoZero"/>
        <c:auto val="0"/>
        <c:lblAlgn val="ctr"/>
        <c:lblOffset val="100"/>
        <c:noMultiLvlLbl val="0"/>
      </c:catAx>
      <c:valAx>
        <c:axId val="424208096"/>
        <c:scaling>
          <c:orientation val="minMax"/>
        </c:scaling>
        <c:delete val="0"/>
        <c:axPos val="l"/>
        <c:majorGridlines/>
        <c:title>
          <c:tx>
            <c:rich>
              <a:bodyPr rot="-5400000" vert="horz"/>
              <a:lstStyle/>
              <a:p>
                <a:pPr>
                  <a:defRPr/>
                </a:pPr>
                <a:r>
                  <a:rPr lang="en-US"/>
                  <a:t>Nombre d'objets / Anzahl Objekte</a:t>
                </a:r>
              </a:p>
            </c:rich>
          </c:tx>
          <c:overlay val="0"/>
        </c:title>
        <c:numFmt formatCode="General" sourceLinked="1"/>
        <c:majorTickMark val="out"/>
        <c:minorTickMark val="none"/>
        <c:tickLblPos val="nextTo"/>
        <c:crossAx val="42420731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Revitalisation / Revitalisierung - Final</a:t>
            </a:r>
            <a:r>
              <a:rPr lang="fr-CH" baseline="0"/>
              <a:t> 2018</a:t>
            </a:r>
            <a:endParaRPr lang="fr-CH"/>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6"/>
          <c:order val="0"/>
          <c:tx>
            <c:strRef>
              <c:f>'Graphiques - Grafiken FINAL a-e'!$G$77</c:f>
              <c:strCache>
                <c:ptCount val="1"/>
                <c:pt idx="0">
                  <c:v>e</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25-EEA5-4C7A-807C-B12EE0A55BEE}"/>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26-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24-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27-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23-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8-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5-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a-e'!$G$78:$G$83</c:f>
              <c:numCache>
                <c:formatCode>General</c:formatCode>
                <c:ptCount val="6"/>
                <c:pt idx="0">
                  <c:v>0</c:v>
                </c:pt>
                <c:pt idx="1">
                  <c:v>5</c:v>
                </c:pt>
                <c:pt idx="2">
                  <c:v>8</c:v>
                </c:pt>
                <c:pt idx="3">
                  <c:v>13</c:v>
                </c:pt>
                <c:pt idx="4">
                  <c:v>10</c:v>
                </c:pt>
                <c:pt idx="5">
                  <c:v>1</c:v>
                </c:pt>
              </c:numCache>
            </c:numRef>
          </c:val>
          <c:extLst>
            <c:ext xmlns:c16="http://schemas.microsoft.com/office/drawing/2014/chart" uri="{C3380CC4-5D6E-409C-BE32-E72D297353CC}">
              <c16:uniqueId val="{00000018-EEA5-4C7A-807C-B12EE0A55BEE}"/>
            </c:ext>
          </c:extLst>
        </c:ser>
        <c:ser>
          <c:idx val="5"/>
          <c:order val="1"/>
          <c:tx>
            <c:strRef>
              <c:f>'Graphiques - Grafiken FINAL a-e'!$F$77</c:f>
              <c:strCache>
                <c:ptCount val="1"/>
                <c:pt idx="0">
                  <c:v>d</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A-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B-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E-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1F-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1-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9-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a-e'!$F$78:$F$83</c:f>
              <c:numCache>
                <c:formatCode>General</c:formatCode>
                <c:ptCount val="6"/>
                <c:pt idx="0">
                  <c:v>0</c:v>
                </c:pt>
                <c:pt idx="1">
                  <c:v>55</c:v>
                </c:pt>
                <c:pt idx="2">
                  <c:v>7</c:v>
                </c:pt>
                <c:pt idx="3">
                  <c:v>9</c:v>
                </c:pt>
                <c:pt idx="4">
                  <c:v>8</c:v>
                </c:pt>
                <c:pt idx="5">
                  <c:v>45</c:v>
                </c:pt>
              </c:numCache>
            </c:numRef>
          </c:val>
          <c:extLst>
            <c:ext xmlns:c16="http://schemas.microsoft.com/office/drawing/2014/chart" uri="{C3380CC4-5D6E-409C-BE32-E72D297353CC}">
              <c16:uniqueId val="{00000017-EEA5-4C7A-807C-B12EE0A55BEE}"/>
            </c:ext>
          </c:extLst>
        </c:ser>
        <c:ser>
          <c:idx val="4"/>
          <c:order val="2"/>
          <c:tx>
            <c:strRef>
              <c:f>'Graphiques - Grafiken FINAL a-e'!$E$77</c:f>
              <c:strCache>
                <c:ptCount val="1"/>
                <c:pt idx="0">
                  <c:v>c</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9-EEA5-4C7A-807C-B12EE0A55BE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C-EEA5-4C7A-807C-B12EE0A55BE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D-EEA5-4C7A-807C-B12EE0A55BE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20-EEA5-4C7A-807C-B12EE0A55BE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22-EEA5-4C7A-807C-B12EE0A55BEE}"/>
              </c:ext>
            </c:extLst>
          </c:dPt>
          <c:dLbls>
            <c:dLbl>
              <c:idx val="0"/>
              <c:delete val="1"/>
              <c:extLst>
                <c:ext xmlns:c15="http://schemas.microsoft.com/office/drawing/2012/chart" uri="{CE6537A1-D6FC-4f65-9D91-7224C49458BB}"/>
                <c:ext xmlns:c16="http://schemas.microsoft.com/office/drawing/2014/chart" uri="{C3380CC4-5D6E-409C-BE32-E72D297353CC}">
                  <c16:uniqueId val="{0000002A-EEA5-4C7A-807C-B12EE0A55BE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a-e'!$E$78:$E$83</c:f>
              <c:numCache>
                <c:formatCode>General</c:formatCode>
                <c:ptCount val="6"/>
                <c:pt idx="0">
                  <c:v>0</c:v>
                </c:pt>
                <c:pt idx="1">
                  <c:v>14</c:v>
                </c:pt>
                <c:pt idx="2">
                  <c:v>6</c:v>
                </c:pt>
                <c:pt idx="3">
                  <c:v>21</c:v>
                </c:pt>
                <c:pt idx="4">
                  <c:v>3</c:v>
                </c:pt>
                <c:pt idx="5">
                  <c:v>9</c:v>
                </c:pt>
              </c:numCache>
            </c:numRef>
          </c:val>
          <c:extLst>
            <c:ext xmlns:c16="http://schemas.microsoft.com/office/drawing/2014/chart" uri="{C3380CC4-5D6E-409C-BE32-E72D297353CC}">
              <c16:uniqueId val="{00000016-EEA5-4C7A-807C-B12EE0A55BEE}"/>
            </c:ext>
          </c:extLst>
        </c:ser>
        <c:ser>
          <c:idx val="1"/>
          <c:order val="3"/>
          <c:tx>
            <c:strRef>
              <c:f>'Graphiques - Grafiken FINAL a-e'!$D$77</c:f>
              <c:strCache>
                <c:ptCount val="1"/>
                <c:pt idx="0">
                  <c:v>b</c:v>
                </c:pt>
              </c:strCache>
            </c:strRef>
          </c:tx>
          <c:spPr>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7-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9-C260-4B81-86D6-13270780D35E}"/>
              </c:ext>
            </c:extLst>
          </c:dPt>
          <c:dLbls>
            <c:dLbl>
              <c:idx val="0"/>
              <c:delete val="1"/>
              <c:extLst>
                <c:ext xmlns:c15="http://schemas.microsoft.com/office/drawing/2012/chart" uri="{CE6537A1-D6FC-4f65-9D91-7224C49458BB}"/>
                <c:ext xmlns:c16="http://schemas.microsoft.com/office/drawing/2014/chart" uri="{C3380CC4-5D6E-409C-BE32-E72D297353CC}">
                  <c16:uniqueId val="{0000000A-C260-4B81-86D6-13270780D3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a-e'!$D$78:$D$83</c:f>
              <c:numCache>
                <c:formatCode>General</c:formatCode>
                <c:ptCount val="6"/>
                <c:pt idx="0">
                  <c:v>0</c:v>
                </c:pt>
                <c:pt idx="1">
                  <c:v>6</c:v>
                </c:pt>
                <c:pt idx="2">
                  <c:v>0</c:v>
                </c:pt>
                <c:pt idx="3">
                  <c:v>0</c:v>
                </c:pt>
                <c:pt idx="4">
                  <c:v>2</c:v>
                </c:pt>
                <c:pt idx="5">
                  <c:v>2</c:v>
                </c:pt>
              </c:numCache>
            </c:numRef>
          </c:val>
          <c:extLst>
            <c:ext xmlns:c16="http://schemas.microsoft.com/office/drawing/2014/chart" uri="{C3380CC4-5D6E-409C-BE32-E72D297353CC}">
              <c16:uniqueId val="{0000000B-C260-4B81-86D6-13270780D35E}"/>
            </c:ext>
          </c:extLst>
        </c:ser>
        <c:ser>
          <c:idx val="0"/>
          <c:order val="4"/>
          <c:tx>
            <c:strRef>
              <c:f>'Graphiques - Grafiken FINAL a-e'!$C$77</c:f>
              <c:strCache>
                <c:ptCount val="1"/>
                <c:pt idx="0">
                  <c:v>a</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D-C260-4B81-86D6-13270780D35E}"/>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F-C260-4B81-86D6-13270780D35E}"/>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11-C260-4B81-86D6-13270780D35E}"/>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3-C260-4B81-86D6-13270780D35E}"/>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15-C260-4B81-86D6-13270780D35E}"/>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17-C260-4B81-86D6-13270780D35E}"/>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a-e'!$C$78:$C$83</c:f>
              <c:numCache>
                <c:formatCode>General</c:formatCode>
                <c:ptCount val="6"/>
                <c:pt idx="0">
                  <c:v>14</c:v>
                </c:pt>
                <c:pt idx="1">
                  <c:v>16</c:v>
                </c:pt>
                <c:pt idx="2">
                  <c:v>0</c:v>
                </c:pt>
                <c:pt idx="3">
                  <c:v>3</c:v>
                </c:pt>
                <c:pt idx="4">
                  <c:v>1</c:v>
                </c:pt>
                <c:pt idx="5">
                  <c:v>5</c:v>
                </c:pt>
              </c:numCache>
            </c:numRef>
          </c:val>
          <c:extLst>
            <c:ext xmlns:c16="http://schemas.microsoft.com/office/drawing/2014/chart" uri="{C3380CC4-5D6E-409C-BE32-E72D297353CC}">
              <c16:uniqueId val="{00000018-C260-4B81-86D6-13270780D35E}"/>
            </c:ext>
          </c:extLst>
        </c:ser>
        <c:ser>
          <c:idx val="3"/>
          <c:order val="5"/>
          <c:tx>
            <c:strRef>
              <c:f>'Graphiques - Grafiken FINAL a-e'!$H$77</c:f>
              <c:strCache>
                <c:ptCount val="1"/>
                <c:pt idx="0">
                  <c:v>%</c:v>
                </c:pt>
              </c:strCache>
            </c:strRef>
          </c:tx>
          <c:spPr>
            <a:noFill/>
          </c:spPr>
          <c:invertIfNegative val="0"/>
          <c:dLbls>
            <c:dLbl>
              <c:idx val="0"/>
              <c:layout>
                <c:manualLayout>
                  <c:x val="2.3951870799880169E-2"/>
                  <c:y val="-5.3719196558763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260-4B81-86D6-13270780D35E}"/>
                </c:ext>
              </c:extLst>
            </c:dLbl>
            <c:dLbl>
              <c:idx val="1"/>
              <c:layout>
                <c:manualLayout>
                  <c:x val="2.453012983374742E-2"/>
                  <c:y val="-4.5756026186381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260-4B81-86D6-13270780D35E}"/>
                </c:ext>
              </c:extLst>
            </c:dLbl>
            <c:dLbl>
              <c:idx val="2"/>
              <c:layout>
                <c:manualLayout>
                  <c:x val="2.5541214163691414E-2"/>
                  <c:y val="-4.70587397505544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260-4B81-86D6-13270780D35E}"/>
                </c:ext>
              </c:extLst>
            </c:dLbl>
            <c:dLbl>
              <c:idx val="3"/>
              <c:layout>
                <c:manualLayout>
                  <c:x val="2.7987929297694645E-2"/>
                  <c:y val="-5.8632801108194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260-4B81-86D6-13270780D35E}"/>
                </c:ext>
              </c:extLst>
            </c:dLbl>
            <c:dLbl>
              <c:idx val="4"/>
              <c:layout>
                <c:manualLayout>
                  <c:x val="2.2084715006597554E-2"/>
                  <c:y val="-5.0865959463400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260-4B81-86D6-13270780D35E}"/>
                </c:ext>
              </c:extLst>
            </c:dLbl>
            <c:dLbl>
              <c:idx val="5"/>
              <c:layout>
                <c:manualLayout>
                  <c:x val="2.2854568372218803E-2"/>
                  <c:y val="-6.57257067004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260-4B81-86D6-13270780D35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a-e'!$H$78:$H$83</c:f>
              <c:numCache>
                <c:formatCode>0%</c:formatCode>
                <c:ptCount val="6"/>
                <c:pt idx="0">
                  <c:v>5.3231939163498096E-2</c:v>
                </c:pt>
                <c:pt idx="1">
                  <c:v>0.36501901140684412</c:v>
                </c:pt>
                <c:pt idx="2">
                  <c:v>7.9847908745247151E-2</c:v>
                </c:pt>
                <c:pt idx="3">
                  <c:v>0.17490494296577946</c:v>
                </c:pt>
                <c:pt idx="4">
                  <c:v>9.125475285171103E-2</c:v>
                </c:pt>
                <c:pt idx="5">
                  <c:v>0.23574144486692014</c:v>
                </c:pt>
              </c:numCache>
            </c:numRef>
          </c:val>
          <c:extLst>
            <c:ext xmlns:c16="http://schemas.microsoft.com/office/drawing/2014/chart" uri="{C3380CC4-5D6E-409C-BE32-E72D297353CC}">
              <c16:uniqueId val="{0000001F-C260-4B81-86D6-13270780D35E}"/>
            </c:ext>
          </c:extLst>
        </c:ser>
        <c:ser>
          <c:idx val="2"/>
          <c:order val="6"/>
          <c:tx>
            <c:strRef>
              <c:f>'Graphiques - Grafiken FINAL a-e'!$B$77</c:f>
              <c:strCache>
                <c:ptCount val="1"/>
                <c:pt idx="0">
                  <c:v>Nombre d'objets
Anzahl Objekte</c:v>
                </c:pt>
              </c:strCache>
            </c:strRef>
          </c:tx>
          <c:spPr>
            <a:noFill/>
          </c:spPr>
          <c:invertIfNegative val="0"/>
          <c:cat>
            <c:strRef>
              <c:f>'Graphiques - Grafiken FINAL a-e'!$A$78:$A$83</c:f>
              <c:strCache>
                <c:ptCount val="6"/>
                <c:pt idx="0">
                  <c:v>Non pertinent
 nicht relevant</c:v>
                </c:pt>
                <c:pt idx="1">
                  <c:v>Non nécessaire
nicht nötig</c:v>
                </c:pt>
                <c:pt idx="2">
                  <c:v>Partiellement nécessaire, difficile 
teilweise nötig, schwierig</c:v>
                </c:pt>
                <c:pt idx="3">
                  <c:v>Partiellement nécessaire, facile 
teilweise nötig, einfach</c:v>
                </c:pt>
                <c:pt idx="4">
                  <c:v>Très nécessaire, difficile 
unbedingt nötig, schwierig</c:v>
                </c:pt>
                <c:pt idx="5">
                  <c:v>Très nécessaire, facile 
unbedingt nötig, einfach</c:v>
                </c:pt>
              </c:strCache>
            </c:strRef>
          </c:cat>
          <c:val>
            <c:numRef>
              <c:f>'Graphiques - Grafiken FINAL a-e'!$B$78:$B$83</c:f>
              <c:numCache>
                <c:formatCode>General</c:formatCode>
                <c:ptCount val="6"/>
                <c:pt idx="0">
                  <c:v>14</c:v>
                </c:pt>
                <c:pt idx="1">
                  <c:v>96</c:v>
                </c:pt>
                <c:pt idx="2">
                  <c:v>21</c:v>
                </c:pt>
                <c:pt idx="3">
                  <c:v>46</c:v>
                </c:pt>
                <c:pt idx="4">
                  <c:v>24</c:v>
                </c:pt>
                <c:pt idx="5">
                  <c:v>62</c:v>
                </c:pt>
              </c:numCache>
            </c:numRef>
          </c:val>
          <c:extLst>
            <c:ext xmlns:c16="http://schemas.microsoft.com/office/drawing/2014/chart" uri="{C3380CC4-5D6E-409C-BE32-E72D297353CC}">
              <c16:uniqueId val="{00000020-C260-4B81-86D6-13270780D35E}"/>
            </c:ext>
          </c:extLst>
        </c:ser>
        <c:dLbls>
          <c:showLegendKey val="0"/>
          <c:showVal val="0"/>
          <c:showCatName val="0"/>
          <c:showSerName val="0"/>
          <c:showPercent val="0"/>
          <c:showBubbleSize val="0"/>
        </c:dLbls>
        <c:gapWidth val="84"/>
        <c:gapDepth val="0"/>
        <c:shape val="box"/>
        <c:axId val="424209272"/>
        <c:axId val="424208488"/>
        <c:axId val="0"/>
      </c:bar3DChart>
      <c:catAx>
        <c:axId val="424209272"/>
        <c:scaling>
          <c:orientation val="minMax"/>
        </c:scaling>
        <c:delete val="0"/>
        <c:axPos val="b"/>
        <c:numFmt formatCode="General" sourceLinked="0"/>
        <c:majorTickMark val="out"/>
        <c:minorTickMark val="none"/>
        <c:tickLblPos val="nextTo"/>
        <c:crossAx val="424208488"/>
        <c:crosses val="autoZero"/>
        <c:auto val="1"/>
        <c:lblAlgn val="ctr"/>
        <c:lblOffset val="100"/>
        <c:noMultiLvlLbl val="0"/>
      </c:catAx>
      <c:valAx>
        <c:axId val="424208488"/>
        <c:scaling>
          <c:orientation val="minMax"/>
          <c:max val="10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42420927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Charriage / Geschiebe -Final 2018</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6"/>
          <c:order val="0"/>
          <c:tx>
            <c:strRef>
              <c:f>'Graphiques - Grafiken FINAL a-e'!$G$2</c:f>
              <c:strCache>
                <c:ptCount val="1"/>
                <c:pt idx="0">
                  <c:v>e</c:v>
                </c:pt>
              </c:strCache>
            </c:strRef>
          </c:tx>
          <c:spPr>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1C-163C-4563-9074-AA3E3CE7864D}"/>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F-163C-4563-9074-AA3E3CE7864D}"/>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20-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21-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22-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C-163C-4563-9074-AA3E3CE7864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a-e'!$G$3:$G$7</c:f>
              <c:numCache>
                <c:formatCode>General</c:formatCode>
                <c:ptCount val="5"/>
                <c:pt idx="0">
                  <c:v>0</c:v>
                </c:pt>
                <c:pt idx="1">
                  <c:v>4</c:v>
                </c:pt>
                <c:pt idx="2">
                  <c:v>4</c:v>
                </c:pt>
                <c:pt idx="3">
                  <c:v>1</c:v>
                </c:pt>
                <c:pt idx="4">
                  <c:v>1</c:v>
                </c:pt>
              </c:numCache>
            </c:numRef>
          </c:val>
          <c:extLst>
            <c:ext xmlns:c16="http://schemas.microsoft.com/office/drawing/2014/chart" uri="{C3380CC4-5D6E-409C-BE32-E72D297353CC}">
              <c16:uniqueId val="{00000015-163C-4563-9074-AA3E3CE7864D}"/>
            </c:ext>
          </c:extLst>
        </c:ser>
        <c:ser>
          <c:idx val="5"/>
          <c:order val="1"/>
          <c:tx>
            <c:strRef>
              <c:f>'Graphiques - Grafiken FINAL a-e'!$F$2</c:f>
              <c:strCache>
                <c:ptCount val="1"/>
                <c:pt idx="0">
                  <c:v>d</c:v>
                </c:pt>
              </c:strCache>
            </c:strRef>
          </c:tx>
          <c:spPr>
            <a:solidFill>
              <a:srgbClr val="92D050"/>
            </a:solidFill>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7-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9-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B-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0-9809-45C9-AFB9-BE17B0C3535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a-e'!$F$3:$F$7</c:f>
              <c:numCache>
                <c:formatCode>General</c:formatCode>
                <c:ptCount val="5"/>
                <c:pt idx="0">
                  <c:v>0</c:v>
                </c:pt>
                <c:pt idx="1">
                  <c:v>31</c:v>
                </c:pt>
                <c:pt idx="2">
                  <c:v>35</c:v>
                </c:pt>
                <c:pt idx="3">
                  <c:v>11</c:v>
                </c:pt>
                <c:pt idx="4">
                  <c:v>7</c:v>
                </c:pt>
              </c:numCache>
            </c:numRef>
          </c:val>
          <c:extLst>
            <c:ext xmlns:c16="http://schemas.microsoft.com/office/drawing/2014/chart" uri="{C3380CC4-5D6E-409C-BE32-E72D297353CC}">
              <c16:uniqueId val="{00000014-163C-4563-9074-AA3E3CE7864D}"/>
            </c:ext>
          </c:extLst>
        </c:ser>
        <c:ser>
          <c:idx val="4"/>
          <c:order val="2"/>
          <c:tx>
            <c:strRef>
              <c:f>'Graphiques - Grafiken FINAL a-e'!$E$2</c:f>
              <c:strCache>
                <c:ptCount val="1"/>
                <c:pt idx="0">
                  <c:v>c</c:v>
                </c:pt>
              </c:strCache>
            </c:strRef>
          </c:tx>
          <c:spPr>
            <a:solidFill>
              <a:srgbClr val="92D050"/>
            </a:solidFill>
            <a:ln>
              <a:solidFill>
                <a:schemeClr val="tx1"/>
              </a:solidFill>
            </a:ln>
          </c:spPr>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16-163C-4563-9074-AA3E3CE7864D}"/>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8-163C-4563-9074-AA3E3CE7864D}"/>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A-163C-4563-9074-AA3E3CE7864D}"/>
              </c:ext>
            </c:extLst>
          </c:dPt>
          <c:dLbls>
            <c:dLbl>
              <c:idx val="0"/>
              <c:delete val="1"/>
              <c:extLst>
                <c:ext xmlns:c15="http://schemas.microsoft.com/office/drawing/2012/chart" uri="{CE6537A1-D6FC-4f65-9D91-7224C49458BB}"/>
                <c:ext xmlns:c16="http://schemas.microsoft.com/office/drawing/2014/chart" uri="{C3380CC4-5D6E-409C-BE32-E72D297353CC}">
                  <c16:uniqueId val="{00000017-9809-45C9-AFB9-BE17B0C3535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a-e'!$E$3:$E$7</c:f>
              <c:numCache>
                <c:formatCode>General</c:formatCode>
                <c:ptCount val="5"/>
                <c:pt idx="0">
                  <c:v>0</c:v>
                </c:pt>
                <c:pt idx="1">
                  <c:v>15</c:v>
                </c:pt>
                <c:pt idx="2">
                  <c:v>27</c:v>
                </c:pt>
                <c:pt idx="3">
                  <c:v>7</c:v>
                </c:pt>
                <c:pt idx="4">
                  <c:v>5</c:v>
                </c:pt>
              </c:numCache>
            </c:numRef>
          </c:val>
          <c:extLst>
            <c:ext xmlns:c16="http://schemas.microsoft.com/office/drawing/2014/chart" uri="{C3380CC4-5D6E-409C-BE32-E72D297353CC}">
              <c16:uniqueId val="{00000013-163C-4563-9074-AA3E3CE7864D}"/>
            </c:ext>
          </c:extLst>
        </c:ser>
        <c:ser>
          <c:idx val="1"/>
          <c:order val="3"/>
          <c:tx>
            <c:strRef>
              <c:f>'Graphiques - Grafiken FINAL a-e'!$D$2</c:f>
              <c:strCache>
                <c:ptCount val="1"/>
                <c:pt idx="0">
                  <c:v>b</c:v>
                </c:pt>
              </c:strCache>
            </c:strRef>
          </c:tx>
          <c:invertIfNegative val="0"/>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1-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3-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5-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07-59D4-4F2A-9C71-2C6B3208B61B}"/>
              </c:ext>
            </c:extLst>
          </c:dPt>
          <c:dLbls>
            <c:dLbl>
              <c:idx val="0"/>
              <c:delete val="1"/>
              <c:extLst>
                <c:ext xmlns:c15="http://schemas.microsoft.com/office/drawing/2012/chart" uri="{CE6537A1-D6FC-4f65-9D91-7224C49458BB}"/>
                <c:ext xmlns:c16="http://schemas.microsoft.com/office/drawing/2014/chart" uri="{C3380CC4-5D6E-409C-BE32-E72D297353CC}">
                  <c16:uniqueId val="{00000020-9809-45C9-AFB9-BE17B0C3535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a-e'!$D$3:$D$7</c:f>
              <c:numCache>
                <c:formatCode>General</c:formatCode>
                <c:ptCount val="5"/>
                <c:pt idx="0">
                  <c:v>0</c:v>
                </c:pt>
                <c:pt idx="1">
                  <c:v>42</c:v>
                </c:pt>
                <c:pt idx="2">
                  <c:v>7</c:v>
                </c:pt>
                <c:pt idx="3">
                  <c:v>7</c:v>
                </c:pt>
                <c:pt idx="4">
                  <c:v>1</c:v>
                </c:pt>
              </c:numCache>
            </c:numRef>
          </c:val>
          <c:extLst>
            <c:ext xmlns:c16="http://schemas.microsoft.com/office/drawing/2014/chart" uri="{C3380CC4-5D6E-409C-BE32-E72D297353CC}">
              <c16:uniqueId val="{00000009-59D4-4F2A-9C71-2C6B3208B61B}"/>
            </c:ext>
          </c:extLst>
        </c:ser>
        <c:ser>
          <c:idx val="0"/>
          <c:order val="4"/>
          <c:tx>
            <c:strRef>
              <c:f>'Graphiques - Grafiken FINAL a-e'!$C$2</c:f>
              <c:strCache>
                <c:ptCount val="1"/>
                <c:pt idx="0">
                  <c:v>a  </c:v>
                </c:pt>
              </c:strCache>
            </c:strRef>
          </c:tx>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B-59D4-4F2A-9C71-2C6B3208B61B}"/>
              </c:ext>
            </c:extLst>
          </c:dPt>
          <c:dPt>
            <c:idx val="1"/>
            <c:invertIfNegative val="0"/>
            <c:bubble3D val="0"/>
            <c:spPr>
              <a:solidFill>
                <a:srgbClr val="00B0F0"/>
              </a:solidFill>
              <a:ln w="9525">
                <a:solidFill>
                  <a:schemeClr val="tx1"/>
                </a:solidFill>
              </a:ln>
            </c:spPr>
            <c:extLst>
              <c:ext xmlns:c16="http://schemas.microsoft.com/office/drawing/2014/chart" uri="{C3380CC4-5D6E-409C-BE32-E72D297353CC}">
                <c16:uniqueId val="{0000000D-59D4-4F2A-9C71-2C6B3208B61B}"/>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F-59D4-4F2A-9C71-2C6B3208B61B}"/>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11-59D4-4F2A-9C71-2C6B3208B61B}"/>
              </c:ext>
            </c:extLst>
          </c:dPt>
          <c:dPt>
            <c:idx val="4"/>
            <c:invertIfNegative val="0"/>
            <c:bubble3D val="0"/>
            <c:spPr>
              <a:solidFill>
                <a:srgbClr val="FF0000"/>
              </a:solidFill>
              <a:ln>
                <a:solidFill>
                  <a:schemeClr val="tx1"/>
                </a:solidFill>
              </a:ln>
            </c:spPr>
            <c:extLst>
              <c:ext xmlns:c16="http://schemas.microsoft.com/office/drawing/2014/chart" uri="{C3380CC4-5D6E-409C-BE32-E72D297353CC}">
                <c16:uniqueId val="{00000013-59D4-4F2A-9C71-2C6B3208B61B}"/>
              </c:ext>
            </c:extLst>
          </c:dPt>
          <c:dLbls>
            <c:numFmt formatCode="General"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a-e'!$C$3:$C$7</c:f>
              <c:numCache>
                <c:formatCode>General</c:formatCode>
                <c:ptCount val="5"/>
                <c:pt idx="0">
                  <c:v>22</c:v>
                </c:pt>
                <c:pt idx="1">
                  <c:v>20</c:v>
                </c:pt>
                <c:pt idx="2">
                  <c:v>13</c:v>
                </c:pt>
                <c:pt idx="3">
                  <c:v>4</c:v>
                </c:pt>
                <c:pt idx="4">
                  <c:v>8</c:v>
                </c:pt>
              </c:numCache>
            </c:numRef>
          </c:val>
          <c:extLst>
            <c:ext xmlns:c16="http://schemas.microsoft.com/office/drawing/2014/chart" uri="{C3380CC4-5D6E-409C-BE32-E72D297353CC}">
              <c16:uniqueId val="{00000014-59D4-4F2A-9C71-2C6B3208B61B}"/>
            </c:ext>
          </c:extLst>
        </c:ser>
        <c:ser>
          <c:idx val="2"/>
          <c:order val="5"/>
          <c:tx>
            <c:strRef>
              <c:f>'Graphiques - Grafiken FINAL a-e'!$H$2</c:f>
              <c:strCache>
                <c:ptCount val="1"/>
                <c:pt idx="0">
                  <c:v>%</c:v>
                </c:pt>
              </c:strCache>
            </c:strRef>
          </c:tx>
          <c:spPr>
            <a:noFill/>
          </c:spPr>
          <c:invertIfNegative val="0"/>
          <c:dLbls>
            <c:dLbl>
              <c:idx val="0"/>
              <c:layout>
                <c:manualLayout>
                  <c:x val="2.3191473535443697E-2"/>
                  <c:y val="-6.7786009260006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809-45C9-AFB9-BE17B0C35359}"/>
                </c:ext>
              </c:extLst>
            </c:dLbl>
            <c:dLbl>
              <c:idx val="1"/>
              <c:layout>
                <c:manualLayout>
                  <c:x val="2.3079367103403574E-2"/>
                  <c:y val="-7.7205435427435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809-45C9-AFB9-BE17B0C35359}"/>
                </c:ext>
              </c:extLst>
            </c:dLbl>
            <c:dLbl>
              <c:idx val="2"/>
              <c:layout>
                <c:manualLayout>
                  <c:x val="2.2057357405937391E-2"/>
                  <c:y val="-6.838846856560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809-45C9-AFB9-BE17B0C35359}"/>
                </c:ext>
              </c:extLst>
            </c:dLbl>
            <c:dLbl>
              <c:idx val="3"/>
              <c:layout>
                <c:manualLayout>
                  <c:x val="2.1758955231810598E-2"/>
                  <c:y val="-6.7225452295873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809-45C9-AFB9-BE17B0C35359}"/>
                </c:ext>
              </c:extLst>
            </c:dLbl>
            <c:dLbl>
              <c:idx val="4"/>
              <c:layout>
                <c:manualLayout>
                  <c:x val="2.072247548003868E-2"/>
                  <c:y val="-6.5362023629451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809-45C9-AFB9-BE17B0C35359}"/>
                </c:ext>
              </c:extLst>
            </c:dLbl>
            <c:numFmt formatCode="0%" sourceLinked="0"/>
            <c:spPr>
              <a:effectLst>
                <a:glow>
                  <a:schemeClr val="accent1"/>
                </a:glow>
              </a:effectLst>
            </c:spPr>
            <c:txPr>
              <a:bodyPr rot="0" vert="horz" anchor="t" anchorCtr="0"/>
              <a:lstStyle/>
              <a:p>
                <a:pPr>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a-e'!$H$3:$H$7</c:f>
              <c:numCache>
                <c:formatCode>0%</c:formatCode>
                <c:ptCount val="5"/>
                <c:pt idx="0">
                  <c:v>8.0882352941176475E-2</c:v>
                </c:pt>
                <c:pt idx="1">
                  <c:v>0.41176470588235292</c:v>
                </c:pt>
                <c:pt idx="2">
                  <c:v>0.31617647058823528</c:v>
                </c:pt>
                <c:pt idx="3">
                  <c:v>0.11029411764705882</c:v>
                </c:pt>
                <c:pt idx="4">
                  <c:v>8.0882352941176475E-2</c:v>
                </c:pt>
              </c:numCache>
            </c:numRef>
          </c:val>
          <c:extLst>
            <c:ext xmlns:c16="http://schemas.microsoft.com/office/drawing/2014/chart" uri="{C3380CC4-5D6E-409C-BE32-E72D297353CC}">
              <c16:uniqueId val="{0000001A-59D4-4F2A-9C71-2C6B3208B61B}"/>
            </c:ext>
          </c:extLst>
        </c:ser>
        <c:ser>
          <c:idx val="3"/>
          <c:order val="6"/>
          <c:tx>
            <c:strRef>
              <c:f>'Graphiques - Grafiken FINAL a-e'!$B$2</c:f>
              <c:strCache>
                <c:ptCount val="1"/>
                <c:pt idx="0">
                  <c:v>Nombre d'objets
Anzahl Objekte</c:v>
                </c:pt>
              </c:strCache>
            </c:strRef>
          </c:tx>
          <c:spPr>
            <a:noFill/>
          </c:spPr>
          <c:invertIfNegative val="0"/>
          <c:dLbls>
            <c:delete val="1"/>
          </c:dLbls>
          <c:cat>
            <c:strRef>
              <c:f>'Graphiques - Grafiken FINAL a-e'!$A$3:$A$7</c:f>
              <c:strCache>
                <c:ptCount val="5"/>
                <c:pt idx="0">
                  <c:v>Non pertinent
Nicht relevant</c:v>
                </c:pt>
                <c:pt idx="1">
                  <c:v>Naturel ou déficit 0-20% 
Natürlich oder Defizit 
0-20%</c:v>
                </c:pt>
                <c:pt idx="2">
                  <c:v>Faiblement perturbé ou déficit 21-50% 
Wenig beeinträchtigt oder Defizit 21-50%</c:v>
                </c:pt>
                <c:pt idx="3">
                  <c:v>Perturbé ou déficit 51-80% 
Beeinträchtigt oder Defizit 51-80%</c:v>
                </c:pt>
                <c:pt idx="4">
                  <c:v>Fortement perturbé ou déficit 81-100% 
Stark beeinträchtigt oder Defizit 81-100%</c:v>
                </c:pt>
              </c:strCache>
            </c:strRef>
          </c:cat>
          <c:val>
            <c:numRef>
              <c:f>'Graphiques - Grafiken FINAL a-e'!$B$3:$B$7</c:f>
              <c:numCache>
                <c:formatCode>General</c:formatCode>
                <c:ptCount val="5"/>
                <c:pt idx="0">
                  <c:v>22</c:v>
                </c:pt>
                <c:pt idx="1">
                  <c:v>112</c:v>
                </c:pt>
                <c:pt idx="2">
                  <c:v>86</c:v>
                </c:pt>
                <c:pt idx="3">
                  <c:v>30</c:v>
                </c:pt>
                <c:pt idx="4">
                  <c:v>22</c:v>
                </c:pt>
              </c:numCache>
            </c:numRef>
          </c:val>
          <c:extLst>
            <c:ext xmlns:c16="http://schemas.microsoft.com/office/drawing/2014/chart" uri="{C3380CC4-5D6E-409C-BE32-E72D297353CC}">
              <c16:uniqueId val="{0000001B-59D4-4F2A-9C71-2C6B3208B61B}"/>
            </c:ext>
          </c:extLst>
        </c:ser>
        <c:dLbls>
          <c:showLegendKey val="0"/>
          <c:showVal val="1"/>
          <c:showCatName val="0"/>
          <c:showSerName val="0"/>
          <c:showPercent val="0"/>
          <c:showBubbleSize val="0"/>
        </c:dLbls>
        <c:gapWidth val="117"/>
        <c:gapDepth val="0"/>
        <c:shape val="box"/>
        <c:axId val="424759616"/>
        <c:axId val="424760008"/>
        <c:axId val="0"/>
      </c:bar3DChart>
      <c:catAx>
        <c:axId val="424759616"/>
        <c:scaling>
          <c:orientation val="minMax"/>
        </c:scaling>
        <c:delete val="0"/>
        <c:axPos val="b"/>
        <c:numFmt formatCode="General" sourceLinked="0"/>
        <c:majorTickMark val="out"/>
        <c:minorTickMark val="none"/>
        <c:tickLblPos val="nextTo"/>
        <c:crossAx val="424760008"/>
        <c:crosses val="autoZero"/>
        <c:auto val="1"/>
        <c:lblAlgn val="ctr"/>
        <c:lblOffset val="100"/>
        <c:noMultiLvlLbl val="0"/>
      </c:catAx>
      <c:valAx>
        <c:axId val="424760008"/>
        <c:scaling>
          <c:orientation val="minMax"/>
          <c:max val="120"/>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424759616"/>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Débit / Abfluss</a:t>
            </a:r>
            <a:r>
              <a:rPr lang="fr-CH" baseline="0"/>
              <a:t> - Besoins 2014</a:t>
            </a:r>
            <a:endParaRPr lang="fr-CH"/>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'Graphiques - Grafiken 2014'!$B$34</c:f>
              <c:strCache>
                <c:ptCount val="1"/>
                <c:pt idx="0">
                  <c:v>Nombre d'objets
Anzahl Objekte</c:v>
                </c:pt>
              </c:strCache>
            </c:strRef>
          </c:tx>
          <c:spPr>
            <a:solidFill>
              <a:schemeClr val="accent1"/>
            </a:solidFill>
            <a:ln>
              <a:solidFill>
                <a:schemeClr val="tx1"/>
              </a:solidFill>
            </a:ln>
          </c:spPr>
          <c:invertIfNegative val="0"/>
          <c:dPt>
            <c:idx val="0"/>
            <c:invertIfNegative val="0"/>
            <c:bubble3D val="0"/>
            <c:spPr>
              <a:solidFill>
                <a:schemeClr val="bg1">
                  <a:lumMod val="65000"/>
                </a:schemeClr>
              </a:solidFill>
              <a:ln>
                <a:solidFill>
                  <a:schemeClr val="tx1"/>
                </a:solidFill>
              </a:ln>
            </c:spPr>
            <c:extLst>
              <c:ext xmlns:c16="http://schemas.microsoft.com/office/drawing/2014/chart" uri="{C3380CC4-5D6E-409C-BE32-E72D297353CC}">
                <c16:uniqueId val="{00000001-BDEE-458B-9435-B4B70540C4E6}"/>
              </c:ext>
            </c:extLst>
          </c:dPt>
          <c:dPt>
            <c:idx val="1"/>
            <c:invertIfNegative val="0"/>
            <c:bubble3D val="0"/>
            <c:spPr>
              <a:solidFill>
                <a:srgbClr val="00B0F0"/>
              </a:solidFill>
              <a:ln>
                <a:solidFill>
                  <a:schemeClr val="tx1"/>
                </a:solidFill>
              </a:ln>
            </c:spPr>
            <c:extLst>
              <c:ext xmlns:c16="http://schemas.microsoft.com/office/drawing/2014/chart" uri="{C3380CC4-5D6E-409C-BE32-E72D297353CC}">
                <c16:uniqueId val="{00000003-BDEE-458B-9435-B4B70540C4E6}"/>
              </c:ext>
            </c:extLst>
          </c:dPt>
          <c:dPt>
            <c:idx val="2"/>
            <c:invertIfNegative val="0"/>
            <c:bubble3D val="0"/>
            <c:spPr>
              <a:solidFill>
                <a:srgbClr val="92D050"/>
              </a:solidFill>
              <a:ln>
                <a:solidFill>
                  <a:schemeClr val="tx1"/>
                </a:solidFill>
              </a:ln>
            </c:spPr>
            <c:extLst>
              <c:ext xmlns:c16="http://schemas.microsoft.com/office/drawing/2014/chart" uri="{C3380CC4-5D6E-409C-BE32-E72D297353CC}">
                <c16:uniqueId val="{00000005-BDEE-458B-9435-B4B70540C4E6}"/>
              </c:ext>
            </c:extLst>
          </c:dPt>
          <c:dPt>
            <c:idx val="3"/>
            <c:invertIfNegative val="0"/>
            <c:bubble3D val="0"/>
            <c:spPr>
              <a:solidFill>
                <a:srgbClr val="FFFF00"/>
              </a:solidFill>
              <a:ln>
                <a:solidFill>
                  <a:schemeClr val="tx1"/>
                </a:solidFill>
              </a:ln>
            </c:spPr>
            <c:extLst>
              <c:ext xmlns:c16="http://schemas.microsoft.com/office/drawing/2014/chart" uri="{C3380CC4-5D6E-409C-BE32-E72D297353CC}">
                <c16:uniqueId val="{00000007-BDEE-458B-9435-B4B70540C4E6}"/>
              </c:ext>
            </c:extLst>
          </c:dPt>
          <c:dPt>
            <c:idx val="4"/>
            <c:invertIfNegative val="0"/>
            <c:bubble3D val="0"/>
            <c:spPr>
              <a:solidFill>
                <a:srgbClr val="FFC000"/>
              </a:solidFill>
              <a:ln>
                <a:solidFill>
                  <a:schemeClr val="tx1"/>
                </a:solidFill>
              </a:ln>
            </c:spPr>
            <c:extLst>
              <c:ext xmlns:c16="http://schemas.microsoft.com/office/drawing/2014/chart" uri="{C3380CC4-5D6E-409C-BE32-E72D297353CC}">
                <c16:uniqueId val="{00000009-BDEE-458B-9435-B4B70540C4E6}"/>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B-BDEE-458B-9435-B4B70540C4E6}"/>
              </c:ext>
            </c:extLst>
          </c:dPt>
          <c:dLbls>
            <c:delete val="1"/>
          </c:dLbls>
          <c:cat>
            <c:strRef>
              <c:f>'Graphiques - Grafiken 2014'!$A$35:$A$40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2014'!$B$35:$B$40</c:f>
              <c:numCache>
                <c:formatCode>General</c:formatCode>
                <c:ptCount val="6"/>
                <c:pt idx="0">
                  <c:v>25</c:v>
                </c:pt>
                <c:pt idx="1">
                  <c:v>170</c:v>
                </c:pt>
                <c:pt idx="2">
                  <c:v>7</c:v>
                </c:pt>
                <c:pt idx="3">
                  <c:v>14</c:v>
                </c:pt>
                <c:pt idx="4">
                  <c:v>27</c:v>
                </c:pt>
                <c:pt idx="5">
                  <c:v>29</c:v>
                </c:pt>
              </c:numCache>
            </c:numRef>
          </c:val>
          <c:extLst>
            <c:ext xmlns:c16="http://schemas.microsoft.com/office/drawing/2014/chart" uri="{C3380CC4-5D6E-409C-BE32-E72D297353CC}">
              <c16:uniqueId val="{0000000C-BDEE-458B-9435-B4B70540C4E6}"/>
            </c:ext>
          </c:extLst>
        </c:ser>
        <c:ser>
          <c:idx val="1"/>
          <c:order val="1"/>
          <c:tx>
            <c:strRef>
              <c:f>'Graphiques - Grafiken 2014'!$G$34</c:f>
              <c:strCache>
                <c:ptCount val="1"/>
                <c:pt idx="0">
                  <c:v>%</c:v>
                </c:pt>
              </c:strCache>
            </c:strRef>
          </c:tx>
          <c:spPr>
            <a:noFill/>
          </c:spPr>
          <c:invertIfNegative val="0"/>
          <c:dLbls>
            <c:dLbl>
              <c:idx val="0"/>
              <c:layout>
                <c:manualLayout>
                  <c:x val="2.6967045785943423E-2"/>
                  <c:y val="-5.51872682581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EE-458B-9435-B4B70540C4E6}"/>
                </c:ext>
              </c:extLst>
            </c:dLbl>
            <c:dLbl>
              <c:idx val="1"/>
              <c:layout>
                <c:manualLayout>
                  <c:x val="2.4987848741129581E-2"/>
                  <c:y val="-5.1456484606090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DEE-458B-9435-B4B70540C4E6}"/>
                </c:ext>
              </c:extLst>
            </c:dLbl>
            <c:dLbl>
              <c:idx val="2"/>
              <c:layout>
                <c:manualLayout>
                  <c:x val="2.1055093807718535E-2"/>
                  <c:y val="-5.5159771695204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DEE-458B-9435-B4B70540C4E6}"/>
                </c:ext>
              </c:extLst>
            </c:dLbl>
            <c:dLbl>
              <c:idx val="3"/>
              <c:layout>
                <c:manualLayout>
                  <c:x val="1.8691601049868767E-2"/>
                  <c:y val="-8.369650068813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DEE-458B-9435-B4B70540C4E6}"/>
                </c:ext>
              </c:extLst>
            </c:dLbl>
            <c:dLbl>
              <c:idx val="4"/>
              <c:layout>
                <c:manualLayout>
                  <c:x val="2.3321182074462914E-2"/>
                  <c:y val="-5.7778194392367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DEE-458B-9435-B4B70540C4E6}"/>
                </c:ext>
              </c:extLst>
            </c:dLbl>
            <c:dLbl>
              <c:idx val="5"/>
              <c:layout>
                <c:manualLayout>
                  <c:x val="2.6530815592495496E-2"/>
                  <c:y val="-4.9861267341582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DEE-458B-9435-B4B70540C4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 - Grafiken 2014'!$A$35:$A$40</c:f>
              <c:strCache>
                <c:ptCount val="6"/>
                <c:pt idx="0">
                  <c:v>Non pertinent / nicht relevant</c:v>
                </c:pt>
                <c:pt idx="1">
                  <c:v>81-100% 
du débit naturel / des natürlichen Abflusses</c:v>
                </c:pt>
                <c:pt idx="2">
                  <c:v>61-80% 
du débit naturel / des natürlichen Abflusses</c:v>
                </c:pt>
                <c:pt idx="3">
                  <c:v>41-60% 
du débit naturel / des natürlichen Abflusses</c:v>
                </c:pt>
                <c:pt idx="4">
                  <c:v>21-40% 
du débit naturel / des natürlichen Abflusses</c:v>
                </c:pt>
                <c:pt idx="5">
                  <c:v>0-20% 
du débit naturel / des natürlichen Abflusses</c:v>
                </c:pt>
              </c:strCache>
            </c:strRef>
          </c:cat>
          <c:val>
            <c:numRef>
              <c:f>'Graphiques - Grafiken 2014'!$G$35:$G$40</c:f>
              <c:numCache>
                <c:formatCode>0%</c:formatCode>
                <c:ptCount val="6"/>
                <c:pt idx="0">
                  <c:v>9.1911764705882359E-2</c:v>
                </c:pt>
                <c:pt idx="1">
                  <c:v>0.625</c:v>
                </c:pt>
                <c:pt idx="2">
                  <c:v>2.5735294117647058E-2</c:v>
                </c:pt>
                <c:pt idx="3">
                  <c:v>5.1470588235294115E-2</c:v>
                </c:pt>
                <c:pt idx="4">
                  <c:v>9.9264705882352935E-2</c:v>
                </c:pt>
                <c:pt idx="5">
                  <c:v>0.10661764705882353</c:v>
                </c:pt>
              </c:numCache>
            </c:numRef>
          </c:val>
          <c:extLst>
            <c:ext xmlns:c16="http://schemas.microsoft.com/office/drawing/2014/chart" uri="{C3380CC4-5D6E-409C-BE32-E72D297353CC}">
              <c16:uniqueId val="{00000013-BDEE-458B-9435-B4B70540C4E6}"/>
            </c:ext>
          </c:extLst>
        </c:ser>
        <c:dLbls>
          <c:showLegendKey val="0"/>
          <c:showVal val="1"/>
          <c:showCatName val="0"/>
          <c:showSerName val="0"/>
          <c:showPercent val="0"/>
          <c:showBubbleSize val="0"/>
        </c:dLbls>
        <c:gapWidth val="95"/>
        <c:gapDepth val="0"/>
        <c:shape val="box"/>
        <c:axId val="104443912"/>
        <c:axId val="104444304"/>
        <c:axId val="0"/>
      </c:bar3DChart>
      <c:catAx>
        <c:axId val="104443912"/>
        <c:scaling>
          <c:orientation val="minMax"/>
        </c:scaling>
        <c:delete val="0"/>
        <c:axPos val="b"/>
        <c:numFmt formatCode="General" sourceLinked="0"/>
        <c:majorTickMark val="out"/>
        <c:minorTickMark val="none"/>
        <c:tickLblPos val="nextTo"/>
        <c:crossAx val="104444304"/>
        <c:crosses val="autoZero"/>
        <c:auto val="0"/>
        <c:lblAlgn val="ctr"/>
        <c:lblOffset val="100"/>
        <c:noMultiLvlLbl val="0"/>
      </c:catAx>
      <c:valAx>
        <c:axId val="104444304"/>
        <c:scaling>
          <c:orientation val="minMax"/>
        </c:scaling>
        <c:delete val="0"/>
        <c:axPos val="l"/>
        <c:majorGridlines/>
        <c:title>
          <c:tx>
            <c:rich>
              <a:bodyPr rot="-5400000" vert="horz"/>
              <a:lstStyle/>
              <a:p>
                <a:pPr>
                  <a:defRPr/>
                </a:pPr>
                <a:r>
                  <a:rPr lang="fr-CH"/>
                  <a:t>Nombre d'objets / Anzahl Objekte</a:t>
                </a:r>
              </a:p>
            </c:rich>
          </c:tx>
          <c:overlay val="0"/>
        </c:title>
        <c:numFmt formatCode="General" sourceLinked="1"/>
        <c:majorTickMark val="out"/>
        <c:minorTickMark val="none"/>
        <c:tickLblPos val="nextTo"/>
        <c:crossAx val="104443912"/>
        <c:crosses val="autoZero"/>
        <c:crossBetween val="between"/>
      </c:valAx>
      <c:dTable>
        <c:showHorzBorder val="1"/>
        <c:showVertBorder val="1"/>
        <c:showOutline val="1"/>
        <c:showKeys val="0"/>
      </c:dTable>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10</xdr:col>
      <xdr:colOff>560615</xdr:colOff>
      <xdr:row>33</xdr:row>
      <xdr:rowOff>151040</xdr:rowOff>
    </xdr:from>
    <xdr:to>
      <xdr:col>21</xdr:col>
      <xdr:colOff>408215</xdr:colOff>
      <xdr:row>50</xdr:row>
      <xdr:rowOff>189140</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704848</xdr:colOff>
      <xdr:row>53</xdr:row>
      <xdr:rowOff>66676</xdr:rowOff>
    </xdr:from>
    <xdr:to>
      <xdr:col>18</xdr:col>
      <xdr:colOff>76199</xdr:colOff>
      <xdr:row>70</xdr:row>
      <xdr:rowOff>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516029</xdr:colOff>
      <xdr:row>76</xdr:row>
      <xdr:rowOff>197224</xdr:rowOff>
    </xdr:from>
    <xdr:to>
      <xdr:col>24</xdr:col>
      <xdr:colOff>201706</xdr:colOff>
      <xdr:row>102</xdr:row>
      <xdr:rowOff>159124</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325692</xdr:colOff>
      <xdr:row>1</xdr:row>
      <xdr:rowOff>198784</xdr:rowOff>
    </xdr:from>
    <xdr:to>
      <xdr:col>20</xdr:col>
      <xdr:colOff>582866</xdr:colOff>
      <xdr:row>22</xdr:row>
      <xdr:rowOff>41622</xdr:rowOff>
    </xdr:to>
    <xdr:graphicFrame macro="">
      <xdr:nvGraphicFramePr>
        <xdr:cNvPr id="5" name="Graphique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554006</xdr:colOff>
      <xdr:row>50</xdr:row>
      <xdr:rowOff>10392</xdr:rowOff>
    </xdr:from>
    <xdr:to>
      <xdr:col>7</xdr:col>
      <xdr:colOff>538302</xdr:colOff>
      <xdr:row>84</xdr:row>
      <xdr:rowOff>133106</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459506" y="10926042"/>
          <a:ext cx="5670721" cy="6599714"/>
        </a:xfrm>
        <a:prstGeom prst="rect">
          <a:avLst/>
        </a:prstGeom>
      </xdr:spPr>
    </xdr:pic>
    <xdr:clientData/>
  </xdr:twoCellAnchor>
  <xdr:twoCellAnchor editAs="oneCell">
    <xdr:from>
      <xdr:col>0</xdr:col>
      <xdr:colOff>179294</xdr:colOff>
      <xdr:row>57</xdr:row>
      <xdr:rowOff>134471</xdr:rowOff>
    </xdr:from>
    <xdr:to>
      <xdr:col>4</xdr:col>
      <xdr:colOff>448235</xdr:colOff>
      <xdr:row>78</xdr:row>
      <xdr:rowOff>179385</xdr:rowOff>
    </xdr:to>
    <xdr:pic>
      <xdr:nvPicPr>
        <xdr:cNvPr id="3" name="Imag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179294" y="12383621"/>
          <a:ext cx="6174441" cy="4045414"/>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3.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4.xml><?xml version="1.0" encoding="utf-8"?>
<xdr:wsDr xmlns:xdr="http://schemas.openxmlformats.org/drawingml/2006/spreadsheetDrawing" xmlns:a="http://schemas.openxmlformats.org/drawingml/2006/main">
  <xdr:twoCellAnchor>
    <xdr:from>
      <xdr:col>10</xdr:col>
      <xdr:colOff>560615</xdr:colOff>
      <xdr:row>33</xdr:row>
      <xdr:rowOff>151040</xdr:rowOff>
    </xdr:from>
    <xdr:to>
      <xdr:col>21</xdr:col>
      <xdr:colOff>408215</xdr:colOff>
      <xdr:row>50</xdr:row>
      <xdr:rowOff>189140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704848</xdr:colOff>
      <xdr:row>53</xdr:row>
      <xdr:rowOff>66676</xdr:rowOff>
    </xdr:from>
    <xdr:to>
      <xdr:col>18</xdr:col>
      <xdr:colOff>76199</xdr:colOff>
      <xdr:row>70</xdr:row>
      <xdr:rowOff>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516029</xdr:colOff>
      <xdr:row>76</xdr:row>
      <xdr:rowOff>197224</xdr:rowOff>
    </xdr:from>
    <xdr:to>
      <xdr:col>24</xdr:col>
      <xdr:colOff>201706</xdr:colOff>
      <xdr:row>102</xdr:row>
      <xdr:rowOff>159124</xdr:rowOff>
    </xdr:to>
    <xdr:graphicFrame macro="">
      <xdr:nvGraphicFramePr>
        <xdr:cNvPr id="4" name="Graphique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325692</xdr:colOff>
      <xdr:row>1</xdr:row>
      <xdr:rowOff>198784</xdr:rowOff>
    </xdr:from>
    <xdr:to>
      <xdr:col>20</xdr:col>
      <xdr:colOff>582866</xdr:colOff>
      <xdr:row>22</xdr:row>
      <xdr:rowOff>41622</xdr:rowOff>
    </xdr:to>
    <xdr:graphicFrame macro="">
      <xdr:nvGraphicFramePr>
        <xdr:cNvPr id="5" name="Graphique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6.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7.xml><?xml version="1.0" encoding="utf-8"?>
<xdr:wsDr xmlns:xdr="http://schemas.openxmlformats.org/drawingml/2006/spreadsheetDrawing" xmlns:a="http://schemas.openxmlformats.org/drawingml/2006/main">
  <xdr:twoCellAnchor>
    <xdr:from>
      <xdr:col>10</xdr:col>
      <xdr:colOff>560615</xdr:colOff>
      <xdr:row>33</xdr:row>
      <xdr:rowOff>151040</xdr:rowOff>
    </xdr:from>
    <xdr:to>
      <xdr:col>21</xdr:col>
      <xdr:colOff>408215</xdr:colOff>
      <xdr:row>50</xdr:row>
      <xdr:rowOff>189140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704848</xdr:colOff>
      <xdr:row>53</xdr:row>
      <xdr:rowOff>66676</xdr:rowOff>
    </xdr:from>
    <xdr:to>
      <xdr:col>18</xdr:col>
      <xdr:colOff>76199</xdr:colOff>
      <xdr:row>70</xdr:row>
      <xdr:rowOff>0</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516029</xdr:colOff>
      <xdr:row>76</xdr:row>
      <xdr:rowOff>197224</xdr:rowOff>
    </xdr:from>
    <xdr:to>
      <xdr:col>24</xdr:col>
      <xdr:colOff>201706</xdr:colOff>
      <xdr:row>102</xdr:row>
      <xdr:rowOff>159124</xdr:rowOff>
    </xdr:to>
    <xdr:graphicFrame macro="">
      <xdr:nvGraphicFramePr>
        <xdr:cNvPr id="4" name="Graphique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280868</xdr:colOff>
      <xdr:row>1</xdr:row>
      <xdr:rowOff>277224</xdr:rowOff>
    </xdr:from>
    <xdr:to>
      <xdr:col>20</xdr:col>
      <xdr:colOff>538042</xdr:colOff>
      <xdr:row>22</xdr:row>
      <xdr:rowOff>120062</xdr:rowOff>
    </xdr:to>
    <xdr:graphicFrame macro="">
      <xdr:nvGraphicFramePr>
        <xdr:cNvPr id="5" name="Graphique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9.xml><?xml version="1.0" encoding="utf-8"?>
<c:userShapes xmlns:c="http://schemas.openxmlformats.org/drawingml/2006/chart">
  <cdr:relSizeAnchor xmlns:cdr="http://schemas.openxmlformats.org/drawingml/2006/chartDrawing">
    <cdr:from>
      <cdr:x>0.18386</cdr:x>
      <cdr:y>0.40962</cdr:y>
    </cdr:from>
    <cdr:to>
      <cdr:x>0.25336</cdr:x>
      <cdr:y>0.48922</cdr:y>
    </cdr:to>
    <cdr:sp macro="" textlink="">
      <cdr:nvSpPr>
        <cdr:cNvPr id="2"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dr:relSizeAnchor xmlns:cdr="http://schemas.openxmlformats.org/drawingml/2006/chartDrawing">
    <cdr:from>
      <cdr:x>0.18386</cdr:x>
      <cdr:y>0.40962</cdr:y>
    </cdr:from>
    <cdr:to>
      <cdr:x>0.25336</cdr:x>
      <cdr:y>0.48922</cdr:y>
    </cdr:to>
    <cdr:sp macro="" textlink="">
      <cdr:nvSpPr>
        <cdr:cNvPr id="3" name="ZoneTexte 1"/>
        <cdr:cNvSpPr txBox="1"/>
      </cdr:nvSpPr>
      <cdr:spPr>
        <a:xfrm xmlns:a="http://schemas.openxmlformats.org/drawingml/2006/main">
          <a:off x="781050" y="1176339"/>
          <a:ext cx="2952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dialog/projets/VD07119.100/Lists/Documents/CSD/06%20%20%20%20%20%20%20%20Documents%20de%20travail/Aufwertungsbedarf/Excel%20final/2016.09.27-Table_Sanierung_planification_erg_rh20161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de base - Grunddaten"/>
      <sheetName val="Charriage - Geschiebehaushalt"/>
      <sheetName val="Débit - Abfluss"/>
      <sheetName val="RestwasserAuen_Datenbank"/>
      <sheetName val="Tableau général - Gesamttabelle"/>
      <sheetName val="Synthèse - Synthese Aufwertung"/>
      <sheetName val="Synthèse - Synthese PLANIF"/>
      <sheetName val="Graphiques - Grafiken"/>
      <sheetName val="Graphiques - Grafiken PLANIF"/>
      <sheetName val="Revitalisation-Revitalisierung"/>
      <sheetName val="Strat_Plan_Revit"/>
      <sheetName val="Table conversion charriage"/>
    </sheetNames>
    <sheetDataSet>
      <sheetData sheetId="0"/>
      <sheetData sheetId="1">
        <row r="2">
          <cell r="O2" t="str">
            <v>81 -100%</v>
          </cell>
          <cell r="P2" t="str">
            <v>a</v>
          </cell>
        </row>
        <row r="3">
          <cell r="O3" t="str">
            <v>81 -100%</v>
          </cell>
          <cell r="P3" t="str">
            <v>a</v>
          </cell>
        </row>
        <row r="4">
          <cell r="O4" t="str">
            <v>Charriage présumé naturel / Geschiebehaushalt vermutlich natürlich</v>
          </cell>
          <cell r="P4" t="str">
            <v>b</v>
          </cell>
        </row>
        <row r="5">
          <cell r="O5" t="str">
            <v>0-20%</v>
          </cell>
          <cell r="P5" t="str">
            <v>a</v>
          </cell>
        </row>
        <row r="6">
          <cell r="O6" t="str">
            <v>0-20%</v>
          </cell>
          <cell r="P6" t="str">
            <v>a</v>
          </cell>
        </row>
        <row r="7">
          <cell r="O7" t="str">
            <v>0-20%</v>
          </cell>
          <cell r="P7" t="str">
            <v>a</v>
          </cell>
        </row>
        <row r="8">
          <cell r="O8" t="str">
            <v>0-20%</v>
          </cell>
          <cell r="P8" t="str">
            <v>a</v>
          </cell>
        </row>
        <row r="9">
          <cell r="O9" t="str">
            <v>0-20%</v>
          </cell>
          <cell r="P9" t="str">
            <v>a</v>
          </cell>
        </row>
        <row r="10">
          <cell r="O10" t="str">
            <v>0-20%</v>
          </cell>
          <cell r="P10" t="str">
            <v>a</v>
          </cell>
        </row>
        <row r="11">
          <cell r="O11" t="str">
            <v>0-20%</v>
          </cell>
          <cell r="P11" t="str">
            <v>a</v>
          </cell>
        </row>
        <row r="12">
          <cell r="O12" t="str">
            <v>51-80%</v>
          </cell>
          <cell r="P12" t="str">
            <v>a</v>
          </cell>
        </row>
        <row r="13">
          <cell r="O13" t="str">
            <v>0-20%</v>
          </cell>
          <cell r="P13" t="str">
            <v>a</v>
          </cell>
        </row>
        <row r="14">
          <cell r="O14" t="str">
            <v>0-20%</v>
          </cell>
          <cell r="P14" t="str">
            <v>a</v>
          </cell>
        </row>
        <row r="15">
          <cell r="O15" t="str">
            <v>0-20%</v>
          </cell>
          <cell r="P15" t="str">
            <v>a</v>
          </cell>
        </row>
        <row r="16">
          <cell r="O16" t="str">
            <v>51-80%</v>
          </cell>
          <cell r="P16" t="str">
            <v>a</v>
          </cell>
        </row>
        <row r="17">
          <cell r="O17" t="str">
            <v>51-80%</v>
          </cell>
          <cell r="P17" t="str">
            <v>a</v>
          </cell>
        </row>
        <row r="18">
          <cell r="O18" t="str">
            <v>Charriage présumé perturbé / Geschiebehaushalt vermutlich beeinträchtigt</v>
          </cell>
          <cell r="P18" t="str">
            <v>b</v>
          </cell>
        </row>
        <row r="19">
          <cell r="O19" t="str">
            <v>81 -100%</v>
          </cell>
          <cell r="P19" t="str">
            <v>a</v>
          </cell>
        </row>
        <row r="20">
          <cell r="O20" t="str">
            <v>0-20%</v>
          </cell>
          <cell r="P20" t="str">
            <v>a</v>
          </cell>
        </row>
        <row r="21">
          <cell r="O21" t="str">
            <v>21-50%</v>
          </cell>
          <cell r="P21" t="str">
            <v>a</v>
          </cell>
        </row>
        <row r="22">
          <cell r="O22" t="str">
            <v>21-50%</v>
          </cell>
          <cell r="P22" t="str">
            <v>a</v>
          </cell>
        </row>
        <row r="23">
          <cell r="O23" t="str">
            <v>21-50%</v>
          </cell>
          <cell r="P23" t="str">
            <v>a</v>
          </cell>
        </row>
        <row r="24">
          <cell r="O24" t="str">
            <v>21-50%</v>
          </cell>
          <cell r="P24" t="str">
            <v>a</v>
          </cell>
        </row>
        <row r="25">
          <cell r="O25" t="str">
            <v>21-50%</v>
          </cell>
          <cell r="P25" t="str">
            <v>a</v>
          </cell>
        </row>
        <row r="26">
          <cell r="O26" t="str">
            <v>21-50%</v>
          </cell>
          <cell r="P26" t="str">
            <v>a</v>
          </cell>
        </row>
        <row r="27">
          <cell r="O27" t="str">
            <v>non pertinent / nicht relevant</v>
          </cell>
          <cell r="P27" t="str">
            <v>a</v>
          </cell>
        </row>
        <row r="28">
          <cell r="O28" t="str">
            <v>81 -100%</v>
          </cell>
          <cell r="P28" t="str">
            <v>a</v>
          </cell>
        </row>
        <row r="29">
          <cell r="O29" t="str">
            <v>81 -100%</v>
          </cell>
          <cell r="P29" t="str">
            <v>a</v>
          </cell>
        </row>
        <row r="30">
          <cell r="O30" t="str">
            <v>21-50%</v>
          </cell>
          <cell r="P30" t="str">
            <v>a</v>
          </cell>
        </row>
        <row r="31">
          <cell r="O31" t="str">
            <v>21-50%</v>
          </cell>
          <cell r="P31" t="str">
            <v>a</v>
          </cell>
        </row>
        <row r="32">
          <cell r="O32" t="str">
            <v>21-50%</v>
          </cell>
          <cell r="P32" t="str">
            <v>a</v>
          </cell>
        </row>
        <row r="33">
          <cell r="O33" t="str">
            <v>Déficit non apparent en charriage ou en remobilisation des sédiments / kein sichtbares Defizit beim Geschiebehaushalt bzw. bei der Mobilisierung von Geschiebe</v>
          </cell>
          <cell r="P33" t="str">
            <v>a</v>
          </cell>
        </row>
        <row r="34">
          <cell r="O34" t="str">
            <v>La remobilisation des sédiments est perturbée / Mobilisierung von Geschiebe beeinträchtigt</v>
          </cell>
          <cell r="P34" t="str">
            <v>b</v>
          </cell>
        </row>
        <row r="35">
          <cell r="O35" t="str">
            <v>Charriage présumé perturbé / Geschiebehaushalt vermutlich beeinträchtigt</v>
          </cell>
          <cell r="P35" t="str">
            <v>b</v>
          </cell>
        </row>
        <row r="36">
          <cell r="O36" t="str">
            <v>Charriage présumé perturbé / Geschiebehaushalt vermutlich beeinträchtigt</v>
          </cell>
          <cell r="P36" t="str">
            <v>b</v>
          </cell>
        </row>
        <row r="37">
          <cell r="O37" t="str">
            <v>Déficit non apparent en charriage ou en remobilisation des sédiments / kein sichtbares Defizit beim Geschiebehaushalt bzw. bei der Mobilisierung von Geschiebe</v>
          </cell>
          <cell r="P37" t="str">
            <v>b</v>
          </cell>
        </row>
        <row r="38">
          <cell r="O38" t="str">
            <v>81 -100%</v>
          </cell>
          <cell r="P38" t="str">
            <v>a</v>
          </cell>
        </row>
        <row r="39">
          <cell r="O39" t="str">
            <v>Problème lié à un manque de charriage ou à un manque de remobilisation des sédiments / Problem aufgrund Geschiebemangels bzw. mangelnder Mobilisierung von Geschiebe</v>
          </cell>
          <cell r="P39" t="str">
            <v>b</v>
          </cell>
        </row>
        <row r="40">
          <cell r="O40" t="str">
            <v>La remobilisation des sédiments est perturbée / Mobilisierung von Geschiebe beeinträchtigt</v>
          </cell>
          <cell r="P40" t="str">
            <v>b</v>
          </cell>
        </row>
        <row r="41">
          <cell r="O41" t="str">
            <v>0-20%</v>
          </cell>
          <cell r="P41" t="str">
            <v>a</v>
          </cell>
        </row>
        <row r="42">
          <cell r="O42" t="str">
            <v>0-20%</v>
          </cell>
          <cell r="P42" t="str">
            <v>a</v>
          </cell>
        </row>
        <row r="43">
          <cell r="O43" t="str">
            <v>51-80%</v>
          </cell>
          <cell r="P43" t="str">
            <v>a</v>
          </cell>
        </row>
        <row r="44">
          <cell r="O44" t="str">
            <v>Charriage présumé faiblement perturbé / Geschiebe vermutlich leicht beeinträchtigt</v>
          </cell>
          <cell r="P44" t="str">
            <v>b</v>
          </cell>
        </row>
        <row r="45">
          <cell r="O45" t="str">
            <v>Charriage présumé naturel / Geschiebehaushalt vermutlich natürlich</v>
          </cell>
          <cell r="P45" t="str">
            <v>b</v>
          </cell>
        </row>
        <row r="46">
          <cell r="O46" t="str">
            <v>81 -100%</v>
          </cell>
          <cell r="P46" t="str">
            <v>a</v>
          </cell>
        </row>
        <row r="47">
          <cell r="O47" t="str">
            <v>81 -100%</v>
          </cell>
          <cell r="P47" t="str">
            <v>a</v>
          </cell>
        </row>
        <row r="48">
          <cell r="O48" t="str">
            <v>Charriage présumé perturbé / Geschiebehaushalt vermutlich beeinträchtigt</v>
          </cell>
          <cell r="P48" t="str">
            <v>b</v>
          </cell>
        </row>
        <row r="49">
          <cell r="O49" t="str">
            <v>Problème lié à un manque de charriage ou à un manque de remobilisation des sédiments / Problem aufgrund Geschiebemangels bzw. mangelnder Mobilisierung von Geschiebe</v>
          </cell>
          <cell r="P49" t="str">
            <v>a</v>
          </cell>
        </row>
        <row r="50">
          <cell r="O50" t="str">
            <v>Problème lié à un manque de charriage ou à un manque de remobilisation des sédiments / Problem aufgrund Geschiebemangels bzw. mangelnder Mobilisierung von Geschiebe</v>
          </cell>
          <cell r="P50" t="str">
            <v>a</v>
          </cell>
        </row>
        <row r="51">
          <cell r="O51" t="str">
            <v>Déficit non apparent en charriage ou en remobilisation des sédiments / kein sichtbares Defizit beim Geschiebehaushalt bzw. bei der Mobilisierung von Geschiebe</v>
          </cell>
          <cell r="P51" t="str">
            <v>b</v>
          </cell>
        </row>
        <row r="52">
          <cell r="O52" t="str">
            <v>21-50%</v>
          </cell>
          <cell r="P52" t="str">
            <v>a</v>
          </cell>
        </row>
        <row r="53">
          <cell r="O53" t="str">
            <v>51-80%</v>
          </cell>
          <cell r="P53" t="str">
            <v>a</v>
          </cell>
        </row>
        <row r="54">
          <cell r="O54" t="str">
            <v>51-80%</v>
          </cell>
          <cell r="P54" t="str">
            <v>a</v>
          </cell>
        </row>
        <row r="55">
          <cell r="O55" t="str">
            <v>81 -100%</v>
          </cell>
          <cell r="P55" t="str">
            <v>a</v>
          </cell>
        </row>
        <row r="56">
          <cell r="O56" t="str">
            <v>0-20%</v>
          </cell>
          <cell r="P56" t="str">
            <v>a</v>
          </cell>
        </row>
        <row r="57">
          <cell r="O57" t="str">
            <v>21-50%</v>
          </cell>
          <cell r="P57" t="str">
            <v>a</v>
          </cell>
        </row>
        <row r="58">
          <cell r="O58" t="str">
            <v>21-50%</v>
          </cell>
          <cell r="P58" t="str">
            <v>a</v>
          </cell>
        </row>
        <row r="59">
          <cell r="O59" t="str">
            <v>21-50%</v>
          </cell>
          <cell r="P59" t="str">
            <v>a</v>
          </cell>
        </row>
        <row r="60">
          <cell r="O60" t="str">
            <v>0-20%</v>
          </cell>
          <cell r="P60" t="str">
            <v>a</v>
          </cell>
        </row>
        <row r="61">
          <cell r="O61" t="str">
            <v>La remobilisation des sédiments est perturbée / Mobilisierung von Geschiebe beeinträchtigt</v>
          </cell>
          <cell r="P61" t="str">
            <v>b</v>
          </cell>
        </row>
        <row r="62">
          <cell r="O62" t="str">
            <v>non pertinent / nicht relevant</v>
          </cell>
          <cell r="P62" t="str">
            <v>a</v>
          </cell>
        </row>
        <row r="63">
          <cell r="O63" t="str">
            <v>La remobilisation des sédiments est perturbée / Mobilisierung von Geschiebe beeinträchtigt</v>
          </cell>
          <cell r="P63" t="str">
            <v>b</v>
          </cell>
        </row>
        <row r="64">
          <cell r="O64" t="str">
            <v>51-80%</v>
          </cell>
          <cell r="P64" t="str">
            <v>a</v>
          </cell>
        </row>
        <row r="65">
          <cell r="O65" t="str">
            <v>non pertinent / nicht relevant</v>
          </cell>
          <cell r="P65" t="str">
            <v>a</v>
          </cell>
        </row>
        <row r="66">
          <cell r="O66" t="str">
            <v>21-50%</v>
          </cell>
          <cell r="P66" t="str">
            <v>a</v>
          </cell>
        </row>
        <row r="67">
          <cell r="O67" t="str">
            <v>Déficit non apparent en charriage ou en remobilisation des sédiments / kein sichtbares Defizit beim Geschiebehaushalt bzw. bei der Mobilisierung von Geschiebe</v>
          </cell>
          <cell r="P67" t="str">
            <v>a</v>
          </cell>
        </row>
        <row r="68">
          <cell r="O68" t="str">
            <v>81 -100%</v>
          </cell>
          <cell r="P68" t="str">
            <v>a</v>
          </cell>
        </row>
        <row r="69">
          <cell r="O69" t="str">
            <v>81 -100%</v>
          </cell>
          <cell r="P69" t="str">
            <v>a</v>
          </cell>
        </row>
        <row r="70">
          <cell r="O70" t="str">
            <v>51-80%</v>
          </cell>
          <cell r="P70" t="str">
            <v>a</v>
          </cell>
        </row>
        <row r="71">
          <cell r="O71" t="str">
            <v>51-80%</v>
          </cell>
          <cell r="P71" t="str">
            <v>a</v>
          </cell>
        </row>
        <row r="72">
          <cell r="O72" t="str">
            <v>51-80%</v>
          </cell>
          <cell r="P72" t="str">
            <v>a</v>
          </cell>
        </row>
        <row r="73">
          <cell r="O73" t="str">
            <v>Charriage présumé perturbé / Geschiebehaushalt vermutlich beeinträchtigt</v>
          </cell>
          <cell r="P73" t="str">
            <v>b</v>
          </cell>
        </row>
        <row r="74">
          <cell r="O74" t="str">
            <v>0-20%</v>
          </cell>
          <cell r="P74" t="str">
            <v>a</v>
          </cell>
        </row>
        <row r="75">
          <cell r="O75" t="str">
            <v>La remobilisation des sédiments est perturbée / Mobilisierung von Geschiebe beeinträchtigt</v>
          </cell>
          <cell r="P75" t="str">
            <v>b</v>
          </cell>
        </row>
        <row r="76">
          <cell r="O76" t="str">
            <v>non pertinent / nicht relevant</v>
          </cell>
          <cell r="P76" t="str">
            <v>a</v>
          </cell>
        </row>
        <row r="77">
          <cell r="O77" t="str">
            <v>La remobilisation des sédiments est perturbée / Mobilisierung von Geschiebe beeinträchtigt</v>
          </cell>
          <cell r="P77" t="str">
            <v>a</v>
          </cell>
        </row>
        <row r="78">
          <cell r="O78" t="str">
            <v>La remobilisation des sédiments est perturbée / Mobilisierung von Geschiebe beeinträchtigt</v>
          </cell>
          <cell r="P78" t="str">
            <v>a</v>
          </cell>
        </row>
        <row r="79">
          <cell r="O79" t="str">
            <v>La remobilisation des sédiments est perturbée / Mobilisierung von Geschiebe beeinträchtigt</v>
          </cell>
          <cell r="P79" t="str">
            <v>b</v>
          </cell>
        </row>
        <row r="80">
          <cell r="O80" t="str">
            <v>51-80%</v>
          </cell>
          <cell r="P80" t="str">
            <v>a</v>
          </cell>
        </row>
        <row r="81">
          <cell r="O81" t="str">
            <v>non pertinent / nicht relevant</v>
          </cell>
          <cell r="P81" t="str">
            <v>a</v>
          </cell>
        </row>
        <row r="82">
          <cell r="O82" t="str">
            <v>0-20%</v>
          </cell>
          <cell r="P82" t="str">
            <v>a</v>
          </cell>
        </row>
        <row r="83">
          <cell r="O83" t="str">
            <v>0-20%</v>
          </cell>
          <cell r="P83" t="str">
            <v>a</v>
          </cell>
        </row>
        <row r="84">
          <cell r="O84" t="str">
            <v>Déficit non apparent en charriage ou en remobilisation des sédiments / kein sichtbares Defizit beim Geschiebehaushalt bzw. bei der Mobilisierung von Geschiebe</v>
          </cell>
          <cell r="P84" t="str">
            <v>b</v>
          </cell>
        </row>
        <row r="85">
          <cell r="O85" t="str">
            <v>Déficit non apparent en charriage ou en remobilisation des sédiments / kein sichtbares Defizit beim Geschiebehaushalt bzw. bei der Mobilisierung von Geschiebe</v>
          </cell>
          <cell r="P85" t="str">
            <v>b</v>
          </cell>
        </row>
        <row r="86">
          <cell r="O86" t="str">
            <v>Déficit non apparent en charriage ou en remobilisation des sédiments / kein sichtbares Defizit beim Geschiebehaushalt bzw. bei der Mobilisierung von Geschiebe</v>
          </cell>
          <cell r="P86" t="str">
            <v>b</v>
          </cell>
        </row>
        <row r="87">
          <cell r="O87" t="str">
            <v>Charriage présumé faiblement perturbé / Geschiebe vermutlich leicht beeinträchtigt</v>
          </cell>
          <cell r="P87" t="str">
            <v>b</v>
          </cell>
        </row>
        <row r="88">
          <cell r="O88" t="str">
            <v>La remobilisation des sédiments est perturbée / Mobilisierung von Geschiebe beeinträchtigt</v>
          </cell>
          <cell r="P88" t="str">
            <v>b</v>
          </cell>
        </row>
        <row r="89">
          <cell r="O89" t="str">
            <v>81 -100%</v>
          </cell>
          <cell r="P89" t="str">
            <v>a</v>
          </cell>
        </row>
        <row r="90">
          <cell r="O90" t="str">
            <v>Charriage présumé naturel / Geschiebehaushalt vermutlich natürlich</v>
          </cell>
          <cell r="P90" t="str">
            <v>b</v>
          </cell>
        </row>
        <row r="91">
          <cell r="O91" t="str">
            <v>Déficit non apparent en charriage ou en remobilisation des sédiments / kein sichtbares Defizit beim Geschiebehaushalt bzw. bei der Mobilisierung von Geschiebe</v>
          </cell>
          <cell r="P91" t="str">
            <v>b</v>
          </cell>
        </row>
        <row r="92">
          <cell r="O92" t="str">
            <v>Problème lié à un manque de charriage ou à un manque de remobilisation des sédiments / Problem aufgrund Geschiebemangels bzw. mangelnder Mobilisierung von Geschiebe</v>
          </cell>
          <cell r="P92" t="str">
            <v>b</v>
          </cell>
        </row>
        <row r="93">
          <cell r="O93" t="str">
            <v>Charriage présumé faiblement perturbé / Geschiebe vermutlich leicht beeinträchtigt</v>
          </cell>
          <cell r="P93" t="str">
            <v>b</v>
          </cell>
        </row>
        <row r="94">
          <cell r="O94" t="str">
            <v>non pertinent / nicht relevant</v>
          </cell>
          <cell r="P94" t="str">
            <v>a</v>
          </cell>
        </row>
        <row r="95">
          <cell r="O95" t="str">
            <v>Charriage présumé naturel / Geschiebehaushalt vermutlich natürlich</v>
          </cell>
          <cell r="P95" t="str">
            <v>b</v>
          </cell>
        </row>
        <row r="96">
          <cell r="O96" t="str">
            <v>Charriage présumé naturel / Geschiebehaushalt vermutlich natürlich</v>
          </cell>
          <cell r="P96" t="str">
            <v>b</v>
          </cell>
        </row>
        <row r="97">
          <cell r="O97" t="str">
            <v>Charriage présumé perturbé / Geschiebehaushalt vermutlich beeinträchtigt</v>
          </cell>
          <cell r="P97" t="str">
            <v>b</v>
          </cell>
        </row>
        <row r="98">
          <cell r="O98" t="str">
            <v>21-50%</v>
          </cell>
          <cell r="P98" t="str">
            <v>a</v>
          </cell>
        </row>
        <row r="99">
          <cell r="O99" t="str">
            <v>21-50%</v>
          </cell>
          <cell r="P99" t="str">
            <v>a</v>
          </cell>
        </row>
        <row r="100">
          <cell r="O100" t="str">
            <v>non pertinent / nicht relevant</v>
          </cell>
          <cell r="P100" t="str">
            <v>a</v>
          </cell>
        </row>
        <row r="101">
          <cell r="O101" t="str">
            <v>21-50%</v>
          </cell>
          <cell r="P101" t="str">
            <v>a</v>
          </cell>
        </row>
        <row r="102">
          <cell r="O102" t="str">
            <v>Charriage présumé naturel / Geschiebehaushalt vermutlich natürlich</v>
          </cell>
          <cell r="P102" t="str">
            <v>b</v>
          </cell>
        </row>
        <row r="103">
          <cell r="O103" t="str">
            <v>La remobilisation des sédiments est perturbée / Mobilisierung von Geschiebe beeinträchtigt</v>
          </cell>
          <cell r="P103" t="str">
            <v>a</v>
          </cell>
        </row>
        <row r="104">
          <cell r="O104" t="str">
            <v>Charriage présumé naturel / Geschiebehaushalt vermutlich natürlich</v>
          </cell>
          <cell r="P104" t="str">
            <v>a</v>
          </cell>
        </row>
        <row r="105">
          <cell r="O105" t="str">
            <v>Charriage présumé naturel / Geschiebehaushalt vermutlich natürlich</v>
          </cell>
          <cell r="P105" t="str">
            <v>b</v>
          </cell>
        </row>
        <row r="106">
          <cell r="O106" t="str">
            <v>Déficit non apparent en charriage ou en remobilisation des sédiments / kein sichtbares Defizit beim Geschiebehaushalt bzw. bei der Mobilisierung von Geschiebe</v>
          </cell>
          <cell r="P106" t="str">
            <v>b</v>
          </cell>
        </row>
        <row r="107">
          <cell r="O107" t="str">
            <v>Déficit non apparent en charriage ou en remobilisation des sédiments / kein sichtbares Defizit beim Geschiebehaushalt bzw. bei der Mobilisierung von Geschiebe</v>
          </cell>
          <cell r="P107" t="str">
            <v>b</v>
          </cell>
        </row>
        <row r="108">
          <cell r="O108" t="str">
            <v>Déficit non apparent en charriage ou en remobilisation des sédiments / kein sichtbares Defizit beim Geschiebehaushalt bzw. bei der Mobilisierung von Geschiebe</v>
          </cell>
          <cell r="P108" t="str">
            <v>a</v>
          </cell>
        </row>
        <row r="109">
          <cell r="O109" t="str">
            <v>51-80%</v>
          </cell>
          <cell r="P109" t="str">
            <v>a</v>
          </cell>
        </row>
        <row r="110">
          <cell r="O110" t="str">
            <v>Charriage présumé naturel / Geschiebehaushalt vermutlich natürlich</v>
          </cell>
          <cell r="P110" t="str">
            <v>a</v>
          </cell>
        </row>
        <row r="111">
          <cell r="O111" t="str">
            <v>Charriage présumé naturel / Geschiebehaushalt vermutlich natürlich</v>
          </cell>
          <cell r="P111" t="str">
            <v>a</v>
          </cell>
        </row>
        <row r="112">
          <cell r="O112" t="str">
            <v>Charriage présumé naturel / Geschiebehaushalt vermutlich natürlich</v>
          </cell>
          <cell r="P112" t="str">
            <v>b</v>
          </cell>
        </row>
        <row r="113">
          <cell r="O113" t="str">
            <v>51-80%</v>
          </cell>
          <cell r="P113" t="str">
            <v>a</v>
          </cell>
        </row>
        <row r="114">
          <cell r="O114" t="str">
            <v>21-50%</v>
          </cell>
          <cell r="P114" t="str">
            <v>a</v>
          </cell>
        </row>
        <row r="115">
          <cell r="O115" t="str">
            <v>21-50%</v>
          </cell>
          <cell r="P115" t="str">
            <v>a</v>
          </cell>
        </row>
        <row r="116">
          <cell r="O116" t="str">
            <v>21-50%</v>
          </cell>
          <cell r="P116" t="str">
            <v>a</v>
          </cell>
        </row>
        <row r="117">
          <cell r="O117" t="str">
            <v>La remobilisation des sédiments est perturbée / Mobilisierung von Geschiebe beeinträchtigt</v>
          </cell>
          <cell r="P117" t="str">
            <v>b</v>
          </cell>
        </row>
        <row r="118">
          <cell r="O118" t="str">
            <v>La remobilisation des sédiments est perturbée / Mobilisierung von Geschiebe beeinträchtigt</v>
          </cell>
          <cell r="P118" t="str">
            <v>b</v>
          </cell>
        </row>
        <row r="119">
          <cell r="O119" t="str">
            <v>La remobilisation des sédiments est perturbée / Mobilisierung von Geschiebe beeinträchtigt</v>
          </cell>
          <cell r="P119" t="str">
            <v>a</v>
          </cell>
        </row>
        <row r="120">
          <cell r="O120" t="str">
            <v>Déficit non apparent en charriage ou en remobilisation des sédiments / kein sichtbares Defizit beim Geschiebehaushalt bzw. bei der Mobilisierung von Geschiebe</v>
          </cell>
          <cell r="P120" t="str">
            <v>b</v>
          </cell>
        </row>
        <row r="121">
          <cell r="O121" t="str">
            <v>La remobilisation des sédiments est perturbée / Mobilisierung von Geschiebe beeinträchtigt</v>
          </cell>
          <cell r="P121" t="str">
            <v>a</v>
          </cell>
        </row>
        <row r="122">
          <cell r="O122" t="str">
            <v>Déficit non apparent en charriage ou en remobilisation des sédiments / kein sichtbares Defizit beim Geschiebehaushalt bzw. bei der Mobilisierung von Geschiebe</v>
          </cell>
          <cell r="P122" t="str">
            <v>b</v>
          </cell>
        </row>
        <row r="123">
          <cell r="O123" t="str">
            <v>21-50%</v>
          </cell>
          <cell r="P123" t="str">
            <v>a</v>
          </cell>
        </row>
        <row r="124">
          <cell r="O124" t="str">
            <v>21-50%</v>
          </cell>
          <cell r="P124" t="str">
            <v>a</v>
          </cell>
        </row>
        <row r="125">
          <cell r="O125" t="str">
            <v>21-50%</v>
          </cell>
          <cell r="P125" t="str">
            <v>a</v>
          </cell>
        </row>
        <row r="126">
          <cell r="O126" t="str">
            <v>Déficit non apparent en charriage ou en remobilisation des sédiments / kein sichtbares Defizit beim Geschiebehaushalt bzw. bei der Mobilisierung von Geschiebe</v>
          </cell>
          <cell r="P126" t="str">
            <v>b</v>
          </cell>
        </row>
        <row r="127">
          <cell r="O127" t="str">
            <v>Charriage présumé perturbé / Geschiebehaushalt vermutlich beeinträchtigt</v>
          </cell>
          <cell r="P127" t="str">
            <v>b</v>
          </cell>
        </row>
        <row r="128">
          <cell r="O128" t="str">
            <v>Charriage présumé perturbé / Geschiebehaushalt vermutlich beeinträchtigt</v>
          </cell>
          <cell r="P128" t="str">
            <v>b</v>
          </cell>
        </row>
        <row r="129">
          <cell r="O129" t="str">
            <v>La remobilisation des sédiments est perturbée / Mobilisierung von Geschiebe beeinträchtigt</v>
          </cell>
          <cell r="P129" t="str">
            <v>b</v>
          </cell>
        </row>
        <row r="130">
          <cell r="O130" t="str">
            <v>Problème lié à un manque de charriage ou à un manque de remobilisation des sédiments / Problem aufgrund Geschiebemangels bzw. mangelnder Mobilisierung von Geschiebe</v>
          </cell>
          <cell r="P130" t="str">
            <v>b</v>
          </cell>
        </row>
        <row r="131">
          <cell r="O131" t="str">
            <v>Problème lié à un manque de charriage ou à un manque de remobilisation des sédiments / Problem aufgrund Geschiebemangels bzw. mangelnder Mobilisierung von Geschiebe</v>
          </cell>
          <cell r="P131" t="str">
            <v>b</v>
          </cell>
        </row>
        <row r="132">
          <cell r="O132" t="str">
            <v>La remobilisation des sédiments est perturbée / Mobilisierung von Geschiebe beeinträchtigt</v>
          </cell>
          <cell r="P132" t="str">
            <v>b</v>
          </cell>
        </row>
        <row r="133">
          <cell r="O133" t="str">
            <v>Charriage présumé faiblement perturbé / Geschiebe vermutlich leicht beeinträchtigt</v>
          </cell>
          <cell r="P133" t="str">
            <v>b</v>
          </cell>
        </row>
        <row r="134">
          <cell r="O134" t="str">
            <v>La remobilisation des sédiments est perturbée / Mobilisierung von Geschiebe beeinträchtigt</v>
          </cell>
          <cell r="P134" t="str">
            <v>b</v>
          </cell>
        </row>
        <row r="135">
          <cell r="O135" t="str">
            <v>Charriage présumé perturbé / Geschiebehaushalt vermutlich beeinträchtigt</v>
          </cell>
          <cell r="P135" t="str">
            <v>b</v>
          </cell>
        </row>
        <row r="136">
          <cell r="O136" t="str">
            <v>Charriage présumé perturbé / Geschiebehaushalt vermutlich beeinträchtigt</v>
          </cell>
          <cell r="P136" t="str">
            <v>b</v>
          </cell>
        </row>
        <row r="137">
          <cell r="O137" t="str">
            <v>Charriage présumé perturbé / Geschiebehaushalt vermutlich beeinträchtigt</v>
          </cell>
          <cell r="P137" t="str">
            <v>b</v>
          </cell>
        </row>
        <row r="138">
          <cell r="O138" t="str">
            <v>Charriage présumé perturbé / Geschiebehaushalt vermutlich beeinträchtigt</v>
          </cell>
          <cell r="P138" t="str">
            <v>b</v>
          </cell>
        </row>
        <row r="139">
          <cell r="O139" t="str">
            <v>Charriage présumé perturbé / Geschiebehaushalt vermutlich beeinträchtigt</v>
          </cell>
          <cell r="P139" t="str">
            <v>b</v>
          </cell>
        </row>
        <row r="140">
          <cell r="O140" t="str">
            <v>Charriage présumé perturbé / Geschiebehaushalt vermutlich beeinträchtigt</v>
          </cell>
          <cell r="P140" t="str">
            <v>b</v>
          </cell>
        </row>
        <row r="141">
          <cell r="O141" t="str">
            <v>Charriage présumé perturbé / Geschiebehaushalt vermutlich beeinträchtigt</v>
          </cell>
          <cell r="P141" t="str">
            <v>b</v>
          </cell>
        </row>
        <row r="142">
          <cell r="O142" t="str">
            <v>Charriage présumé naturel / Geschiebehaushalt vermutlich natürlich</v>
          </cell>
          <cell r="P142" t="str">
            <v>b</v>
          </cell>
        </row>
        <row r="143">
          <cell r="O143" t="str">
            <v>Déficit non apparent en charriage ou en remobilisation des sédiments / kein sichtbares Defizit beim Geschiebehaushalt bzw. bei der Mobilisierung von Geschiebe</v>
          </cell>
          <cell r="P143" t="str">
            <v>b</v>
          </cell>
        </row>
        <row r="144">
          <cell r="O144" t="str">
            <v>Charriage présumé perturbé / Geschiebehaushalt vermutlich beeinträchtigt</v>
          </cell>
          <cell r="P144" t="str">
            <v>b</v>
          </cell>
        </row>
        <row r="145">
          <cell r="O145" t="str">
            <v>Charriage présumé faiblement perturbé / Geschiebe vermutlich leicht beeinträchtigt</v>
          </cell>
          <cell r="P145" t="str">
            <v>b</v>
          </cell>
        </row>
        <row r="146">
          <cell r="O146" t="str">
            <v>Charriage présumé faiblement perturbé / Geschiebe vermutlich leicht beeinträchtigt</v>
          </cell>
          <cell r="P146" t="str">
            <v>b</v>
          </cell>
        </row>
        <row r="147">
          <cell r="O147" t="str">
            <v>Charriage présumé perturbé / Geschiebehaushalt vermutlich beeinträchtigt</v>
          </cell>
          <cell r="P147" t="str">
            <v>b</v>
          </cell>
        </row>
        <row r="148">
          <cell r="O148" t="str">
            <v>0-20%</v>
          </cell>
          <cell r="P148" t="str">
            <v>a</v>
          </cell>
        </row>
        <row r="149">
          <cell r="O149" t="str">
            <v>0-20%</v>
          </cell>
          <cell r="P149" t="str">
            <v>a</v>
          </cell>
        </row>
        <row r="150">
          <cell r="O150" t="str">
            <v>51-80%</v>
          </cell>
          <cell r="P150" t="str">
            <v>a</v>
          </cell>
        </row>
        <row r="151">
          <cell r="O151" t="str">
            <v>La remobilisation des sédiments est perturbée / Mobilisierung von Geschiebe beeinträchtigt</v>
          </cell>
          <cell r="P151" t="str">
            <v>b</v>
          </cell>
        </row>
        <row r="152">
          <cell r="O152" t="str">
            <v>non pertinent / nicht relevant</v>
          </cell>
          <cell r="P152" t="str">
            <v>a</v>
          </cell>
        </row>
        <row r="153">
          <cell r="O153" t="str">
            <v>non pertinent / nicht relevant</v>
          </cell>
          <cell r="P153" t="str">
            <v>a</v>
          </cell>
        </row>
        <row r="154">
          <cell r="O154" t="str">
            <v>non pertinent / nicht relevant</v>
          </cell>
          <cell r="P154" t="str">
            <v>a</v>
          </cell>
        </row>
        <row r="155">
          <cell r="O155" t="str">
            <v>non pertinent / nicht relevant</v>
          </cell>
          <cell r="P155" t="str">
            <v>a</v>
          </cell>
        </row>
        <row r="156">
          <cell r="O156" t="str">
            <v>non pertinent / nicht relevant</v>
          </cell>
          <cell r="P156" t="str">
            <v>a</v>
          </cell>
        </row>
        <row r="157">
          <cell r="O157" t="str">
            <v>non pertinent / nicht relevant</v>
          </cell>
          <cell r="P157" t="str">
            <v>a</v>
          </cell>
        </row>
        <row r="158">
          <cell r="O158" t="str">
            <v>non pertinent / nicht relevant</v>
          </cell>
          <cell r="P158" t="str">
            <v>a</v>
          </cell>
        </row>
        <row r="159">
          <cell r="O159" t="str">
            <v>non pertinent / nicht relevant</v>
          </cell>
          <cell r="P159" t="str">
            <v>a</v>
          </cell>
        </row>
        <row r="160">
          <cell r="O160" t="str">
            <v>non pertinent / nicht relevant</v>
          </cell>
          <cell r="P160" t="str">
            <v>a</v>
          </cell>
        </row>
        <row r="161">
          <cell r="O161" t="str">
            <v>non pertinent / nicht relevant</v>
          </cell>
          <cell r="P161" t="str">
            <v>a</v>
          </cell>
        </row>
        <row r="162">
          <cell r="O162" t="str">
            <v>non pertinent / nicht relevant</v>
          </cell>
          <cell r="P162" t="str">
            <v>a</v>
          </cell>
        </row>
        <row r="163">
          <cell r="O163" t="str">
            <v>Déficit non apparent en charriage ou en remobilisation des sédiments / kein sichtbares Defizit beim Geschiebehaushalt bzw. bei der Mobilisierung von Geschiebe</v>
          </cell>
          <cell r="P163" t="str">
            <v>b</v>
          </cell>
        </row>
        <row r="164">
          <cell r="O164" t="str">
            <v>Charriage présumé naturel / Geschiebehaushalt vermutlich natürlich</v>
          </cell>
          <cell r="P164" t="str">
            <v>b</v>
          </cell>
        </row>
        <row r="165">
          <cell r="O165" t="str">
            <v>Charriage présumé naturel / Geschiebehaushalt vermutlich natürlich</v>
          </cell>
          <cell r="P165" t="str">
            <v>b</v>
          </cell>
        </row>
        <row r="166">
          <cell r="O166" t="str">
            <v>81 -100%</v>
          </cell>
          <cell r="P166" t="str">
            <v>a</v>
          </cell>
        </row>
        <row r="167">
          <cell r="O167" t="str">
            <v>non pertinent / nicht relevant</v>
          </cell>
          <cell r="P167" t="str">
            <v>a</v>
          </cell>
        </row>
        <row r="168">
          <cell r="O168" t="str">
            <v>81 -100%</v>
          </cell>
          <cell r="P168" t="str">
            <v>a</v>
          </cell>
        </row>
        <row r="169">
          <cell r="O169" t="str">
            <v>Charriage présumé perturbé / Geschiebehaushalt vermutlich beeinträchtigt</v>
          </cell>
          <cell r="P169" t="str">
            <v>b</v>
          </cell>
        </row>
        <row r="170">
          <cell r="O170" t="str">
            <v>non pertinent / nicht relevant</v>
          </cell>
          <cell r="P170" t="str">
            <v>a</v>
          </cell>
        </row>
        <row r="171">
          <cell r="O171" t="str">
            <v>81 -100%</v>
          </cell>
          <cell r="P171" t="str">
            <v>a</v>
          </cell>
        </row>
        <row r="172">
          <cell r="O172" t="str">
            <v>non pertinent / nicht relevant</v>
          </cell>
          <cell r="P172" t="str">
            <v>a</v>
          </cell>
        </row>
        <row r="173">
          <cell r="O173" t="str">
            <v>La remobilisation des sédiments est perturbée / Mobilisierung von Geschiebe beeinträchtigt</v>
          </cell>
          <cell r="P173" t="str">
            <v>b</v>
          </cell>
        </row>
        <row r="174">
          <cell r="O174" t="str">
            <v>La remobilisation des sédiments est perturbée / Mobilisierung von Geschiebe beeinträchtigt</v>
          </cell>
          <cell r="P174" t="str">
            <v>b</v>
          </cell>
        </row>
        <row r="175">
          <cell r="O175" t="str">
            <v>Charriage présumé naturel / Geschiebehaushalt vermutlich natürlich</v>
          </cell>
          <cell r="P175" t="str">
            <v>a</v>
          </cell>
        </row>
        <row r="176">
          <cell r="O176" t="str">
            <v>Charriage présumé perturbé / Geschiebehaushalt vermutlich beeinträchtigt</v>
          </cell>
          <cell r="P176" t="str">
            <v>b</v>
          </cell>
        </row>
        <row r="177">
          <cell r="O177" t="str">
            <v>Déficit non apparent en charriage ou en remobilisation des sédiments / kein sichtbares Defizit beim Geschiebehaushalt bzw. bei der Mobilisierung von Geschiebe</v>
          </cell>
          <cell r="P177" t="str">
            <v>b</v>
          </cell>
        </row>
        <row r="178">
          <cell r="O178" t="str">
            <v>Charriage présumé naturel / Geschiebehaushalt vermutlich natürlich</v>
          </cell>
          <cell r="P178" t="str">
            <v>b</v>
          </cell>
        </row>
        <row r="179">
          <cell r="O179" t="str">
            <v>Charriage présumé naturel / Geschiebehaushalt vermutlich natürlich</v>
          </cell>
          <cell r="P179" t="str">
            <v>b</v>
          </cell>
        </row>
        <row r="180">
          <cell r="O180" t="str">
            <v>Charriage présumé naturel / Geschiebehaushalt vermutlich natürlich</v>
          </cell>
          <cell r="P180" t="str">
            <v>b</v>
          </cell>
        </row>
        <row r="181">
          <cell r="O181" t="str">
            <v>Charriage présumé naturel / Geschiebehaushalt vermutlich natürlich</v>
          </cell>
          <cell r="P181" t="str">
            <v>a</v>
          </cell>
        </row>
        <row r="182">
          <cell r="O182" t="str">
            <v>Déficit non apparent en charriage ou en remobilisation des sédiments / kein sichtbares Defizit beim Geschiebehaushalt bzw. bei der Mobilisierung von Geschiebe</v>
          </cell>
          <cell r="P182" t="str">
            <v>b</v>
          </cell>
        </row>
        <row r="183">
          <cell r="O183" t="str">
            <v>Charriage présumé naturel / Geschiebehaushalt vermutlich natürlich</v>
          </cell>
          <cell r="P183" t="str">
            <v>b</v>
          </cell>
        </row>
        <row r="184">
          <cell r="O184" t="str">
            <v>non pertinent / nicht relevant</v>
          </cell>
          <cell r="P184" t="str">
            <v>a</v>
          </cell>
        </row>
        <row r="185">
          <cell r="O185" t="str">
            <v>non pertinent / nicht relevant</v>
          </cell>
          <cell r="P185" t="str">
            <v>a</v>
          </cell>
        </row>
        <row r="186">
          <cell r="O186" t="str">
            <v>Charriage présumé perturbé / Geschiebehaushalt vermutlich beeinträchtigt</v>
          </cell>
          <cell r="P186" t="str">
            <v>a</v>
          </cell>
        </row>
        <row r="187">
          <cell r="O187" t="str">
            <v>Charriage présumé naturel / Geschiebehaushalt vermutlich natürlich</v>
          </cell>
          <cell r="P187" t="str">
            <v>a</v>
          </cell>
        </row>
        <row r="188">
          <cell r="O188" t="str">
            <v>Charriage présumé naturel / Geschiebehaushalt vermutlich natürlich</v>
          </cell>
          <cell r="P188" t="str">
            <v>b</v>
          </cell>
        </row>
        <row r="189">
          <cell r="O189" t="str">
            <v>Charriage présumé naturel / Geschiebehaushalt vermutlich natürlich</v>
          </cell>
          <cell r="P189" t="str">
            <v>b</v>
          </cell>
        </row>
        <row r="190">
          <cell r="O190" t="str">
            <v>0-20%</v>
          </cell>
          <cell r="P190" t="str">
            <v>a</v>
          </cell>
        </row>
        <row r="191">
          <cell r="O191" t="str">
            <v>21-50%</v>
          </cell>
          <cell r="P191" t="str">
            <v>a</v>
          </cell>
        </row>
        <row r="192">
          <cell r="O192" t="str">
            <v>0-20%</v>
          </cell>
          <cell r="P192" t="str">
            <v>a</v>
          </cell>
        </row>
        <row r="193">
          <cell r="O193" t="str">
            <v>Charriage présumé naturel / Geschiebehaushalt vermutlich natürlich</v>
          </cell>
          <cell r="P193" t="str">
            <v>b</v>
          </cell>
        </row>
        <row r="194">
          <cell r="O194" t="str">
            <v>51-80%</v>
          </cell>
          <cell r="P194" t="str">
            <v>a</v>
          </cell>
        </row>
        <row r="195">
          <cell r="O195" t="str">
            <v>21-50%</v>
          </cell>
          <cell r="P195" t="str">
            <v>a</v>
          </cell>
        </row>
        <row r="196">
          <cell r="O196" t="str">
            <v>21-50%</v>
          </cell>
          <cell r="P196" t="str">
            <v>a</v>
          </cell>
        </row>
        <row r="197">
          <cell r="O197" t="str">
            <v>21-50%</v>
          </cell>
          <cell r="P197" t="str">
            <v>a</v>
          </cell>
        </row>
        <row r="198">
          <cell r="O198" t="str">
            <v>0-20%</v>
          </cell>
          <cell r="P198" t="str">
            <v>a</v>
          </cell>
        </row>
        <row r="199">
          <cell r="O199" t="str">
            <v>Charriage présumé naturel / Geschiebehaushalt vermutlich natürlich</v>
          </cell>
          <cell r="P199" t="str">
            <v>b</v>
          </cell>
        </row>
        <row r="200">
          <cell r="O200" t="str">
            <v>Charriage présumé naturel / Geschiebehaushalt vermutlich natürlich</v>
          </cell>
          <cell r="P200" t="str">
            <v>b</v>
          </cell>
        </row>
        <row r="201">
          <cell r="O201" t="str">
            <v>0-20%</v>
          </cell>
          <cell r="P201" t="str">
            <v>a</v>
          </cell>
        </row>
        <row r="202">
          <cell r="O202" t="str">
            <v>Charriage présumé naturel / Geschiebehaushalt vermutlich natürlich</v>
          </cell>
          <cell r="P202" t="str">
            <v>b</v>
          </cell>
        </row>
        <row r="203">
          <cell r="O203" t="str">
            <v>Charriage présumé naturel / Geschiebehaushalt vermutlich natürlich</v>
          </cell>
          <cell r="P203" t="str">
            <v>b</v>
          </cell>
        </row>
        <row r="204">
          <cell r="O204" t="str">
            <v>Charriage présumé naturel / Geschiebehaushalt vermutlich natürlich</v>
          </cell>
          <cell r="P204" t="str">
            <v>b</v>
          </cell>
        </row>
        <row r="205">
          <cell r="O205" t="str">
            <v>Charriage présumé naturel / Geschiebehaushalt vermutlich natürlich</v>
          </cell>
          <cell r="P205" t="str">
            <v>b</v>
          </cell>
        </row>
        <row r="206">
          <cell r="O206" t="str">
            <v>Charriage présumé naturel / Geschiebehaushalt vermutlich natürlich</v>
          </cell>
          <cell r="P206" t="str">
            <v>a</v>
          </cell>
        </row>
        <row r="207">
          <cell r="O207" t="str">
            <v>Charriage présumé naturel / Geschiebehaushalt vermutlich natürlich</v>
          </cell>
          <cell r="P207" t="str">
            <v>b</v>
          </cell>
        </row>
        <row r="208">
          <cell r="O208" t="str">
            <v>Charriage présumé naturel / Geschiebehaushalt vermutlich natürlich</v>
          </cell>
          <cell r="P208" t="str">
            <v>b</v>
          </cell>
        </row>
        <row r="209">
          <cell r="O209" t="str">
            <v>Charriage présumé naturel / Geschiebehaushalt vermutlich natürlich</v>
          </cell>
          <cell r="P209" t="str">
            <v>a</v>
          </cell>
        </row>
        <row r="210">
          <cell r="O210" t="str">
            <v>Charriage présumé naturel / Geschiebehaushalt vermutlich natürlich</v>
          </cell>
          <cell r="P210" t="str">
            <v>a</v>
          </cell>
        </row>
        <row r="211">
          <cell r="O211" t="str">
            <v>Charriage présumé naturel / Geschiebehaushalt vermutlich natürlich</v>
          </cell>
          <cell r="P211" t="str">
            <v>a</v>
          </cell>
        </row>
        <row r="212">
          <cell r="O212" t="str">
            <v>Charriage présumé naturel / Geschiebehaushalt vermutlich natürlich</v>
          </cell>
          <cell r="P212" t="str">
            <v>b</v>
          </cell>
        </row>
        <row r="213">
          <cell r="O213" t="str">
            <v>Charriage présumé naturel / Geschiebehaushalt vermutlich natürlich</v>
          </cell>
          <cell r="P213" t="str">
            <v>b</v>
          </cell>
        </row>
        <row r="214">
          <cell r="O214" t="str">
            <v>La remobilisation des sédiments est perturbée / Mobilisierung von Geschiebe beeinträchtigt</v>
          </cell>
          <cell r="P214" t="str">
            <v>b</v>
          </cell>
        </row>
        <row r="215">
          <cell r="O215" t="str">
            <v>Charriage présumé naturel / Geschiebehaushalt vermutlich natürlich</v>
          </cell>
          <cell r="P215" t="str">
            <v>b</v>
          </cell>
        </row>
        <row r="216">
          <cell r="O216" t="str">
            <v>Charriage présumé naturel / Geschiebehaushalt vermutlich natürlich</v>
          </cell>
          <cell r="P216" t="str">
            <v>b</v>
          </cell>
        </row>
        <row r="217">
          <cell r="O217" t="str">
            <v>Charriage présumé naturel / Geschiebehaushalt vermutlich natürlich</v>
          </cell>
          <cell r="P217" t="str">
            <v>b</v>
          </cell>
        </row>
        <row r="218">
          <cell r="O218" t="str">
            <v>La remobilisation des sédiments est perturbée / Mobilisierung von Geschiebe beeinträchtigt</v>
          </cell>
          <cell r="P218" t="str">
            <v>b</v>
          </cell>
        </row>
        <row r="219">
          <cell r="O219" t="str">
            <v>Déficit non apparent en charriage ou en remobilisation des sédiments / kein sichtbares Defizit beim Geschiebehaushalt bzw. bei der Mobilisierung von Geschiebe</v>
          </cell>
          <cell r="P219" t="str">
            <v>b</v>
          </cell>
        </row>
        <row r="220">
          <cell r="O220" t="str">
            <v>Charriage présumé faiblement perturbé / Geschiebe vermutlich leicht beeinträchtigt</v>
          </cell>
          <cell r="P220" t="str">
            <v>b</v>
          </cell>
        </row>
        <row r="221">
          <cell r="O221" t="str">
            <v>Charriage présumé faiblement perturbé / Geschiebe vermutlich leicht beeinträchtigt</v>
          </cell>
          <cell r="P221" t="str">
            <v>b</v>
          </cell>
        </row>
        <row r="222">
          <cell r="O222" t="str">
            <v>La remobilisation des sédiments est perturbée / Mobilisierung von Geschiebe beeinträchtigt</v>
          </cell>
          <cell r="P222" t="str">
            <v>b</v>
          </cell>
        </row>
        <row r="223">
          <cell r="O223" t="str">
            <v>Charriage présumé perturbé / Geschiebehaushalt vermutlich beeinträchtigt</v>
          </cell>
          <cell r="P223" t="str">
            <v>b</v>
          </cell>
        </row>
        <row r="224">
          <cell r="O224" t="str">
            <v>Charriage présumé naturel / Geschiebehaushalt vermutlich natürlich</v>
          </cell>
          <cell r="P224" t="str">
            <v>b</v>
          </cell>
        </row>
        <row r="225">
          <cell r="O225" t="str">
            <v>21-50%</v>
          </cell>
          <cell r="P225" t="str">
            <v>a</v>
          </cell>
        </row>
        <row r="226">
          <cell r="O226" t="str">
            <v>Charriage présumé naturel / Geschiebehaushalt vermutlich natürlich</v>
          </cell>
          <cell r="P226" t="str">
            <v>b</v>
          </cell>
        </row>
        <row r="227">
          <cell r="O227" t="str">
            <v>La remobilisation des sédiments est perturbée / Mobilisierung von Geschiebe beeinträchtigt</v>
          </cell>
          <cell r="P227" t="str">
            <v>b</v>
          </cell>
        </row>
        <row r="228">
          <cell r="O228" t="str">
            <v>21-50%</v>
          </cell>
          <cell r="P228" t="str">
            <v>a</v>
          </cell>
        </row>
        <row r="229">
          <cell r="O229" t="str">
            <v>Déficit non apparent en charriage ou en remobilisation des sédiments / kein sichtbares Defizit beim Geschiebehaushalt bzw. bei der Mobilisierung von Geschiebe</v>
          </cell>
          <cell r="P229" t="str">
            <v>b</v>
          </cell>
        </row>
        <row r="230">
          <cell r="O230" t="str">
            <v>Charriage présumé naturel / Geschiebehaushalt vermutlich natürlich</v>
          </cell>
          <cell r="P230" t="str">
            <v>b</v>
          </cell>
        </row>
        <row r="231">
          <cell r="O231" t="str">
            <v>Charriage présumé naturel / Geschiebehaushalt vermutlich natürlich</v>
          </cell>
          <cell r="P231" t="str">
            <v>b</v>
          </cell>
        </row>
        <row r="232">
          <cell r="O232" t="str">
            <v>0-20%</v>
          </cell>
          <cell r="P232" t="str">
            <v>a</v>
          </cell>
        </row>
        <row r="233">
          <cell r="O233" t="str">
            <v>La remobilisation des sédiments est perturbée / Mobilisierung von Geschiebe beeinträchtigt</v>
          </cell>
          <cell r="P233" t="str">
            <v>b</v>
          </cell>
        </row>
        <row r="234">
          <cell r="O234" t="str">
            <v>La remobilisation des sédiments est perturbée / Mobilisierung von Geschiebe beeinträchtigt</v>
          </cell>
          <cell r="P234" t="str">
            <v>b</v>
          </cell>
        </row>
        <row r="235">
          <cell r="O235" t="str">
            <v>Charriage présumé perturbé / Geschiebehaushalt vermutlich beeinträchtigt</v>
          </cell>
          <cell r="P235" t="str">
            <v>b</v>
          </cell>
        </row>
        <row r="236">
          <cell r="O236" t="str">
            <v>Charriage présumé perturbé / Geschiebehaushalt vermutlich beeinträchtigt</v>
          </cell>
          <cell r="P236" t="str">
            <v>b</v>
          </cell>
        </row>
        <row r="237">
          <cell r="O237" t="str">
            <v>Charriage présumé naturel / Geschiebehaushalt vermutlich natürlich</v>
          </cell>
          <cell r="P237" t="str">
            <v>b</v>
          </cell>
        </row>
        <row r="238">
          <cell r="O238" t="str">
            <v>Charriage présumé naturel / Geschiebehaushalt vermutlich natürlich</v>
          </cell>
          <cell r="P238" t="str">
            <v>b</v>
          </cell>
        </row>
        <row r="239">
          <cell r="O239" t="str">
            <v>Charriage présumé naturel / Geschiebehaushalt vermutlich natürlich</v>
          </cell>
          <cell r="P239" t="str">
            <v>b</v>
          </cell>
        </row>
        <row r="240">
          <cell r="O240" t="str">
            <v>Déficit non apparent en charriage ou en remobilisation des sédiments / kein sichtbares Defizit beim Geschiebehaushalt bzw. bei der Mobilisierung von Geschiebe</v>
          </cell>
          <cell r="P240" t="str">
            <v>b</v>
          </cell>
        </row>
        <row r="241">
          <cell r="O241" t="str">
            <v>La remobilisation des sédiments est perturbée / Mobilisierung von Geschiebe beeinträchtigt</v>
          </cell>
          <cell r="P241" t="str">
            <v>b</v>
          </cell>
        </row>
        <row r="242">
          <cell r="O242" t="str">
            <v>Charriage présumé naturel / Geschiebehaushalt vermutlich natürlich</v>
          </cell>
          <cell r="P242" t="str">
            <v>b</v>
          </cell>
        </row>
        <row r="243">
          <cell r="O243" t="str">
            <v>Charriage présumé naturel / Geschiebehaushalt vermutlich natürlich</v>
          </cell>
          <cell r="P243" t="str">
            <v>b</v>
          </cell>
        </row>
        <row r="244">
          <cell r="O244" t="str">
            <v>La remobilisation des sédiments est perturbée / Mobilisierung von Geschiebe beeinträchtigt</v>
          </cell>
          <cell r="P244" t="str">
            <v>b</v>
          </cell>
        </row>
        <row r="245">
          <cell r="O245" t="str">
            <v>Charriage présumé naturel / Geschiebehaushalt vermutlich natürlich</v>
          </cell>
          <cell r="P245" t="str">
            <v>b</v>
          </cell>
        </row>
        <row r="246">
          <cell r="O246" t="str">
            <v>Charriage présumé naturel / Geschiebehaushalt vermutlich natürlich</v>
          </cell>
          <cell r="P246" t="str">
            <v>b</v>
          </cell>
        </row>
        <row r="247">
          <cell r="O247" t="str">
            <v>0-20%</v>
          </cell>
          <cell r="P247" t="str">
            <v>a</v>
          </cell>
        </row>
        <row r="248">
          <cell r="O248" t="str">
            <v>Charriage présumé naturel / Geschiebehaushalt vermutlich natürlich</v>
          </cell>
          <cell r="P248" t="str">
            <v>a</v>
          </cell>
        </row>
        <row r="249">
          <cell r="O249" t="str">
            <v>Déficit non apparent en charriage ou en remobilisation des sédiments / kein sichtbares Defizit beim Geschiebehaushalt bzw. bei der Mobilisierung von Geschiebe</v>
          </cell>
          <cell r="P249" t="str">
            <v>b</v>
          </cell>
        </row>
        <row r="250">
          <cell r="O250" t="str">
            <v>21-50%</v>
          </cell>
          <cell r="P250" t="str">
            <v>a</v>
          </cell>
        </row>
        <row r="251">
          <cell r="O251" t="str">
            <v>51-80%</v>
          </cell>
          <cell r="P251" t="str">
            <v>a</v>
          </cell>
        </row>
        <row r="252">
          <cell r="O252" t="str">
            <v>51-80%</v>
          </cell>
          <cell r="P252" t="str">
            <v>a</v>
          </cell>
        </row>
        <row r="253">
          <cell r="O253" t="str">
            <v>Charriage présumé naturel / Geschiebehaushalt vermutlich natürlich</v>
          </cell>
          <cell r="P253" t="str">
            <v>a</v>
          </cell>
        </row>
        <row r="254">
          <cell r="O254" t="str">
            <v>0-20%</v>
          </cell>
          <cell r="P254" t="str">
            <v>a</v>
          </cell>
        </row>
        <row r="255">
          <cell r="O255" t="str">
            <v>21-50%</v>
          </cell>
          <cell r="P255" t="str">
            <v>a</v>
          </cell>
        </row>
        <row r="256">
          <cell r="O256" t="str">
            <v>0-20%</v>
          </cell>
          <cell r="P256" t="str">
            <v>a</v>
          </cell>
        </row>
        <row r="257">
          <cell r="O257" t="str">
            <v>0-20%</v>
          </cell>
          <cell r="P257" t="str">
            <v>a</v>
          </cell>
        </row>
        <row r="258">
          <cell r="O258" t="str">
            <v>0-20%</v>
          </cell>
          <cell r="P258" t="str">
            <v>a</v>
          </cell>
        </row>
        <row r="259">
          <cell r="O259" t="str">
            <v>0-20%</v>
          </cell>
          <cell r="P259" t="str">
            <v>a</v>
          </cell>
        </row>
        <row r="260">
          <cell r="O260" t="str">
            <v>0-20%</v>
          </cell>
          <cell r="P260" t="str">
            <v>a</v>
          </cell>
        </row>
        <row r="261">
          <cell r="O261" t="str">
            <v>0-20%</v>
          </cell>
          <cell r="P261" t="str">
            <v>a</v>
          </cell>
        </row>
        <row r="262">
          <cell r="O262" t="str">
            <v>0-20%</v>
          </cell>
          <cell r="P262" t="str">
            <v>a</v>
          </cell>
        </row>
        <row r="263">
          <cell r="O263" t="str">
            <v>0-20%</v>
          </cell>
          <cell r="P263" t="str">
            <v>a</v>
          </cell>
        </row>
        <row r="264">
          <cell r="O264" t="str">
            <v>Déficit non apparent en charriage ou en remobilisation des sédiments / kein sichtbares Defizit beim Geschiebehaushalt bzw. bei der Mobilisierung von Geschiebe</v>
          </cell>
          <cell r="P264" t="str">
            <v>b</v>
          </cell>
        </row>
        <row r="265">
          <cell r="O265" t="str">
            <v>La remobilisation des sédiments est perturbée / Mobilisierung von Geschiebe beeinträchtigt</v>
          </cell>
          <cell r="P265" t="str">
            <v>b</v>
          </cell>
        </row>
        <row r="266">
          <cell r="O266" t="str">
            <v>0-20%</v>
          </cell>
          <cell r="P266" t="str">
            <v>a</v>
          </cell>
        </row>
        <row r="267">
          <cell r="O267" t="str">
            <v>Déficit non apparent en charriage ou en remobilisation des sédiments / kein sichtbares Defizit beim Geschiebehaushalt bzw. bei der Mobilisierung von Geschiebe</v>
          </cell>
          <cell r="P267" t="str">
            <v>b</v>
          </cell>
        </row>
        <row r="268">
          <cell r="O268" t="str">
            <v>La remobilisation des sédiments est perturbée / Mobilisierung von Geschiebe beeinträchtigt</v>
          </cell>
          <cell r="P268" t="str">
            <v>b</v>
          </cell>
        </row>
        <row r="269">
          <cell r="O269" t="str">
            <v>Charriage présumé naturel / Geschiebehaushalt vermutlich natürlich</v>
          </cell>
          <cell r="P269" t="str">
            <v>b</v>
          </cell>
        </row>
        <row r="270">
          <cell r="O270" t="str">
            <v>Charriage présumé naturel / Geschiebehaushalt vermutlich natürlich</v>
          </cell>
          <cell r="P270" t="str">
            <v>b</v>
          </cell>
        </row>
        <row r="271">
          <cell r="O271" t="str">
            <v>Charriage présumé naturel / Geschiebehaushalt vermutlich natürlich</v>
          </cell>
          <cell r="P271" t="str">
            <v>b</v>
          </cell>
        </row>
        <row r="272">
          <cell r="O272" t="str">
            <v>La remobilisation des sédiments est perturbée / Mobilisierung von Geschiebe beeinträchtigt</v>
          </cell>
          <cell r="P272" t="str">
            <v>b</v>
          </cell>
        </row>
        <row r="297">
          <cell r="O297">
            <v>0</v>
          </cell>
          <cell r="P297">
            <v>0</v>
          </cell>
        </row>
      </sheetData>
      <sheetData sheetId="2"/>
      <sheetData sheetId="3"/>
      <sheetData sheetId="4"/>
      <sheetData sheetId="5"/>
      <sheetData sheetId="6"/>
      <sheetData sheetId="7"/>
      <sheetData sheetId="8">
        <row r="54">
          <cell r="B54" t="str">
            <v>Nombre d'objets
Anzahl Objekte</v>
          </cell>
          <cell r="C54" t="str">
            <v>%</v>
          </cell>
        </row>
        <row r="55">
          <cell r="A55" t="str">
            <v>Non affecté 
nicht betroffen</v>
          </cell>
          <cell r="B55" t="e">
            <v>#REF!</v>
          </cell>
          <cell r="C55" t="e">
            <v>#REF!</v>
          </cell>
        </row>
        <row r="56">
          <cell r="A56" t="str">
            <v>Potentiellement affecté (non plausible) 
möglicherweise betroffen
 (nicht nachweisbar)</v>
          </cell>
          <cell r="B56" t="e">
            <v>#REF!</v>
          </cell>
          <cell r="C56" t="e">
            <v>#REF!</v>
          </cell>
        </row>
        <row r="57">
          <cell r="A57" t="str">
            <v>Potentiellement affecté  (plausible)
 möglicherweise betroffen (nachweisbar)</v>
          </cell>
          <cell r="B57" t="e">
            <v>#REF!</v>
          </cell>
          <cell r="C57" t="e">
            <v>#REF!</v>
          </cell>
        </row>
      </sheetData>
      <sheetData sheetId="9">
        <row r="2">
          <cell r="K2" t="str">
            <v>Partiellement nécessaire, facile / teilweise nötig, einfach</v>
          </cell>
          <cell r="L2" t="str">
            <v>b</v>
          </cell>
        </row>
        <row r="3">
          <cell r="K3" t="str">
            <v>Partiellement nécessaire, difficile / teilweise nötig, schwierig</v>
          </cell>
          <cell r="L3" t="str">
            <v>b</v>
          </cell>
        </row>
        <row r="4">
          <cell r="K4" t="str">
            <v>Non nécessaire / nicht nötig</v>
          </cell>
          <cell r="L4" t="str">
            <v>a</v>
          </cell>
        </row>
        <row r="5">
          <cell r="K5" t="str">
            <v>Partiellement nécessaire, facile / teilweise nötig, einfach</v>
          </cell>
          <cell r="L5" t="str">
            <v>b</v>
          </cell>
        </row>
        <row r="6">
          <cell r="K6" t="str">
            <v>Partiellement nécessaire, difficile / teilweise nötig, schwierig</v>
          </cell>
          <cell r="L6" t="str">
            <v>b</v>
          </cell>
        </row>
        <row r="7">
          <cell r="K7" t="str">
            <v>Très nécessaire, facile / unbedingt nötig, einfach</v>
          </cell>
          <cell r="L7" t="str">
            <v>a</v>
          </cell>
        </row>
        <row r="8">
          <cell r="K8" t="str">
            <v>Très nécessaire, facile / unbedingt nötig, einfach</v>
          </cell>
          <cell r="L8" t="str">
            <v>a</v>
          </cell>
        </row>
        <row r="9">
          <cell r="K9" t="str">
            <v>Très nécessaire, facile / unbedingt nötig, einfach</v>
          </cell>
          <cell r="L9" t="str">
            <v>a</v>
          </cell>
        </row>
        <row r="10">
          <cell r="K10" t="str">
            <v>Partiellement nécessaire, difficile / teilweise nötig, schwierig</v>
          </cell>
          <cell r="L10" t="str">
            <v>b</v>
          </cell>
        </row>
        <row r="11">
          <cell r="K11" t="str">
            <v>Très nécessaire, facile / unbedingt nötig, einfach</v>
          </cell>
          <cell r="L11" t="str">
            <v>a</v>
          </cell>
        </row>
        <row r="12">
          <cell r="K12" t="str">
            <v>Partiellement nécessaire, difficile / teilweise nötig, schwierig</v>
          </cell>
          <cell r="L12" t="str">
            <v>a</v>
          </cell>
        </row>
        <row r="13">
          <cell r="K13" t="str">
            <v>Très nécessaire, facile / unbedingt nötig, einfach</v>
          </cell>
          <cell r="L13" t="str">
            <v>a</v>
          </cell>
        </row>
        <row r="14">
          <cell r="K14" t="str">
            <v>Très nécessaire, facile / unbedingt nötig, einfach</v>
          </cell>
          <cell r="L14" t="str">
            <v>b</v>
          </cell>
        </row>
        <row r="15">
          <cell r="K15" t="str">
            <v>Non nécessaire / nicht nötig</v>
          </cell>
          <cell r="L15" t="str">
            <v>a</v>
          </cell>
        </row>
        <row r="16">
          <cell r="K16" t="str">
            <v>Partiellement nécessaire, facile / teilweise nötig, einfach</v>
          </cell>
          <cell r="L16" t="str">
            <v>b</v>
          </cell>
        </row>
        <row r="17">
          <cell r="K17" t="str">
            <v>Très nécessaire, facile / unbedingt nötig, einfach</v>
          </cell>
          <cell r="L17" t="str">
            <v>b</v>
          </cell>
        </row>
        <row r="18">
          <cell r="K18" t="str">
            <v>Partiellement nécessaire, facile / teilweise nötig, einfach</v>
          </cell>
          <cell r="L18" t="str">
            <v>b</v>
          </cell>
        </row>
        <row r="19">
          <cell r="K19" t="str">
            <v>Très nécessaire, difficile / unbedingt nötig, schwierig</v>
          </cell>
          <cell r="L19" t="str">
            <v>b</v>
          </cell>
        </row>
        <row r="20">
          <cell r="K20" t="str">
            <v>Non nécessaire / nicht nötig</v>
          </cell>
          <cell r="L20" t="str">
            <v>b</v>
          </cell>
        </row>
        <row r="21">
          <cell r="K21" t="str">
            <v>Très nécessaire, facile / unbedingt nötig, einfach</v>
          </cell>
          <cell r="L21" t="str">
            <v>a</v>
          </cell>
        </row>
        <row r="22">
          <cell r="K22" t="str">
            <v>Partiellement nécessaire, facile / teilweise nötig, einfach</v>
          </cell>
          <cell r="L22" t="str">
            <v>a</v>
          </cell>
        </row>
        <row r="23">
          <cell r="K23" t="str">
            <v>Non nécessaire / nicht nötig</v>
          </cell>
          <cell r="L23" t="str">
            <v>a</v>
          </cell>
        </row>
        <row r="24">
          <cell r="K24" t="str">
            <v>Partiellement nécessaire, facile / teilweise nötig, einfach</v>
          </cell>
          <cell r="L24" t="str">
            <v>a</v>
          </cell>
        </row>
        <row r="25">
          <cell r="K25" t="str">
            <v>Non nécessaire / nicht nötig</v>
          </cell>
          <cell r="L25" t="str">
            <v>a</v>
          </cell>
        </row>
        <row r="26">
          <cell r="K26" t="str">
            <v>Très nécessaire, difficile / unbedingt nötig, schwierig</v>
          </cell>
          <cell r="L26" t="str">
            <v>a</v>
          </cell>
        </row>
        <row r="27">
          <cell r="K27" t="str">
            <v>Partiellement nécessaire, facile / teilweise nötig, einfach</v>
          </cell>
          <cell r="L27" t="str">
            <v>b</v>
          </cell>
        </row>
        <row r="28">
          <cell r="K28" t="str">
            <v>Partiellement nécessaire, difficile / teilweise nötig, schwierig</v>
          </cell>
          <cell r="L28" t="str">
            <v>b</v>
          </cell>
        </row>
        <row r="29">
          <cell r="K29" t="str">
            <v>Partiellement nécessaire, difficile / teilweise nötig, schwierig</v>
          </cell>
          <cell r="L29" t="str">
            <v>b</v>
          </cell>
        </row>
        <row r="30">
          <cell r="K30" t="str">
            <v>Très nécessaire, facile / unbedingt nötig, einfach</v>
          </cell>
          <cell r="L30" t="str">
            <v>a</v>
          </cell>
        </row>
        <row r="31">
          <cell r="K31" t="str">
            <v>Très nécessaire, facile / unbedingt nötig, einfach</v>
          </cell>
          <cell r="L31" t="str">
            <v>a</v>
          </cell>
        </row>
        <row r="32">
          <cell r="K32" t="str">
            <v>Très nécessaire, facile / unbedingt nötig, einfach</v>
          </cell>
          <cell r="L32" t="str">
            <v>a</v>
          </cell>
        </row>
        <row r="33">
          <cell r="K33" t="str">
            <v>Très nécessaire, difficile / unbedingt nötig, schwierig</v>
          </cell>
          <cell r="L33" t="str">
            <v>b</v>
          </cell>
        </row>
        <row r="34">
          <cell r="K34" t="str">
            <v>Non nécessaire / nicht nötig</v>
          </cell>
          <cell r="L34" t="str">
            <v>b</v>
          </cell>
        </row>
        <row r="35">
          <cell r="K35" t="str">
            <v>Partiellement nécessaire, facile / teilweise nötig, einfach</v>
          </cell>
          <cell r="L35" t="str">
            <v>b</v>
          </cell>
        </row>
        <row r="36">
          <cell r="K36" t="str">
            <v>Partiellement nécessaire, facile / teilweise nötig, einfach</v>
          </cell>
          <cell r="L36" t="str">
            <v>b</v>
          </cell>
        </row>
        <row r="37">
          <cell r="K37" t="str">
            <v>Non nécessaire / nicht nötig</v>
          </cell>
          <cell r="L37" t="str">
            <v>a</v>
          </cell>
        </row>
        <row r="38">
          <cell r="K38" t="str">
            <v>Partiellement nécessaire, facile / teilweise nötig, einfach</v>
          </cell>
          <cell r="L38" t="str">
            <v>b</v>
          </cell>
        </row>
        <row r="39">
          <cell r="K39" t="str">
            <v>Très nécessaire, facile / unbedingt nötig, einfach</v>
          </cell>
          <cell r="L39" t="str">
            <v>a</v>
          </cell>
        </row>
        <row r="40">
          <cell r="K40" t="str">
            <v>Très nécessaire, facile / unbedingt nötig, einfach</v>
          </cell>
          <cell r="L40" t="str">
            <v>b</v>
          </cell>
        </row>
        <row r="41">
          <cell r="K41" t="str">
            <v>Non nécessaire / nicht nötig</v>
          </cell>
          <cell r="L41" t="str">
            <v>a</v>
          </cell>
        </row>
        <row r="42">
          <cell r="K42" t="str">
            <v>Partiellement nécessaire, difficile / teilweise nötig, schwierig</v>
          </cell>
          <cell r="L42" t="str">
            <v>a</v>
          </cell>
        </row>
        <row r="43">
          <cell r="K43" t="str">
            <v>Très nécessaire, facile / unbedingt nötig, einfach</v>
          </cell>
          <cell r="L43" t="str">
            <v>a</v>
          </cell>
        </row>
        <row r="44">
          <cell r="K44" t="str">
            <v>Non nécessaire / nicht nötig</v>
          </cell>
          <cell r="L44" t="str">
            <v>b</v>
          </cell>
        </row>
        <row r="45">
          <cell r="K45" t="str">
            <v>Partiellement nécessaire, facile / teilweise nötig, einfach</v>
          </cell>
          <cell r="L45" t="str">
            <v>a</v>
          </cell>
        </row>
        <row r="46">
          <cell r="K46" t="str">
            <v>Non nécessaire / nicht nötig</v>
          </cell>
          <cell r="L46" t="str">
            <v>a</v>
          </cell>
        </row>
        <row r="47">
          <cell r="K47" t="str">
            <v>Partiellement nécessaire, facile / teilweise nötig, einfach</v>
          </cell>
          <cell r="L47" t="str">
            <v>b</v>
          </cell>
        </row>
        <row r="48">
          <cell r="K48" t="str">
            <v>Partiellement nécessaire, facile / teilweise nötig, einfach</v>
          </cell>
          <cell r="L48" t="str">
            <v>a</v>
          </cell>
        </row>
        <row r="49">
          <cell r="K49" t="str">
            <v>Très nécessaire, facile / unbedingt nötig, einfach</v>
          </cell>
          <cell r="L49" t="str">
            <v>a</v>
          </cell>
        </row>
        <row r="50">
          <cell r="K50" t="str">
            <v>Très nécessaire, facile / unbedingt nötig, einfach</v>
          </cell>
          <cell r="L50" t="str">
            <v>a</v>
          </cell>
        </row>
        <row r="51">
          <cell r="K51" t="str">
            <v>Partiellement nécessaire, facile / teilweise nötig, einfach</v>
          </cell>
          <cell r="L51" t="str">
            <v>a</v>
          </cell>
        </row>
        <row r="52">
          <cell r="K52" t="str">
            <v>Très nécessaire, difficile / unbedingt nötig, schwierig</v>
          </cell>
          <cell r="L52" t="str">
            <v>a</v>
          </cell>
        </row>
        <row r="53">
          <cell r="K53" t="str">
            <v>Très nécessaire, facile / unbedingt nötig, einfach</v>
          </cell>
          <cell r="L53" t="str">
            <v>b</v>
          </cell>
        </row>
        <row r="54">
          <cell r="K54" t="str">
            <v>Non nécessaire / nicht nötig</v>
          </cell>
          <cell r="L54" t="str">
            <v>b</v>
          </cell>
        </row>
        <row r="55">
          <cell r="K55" t="str">
            <v>Très nécessaire, facile / unbedingt nötig, einfach</v>
          </cell>
          <cell r="L55" t="str">
            <v>b</v>
          </cell>
        </row>
        <row r="56">
          <cell r="K56" t="str">
            <v>Non nécessaire / nicht nötig</v>
          </cell>
          <cell r="L56" t="str">
            <v>b</v>
          </cell>
        </row>
        <row r="57">
          <cell r="K57" t="str">
            <v>Très nécessaire, facile / unbedingt nötig, einfach</v>
          </cell>
          <cell r="L57" t="str">
            <v>a</v>
          </cell>
        </row>
        <row r="58">
          <cell r="K58" t="str">
            <v>Très nécessaire, facile / unbedingt nötig, einfach</v>
          </cell>
          <cell r="L58" t="str">
            <v>a</v>
          </cell>
        </row>
        <row r="59">
          <cell r="K59" t="str">
            <v>Partiellement nécessaire, facile / teilweise nötig, einfach</v>
          </cell>
          <cell r="L59" t="str">
            <v>a</v>
          </cell>
        </row>
        <row r="60">
          <cell r="K60" t="str">
            <v>Partiellement nécessaire, facile / teilweise nötig, einfach</v>
          </cell>
          <cell r="L60" t="str">
            <v>a</v>
          </cell>
        </row>
        <row r="61">
          <cell r="K61" t="str">
            <v>Très nécessaire, facile / unbedingt nötig, einfach</v>
          </cell>
          <cell r="L61" t="str">
            <v>a</v>
          </cell>
        </row>
        <row r="62">
          <cell r="K62" t="str">
            <v>Non nécessaire / nicht nötig</v>
          </cell>
          <cell r="L62" t="str">
            <v>b</v>
          </cell>
        </row>
        <row r="63">
          <cell r="K63" t="str">
            <v>Très nécessaire, difficile / unbedingt nötig, schwierig</v>
          </cell>
          <cell r="L63" t="str">
            <v>b</v>
          </cell>
        </row>
        <row r="64">
          <cell r="K64" t="str">
            <v>Très nécessaire, facile / unbedingt nötig, einfach</v>
          </cell>
          <cell r="L64" t="str">
            <v>a</v>
          </cell>
        </row>
        <row r="65">
          <cell r="K65" t="str">
            <v>Non nécessaire / nicht nötig</v>
          </cell>
          <cell r="L65" t="str">
            <v>a</v>
          </cell>
        </row>
        <row r="66">
          <cell r="K66" t="str">
            <v>Très nécessaire, difficile / unbedingt nötig, schwierig</v>
          </cell>
          <cell r="L66" t="str">
            <v>b</v>
          </cell>
        </row>
        <row r="67">
          <cell r="K67" t="str">
            <v>Très nécessaire, facile / unbedingt nötig, einfach</v>
          </cell>
          <cell r="L67" t="str">
            <v>b</v>
          </cell>
        </row>
        <row r="68">
          <cell r="K68" t="str">
            <v>Très nécessaire, facile / unbedingt nötig, einfach</v>
          </cell>
          <cell r="L68" t="str">
            <v>b</v>
          </cell>
        </row>
        <row r="69">
          <cell r="K69" t="str">
            <v>Très nécessaire, difficile / unbedingt nötig, schwierig</v>
          </cell>
          <cell r="L69" t="str">
            <v>b</v>
          </cell>
        </row>
        <row r="70">
          <cell r="K70" t="str">
            <v>Très nécessaire, facile / unbedingt nötig, einfach</v>
          </cell>
          <cell r="L70" t="str">
            <v>a</v>
          </cell>
        </row>
        <row r="71">
          <cell r="K71" t="str">
            <v>Très nécessaire, facile / unbedingt nötig, einfach</v>
          </cell>
          <cell r="L71" t="str">
            <v>b</v>
          </cell>
        </row>
        <row r="72">
          <cell r="K72" t="str">
            <v>Très nécessaire, facile / unbedingt nötig, einfach</v>
          </cell>
          <cell r="L72" t="str">
            <v>b</v>
          </cell>
        </row>
        <row r="73">
          <cell r="K73" t="str">
            <v>Non nécessaire / nicht nötig</v>
          </cell>
          <cell r="L73" t="str">
            <v>a</v>
          </cell>
        </row>
        <row r="74">
          <cell r="K74" t="str">
            <v>Partiellement nécessaire, facile / teilweise nötig, einfach</v>
          </cell>
          <cell r="L74" t="str">
            <v>a</v>
          </cell>
        </row>
        <row r="75">
          <cell r="K75" t="str">
            <v>Partiellement nécessaire, facile / teilweise nötig, einfach</v>
          </cell>
          <cell r="L75" t="str">
            <v>a</v>
          </cell>
        </row>
        <row r="76">
          <cell r="K76" t="str">
            <v>Très nécessaire, facile / unbedingt nötig, einfach</v>
          </cell>
          <cell r="L76" t="str">
            <v>b</v>
          </cell>
        </row>
        <row r="77">
          <cell r="K77" t="str">
            <v>Très nécessaire, difficile / unbedingt nötig, schwierig</v>
          </cell>
          <cell r="L77" t="str">
            <v>b</v>
          </cell>
        </row>
        <row r="78">
          <cell r="K78" t="str">
            <v>Très nécessaire, difficile / unbedingt nötig, schwierig</v>
          </cell>
          <cell r="L78" t="str">
            <v>b</v>
          </cell>
        </row>
        <row r="79">
          <cell r="K79" t="str">
            <v>Non nécessaire / nicht nötig</v>
          </cell>
          <cell r="L79" t="str">
            <v>b</v>
          </cell>
        </row>
        <row r="80">
          <cell r="K80" t="str">
            <v>Non nécessaire / nicht nötig</v>
          </cell>
          <cell r="L80" t="str">
            <v>b</v>
          </cell>
        </row>
        <row r="81">
          <cell r="K81" t="str">
            <v>Non nécessaire / nicht nötig</v>
          </cell>
          <cell r="L81" t="str">
            <v>b</v>
          </cell>
        </row>
        <row r="82">
          <cell r="K82" t="str">
            <v>Non nécessaire / nicht nötig</v>
          </cell>
          <cell r="L82" t="str">
            <v>a</v>
          </cell>
        </row>
        <row r="83">
          <cell r="K83" t="str">
            <v>Très nécessaire, facile / unbedingt nötig, einfach</v>
          </cell>
          <cell r="L83" t="str">
            <v>b</v>
          </cell>
        </row>
        <row r="84">
          <cell r="K84" t="str">
            <v>Non nécessaire / nicht nötig</v>
          </cell>
          <cell r="L84" t="str">
            <v>a</v>
          </cell>
        </row>
        <row r="85">
          <cell r="K85" t="str">
            <v>Partiellement nécessaire, facile / teilweise nötig, einfach</v>
          </cell>
          <cell r="L85" t="str">
            <v>b</v>
          </cell>
        </row>
        <row r="86">
          <cell r="K86" t="str">
            <v>Non nécessaire / nicht nötig</v>
          </cell>
          <cell r="L86" t="str">
            <v>a</v>
          </cell>
        </row>
        <row r="87">
          <cell r="K87" t="str">
            <v>Très nécessaire, facile / unbedingt nötig, einfach</v>
          </cell>
          <cell r="L87" t="str">
            <v>b</v>
          </cell>
        </row>
        <row r="88">
          <cell r="K88" t="str">
            <v>Non nécessaire / nicht nötig</v>
          </cell>
          <cell r="L88" t="str">
            <v>b</v>
          </cell>
        </row>
        <row r="89">
          <cell r="K89" t="str">
            <v>Partiellement nécessaire, difficile / teilweise nötig, schwierig</v>
          </cell>
          <cell r="L89" t="str">
            <v>b</v>
          </cell>
        </row>
        <row r="90">
          <cell r="K90" t="str">
            <v>Très nécessaire, facile / unbedingt nötig, einfach</v>
          </cell>
          <cell r="L90" t="str">
            <v>b</v>
          </cell>
        </row>
        <row r="91">
          <cell r="K91" t="str">
            <v>Non nécessaire / nicht nötig</v>
          </cell>
          <cell r="L91" t="str">
            <v>a</v>
          </cell>
        </row>
        <row r="92">
          <cell r="K92" t="str">
            <v>Très nécessaire, facile / unbedingt nötig, einfach</v>
          </cell>
          <cell r="L92" t="str">
            <v>a</v>
          </cell>
        </row>
        <row r="93">
          <cell r="K93" t="str">
            <v>Partiellement nécessaire, facile / teilweise nötig, einfach</v>
          </cell>
          <cell r="L93" t="str">
            <v>a</v>
          </cell>
        </row>
        <row r="94">
          <cell r="K94" t="str">
            <v>Non nécessaire / nicht nötig</v>
          </cell>
          <cell r="L94" t="str">
            <v>b</v>
          </cell>
        </row>
        <row r="95">
          <cell r="K95" t="str">
            <v>Non nécessaire / nicht nötig</v>
          </cell>
          <cell r="L95" t="str">
            <v>a</v>
          </cell>
        </row>
        <row r="96">
          <cell r="K96" t="str">
            <v>Partiellement nécessaire, facile / teilweise nötig, einfach</v>
          </cell>
          <cell r="L96" t="str">
            <v>b</v>
          </cell>
        </row>
        <row r="97">
          <cell r="K97" t="str">
            <v>Très nécessaire, facile / unbedingt nötig, einfach</v>
          </cell>
          <cell r="L97" t="str">
            <v>b</v>
          </cell>
        </row>
        <row r="98">
          <cell r="K98" t="str">
            <v>Très nécessaire, facile / unbedingt nötig, einfach</v>
          </cell>
          <cell r="L98" t="str">
            <v>a</v>
          </cell>
        </row>
        <row r="99">
          <cell r="K99" t="str">
            <v>Très nécessaire, facile / unbedingt nötig, einfach</v>
          </cell>
          <cell r="L99" t="str">
            <v>a</v>
          </cell>
        </row>
        <row r="100">
          <cell r="K100" t="str">
            <v>Non nécessaire / nicht nötig</v>
          </cell>
          <cell r="L100" t="str">
            <v>a</v>
          </cell>
        </row>
        <row r="101">
          <cell r="K101" t="str">
            <v>Très nécessaire, facile / unbedingt nötig, einfach</v>
          </cell>
          <cell r="L101" t="str">
            <v>a</v>
          </cell>
        </row>
        <row r="102">
          <cell r="K102" t="str">
            <v>Non nécessaire / nicht nötig</v>
          </cell>
          <cell r="L102" t="str">
            <v>b</v>
          </cell>
        </row>
        <row r="103">
          <cell r="K103" t="str">
            <v>Très nécessaire, facile / unbedingt nötig, einfach</v>
          </cell>
          <cell r="L103" t="str">
            <v>a</v>
          </cell>
        </row>
        <row r="104">
          <cell r="K104" t="str">
            <v>Non nécessaire / nicht nötig</v>
          </cell>
          <cell r="L104" t="str">
            <v>a</v>
          </cell>
        </row>
        <row r="105">
          <cell r="K105" t="str">
            <v>Non nécessaire / nicht nötig</v>
          </cell>
          <cell r="L105" t="str">
            <v>b</v>
          </cell>
        </row>
        <row r="106">
          <cell r="K106" t="str">
            <v>Non nécessaire / nicht nötig</v>
          </cell>
          <cell r="L106" t="str">
            <v>b</v>
          </cell>
        </row>
        <row r="107">
          <cell r="K107" t="str">
            <v>Non nécessaire / nicht nötig</v>
          </cell>
          <cell r="L107" t="str">
            <v>b</v>
          </cell>
        </row>
        <row r="108">
          <cell r="K108" t="str">
            <v>Non nécessaire / nicht nötig</v>
          </cell>
          <cell r="L108" t="str">
            <v>a</v>
          </cell>
        </row>
        <row r="109">
          <cell r="K109" t="str">
            <v>Très nécessaire, facile / unbedingt nötig, einfach</v>
          </cell>
          <cell r="L109" t="str">
            <v>b</v>
          </cell>
        </row>
        <row r="110">
          <cell r="K110" t="str">
            <v>Très nécessaire, facile / unbedingt nötig, einfach</v>
          </cell>
          <cell r="L110" t="str">
            <v>b</v>
          </cell>
        </row>
        <row r="111">
          <cell r="K111" t="str">
            <v>Partiellement nécessaire, facile / teilweise nötig, einfach</v>
          </cell>
          <cell r="L111" t="str">
            <v>a</v>
          </cell>
        </row>
        <row r="112">
          <cell r="K112" t="str">
            <v>Non nécessaire / nicht nötig</v>
          </cell>
          <cell r="L112" t="str">
            <v>a</v>
          </cell>
        </row>
        <row r="113">
          <cell r="K113" t="str">
            <v>Très nécessaire, difficile / unbedingt nötig, schwierig</v>
          </cell>
          <cell r="L113" t="str">
            <v>b</v>
          </cell>
        </row>
        <row r="114">
          <cell r="K114" t="str">
            <v>Très nécessaire, facile / unbedingt nötig, einfach</v>
          </cell>
          <cell r="L114" t="str">
            <v>b</v>
          </cell>
        </row>
        <row r="115">
          <cell r="K115" t="str">
            <v>Très nécessaire, facile / unbedingt nötig, einfach</v>
          </cell>
          <cell r="L115" t="str">
            <v>a</v>
          </cell>
        </row>
        <row r="116">
          <cell r="K116" t="str">
            <v>Très nécessaire, difficile / unbedingt nötig, schwierig</v>
          </cell>
          <cell r="L116" t="str">
            <v>b</v>
          </cell>
        </row>
        <row r="117">
          <cell r="K117" t="str">
            <v>Partiellement nécessaire, facile / teilweise nötig, einfach</v>
          </cell>
          <cell r="L117" t="str">
            <v>a</v>
          </cell>
        </row>
        <row r="118">
          <cell r="K118" t="str">
            <v>Non nécessaire / nicht nötig</v>
          </cell>
          <cell r="L118" t="str">
            <v>a</v>
          </cell>
        </row>
        <row r="119">
          <cell r="K119" t="str">
            <v>Très nécessaire, difficile / unbedingt nötig, schwierig</v>
          </cell>
          <cell r="L119" t="str">
            <v>a</v>
          </cell>
        </row>
        <row r="120">
          <cell r="K120" t="str">
            <v>Non nécessaire / nicht nötig</v>
          </cell>
          <cell r="L120" t="str">
            <v>a</v>
          </cell>
        </row>
        <row r="121">
          <cell r="K121" t="str">
            <v>Très nécessaire, facile / unbedingt nötig, einfach</v>
          </cell>
          <cell r="L121" t="str">
            <v>a</v>
          </cell>
        </row>
        <row r="122">
          <cell r="K122" t="str">
            <v>Non nécessaire / nicht nötig</v>
          </cell>
          <cell r="L122" t="str">
            <v>a</v>
          </cell>
        </row>
        <row r="123">
          <cell r="K123" t="str">
            <v>Très nécessaire, facile / unbedingt nötig, einfach</v>
          </cell>
          <cell r="L123" t="str">
            <v>a</v>
          </cell>
        </row>
        <row r="124">
          <cell r="K124" t="str">
            <v>Partiellement nécessaire, facile / teilweise nötig, einfach</v>
          </cell>
          <cell r="L124" t="str">
            <v>a</v>
          </cell>
        </row>
        <row r="125">
          <cell r="K125" t="str">
            <v>Partiellement nécessaire, difficile / teilweise nötig, schwierig</v>
          </cell>
          <cell r="L125" t="str">
            <v>a</v>
          </cell>
        </row>
        <row r="126">
          <cell r="K126" t="str">
            <v>Non nécessaire / nicht nötig</v>
          </cell>
          <cell r="L126" t="str">
            <v>a</v>
          </cell>
        </row>
        <row r="127">
          <cell r="K127" t="str">
            <v>Très nécessaire, facile / unbedingt nötig, einfach</v>
          </cell>
          <cell r="L127" t="str">
            <v>b</v>
          </cell>
        </row>
        <row r="128">
          <cell r="K128" t="str">
            <v>Très nécessaire, difficile / unbedingt nötig, schwierig</v>
          </cell>
          <cell r="L128" t="str">
            <v>b</v>
          </cell>
        </row>
        <row r="129">
          <cell r="K129" t="str">
            <v>Très nécessaire, facile / unbedingt nötig, einfach</v>
          </cell>
          <cell r="L129" t="str">
            <v>b</v>
          </cell>
        </row>
        <row r="130">
          <cell r="K130" t="str">
            <v>Non nécessaire / nicht nötig</v>
          </cell>
          <cell r="L130" t="str">
            <v>b</v>
          </cell>
        </row>
        <row r="131">
          <cell r="K131" t="str">
            <v>Très nécessaire, facile / unbedingt nötig, einfach</v>
          </cell>
          <cell r="L131" t="str">
            <v>b</v>
          </cell>
        </row>
        <row r="132">
          <cell r="K132" t="str">
            <v>Très nécessaire, facile / unbedingt nötig, einfach</v>
          </cell>
          <cell r="L132" t="str">
            <v>b</v>
          </cell>
        </row>
        <row r="133">
          <cell r="K133" t="str">
            <v>Non nécessaire / nicht nötig</v>
          </cell>
          <cell r="L133" t="str">
            <v>a</v>
          </cell>
        </row>
        <row r="134">
          <cell r="K134" t="str">
            <v>Très nécessaire, difficile / unbedingt nötig, schwierig</v>
          </cell>
          <cell r="L134" t="str">
            <v>a</v>
          </cell>
        </row>
        <row r="135">
          <cell r="K135" t="str">
            <v>Très nécessaire, facile / unbedingt nötig, einfach</v>
          </cell>
          <cell r="L135" t="str">
            <v>a</v>
          </cell>
        </row>
        <row r="136">
          <cell r="K136" t="str">
            <v>Très nécessaire, facile / unbedingt nötig, einfach</v>
          </cell>
          <cell r="L136" t="str">
            <v>a</v>
          </cell>
        </row>
        <row r="137">
          <cell r="K137" t="str">
            <v>Non nécessaire / nicht nötig</v>
          </cell>
          <cell r="L137" t="str">
            <v>a</v>
          </cell>
        </row>
        <row r="138">
          <cell r="K138" t="str">
            <v>Très nécessaire, facile / unbedingt nötig, einfach</v>
          </cell>
          <cell r="L138" t="str">
            <v>b</v>
          </cell>
        </row>
        <row r="139">
          <cell r="K139" t="str">
            <v>Très nécessaire, facile / unbedingt nötig, einfach</v>
          </cell>
          <cell r="L139" t="str">
            <v>b</v>
          </cell>
        </row>
        <row r="140">
          <cell r="K140" t="str">
            <v>Partiellement nécessaire, difficile / teilweise nötig, schwierig</v>
          </cell>
          <cell r="L140" t="str">
            <v>a</v>
          </cell>
        </row>
        <row r="141">
          <cell r="K141" t="str">
            <v>Partiellement nécessaire, facile / teilweise nötig, einfach</v>
          </cell>
          <cell r="L141" t="str">
            <v>a</v>
          </cell>
        </row>
        <row r="142">
          <cell r="K142" t="str">
            <v>Non nécessaire / nicht nötig</v>
          </cell>
          <cell r="L142" t="str">
            <v>b</v>
          </cell>
        </row>
        <row r="143">
          <cell r="K143" t="str">
            <v>Non nécessaire / nicht nötig</v>
          </cell>
          <cell r="L143" t="str">
            <v>a</v>
          </cell>
        </row>
        <row r="144">
          <cell r="K144" t="str">
            <v>Non nécessaire / nicht nötig</v>
          </cell>
          <cell r="L144" t="str">
            <v>a</v>
          </cell>
        </row>
        <row r="145">
          <cell r="K145" t="str">
            <v>Non nécessaire / nicht nötig</v>
          </cell>
          <cell r="L145" t="str">
            <v>a</v>
          </cell>
        </row>
        <row r="146">
          <cell r="K146" t="str">
            <v>Non nécessaire / nicht nötig</v>
          </cell>
          <cell r="L146" t="str">
            <v>a</v>
          </cell>
        </row>
        <row r="147">
          <cell r="K147" t="str">
            <v>Partiellement nécessaire, facile / teilweise nötig, einfach</v>
          </cell>
          <cell r="L147" t="str">
            <v>a</v>
          </cell>
        </row>
        <row r="148">
          <cell r="K148" t="str">
            <v>Non nécessaire / nicht nötig</v>
          </cell>
          <cell r="L148" t="str">
            <v>b</v>
          </cell>
        </row>
        <row r="149">
          <cell r="K149" t="str">
            <v>Très nécessaire, facile / unbedingt nötig, einfach</v>
          </cell>
          <cell r="L149" t="str">
            <v>b</v>
          </cell>
        </row>
        <row r="150">
          <cell r="K150" t="str">
            <v>Très nécessaire, facile / unbedingt nötig, einfach</v>
          </cell>
          <cell r="L150" t="str">
            <v>a</v>
          </cell>
        </row>
        <row r="151">
          <cell r="K151" t="str">
            <v>Très nécessaire, difficile / unbedingt nötig, schwierig</v>
          </cell>
          <cell r="L151" t="str">
            <v>a</v>
          </cell>
        </row>
        <row r="152">
          <cell r="K152" t="str">
            <v>non pertinent / nicht relevant</v>
          </cell>
          <cell r="L152" t="str">
            <v>a</v>
          </cell>
        </row>
        <row r="153">
          <cell r="K153" t="str">
            <v>non pertinent / nicht relevant</v>
          </cell>
          <cell r="L153" t="str">
            <v>a</v>
          </cell>
        </row>
        <row r="154">
          <cell r="K154" t="str">
            <v>non pertinent / nicht relevant</v>
          </cell>
          <cell r="L154" t="str">
            <v>a</v>
          </cell>
        </row>
        <row r="155">
          <cell r="K155" t="str">
            <v>non pertinent / nicht relevant</v>
          </cell>
          <cell r="L155" t="str">
            <v>a</v>
          </cell>
        </row>
        <row r="156">
          <cell r="K156" t="str">
            <v>non pertinent / nicht relevant</v>
          </cell>
          <cell r="L156" t="str">
            <v>a</v>
          </cell>
        </row>
        <row r="157">
          <cell r="K157" t="str">
            <v>non pertinent / nicht relevant</v>
          </cell>
          <cell r="L157" t="str">
            <v>a</v>
          </cell>
        </row>
        <row r="158">
          <cell r="K158" t="str">
            <v>non pertinent / nicht relevant</v>
          </cell>
          <cell r="L158" t="str">
            <v>a</v>
          </cell>
        </row>
        <row r="159">
          <cell r="K159" t="str">
            <v>non pertinent / nicht relevant</v>
          </cell>
          <cell r="L159" t="str">
            <v>a</v>
          </cell>
        </row>
        <row r="160">
          <cell r="K160" t="str">
            <v>non pertinent / nicht relevant</v>
          </cell>
          <cell r="L160" t="str">
            <v>a</v>
          </cell>
        </row>
        <row r="161">
          <cell r="K161" t="str">
            <v>non pertinent / nicht relevant</v>
          </cell>
          <cell r="L161" t="str">
            <v>a</v>
          </cell>
        </row>
        <row r="162">
          <cell r="K162" t="str">
            <v>non pertinent / nicht relevant</v>
          </cell>
          <cell r="L162" t="str">
            <v>a</v>
          </cell>
        </row>
        <row r="163">
          <cell r="K163" t="str">
            <v>Non nécessaire / nicht nötig</v>
          </cell>
          <cell r="L163" t="str">
            <v>a</v>
          </cell>
        </row>
        <row r="164">
          <cell r="K164" t="str">
            <v>Non nécessaire / nicht nötig</v>
          </cell>
          <cell r="L164" t="str">
            <v>b</v>
          </cell>
        </row>
        <row r="165">
          <cell r="K165" t="str">
            <v>Non nécessaire / nicht nötig</v>
          </cell>
          <cell r="L165" t="str">
            <v>a</v>
          </cell>
        </row>
        <row r="166">
          <cell r="K166" t="str">
            <v>Très nécessaire, facile / unbedingt nötig, einfach</v>
          </cell>
          <cell r="L166" t="str">
            <v>b</v>
          </cell>
        </row>
        <row r="167">
          <cell r="K167" t="str">
            <v>Non nécessaire / nicht nötig</v>
          </cell>
          <cell r="L167" t="str">
            <v>b</v>
          </cell>
        </row>
        <row r="168">
          <cell r="K168" t="str">
            <v>Très nécessaire, facile / unbedingt nötig, einfach</v>
          </cell>
          <cell r="L168" t="str">
            <v>a</v>
          </cell>
        </row>
        <row r="169">
          <cell r="K169" t="str">
            <v>Très nécessaire, difficile / unbedingt nötig, schwierig</v>
          </cell>
          <cell r="L169" t="str">
            <v>b</v>
          </cell>
        </row>
        <row r="170">
          <cell r="K170" t="str">
            <v>non pertinent / nicht relevant</v>
          </cell>
          <cell r="L170" t="str">
            <v>a</v>
          </cell>
        </row>
        <row r="171">
          <cell r="K171" t="str">
            <v>Non nécessaire / nicht nötig</v>
          </cell>
          <cell r="L171" t="str">
            <v>a</v>
          </cell>
        </row>
        <row r="172">
          <cell r="K172" t="str">
            <v>non pertinent / nicht relevant</v>
          </cell>
          <cell r="L172" t="str">
            <v>a</v>
          </cell>
        </row>
        <row r="173">
          <cell r="K173" t="str">
            <v>Très nécessaire, facile / unbedingt nötig, einfach</v>
          </cell>
          <cell r="L173" t="str">
            <v>a</v>
          </cell>
        </row>
        <row r="174">
          <cell r="K174" t="str">
            <v>Très nécessaire, facile / unbedingt nötig, einfach</v>
          </cell>
          <cell r="L174" t="str">
            <v>b</v>
          </cell>
        </row>
        <row r="175">
          <cell r="K175" t="str">
            <v>Très nécessaire, facile / unbedingt nötig, einfach</v>
          </cell>
          <cell r="L175" t="str">
            <v>b</v>
          </cell>
        </row>
        <row r="176">
          <cell r="K176" t="str">
            <v>Non nécessaire / nicht nötig</v>
          </cell>
          <cell r="L176" t="str">
            <v>a</v>
          </cell>
        </row>
        <row r="177">
          <cell r="K177" t="str">
            <v>Très nécessaire, facile / unbedingt nötig, einfach</v>
          </cell>
          <cell r="L177" t="str">
            <v>b</v>
          </cell>
        </row>
        <row r="178">
          <cell r="K178" t="str">
            <v>Non nécessaire / nicht nötig</v>
          </cell>
          <cell r="L178" t="str">
            <v>a</v>
          </cell>
        </row>
        <row r="179">
          <cell r="K179" t="str">
            <v>Non nécessaire / nicht nötig</v>
          </cell>
          <cell r="L179" t="str">
            <v>a</v>
          </cell>
        </row>
        <row r="180">
          <cell r="K180" t="str">
            <v>Partiellement nécessaire, facile / teilweise nötig, einfach</v>
          </cell>
          <cell r="L180" t="str">
            <v>a</v>
          </cell>
        </row>
        <row r="181">
          <cell r="K181" t="str">
            <v>Très nécessaire, facile / unbedingt nötig, einfach</v>
          </cell>
          <cell r="L181" t="str">
            <v>b</v>
          </cell>
        </row>
        <row r="182">
          <cell r="K182" t="str">
            <v>Très nécessaire, facile / unbedingt nötig, einfach</v>
          </cell>
          <cell r="L182" t="str">
            <v>a</v>
          </cell>
        </row>
        <row r="183">
          <cell r="K183" t="str">
            <v>Non nécessaire / nicht nötig</v>
          </cell>
          <cell r="L183" t="str">
            <v>b</v>
          </cell>
        </row>
        <row r="184">
          <cell r="K184" t="str">
            <v>non pertinent / nicht relevant</v>
          </cell>
          <cell r="L184" t="str">
            <v>a</v>
          </cell>
        </row>
        <row r="185">
          <cell r="K185" t="str">
            <v>Non nécessaire / nicht nötig</v>
          </cell>
          <cell r="L185" t="str">
            <v>a</v>
          </cell>
        </row>
        <row r="186">
          <cell r="K186" t="str">
            <v>Très nécessaire, difficile / unbedingt nötig, schwierig</v>
          </cell>
          <cell r="L186" t="str">
            <v>b</v>
          </cell>
        </row>
        <row r="187">
          <cell r="K187" t="str">
            <v>Non nécessaire / nicht nötig</v>
          </cell>
          <cell r="L187" t="str">
            <v>a</v>
          </cell>
        </row>
        <row r="188">
          <cell r="K188" t="str">
            <v>Non nécessaire / nicht nötig</v>
          </cell>
          <cell r="L188" t="str">
            <v>a</v>
          </cell>
        </row>
        <row r="189">
          <cell r="K189" t="str">
            <v>Non nécessaire / nicht nötig</v>
          </cell>
          <cell r="L189" t="str">
            <v>a</v>
          </cell>
        </row>
        <row r="190">
          <cell r="K190" t="str">
            <v>Partiellement nécessaire, facile / teilweise nötig, einfach</v>
          </cell>
          <cell r="L190" t="str">
            <v>a</v>
          </cell>
        </row>
        <row r="191">
          <cell r="K191" t="str">
            <v>Partiellement nécessaire, facile / teilweise nötig, einfach</v>
          </cell>
          <cell r="L191" t="str">
            <v>a</v>
          </cell>
        </row>
        <row r="192">
          <cell r="K192" t="str">
            <v>Non nécessaire / nicht nötig</v>
          </cell>
          <cell r="L192" t="str">
            <v>b</v>
          </cell>
        </row>
        <row r="193">
          <cell r="K193" t="str">
            <v>Non nécessaire / nicht nötig</v>
          </cell>
          <cell r="L193" t="str">
            <v>a</v>
          </cell>
        </row>
        <row r="194">
          <cell r="K194" t="str">
            <v>Non nécessaire / nicht nötig</v>
          </cell>
          <cell r="L194" t="str">
            <v>a</v>
          </cell>
        </row>
        <row r="195">
          <cell r="K195" t="str">
            <v>Non nécessaire / nicht nötig</v>
          </cell>
          <cell r="L195" t="str">
            <v>a</v>
          </cell>
        </row>
        <row r="196">
          <cell r="K196" t="str">
            <v>Non nécessaire / nicht nötig</v>
          </cell>
          <cell r="L196" t="str">
            <v>a</v>
          </cell>
        </row>
        <row r="197">
          <cell r="K197" t="str">
            <v>Non nécessaire / nicht nötig</v>
          </cell>
          <cell r="L197" t="str">
            <v>a</v>
          </cell>
        </row>
        <row r="198">
          <cell r="K198" t="str">
            <v>Non nécessaire / nicht nötig</v>
          </cell>
          <cell r="L198" t="str">
            <v>b</v>
          </cell>
        </row>
        <row r="199">
          <cell r="K199" t="str">
            <v>Partiellement nécessaire, facile / teilweise nötig, einfach</v>
          </cell>
          <cell r="L199" t="str">
            <v>a</v>
          </cell>
        </row>
        <row r="200">
          <cell r="K200" t="str">
            <v>Partiellement nécessaire, facile / teilweise nötig, einfach</v>
          </cell>
          <cell r="L200" t="str">
            <v>a</v>
          </cell>
        </row>
        <row r="201">
          <cell r="K201" t="str">
            <v>Non nécessaire / nicht nötig</v>
          </cell>
          <cell r="L201" t="str">
            <v>b</v>
          </cell>
        </row>
        <row r="202">
          <cell r="K202" t="str">
            <v>Non nécessaire / nicht nötig</v>
          </cell>
          <cell r="L202" t="str">
            <v>b</v>
          </cell>
        </row>
        <row r="203">
          <cell r="K203" t="str">
            <v>Non nécessaire / nicht nötig</v>
          </cell>
          <cell r="L203" t="str">
            <v>a</v>
          </cell>
        </row>
        <row r="204">
          <cell r="K204" t="str">
            <v>Non nécessaire / nicht nötig</v>
          </cell>
          <cell r="L204" t="str">
            <v>a</v>
          </cell>
        </row>
        <row r="205">
          <cell r="K205" t="str">
            <v>Non nécessaire / nicht nötig</v>
          </cell>
          <cell r="L205" t="str">
            <v>a</v>
          </cell>
        </row>
        <row r="206">
          <cell r="K206" t="str">
            <v>Non nécessaire / nicht nötig</v>
          </cell>
          <cell r="L206" t="str">
            <v>a</v>
          </cell>
        </row>
        <row r="207">
          <cell r="K207" t="str">
            <v>Non nécessaire / nicht nötig</v>
          </cell>
          <cell r="L207" t="str">
            <v>a</v>
          </cell>
        </row>
        <row r="208">
          <cell r="K208" t="str">
            <v>Non nécessaire / nicht nötig</v>
          </cell>
          <cell r="L208" t="str">
            <v>a</v>
          </cell>
        </row>
        <row r="209">
          <cell r="K209" t="str">
            <v>Très nécessaire, facile / unbedingt nötig, einfach</v>
          </cell>
          <cell r="L209" t="str">
            <v>b</v>
          </cell>
        </row>
        <row r="210">
          <cell r="K210" t="str">
            <v>Très nécessaire, facile / unbedingt nötig, einfach</v>
          </cell>
          <cell r="L210" t="str">
            <v>b</v>
          </cell>
        </row>
        <row r="211">
          <cell r="K211" t="str">
            <v>Très nécessaire, facile / unbedingt nötig, einfach</v>
          </cell>
          <cell r="L211" t="str">
            <v>a</v>
          </cell>
        </row>
        <row r="212">
          <cell r="K212" t="str">
            <v>Non nécessaire / nicht nötig</v>
          </cell>
          <cell r="L212" t="str">
            <v>a</v>
          </cell>
        </row>
        <row r="213">
          <cell r="K213" t="str">
            <v>Partiellement nécessaire, facile / teilweise nötig, einfach</v>
          </cell>
          <cell r="L213" t="str">
            <v>b</v>
          </cell>
        </row>
        <row r="214">
          <cell r="K214" t="str">
            <v>Très nécessaire, difficile / unbedingt nötig, schwierig</v>
          </cell>
          <cell r="L214" t="str">
            <v>a</v>
          </cell>
        </row>
        <row r="215">
          <cell r="K215" t="str">
            <v>Très nécessaire, facile / unbedingt nötig, einfach</v>
          </cell>
          <cell r="L215" t="str">
            <v>b</v>
          </cell>
        </row>
        <row r="216">
          <cell r="K216" t="str">
            <v>Partiellement nécessaire, facile / teilweise nötig, einfach</v>
          </cell>
          <cell r="L216" t="str">
            <v>b</v>
          </cell>
        </row>
        <row r="217">
          <cell r="K217" t="str">
            <v>Non nécessaire / nicht nötig</v>
          </cell>
          <cell r="L217" t="str">
            <v>a</v>
          </cell>
        </row>
        <row r="218">
          <cell r="K218" t="str">
            <v>Très nécessaire, difficile / unbedingt nötig, schwierig</v>
          </cell>
          <cell r="L218" t="str">
            <v>a</v>
          </cell>
        </row>
        <row r="219">
          <cell r="K219" t="str">
            <v>Partiellement nécessaire, facile / teilweise nötig, einfach</v>
          </cell>
          <cell r="L219" t="str">
            <v>a</v>
          </cell>
        </row>
        <row r="220">
          <cell r="K220" t="str">
            <v>Partiellement nécessaire, facile / teilweise nötig, einfach</v>
          </cell>
          <cell r="L220" t="str">
            <v>a</v>
          </cell>
        </row>
        <row r="221">
          <cell r="K221" t="str">
            <v>Non nécessaire / nicht nötig</v>
          </cell>
          <cell r="L221" t="str">
            <v>a</v>
          </cell>
        </row>
        <row r="222">
          <cell r="K222" t="str">
            <v>Très nécessaire, difficile / unbedingt nötig, schwierig</v>
          </cell>
          <cell r="L222" t="str">
            <v>b</v>
          </cell>
        </row>
        <row r="223">
          <cell r="K223" t="str">
            <v>Très nécessaire, difficile / unbedingt nötig, schwierig</v>
          </cell>
          <cell r="L223" t="str">
            <v>b</v>
          </cell>
        </row>
        <row r="224">
          <cell r="K224" t="str">
            <v>Non nécessaire / nicht nötig</v>
          </cell>
          <cell r="L224" t="str">
            <v>b</v>
          </cell>
        </row>
        <row r="225">
          <cell r="K225" t="str">
            <v>Très nécessaire, difficile / unbedingt nötig, schwierig</v>
          </cell>
          <cell r="L225" t="str">
            <v>a</v>
          </cell>
        </row>
        <row r="226">
          <cell r="K226" t="str">
            <v>Partiellement nécessaire, facile / teilweise nötig, einfach</v>
          </cell>
          <cell r="L226" t="str">
            <v>a</v>
          </cell>
        </row>
        <row r="227">
          <cell r="K227" t="str">
            <v>Très nécessaire, facile / unbedingt nötig, einfach</v>
          </cell>
          <cell r="L227" t="str">
            <v>a</v>
          </cell>
        </row>
        <row r="228">
          <cell r="K228" t="str">
            <v>Partiellement nécessaire, facile / teilweise nötig, einfach</v>
          </cell>
          <cell r="L228" t="str">
            <v>a</v>
          </cell>
        </row>
        <row r="229">
          <cell r="K229" t="str">
            <v>Partiellement nécessaire, facile / teilweise nötig, einfach</v>
          </cell>
          <cell r="L229" t="str">
            <v>b</v>
          </cell>
        </row>
        <row r="230">
          <cell r="K230" t="str">
            <v>Non nécessaire / nicht nötig</v>
          </cell>
          <cell r="L230" t="str">
            <v>a</v>
          </cell>
        </row>
        <row r="231">
          <cell r="K231" t="str">
            <v>Partiellement nécessaire, facile / teilweise nötig, einfach</v>
          </cell>
          <cell r="L231" t="str">
            <v>a</v>
          </cell>
        </row>
        <row r="232">
          <cell r="K232" t="str">
            <v>Non nécessaire / nicht nötig</v>
          </cell>
          <cell r="L232" t="str">
            <v>a</v>
          </cell>
        </row>
        <row r="233">
          <cell r="K233" t="str">
            <v>Très nécessaire, facile / unbedingt nötig, einfach</v>
          </cell>
          <cell r="L233" t="str">
            <v>a</v>
          </cell>
        </row>
        <row r="234">
          <cell r="K234" t="str">
            <v>Très nécessaire, facile / unbedingt nötig, einfach</v>
          </cell>
          <cell r="L234" t="str">
            <v>b</v>
          </cell>
        </row>
        <row r="235">
          <cell r="K235" t="str">
            <v>Partiellement nécessaire, difficile / teilweise nötig, schwierig</v>
          </cell>
          <cell r="L235" t="str">
            <v>a</v>
          </cell>
        </row>
        <row r="236">
          <cell r="K236" t="str">
            <v>Partiellement nécessaire, facile / teilweise nötig, einfach</v>
          </cell>
          <cell r="L236" t="str">
            <v>a</v>
          </cell>
        </row>
        <row r="237">
          <cell r="K237" t="str">
            <v>Non nécessaire / nicht nötig</v>
          </cell>
          <cell r="L237" t="str">
            <v>a</v>
          </cell>
        </row>
        <row r="238">
          <cell r="K238" t="str">
            <v>Non nécessaire / nicht nötig</v>
          </cell>
          <cell r="L238" t="str">
            <v>a</v>
          </cell>
        </row>
        <row r="239">
          <cell r="K239" t="str">
            <v>Non nécessaire / nicht nötig</v>
          </cell>
          <cell r="L239" t="str">
            <v>a</v>
          </cell>
        </row>
        <row r="240">
          <cell r="K240" t="str">
            <v>Non nécessaire / nicht nötig</v>
          </cell>
          <cell r="L240" t="str">
            <v>b</v>
          </cell>
        </row>
        <row r="241">
          <cell r="K241" t="str">
            <v>Très nécessaire, facile / unbedingt nötig, einfach</v>
          </cell>
          <cell r="L241" t="str">
            <v>a</v>
          </cell>
        </row>
        <row r="242">
          <cell r="K242" t="str">
            <v>Non nécessaire / nicht nötig</v>
          </cell>
          <cell r="L242" t="str">
            <v>a</v>
          </cell>
        </row>
        <row r="243">
          <cell r="K243" t="str">
            <v>Non nécessaire / nicht nötig</v>
          </cell>
          <cell r="L243" t="str">
            <v>a</v>
          </cell>
        </row>
        <row r="244">
          <cell r="K244" t="str">
            <v>Très nécessaire, facile / unbedingt nötig, einfach</v>
          </cell>
          <cell r="L244" t="str">
            <v>b</v>
          </cell>
        </row>
        <row r="245">
          <cell r="K245" t="str">
            <v>Très nécessaire, facile / unbedingt nötig, einfach</v>
          </cell>
          <cell r="L245" t="str">
            <v>a</v>
          </cell>
        </row>
        <row r="246">
          <cell r="K246" t="str">
            <v>Partiellement nécessaire, difficile / teilweise nötig, schwierig</v>
          </cell>
          <cell r="L246" t="str">
            <v>b</v>
          </cell>
        </row>
        <row r="247">
          <cell r="K247" t="str">
            <v>Non nécessaire / nicht nötig</v>
          </cell>
          <cell r="L247" t="str">
            <v>a</v>
          </cell>
        </row>
        <row r="248">
          <cell r="K248" t="str">
            <v>Non nécessaire / nicht nötig</v>
          </cell>
          <cell r="L248" t="str">
            <v>a</v>
          </cell>
        </row>
        <row r="249">
          <cell r="K249" t="str">
            <v>Non nécessaire / nicht nötig</v>
          </cell>
          <cell r="L249" t="str">
            <v>b</v>
          </cell>
        </row>
        <row r="250">
          <cell r="K250" t="str">
            <v>Très nécessaire, facile / unbedingt nötig, einfach</v>
          </cell>
          <cell r="L250" t="str">
            <v>b</v>
          </cell>
        </row>
        <row r="251">
          <cell r="K251" t="str">
            <v>Très nécessaire, facile / unbedingt nötig, einfach</v>
          </cell>
          <cell r="L251" t="str">
            <v>a</v>
          </cell>
        </row>
        <row r="252">
          <cell r="K252" t="str">
            <v>Très nécessaire, facile / unbedingt nötig, einfach</v>
          </cell>
          <cell r="L252" t="str">
            <v>a</v>
          </cell>
        </row>
        <row r="253">
          <cell r="K253" t="str">
            <v>Non nécessaire / nicht nötig</v>
          </cell>
          <cell r="L253" t="str">
            <v>a</v>
          </cell>
        </row>
        <row r="254">
          <cell r="K254" t="str">
            <v>Non nécessaire / nicht nötig</v>
          </cell>
          <cell r="L254" t="str">
            <v>a</v>
          </cell>
        </row>
        <row r="255">
          <cell r="K255" t="str">
            <v>Très nécessaire, difficile / unbedingt nötig, schwierig</v>
          </cell>
          <cell r="L255" t="str">
            <v>a</v>
          </cell>
        </row>
        <row r="256">
          <cell r="K256" t="str">
            <v>Non nécessaire / nicht nötig</v>
          </cell>
          <cell r="L256" t="str">
            <v>a</v>
          </cell>
        </row>
        <row r="257">
          <cell r="K257" t="str">
            <v>Non nécessaire / nicht nötig</v>
          </cell>
          <cell r="L257" t="str">
            <v>a</v>
          </cell>
        </row>
        <row r="258">
          <cell r="K258" t="str">
            <v>Très nécessaire, difficile / unbedingt nötig, schwierig</v>
          </cell>
          <cell r="L258" t="str">
            <v>b</v>
          </cell>
        </row>
        <row r="259">
          <cell r="K259" t="str">
            <v>Partiellement nécessaire, difficile / teilweise nötig, schwierig</v>
          </cell>
          <cell r="L259" t="str">
            <v>b</v>
          </cell>
        </row>
        <row r="260">
          <cell r="K260" t="str">
            <v>Non nécessaire / nicht nötig</v>
          </cell>
          <cell r="L260" t="str">
            <v>a</v>
          </cell>
        </row>
        <row r="261">
          <cell r="K261" t="str">
            <v>Non nécessaire / nicht nötig</v>
          </cell>
          <cell r="L261" t="str">
            <v>a</v>
          </cell>
        </row>
        <row r="262">
          <cell r="K262" t="str">
            <v>Non nécessaire / nicht nötig</v>
          </cell>
          <cell r="L262" t="str">
            <v>a</v>
          </cell>
        </row>
        <row r="263">
          <cell r="K263" t="str">
            <v>Partiellement nécessaire, facile / teilweise nötig, einfach</v>
          </cell>
          <cell r="L263" t="str">
            <v>b</v>
          </cell>
        </row>
        <row r="264">
          <cell r="K264" t="str">
            <v>Non nécessaire / nicht nötig</v>
          </cell>
          <cell r="L264" t="str">
            <v>a</v>
          </cell>
        </row>
        <row r="265">
          <cell r="K265" t="str">
            <v>Partiellement nécessaire, difficile / teilweise nötig, schwierig</v>
          </cell>
          <cell r="L265" t="str">
            <v>b</v>
          </cell>
        </row>
        <row r="266">
          <cell r="K266" t="str">
            <v>Partiellement nécessaire, difficile / teilweise nötig, schwierig</v>
          </cell>
          <cell r="L266" t="str">
            <v>b</v>
          </cell>
        </row>
        <row r="267">
          <cell r="K267" t="str">
            <v>Non nécessaire / nicht nötig</v>
          </cell>
          <cell r="L267" t="str">
            <v>a</v>
          </cell>
        </row>
        <row r="268">
          <cell r="K268" t="str">
            <v>Très nécessaire, facile / unbedingt nötig, einfach</v>
          </cell>
          <cell r="L268" t="str">
            <v>a</v>
          </cell>
        </row>
        <row r="269">
          <cell r="K269" t="str">
            <v>Non nécessaire / nicht nötig</v>
          </cell>
          <cell r="L269" t="str">
            <v>a</v>
          </cell>
        </row>
        <row r="270">
          <cell r="K270" t="str">
            <v>Non nécessaire / nicht nötig</v>
          </cell>
          <cell r="L270" t="str">
            <v>a</v>
          </cell>
        </row>
        <row r="271">
          <cell r="K271" t="str">
            <v>Non nécessaire / nicht nötig</v>
          </cell>
          <cell r="L271" t="str">
            <v>b</v>
          </cell>
        </row>
        <row r="272">
          <cell r="K272" t="str">
            <v>Très nécessaire, facile / unbedingt nötig, einfach</v>
          </cell>
          <cell r="L272" t="str">
            <v>a</v>
          </cell>
        </row>
        <row r="297">
          <cell r="K297">
            <v>0</v>
          </cell>
          <cell r="L297">
            <v>0</v>
          </cell>
        </row>
      </sheetData>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B30" sqref="B30"/>
    </sheetView>
  </sheetViews>
  <sheetFormatPr baseColWidth="10" defaultRowHeight="15" x14ac:dyDescent="0.25"/>
  <cols>
    <col min="2" max="3" width="26" style="1" customWidth="1"/>
  </cols>
  <sheetData>
    <row r="2" spans="1:4" ht="15.75" thickBot="1" x14ac:dyDescent="0.3"/>
    <row r="3" spans="1:4" ht="15.75" thickBot="1" x14ac:dyDescent="0.3">
      <c r="A3" s="2"/>
      <c r="B3" s="3" t="s">
        <v>0</v>
      </c>
      <c r="C3" s="4" t="s">
        <v>1</v>
      </c>
    </row>
    <row r="4" spans="1:4" ht="15.75" thickBot="1" x14ac:dyDescent="0.3">
      <c r="A4" s="5"/>
      <c r="B4" s="6" t="s">
        <v>2</v>
      </c>
      <c r="C4" s="7" t="s">
        <v>3</v>
      </c>
    </row>
    <row r="5" spans="1:4" ht="15.75" thickBot="1" x14ac:dyDescent="0.3">
      <c r="A5" s="8"/>
      <c r="B5" s="6" t="s">
        <v>4</v>
      </c>
      <c r="C5" s="7" t="s">
        <v>5</v>
      </c>
    </row>
    <row r="6" spans="1:4" ht="15.75" thickBot="1" x14ac:dyDescent="0.3">
      <c r="A6" s="9"/>
      <c r="B6" s="6" t="s">
        <v>6</v>
      </c>
      <c r="C6" s="7" t="s">
        <v>7</v>
      </c>
    </row>
    <row r="7" spans="1:4" ht="15.75" thickBot="1" x14ac:dyDescent="0.3">
      <c r="A7" s="10"/>
      <c r="B7" s="6" t="s">
        <v>8</v>
      </c>
      <c r="C7" s="7" t="s">
        <v>9</v>
      </c>
    </row>
    <row r="8" spans="1:4" ht="15.75" thickBot="1" x14ac:dyDescent="0.3">
      <c r="A8" s="11"/>
      <c r="B8" s="6" t="s">
        <v>10</v>
      </c>
      <c r="C8" s="7" t="s">
        <v>11</v>
      </c>
    </row>
    <row r="9" spans="1:4" ht="15.75" thickBot="1" x14ac:dyDescent="0.3">
      <c r="A9" s="12"/>
      <c r="B9" s="6" t="s">
        <v>12</v>
      </c>
      <c r="C9" s="7" t="s">
        <v>13</v>
      </c>
    </row>
    <row r="10" spans="1:4" ht="15.75" thickBot="1" x14ac:dyDescent="0.3"/>
    <row r="11" spans="1:4" ht="15.75" thickBot="1" x14ac:dyDescent="0.3">
      <c r="B11" s="13" t="s">
        <v>14</v>
      </c>
      <c r="C11" s="1306" t="s">
        <v>15</v>
      </c>
      <c r="D11" s="1307"/>
    </row>
    <row r="12" spans="1:4" ht="24.75" thickBot="1" x14ac:dyDescent="0.3">
      <c r="A12" s="14"/>
      <c r="B12" s="6" t="s">
        <v>16</v>
      </c>
      <c r="C12" s="1308" t="s">
        <v>17</v>
      </c>
      <c r="D12" s="1309"/>
    </row>
  </sheetData>
  <mergeCells count="2">
    <mergeCell ref="C11:D11"/>
    <mergeCell ref="C12:D1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85"/>
  <sheetViews>
    <sheetView zoomScale="55" zoomScaleNormal="55" workbookViewId="0">
      <selection activeCell="AA82" sqref="AA82"/>
    </sheetView>
  </sheetViews>
  <sheetFormatPr baseColWidth="10" defaultRowHeight="15" x14ac:dyDescent="0.25"/>
  <cols>
    <col min="1" max="1" width="46.42578125" customWidth="1"/>
  </cols>
  <sheetData>
    <row r="1" spans="1:16" x14ac:dyDescent="0.25">
      <c r="A1" s="342" t="s">
        <v>709</v>
      </c>
      <c r="B1" s="343"/>
      <c r="C1" s="343"/>
      <c r="D1" s="343"/>
      <c r="E1" s="343"/>
      <c r="F1" s="343"/>
      <c r="G1" s="343"/>
      <c r="H1" s="343"/>
      <c r="I1" s="343"/>
      <c r="J1" s="343"/>
      <c r="K1" s="343"/>
      <c r="L1" s="343"/>
      <c r="M1" s="343"/>
      <c r="N1" s="343"/>
      <c r="O1" s="343"/>
      <c r="P1" s="343"/>
    </row>
    <row r="2" spans="1:16" ht="60" x14ac:dyDescent="0.25">
      <c r="B2" s="1" t="s">
        <v>1525</v>
      </c>
      <c r="C2" s="344" t="s">
        <v>1526</v>
      </c>
      <c r="D2" s="345" t="s">
        <v>72</v>
      </c>
      <c r="E2" s="345" t="s">
        <v>110</v>
      </c>
      <c r="F2" s="345" t="s">
        <v>59</v>
      </c>
      <c r="G2" s="345" t="s">
        <v>368</v>
      </c>
      <c r="H2" t="s">
        <v>1527</v>
      </c>
    </row>
    <row r="3" spans="1:16" ht="30" x14ac:dyDescent="0.25">
      <c r="A3" s="1" t="s">
        <v>1528</v>
      </c>
      <c r="B3">
        <f>COUNTIF('Charriage - Geschiebehaushalt'!AB4:AB275,"non pertinent / nicht relevant")</f>
        <v>22</v>
      </c>
      <c r="C3">
        <f>COUNTIFS('Charriage - Geschiebehaushalt'!$AB$4:$AB$275,"non pertinent / nicht relevant",'Charriage - Geschiebehaushalt'!$AC$4:$AC$275,"a")</f>
        <v>22</v>
      </c>
      <c r="D3">
        <f>COUNTIFS('Charriage - Geschiebehaushalt'!$AB$4:$AB$275,"non pertinent / nicht relevant",'Charriage - Geschiebehaushalt'!$AC$4:$AC$275,"b")</f>
        <v>0</v>
      </c>
      <c r="E3">
        <f>COUNTIFS('Charriage - Geschiebehaushalt'!$AB$4:$AB$275,"non pertinent / nicht relevant",'Charriage - Geschiebehaushalt'!$AC$4:$AC$275,"c")</f>
        <v>0</v>
      </c>
      <c r="F3">
        <f>COUNTIFS('Charriage - Geschiebehaushalt'!$AB$4:$AB$275,"non pertinent / nicht relevant",'Charriage - Geschiebehaushalt'!$AC$4:$AC$275,"d")</f>
        <v>0</v>
      </c>
      <c r="G3">
        <f>COUNTIFS('Charriage - Geschiebehaushalt'!$AB$4:$AB$275,"non pertinent / nicht relevant",'Charriage - Geschiebehaushalt'!$AC$4:$AC$275,"e")</f>
        <v>0</v>
      </c>
      <c r="H3" s="346">
        <f>B3/$B$10</f>
        <v>8.0882352941176475E-2</v>
      </c>
    </row>
    <row r="4" spans="1:16" ht="45" x14ac:dyDescent="0.25">
      <c r="A4" s="1" t="s">
        <v>1529</v>
      </c>
      <c r="B4">
        <f>COUNTIF('Charriage - Geschiebehaushalt'!AB4:AB275,"0-20%")</f>
        <v>112</v>
      </c>
      <c r="C4">
        <f>COUNTIFS('Charriage - Geschiebehaushalt'!$AB$3:$AB$275,"0-20%",'Charriage - Geschiebehaushalt'!$AC$3:$AC$275,"a")</f>
        <v>20</v>
      </c>
      <c r="D4">
        <f>COUNTIFS('Charriage - Geschiebehaushalt'!$AB$3:$AB$275,"0-20%",'Charriage - Geschiebehaushalt'!$AC$3:$AC$275,"b")</f>
        <v>42</v>
      </c>
      <c r="E4">
        <f>COUNTIFS('Charriage - Geschiebehaushalt'!$AB$3:$AB$275,"0-20%",'Charriage - Geschiebehaushalt'!$AC$3:$AC$275,"c")</f>
        <v>15</v>
      </c>
      <c r="F4">
        <f>COUNTIFS('Charriage - Geschiebehaushalt'!$AB$3:$AB$275,"0-20%",'Charriage - Geschiebehaushalt'!$AC$3:$AC$275,"d")</f>
        <v>31</v>
      </c>
      <c r="G4">
        <f>COUNTIFS('Charriage - Geschiebehaushalt'!$AB$3:$AB$275,"0-20%",'Charriage - Geschiebehaushalt'!$AC$3:$AC$275,"e")</f>
        <v>4</v>
      </c>
      <c r="H4" s="346">
        <f>B4/$B$10</f>
        <v>0.41176470588235292</v>
      </c>
    </row>
    <row r="5" spans="1:16" ht="30" x14ac:dyDescent="0.25">
      <c r="A5" s="1" t="s">
        <v>1530</v>
      </c>
      <c r="B5">
        <f>COUNTIF('Charriage - Geschiebehaushalt'!AB4:AB275,"21-50%")</f>
        <v>86</v>
      </c>
      <c r="C5">
        <f>COUNTIFS('Charriage - Geschiebehaushalt'!$AB$4:$AB$275,"21-50%",'Charriage - Geschiebehaushalt'!$AC$4:$AC$275,"a")</f>
        <v>13</v>
      </c>
      <c r="D5">
        <f>COUNTIFS('Charriage - Geschiebehaushalt'!$AB$4:$AB$275,"21-50%",'Charriage - Geschiebehaushalt'!$AC$4:$AC$275,"b")</f>
        <v>7</v>
      </c>
      <c r="E5">
        <f>COUNTIFS('Charriage - Geschiebehaushalt'!$AB$4:$AB$275,"21-50%",'Charriage - Geschiebehaushalt'!$AC$4:$AC$275,"c")</f>
        <v>27</v>
      </c>
      <c r="F5">
        <f>COUNTIFS('Charriage - Geschiebehaushalt'!$AB$4:$AB$275,"21-50%",'Charriage - Geschiebehaushalt'!$AC$4:$AC$275,"d")</f>
        <v>35</v>
      </c>
      <c r="G5">
        <f>COUNTIFS('Charriage - Geschiebehaushalt'!$AB$4:$AB$275,"21-50%",'Charriage - Geschiebehaushalt'!$AC$4:$AC$275,"e")</f>
        <v>4</v>
      </c>
      <c r="H5" s="346">
        <f>B5/$B$10</f>
        <v>0.31617647058823528</v>
      </c>
    </row>
    <row r="6" spans="1:16" ht="30" x14ac:dyDescent="0.25">
      <c r="A6" s="1" t="s">
        <v>1531</v>
      </c>
      <c r="B6">
        <f>COUNTIF('Charriage - Geschiebehaushalt'!AB4:AB275,"51-80%")</f>
        <v>30</v>
      </c>
      <c r="C6">
        <f>COUNTIFS('Charriage - Geschiebehaushalt'!$AB$4:$AB$275,"51-80%",'Charriage - Geschiebehaushalt'!$AC$4:$AC$275,"a")</f>
        <v>4</v>
      </c>
      <c r="D6">
        <f>COUNTIFS('Charriage - Geschiebehaushalt'!$AB$4:$AB$275,"51-80%",'Charriage - Geschiebehaushalt'!$AC$4:$AC$275,"b")</f>
        <v>7</v>
      </c>
      <c r="E6">
        <f>COUNTIFS('Charriage - Geschiebehaushalt'!$AB$4:$AB$275,"51-80%",'Charriage - Geschiebehaushalt'!$AC$4:$AC$275,"c")</f>
        <v>7</v>
      </c>
      <c r="F6">
        <f>COUNTIFS('Charriage - Geschiebehaushalt'!$AB$4:$AB$275,"51-80%",'Charriage - Geschiebehaushalt'!$AC$4:$AC$275,"d")</f>
        <v>11</v>
      </c>
      <c r="G6">
        <f>COUNTIFS('Charriage - Geschiebehaushalt'!$AB$4:$AB$275,"51-80%",'Charriage - Geschiebehaushalt'!$AC$4:$AC$275,"e")</f>
        <v>1</v>
      </c>
      <c r="H6" s="346">
        <f>B6/$B$10</f>
        <v>0.11029411764705882</v>
      </c>
    </row>
    <row r="7" spans="1:16" ht="30" x14ac:dyDescent="0.25">
      <c r="A7" s="1" t="s">
        <v>1532</v>
      </c>
      <c r="B7">
        <f>COUNTIF('Charriage - Geschiebehaushalt'!AB4:AB275,"81-100%")</f>
        <v>22</v>
      </c>
      <c r="C7">
        <f>COUNTIFS('Charriage - Geschiebehaushalt'!$AB$4:$AB$275,"81-100%",'Charriage - Geschiebehaushalt'!$AC$4:$AC$275,"a")</f>
        <v>8</v>
      </c>
      <c r="D7">
        <f>COUNTIFS('Charriage - Geschiebehaushalt'!$AB$4:$AB$275,"81-100%",'Charriage - Geschiebehaushalt'!$AC$4:$AC$275,"b")</f>
        <v>1</v>
      </c>
      <c r="E7">
        <f>COUNTIFS('Charriage - Geschiebehaushalt'!$AB$4:$AB$275,"81-100%",'Charriage - Geschiebehaushalt'!$AC$4:$AC$275,"c")</f>
        <v>5</v>
      </c>
      <c r="F7">
        <f>COUNTIFS('Charriage - Geschiebehaushalt'!$AB$4:$AB$275,"81-100%",'Charriage - Geschiebehaushalt'!$AC$4:$AC$275,"d")</f>
        <v>7</v>
      </c>
      <c r="G7">
        <f>COUNTIFS('Charriage - Geschiebehaushalt'!$AB$4:$AB$275,"81-100%",'Charriage - Geschiebehaushalt'!$AC$4:$AC$275,"e")</f>
        <v>1</v>
      </c>
      <c r="H7" s="346">
        <f>B7/$B$10</f>
        <v>8.0882352941176475E-2</v>
      </c>
    </row>
    <row r="10" spans="1:16" x14ac:dyDescent="0.25">
      <c r="A10" t="s">
        <v>1533</v>
      </c>
      <c r="B10">
        <f t="shared" ref="B10:H10" si="0">SUM(B3:B7)</f>
        <v>272</v>
      </c>
      <c r="C10">
        <f t="shared" si="0"/>
        <v>67</v>
      </c>
      <c r="D10">
        <f t="shared" si="0"/>
        <v>57</v>
      </c>
      <c r="E10">
        <f t="shared" si="0"/>
        <v>54</v>
      </c>
      <c r="F10">
        <f t="shared" si="0"/>
        <v>84</v>
      </c>
      <c r="G10">
        <f t="shared" si="0"/>
        <v>10</v>
      </c>
      <c r="H10">
        <f t="shared" si="0"/>
        <v>1</v>
      </c>
    </row>
    <row r="33" spans="1:16" x14ac:dyDescent="0.25">
      <c r="A33" s="342" t="s">
        <v>710</v>
      </c>
      <c r="B33" s="343"/>
      <c r="C33" s="343"/>
      <c r="D33" s="343"/>
      <c r="E33" s="343"/>
      <c r="F33" s="343"/>
      <c r="G33" s="343"/>
      <c r="H33" s="343"/>
      <c r="I33" s="343"/>
      <c r="J33" s="343"/>
      <c r="K33" s="343"/>
      <c r="L33" s="343"/>
      <c r="M33" s="343"/>
      <c r="N33" s="343"/>
      <c r="O33" s="343"/>
      <c r="P33" s="343"/>
    </row>
    <row r="34" spans="1:16" ht="60" x14ac:dyDescent="0.25">
      <c r="B34" s="1" t="s">
        <v>1525</v>
      </c>
      <c r="C34" s="347" t="s">
        <v>43</v>
      </c>
      <c r="D34" s="347" t="s">
        <v>110</v>
      </c>
      <c r="E34" s="347" t="s">
        <v>59</v>
      </c>
      <c r="F34" s="347" t="s">
        <v>368</v>
      </c>
      <c r="G34" t="s">
        <v>1527</v>
      </c>
    </row>
    <row r="35" spans="1:16" x14ac:dyDescent="0.25">
      <c r="A35" t="s">
        <v>1534</v>
      </c>
      <c r="B35" s="347">
        <f>COUNTIF('Débit - Abfluss'!Q4:Q275,"non pertinent / nicht relevant")</f>
        <v>24</v>
      </c>
      <c r="C35" s="347"/>
      <c r="D35" s="347"/>
      <c r="E35" s="347"/>
      <c r="F35" s="347"/>
      <c r="G35" s="346">
        <f t="shared" ref="G35:G40" si="1">B35/$B$43</f>
        <v>8.8235294117647065E-2</v>
      </c>
    </row>
    <row r="36" spans="1:16" ht="30" x14ac:dyDescent="0.25">
      <c r="A36" s="1" t="s">
        <v>1535</v>
      </c>
      <c r="B36" s="347">
        <f>SUM(COUNTIF('Débit - Abfluss'!Q4:Q275,"100%"),COUNTIF('Débit - Abfluss'!Q4:Q275,"Régime présumé naturel (100%) / Abfluss vermutlich natürlich"),COUNTIF('Débit - Abfluss'!Q4:Q275,"81-100%"))</f>
        <v>170</v>
      </c>
      <c r="C36" s="347"/>
      <c r="D36" s="347"/>
      <c r="E36" s="347"/>
      <c r="F36" s="347"/>
      <c r="G36" s="346">
        <f t="shared" si="1"/>
        <v>0.625</v>
      </c>
    </row>
    <row r="37" spans="1:16" ht="30" x14ac:dyDescent="0.25">
      <c r="A37" s="1" t="s">
        <v>1536</v>
      </c>
      <c r="B37" s="347">
        <f>COUNTIF('Débit - Abfluss'!Q4:Q275,"61-80%")</f>
        <v>9</v>
      </c>
      <c r="C37" s="347"/>
      <c r="D37" s="347"/>
      <c r="E37" s="347"/>
      <c r="F37" s="347"/>
      <c r="G37" s="346">
        <f t="shared" si="1"/>
        <v>3.3088235294117647E-2</v>
      </c>
    </row>
    <row r="38" spans="1:16" ht="30" x14ac:dyDescent="0.25">
      <c r="A38" s="1" t="s">
        <v>1537</v>
      </c>
      <c r="B38" s="347">
        <f>COUNTIF('Débit - Abfluss'!Q4:Q275,"41-60%")</f>
        <v>12</v>
      </c>
      <c r="C38" s="347"/>
      <c r="D38" s="347"/>
      <c r="E38" s="347"/>
      <c r="F38" s="347"/>
      <c r="G38" s="346">
        <f t="shared" si="1"/>
        <v>4.4117647058823532E-2</v>
      </c>
    </row>
    <row r="39" spans="1:16" ht="30" x14ac:dyDescent="0.25">
      <c r="A39" s="1" t="s">
        <v>1538</v>
      </c>
      <c r="B39" s="347">
        <f>COUNTIF('Débit - Abfluss'!Q4:Q275,"21-40%")</f>
        <v>27</v>
      </c>
      <c r="C39" s="347"/>
      <c r="D39" s="347"/>
      <c r="E39" s="347"/>
      <c r="F39" s="347"/>
      <c r="G39" s="346">
        <f t="shared" si="1"/>
        <v>9.9264705882352935E-2</v>
      </c>
    </row>
    <row r="40" spans="1:16" ht="30" x14ac:dyDescent="0.25">
      <c r="A40" s="1" t="s">
        <v>1539</v>
      </c>
      <c r="B40" s="347">
        <f>COUNTIF('Débit - Abfluss'!Q4:Q275,"0-20%")</f>
        <v>30</v>
      </c>
      <c r="C40" s="347"/>
      <c r="D40" s="347"/>
      <c r="E40" s="347"/>
      <c r="F40" s="347"/>
      <c r="G40" s="346">
        <f t="shared" si="1"/>
        <v>0.11029411764705882</v>
      </c>
    </row>
    <row r="41" spans="1:16" x14ac:dyDescent="0.25">
      <c r="B41" s="347"/>
      <c r="C41" s="347"/>
      <c r="D41" s="347"/>
      <c r="E41" s="347"/>
      <c r="F41" s="347"/>
    </row>
    <row r="42" spans="1:16" x14ac:dyDescent="0.25">
      <c r="B42" s="347"/>
      <c r="C42" s="347"/>
      <c r="D42" s="347"/>
      <c r="E42" s="347"/>
      <c r="F42" s="347"/>
    </row>
    <row r="43" spans="1:16" x14ac:dyDescent="0.25">
      <c r="A43" t="s">
        <v>1533</v>
      </c>
      <c r="B43" s="347">
        <f>SUM(B35:B40)</f>
        <v>272</v>
      </c>
      <c r="C43" s="347"/>
      <c r="D43" s="347"/>
      <c r="E43" s="347"/>
      <c r="F43" s="347"/>
      <c r="G43">
        <f>SUM(G35:G40)</f>
        <v>1</v>
      </c>
    </row>
    <row r="53" spans="1:16" x14ac:dyDescent="0.25">
      <c r="A53" s="342" t="s">
        <v>711</v>
      </c>
      <c r="B53" s="343"/>
      <c r="C53" s="343"/>
      <c r="D53" s="343"/>
      <c r="E53" s="343"/>
      <c r="F53" s="343"/>
      <c r="G53" s="343"/>
      <c r="H53" s="343"/>
      <c r="I53" s="343"/>
      <c r="J53" s="343"/>
      <c r="K53" s="343"/>
      <c r="L53" s="343"/>
      <c r="M53" s="343"/>
      <c r="N53" s="343"/>
      <c r="O53" s="343"/>
      <c r="P53" s="343"/>
    </row>
    <row r="54" spans="1:16" ht="60" x14ac:dyDescent="0.25">
      <c r="B54" s="1" t="s">
        <v>1525</v>
      </c>
      <c r="C54" t="s">
        <v>1527</v>
      </c>
    </row>
    <row r="55" spans="1:16" ht="30" x14ac:dyDescent="0.25">
      <c r="A55" s="1" t="s">
        <v>1540</v>
      </c>
      <c r="B55" t="e">
        <f>COUNTIF('[1]Débit - Abfluss'!#REF!,"Non affecté / nicht betroffen")</f>
        <v>#REF!</v>
      </c>
      <c r="C55" s="346" t="e">
        <f>B55/$B$60</f>
        <v>#REF!</v>
      </c>
    </row>
    <row r="56" spans="1:16" ht="45" x14ac:dyDescent="0.25">
      <c r="A56" s="1" t="s">
        <v>1541</v>
      </c>
      <c r="B56" t="e">
        <f>COUNTIF('[1]Débit - Abfluss'!#REF!,"Potentiellement affecté mais non plausible / möglicherweise betroffen aber nicht nachweisbar")</f>
        <v>#REF!</v>
      </c>
      <c r="C56" s="346" t="e">
        <f>B56/$B$60</f>
        <v>#REF!</v>
      </c>
    </row>
    <row r="57" spans="1:16" ht="30" x14ac:dyDescent="0.25">
      <c r="A57" s="1" t="s">
        <v>1542</v>
      </c>
      <c r="B57" t="e">
        <f>COUNTIF('[1]Débit - Abfluss'!#REF!,"Potentiellement affecté / möglicherweise betroffen")</f>
        <v>#REF!</v>
      </c>
      <c r="C57" s="346" t="e">
        <f>B57/$B$60</f>
        <v>#REF!</v>
      </c>
    </row>
    <row r="60" spans="1:16" x14ac:dyDescent="0.25">
      <c r="A60" t="s">
        <v>1533</v>
      </c>
      <c r="B60" t="e">
        <f>SUM(B55:B57)</f>
        <v>#REF!</v>
      </c>
      <c r="C60" t="e">
        <f>SUM(C55:C57)</f>
        <v>#REF!</v>
      </c>
    </row>
    <row r="76" spans="1:16" x14ac:dyDescent="0.25">
      <c r="A76" s="342" t="s">
        <v>712</v>
      </c>
      <c r="B76" s="343"/>
      <c r="C76" s="343"/>
      <c r="D76" s="343"/>
      <c r="E76" s="343"/>
      <c r="F76" s="343"/>
      <c r="G76" s="343"/>
      <c r="H76" s="343"/>
      <c r="I76" s="343"/>
      <c r="J76" s="343"/>
      <c r="K76" s="343"/>
      <c r="L76" s="343"/>
      <c r="M76" s="343"/>
      <c r="N76" s="343"/>
      <c r="O76" s="343"/>
      <c r="P76" s="343"/>
    </row>
    <row r="77" spans="1:16" ht="60" x14ac:dyDescent="0.25">
      <c r="B77" s="1" t="s">
        <v>1525</v>
      </c>
      <c r="C77" s="348" t="s">
        <v>43</v>
      </c>
      <c r="D77" s="349" t="s">
        <v>72</v>
      </c>
      <c r="E77" s="349" t="s">
        <v>110</v>
      </c>
      <c r="F77" s="349" t="s">
        <v>59</v>
      </c>
      <c r="G77" s="349" t="s">
        <v>368</v>
      </c>
      <c r="H77" t="s">
        <v>1527</v>
      </c>
    </row>
    <row r="78" spans="1:16" ht="30" x14ac:dyDescent="0.25">
      <c r="A78" s="1" t="s">
        <v>1543</v>
      </c>
      <c r="B78">
        <f>COUNTIF('Revitalisation-Revitalisierung'!Y4:Y275,"non pertinent / nicht relevant")</f>
        <v>14</v>
      </c>
      <c r="C78">
        <f>COUNTIFS('Revitalisation-Revitalisierung'!$Y$4:$Y$275,"non pertinent / nicht relevant",'Revitalisation-Revitalisierung'!$Z$4:$Z$275,C$77)</f>
        <v>14</v>
      </c>
      <c r="D78">
        <f>COUNTIFS('Revitalisation-Revitalisierung'!$Y$4:$Y$275,"non pertinent / nicht relevant",'Revitalisation-Revitalisierung'!$Z$4:$Z$275,D$77)</f>
        <v>0</v>
      </c>
      <c r="E78">
        <f>COUNTIFS('Revitalisation-Revitalisierung'!$Y$4:$Y$275,"non pertinent / nicht relevant",'Revitalisation-Revitalisierung'!$Z$4:$Z$275,E$77)</f>
        <v>0</v>
      </c>
      <c r="F78">
        <f>COUNTIFS('Revitalisation-Revitalisierung'!$Y$4:$Y$275,"non pertinent / nicht relevant",'Revitalisation-Revitalisierung'!$Z$4:$Z$275,F$77)</f>
        <v>0</v>
      </c>
      <c r="G78">
        <f>COUNTIFS('Revitalisation-Revitalisierung'!$Y$4:$Y$275,"non pertinent / nicht relevant",'Revitalisation-Revitalisierung'!$Z$4:$Z$275,G$77)</f>
        <v>0</v>
      </c>
      <c r="H78" s="346">
        <f t="shared" ref="H78:H83" si="2">B78/$B$86</f>
        <v>5.3231939163498096E-2</v>
      </c>
    </row>
    <row r="79" spans="1:16" ht="30" x14ac:dyDescent="0.25">
      <c r="A79" s="1" t="s">
        <v>1544</v>
      </c>
      <c r="B79">
        <f>COUNTIF('Revitalisation-Revitalisierung'!Y4:Y275,"Non nécessaire / nicht nötig")</f>
        <v>96</v>
      </c>
      <c r="C79">
        <f>COUNTIFS('Revitalisation-Revitalisierung'!$Y$4:$Y$275,"Non nécessaire / nicht nötig",'Revitalisation-Revitalisierung'!$Z$4:$Z$275,C$77,'Revitalisation-Revitalisierung'!$Z$4:$Z$275,C$77)</f>
        <v>16</v>
      </c>
      <c r="D79">
        <f>COUNTIFS('Revitalisation-Revitalisierung'!$Y$4:$Y$275,"Non nécessaire / nicht nötig",'Revitalisation-Revitalisierung'!$Z$4:$Z$275,D$77,'Revitalisation-Revitalisierung'!$Z$4:$Z$275,D$77)</f>
        <v>6</v>
      </c>
      <c r="E79">
        <f>COUNTIFS('Revitalisation-Revitalisierung'!$Y$4:$Y$275,"Non nécessaire / nicht nötig",'Revitalisation-Revitalisierung'!$Z$4:$Z$275,E$77,'Revitalisation-Revitalisierung'!$Z$4:$Z$275,E$77)</f>
        <v>14</v>
      </c>
      <c r="F79">
        <f>COUNTIFS('Revitalisation-Revitalisierung'!$Y$4:$Y$275,"Non nécessaire / nicht nötig",'Revitalisation-Revitalisierung'!$Z$4:$Z$275,F$77,'Revitalisation-Revitalisierung'!$Z$4:$Z$275,F$77)</f>
        <v>55</v>
      </c>
      <c r="G79">
        <f>COUNTIFS('Revitalisation-Revitalisierung'!$Y$4:$Y$275,"Non nécessaire / nicht nötig",'Revitalisation-Revitalisierung'!$Z$4:$Z$275,G$77,'Revitalisation-Revitalisierung'!$Z$4:$Z$275,G$77)</f>
        <v>5</v>
      </c>
      <c r="H79" s="346">
        <f t="shared" si="2"/>
        <v>0.36501901140684412</v>
      </c>
    </row>
    <row r="80" spans="1:16" ht="30" x14ac:dyDescent="0.25">
      <c r="A80" s="1" t="s">
        <v>1545</v>
      </c>
      <c r="B80">
        <f>COUNTIF('Revitalisation-Revitalisierung'!Y4:Y275,"Partiellement nécessaire, difficile / teilweise nötig, schwierig")</f>
        <v>21</v>
      </c>
      <c r="C80">
        <f>COUNTIFS('Revitalisation-Revitalisierung'!$Y$4:$Y$275,"Partiellement nécessaire, difficile / teilweise nötig, schwierig",'Revitalisation-Revitalisierung'!$Z$4:$Z$275,C$77)</f>
        <v>0</v>
      </c>
      <c r="D80">
        <f>COUNTIFS('Revitalisation-Revitalisierung'!$Y$4:$Y$275,"Partiellement nécessaire, difficile / teilweise nötig, schwierig",'Revitalisation-Revitalisierung'!$Z$4:$Z$275,D$77)</f>
        <v>0</v>
      </c>
      <c r="E80">
        <f>COUNTIFS('Revitalisation-Revitalisierung'!$Y$4:$Y$275,"Partiellement nécessaire, difficile / teilweise nötig, schwierig",'Revitalisation-Revitalisierung'!$Z$4:$Z$275,E$77)</f>
        <v>6</v>
      </c>
      <c r="F80">
        <f>COUNTIFS('Revitalisation-Revitalisierung'!$Y$4:$Y$275,"Partiellement nécessaire, difficile / teilweise nötig, schwierig",'Revitalisation-Revitalisierung'!$Z$4:$Z$275,F$77)</f>
        <v>7</v>
      </c>
      <c r="G80">
        <f>COUNTIFS('Revitalisation-Revitalisierung'!$Y$4:$Y$275,"Partiellement nécessaire, difficile / teilweise nötig, schwierig",'Revitalisation-Revitalisierung'!$Z$4:$Z$275,G$77)</f>
        <v>8</v>
      </c>
      <c r="H80" s="346">
        <f t="shared" si="2"/>
        <v>7.9847908745247151E-2</v>
      </c>
    </row>
    <row r="81" spans="1:8" ht="30" x14ac:dyDescent="0.25">
      <c r="A81" s="1" t="s">
        <v>1546</v>
      </c>
      <c r="B81">
        <f>COUNTIF('Revitalisation-Revitalisierung'!Y4:Y275,"Partiellement nécessaire, facile / teilweise nötig, einfach")</f>
        <v>46</v>
      </c>
      <c r="C81">
        <f>COUNTIFS('Revitalisation-Revitalisierung'!$Y$4:$Y$274,"Partiellement nécessaire, facile / teilweise nötig, einfach",'Revitalisation-Revitalisierung'!$Z$4:$Z$274,C$77)</f>
        <v>3</v>
      </c>
      <c r="D81">
        <f>COUNTIFS('Revitalisation-Revitalisierung'!$Y$4:$Y$274,"Partiellement nécessaire, facile / teilweise nötig, einfach",'Revitalisation-Revitalisierung'!$Z$4:$Z$274,D$77)</f>
        <v>0</v>
      </c>
      <c r="E81">
        <f>COUNTIFS('Revitalisation-Revitalisierung'!$Y$4:$Y$274,"Partiellement nécessaire, facile / teilweise nötig, einfach",'Revitalisation-Revitalisierung'!$Z$4:$Z$274,E$77)</f>
        <v>21</v>
      </c>
      <c r="F81">
        <f>COUNTIFS('Revitalisation-Revitalisierung'!$Y$4:$Y$274,"Partiellement nécessaire, facile / teilweise nötig, einfach",'Revitalisation-Revitalisierung'!$Z$4:$Z$274,F$77)</f>
        <v>9</v>
      </c>
      <c r="G81">
        <f>COUNTIFS('Revitalisation-Revitalisierung'!$Y$4:$Y$274,"Partiellement nécessaire, facile / teilweise nötig, einfach",'Revitalisation-Revitalisierung'!$Z$4:$Z$274,G$77)</f>
        <v>13</v>
      </c>
      <c r="H81" s="346">
        <f t="shared" si="2"/>
        <v>0.17490494296577946</v>
      </c>
    </row>
    <row r="82" spans="1:8" ht="30" x14ac:dyDescent="0.25">
      <c r="A82" s="1" t="s">
        <v>1547</v>
      </c>
      <c r="B82">
        <f>COUNTIF('Revitalisation-Revitalisierung'!Y4:Y275,"Très nécessaire, difficile / unbedingt nötig, schwierig")</f>
        <v>24</v>
      </c>
      <c r="C82">
        <f>COUNTIFS('Revitalisation-Revitalisierung'!$Y$4:$Y$275,"Très nécessaire, difficile / unbedingt nötig, schwierig",'Revitalisation-Revitalisierung'!$Z$4:$Z$275,C$77)</f>
        <v>1</v>
      </c>
      <c r="D82">
        <f>COUNTIFS('Revitalisation-Revitalisierung'!$Y$4:$Y$275,"Très nécessaire, difficile / unbedingt nötig, schwierig",'Revitalisation-Revitalisierung'!$Z$4:$Z$275,D$77)</f>
        <v>2</v>
      </c>
      <c r="E82">
        <f>COUNTIFS('Revitalisation-Revitalisierung'!$Y$4:$Y$275,"Très nécessaire, difficile / unbedingt nötig, schwierig",'Revitalisation-Revitalisierung'!$Z$4:$Z$275,E$77)</f>
        <v>3</v>
      </c>
      <c r="F82">
        <f>COUNTIFS('Revitalisation-Revitalisierung'!$Y$4:$Y$275,"Très nécessaire, difficile / unbedingt nötig, schwierig",'Revitalisation-Revitalisierung'!$Z$4:$Z$275,F$77)</f>
        <v>8</v>
      </c>
      <c r="G82">
        <f>COUNTIFS('Revitalisation-Revitalisierung'!$Y$4:$Y$275,"Très nécessaire, difficile / unbedingt nötig, schwierig",'Revitalisation-Revitalisierung'!$Z$4:$Z$275,G$77)</f>
        <v>10</v>
      </c>
      <c r="H82" s="346">
        <f t="shared" si="2"/>
        <v>9.125475285171103E-2</v>
      </c>
    </row>
    <row r="83" spans="1:8" ht="30" x14ac:dyDescent="0.25">
      <c r="A83" s="1" t="s">
        <v>1548</v>
      </c>
      <c r="B83">
        <f>COUNTIF('Revitalisation-Revitalisierung'!Y4:Y275,"Très nécessaire, facile / unbedingt nötig, einfach")</f>
        <v>62</v>
      </c>
      <c r="C83">
        <f>COUNTIFS('Revitalisation-Revitalisierung'!$Y$4:$Y$275,"Très nécessaire, facile / unbedingt nötig, einfach",'Revitalisation-Revitalisierung'!$Z$4:$Z$275,C$77)</f>
        <v>5</v>
      </c>
      <c r="D83">
        <f>COUNTIFS('Revitalisation-Revitalisierung'!$Y$4:$Y$275,"Très nécessaire, facile / unbedingt nötig, einfach",'Revitalisation-Revitalisierung'!$Z$4:$Z$275,D$77)</f>
        <v>2</v>
      </c>
      <c r="E83">
        <f>COUNTIFS('Revitalisation-Revitalisierung'!$Y$4:$Y$275,"Très nécessaire, facile / unbedingt nötig, einfach",'Revitalisation-Revitalisierung'!$Z$4:$Z$275,E$77)</f>
        <v>9</v>
      </c>
      <c r="F83">
        <f>COUNTIFS('Revitalisation-Revitalisierung'!$Y$4:$Y$275,"Très nécessaire, facile / unbedingt nötig, einfach",'Revitalisation-Revitalisierung'!$Z$4:$Z$275,F$77)</f>
        <v>45</v>
      </c>
      <c r="G83">
        <f>COUNTIFS('Revitalisation-Revitalisierung'!$Y$4:$Y$275,"Très nécessaire, facile / unbedingt nötig, einfach",'Revitalisation-Revitalisierung'!$Z$4:$Z$275,G$77)</f>
        <v>1</v>
      </c>
      <c r="H83" s="346">
        <f t="shared" si="2"/>
        <v>0.23574144486692014</v>
      </c>
    </row>
    <row r="86" spans="1:8" x14ac:dyDescent="0.25">
      <c r="A86" t="s">
        <v>1533</v>
      </c>
      <c r="B86">
        <f t="shared" ref="B86:H86" si="3">SUM(B78:B83)</f>
        <v>263</v>
      </c>
      <c r="C86">
        <f t="shared" si="3"/>
        <v>39</v>
      </c>
      <c r="D86">
        <f t="shared" si="3"/>
        <v>10</v>
      </c>
      <c r="E86">
        <f t="shared" si="3"/>
        <v>53</v>
      </c>
      <c r="F86">
        <f t="shared" si="3"/>
        <v>124</v>
      </c>
      <c r="G86">
        <f t="shared" si="3"/>
        <v>37</v>
      </c>
      <c r="H86">
        <f t="shared" si="3"/>
        <v>1</v>
      </c>
    </row>
    <row r="114" spans="1:5" x14ac:dyDescent="0.25">
      <c r="A114" t="s">
        <v>1549</v>
      </c>
      <c r="B114" t="str">
        <f>IF('[1]Charriage - Geschiebehaushalt'!P2="a",'[1]Charriage - Geschiebehaushalt'!O2,"")</f>
        <v>81 -100%</v>
      </c>
      <c r="C114" t="str">
        <f>IF('[1]Charriage - Geschiebehaushalt'!P2="b",'[1]Charriage - Geschiebehaushalt'!O2,"")</f>
        <v/>
      </c>
      <c r="D114" t="str">
        <f>IF('[1]Revitalisation-Revitalisierung'!L2="a",'[1]Revitalisation-Revitalisierung'!K2,"")</f>
        <v/>
      </c>
      <c r="E114" t="str">
        <f>IF('[1]Revitalisation-Revitalisierung'!L2="b",'[1]Revitalisation-Revitalisierung'!K2,"")</f>
        <v>Partiellement nécessaire, facile / teilweise nötig, einfach</v>
      </c>
    </row>
    <row r="115" spans="1:5" x14ac:dyDescent="0.25">
      <c r="B115" t="str">
        <f>IF('[1]Charriage - Geschiebehaushalt'!P3="a",'[1]Charriage - Geschiebehaushalt'!O3,"")</f>
        <v>81 -100%</v>
      </c>
      <c r="C115" t="str">
        <f>IF('[1]Charriage - Geschiebehaushalt'!P3="b",'[1]Charriage - Geschiebehaushalt'!O3,"")</f>
        <v/>
      </c>
      <c r="D115" t="str">
        <f>IF('[1]Revitalisation-Revitalisierung'!L3="a",'[1]Revitalisation-Revitalisierung'!K3,"")</f>
        <v/>
      </c>
      <c r="E115" t="str">
        <f>IF('[1]Revitalisation-Revitalisierung'!L3="b",'[1]Revitalisation-Revitalisierung'!K3,"")</f>
        <v>Partiellement nécessaire, difficile / teilweise nötig, schwierig</v>
      </c>
    </row>
    <row r="116" spans="1:5" x14ac:dyDescent="0.25">
      <c r="B116" t="str">
        <f>IF('[1]Charriage - Geschiebehaushalt'!P4="a",'[1]Charriage - Geschiebehaushalt'!O4,"")</f>
        <v/>
      </c>
      <c r="C116" t="str">
        <f>IF('[1]Charriage - Geschiebehaushalt'!P4="b",'[1]Charriage - Geschiebehaushalt'!O4,"")</f>
        <v>Charriage présumé naturel / Geschiebehaushalt vermutlich natürlich</v>
      </c>
      <c r="D116" t="str">
        <f>IF('[1]Revitalisation-Revitalisierung'!L4="a",'[1]Revitalisation-Revitalisierung'!K4,"")</f>
        <v>Non nécessaire / nicht nötig</v>
      </c>
      <c r="E116" t="str">
        <f>IF('[1]Revitalisation-Revitalisierung'!L4="b",'[1]Revitalisation-Revitalisierung'!K4,"")</f>
        <v/>
      </c>
    </row>
    <row r="117" spans="1:5" x14ac:dyDescent="0.25">
      <c r="B117" t="str">
        <f>IF('[1]Charriage - Geschiebehaushalt'!P5="a",'[1]Charriage - Geschiebehaushalt'!O5,"")</f>
        <v>0-20%</v>
      </c>
      <c r="C117" t="str">
        <f>IF('[1]Charriage - Geschiebehaushalt'!P5="b",'[1]Charriage - Geschiebehaushalt'!O5,"")</f>
        <v/>
      </c>
      <c r="D117" t="str">
        <f>IF('[1]Revitalisation-Revitalisierung'!L5="a",'[1]Revitalisation-Revitalisierung'!K5,"")</f>
        <v/>
      </c>
      <c r="E117" t="str">
        <f>IF('[1]Revitalisation-Revitalisierung'!L5="b",'[1]Revitalisation-Revitalisierung'!K5,"")</f>
        <v>Partiellement nécessaire, facile / teilweise nötig, einfach</v>
      </c>
    </row>
    <row r="118" spans="1:5" x14ac:dyDescent="0.25">
      <c r="B118" t="str">
        <f>IF('[1]Charriage - Geschiebehaushalt'!P6="a",'[1]Charriage - Geschiebehaushalt'!O6,"")</f>
        <v>0-20%</v>
      </c>
      <c r="C118" t="str">
        <f>IF('[1]Charriage - Geschiebehaushalt'!P6="b",'[1]Charriage - Geschiebehaushalt'!O6,"")</f>
        <v/>
      </c>
      <c r="D118" t="str">
        <f>IF('[1]Revitalisation-Revitalisierung'!L6="a",'[1]Revitalisation-Revitalisierung'!K6,"")</f>
        <v/>
      </c>
      <c r="E118" t="str">
        <f>IF('[1]Revitalisation-Revitalisierung'!L6="b",'[1]Revitalisation-Revitalisierung'!K6,"")</f>
        <v>Partiellement nécessaire, difficile / teilweise nötig, schwierig</v>
      </c>
    </row>
    <row r="119" spans="1:5" x14ac:dyDescent="0.25">
      <c r="B119" t="str">
        <f>IF('[1]Charriage - Geschiebehaushalt'!P7="a",'[1]Charriage - Geschiebehaushalt'!O7,"")</f>
        <v>0-20%</v>
      </c>
      <c r="C119" t="str">
        <f>IF('[1]Charriage - Geschiebehaushalt'!P7="b",'[1]Charriage - Geschiebehaushalt'!O7,"")</f>
        <v/>
      </c>
      <c r="D119" t="str">
        <f>IF('[1]Revitalisation-Revitalisierung'!L7="a",'[1]Revitalisation-Revitalisierung'!K7,"")</f>
        <v>Très nécessaire, facile / unbedingt nötig, einfach</v>
      </c>
      <c r="E119" t="str">
        <f>IF('[1]Revitalisation-Revitalisierung'!L7="b",'[1]Revitalisation-Revitalisierung'!K7,"")</f>
        <v/>
      </c>
    </row>
    <row r="120" spans="1:5" x14ac:dyDescent="0.25">
      <c r="B120" t="str">
        <f>IF('[1]Charriage - Geschiebehaushalt'!P8="a",'[1]Charriage - Geschiebehaushalt'!O8,"")</f>
        <v>0-20%</v>
      </c>
      <c r="C120" t="str">
        <f>IF('[1]Charriage - Geschiebehaushalt'!P8="b",'[1]Charriage - Geschiebehaushalt'!O8,"")</f>
        <v/>
      </c>
      <c r="D120" t="str">
        <f>IF('[1]Revitalisation-Revitalisierung'!L8="a",'[1]Revitalisation-Revitalisierung'!K8,"")</f>
        <v>Très nécessaire, facile / unbedingt nötig, einfach</v>
      </c>
      <c r="E120" t="str">
        <f>IF('[1]Revitalisation-Revitalisierung'!L8="b",'[1]Revitalisation-Revitalisierung'!K8,"")</f>
        <v/>
      </c>
    </row>
    <row r="121" spans="1:5" x14ac:dyDescent="0.25">
      <c r="B121" t="str">
        <f>IF('[1]Charriage - Geschiebehaushalt'!P9="a",'[1]Charriage - Geschiebehaushalt'!O9,"")</f>
        <v>0-20%</v>
      </c>
      <c r="C121" t="str">
        <f>IF('[1]Charriage - Geschiebehaushalt'!P9="b",'[1]Charriage - Geschiebehaushalt'!O9,"")</f>
        <v/>
      </c>
      <c r="D121" t="str">
        <f>IF('[1]Revitalisation-Revitalisierung'!L9="a",'[1]Revitalisation-Revitalisierung'!K9,"")</f>
        <v>Très nécessaire, facile / unbedingt nötig, einfach</v>
      </c>
      <c r="E121" t="str">
        <f>IF('[1]Revitalisation-Revitalisierung'!L9="b",'[1]Revitalisation-Revitalisierung'!K9,"")</f>
        <v/>
      </c>
    </row>
    <row r="122" spans="1:5" x14ac:dyDescent="0.25">
      <c r="B122" t="str">
        <f>IF('[1]Charriage - Geschiebehaushalt'!P10="a",'[1]Charriage - Geschiebehaushalt'!O10,"")</f>
        <v>0-20%</v>
      </c>
      <c r="C122" t="str">
        <f>IF('[1]Charriage - Geschiebehaushalt'!P10="b",'[1]Charriage - Geschiebehaushalt'!O10,"")</f>
        <v/>
      </c>
      <c r="D122" t="str">
        <f>IF('[1]Revitalisation-Revitalisierung'!L10="a",'[1]Revitalisation-Revitalisierung'!K10,"")</f>
        <v/>
      </c>
      <c r="E122" t="str">
        <f>IF('[1]Revitalisation-Revitalisierung'!L10="b",'[1]Revitalisation-Revitalisierung'!K10,"")</f>
        <v>Partiellement nécessaire, difficile / teilweise nötig, schwierig</v>
      </c>
    </row>
    <row r="123" spans="1:5" x14ac:dyDescent="0.25">
      <c r="B123" t="str">
        <f>IF('[1]Charriage - Geschiebehaushalt'!P11="a",'[1]Charriage - Geschiebehaushalt'!O11,"")</f>
        <v>0-20%</v>
      </c>
      <c r="C123" t="str">
        <f>IF('[1]Charriage - Geschiebehaushalt'!P11="b",'[1]Charriage - Geschiebehaushalt'!O11,"")</f>
        <v/>
      </c>
      <c r="D123" t="str">
        <f>IF('[1]Revitalisation-Revitalisierung'!L11="a",'[1]Revitalisation-Revitalisierung'!K11,"")</f>
        <v>Très nécessaire, facile / unbedingt nötig, einfach</v>
      </c>
      <c r="E123" t="str">
        <f>IF('[1]Revitalisation-Revitalisierung'!L11="b",'[1]Revitalisation-Revitalisierung'!K11,"")</f>
        <v/>
      </c>
    </row>
    <row r="124" spans="1:5" x14ac:dyDescent="0.25">
      <c r="B124" t="str">
        <f>IF('[1]Charriage - Geschiebehaushalt'!P12="a",'[1]Charriage - Geschiebehaushalt'!O12,"")</f>
        <v>51-80%</v>
      </c>
      <c r="C124" t="str">
        <f>IF('[1]Charriage - Geschiebehaushalt'!P12="b",'[1]Charriage - Geschiebehaushalt'!O12,"")</f>
        <v/>
      </c>
      <c r="D124" t="str">
        <f>IF('[1]Revitalisation-Revitalisierung'!L12="a",'[1]Revitalisation-Revitalisierung'!K12,"")</f>
        <v>Partiellement nécessaire, difficile / teilweise nötig, schwierig</v>
      </c>
      <c r="E124" t="str">
        <f>IF('[1]Revitalisation-Revitalisierung'!L12="b",'[1]Revitalisation-Revitalisierung'!K12,"")</f>
        <v/>
      </c>
    </row>
    <row r="125" spans="1:5" x14ac:dyDescent="0.25">
      <c r="B125" t="str">
        <f>IF('[1]Charriage - Geschiebehaushalt'!P13="a",'[1]Charriage - Geschiebehaushalt'!O13,"")</f>
        <v>0-20%</v>
      </c>
      <c r="C125" t="str">
        <f>IF('[1]Charriage - Geschiebehaushalt'!P13="b",'[1]Charriage - Geschiebehaushalt'!O13,"")</f>
        <v/>
      </c>
      <c r="D125" t="str">
        <f>IF('[1]Revitalisation-Revitalisierung'!L13="a",'[1]Revitalisation-Revitalisierung'!K13,"")</f>
        <v>Très nécessaire, facile / unbedingt nötig, einfach</v>
      </c>
      <c r="E125" t="str">
        <f>IF('[1]Revitalisation-Revitalisierung'!L13="b",'[1]Revitalisation-Revitalisierung'!K13,"")</f>
        <v/>
      </c>
    </row>
    <row r="126" spans="1:5" x14ac:dyDescent="0.25">
      <c r="B126" t="str">
        <f>IF('[1]Charriage - Geschiebehaushalt'!P14="a",'[1]Charriage - Geschiebehaushalt'!O14,"")</f>
        <v>0-20%</v>
      </c>
      <c r="C126" t="str">
        <f>IF('[1]Charriage - Geschiebehaushalt'!P14="b",'[1]Charriage - Geschiebehaushalt'!O14,"")</f>
        <v/>
      </c>
      <c r="D126" t="str">
        <f>IF('[1]Revitalisation-Revitalisierung'!L14="a",'[1]Revitalisation-Revitalisierung'!K14,"")</f>
        <v/>
      </c>
      <c r="E126" t="str">
        <f>IF('[1]Revitalisation-Revitalisierung'!L14="b",'[1]Revitalisation-Revitalisierung'!K14,"")</f>
        <v>Très nécessaire, facile / unbedingt nötig, einfach</v>
      </c>
    </row>
    <row r="127" spans="1:5" x14ac:dyDescent="0.25">
      <c r="B127" t="str">
        <f>IF('[1]Charriage - Geschiebehaushalt'!P15="a",'[1]Charriage - Geschiebehaushalt'!O15,"")</f>
        <v>0-20%</v>
      </c>
      <c r="C127" t="str">
        <f>IF('[1]Charriage - Geschiebehaushalt'!P15="b",'[1]Charriage - Geschiebehaushalt'!O15,"")</f>
        <v/>
      </c>
      <c r="D127" t="str">
        <f>IF('[1]Revitalisation-Revitalisierung'!L15="a",'[1]Revitalisation-Revitalisierung'!K15,"")</f>
        <v>Non nécessaire / nicht nötig</v>
      </c>
      <c r="E127" t="str">
        <f>IF('[1]Revitalisation-Revitalisierung'!L15="b",'[1]Revitalisation-Revitalisierung'!K15,"")</f>
        <v/>
      </c>
    </row>
    <row r="128" spans="1:5" x14ac:dyDescent="0.25">
      <c r="B128" t="str">
        <f>IF('[1]Charriage - Geschiebehaushalt'!P16="a",'[1]Charriage - Geschiebehaushalt'!O16,"")</f>
        <v>51-80%</v>
      </c>
      <c r="C128" t="str">
        <f>IF('[1]Charriage - Geschiebehaushalt'!P16="b",'[1]Charriage - Geschiebehaushalt'!O16,"")</f>
        <v/>
      </c>
      <c r="D128" t="str">
        <f>IF('[1]Revitalisation-Revitalisierung'!L16="a",'[1]Revitalisation-Revitalisierung'!K16,"")</f>
        <v/>
      </c>
      <c r="E128" t="str">
        <f>IF('[1]Revitalisation-Revitalisierung'!L16="b",'[1]Revitalisation-Revitalisierung'!K16,"")</f>
        <v>Partiellement nécessaire, facile / teilweise nötig, einfach</v>
      </c>
    </row>
    <row r="129" spans="2:5" x14ac:dyDescent="0.25">
      <c r="B129" t="str">
        <f>IF('[1]Charriage - Geschiebehaushalt'!P17="a",'[1]Charriage - Geschiebehaushalt'!O17,"")</f>
        <v>51-80%</v>
      </c>
      <c r="C129" t="str">
        <f>IF('[1]Charriage - Geschiebehaushalt'!P17="b",'[1]Charriage - Geschiebehaushalt'!O17,"")</f>
        <v/>
      </c>
      <c r="D129" t="str">
        <f>IF('[1]Revitalisation-Revitalisierung'!L17="a",'[1]Revitalisation-Revitalisierung'!K17,"")</f>
        <v/>
      </c>
      <c r="E129" t="str">
        <f>IF('[1]Revitalisation-Revitalisierung'!L17="b",'[1]Revitalisation-Revitalisierung'!K17,"")</f>
        <v>Très nécessaire, facile / unbedingt nötig, einfach</v>
      </c>
    </row>
    <row r="130" spans="2:5" x14ac:dyDescent="0.25">
      <c r="B130" t="str">
        <f>IF('[1]Charriage - Geschiebehaushalt'!P18="a",'[1]Charriage - Geschiebehaushalt'!O18,"")</f>
        <v/>
      </c>
      <c r="C130" t="str">
        <f>IF('[1]Charriage - Geschiebehaushalt'!P18="b",'[1]Charriage - Geschiebehaushalt'!O18,"")</f>
        <v>Charriage présumé perturbé / Geschiebehaushalt vermutlich beeinträchtigt</v>
      </c>
      <c r="D130" t="str">
        <f>IF('[1]Revitalisation-Revitalisierung'!L18="a",'[1]Revitalisation-Revitalisierung'!K18,"")</f>
        <v/>
      </c>
      <c r="E130" t="str">
        <f>IF('[1]Revitalisation-Revitalisierung'!L18="b",'[1]Revitalisation-Revitalisierung'!K18,"")</f>
        <v>Partiellement nécessaire, facile / teilweise nötig, einfach</v>
      </c>
    </row>
    <row r="131" spans="2:5" x14ac:dyDescent="0.25">
      <c r="B131" t="str">
        <f>IF('[1]Charriage - Geschiebehaushalt'!P19="a",'[1]Charriage - Geschiebehaushalt'!O19,"")</f>
        <v>81 -100%</v>
      </c>
      <c r="C131" t="str">
        <f>IF('[1]Charriage - Geschiebehaushalt'!P19="b",'[1]Charriage - Geschiebehaushalt'!O19,"")</f>
        <v/>
      </c>
      <c r="D131" t="str">
        <f>IF('[1]Revitalisation-Revitalisierung'!L19="a",'[1]Revitalisation-Revitalisierung'!K19,"")</f>
        <v/>
      </c>
      <c r="E131" t="str">
        <f>IF('[1]Revitalisation-Revitalisierung'!L19="b",'[1]Revitalisation-Revitalisierung'!K19,"")</f>
        <v>Très nécessaire, difficile / unbedingt nötig, schwierig</v>
      </c>
    </row>
    <row r="132" spans="2:5" x14ac:dyDescent="0.25">
      <c r="B132" t="str">
        <f>IF('[1]Charriage - Geschiebehaushalt'!P20="a",'[1]Charriage - Geschiebehaushalt'!O20,"")</f>
        <v>0-20%</v>
      </c>
      <c r="C132" t="str">
        <f>IF('[1]Charriage - Geschiebehaushalt'!P20="b",'[1]Charriage - Geschiebehaushalt'!O20,"")</f>
        <v/>
      </c>
      <c r="D132" t="str">
        <f>IF('[1]Revitalisation-Revitalisierung'!L20="a",'[1]Revitalisation-Revitalisierung'!K20,"")</f>
        <v/>
      </c>
      <c r="E132" t="str">
        <f>IF('[1]Revitalisation-Revitalisierung'!L20="b",'[1]Revitalisation-Revitalisierung'!K20,"")</f>
        <v>Non nécessaire / nicht nötig</v>
      </c>
    </row>
    <row r="133" spans="2:5" x14ac:dyDescent="0.25">
      <c r="B133" t="str">
        <f>IF('[1]Charriage - Geschiebehaushalt'!P21="a",'[1]Charriage - Geschiebehaushalt'!O21,"")</f>
        <v>21-50%</v>
      </c>
      <c r="C133" t="str">
        <f>IF('[1]Charriage - Geschiebehaushalt'!P21="b",'[1]Charriage - Geschiebehaushalt'!O21,"")</f>
        <v/>
      </c>
      <c r="D133" t="str">
        <f>IF('[1]Revitalisation-Revitalisierung'!L21="a",'[1]Revitalisation-Revitalisierung'!K21,"")</f>
        <v>Très nécessaire, facile / unbedingt nötig, einfach</v>
      </c>
      <c r="E133" t="str">
        <f>IF('[1]Revitalisation-Revitalisierung'!L21="b",'[1]Revitalisation-Revitalisierung'!K21,"")</f>
        <v/>
      </c>
    </row>
    <row r="134" spans="2:5" x14ac:dyDescent="0.25">
      <c r="B134" t="str">
        <f>IF('[1]Charriage - Geschiebehaushalt'!P22="a",'[1]Charriage - Geschiebehaushalt'!O22,"")</f>
        <v>21-50%</v>
      </c>
      <c r="C134" t="str">
        <f>IF('[1]Charriage - Geschiebehaushalt'!P22="b",'[1]Charriage - Geschiebehaushalt'!O22,"")</f>
        <v/>
      </c>
      <c r="D134" t="str">
        <f>IF('[1]Revitalisation-Revitalisierung'!L22="a",'[1]Revitalisation-Revitalisierung'!K22,"")</f>
        <v>Partiellement nécessaire, facile / teilweise nötig, einfach</v>
      </c>
      <c r="E134" t="str">
        <f>IF('[1]Revitalisation-Revitalisierung'!L22="b",'[1]Revitalisation-Revitalisierung'!K22,"")</f>
        <v/>
      </c>
    </row>
    <row r="135" spans="2:5" x14ac:dyDescent="0.25">
      <c r="B135" t="str">
        <f>IF('[1]Charriage - Geschiebehaushalt'!P23="a",'[1]Charriage - Geschiebehaushalt'!O23,"")</f>
        <v>21-50%</v>
      </c>
      <c r="C135" t="str">
        <f>IF('[1]Charriage - Geschiebehaushalt'!P23="b",'[1]Charriage - Geschiebehaushalt'!O23,"")</f>
        <v/>
      </c>
      <c r="D135" t="str">
        <f>IF('[1]Revitalisation-Revitalisierung'!L23="a",'[1]Revitalisation-Revitalisierung'!K23,"")</f>
        <v>Non nécessaire / nicht nötig</v>
      </c>
      <c r="E135" t="str">
        <f>IF('[1]Revitalisation-Revitalisierung'!L23="b",'[1]Revitalisation-Revitalisierung'!K23,"")</f>
        <v/>
      </c>
    </row>
    <row r="136" spans="2:5" x14ac:dyDescent="0.25">
      <c r="B136" t="str">
        <f>IF('[1]Charriage - Geschiebehaushalt'!P24="a",'[1]Charriage - Geschiebehaushalt'!O24,"")</f>
        <v>21-50%</v>
      </c>
      <c r="C136" t="str">
        <f>IF('[1]Charriage - Geschiebehaushalt'!P24="b",'[1]Charriage - Geschiebehaushalt'!O24,"")</f>
        <v/>
      </c>
      <c r="D136" t="str">
        <f>IF('[1]Revitalisation-Revitalisierung'!L24="a",'[1]Revitalisation-Revitalisierung'!K24,"")</f>
        <v>Partiellement nécessaire, facile / teilweise nötig, einfach</v>
      </c>
      <c r="E136" t="str">
        <f>IF('[1]Revitalisation-Revitalisierung'!L24="b",'[1]Revitalisation-Revitalisierung'!K24,"")</f>
        <v/>
      </c>
    </row>
    <row r="137" spans="2:5" x14ac:dyDescent="0.25">
      <c r="B137" t="str">
        <f>IF('[1]Charriage - Geschiebehaushalt'!P25="a",'[1]Charriage - Geschiebehaushalt'!O25,"")</f>
        <v>21-50%</v>
      </c>
      <c r="C137" t="str">
        <f>IF('[1]Charriage - Geschiebehaushalt'!P25="b",'[1]Charriage - Geschiebehaushalt'!O25,"")</f>
        <v/>
      </c>
      <c r="D137" t="str">
        <f>IF('[1]Revitalisation-Revitalisierung'!L25="a",'[1]Revitalisation-Revitalisierung'!K25,"")</f>
        <v>Non nécessaire / nicht nötig</v>
      </c>
      <c r="E137" t="str">
        <f>IF('[1]Revitalisation-Revitalisierung'!L25="b",'[1]Revitalisation-Revitalisierung'!K25,"")</f>
        <v/>
      </c>
    </row>
    <row r="138" spans="2:5" x14ac:dyDescent="0.25">
      <c r="B138" t="str">
        <f>IF('[1]Charriage - Geschiebehaushalt'!P26="a",'[1]Charriage - Geschiebehaushalt'!O26,"")</f>
        <v>21-50%</v>
      </c>
      <c r="C138" t="str">
        <f>IF('[1]Charriage - Geschiebehaushalt'!P26="b",'[1]Charriage - Geschiebehaushalt'!O26,"")</f>
        <v/>
      </c>
      <c r="D138" t="str">
        <f>IF('[1]Revitalisation-Revitalisierung'!L26="a",'[1]Revitalisation-Revitalisierung'!K26,"")</f>
        <v>Très nécessaire, difficile / unbedingt nötig, schwierig</v>
      </c>
      <c r="E138" t="str">
        <f>IF('[1]Revitalisation-Revitalisierung'!L26="b",'[1]Revitalisation-Revitalisierung'!K26,"")</f>
        <v/>
      </c>
    </row>
    <row r="139" spans="2:5" x14ac:dyDescent="0.25">
      <c r="B139" t="str">
        <f>IF('[1]Charriage - Geschiebehaushalt'!P27="a",'[1]Charriage - Geschiebehaushalt'!O27,"")</f>
        <v>non pertinent / nicht relevant</v>
      </c>
      <c r="C139" t="str">
        <f>IF('[1]Charriage - Geschiebehaushalt'!P27="b",'[1]Charriage - Geschiebehaushalt'!O27,"")</f>
        <v/>
      </c>
      <c r="D139" t="str">
        <f>IF('[1]Revitalisation-Revitalisierung'!L27="a",'[1]Revitalisation-Revitalisierung'!K27,"")</f>
        <v/>
      </c>
      <c r="E139" t="str">
        <f>IF('[1]Revitalisation-Revitalisierung'!L27="b",'[1]Revitalisation-Revitalisierung'!K27,"")</f>
        <v>Partiellement nécessaire, facile / teilweise nötig, einfach</v>
      </c>
    </row>
    <row r="140" spans="2:5" x14ac:dyDescent="0.25">
      <c r="B140" t="str">
        <f>IF('[1]Charriage - Geschiebehaushalt'!P28="a",'[1]Charriage - Geschiebehaushalt'!O28,"")</f>
        <v>81 -100%</v>
      </c>
      <c r="C140" t="str">
        <f>IF('[1]Charriage - Geschiebehaushalt'!P28="b",'[1]Charriage - Geschiebehaushalt'!O28,"")</f>
        <v/>
      </c>
      <c r="D140" t="str">
        <f>IF('[1]Revitalisation-Revitalisierung'!L28="a",'[1]Revitalisation-Revitalisierung'!K28,"")</f>
        <v/>
      </c>
      <c r="E140" t="str">
        <f>IF('[1]Revitalisation-Revitalisierung'!L28="b",'[1]Revitalisation-Revitalisierung'!K28,"")</f>
        <v>Partiellement nécessaire, difficile / teilweise nötig, schwierig</v>
      </c>
    </row>
    <row r="141" spans="2:5" x14ac:dyDescent="0.25">
      <c r="B141" t="str">
        <f>IF('[1]Charriage - Geschiebehaushalt'!P29="a",'[1]Charriage - Geschiebehaushalt'!O29,"")</f>
        <v>81 -100%</v>
      </c>
      <c r="C141" t="str">
        <f>IF('[1]Charriage - Geschiebehaushalt'!P29="b",'[1]Charriage - Geschiebehaushalt'!O29,"")</f>
        <v/>
      </c>
      <c r="D141" t="str">
        <f>IF('[1]Revitalisation-Revitalisierung'!L29="a",'[1]Revitalisation-Revitalisierung'!K29,"")</f>
        <v/>
      </c>
      <c r="E141" t="str">
        <f>IF('[1]Revitalisation-Revitalisierung'!L29="b",'[1]Revitalisation-Revitalisierung'!K29,"")</f>
        <v>Partiellement nécessaire, difficile / teilweise nötig, schwierig</v>
      </c>
    </row>
    <row r="142" spans="2:5" x14ac:dyDescent="0.25">
      <c r="B142" t="str">
        <f>IF('[1]Charriage - Geschiebehaushalt'!P30="a",'[1]Charriage - Geschiebehaushalt'!O30,"")</f>
        <v>21-50%</v>
      </c>
      <c r="C142" t="str">
        <f>IF('[1]Charriage - Geschiebehaushalt'!P30="b",'[1]Charriage - Geschiebehaushalt'!O30,"")</f>
        <v/>
      </c>
      <c r="D142" t="str">
        <f>IF('[1]Revitalisation-Revitalisierung'!L30="a",'[1]Revitalisation-Revitalisierung'!K30,"")</f>
        <v>Très nécessaire, facile / unbedingt nötig, einfach</v>
      </c>
      <c r="E142" t="str">
        <f>IF('[1]Revitalisation-Revitalisierung'!L30="b",'[1]Revitalisation-Revitalisierung'!K30,"")</f>
        <v/>
      </c>
    </row>
    <row r="143" spans="2:5" x14ac:dyDescent="0.25">
      <c r="B143" t="str">
        <f>IF('[1]Charriage - Geschiebehaushalt'!P31="a",'[1]Charriage - Geschiebehaushalt'!O31,"")</f>
        <v>21-50%</v>
      </c>
      <c r="C143" t="str">
        <f>IF('[1]Charriage - Geschiebehaushalt'!P31="b",'[1]Charriage - Geschiebehaushalt'!O31,"")</f>
        <v/>
      </c>
      <c r="D143" t="str">
        <f>IF('[1]Revitalisation-Revitalisierung'!L31="a",'[1]Revitalisation-Revitalisierung'!K31,"")</f>
        <v>Très nécessaire, facile / unbedingt nötig, einfach</v>
      </c>
      <c r="E143" t="str">
        <f>IF('[1]Revitalisation-Revitalisierung'!L31="b",'[1]Revitalisation-Revitalisierung'!K31,"")</f>
        <v/>
      </c>
    </row>
    <row r="144" spans="2:5" x14ac:dyDescent="0.25">
      <c r="B144" t="str">
        <f>IF('[1]Charriage - Geschiebehaushalt'!P32="a",'[1]Charriage - Geschiebehaushalt'!O32,"")</f>
        <v>21-50%</v>
      </c>
      <c r="C144" t="str">
        <f>IF('[1]Charriage - Geschiebehaushalt'!P32="b",'[1]Charriage - Geschiebehaushalt'!O32,"")</f>
        <v/>
      </c>
      <c r="D144" t="str">
        <f>IF('[1]Revitalisation-Revitalisierung'!L32="a",'[1]Revitalisation-Revitalisierung'!K32,"")</f>
        <v>Très nécessaire, facile / unbedingt nötig, einfach</v>
      </c>
      <c r="E144" t="str">
        <f>IF('[1]Revitalisation-Revitalisierung'!L32="b",'[1]Revitalisation-Revitalisierung'!K32,"")</f>
        <v/>
      </c>
    </row>
    <row r="145" spans="2:5" x14ac:dyDescent="0.25">
      <c r="B145" t="str">
        <f>IF('[1]Charriage - Geschiebehaushalt'!P33="a",'[1]Charriage - Geschiebehaushalt'!O33,"")</f>
        <v>Déficit non apparent en charriage ou en remobilisation des sédiments / kein sichtbares Defizit beim Geschiebehaushalt bzw. bei der Mobilisierung von Geschiebe</v>
      </c>
      <c r="C145" t="str">
        <f>IF('[1]Charriage - Geschiebehaushalt'!P33="b",'[1]Charriage - Geschiebehaushalt'!O33,"")</f>
        <v/>
      </c>
      <c r="D145" t="str">
        <f>IF('[1]Revitalisation-Revitalisierung'!L33="a",'[1]Revitalisation-Revitalisierung'!K33,"")</f>
        <v/>
      </c>
      <c r="E145" t="str">
        <f>IF('[1]Revitalisation-Revitalisierung'!L33="b",'[1]Revitalisation-Revitalisierung'!K33,"")</f>
        <v>Très nécessaire, difficile / unbedingt nötig, schwierig</v>
      </c>
    </row>
    <row r="146" spans="2:5" x14ac:dyDescent="0.25">
      <c r="B146" t="str">
        <f>IF('[1]Charriage - Geschiebehaushalt'!P34="a",'[1]Charriage - Geschiebehaushalt'!O34,"")</f>
        <v/>
      </c>
      <c r="C146" t="str">
        <f>IF('[1]Charriage - Geschiebehaushalt'!P34="b",'[1]Charriage - Geschiebehaushalt'!O34,"")</f>
        <v>La remobilisation des sédiments est perturbée / Mobilisierung von Geschiebe beeinträchtigt</v>
      </c>
      <c r="D146" t="str">
        <f>IF('[1]Revitalisation-Revitalisierung'!L34="a",'[1]Revitalisation-Revitalisierung'!K34,"")</f>
        <v/>
      </c>
      <c r="E146" t="str">
        <f>IF('[1]Revitalisation-Revitalisierung'!L34="b",'[1]Revitalisation-Revitalisierung'!K34,"")</f>
        <v>Non nécessaire / nicht nötig</v>
      </c>
    </row>
    <row r="147" spans="2:5" x14ac:dyDescent="0.25">
      <c r="B147" t="str">
        <f>IF('[1]Charriage - Geschiebehaushalt'!P35="a",'[1]Charriage - Geschiebehaushalt'!O35,"")</f>
        <v/>
      </c>
      <c r="C147" t="str">
        <f>IF('[1]Charriage - Geschiebehaushalt'!P35="b",'[1]Charriage - Geschiebehaushalt'!O35,"")</f>
        <v>Charriage présumé perturbé / Geschiebehaushalt vermutlich beeinträchtigt</v>
      </c>
      <c r="D147" t="str">
        <f>IF('[1]Revitalisation-Revitalisierung'!L35="a",'[1]Revitalisation-Revitalisierung'!K35,"")</f>
        <v/>
      </c>
      <c r="E147" t="str">
        <f>IF('[1]Revitalisation-Revitalisierung'!L35="b",'[1]Revitalisation-Revitalisierung'!K35,"")</f>
        <v>Partiellement nécessaire, facile / teilweise nötig, einfach</v>
      </c>
    </row>
    <row r="148" spans="2:5" x14ac:dyDescent="0.25">
      <c r="B148" t="str">
        <f>IF('[1]Charriage - Geschiebehaushalt'!P36="a",'[1]Charriage - Geschiebehaushalt'!O36,"")</f>
        <v/>
      </c>
      <c r="C148" t="str">
        <f>IF('[1]Charriage - Geschiebehaushalt'!P36="b",'[1]Charriage - Geschiebehaushalt'!O36,"")</f>
        <v>Charriage présumé perturbé / Geschiebehaushalt vermutlich beeinträchtigt</v>
      </c>
      <c r="D148" t="str">
        <f>IF('[1]Revitalisation-Revitalisierung'!L36="a",'[1]Revitalisation-Revitalisierung'!K36,"")</f>
        <v/>
      </c>
      <c r="E148" t="str">
        <f>IF('[1]Revitalisation-Revitalisierung'!L36="b",'[1]Revitalisation-Revitalisierung'!K36,"")</f>
        <v>Partiellement nécessaire, facile / teilweise nötig, einfach</v>
      </c>
    </row>
    <row r="149" spans="2:5" x14ac:dyDescent="0.25">
      <c r="B149" t="str">
        <f>IF('[1]Charriage - Geschiebehaushalt'!P37="a",'[1]Charriage - Geschiebehaushalt'!O37,"")</f>
        <v/>
      </c>
      <c r="C149" t="str">
        <f>IF('[1]Charriage - Geschiebehaushalt'!P37="b",'[1]Charriage - Geschiebehaushalt'!O37,"")</f>
        <v>Déficit non apparent en charriage ou en remobilisation des sédiments / kein sichtbares Defizit beim Geschiebehaushalt bzw. bei der Mobilisierung von Geschiebe</v>
      </c>
      <c r="D149" t="str">
        <f>IF('[1]Revitalisation-Revitalisierung'!L37="a",'[1]Revitalisation-Revitalisierung'!K37,"")</f>
        <v>Non nécessaire / nicht nötig</v>
      </c>
      <c r="E149" t="str">
        <f>IF('[1]Revitalisation-Revitalisierung'!L37="b",'[1]Revitalisation-Revitalisierung'!K37,"")</f>
        <v/>
      </c>
    </row>
    <row r="150" spans="2:5" x14ac:dyDescent="0.25">
      <c r="B150" t="str">
        <f>IF('[1]Charriage - Geschiebehaushalt'!P38="a",'[1]Charriage - Geschiebehaushalt'!O38,"")</f>
        <v>81 -100%</v>
      </c>
      <c r="C150" t="str">
        <f>IF('[1]Charriage - Geschiebehaushalt'!P38="b",'[1]Charriage - Geschiebehaushalt'!O38,"")</f>
        <v/>
      </c>
      <c r="D150" t="str">
        <f>IF('[1]Revitalisation-Revitalisierung'!L38="a",'[1]Revitalisation-Revitalisierung'!K38,"")</f>
        <v/>
      </c>
      <c r="E150" t="str">
        <f>IF('[1]Revitalisation-Revitalisierung'!L38="b",'[1]Revitalisation-Revitalisierung'!K38,"")</f>
        <v>Partiellement nécessaire, facile / teilweise nötig, einfach</v>
      </c>
    </row>
    <row r="151" spans="2:5" x14ac:dyDescent="0.25">
      <c r="B151" t="str">
        <f>IF('[1]Charriage - Geschiebehaushalt'!P39="a",'[1]Charriage - Geschiebehaushalt'!O39,"")</f>
        <v/>
      </c>
      <c r="C151" t="str">
        <f>IF('[1]Charriage - Geschiebehaushalt'!P39="b",'[1]Charriage - Geschiebehaushalt'!O39,"")</f>
        <v>Problème lié à un manque de charriage ou à un manque de remobilisation des sédiments / Problem aufgrund Geschiebemangels bzw. mangelnder Mobilisierung von Geschiebe</v>
      </c>
      <c r="D151" t="str">
        <f>IF('[1]Revitalisation-Revitalisierung'!L39="a",'[1]Revitalisation-Revitalisierung'!K39,"")</f>
        <v>Très nécessaire, facile / unbedingt nötig, einfach</v>
      </c>
      <c r="E151" t="str">
        <f>IF('[1]Revitalisation-Revitalisierung'!L39="b",'[1]Revitalisation-Revitalisierung'!K39,"")</f>
        <v/>
      </c>
    </row>
    <row r="152" spans="2:5" x14ac:dyDescent="0.25">
      <c r="B152" t="str">
        <f>IF('[1]Charriage - Geschiebehaushalt'!P40="a",'[1]Charriage - Geschiebehaushalt'!O40,"")</f>
        <v/>
      </c>
      <c r="C152" t="str">
        <f>IF('[1]Charriage - Geschiebehaushalt'!P40="b",'[1]Charriage - Geschiebehaushalt'!O40,"")</f>
        <v>La remobilisation des sédiments est perturbée / Mobilisierung von Geschiebe beeinträchtigt</v>
      </c>
      <c r="D152" t="str">
        <f>IF('[1]Revitalisation-Revitalisierung'!L40="a",'[1]Revitalisation-Revitalisierung'!K40,"")</f>
        <v/>
      </c>
      <c r="E152" t="str">
        <f>IF('[1]Revitalisation-Revitalisierung'!L40="b",'[1]Revitalisation-Revitalisierung'!K40,"")</f>
        <v>Très nécessaire, facile / unbedingt nötig, einfach</v>
      </c>
    </row>
    <row r="153" spans="2:5" x14ac:dyDescent="0.25">
      <c r="B153" t="str">
        <f>IF('[1]Charriage - Geschiebehaushalt'!P41="a",'[1]Charriage - Geschiebehaushalt'!O41,"")</f>
        <v>0-20%</v>
      </c>
      <c r="C153" t="str">
        <f>IF('[1]Charriage - Geschiebehaushalt'!P41="b",'[1]Charriage - Geschiebehaushalt'!O41,"")</f>
        <v/>
      </c>
      <c r="D153" t="str">
        <f>IF('[1]Revitalisation-Revitalisierung'!L41="a",'[1]Revitalisation-Revitalisierung'!K41,"")</f>
        <v>Non nécessaire / nicht nötig</v>
      </c>
      <c r="E153" t="str">
        <f>IF('[1]Revitalisation-Revitalisierung'!L41="b",'[1]Revitalisation-Revitalisierung'!K41,"")</f>
        <v/>
      </c>
    </row>
    <row r="154" spans="2:5" x14ac:dyDescent="0.25">
      <c r="B154" t="str">
        <f>IF('[1]Charriage - Geschiebehaushalt'!P42="a",'[1]Charriage - Geschiebehaushalt'!O42,"")</f>
        <v>0-20%</v>
      </c>
      <c r="C154" t="str">
        <f>IF('[1]Charriage - Geschiebehaushalt'!P42="b",'[1]Charriage - Geschiebehaushalt'!O42,"")</f>
        <v/>
      </c>
      <c r="D154" t="str">
        <f>IF('[1]Revitalisation-Revitalisierung'!L42="a",'[1]Revitalisation-Revitalisierung'!K42,"")</f>
        <v>Partiellement nécessaire, difficile / teilweise nötig, schwierig</v>
      </c>
      <c r="E154" t="str">
        <f>IF('[1]Revitalisation-Revitalisierung'!L42="b",'[1]Revitalisation-Revitalisierung'!K42,"")</f>
        <v/>
      </c>
    </row>
    <row r="155" spans="2:5" x14ac:dyDescent="0.25">
      <c r="B155" t="str">
        <f>IF('[1]Charriage - Geschiebehaushalt'!P43="a",'[1]Charriage - Geschiebehaushalt'!O43,"")</f>
        <v>51-80%</v>
      </c>
      <c r="C155" t="str">
        <f>IF('[1]Charriage - Geschiebehaushalt'!P43="b",'[1]Charriage - Geschiebehaushalt'!O43,"")</f>
        <v/>
      </c>
      <c r="D155" t="str">
        <f>IF('[1]Revitalisation-Revitalisierung'!L43="a",'[1]Revitalisation-Revitalisierung'!K43,"")</f>
        <v>Très nécessaire, facile / unbedingt nötig, einfach</v>
      </c>
      <c r="E155" t="str">
        <f>IF('[1]Revitalisation-Revitalisierung'!L43="b",'[1]Revitalisation-Revitalisierung'!K43,"")</f>
        <v/>
      </c>
    </row>
    <row r="156" spans="2:5" x14ac:dyDescent="0.25">
      <c r="B156" t="str">
        <f>IF('[1]Charriage - Geschiebehaushalt'!P44="a",'[1]Charriage - Geschiebehaushalt'!O44,"")</f>
        <v/>
      </c>
      <c r="C156" t="str">
        <f>IF('[1]Charriage - Geschiebehaushalt'!P44="b",'[1]Charriage - Geschiebehaushalt'!O44,"")</f>
        <v>Charriage présumé faiblement perturbé / Geschiebe vermutlich leicht beeinträchtigt</v>
      </c>
      <c r="D156" t="str">
        <f>IF('[1]Revitalisation-Revitalisierung'!L44="a",'[1]Revitalisation-Revitalisierung'!K44,"")</f>
        <v/>
      </c>
      <c r="E156" t="str">
        <f>IF('[1]Revitalisation-Revitalisierung'!L44="b",'[1]Revitalisation-Revitalisierung'!K44,"")</f>
        <v>Non nécessaire / nicht nötig</v>
      </c>
    </row>
    <row r="157" spans="2:5" x14ac:dyDescent="0.25">
      <c r="B157" t="str">
        <f>IF('[1]Charriage - Geschiebehaushalt'!P45="a",'[1]Charriage - Geschiebehaushalt'!O45,"")</f>
        <v/>
      </c>
      <c r="C157" t="str">
        <f>IF('[1]Charriage - Geschiebehaushalt'!P45="b",'[1]Charriage - Geschiebehaushalt'!O45,"")</f>
        <v>Charriage présumé naturel / Geschiebehaushalt vermutlich natürlich</v>
      </c>
      <c r="D157" t="str">
        <f>IF('[1]Revitalisation-Revitalisierung'!L45="a",'[1]Revitalisation-Revitalisierung'!K45,"")</f>
        <v>Partiellement nécessaire, facile / teilweise nötig, einfach</v>
      </c>
      <c r="E157" t="str">
        <f>IF('[1]Revitalisation-Revitalisierung'!L45="b",'[1]Revitalisation-Revitalisierung'!K45,"")</f>
        <v/>
      </c>
    </row>
    <row r="158" spans="2:5" x14ac:dyDescent="0.25">
      <c r="B158" t="str">
        <f>IF('[1]Charriage - Geschiebehaushalt'!P46="a",'[1]Charriage - Geschiebehaushalt'!O46,"")</f>
        <v>81 -100%</v>
      </c>
      <c r="C158" t="str">
        <f>IF('[1]Charriage - Geschiebehaushalt'!P46="b",'[1]Charriage - Geschiebehaushalt'!O46,"")</f>
        <v/>
      </c>
      <c r="D158" t="str">
        <f>IF('[1]Revitalisation-Revitalisierung'!L46="a",'[1]Revitalisation-Revitalisierung'!K46,"")</f>
        <v>Non nécessaire / nicht nötig</v>
      </c>
      <c r="E158" t="str">
        <f>IF('[1]Revitalisation-Revitalisierung'!L46="b",'[1]Revitalisation-Revitalisierung'!K46,"")</f>
        <v/>
      </c>
    </row>
    <row r="159" spans="2:5" x14ac:dyDescent="0.25">
      <c r="B159" t="str">
        <f>IF('[1]Charriage - Geschiebehaushalt'!P47="a",'[1]Charriage - Geschiebehaushalt'!O47,"")</f>
        <v>81 -100%</v>
      </c>
      <c r="C159" t="str">
        <f>IF('[1]Charriage - Geschiebehaushalt'!P47="b",'[1]Charriage - Geschiebehaushalt'!O47,"")</f>
        <v/>
      </c>
      <c r="D159" t="str">
        <f>IF('[1]Revitalisation-Revitalisierung'!L47="a",'[1]Revitalisation-Revitalisierung'!K47,"")</f>
        <v/>
      </c>
      <c r="E159" t="str">
        <f>IF('[1]Revitalisation-Revitalisierung'!L47="b",'[1]Revitalisation-Revitalisierung'!K47,"")</f>
        <v>Partiellement nécessaire, facile / teilweise nötig, einfach</v>
      </c>
    </row>
    <row r="160" spans="2:5" x14ac:dyDescent="0.25">
      <c r="B160" t="str">
        <f>IF('[1]Charriage - Geschiebehaushalt'!P48="a",'[1]Charriage - Geschiebehaushalt'!O48,"")</f>
        <v/>
      </c>
      <c r="C160" t="str">
        <f>IF('[1]Charriage - Geschiebehaushalt'!P48="b",'[1]Charriage - Geschiebehaushalt'!O48,"")</f>
        <v>Charriage présumé perturbé / Geschiebehaushalt vermutlich beeinträchtigt</v>
      </c>
      <c r="D160" t="str">
        <f>IF('[1]Revitalisation-Revitalisierung'!L48="a",'[1]Revitalisation-Revitalisierung'!K48,"")</f>
        <v>Partiellement nécessaire, facile / teilweise nötig, einfach</v>
      </c>
      <c r="E160" t="str">
        <f>IF('[1]Revitalisation-Revitalisierung'!L48="b",'[1]Revitalisation-Revitalisierung'!K48,"")</f>
        <v/>
      </c>
    </row>
    <row r="161" spans="2:5" x14ac:dyDescent="0.25">
      <c r="B161" t="str">
        <f>IF('[1]Charriage - Geschiebehaushalt'!P49="a",'[1]Charriage - Geschiebehaushalt'!O49,"")</f>
        <v>Problème lié à un manque de charriage ou à un manque de remobilisation des sédiments / Problem aufgrund Geschiebemangels bzw. mangelnder Mobilisierung von Geschiebe</v>
      </c>
      <c r="C161" t="str">
        <f>IF('[1]Charriage - Geschiebehaushalt'!P49="b",'[1]Charriage - Geschiebehaushalt'!O49,"")</f>
        <v/>
      </c>
      <c r="D161" t="str">
        <f>IF('[1]Revitalisation-Revitalisierung'!L49="a",'[1]Revitalisation-Revitalisierung'!K49,"")</f>
        <v>Très nécessaire, facile / unbedingt nötig, einfach</v>
      </c>
      <c r="E161" t="str">
        <f>IF('[1]Revitalisation-Revitalisierung'!L49="b",'[1]Revitalisation-Revitalisierung'!K49,"")</f>
        <v/>
      </c>
    </row>
    <row r="162" spans="2:5" x14ac:dyDescent="0.25">
      <c r="B162" t="str">
        <f>IF('[1]Charriage - Geschiebehaushalt'!P50="a",'[1]Charriage - Geschiebehaushalt'!O50,"")</f>
        <v>Problème lié à un manque de charriage ou à un manque de remobilisation des sédiments / Problem aufgrund Geschiebemangels bzw. mangelnder Mobilisierung von Geschiebe</v>
      </c>
      <c r="C162" t="str">
        <f>IF('[1]Charriage - Geschiebehaushalt'!P50="b",'[1]Charriage - Geschiebehaushalt'!O50,"")</f>
        <v/>
      </c>
      <c r="D162" t="str">
        <f>IF('[1]Revitalisation-Revitalisierung'!L50="a",'[1]Revitalisation-Revitalisierung'!K50,"")</f>
        <v>Très nécessaire, facile / unbedingt nötig, einfach</v>
      </c>
      <c r="E162" t="str">
        <f>IF('[1]Revitalisation-Revitalisierung'!L50="b",'[1]Revitalisation-Revitalisierung'!K50,"")</f>
        <v/>
      </c>
    </row>
    <row r="163" spans="2:5" x14ac:dyDescent="0.25">
      <c r="B163" t="str">
        <f>IF('[1]Charriage - Geschiebehaushalt'!P51="a",'[1]Charriage - Geschiebehaushalt'!O51,"")</f>
        <v/>
      </c>
      <c r="C163" t="str">
        <f>IF('[1]Charriage - Geschiebehaushalt'!P51="b",'[1]Charriage - Geschiebehaushalt'!O51,"")</f>
        <v>Déficit non apparent en charriage ou en remobilisation des sédiments / kein sichtbares Defizit beim Geschiebehaushalt bzw. bei der Mobilisierung von Geschiebe</v>
      </c>
      <c r="D163" t="str">
        <f>IF('[1]Revitalisation-Revitalisierung'!L51="a",'[1]Revitalisation-Revitalisierung'!K51,"")</f>
        <v>Partiellement nécessaire, facile / teilweise nötig, einfach</v>
      </c>
      <c r="E163" t="str">
        <f>IF('[1]Revitalisation-Revitalisierung'!L51="b",'[1]Revitalisation-Revitalisierung'!K51,"")</f>
        <v/>
      </c>
    </row>
    <row r="164" spans="2:5" x14ac:dyDescent="0.25">
      <c r="B164" t="str">
        <f>IF('[1]Charriage - Geschiebehaushalt'!P52="a",'[1]Charriage - Geschiebehaushalt'!O52,"")</f>
        <v>21-50%</v>
      </c>
      <c r="C164" t="str">
        <f>IF('[1]Charriage - Geschiebehaushalt'!P52="b",'[1]Charriage - Geschiebehaushalt'!O52,"")</f>
        <v/>
      </c>
      <c r="D164" t="str">
        <f>IF('[1]Revitalisation-Revitalisierung'!L52="a",'[1]Revitalisation-Revitalisierung'!K52,"")</f>
        <v>Très nécessaire, difficile / unbedingt nötig, schwierig</v>
      </c>
      <c r="E164" t="str">
        <f>IF('[1]Revitalisation-Revitalisierung'!L52="b",'[1]Revitalisation-Revitalisierung'!K52,"")</f>
        <v/>
      </c>
    </row>
    <row r="165" spans="2:5" x14ac:dyDescent="0.25">
      <c r="B165" t="str">
        <f>IF('[1]Charriage - Geschiebehaushalt'!P53="a",'[1]Charriage - Geschiebehaushalt'!O53,"")</f>
        <v>51-80%</v>
      </c>
      <c r="C165" t="str">
        <f>IF('[1]Charriage - Geschiebehaushalt'!P53="b",'[1]Charriage - Geschiebehaushalt'!O53,"")</f>
        <v/>
      </c>
      <c r="D165" t="str">
        <f>IF('[1]Revitalisation-Revitalisierung'!L53="a",'[1]Revitalisation-Revitalisierung'!K53,"")</f>
        <v/>
      </c>
      <c r="E165" t="str">
        <f>IF('[1]Revitalisation-Revitalisierung'!L53="b",'[1]Revitalisation-Revitalisierung'!K53,"")</f>
        <v>Très nécessaire, facile / unbedingt nötig, einfach</v>
      </c>
    </row>
    <row r="166" spans="2:5" x14ac:dyDescent="0.25">
      <c r="B166" t="str">
        <f>IF('[1]Charriage - Geschiebehaushalt'!P54="a",'[1]Charriage - Geschiebehaushalt'!O54,"")</f>
        <v>51-80%</v>
      </c>
      <c r="C166" t="str">
        <f>IF('[1]Charriage - Geschiebehaushalt'!P54="b",'[1]Charriage - Geschiebehaushalt'!O54,"")</f>
        <v/>
      </c>
      <c r="D166" t="str">
        <f>IF('[1]Revitalisation-Revitalisierung'!L54="a",'[1]Revitalisation-Revitalisierung'!K54,"")</f>
        <v/>
      </c>
      <c r="E166" t="str">
        <f>IF('[1]Revitalisation-Revitalisierung'!L54="b",'[1]Revitalisation-Revitalisierung'!K54,"")</f>
        <v>Non nécessaire / nicht nötig</v>
      </c>
    </row>
    <row r="167" spans="2:5" x14ac:dyDescent="0.25">
      <c r="B167" t="str">
        <f>IF('[1]Charriage - Geschiebehaushalt'!P55="a",'[1]Charriage - Geschiebehaushalt'!O55,"")</f>
        <v>81 -100%</v>
      </c>
      <c r="C167" t="str">
        <f>IF('[1]Charriage - Geschiebehaushalt'!P55="b",'[1]Charriage - Geschiebehaushalt'!O55,"")</f>
        <v/>
      </c>
      <c r="D167" t="str">
        <f>IF('[1]Revitalisation-Revitalisierung'!L55="a",'[1]Revitalisation-Revitalisierung'!K55,"")</f>
        <v/>
      </c>
      <c r="E167" t="str">
        <f>IF('[1]Revitalisation-Revitalisierung'!L55="b",'[1]Revitalisation-Revitalisierung'!K55,"")</f>
        <v>Très nécessaire, facile / unbedingt nötig, einfach</v>
      </c>
    </row>
    <row r="168" spans="2:5" x14ac:dyDescent="0.25">
      <c r="B168" t="str">
        <f>IF('[1]Charriage - Geschiebehaushalt'!P56="a",'[1]Charriage - Geschiebehaushalt'!O56,"")</f>
        <v>0-20%</v>
      </c>
      <c r="C168" t="str">
        <f>IF('[1]Charriage - Geschiebehaushalt'!P56="b",'[1]Charriage - Geschiebehaushalt'!O56,"")</f>
        <v/>
      </c>
      <c r="D168" t="str">
        <f>IF('[1]Revitalisation-Revitalisierung'!L56="a",'[1]Revitalisation-Revitalisierung'!K56,"")</f>
        <v/>
      </c>
      <c r="E168" t="str">
        <f>IF('[1]Revitalisation-Revitalisierung'!L56="b",'[1]Revitalisation-Revitalisierung'!K56,"")</f>
        <v>Non nécessaire / nicht nötig</v>
      </c>
    </row>
    <row r="169" spans="2:5" x14ac:dyDescent="0.25">
      <c r="B169" t="str">
        <f>IF('[1]Charriage - Geschiebehaushalt'!P57="a",'[1]Charriage - Geschiebehaushalt'!O57,"")</f>
        <v>21-50%</v>
      </c>
      <c r="C169" t="str">
        <f>IF('[1]Charriage - Geschiebehaushalt'!P57="b",'[1]Charriage - Geschiebehaushalt'!O57,"")</f>
        <v/>
      </c>
      <c r="D169" t="str">
        <f>IF('[1]Revitalisation-Revitalisierung'!L57="a",'[1]Revitalisation-Revitalisierung'!K57,"")</f>
        <v>Très nécessaire, facile / unbedingt nötig, einfach</v>
      </c>
      <c r="E169" t="str">
        <f>IF('[1]Revitalisation-Revitalisierung'!L57="b",'[1]Revitalisation-Revitalisierung'!K57,"")</f>
        <v/>
      </c>
    </row>
    <row r="170" spans="2:5" x14ac:dyDescent="0.25">
      <c r="B170" t="str">
        <f>IF('[1]Charriage - Geschiebehaushalt'!P58="a",'[1]Charriage - Geschiebehaushalt'!O58,"")</f>
        <v>21-50%</v>
      </c>
      <c r="C170" t="str">
        <f>IF('[1]Charriage - Geschiebehaushalt'!P58="b",'[1]Charriage - Geschiebehaushalt'!O58,"")</f>
        <v/>
      </c>
      <c r="D170" t="str">
        <f>IF('[1]Revitalisation-Revitalisierung'!L58="a",'[1]Revitalisation-Revitalisierung'!K58,"")</f>
        <v>Très nécessaire, facile / unbedingt nötig, einfach</v>
      </c>
      <c r="E170" t="str">
        <f>IF('[1]Revitalisation-Revitalisierung'!L58="b",'[1]Revitalisation-Revitalisierung'!K58,"")</f>
        <v/>
      </c>
    </row>
    <row r="171" spans="2:5" x14ac:dyDescent="0.25">
      <c r="B171" t="str">
        <f>IF('[1]Charriage - Geschiebehaushalt'!P59="a",'[1]Charriage - Geschiebehaushalt'!O59,"")</f>
        <v>21-50%</v>
      </c>
      <c r="C171" t="str">
        <f>IF('[1]Charriage - Geschiebehaushalt'!P59="b",'[1]Charriage - Geschiebehaushalt'!O59,"")</f>
        <v/>
      </c>
      <c r="D171" t="str">
        <f>IF('[1]Revitalisation-Revitalisierung'!L59="a",'[1]Revitalisation-Revitalisierung'!K59,"")</f>
        <v>Partiellement nécessaire, facile / teilweise nötig, einfach</v>
      </c>
      <c r="E171" t="str">
        <f>IF('[1]Revitalisation-Revitalisierung'!L59="b",'[1]Revitalisation-Revitalisierung'!K59,"")</f>
        <v/>
      </c>
    </row>
    <row r="172" spans="2:5" x14ac:dyDescent="0.25">
      <c r="B172" t="str">
        <f>IF('[1]Charriage - Geschiebehaushalt'!P60="a",'[1]Charriage - Geschiebehaushalt'!O60,"")</f>
        <v>0-20%</v>
      </c>
      <c r="C172" t="str">
        <f>IF('[1]Charriage - Geschiebehaushalt'!P60="b",'[1]Charriage - Geschiebehaushalt'!O60,"")</f>
        <v/>
      </c>
      <c r="D172" t="str">
        <f>IF('[1]Revitalisation-Revitalisierung'!L60="a",'[1]Revitalisation-Revitalisierung'!K60,"")</f>
        <v>Partiellement nécessaire, facile / teilweise nötig, einfach</v>
      </c>
      <c r="E172" t="str">
        <f>IF('[1]Revitalisation-Revitalisierung'!L60="b",'[1]Revitalisation-Revitalisierung'!K60,"")</f>
        <v/>
      </c>
    </row>
    <row r="173" spans="2:5" x14ac:dyDescent="0.25">
      <c r="B173" t="str">
        <f>IF('[1]Charriage - Geschiebehaushalt'!P61="a",'[1]Charriage - Geschiebehaushalt'!O61,"")</f>
        <v/>
      </c>
      <c r="C173" t="str">
        <f>IF('[1]Charriage - Geschiebehaushalt'!P61="b",'[1]Charriage - Geschiebehaushalt'!O61,"")</f>
        <v>La remobilisation des sédiments est perturbée / Mobilisierung von Geschiebe beeinträchtigt</v>
      </c>
      <c r="D173" t="str">
        <f>IF('[1]Revitalisation-Revitalisierung'!L61="a",'[1]Revitalisation-Revitalisierung'!K61,"")</f>
        <v>Très nécessaire, facile / unbedingt nötig, einfach</v>
      </c>
      <c r="E173" t="str">
        <f>IF('[1]Revitalisation-Revitalisierung'!L61="b",'[1]Revitalisation-Revitalisierung'!K61,"")</f>
        <v/>
      </c>
    </row>
    <row r="174" spans="2:5" x14ac:dyDescent="0.25">
      <c r="B174" t="str">
        <f>IF('[1]Charriage - Geschiebehaushalt'!P62="a",'[1]Charriage - Geschiebehaushalt'!O62,"")</f>
        <v>non pertinent / nicht relevant</v>
      </c>
      <c r="C174" t="str">
        <f>IF('[1]Charriage - Geschiebehaushalt'!P62="b",'[1]Charriage - Geschiebehaushalt'!O62,"")</f>
        <v/>
      </c>
      <c r="D174" t="str">
        <f>IF('[1]Revitalisation-Revitalisierung'!L62="a",'[1]Revitalisation-Revitalisierung'!K62,"")</f>
        <v/>
      </c>
      <c r="E174" t="str">
        <f>IF('[1]Revitalisation-Revitalisierung'!L62="b",'[1]Revitalisation-Revitalisierung'!K62,"")</f>
        <v>Non nécessaire / nicht nötig</v>
      </c>
    </row>
    <row r="175" spans="2:5" x14ac:dyDescent="0.25">
      <c r="B175" t="str">
        <f>IF('[1]Charriage - Geschiebehaushalt'!P63="a",'[1]Charriage - Geschiebehaushalt'!O63,"")</f>
        <v/>
      </c>
      <c r="C175" t="str">
        <f>IF('[1]Charriage - Geschiebehaushalt'!P63="b",'[1]Charriage - Geschiebehaushalt'!O63,"")</f>
        <v>La remobilisation des sédiments est perturbée / Mobilisierung von Geschiebe beeinträchtigt</v>
      </c>
      <c r="D175" t="str">
        <f>IF('[1]Revitalisation-Revitalisierung'!L63="a",'[1]Revitalisation-Revitalisierung'!K63,"")</f>
        <v/>
      </c>
      <c r="E175" t="str">
        <f>IF('[1]Revitalisation-Revitalisierung'!L63="b",'[1]Revitalisation-Revitalisierung'!K63,"")</f>
        <v>Très nécessaire, difficile / unbedingt nötig, schwierig</v>
      </c>
    </row>
    <row r="176" spans="2:5" x14ac:dyDescent="0.25">
      <c r="B176" t="str">
        <f>IF('[1]Charriage - Geschiebehaushalt'!P64="a",'[1]Charriage - Geschiebehaushalt'!O64,"")</f>
        <v>51-80%</v>
      </c>
      <c r="C176" t="str">
        <f>IF('[1]Charriage - Geschiebehaushalt'!P64="b",'[1]Charriage - Geschiebehaushalt'!O64,"")</f>
        <v/>
      </c>
      <c r="D176" t="str">
        <f>IF('[1]Revitalisation-Revitalisierung'!L64="a",'[1]Revitalisation-Revitalisierung'!K64,"")</f>
        <v>Très nécessaire, facile / unbedingt nötig, einfach</v>
      </c>
      <c r="E176" t="str">
        <f>IF('[1]Revitalisation-Revitalisierung'!L64="b",'[1]Revitalisation-Revitalisierung'!K64,"")</f>
        <v/>
      </c>
    </row>
    <row r="177" spans="2:5" x14ac:dyDescent="0.25">
      <c r="B177" t="str">
        <f>IF('[1]Charriage - Geschiebehaushalt'!P65="a",'[1]Charriage - Geschiebehaushalt'!O65,"")</f>
        <v>non pertinent / nicht relevant</v>
      </c>
      <c r="C177" t="str">
        <f>IF('[1]Charriage - Geschiebehaushalt'!P65="b",'[1]Charriage - Geschiebehaushalt'!O65,"")</f>
        <v/>
      </c>
      <c r="D177" t="str">
        <f>IF('[1]Revitalisation-Revitalisierung'!L65="a",'[1]Revitalisation-Revitalisierung'!K65,"")</f>
        <v>Non nécessaire / nicht nötig</v>
      </c>
      <c r="E177" t="str">
        <f>IF('[1]Revitalisation-Revitalisierung'!L65="b",'[1]Revitalisation-Revitalisierung'!K65,"")</f>
        <v/>
      </c>
    </row>
    <row r="178" spans="2:5" x14ac:dyDescent="0.25">
      <c r="B178" t="str">
        <f>IF('[1]Charriage - Geschiebehaushalt'!P66="a",'[1]Charriage - Geschiebehaushalt'!O66,"")</f>
        <v>21-50%</v>
      </c>
      <c r="C178" t="str">
        <f>IF('[1]Charriage - Geschiebehaushalt'!P66="b",'[1]Charriage - Geschiebehaushalt'!O66,"")</f>
        <v/>
      </c>
      <c r="D178" t="str">
        <f>IF('[1]Revitalisation-Revitalisierung'!L66="a",'[1]Revitalisation-Revitalisierung'!K66,"")</f>
        <v/>
      </c>
      <c r="E178" t="str">
        <f>IF('[1]Revitalisation-Revitalisierung'!L66="b",'[1]Revitalisation-Revitalisierung'!K66,"")</f>
        <v>Très nécessaire, difficile / unbedingt nötig, schwierig</v>
      </c>
    </row>
    <row r="179" spans="2:5" x14ac:dyDescent="0.25">
      <c r="B179" t="str">
        <f>IF('[1]Charriage - Geschiebehaushalt'!P67="a",'[1]Charriage - Geschiebehaushalt'!O67,"")</f>
        <v>Déficit non apparent en charriage ou en remobilisation des sédiments / kein sichtbares Defizit beim Geschiebehaushalt bzw. bei der Mobilisierung von Geschiebe</v>
      </c>
      <c r="C179" t="str">
        <f>IF('[1]Charriage - Geschiebehaushalt'!P67="b",'[1]Charriage - Geschiebehaushalt'!O67,"")</f>
        <v/>
      </c>
      <c r="D179" t="str">
        <f>IF('[1]Revitalisation-Revitalisierung'!L67="a",'[1]Revitalisation-Revitalisierung'!K67,"")</f>
        <v/>
      </c>
      <c r="E179" t="str">
        <f>IF('[1]Revitalisation-Revitalisierung'!L67="b",'[1]Revitalisation-Revitalisierung'!K67,"")</f>
        <v>Très nécessaire, facile / unbedingt nötig, einfach</v>
      </c>
    </row>
    <row r="180" spans="2:5" x14ac:dyDescent="0.25">
      <c r="B180" t="str">
        <f>IF('[1]Charriage - Geschiebehaushalt'!P68="a",'[1]Charriage - Geschiebehaushalt'!O68,"")</f>
        <v>81 -100%</v>
      </c>
      <c r="C180" t="str">
        <f>IF('[1]Charriage - Geschiebehaushalt'!P68="b",'[1]Charriage - Geschiebehaushalt'!O68,"")</f>
        <v/>
      </c>
      <c r="D180" t="str">
        <f>IF('[1]Revitalisation-Revitalisierung'!L68="a",'[1]Revitalisation-Revitalisierung'!K68,"")</f>
        <v/>
      </c>
      <c r="E180" t="str">
        <f>IF('[1]Revitalisation-Revitalisierung'!L68="b",'[1]Revitalisation-Revitalisierung'!K68,"")</f>
        <v>Très nécessaire, facile / unbedingt nötig, einfach</v>
      </c>
    </row>
    <row r="181" spans="2:5" x14ac:dyDescent="0.25">
      <c r="B181" t="str">
        <f>IF('[1]Charriage - Geschiebehaushalt'!P69="a",'[1]Charriage - Geschiebehaushalt'!O69,"")</f>
        <v>81 -100%</v>
      </c>
      <c r="C181" t="str">
        <f>IF('[1]Charriage - Geschiebehaushalt'!P69="b",'[1]Charriage - Geschiebehaushalt'!O69,"")</f>
        <v/>
      </c>
      <c r="D181" t="str">
        <f>IF('[1]Revitalisation-Revitalisierung'!L69="a",'[1]Revitalisation-Revitalisierung'!K69,"")</f>
        <v/>
      </c>
      <c r="E181" t="str">
        <f>IF('[1]Revitalisation-Revitalisierung'!L69="b",'[1]Revitalisation-Revitalisierung'!K69,"")</f>
        <v>Très nécessaire, difficile / unbedingt nötig, schwierig</v>
      </c>
    </row>
    <row r="182" spans="2:5" x14ac:dyDescent="0.25">
      <c r="B182" t="str">
        <f>IF('[1]Charriage - Geschiebehaushalt'!P70="a",'[1]Charriage - Geschiebehaushalt'!O70,"")</f>
        <v>51-80%</v>
      </c>
      <c r="C182" t="str">
        <f>IF('[1]Charriage - Geschiebehaushalt'!P70="b",'[1]Charriage - Geschiebehaushalt'!O70,"")</f>
        <v/>
      </c>
      <c r="D182" t="str">
        <f>IF('[1]Revitalisation-Revitalisierung'!L70="a",'[1]Revitalisation-Revitalisierung'!K70,"")</f>
        <v>Très nécessaire, facile / unbedingt nötig, einfach</v>
      </c>
      <c r="E182" t="str">
        <f>IF('[1]Revitalisation-Revitalisierung'!L70="b",'[1]Revitalisation-Revitalisierung'!K70,"")</f>
        <v/>
      </c>
    </row>
    <row r="183" spans="2:5" x14ac:dyDescent="0.25">
      <c r="B183" t="str">
        <f>IF('[1]Charriage - Geschiebehaushalt'!P71="a",'[1]Charriage - Geschiebehaushalt'!O71,"")</f>
        <v>51-80%</v>
      </c>
      <c r="C183" t="str">
        <f>IF('[1]Charriage - Geschiebehaushalt'!P71="b",'[1]Charriage - Geschiebehaushalt'!O71,"")</f>
        <v/>
      </c>
      <c r="D183" t="str">
        <f>IF('[1]Revitalisation-Revitalisierung'!L71="a",'[1]Revitalisation-Revitalisierung'!K71,"")</f>
        <v/>
      </c>
      <c r="E183" t="str">
        <f>IF('[1]Revitalisation-Revitalisierung'!L71="b",'[1]Revitalisation-Revitalisierung'!K71,"")</f>
        <v>Très nécessaire, facile / unbedingt nötig, einfach</v>
      </c>
    </row>
    <row r="184" spans="2:5" x14ac:dyDescent="0.25">
      <c r="B184" t="str">
        <f>IF('[1]Charriage - Geschiebehaushalt'!P72="a",'[1]Charriage - Geschiebehaushalt'!O72,"")</f>
        <v>51-80%</v>
      </c>
      <c r="C184" t="str">
        <f>IF('[1]Charriage - Geschiebehaushalt'!P72="b",'[1]Charriage - Geschiebehaushalt'!O72,"")</f>
        <v/>
      </c>
      <c r="D184" t="str">
        <f>IF('[1]Revitalisation-Revitalisierung'!L72="a",'[1]Revitalisation-Revitalisierung'!K72,"")</f>
        <v/>
      </c>
      <c r="E184" t="str">
        <f>IF('[1]Revitalisation-Revitalisierung'!L72="b",'[1]Revitalisation-Revitalisierung'!K72,"")</f>
        <v>Très nécessaire, facile / unbedingt nötig, einfach</v>
      </c>
    </row>
    <row r="185" spans="2:5" x14ac:dyDescent="0.25">
      <c r="B185" t="str">
        <f>IF('[1]Charriage - Geschiebehaushalt'!P73="a",'[1]Charriage - Geschiebehaushalt'!O73,"")</f>
        <v/>
      </c>
      <c r="C185" t="str">
        <f>IF('[1]Charriage - Geschiebehaushalt'!P73="b",'[1]Charriage - Geschiebehaushalt'!O73,"")</f>
        <v>Charriage présumé perturbé / Geschiebehaushalt vermutlich beeinträchtigt</v>
      </c>
      <c r="D185" t="str">
        <f>IF('[1]Revitalisation-Revitalisierung'!L73="a",'[1]Revitalisation-Revitalisierung'!K73,"")</f>
        <v>Non nécessaire / nicht nötig</v>
      </c>
      <c r="E185" t="str">
        <f>IF('[1]Revitalisation-Revitalisierung'!L73="b",'[1]Revitalisation-Revitalisierung'!K73,"")</f>
        <v/>
      </c>
    </row>
    <row r="186" spans="2:5" x14ac:dyDescent="0.25">
      <c r="B186" t="str">
        <f>IF('[1]Charriage - Geschiebehaushalt'!P74="a",'[1]Charriage - Geschiebehaushalt'!O74,"")</f>
        <v>0-20%</v>
      </c>
      <c r="C186" t="str">
        <f>IF('[1]Charriage - Geschiebehaushalt'!P74="b",'[1]Charriage - Geschiebehaushalt'!O74,"")</f>
        <v/>
      </c>
      <c r="D186" t="str">
        <f>IF('[1]Revitalisation-Revitalisierung'!L74="a",'[1]Revitalisation-Revitalisierung'!K74,"")</f>
        <v>Partiellement nécessaire, facile / teilweise nötig, einfach</v>
      </c>
      <c r="E186" t="str">
        <f>IF('[1]Revitalisation-Revitalisierung'!L74="b",'[1]Revitalisation-Revitalisierung'!K74,"")</f>
        <v/>
      </c>
    </row>
    <row r="187" spans="2:5" x14ac:dyDescent="0.25">
      <c r="B187" t="str">
        <f>IF('[1]Charriage - Geschiebehaushalt'!P75="a",'[1]Charriage - Geschiebehaushalt'!O75,"")</f>
        <v/>
      </c>
      <c r="C187" t="str">
        <f>IF('[1]Charriage - Geschiebehaushalt'!P75="b",'[1]Charriage - Geschiebehaushalt'!O75,"")</f>
        <v>La remobilisation des sédiments est perturbée / Mobilisierung von Geschiebe beeinträchtigt</v>
      </c>
      <c r="D187" t="str">
        <f>IF('[1]Revitalisation-Revitalisierung'!L75="a",'[1]Revitalisation-Revitalisierung'!K75,"")</f>
        <v>Partiellement nécessaire, facile / teilweise nötig, einfach</v>
      </c>
      <c r="E187" t="str">
        <f>IF('[1]Revitalisation-Revitalisierung'!L75="b",'[1]Revitalisation-Revitalisierung'!K75,"")</f>
        <v/>
      </c>
    </row>
    <row r="188" spans="2:5" x14ac:dyDescent="0.25">
      <c r="B188" t="str">
        <f>IF('[1]Charriage - Geschiebehaushalt'!P76="a",'[1]Charriage - Geschiebehaushalt'!O76,"")</f>
        <v>non pertinent / nicht relevant</v>
      </c>
      <c r="C188" t="str">
        <f>IF('[1]Charriage - Geschiebehaushalt'!P76="b",'[1]Charriage - Geschiebehaushalt'!O76,"")</f>
        <v/>
      </c>
      <c r="D188" t="str">
        <f>IF('[1]Revitalisation-Revitalisierung'!L76="a",'[1]Revitalisation-Revitalisierung'!K76,"")</f>
        <v/>
      </c>
      <c r="E188" t="str">
        <f>IF('[1]Revitalisation-Revitalisierung'!L76="b",'[1]Revitalisation-Revitalisierung'!K76,"")</f>
        <v>Très nécessaire, facile / unbedingt nötig, einfach</v>
      </c>
    </row>
    <row r="189" spans="2:5" x14ac:dyDescent="0.25">
      <c r="B189" t="str">
        <f>IF('[1]Charriage - Geschiebehaushalt'!P77="a",'[1]Charriage - Geschiebehaushalt'!O77,"")</f>
        <v>La remobilisation des sédiments est perturbée / Mobilisierung von Geschiebe beeinträchtigt</v>
      </c>
      <c r="C189" t="str">
        <f>IF('[1]Charriage - Geschiebehaushalt'!P77="b",'[1]Charriage - Geschiebehaushalt'!O77,"")</f>
        <v/>
      </c>
      <c r="D189" t="str">
        <f>IF('[1]Revitalisation-Revitalisierung'!L77="a",'[1]Revitalisation-Revitalisierung'!K77,"")</f>
        <v/>
      </c>
      <c r="E189" t="str">
        <f>IF('[1]Revitalisation-Revitalisierung'!L77="b",'[1]Revitalisation-Revitalisierung'!K77,"")</f>
        <v>Très nécessaire, difficile / unbedingt nötig, schwierig</v>
      </c>
    </row>
    <row r="190" spans="2:5" x14ac:dyDescent="0.25">
      <c r="B190" t="str">
        <f>IF('[1]Charriage - Geschiebehaushalt'!P78="a",'[1]Charriage - Geschiebehaushalt'!O78,"")</f>
        <v>La remobilisation des sédiments est perturbée / Mobilisierung von Geschiebe beeinträchtigt</v>
      </c>
      <c r="C190" t="str">
        <f>IF('[1]Charriage - Geschiebehaushalt'!P78="b",'[1]Charriage - Geschiebehaushalt'!O78,"")</f>
        <v/>
      </c>
      <c r="D190" t="str">
        <f>IF('[1]Revitalisation-Revitalisierung'!L78="a",'[1]Revitalisation-Revitalisierung'!K78,"")</f>
        <v/>
      </c>
      <c r="E190" t="str">
        <f>IF('[1]Revitalisation-Revitalisierung'!L78="b",'[1]Revitalisation-Revitalisierung'!K78,"")</f>
        <v>Très nécessaire, difficile / unbedingt nötig, schwierig</v>
      </c>
    </row>
    <row r="191" spans="2:5" x14ac:dyDescent="0.25">
      <c r="B191" t="str">
        <f>IF('[1]Charriage - Geschiebehaushalt'!P79="a",'[1]Charriage - Geschiebehaushalt'!O79,"")</f>
        <v/>
      </c>
      <c r="C191" t="str">
        <f>IF('[1]Charriage - Geschiebehaushalt'!P79="b",'[1]Charriage - Geschiebehaushalt'!O79,"")</f>
        <v>La remobilisation des sédiments est perturbée / Mobilisierung von Geschiebe beeinträchtigt</v>
      </c>
      <c r="D191" t="str">
        <f>IF('[1]Revitalisation-Revitalisierung'!L79="a",'[1]Revitalisation-Revitalisierung'!K79,"")</f>
        <v/>
      </c>
      <c r="E191" t="str">
        <f>IF('[1]Revitalisation-Revitalisierung'!L79="b",'[1]Revitalisation-Revitalisierung'!K79,"")</f>
        <v>Non nécessaire / nicht nötig</v>
      </c>
    </row>
    <row r="192" spans="2:5" x14ac:dyDescent="0.25">
      <c r="B192" t="str">
        <f>IF('[1]Charriage - Geschiebehaushalt'!P80="a",'[1]Charriage - Geschiebehaushalt'!O80,"")</f>
        <v>51-80%</v>
      </c>
      <c r="C192" t="str">
        <f>IF('[1]Charriage - Geschiebehaushalt'!P80="b",'[1]Charriage - Geschiebehaushalt'!O80,"")</f>
        <v/>
      </c>
      <c r="D192" t="str">
        <f>IF('[1]Revitalisation-Revitalisierung'!L80="a",'[1]Revitalisation-Revitalisierung'!K80,"")</f>
        <v/>
      </c>
      <c r="E192" t="str">
        <f>IF('[1]Revitalisation-Revitalisierung'!L80="b",'[1]Revitalisation-Revitalisierung'!K80,"")</f>
        <v>Non nécessaire / nicht nötig</v>
      </c>
    </row>
    <row r="193" spans="2:5" x14ac:dyDescent="0.25">
      <c r="B193" t="str">
        <f>IF('[1]Charriage - Geschiebehaushalt'!P81="a",'[1]Charriage - Geschiebehaushalt'!O81,"")</f>
        <v>non pertinent / nicht relevant</v>
      </c>
      <c r="C193" t="str">
        <f>IF('[1]Charriage - Geschiebehaushalt'!P81="b",'[1]Charriage - Geschiebehaushalt'!O81,"")</f>
        <v/>
      </c>
      <c r="D193" t="str">
        <f>IF('[1]Revitalisation-Revitalisierung'!L81="a",'[1]Revitalisation-Revitalisierung'!K81,"")</f>
        <v/>
      </c>
      <c r="E193" t="str">
        <f>IF('[1]Revitalisation-Revitalisierung'!L81="b",'[1]Revitalisation-Revitalisierung'!K81,"")</f>
        <v>Non nécessaire / nicht nötig</v>
      </c>
    </row>
    <row r="194" spans="2:5" x14ac:dyDescent="0.25">
      <c r="B194" t="str">
        <f>IF('[1]Charriage - Geschiebehaushalt'!P82="a",'[1]Charriage - Geschiebehaushalt'!O82,"")</f>
        <v>0-20%</v>
      </c>
      <c r="C194" t="str">
        <f>IF('[1]Charriage - Geschiebehaushalt'!P82="b",'[1]Charriage - Geschiebehaushalt'!O82,"")</f>
        <v/>
      </c>
      <c r="D194" t="str">
        <f>IF('[1]Revitalisation-Revitalisierung'!L82="a",'[1]Revitalisation-Revitalisierung'!K82,"")</f>
        <v>Non nécessaire / nicht nötig</v>
      </c>
      <c r="E194" t="str">
        <f>IF('[1]Revitalisation-Revitalisierung'!L82="b",'[1]Revitalisation-Revitalisierung'!K82,"")</f>
        <v/>
      </c>
    </row>
    <row r="195" spans="2:5" x14ac:dyDescent="0.25">
      <c r="B195" t="str">
        <f>IF('[1]Charriage - Geschiebehaushalt'!P83="a",'[1]Charriage - Geschiebehaushalt'!O83,"")</f>
        <v>0-20%</v>
      </c>
      <c r="C195" t="str">
        <f>IF('[1]Charriage - Geschiebehaushalt'!P83="b",'[1]Charriage - Geschiebehaushalt'!O83,"")</f>
        <v/>
      </c>
      <c r="D195" t="str">
        <f>IF('[1]Revitalisation-Revitalisierung'!L83="a",'[1]Revitalisation-Revitalisierung'!K83,"")</f>
        <v/>
      </c>
      <c r="E195" t="str">
        <f>IF('[1]Revitalisation-Revitalisierung'!L83="b",'[1]Revitalisation-Revitalisierung'!K83,"")</f>
        <v>Très nécessaire, facile / unbedingt nötig, einfach</v>
      </c>
    </row>
    <row r="196" spans="2:5" x14ac:dyDescent="0.25">
      <c r="B196" t="str">
        <f>IF('[1]Charriage - Geschiebehaushalt'!P84="a",'[1]Charriage - Geschiebehaushalt'!O84,"")</f>
        <v/>
      </c>
      <c r="C196" t="str">
        <f>IF('[1]Charriage - Geschiebehaushalt'!P84="b",'[1]Charriage - Geschiebehaushalt'!O84,"")</f>
        <v>Déficit non apparent en charriage ou en remobilisation des sédiments / kein sichtbares Defizit beim Geschiebehaushalt bzw. bei der Mobilisierung von Geschiebe</v>
      </c>
      <c r="D196" t="str">
        <f>IF('[1]Revitalisation-Revitalisierung'!L84="a",'[1]Revitalisation-Revitalisierung'!K84,"")</f>
        <v>Non nécessaire / nicht nötig</v>
      </c>
      <c r="E196" t="str">
        <f>IF('[1]Revitalisation-Revitalisierung'!L84="b",'[1]Revitalisation-Revitalisierung'!K84,"")</f>
        <v/>
      </c>
    </row>
    <row r="197" spans="2:5" x14ac:dyDescent="0.25">
      <c r="B197" t="str">
        <f>IF('[1]Charriage - Geschiebehaushalt'!P85="a",'[1]Charriage - Geschiebehaushalt'!O85,"")</f>
        <v/>
      </c>
      <c r="C197" t="str">
        <f>IF('[1]Charriage - Geschiebehaushalt'!P85="b",'[1]Charriage - Geschiebehaushalt'!O85,"")</f>
        <v>Déficit non apparent en charriage ou en remobilisation des sédiments / kein sichtbares Defizit beim Geschiebehaushalt bzw. bei der Mobilisierung von Geschiebe</v>
      </c>
      <c r="D197" t="str">
        <f>IF('[1]Revitalisation-Revitalisierung'!L85="a",'[1]Revitalisation-Revitalisierung'!K85,"")</f>
        <v/>
      </c>
      <c r="E197" t="str">
        <f>IF('[1]Revitalisation-Revitalisierung'!L85="b",'[1]Revitalisation-Revitalisierung'!K85,"")</f>
        <v>Partiellement nécessaire, facile / teilweise nötig, einfach</v>
      </c>
    </row>
    <row r="198" spans="2:5" x14ac:dyDescent="0.25">
      <c r="B198" t="str">
        <f>IF('[1]Charriage - Geschiebehaushalt'!P86="a",'[1]Charriage - Geschiebehaushalt'!O86,"")</f>
        <v/>
      </c>
      <c r="C198" t="str">
        <f>IF('[1]Charriage - Geschiebehaushalt'!P86="b",'[1]Charriage - Geschiebehaushalt'!O86,"")</f>
        <v>Déficit non apparent en charriage ou en remobilisation des sédiments / kein sichtbares Defizit beim Geschiebehaushalt bzw. bei der Mobilisierung von Geschiebe</v>
      </c>
      <c r="D198" t="str">
        <f>IF('[1]Revitalisation-Revitalisierung'!L86="a",'[1]Revitalisation-Revitalisierung'!K86,"")</f>
        <v>Non nécessaire / nicht nötig</v>
      </c>
      <c r="E198" t="str">
        <f>IF('[1]Revitalisation-Revitalisierung'!L86="b",'[1]Revitalisation-Revitalisierung'!K86,"")</f>
        <v/>
      </c>
    </row>
    <row r="199" spans="2:5" x14ac:dyDescent="0.25">
      <c r="B199" t="str">
        <f>IF('[1]Charriage - Geschiebehaushalt'!P87="a",'[1]Charriage - Geschiebehaushalt'!O87,"")</f>
        <v/>
      </c>
      <c r="C199" t="str">
        <f>IF('[1]Charriage - Geschiebehaushalt'!P87="b",'[1]Charriage - Geschiebehaushalt'!O87,"")</f>
        <v>Charriage présumé faiblement perturbé / Geschiebe vermutlich leicht beeinträchtigt</v>
      </c>
      <c r="D199" t="str">
        <f>IF('[1]Revitalisation-Revitalisierung'!L87="a",'[1]Revitalisation-Revitalisierung'!K87,"")</f>
        <v/>
      </c>
      <c r="E199" t="str">
        <f>IF('[1]Revitalisation-Revitalisierung'!L87="b",'[1]Revitalisation-Revitalisierung'!K87,"")</f>
        <v>Très nécessaire, facile / unbedingt nötig, einfach</v>
      </c>
    </row>
    <row r="200" spans="2:5" x14ac:dyDescent="0.25">
      <c r="B200" t="str">
        <f>IF('[1]Charriage - Geschiebehaushalt'!P88="a",'[1]Charriage - Geschiebehaushalt'!O88,"")</f>
        <v/>
      </c>
      <c r="C200" t="str">
        <f>IF('[1]Charriage - Geschiebehaushalt'!P88="b",'[1]Charriage - Geschiebehaushalt'!O88,"")</f>
        <v>La remobilisation des sédiments est perturbée / Mobilisierung von Geschiebe beeinträchtigt</v>
      </c>
      <c r="D200" t="str">
        <f>IF('[1]Revitalisation-Revitalisierung'!L88="a",'[1]Revitalisation-Revitalisierung'!K88,"")</f>
        <v/>
      </c>
      <c r="E200" t="str">
        <f>IF('[1]Revitalisation-Revitalisierung'!L88="b",'[1]Revitalisation-Revitalisierung'!K88,"")</f>
        <v>Non nécessaire / nicht nötig</v>
      </c>
    </row>
    <row r="201" spans="2:5" x14ac:dyDescent="0.25">
      <c r="B201" t="str">
        <f>IF('[1]Charriage - Geschiebehaushalt'!P89="a",'[1]Charriage - Geschiebehaushalt'!O89,"")</f>
        <v>81 -100%</v>
      </c>
      <c r="C201" t="str">
        <f>IF('[1]Charriage - Geschiebehaushalt'!P89="b",'[1]Charriage - Geschiebehaushalt'!O89,"")</f>
        <v/>
      </c>
      <c r="D201" t="str">
        <f>IF('[1]Revitalisation-Revitalisierung'!L89="a",'[1]Revitalisation-Revitalisierung'!K89,"")</f>
        <v/>
      </c>
      <c r="E201" t="str">
        <f>IF('[1]Revitalisation-Revitalisierung'!L89="b",'[1]Revitalisation-Revitalisierung'!K89,"")</f>
        <v>Partiellement nécessaire, difficile / teilweise nötig, schwierig</v>
      </c>
    </row>
    <row r="202" spans="2:5" x14ac:dyDescent="0.25">
      <c r="B202" t="str">
        <f>IF('[1]Charriage - Geschiebehaushalt'!P90="a",'[1]Charriage - Geschiebehaushalt'!O90,"")</f>
        <v/>
      </c>
      <c r="C202" t="str">
        <f>IF('[1]Charriage - Geschiebehaushalt'!P90="b",'[1]Charriage - Geschiebehaushalt'!O90,"")</f>
        <v>Charriage présumé naturel / Geschiebehaushalt vermutlich natürlich</v>
      </c>
      <c r="D202" t="str">
        <f>IF('[1]Revitalisation-Revitalisierung'!L90="a",'[1]Revitalisation-Revitalisierung'!K90,"")</f>
        <v/>
      </c>
      <c r="E202" t="str">
        <f>IF('[1]Revitalisation-Revitalisierung'!L90="b",'[1]Revitalisation-Revitalisierung'!K90,"")</f>
        <v>Très nécessaire, facile / unbedingt nötig, einfach</v>
      </c>
    </row>
    <row r="203" spans="2:5" x14ac:dyDescent="0.25">
      <c r="B203" t="str">
        <f>IF('[1]Charriage - Geschiebehaushalt'!P91="a",'[1]Charriage - Geschiebehaushalt'!O91,"")</f>
        <v/>
      </c>
      <c r="C203" t="str">
        <f>IF('[1]Charriage - Geschiebehaushalt'!P91="b",'[1]Charriage - Geschiebehaushalt'!O91,"")</f>
        <v>Déficit non apparent en charriage ou en remobilisation des sédiments / kein sichtbares Defizit beim Geschiebehaushalt bzw. bei der Mobilisierung von Geschiebe</v>
      </c>
      <c r="D203" t="str">
        <f>IF('[1]Revitalisation-Revitalisierung'!L91="a",'[1]Revitalisation-Revitalisierung'!K91,"")</f>
        <v>Non nécessaire / nicht nötig</v>
      </c>
      <c r="E203" t="str">
        <f>IF('[1]Revitalisation-Revitalisierung'!L91="b",'[1]Revitalisation-Revitalisierung'!K91,"")</f>
        <v/>
      </c>
    </row>
    <row r="204" spans="2:5" x14ac:dyDescent="0.25">
      <c r="B204" t="str">
        <f>IF('[1]Charriage - Geschiebehaushalt'!P92="a",'[1]Charriage - Geschiebehaushalt'!O92,"")</f>
        <v/>
      </c>
      <c r="C204" t="str">
        <f>IF('[1]Charriage - Geschiebehaushalt'!P92="b",'[1]Charriage - Geschiebehaushalt'!O92,"")</f>
        <v>Problème lié à un manque de charriage ou à un manque de remobilisation des sédiments / Problem aufgrund Geschiebemangels bzw. mangelnder Mobilisierung von Geschiebe</v>
      </c>
      <c r="D204" t="str">
        <f>IF('[1]Revitalisation-Revitalisierung'!L92="a",'[1]Revitalisation-Revitalisierung'!K92,"")</f>
        <v>Très nécessaire, facile / unbedingt nötig, einfach</v>
      </c>
      <c r="E204" t="str">
        <f>IF('[1]Revitalisation-Revitalisierung'!L92="b",'[1]Revitalisation-Revitalisierung'!K92,"")</f>
        <v/>
      </c>
    </row>
    <row r="205" spans="2:5" x14ac:dyDescent="0.25">
      <c r="B205" t="str">
        <f>IF('[1]Charriage - Geschiebehaushalt'!P93="a",'[1]Charriage - Geschiebehaushalt'!O93,"")</f>
        <v/>
      </c>
      <c r="C205" t="str">
        <f>IF('[1]Charriage - Geschiebehaushalt'!P93="b",'[1]Charriage - Geschiebehaushalt'!O93,"")</f>
        <v>Charriage présumé faiblement perturbé / Geschiebe vermutlich leicht beeinträchtigt</v>
      </c>
      <c r="D205" t="str">
        <f>IF('[1]Revitalisation-Revitalisierung'!L93="a",'[1]Revitalisation-Revitalisierung'!K93,"")</f>
        <v>Partiellement nécessaire, facile / teilweise nötig, einfach</v>
      </c>
      <c r="E205" t="str">
        <f>IF('[1]Revitalisation-Revitalisierung'!L93="b",'[1]Revitalisation-Revitalisierung'!K93,"")</f>
        <v/>
      </c>
    </row>
    <row r="206" spans="2:5" x14ac:dyDescent="0.25">
      <c r="B206" t="str">
        <f>IF('[1]Charriage - Geschiebehaushalt'!P94="a",'[1]Charriage - Geschiebehaushalt'!O94,"")</f>
        <v>non pertinent / nicht relevant</v>
      </c>
      <c r="C206" t="str">
        <f>IF('[1]Charriage - Geschiebehaushalt'!P94="b",'[1]Charriage - Geschiebehaushalt'!O94,"")</f>
        <v/>
      </c>
      <c r="D206" t="str">
        <f>IF('[1]Revitalisation-Revitalisierung'!L94="a",'[1]Revitalisation-Revitalisierung'!K94,"")</f>
        <v/>
      </c>
      <c r="E206" t="str">
        <f>IF('[1]Revitalisation-Revitalisierung'!L94="b",'[1]Revitalisation-Revitalisierung'!K94,"")</f>
        <v>Non nécessaire / nicht nötig</v>
      </c>
    </row>
    <row r="207" spans="2:5" x14ac:dyDescent="0.25">
      <c r="B207" t="str">
        <f>IF('[1]Charriage - Geschiebehaushalt'!P95="a",'[1]Charriage - Geschiebehaushalt'!O95,"")</f>
        <v/>
      </c>
      <c r="C207" t="str">
        <f>IF('[1]Charriage - Geschiebehaushalt'!P95="b",'[1]Charriage - Geschiebehaushalt'!O95,"")</f>
        <v>Charriage présumé naturel / Geschiebehaushalt vermutlich natürlich</v>
      </c>
      <c r="D207" t="str">
        <f>IF('[1]Revitalisation-Revitalisierung'!L95="a",'[1]Revitalisation-Revitalisierung'!K95,"")</f>
        <v>Non nécessaire / nicht nötig</v>
      </c>
      <c r="E207" t="str">
        <f>IF('[1]Revitalisation-Revitalisierung'!L95="b",'[1]Revitalisation-Revitalisierung'!K95,"")</f>
        <v/>
      </c>
    </row>
    <row r="208" spans="2:5" x14ac:dyDescent="0.25">
      <c r="B208" t="str">
        <f>IF('[1]Charriage - Geschiebehaushalt'!P96="a",'[1]Charriage - Geschiebehaushalt'!O96,"")</f>
        <v/>
      </c>
      <c r="C208" t="str">
        <f>IF('[1]Charriage - Geschiebehaushalt'!P96="b",'[1]Charriage - Geschiebehaushalt'!O96,"")</f>
        <v>Charriage présumé naturel / Geschiebehaushalt vermutlich natürlich</v>
      </c>
      <c r="D208" t="str">
        <f>IF('[1]Revitalisation-Revitalisierung'!L96="a",'[1]Revitalisation-Revitalisierung'!K96,"")</f>
        <v/>
      </c>
      <c r="E208" t="str">
        <f>IF('[1]Revitalisation-Revitalisierung'!L96="b",'[1]Revitalisation-Revitalisierung'!K96,"")</f>
        <v>Partiellement nécessaire, facile / teilweise nötig, einfach</v>
      </c>
    </row>
    <row r="209" spans="2:5" x14ac:dyDescent="0.25">
      <c r="B209" t="str">
        <f>IF('[1]Charriage - Geschiebehaushalt'!P97="a",'[1]Charriage - Geschiebehaushalt'!O97,"")</f>
        <v/>
      </c>
      <c r="C209" t="str">
        <f>IF('[1]Charriage - Geschiebehaushalt'!P97="b",'[1]Charriage - Geschiebehaushalt'!O97,"")</f>
        <v>Charriage présumé perturbé / Geschiebehaushalt vermutlich beeinträchtigt</v>
      </c>
      <c r="D209" t="str">
        <f>IF('[1]Revitalisation-Revitalisierung'!L97="a",'[1]Revitalisation-Revitalisierung'!K97,"")</f>
        <v/>
      </c>
      <c r="E209" t="str">
        <f>IF('[1]Revitalisation-Revitalisierung'!L97="b",'[1]Revitalisation-Revitalisierung'!K97,"")</f>
        <v>Très nécessaire, facile / unbedingt nötig, einfach</v>
      </c>
    </row>
    <row r="210" spans="2:5" x14ac:dyDescent="0.25">
      <c r="B210" t="str">
        <f>IF('[1]Charriage - Geschiebehaushalt'!P98="a",'[1]Charriage - Geschiebehaushalt'!O98,"")</f>
        <v>21-50%</v>
      </c>
      <c r="C210" t="str">
        <f>IF('[1]Charriage - Geschiebehaushalt'!P98="b",'[1]Charriage - Geschiebehaushalt'!O98,"")</f>
        <v/>
      </c>
      <c r="D210" t="str">
        <f>IF('[1]Revitalisation-Revitalisierung'!L98="a",'[1]Revitalisation-Revitalisierung'!K98,"")</f>
        <v>Très nécessaire, facile / unbedingt nötig, einfach</v>
      </c>
      <c r="E210" t="str">
        <f>IF('[1]Revitalisation-Revitalisierung'!L98="b",'[1]Revitalisation-Revitalisierung'!K98,"")</f>
        <v/>
      </c>
    </row>
    <row r="211" spans="2:5" x14ac:dyDescent="0.25">
      <c r="B211" t="str">
        <f>IF('[1]Charriage - Geschiebehaushalt'!P99="a",'[1]Charriage - Geschiebehaushalt'!O99,"")</f>
        <v>21-50%</v>
      </c>
      <c r="C211" t="str">
        <f>IF('[1]Charriage - Geschiebehaushalt'!P99="b",'[1]Charriage - Geschiebehaushalt'!O99,"")</f>
        <v/>
      </c>
      <c r="D211" t="str">
        <f>IF('[1]Revitalisation-Revitalisierung'!L99="a",'[1]Revitalisation-Revitalisierung'!K99,"")</f>
        <v>Très nécessaire, facile / unbedingt nötig, einfach</v>
      </c>
      <c r="E211" t="str">
        <f>IF('[1]Revitalisation-Revitalisierung'!L99="b",'[1]Revitalisation-Revitalisierung'!K99,"")</f>
        <v/>
      </c>
    </row>
    <row r="212" spans="2:5" x14ac:dyDescent="0.25">
      <c r="B212" t="str">
        <f>IF('[1]Charriage - Geschiebehaushalt'!P100="a",'[1]Charriage - Geschiebehaushalt'!O100,"")</f>
        <v>non pertinent / nicht relevant</v>
      </c>
      <c r="C212" t="str">
        <f>IF('[1]Charriage - Geschiebehaushalt'!P100="b",'[1]Charriage - Geschiebehaushalt'!O100,"")</f>
        <v/>
      </c>
      <c r="D212" t="str">
        <f>IF('[1]Revitalisation-Revitalisierung'!L100="a",'[1]Revitalisation-Revitalisierung'!K100,"")</f>
        <v>Non nécessaire / nicht nötig</v>
      </c>
      <c r="E212" t="str">
        <f>IF('[1]Revitalisation-Revitalisierung'!L100="b",'[1]Revitalisation-Revitalisierung'!K100,"")</f>
        <v/>
      </c>
    </row>
    <row r="213" spans="2:5" x14ac:dyDescent="0.25">
      <c r="B213" t="str">
        <f>IF('[1]Charriage - Geschiebehaushalt'!P101="a",'[1]Charriage - Geschiebehaushalt'!O101,"")</f>
        <v>21-50%</v>
      </c>
      <c r="C213" t="str">
        <f>IF('[1]Charriage - Geschiebehaushalt'!P101="b",'[1]Charriage - Geschiebehaushalt'!O101,"")</f>
        <v/>
      </c>
      <c r="D213" t="str">
        <f>IF('[1]Revitalisation-Revitalisierung'!L101="a",'[1]Revitalisation-Revitalisierung'!K101,"")</f>
        <v>Très nécessaire, facile / unbedingt nötig, einfach</v>
      </c>
      <c r="E213" t="str">
        <f>IF('[1]Revitalisation-Revitalisierung'!L101="b",'[1]Revitalisation-Revitalisierung'!K101,"")</f>
        <v/>
      </c>
    </row>
    <row r="214" spans="2:5" x14ac:dyDescent="0.25">
      <c r="B214" t="str">
        <f>IF('[1]Charriage - Geschiebehaushalt'!P102="a",'[1]Charriage - Geschiebehaushalt'!O102,"")</f>
        <v/>
      </c>
      <c r="C214" t="str">
        <f>IF('[1]Charriage - Geschiebehaushalt'!P102="b",'[1]Charriage - Geschiebehaushalt'!O102,"")</f>
        <v>Charriage présumé naturel / Geschiebehaushalt vermutlich natürlich</v>
      </c>
      <c r="D214" t="str">
        <f>IF('[1]Revitalisation-Revitalisierung'!L102="a",'[1]Revitalisation-Revitalisierung'!K102,"")</f>
        <v/>
      </c>
      <c r="E214" t="str">
        <f>IF('[1]Revitalisation-Revitalisierung'!L102="b",'[1]Revitalisation-Revitalisierung'!K102,"")</f>
        <v>Non nécessaire / nicht nötig</v>
      </c>
    </row>
    <row r="215" spans="2:5" x14ac:dyDescent="0.25">
      <c r="B215" t="str">
        <f>IF('[1]Charriage - Geschiebehaushalt'!P103="a",'[1]Charriage - Geschiebehaushalt'!O103,"")</f>
        <v>La remobilisation des sédiments est perturbée / Mobilisierung von Geschiebe beeinträchtigt</v>
      </c>
      <c r="C215" t="str">
        <f>IF('[1]Charriage - Geschiebehaushalt'!P103="b",'[1]Charriage - Geschiebehaushalt'!O103,"")</f>
        <v/>
      </c>
      <c r="D215" t="str">
        <f>IF('[1]Revitalisation-Revitalisierung'!L103="a",'[1]Revitalisation-Revitalisierung'!K103,"")</f>
        <v>Très nécessaire, facile / unbedingt nötig, einfach</v>
      </c>
      <c r="E215" t="str">
        <f>IF('[1]Revitalisation-Revitalisierung'!L103="b",'[1]Revitalisation-Revitalisierung'!K103,"")</f>
        <v/>
      </c>
    </row>
    <row r="216" spans="2:5" x14ac:dyDescent="0.25">
      <c r="B216" t="str">
        <f>IF('[1]Charriage - Geschiebehaushalt'!P104="a",'[1]Charriage - Geschiebehaushalt'!O104,"")</f>
        <v>Charriage présumé naturel / Geschiebehaushalt vermutlich natürlich</v>
      </c>
      <c r="C216" t="str">
        <f>IF('[1]Charriage - Geschiebehaushalt'!P104="b",'[1]Charriage - Geschiebehaushalt'!O104,"")</f>
        <v/>
      </c>
      <c r="D216" t="str">
        <f>IF('[1]Revitalisation-Revitalisierung'!L104="a",'[1]Revitalisation-Revitalisierung'!K104,"")</f>
        <v>Non nécessaire / nicht nötig</v>
      </c>
      <c r="E216" t="str">
        <f>IF('[1]Revitalisation-Revitalisierung'!L104="b",'[1]Revitalisation-Revitalisierung'!K104,"")</f>
        <v/>
      </c>
    </row>
    <row r="217" spans="2:5" x14ac:dyDescent="0.25">
      <c r="B217" t="str">
        <f>IF('[1]Charriage - Geschiebehaushalt'!P105="a",'[1]Charriage - Geschiebehaushalt'!O105,"")</f>
        <v/>
      </c>
      <c r="C217" t="str">
        <f>IF('[1]Charriage - Geschiebehaushalt'!P105="b",'[1]Charriage - Geschiebehaushalt'!O105,"")</f>
        <v>Charriage présumé naturel / Geschiebehaushalt vermutlich natürlich</v>
      </c>
      <c r="D217" t="str">
        <f>IF('[1]Revitalisation-Revitalisierung'!L105="a",'[1]Revitalisation-Revitalisierung'!K105,"")</f>
        <v/>
      </c>
      <c r="E217" t="str">
        <f>IF('[1]Revitalisation-Revitalisierung'!L105="b",'[1]Revitalisation-Revitalisierung'!K105,"")</f>
        <v>Non nécessaire / nicht nötig</v>
      </c>
    </row>
    <row r="218" spans="2:5" x14ac:dyDescent="0.25">
      <c r="B218" t="str">
        <f>IF('[1]Charriage - Geschiebehaushalt'!P106="a",'[1]Charriage - Geschiebehaushalt'!O106,"")</f>
        <v/>
      </c>
      <c r="C218" t="str">
        <f>IF('[1]Charriage - Geschiebehaushalt'!P106="b",'[1]Charriage - Geschiebehaushalt'!O106,"")</f>
        <v>Déficit non apparent en charriage ou en remobilisation des sédiments / kein sichtbares Defizit beim Geschiebehaushalt bzw. bei der Mobilisierung von Geschiebe</v>
      </c>
      <c r="D218" t="str">
        <f>IF('[1]Revitalisation-Revitalisierung'!L106="a",'[1]Revitalisation-Revitalisierung'!K106,"")</f>
        <v/>
      </c>
      <c r="E218" t="str">
        <f>IF('[1]Revitalisation-Revitalisierung'!L106="b",'[1]Revitalisation-Revitalisierung'!K106,"")</f>
        <v>Non nécessaire / nicht nötig</v>
      </c>
    </row>
    <row r="219" spans="2:5" x14ac:dyDescent="0.25">
      <c r="B219" t="str">
        <f>IF('[1]Charriage - Geschiebehaushalt'!P107="a",'[1]Charriage - Geschiebehaushalt'!O107,"")</f>
        <v/>
      </c>
      <c r="C219" t="str">
        <f>IF('[1]Charriage - Geschiebehaushalt'!P107="b",'[1]Charriage - Geschiebehaushalt'!O107,"")</f>
        <v>Déficit non apparent en charriage ou en remobilisation des sédiments / kein sichtbares Defizit beim Geschiebehaushalt bzw. bei der Mobilisierung von Geschiebe</v>
      </c>
      <c r="D219" t="str">
        <f>IF('[1]Revitalisation-Revitalisierung'!L107="a",'[1]Revitalisation-Revitalisierung'!K107,"")</f>
        <v/>
      </c>
      <c r="E219" t="str">
        <f>IF('[1]Revitalisation-Revitalisierung'!L107="b",'[1]Revitalisation-Revitalisierung'!K107,"")</f>
        <v>Non nécessaire / nicht nötig</v>
      </c>
    </row>
    <row r="220" spans="2:5" x14ac:dyDescent="0.25">
      <c r="B220" t="str">
        <f>IF('[1]Charriage - Geschiebehaushalt'!P108="a",'[1]Charriage - Geschiebehaushalt'!O108,"")</f>
        <v>Déficit non apparent en charriage ou en remobilisation des sédiments / kein sichtbares Defizit beim Geschiebehaushalt bzw. bei der Mobilisierung von Geschiebe</v>
      </c>
      <c r="C220" t="str">
        <f>IF('[1]Charriage - Geschiebehaushalt'!P108="b",'[1]Charriage - Geschiebehaushalt'!O108,"")</f>
        <v/>
      </c>
      <c r="D220" t="str">
        <f>IF('[1]Revitalisation-Revitalisierung'!L108="a",'[1]Revitalisation-Revitalisierung'!K108,"")</f>
        <v>Non nécessaire / nicht nötig</v>
      </c>
      <c r="E220" t="str">
        <f>IF('[1]Revitalisation-Revitalisierung'!L108="b",'[1]Revitalisation-Revitalisierung'!K108,"")</f>
        <v/>
      </c>
    </row>
    <row r="221" spans="2:5" x14ac:dyDescent="0.25">
      <c r="B221" t="str">
        <f>IF('[1]Charriage - Geschiebehaushalt'!P109="a",'[1]Charriage - Geschiebehaushalt'!O109,"")</f>
        <v>51-80%</v>
      </c>
      <c r="C221" t="str">
        <f>IF('[1]Charriage - Geschiebehaushalt'!P109="b",'[1]Charriage - Geschiebehaushalt'!O109,"")</f>
        <v/>
      </c>
      <c r="D221" t="str">
        <f>IF('[1]Revitalisation-Revitalisierung'!L109="a",'[1]Revitalisation-Revitalisierung'!K109,"")</f>
        <v/>
      </c>
      <c r="E221" t="str">
        <f>IF('[1]Revitalisation-Revitalisierung'!L109="b",'[1]Revitalisation-Revitalisierung'!K109,"")</f>
        <v>Très nécessaire, facile / unbedingt nötig, einfach</v>
      </c>
    </row>
    <row r="222" spans="2:5" x14ac:dyDescent="0.25">
      <c r="B222" t="str">
        <f>IF('[1]Charriage - Geschiebehaushalt'!P110="a",'[1]Charriage - Geschiebehaushalt'!O110,"")</f>
        <v>Charriage présumé naturel / Geschiebehaushalt vermutlich natürlich</v>
      </c>
      <c r="C222" t="str">
        <f>IF('[1]Charriage - Geschiebehaushalt'!P110="b",'[1]Charriage - Geschiebehaushalt'!O110,"")</f>
        <v/>
      </c>
      <c r="D222" t="str">
        <f>IF('[1]Revitalisation-Revitalisierung'!L110="a",'[1]Revitalisation-Revitalisierung'!K110,"")</f>
        <v/>
      </c>
      <c r="E222" t="str">
        <f>IF('[1]Revitalisation-Revitalisierung'!L110="b",'[1]Revitalisation-Revitalisierung'!K110,"")</f>
        <v>Très nécessaire, facile / unbedingt nötig, einfach</v>
      </c>
    </row>
    <row r="223" spans="2:5" x14ac:dyDescent="0.25">
      <c r="B223" t="str">
        <f>IF('[1]Charriage - Geschiebehaushalt'!P111="a",'[1]Charriage - Geschiebehaushalt'!O111,"")</f>
        <v>Charriage présumé naturel / Geschiebehaushalt vermutlich natürlich</v>
      </c>
      <c r="C223" t="str">
        <f>IF('[1]Charriage - Geschiebehaushalt'!P111="b",'[1]Charriage - Geschiebehaushalt'!O111,"")</f>
        <v/>
      </c>
      <c r="D223" t="str">
        <f>IF('[1]Revitalisation-Revitalisierung'!L111="a",'[1]Revitalisation-Revitalisierung'!K111,"")</f>
        <v>Partiellement nécessaire, facile / teilweise nötig, einfach</v>
      </c>
      <c r="E223" t="str">
        <f>IF('[1]Revitalisation-Revitalisierung'!L111="b",'[1]Revitalisation-Revitalisierung'!K111,"")</f>
        <v/>
      </c>
    </row>
    <row r="224" spans="2:5" x14ac:dyDescent="0.25">
      <c r="B224" t="str">
        <f>IF('[1]Charriage - Geschiebehaushalt'!P112="a",'[1]Charriage - Geschiebehaushalt'!O112,"")</f>
        <v/>
      </c>
      <c r="C224" t="str">
        <f>IF('[1]Charriage - Geschiebehaushalt'!P112="b",'[1]Charriage - Geschiebehaushalt'!O112,"")</f>
        <v>Charriage présumé naturel / Geschiebehaushalt vermutlich natürlich</v>
      </c>
      <c r="D224" t="str">
        <f>IF('[1]Revitalisation-Revitalisierung'!L112="a",'[1]Revitalisation-Revitalisierung'!K112,"")</f>
        <v>Non nécessaire / nicht nötig</v>
      </c>
      <c r="E224" t="str">
        <f>IF('[1]Revitalisation-Revitalisierung'!L112="b",'[1]Revitalisation-Revitalisierung'!K112,"")</f>
        <v/>
      </c>
    </row>
    <row r="225" spans="2:5" x14ac:dyDescent="0.25">
      <c r="B225" t="str">
        <f>IF('[1]Charriage - Geschiebehaushalt'!P113="a",'[1]Charriage - Geschiebehaushalt'!O113,"")</f>
        <v>51-80%</v>
      </c>
      <c r="C225" t="str">
        <f>IF('[1]Charriage - Geschiebehaushalt'!P113="b",'[1]Charriage - Geschiebehaushalt'!O113,"")</f>
        <v/>
      </c>
      <c r="D225" t="str">
        <f>IF('[1]Revitalisation-Revitalisierung'!L113="a",'[1]Revitalisation-Revitalisierung'!K113,"")</f>
        <v/>
      </c>
      <c r="E225" t="str">
        <f>IF('[1]Revitalisation-Revitalisierung'!L113="b",'[1]Revitalisation-Revitalisierung'!K113,"")</f>
        <v>Très nécessaire, difficile / unbedingt nötig, schwierig</v>
      </c>
    </row>
    <row r="226" spans="2:5" x14ac:dyDescent="0.25">
      <c r="B226" t="str">
        <f>IF('[1]Charriage - Geschiebehaushalt'!P114="a",'[1]Charriage - Geschiebehaushalt'!O114,"")</f>
        <v>21-50%</v>
      </c>
      <c r="C226" t="str">
        <f>IF('[1]Charriage - Geschiebehaushalt'!P114="b",'[1]Charriage - Geschiebehaushalt'!O114,"")</f>
        <v/>
      </c>
      <c r="D226" t="str">
        <f>IF('[1]Revitalisation-Revitalisierung'!L114="a",'[1]Revitalisation-Revitalisierung'!K114,"")</f>
        <v/>
      </c>
      <c r="E226" t="str">
        <f>IF('[1]Revitalisation-Revitalisierung'!L114="b",'[1]Revitalisation-Revitalisierung'!K114,"")</f>
        <v>Très nécessaire, facile / unbedingt nötig, einfach</v>
      </c>
    </row>
    <row r="227" spans="2:5" x14ac:dyDescent="0.25">
      <c r="B227" t="str">
        <f>IF('[1]Charriage - Geschiebehaushalt'!P115="a",'[1]Charriage - Geschiebehaushalt'!O115,"")</f>
        <v>21-50%</v>
      </c>
      <c r="C227" t="str">
        <f>IF('[1]Charriage - Geschiebehaushalt'!P115="b",'[1]Charriage - Geschiebehaushalt'!O115,"")</f>
        <v/>
      </c>
      <c r="D227" t="str">
        <f>IF('[1]Revitalisation-Revitalisierung'!L115="a",'[1]Revitalisation-Revitalisierung'!K115,"")</f>
        <v>Très nécessaire, facile / unbedingt nötig, einfach</v>
      </c>
      <c r="E227" t="str">
        <f>IF('[1]Revitalisation-Revitalisierung'!L115="b",'[1]Revitalisation-Revitalisierung'!K115,"")</f>
        <v/>
      </c>
    </row>
    <row r="228" spans="2:5" x14ac:dyDescent="0.25">
      <c r="B228" t="str">
        <f>IF('[1]Charriage - Geschiebehaushalt'!P116="a",'[1]Charriage - Geschiebehaushalt'!O116,"")</f>
        <v>21-50%</v>
      </c>
      <c r="C228" t="str">
        <f>IF('[1]Charriage - Geschiebehaushalt'!P116="b",'[1]Charriage - Geschiebehaushalt'!O116,"")</f>
        <v/>
      </c>
      <c r="D228" t="str">
        <f>IF('[1]Revitalisation-Revitalisierung'!L116="a",'[1]Revitalisation-Revitalisierung'!K116,"")</f>
        <v/>
      </c>
      <c r="E228" t="str">
        <f>IF('[1]Revitalisation-Revitalisierung'!L116="b",'[1]Revitalisation-Revitalisierung'!K116,"")</f>
        <v>Très nécessaire, difficile / unbedingt nötig, schwierig</v>
      </c>
    </row>
    <row r="229" spans="2:5" x14ac:dyDescent="0.25">
      <c r="B229" t="str">
        <f>IF('[1]Charriage - Geschiebehaushalt'!P117="a",'[1]Charriage - Geschiebehaushalt'!O117,"")</f>
        <v/>
      </c>
      <c r="C229" t="str">
        <f>IF('[1]Charriage - Geschiebehaushalt'!P117="b",'[1]Charriage - Geschiebehaushalt'!O117,"")</f>
        <v>La remobilisation des sédiments est perturbée / Mobilisierung von Geschiebe beeinträchtigt</v>
      </c>
      <c r="D229" t="str">
        <f>IF('[1]Revitalisation-Revitalisierung'!L117="a",'[1]Revitalisation-Revitalisierung'!K117,"")</f>
        <v>Partiellement nécessaire, facile / teilweise nötig, einfach</v>
      </c>
      <c r="E229" t="str">
        <f>IF('[1]Revitalisation-Revitalisierung'!L117="b",'[1]Revitalisation-Revitalisierung'!K117,"")</f>
        <v/>
      </c>
    </row>
    <row r="230" spans="2:5" x14ac:dyDescent="0.25">
      <c r="B230" t="str">
        <f>IF('[1]Charriage - Geschiebehaushalt'!P118="a",'[1]Charriage - Geschiebehaushalt'!O118,"")</f>
        <v/>
      </c>
      <c r="C230" t="str">
        <f>IF('[1]Charriage - Geschiebehaushalt'!P118="b",'[1]Charriage - Geschiebehaushalt'!O118,"")</f>
        <v>La remobilisation des sédiments est perturbée / Mobilisierung von Geschiebe beeinträchtigt</v>
      </c>
      <c r="D230" t="str">
        <f>IF('[1]Revitalisation-Revitalisierung'!L118="a",'[1]Revitalisation-Revitalisierung'!K118,"")</f>
        <v>Non nécessaire / nicht nötig</v>
      </c>
      <c r="E230" t="str">
        <f>IF('[1]Revitalisation-Revitalisierung'!L118="b",'[1]Revitalisation-Revitalisierung'!K118,"")</f>
        <v/>
      </c>
    </row>
    <row r="231" spans="2:5" x14ac:dyDescent="0.25">
      <c r="B231" t="str">
        <f>IF('[1]Charriage - Geschiebehaushalt'!P119="a",'[1]Charriage - Geschiebehaushalt'!O119,"")</f>
        <v>La remobilisation des sédiments est perturbée / Mobilisierung von Geschiebe beeinträchtigt</v>
      </c>
      <c r="C231" t="str">
        <f>IF('[1]Charriage - Geschiebehaushalt'!P119="b",'[1]Charriage - Geschiebehaushalt'!O119,"")</f>
        <v/>
      </c>
      <c r="D231" t="str">
        <f>IF('[1]Revitalisation-Revitalisierung'!L119="a",'[1]Revitalisation-Revitalisierung'!K119,"")</f>
        <v>Très nécessaire, difficile / unbedingt nötig, schwierig</v>
      </c>
      <c r="E231" t="str">
        <f>IF('[1]Revitalisation-Revitalisierung'!L119="b",'[1]Revitalisation-Revitalisierung'!K119,"")</f>
        <v/>
      </c>
    </row>
    <row r="232" spans="2:5" x14ac:dyDescent="0.25">
      <c r="B232" t="str">
        <f>IF('[1]Charriage - Geschiebehaushalt'!P120="a",'[1]Charriage - Geschiebehaushalt'!O120,"")</f>
        <v/>
      </c>
      <c r="C232" t="str">
        <f>IF('[1]Charriage - Geschiebehaushalt'!P120="b",'[1]Charriage - Geschiebehaushalt'!O120,"")</f>
        <v>Déficit non apparent en charriage ou en remobilisation des sédiments / kein sichtbares Defizit beim Geschiebehaushalt bzw. bei der Mobilisierung von Geschiebe</v>
      </c>
      <c r="D232" t="str">
        <f>IF('[1]Revitalisation-Revitalisierung'!L120="a",'[1]Revitalisation-Revitalisierung'!K120,"")</f>
        <v>Non nécessaire / nicht nötig</v>
      </c>
      <c r="E232" t="str">
        <f>IF('[1]Revitalisation-Revitalisierung'!L120="b",'[1]Revitalisation-Revitalisierung'!K120,"")</f>
        <v/>
      </c>
    </row>
    <row r="233" spans="2:5" x14ac:dyDescent="0.25">
      <c r="B233" t="str">
        <f>IF('[1]Charriage - Geschiebehaushalt'!P121="a",'[1]Charriage - Geschiebehaushalt'!O121,"")</f>
        <v>La remobilisation des sédiments est perturbée / Mobilisierung von Geschiebe beeinträchtigt</v>
      </c>
      <c r="C233" t="str">
        <f>IF('[1]Charriage - Geschiebehaushalt'!P121="b",'[1]Charriage - Geschiebehaushalt'!O121,"")</f>
        <v/>
      </c>
      <c r="D233" t="str">
        <f>IF('[1]Revitalisation-Revitalisierung'!L121="a",'[1]Revitalisation-Revitalisierung'!K121,"")</f>
        <v>Très nécessaire, facile / unbedingt nötig, einfach</v>
      </c>
      <c r="E233" t="str">
        <f>IF('[1]Revitalisation-Revitalisierung'!L121="b",'[1]Revitalisation-Revitalisierung'!K121,"")</f>
        <v/>
      </c>
    </row>
    <row r="234" spans="2:5" x14ac:dyDescent="0.25">
      <c r="B234" t="str">
        <f>IF('[1]Charriage - Geschiebehaushalt'!P122="a",'[1]Charriage - Geschiebehaushalt'!O122,"")</f>
        <v/>
      </c>
      <c r="C234" t="str">
        <f>IF('[1]Charriage - Geschiebehaushalt'!P122="b",'[1]Charriage - Geschiebehaushalt'!O122,"")</f>
        <v>Déficit non apparent en charriage ou en remobilisation des sédiments / kein sichtbares Defizit beim Geschiebehaushalt bzw. bei der Mobilisierung von Geschiebe</v>
      </c>
      <c r="D234" t="str">
        <f>IF('[1]Revitalisation-Revitalisierung'!L122="a",'[1]Revitalisation-Revitalisierung'!K122,"")</f>
        <v>Non nécessaire / nicht nötig</v>
      </c>
      <c r="E234" t="str">
        <f>IF('[1]Revitalisation-Revitalisierung'!L122="b",'[1]Revitalisation-Revitalisierung'!K122,"")</f>
        <v/>
      </c>
    </row>
    <row r="235" spans="2:5" x14ac:dyDescent="0.25">
      <c r="B235" t="str">
        <f>IF('[1]Charriage - Geschiebehaushalt'!P123="a",'[1]Charriage - Geschiebehaushalt'!O123,"")</f>
        <v>21-50%</v>
      </c>
      <c r="C235" t="str">
        <f>IF('[1]Charriage - Geschiebehaushalt'!P123="b",'[1]Charriage - Geschiebehaushalt'!O123,"")</f>
        <v/>
      </c>
      <c r="D235" t="str">
        <f>IF('[1]Revitalisation-Revitalisierung'!L123="a",'[1]Revitalisation-Revitalisierung'!K123,"")</f>
        <v>Très nécessaire, facile / unbedingt nötig, einfach</v>
      </c>
      <c r="E235" t="str">
        <f>IF('[1]Revitalisation-Revitalisierung'!L123="b",'[1]Revitalisation-Revitalisierung'!K123,"")</f>
        <v/>
      </c>
    </row>
    <row r="236" spans="2:5" x14ac:dyDescent="0.25">
      <c r="B236" t="str">
        <f>IF('[1]Charriage - Geschiebehaushalt'!P124="a",'[1]Charriage - Geschiebehaushalt'!O124,"")</f>
        <v>21-50%</v>
      </c>
      <c r="C236" t="str">
        <f>IF('[1]Charriage - Geschiebehaushalt'!P124="b",'[1]Charriage - Geschiebehaushalt'!O124,"")</f>
        <v/>
      </c>
      <c r="D236" t="str">
        <f>IF('[1]Revitalisation-Revitalisierung'!L124="a",'[1]Revitalisation-Revitalisierung'!K124,"")</f>
        <v>Partiellement nécessaire, facile / teilweise nötig, einfach</v>
      </c>
      <c r="E236" t="str">
        <f>IF('[1]Revitalisation-Revitalisierung'!L124="b",'[1]Revitalisation-Revitalisierung'!K124,"")</f>
        <v/>
      </c>
    </row>
    <row r="237" spans="2:5" x14ac:dyDescent="0.25">
      <c r="B237" t="str">
        <f>IF('[1]Charriage - Geschiebehaushalt'!P125="a",'[1]Charriage - Geschiebehaushalt'!O125,"")</f>
        <v>21-50%</v>
      </c>
      <c r="C237" t="str">
        <f>IF('[1]Charriage - Geschiebehaushalt'!P125="b",'[1]Charriage - Geschiebehaushalt'!O125,"")</f>
        <v/>
      </c>
      <c r="D237" t="str">
        <f>IF('[1]Revitalisation-Revitalisierung'!L125="a",'[1]Revitalisation-Revitalisierung'!K125,"")</f>
        <v>Partiellement nécessaire, difficile / teilweise nötig, schwierig</v>
      </c>
      <c r="E237" t="str">
        <f>IF('[1]Revitalisation-Revitalisierung'!L125="b",'[1]Revitalisation-Revitalisierung'!K125,"")</f>
        <v/>
      </c>
    </row>
    <row r="238" spans="2:5" x14ac:dyDescent="0.25">
      <c r="B238" t="str">
        <f>IF('[1]Charriage - Geschiebehaushalt'!P126="a",'[1]Charriage - Geschiebehaushalt'!O126,"")</f>
        <v/>
      </c>
      <c r="C238" t="str">
        <f>IF('[1]Charriage - Geschiebehaushalt'!P126="b",'[1]Charriage - Geschiebehaushalt'!O126,"")</f>
        <v>Déficit non apparent en charriage ou en remobilisation des sédiments / kein sichtbares Defizit beim Geschiebehaushalt bzw. bei der Mobilisierung von Geschiebe</v>
      </c>
      <c r="D238" t="str">
        <f>IF('[1]Revitalisation-Revitalisierung'!L126="a",'[1]Revitalisation-Revitalisierung'!K126,"")</f>
        <v>Non nécessaire / nicht nötig</v>
      </c>
      <c r="E238" t="str">
        <f>IF('[1]Revitalisation-Revitalisierung'!L126="b",'[1]Revitalisation-Revitalisierung'!K126,"")</f>
        <v/>
      </c>
    </row>
    <row r="239" spans="2:5" x14ac:dyDescent="0.25">
      <c r="B239" t="str">
        <f>IF('[1]Charriage - Geschiebehaushalt'!P127="a",'[1]Charriage - Geschiebehaushalt'!O127,"")</f>
        <v/>
      </c>
      <c r="C239" t="str">
        <f>IF('[1]Charriage - Geschiebehaushalt'!P127="b",'[1]Charriage - Geschiebehaushalt'!O127,"")</f>
        <v>Charriage présumé perturbé / Geschiebehaushalt vermutlich beeinträchtigt</v>
      </c>
      <c r="D239" t="str">
        <f>IF('[1]Revitalisation-Revitalisierung'!L127="a",'[1]Revitalisation-Revitalisierung'!K127,"")</f>
        <v/>
      </c>
      <c r="E239" t="str">
        <f>IF('[1]Revitalisation-Revitalisierung'!L127="b",'[1]Revitalisation-Revitalisierung'!K127,"")</f>
        <v>Très nécessaire, facile / unbedingt nötig, einfach</v>
      </c>
    </row>
    <row r="240" spans="2:5" x14ac:dyDescent="0.25">
      <c r="B240" t="str">
        <f>IF('[1]Charriage - Geschiebehaushalt'!P128="a",'[1]Charriage - Geschiebehaushalt'!O128,"")</f>
        <v/>
      </c>
      <c r="C240" t="str">
        <f>IF('[1]Charriage - Geschiebehaushalt'!P128="b",'[1]Charriage - Geschiebehaushalt'!O128,"")</f>
        <v>Charriage présumé perturbé / Geschiebehaushalt vermutlich beeinträchtigt</v>
      </c>
      <c r="D240" t="str">
        <f>IF('[1]Revitalisation-Revitalisierung'!L128="a",'[1]Revitalisation-Revitalisierung'!K128,"")</f>
        <v/>
      </c>
      <c r="E240" t="str">
        <f>IF('[1]Revitalisation-Revitalisierung'!L128="b",'[1]Revitalisation-Revitalisierung'!K128,"")</f>
        <v>Très nécessaire, difficile / unbedingt nötig, schwierig</v>
      </c>
    </row>
    <row r="241" spans="2:5" x14ac:dyDescent="0.25">
      <c r="B241" t="str">
        <f>IF('[1]Charriage - Geschiebehaushalt'!P129="a",'[1]Charriage - Geschiebehaushalt'!O129,"")</f>
        <v/>
      </c>
      <c r="C241" t="str">
        <f>IF('[1]Charriage - Geschiebehaushalt'!P129="b",'[1]Charriage - Geschiebehaushalt'!O129,"")</f>
        <v>La remobilisation des sédiments est perturbée / Mobilisierung von Geschiebe beeinträchtigt</v>
      </c>
      <c r="D241" t="str">
        <f>IF('[1]Revitalisation-Revitalisierung'!L129="a",'[1]Revitalisation-Revitalisierung'!K129,"")</f>
        <v/>
      </c>
      <c r="E241" t="str">
        <f>IF('[1]Revitalisation-Revitalisierung'!L129="b",'[1]Revitalisation-Revitalisierung'!K129,"")</f>
        <v>Très nécessaire, facile / unbedingt nötig, einfach</v>
      </c>
    </row>
    <row r="242" spans="2:5" x14ac:dyDescent="0.25">
      <c r="B242" t="str">
        <f>IF('[1]Charriage - Geschiebehaushalt'!P130="a",'[1]Charriage - Geschiebehaushalt'!O130,"")</f>
        <v/>
      </c>
      <c r="C242" t="str">
        <f>IF('[1]Charriage - Geschiebehaushalt'!P130="b",'[1]Charriage - Geschiebehaushalt'!O130,"")</f>
        <v>Problème lié à un manque de charriage ou à un manque de remobilisation des sédiments / Problem aufgrund Geschiebemangels bzw. mangelnder Mobilisierung von Geschiebe</v>
      </c>
      <c r="D242" t="str">
        <f>IF('[1]Revitalisation-Revitalisierung'!L130="a",'[1]Revitalisation-Revitalisierung'!K130,"")</f>
        <v/>
      </c>
      <c r="E242" t="str">
        <f>IF('[1]Revitalisation-Revitalisierung'!L130="b",'[1]Revitalisation-Revitalisierung'!K130,"")</f>
        <v>Non nécessaire / nicht nötig</v>
      </c>
    </row>
    <row r="243" spans="2:5" x14ac:dyDescent="0.25">
      <c r="B243" t="str">
        <f>IF('[1]Charriage - Geschiebehaushalt'!P131="a",'[1]Charriage - Geschiebehaushalt'!O131,"")</f>
        <v/>
      </c>
      <c r="C243" t="str">
        <f>IF('[1]Charriage - Geschiebehaushalt'!P131="b",'[1]Charriage - Geschiebehaushalt'!O131,"")</f>
        <v>Problème lié à un manque de charriage ou à un manque de remobilisation des sédiments / Problem aufgrund Geschiebemangels bzw. mangelnder Mobilisierung von Geschiebe</v>
      </c>
      <c r="D243" t="str">
        <f>IF('[1]Revitalisation-Revitalisierung'!L131="a",'[1]Revitalisation-Revitalisierung'!K131,"")</f>
        <v/>
      </c>
      <c r="E243" t="str">
        <f>IF('[1]Revitalisation-Revitalisierung'!L131="b",'[1]Revitalisation-Revitalisierung'!K131,"")</f>
        <v>Très nécessaire, facile / unbedingt nötig, einfach</v>
      </c>
    </row>
    <row r="244" spans="2:5" x14ac:dyDescent="0.25">
      <c r="B244" t="str">
        <f>IF('[1]Charriage - Geschiebehaushalt'!P132="a",'[1]Charriage - Geschiebehaushalt'!O132,"")</f>
        <v/>
      </c>
      <c r="C244" t="str">
        <f>IF('[1]Charriage - Geschiebehaushalt'!P132="b",'[1]Charriage - Geschiebehaushalt'!O132,"")</f>
        <v>La remobilisation des sédiments est perturbée / Mobilisierung von Geschiebe beeinträchtigt</v>
      </c>
      <c r="D244" t="str">
        <f>IF('[1]Revitalisation-Revitalisierung'!L132="a",'[1]Revitalisation-Revitalisierung'!K132,"")</f>
        <v/>
      </c>
      <c r="E244" t="str">
        <f>IF('[1]Revitalisation-Revitalisierung'!L132="b",'[1]Revitalisation-Revitalisierung'!K132,"")</f>
        <v>Très nécessaire, facile / unbedingt nötig, einfach</v>
      </c>
    </row>
    <row r="245" spans="2:5" x14ac:dyDescent="0.25">
      <c r="B245" t="str">
        <f>IF('[1]Charriage - Geschiebehaushalt'!P133="a",'[1]Charriage - Geschiebehaushalt'!O133,"")</f>
        <v/>
      </c>
      <c r="C245" t="str">
        <f>IF('[1]Charriage - Geschiebehaushalt'!P133="b",'[1]Charriage - Geschiebehaushalt'!O133,"")</f>
        <v>Charriage présumé faiblement perturbé / Geschiebe vermutlich leicht beeinträchtigt</v>
      </c>
      <c r="D245" t="str">
        <f>IF('[1]Revitalisation-Revitalisierung'!L133="a",'[1]Revitalisation-Revitalisierung'!K133,"")</f>
        <v>Non nécessaire / nicht nötig</v>
      </c>
      <c r="E245" t="str">
        <f>IF('[1]Revitalisation-Revitalisierung'!L133="b",'[1]Revitalisation-Revitalisierung'!K133,"")</f>
        <v/>
      </c>
    </row>
    <row r="246" spans="2:5" x14ac:dyDescent="0.25">
      <c r="B246" t="str">
        <f>IF('[1]Charriage - Geschiebehaushalt'!P134="a",'[1]Charriage - Geschiebehaushalt'!O134,"")</f>
        <v/>
      </c>
      <c r="C246" t="str">
        <f>IF('[1]Charriage - Geschiebehaushalt'!P134="b",'[1]Charriage - Geschiebehaushalt'!O134,"")</f>
        <v>La remobilisation des sédiments est perturbée / Mobilisierung von Geschiebe beeinträchtigt</v>
      </c>
      <c r="D246" t="str">
        <f>IF('[1]Revitalisation-Revitalisierung'!L134="a",'[1]Revitalisation-Revitalisierung'!K134,"")</f>
        <v>Très nécessaire, difficile / unbedingt nötig, schwierig</v>
      </c>
      <c r="E246" t="str">
        <f>IF('[1]Revitalisation-Revitalisierung'!L134="b",'[1]Revitalisation-Revitalisierung'!K134,"")</f>
        <v/>
      </c>
    </row>
    <row r="247" spans="2:5" x14ac:dyDescent="0.25">
      <c r="B247" t="str">
        <f>IF('[1]Charriage - Geschiebehaushalt'!P135="a",'[1]Charriage - Geschiebehaushalt'!O135,"")</f>
        <v/>
      </c>
      <c r="C247" t="str">
        <f>IF('[1]Charriage - Geschiebehaushalt'!P135="b",'[1]Charriage - Geschiebehaushalt'!O135,"")</f>
        <v>Charriage présumé perturbé / Geschiebehaushalt vermutlich beeinträchtigt</v>
      </c>
      <c r="D247" t="str">
        <f>IF('[1]Revitalisation-Revitalisierung'!L135="a",'[1]Revitalisation-Revitalisierung'!K135,"")</f>
        <v>Très nécessaire, facile / unbedingt nötig, einfach</v>
      </c>
      <c r="E247" t="str">
        <f>IF('[1]Revitalisation-Revitalisierung'!L135="b",'[1]Revitalisation-Revitalisierung'!K135,"")</f>
        <v/>
      </c>
    </row>
    <row r="248" spans="2:5" x14ac:dyDescent="0.25">
      <c r="B248" t="str">
        <f>IF('[1]Charriage - Geschiebehaushalt'!P136="a",'[1]Charriage - Geschiebehaushalt'!O136,"")</f>
        <v/>
      </c>
      <c r="C248" t="str">
        <f>IF('[1]Charriage - Geschiebehaushalt'!P136="b",'[1]Charriage - Geschiebehaushalt'!O136,"")</f>
        <v>Charriage présumé perturbé / Geschiebehaushalt vermutlich beeinträchtigt</v>
      </c>
      <c r="D248" t="str">
        <f>IF('[1]Revitalisation-Revitalisierung'!L136="a",'[1]Revitalisation-Revitalisierung'!K136,"")</f>
        <v>Très nécessaire, facile / unbedingt nötig, einfach</v>
      </c>
      <c r="E248" t="str">
        <f>IF('[1]Revitalisation-Revitalisierung'!L136="b",'[1]Revitalisation-Revitalisierung'!K136,"")</f>
        <v/>
      </c>
    </row>
    <row r="249" spans="2:5" x14ac:dyDescent="0.25">
      <c r="B249" t="str">
        <f>IF('[1]Charriage - Geschiebehaushalt'!P137="a",'[1]Charriage - Geschiebehaushalt'!O137,"")</f>
        <v/>
      </c>
      <c r="C249" t="str">
        <f>IF('[1]Charriage - Geschiebehaushalt'!P137="b",'[1]Charriage - Geschiebehaushalt'!O137,"")</f>
        <v>Charriage présumé perturbé / Geschiebehaushalt vermutlich beeinträchtigt</v>
      </c>
      <c r="D249" t="str">
        <f>IF('[1]Revitalisation-Revitalisierung'!L137="a",'[1]Revitalisation-Revitalisierung'!K137,"")</f>
        <v>Non nécessaire / nicht nötig</v>
      </c>
      <c r="E249" t="str">
        <f>IF('[1]Revitalisation-Revitalisierung'!L137="b",'[1]Revitalisation-Revitalisierung'!K137,"")</f>
        <v/>
      </c>
    </row>
    <row r="250" spans="2:5" x14ac:dyDescent="0.25">
      <c r="B250" t="str">
        <f>IF('[1]Charriage - Geschiebehaushalt'!P138="a",'[1]Charriage - Geschiebehaushalt'!O138,"")</f>
        <v/>
      </c>
      <c r="C250" t="str">
        <f>IF('[1]Charriage - Geschiebehaushalt'!P138="b",'[1]Charriage - Geschiebehaushalt'!O138,"")</f>
        <v>Charriage présumé perturbé / Geschiebehaushalt vermutlich beeinträchtigt</v>
      </c>
      <c r="D250" t="str">
        <f>IF('[1]Revitalisation-Revitalisierung'!L138="a",'[1]Revitalisation-Revitalisierung'!K138,"")</f>
        <v/>
      </c>
      <c r="E250" t="str">
        <f>IF('[1]Revitalisation-Revitalisierung'!L138="b",'[1]Revitalisation-Revitalisierung'!K138,"")</f>
        <v>Très nécessaire, facile / unbedingt nötig, einfach</v>
      </c>
    </row>
    <row r="251" spans="2:5" x14ac:dyDescent="0.25">
      <c r="B251" t="str">
        <f>IF('[1]Charriage - Geschiebehaushalt'!P139="a",'[1]Charriage - Geschiebehaushalt'!O139,"")</f>
        <v/>
      </c>
      <c r="C251" t="str">
        <f>IF('[1]Charriage - Geschiebehaushalt'!P139="b",'[1]Charriage - Geschiebehaushalt'!O139,"")</f>
        <v>Charriage présumé perturbé / Geschiebehaushalt vermutlich beeinträchtigt</v>
      </c>
      <c r="D251" t="str">
        <f>IF('[1]Revitalisation-Revitalisierung'!L139="a",'[1]Revitalisation-Revitalisierung'!K139,"")</f>
        <v/>
      </c>
      <c r="E251" t="str">
        <f>IF('[1]Revitalisation-Revitalisierung'!L139="b",'[1]Revitalisation-Revitalisierung'!K139,"")</f>
        <v>Très nécessaire, facile / unbedingt nötig, einfach</v>
      </c>
    </row>
    <row r="252" spans="2:5" x14ac:dyDescent="0.25">
      <c r="B252" t="str">
        <f>IF('[1]Charriage - Geschiebehaushalt'!P140="a",'[1]Charriage - Geschiebehaushalt'!O140,"")</f>
        <v/>
      </c>
      <c r="C252" t="str">
        <f>IF('[1]Charriage - Geschiebehaushalt'!P140="b",'[1]Charriage - Geschiebehaushalt'!O140,"")</f>
        <v>Charriage présumé perturbé / Geschiebehaushalt vermutlich beeinträchtigt</v>
      </c>
      <c r="D252" t="str">
        <f>IF('[1]Revitalisation-Revitalisierung'!L140="a",'[1]Revitalisation-Revitalisierung'!K140,"")</f>
        <v>Partiellement nécessaire, difficile / teilweise nötig, schwierig</v>
      </c>
      <c r="E252" t="str">
        <f>IF('[1]Revitalisation-Revitalisierung'!L140="b",'[1]Revitalisation-Revitalisierung'!K140,"")</f>
        <v/>
      </c>
    </row>
    <row r="253" spans="2:5" x14ac:dyDescent="0.25">
      <c r="B253" t="str">
        <f>IF('[1]Charriage - Geschiebehaushalt'!P141="a",'[1]Charriage - Geschiebehaushalt'!O141,"")</f>
        <v/>
      </c>
      <c r="C253" t="str">
        <f>IF('[1]Charriage - Geschiebehaushalt'!P141="b",'[1]Charriage - Geschiebehaushalt'!O141,"")</f>
        <v>Charriage présumé perturbé / Geschiebehaushalt vermutlich beeinträchtigt</v>
      </c>
      <c r="D253" t="str">
        <f>IF('[1]Revitalisation-Revitalisierung'!L141="a",'[1]Revitalisation-Revitalisierung'!K141,"")</f>
        <v>Partiellement nécessaire, facile / teilweise nötig, einfach</v>
      </c>
      <c r="E253" t="str">
        <f>IF('[1]Revitalisation-Revitalisierung'!L141="b",'[1]Revitalisation-Revitalisierung'!K141,"")</f>
        <v/>
      </c>
    </row>
    <row r="254" spans="2:5" x14ac:dyDescent="0.25">
      <c r="B254" t="str">
        <f>IF('[1]Charriage - Geschiebehaushalt'!P142="a",'[1]Charriage - Geschiebehaushalt'!O142,"")</f>
        <v/>
      </c>
      <c r="C254" t="str">
        <f>IF('[1]Charriage - Geschiebehaushalt'!P142="b",'[1]Charriage - Geschiebehaushalt'!O142,"")</f>
        <v>Charriage présumé naturel / Geschiebehaushalt vermutlich natürlich</v>
      </c>
      <c r="D254" t="str">
        <f>IF('[1]Revitalisation-Revitalisierung'!L142="a",'[1]Revitalisation-Revitalisierung'!K142,"")</f>
        <v/>
      </c>
      <c r="E254" t="str">
        <f>IF('[1]Revitalisation-Revitalisierung'!L142="b",'[1]Revitalisation-Revitalisierung'!K142,"")</f>
        <v>Non nécessaire / nicht nötig</v>
      </c>
    </row>
    <row r="255" spans="2:5" x14ac:dyDescent="0.25">
      <c r="B255" t="str">
        <f>IF('[1]Charriage - Geschiebehaushalt'!P143="a",'[1]Charriage - Geschiebehaushalt'!O143,"")</f>
        <v/>
      </c>
      <c r="C255" t="str">
        <f>IF('[1]Charriage - Geschiebehaushalt'!P143="b",'[1]Charriage - Geschiebehaushalt'!O143,"")</f>
        <v>Déficit non apparent en charriage ou en remobilisation des sédiments / kein sichtbares Defizit beim Geschiebehaushalt bzw. bei der Mobilisierung von Geschiebe</v>
      </c>
      <c r="D255" t="str">
        <f>IF('[1]Revitalisation-Revitalisierung'!L143="a",'[1]Revitalisation-Revitalisierung'!K143,"")</f>
        <v>Non nécessaire / nicht nötig</v>
      </c>
      <c r="E255" t="str">
        <f>IF('[1]Revitalisation-Revitalisierung'!L143="b",'[1]Revitalisation-Revitalisierung'!K143,"")</f>
        <v/>
      </c>
    </row>
    <row r="256" spans="2:5" x14ac:dyDescent="0.25">
      <c r="B256" t="str">
        <f>IF('[1]Charriage - Geschiebehaushalt'!P144="a",'[1]Charriage - Geschiebehaushalt'!O144,"")</f>
        <v/>
      </c>
      <c r="C256" t="str">
        <f>IF('[1]Charriage - Geschiebehaushalt'!P144="b",'[1]Charriage - Geschiebehaushalt'!O144,"")</f>
        <v>Charriage présumé perturbé / Geschiebehaushalt vermutlich beeinträchtigt</v>
      </c>
      <c r="D256" t="str">
        <f>IF('[1]Revitalisation-Revitalisierung'!L144="a",'[1]Revitalisation-Revitalisierung'!K144,"")</f>
        <v>Non nécessaire / nicht nötig</v>
      </c>
      <c r="E256" t="str">
        <f>IF('[1]Revitalisation-Revitalisierung'!L144="b",'[1]Revitalisation-Revitalisierung'!K144,"")</f>
        <v/>
      </c>
    </row>
    <row r="257" spans="2:5" x14ac:dyDescent="0.25">
      <c r="B257" t="str">
        <f>IF('[1]Charriage - Geschiebehaushalt'!P145="a",'[1]Charriage - Geschiebehaushalt'!O145,"")</f>
        <v/>
      </c>
      <c r="C257" t="str">
        <f>IF('[1]Charriage - Geschiebehaushalt'!P145="b",'[1]Charriage - Geschiebehaushalt'!O145,"")</f>
        <v>Charriage présumé faiblement perturbé / Geschiebe vermutlich leicht beeinträchtigt</v>
      </c>
      <c r="D257" t="str">
        <f>IF('[1]Revitalisation-Revitalisierung'!L145="a",'[1]Revitalisation-Revitalisierung'!K145,"")</f>
        <v>Non nécessaire / nicht nötig</v>
      </c>
      <c r="E257" t="str">
        <f>IF('[1]Revitalisation-Revitalisierung'!L145="b",'[1]Revitalisation-Revitalisierung'!K145,"")</f>
        <v/>
      </c>
    </row>
    <row r="258" spans="2:5" x14ac:dyDescent="0.25">
      <c r="B258" t="str">
        <f>IF('[1]Charriage - Geschiebehaushalt'!P146="a",'[1]Charriage - Geschiebehaushalt'!O146,"")</f>
        <v/>
      </c>
      <c r="C258" t="str">
        <f>IF('[1]Charriage - Geschiebehaushalt'!P146="b",'[1]Charriage - Geschiebehaushalt'!O146,"")</f>
        <v>Charriage présumé faiblement perturbé / Geschiebe vermutlich leicht beeinträchtigt</v>
      </c>
      <c r="D258" t="str">
        <f>IF('[1]Revitalisation-Revitalisierung'!L146="a",'[1]Revitalisation-Revitalisierung'!K146,"")</f>
        <v>Non nécessaire / nicht nötig</v>
      </c>
      <c r="E258" t="str">
        <f>IF('[1]Revitalisation-Revitalisierung'!L146="b",'[1]Revitalisation-Revitalisierung'!K146,"")</f>
        <v/>
      </c>
    </row>
    <row r="259" spans="2:5" x14ac:dyDescent="0.25">
      <c r="B259" t="str">
        <f>IF('[1]Charriage - Geschiebehaushalt'!P147="a",'[1]Charriage - Geschiebehaushalt'!O147,"")</f>
        <v/>
      </c>
      <c r="C259" t="str">
        <f>IF('[1]Charriage - Geschiebehaushalt'!P147="b",'[1]Charriage - Geschiebehaushalt'!O147,"")</f>
        <v>Charriage présumé perturbé / Geschiebehaushalt vermutlich beeinträchtigt</v>
      </c>
      <c r="D259" t="str">
        <f>IF('[1]Revitalisation-Revitalisierung'!L147="a",'[1]Revitalisation-Revitalisierung'!K147,"")</f>
        <v>Partiellement nécessaire, facile / teilweise nötig, einfach</v>
      </c>
      <c r="E259" t="str">
        <f>IF('[1]Revitalisation-Revitalisierung'!L147="b",'[1]Revitalisation-Revitalisierung'!K147,"")</f>
        <v/>
      </c>
    </row>
    <row r="260" spans="2:5" x14ac:dyDescent="0.25">
      <c r="B260" t="str">
        <f>IF('[1]Charriage - Geschiebehaushalt'!P148="a",'[1]Charriage - Geschiebehaushalt'!O148,"")</f>
        <v>0-20%</v>
      </c>
      <c r="C260" t="str">
        <f>IF('[1]Charriage - Geschiebehaushalt'!P148="b",'[1]Charriage - Geschiebehaushalt'!O148,"")</f>
        <v/>
      </c>
      <c r="D260" t="str">
        <f>IF('[1]Revitalisation-Revitalisierung'!L148="a",'[1]Revitalisation-Revitalisierung'!K148,"")</f>
        <v/>
      </c>
      <c r="E260" t="str">
        <f>IF('[1]Revitalisation-Revitalisierung'!L148="b",'[1]Revitalisation-Revitalisierung'!K148,"")</f>
        <v>Non nécessaire / nicht nötig</v>
      </c>
    </row>
    <row r="261" spans="2:5" x14ac:dyDescent="0.25">
      <c r="B261" t="str">
        <f>IF('[1]Charriage - Geschiebehaushalt'!P149="a",'[1]Charriage - Geschiebehaushalt'!O149,"")</f>
        <v>0-20%</v>
      </c>
      <c r="C261" t="str">
        <f>IF('[1]Charriage - Geschiebehaushalt'!P149="b",'[1]Charriage - Geschiebehaushalt'!O149,"")</f>
        <v/>
      </c>
      <c r="D261" t="str">
        <f>IF('[1]Revitalisation-Revitalisierung'!L149="a",'[1]Revitalisation-Revitalisierung'!K149,"")</f>
        <v/>
      </c>
      <c r="E261" t="str">
        <f>IF('[1]Revitalisation-Revitalisierung'!L149="b",'[1]Revitalisation-Revitalisierung'!K149,"")</f>
        <v>Très nécessaire, facile / unbedingt nötig, einfach</v>
      </c>
    </row>
    <row r="262" spans="2:5" x14ac:dyDescent="0.25">
      <c r="B262" t="str">
        <f>IF('[1]Charriage - Geschiebehaushalt'!P150="a",'[1]Charriage - Geschiebehaushalt'!O150,"")</f>
        <v>51-80%</v>
      </c>
      <c r="C262" t="str">
        <f>IF('[1]Charriage - Geschiebehaushalt'!P150="b",'[1]Charriage - Geschiebehaushalt'!O150,"")</f>
        <v/>
      </c>
      <c r="D262" t="str">
        <f>IF('[1]Revitalisation-Revitalisierung'!L150="a",'[1]Revitalisation-Revitalisierung'!K150,"")</f>
        <v>Très nécessaire, facile / unbedingt nötig, einfach</v>
      </c>
      <c r="E262" t="str">
        <f>IF('[1]Revitalisation-Revitalisierung'!L150="b",'[1]Revitalisation-Revitalisierung'!K150,"")</f>
        <v/>
      </c>
    </row>
    <row r="263" spans="2:5" x14ac:dyDescent="0.25">
      <c r="B263" t="str">
        <f>IF('[1]Charriage - Geschiebehaushalt'!P151="a",'[1]Charriage - Geschiebehaushalt'!O151,"")</f>
        <v/>
      </c>
      <c r="C263" t="str">
        <f>IF('[1]Charriage - Geschiebehaushalt'!P151="b",'[1]Charriage - Geschiebehaushalt'!O151,"")</f>
        <v>La remobilisation des sédiments est perturbée / Mobilisierung von Geschiebe beeinträchtigt</v>
      </c>
      <c r="D263" t="str">
        <f>IF('[1]Revitalisation-Revitalisierung'!L151="a",'[1]Revitalisation-Revitalisierung'!K151,"")</f>
        <v>Très nécessaire, difficile / unbedingt nötig, schwierig</v>
      </c>
      <c r="E263" t="str">
        <f>IF('[1]Revitalisation-Revitalisierung'!L151="b",'[1]Revitalisation-Revitalisierung'!K151,"")</f>
        <v/>
      </c>
    </row>
    <row r="264" spans="2:5" x14ac:dyDescent="0.25">
      <c r="B264" t="str">
        <f>IF('[1]Charriage - Geschiebehaushalt'!P152="a",'[1]Charriage - Geschiebehaushalt'!O152,"")</f>
        <v>non pertinent / nicht relevant</v>
      </c>
      <c r="C264" t="str">
        <f>IF('[1]Charriage - Geschiebehaushalt'!P152="b",'[1]Charriage - Geschiebehaushalt'!O152,"")</f>
        <v/>
      </c>
      <c r="D264" t="str">
        <f>IF('[1]Revitalisation-Revitalisierung'!L152="a",'[1]Revitalisation-Revitalisierung'!K152,"")</f>
        <v>non pertinent / nicht relevant</v>
      </c>
      <c r="E264" t="str">
        <f>IF('[1]Revitalisation-Revitalisierung'!L152="b",'[1]Revitalisation-Revitalisierung'!K152,"")</f>
        <v/>
      </c>
    </row>
    <row r="265" spans="2:5" x14ac:dyDescent="0.25">
      <c r="B265" t="str">
        <f>IF('[1]Charriage - Geschiebehaushalt'!P153="a",'[1]Charriage - Geschiebehaushalt'!O153,"")</f>
        <v>non pertinent / nicht relevant</v>
      </c>
      <c r="C265" t="str">
        <f>IF('[1]Charriage - Geschiebehaushalt'!P153="b",'[1]Charriage - Geschiebehaushalt'!O153,"")</f>
        <v/>
      </c>
      <c r="D265" t="str">
        <f>IF('[1]Revitalisation-Revitalisierung'!L153="a",'[1]Revitalisation-Revitalisierung'!K153,"")</f>
        <v>non pertinent / nicht relevant</v>
      </c>
      <c r="E265" t="str">
        <f>IF('[1]Revitalisation-Revitalisierung'!L153="b",'[1]Revitalisation-Revitalisierung'!K153,"")</f>
        <v/>
      </c>
    </row>
    <row r="266" spans="2:5" x14ac:dyDescent="0.25">
      <c r="B266" t="str">
        <f>IF('[1]Charriage - Geschiebehaushalt'!P154="a",'[1]Charriage - Geschiebehaushalt'!O154,"")</f>
        <v>non pertinent / nicht relevant</v>
      </c>
      <c r="C266" t="str">
        <f>IF('[1]Charriage - Geschiebehaushalt'!P154="b",'[1]Charriage - Geschiebehaushalt'!O154,"")</f>
        <v/>
      </c>
      <c r="D266" t="str">
        <f>IF('[1]Revitalisation-Revitalisierung'!L154="a",'[1]Revitalisation-Revitalisierung'!K154,"")</f>
        <v>non pertinent / nicht relevant</v>
      </c>
      <c r="E266" t="str">
        <f>IF('[1]Revitalisation-Revitalisierung'!L154="b",'[1]Revitalisation-Revitalisierung'!K154,"")</f>
        <v/>
      </c>
    </row>
    <row r="267" spans="2:5" x14ac:dyDescent="0.25">
      <c r="B267" t="str">
        <f>IF('[1]Charriage - Geschiebehaushalt'!P155="a",'[1]Charriage - Geschiebehaushalt'!O155,"")</f>
        <v>non pertinent / nicht relevant</v>
      </c>
      <c r="C267" t="str">
        <f>IF('[1]Charriage - Geschiebehaushalt'!P155="b",'[1]Charriage - Geschiebehaushalt'!O155,"")</f>
        <v/>
      </c>
      <c r="D267" t="str">
        <f>IF('[1]Revitalisation-Revitalisierung'!L155="a",'[1]Revitalisation-Revitalisierung'!K155,"")</f>
        <v>non pertinent / nicht relevant</v>
      </c>
      <c r="E267" t="str">
        <f>IF('[1]Revitalisation-Revitalisierung'!L155="b",'[1]Revitalisation-Revitalisierung'!K155,"")</f>
        <v/>
      </c>
    </row>
    <row r="268" spans="2:5" x14ac:dyDescent="0.25">
      <c r="B268" t="str">
        <f>IF('[1]Charriage - Geschiebehaushalt'!P156="a",'[1]Charriage - Geschiebehaushalt'!O156,"")</f>
        <v>non pertinent / nicht relevant</v>
      </c>
      <c r="C268" t="str">
        <f>IF('[1]Charriage - Geschiebehaushalt'!P156="b",'[1]Charriage - Geschiebehaushalt'!O156,"")</f>
        <v/>
      </c>
      <c r="D268" t="str">
        <f>IF('[1]Revitalisation-Revitalisierung'!L156="a",'[1]Revitalisation-Revitalisierung'!K156,"")</f>
        <v>non pertinent / nicht relevant</v>
      </c>
      <c r="E268" t="str">
        <f>IF('[1]Revitalisation-Revitalisierung'!L156="b",'[1]Revitalisation-Revitalisierung'!K156,"")</f>
        <v/>
      </c>
    </row>
    <row r="269" spans="2:5" x14ac:dyDescent="0.25">
      <c r="B269" t="str">
        <f>IF('[1]Charriage - Geschiebehaushalt'!P157="a",'[1]Charriage - Geschiebehaushalt'!O157,"")</f>
        <v>non pertinent / nicht relevant</v>
      </c>
      <c r="C269" t="str">
        <f>IF('[1]Charriage - Geschiebehaushalt'!P157="b",'[1]Charriage - Geschiebehaushalt'!O157,"")</f>
        <v/>
      </c>
      <c r="D269" t="str">
        <f>IF('[1]Revitalisation-Revitalisierung'!L157="a",'[1]Revitalisation-Revitalisierung'!K157,"")</f>
        <v>non pertinent / nicht relevant</v>
      </c>
      <c r="E269" t="str">
        <f>IF('[1]Revitalisation-Revitalisierung'!L157="b",'[1]Revitalisation-Revitalisierung'!K157,"")</f>
        <v/>
      </c>
    </row>
    <row r="270" spans="2:5" x14ac:dyDescent="0.25">
      <c r="B270" t="str">
        <f>IF('[1]Charriage - Geschiebehaushalt'!P158="a",'[1]Charriage - Geschiebehaushalt'!O158,"")</f>
        <v>non pertinent / nicht relevant</v>
      </c>
      <c r="C270" t="str">
        <f>IF('[1]Charriage - Geschiebehaushalt'!P158="b",'[1]Charriage - Geschiebehaushalt'!O158,"")</f>
        <v/>
      </c>
      <c r="D270" t="str">
        <f>IF('[1]Revitalisation-Revitalisierung'!L158="a",'[1]Revitalisation-Revitalisierung'!K158,"")</f>
        <v>non pertinent / nicht relevant</v>
      </c>
      <c r="E270" t="str">
        <f>IF('[1]Revitalisation-Revitalisierung'!L158="b",'[1]Revitalisation-Revitalisierung'!K158,"")</f>
        <v/>
      </c>
    </row>
    <row r="271" spans="2:5" x14ac:dyDescent="0.25">
      <c r="B271" t="str">
        <f>IF('[1]Charriage - Geschiebehaushalt'!P159="a",'[1]Charriage - Geschiebehaushalt'!O159,"")</f>
        <v>non pertinent / nicht relevant</v>
      </c>
      <c r="C271" t="str">
        <f>IF('[1]Charriage - Geschiebehaushalt'!P159="b",'[1]Charriage - Geschiebehaushalt'!O159,"")</f>
        <v/>
      </c>
      <c r="D271" t="str">
        <f>IF('[1]Revitalisation-Revitalisierung'!L159="a",'[1]Revitalisation-Revitalisierung'!K159,"")</f>
        <v>non pertinent / nicht relevant</v>
      </c>
      <c r="E271" t="str">
        <f>IF('[1]Revitalisation-Revitalisierung'!L159="b",'[1]Revitalisation-Revitalisierung'!K159,"")</f>
        <v/>
      </c>
    </row>
    <row r="272" spans="2:5" x14ac:dyDescent="0.25">
      <c r="B272" t="str">
        <f>IF('[1]Charriage - Geschiebehaushalt'!P160="a",'[1]Charriage - Geschiebehaushalt'!O160,"")</f>
        <v>non pertinent / nicht relevant</v>
      </c>
      <c r="C272" t="str">
        <f>IF('[1]Charriage - Geschiebehaushalt'!P160="b",'[1]Charriage - Geschiebehaushalt'!O160,"")</f>
        <v/>
      </c>
      <c r="D272" t="str">
        <f>IF('[1]Revitalisation-Revitalisierung'!L160="a",'[1]Revitalisation-Revitalisierung'!K160,"")</f>
        <v>non pertinent / nicht relevant</v>
      </c>
      <c r="E272" t="str">
        <f>IF('[1]Revitalisation-Revitalisierung'!L160="b",'[1]Revitalisation-Revitalisierung'!K160,"")</f>
        <v/>
      </c>
    </row>
    <row r="273" spans="2:5" x14ac:dyDescent="0.25">
      <c r="B273" t="str">
        <f>IF('[1]Charriage - Geschiebehaushalt'!P161="a",'[1]Charriage - Geschiebehaushalt'!O161,"")</f>
        <v>non pertinent / nicht relevant</v>
      </c>
      <c r="C273" t="str">
        <f>IF('[1]Charriage - Geschiebehaushalt'!P161="b",'[1]Charriage - Geschiebehaushalt'!O161,"")</f>
        <v/>
      </c>
      <c r="D273" t="str">
        <f>IF('[1]Revitalisation-Revitalisierung'!L161="a",'[1]Revitalisation-Revitalisierung'!K161,"")</f>
        <v>non pertinent / nicht relevant</v>
      </c>
      <c r="E273" t="str">
        <f>IF('[1]Revitalisation-Revitalisierung'!L161="b",'[1]Revitalisation-Revitalisierung'!K161,"")</f>
        <v/>
      </c>
    </row>
    <row r="274" spans="2:5" x14ac:dyDescent="0.25">
      <c r="B274" t="str">
        <f>IF('[1]Charriage - Geschiebehaushalt'!P162="a",'[1]Charriage - Geschiebehaushalt'!O162,"")</f>
        <v>non pertinent / nicht relevant</v>
      </c>
      <c r="C274" t="str">
        <f>IF('[1]Charriage - Geschiebehaushalt'!P162="b",'[1]Charriage - Geschiebehaushalt'!O162,"")</f>
        <v/>
      </c>
      <c r="D274" t="str">
        <f>IF('[1]Revitalisation-Revitalisierung'!L162="a",'[1]Revitalisation-Revitalisierung'!K162,"")</f>
        <v>non pertinent / nicht relevant</v>
      </c>
      <c r="E274" t="str">
        <f>IF('[1]Revitalisation-Revitalisierung'!L162="b",'[1]Revitalisation-Revitalisierung'!K162,"")</f>
        <v/>
      </c>
    </row>
    <row r="275" spans="2:5" x14ac:dyDescent="0.25">
      <c r="B275" t="str">
        <f>IF('[1]Charriage - Geschiebehaushalt'!P163="a",'[1]Charriage - Geschiebehaushalt'!O163,"")</f>
        <v/>
      </c>
      <c r="C275" t="str">
        <f>IF('[1]Charriage - Geschiebehaushalt'!P163="b",'[1]Charriage - Geschiebehaushalt'!O163,"")</f>
        <v>Déficit non apparent en charriage ou en remobilisation des sédiments / kein sichtbares Defizit beim Geschiebehaushalt bzw. bei der Mobilisierung von Geschiebe</v>
      </c>
      <c r="D275" t="str">
        <f>IF('[1]Revitalisation-Revitalisierung'!L163="a",'[1]Revitalisation-Revitalisierung'!K163,"")</f>
        <v>Non nécessaire / nicht nötig</v>
      </c>
      <c r="E275" t="str">
        <f>IF('[1]Revitalisation-Revitalisierung'!L163="b",'[1]Revitalisation-Revitalisierung'!K163,"")</f>
        <v/>
      </c>
    </row>
    <row r="276" spans="2:5" x14ac:dyDescent="0.25">
      <c r="B276" t="str">
        <f>IF('[1]Charriage - Geschiebehaushalt'!P164="a",'[1]Charriage - Geschiebehaushalt'!O164,"")</f>
        <v/>
      </c>
      <c r="C276" t="str">
        <f>IF('[1]Charriage - Geschiebehaushalt'!P164="b",'[1]Charriage - Geschiebehaushalt'!O164,"")</f>
        <v>Charriage présumé naturel / Geschiebehaushalt vermutlich natürlich</v>
      </c>
      <c r="D276" t="str">
        <f>IF('[1]Revitalisation-Revitalisierung'!L164="a",'[1]Revitalisation-Revitalisierung'!K164,"")</f>
        <v/>
      </c>
      <c r="E276" t="str">
        <f>IF('[1]Revitalisation-Revitalisierung'!L164="b",'[1]Revitalisation-Revitalisierung'!K164,"")</f>
        <v>Non nécessaire / nicht nötig</v>
      </c>
    </row>
    <row r="277" spans="2:5" x14ac:dyDescent="0.25">
      <c r="B277" t="str">
        <f>IF('[1]Charriage - Geschiebehaushalt'!P165="a",'[1]Charriage - Geschiebehaushalt'!O165,"")</f>
        <v/>
      </c>
      <c r="C277" t="str">
        <f>IF('[1]Charriage - Geschiebehaushalt'!P165="b",'[1]Charriage - Geschiebehaushalt'!O165,"")</f>
        <v>Charriage présumé naturel / Geschiebehaushalt vermutlich natürlich</v>
      </c>
      <c r="D277" t="str">
        <f>IF('[1]Revitalisation-Revitalisierung'!L165="a",'[1]Revitalisation-Revitalisierung'!K165,"")</f>
        <v>Non nécessaire / nicht nötig</v>
      </c>
      <c r="E277" t="str">
        <f>IF('[1]Revitalisation-Revitalisierung'!L165="b",'[1]Revitalisation-Revitalisierung'!K165,"")</f>
        <v/>
      </c>
    </row>
    <row r="278" spans="2:5" x14ac:dyDescent="0.25">
      <c r="B278" t="str">
        <f>IF('[1]Charriage - Geschiebehaushalt'!P166="a",'[1]Charriage - Geschiebehaushalt'!O166,"")</f>
        <v>81 -100%</v>
      </c>
      <c r="C278" t="str">
        <f>IF('[1]Charriage - Geschiebehaushalt'!P166="b",'[1]Charriage - Geschiebehaushalt'!O166,"")</f>
        <v/>
      </c>
      <c r="D278" t="str">
        <f>IF('[1]Revitalisation-Revitalisierung'!L166="a",'[1]Revitalisation-Revitalisierung'!K166,"")</f>
        <v/>
      </c>
      <c r="E278" t="str">
        <f>IF('[1]Revitalisation-Revitalisierung'!L166="b",'[1]Revitalisation-Revitalisierung'!K166,"")</f>
        <v>Très nécessaire, facile / unbedingt nötig, einfach</v>
      </c>
    </row>
    <row r="279" spans="2:5" x14ac:dyDescent="0.25">
      <c r="B279" t="str">
        <f>IF('[1]Charriage - Geschiebehaushalt'!P167="a",'[1]Charriage - Geschiebehaushalt'!O167,"")</f>
        <v>non pertinent / nicht relevant</v>
      </c>
      <c r="C279" t="str">
        <f>IF('[1]Charriage - Geschiebehaushalt'!P167="b",'[1]Charriage - Geschiebehaushalt'!O167,"")</f>
        <v/>
      </c>
      <c r="D279" t="str">
        <f>IF('[1]Revitalisation-Revitalisierung'!L167="a",'[1]Revitalisation-Revitalisierung'!K167,"")</f>
        <v/>
      </c>
      <c r="E279" t="str">
        <f>IF('[1]Revitalisation-Revitalisierung'!L167="b",'[1]Revitalisation-Revitalisierung'!K167,"")</f>
        <v>Non nécessaire / nicht nötig</v>
      </c>
    </row>
    <row r="280" spans="2:5" x14ac:dyDescent="0.25">
      <c r="B280" t="str">
        <f>IF('[1]Charriage - Geschiebehaushalt'!P168="a",'[1]Charriage - Geschiebehaushalt'!O168,"")</f>
        <v>81 -100%</v>
      </c>
      <c r="C280" t="str">
        <f>IF('[1]Charriage - Geschiebehaushalt'!P168="b",'[1]Charriage - Geschiebehaushalt'!O168,"")</f>
        <v/>
      </c>
      <c r="D280" t="str">
        <f>IF('[1]Revitalisation-Revitalisierung'!L168="a",'[1]Revitalisation-Revitalisierung'!K168,"")</f>
        <v>Très nécessaire, facile / unbedingt nötig, einfach</v>
      </c>
      <c r="E280" t="str">
        <f>IF('[1]Revitalisation-Revitalisierung'!L168="b",'[1]Revitalisation-Revitalisierung'!K168,"")</f>
        <v/>
      </c>
    </row>
    <row r="281" spans="2:5" x14ac:dyDescent="0.25">
      <c r="B281" t="str">
        <f>IF('[1]Charriage - Geschiebehaushalt'!P169="a",'[1]Charriage - Geschiebehaushalt'!O169,"")</f>
        <v/>
      </c>
      <c r="C281" t="str">
        <f>IF('[1]Charriage - Geschiebehaushalt'!P169="b",'[1]Charriage - Geschiebehaushalt'!O169,"")</f>
        <v>Charriage présumé perturbé / Geschiebehaushalt vermutlich beeinträchtigt</v>
      </c>
      <c r="D281" t="str">
        <f>IF('[1]Revitalisation-Revitalisierung'!L169="a",'[1]Revitalisation-Revitalisierung'!K169,"")</f>
        <v/>
      </c>
      <c r="E281" t="str">
        <f>IF('[1]Revitalisation-Revitalisierung'!L169="b",'[1]Revitalisation-Revitalisierung'!K169,"")</f>
        <v>Très nécessaire, difficile / unbedingt nötig, schwierig</v>
      </c>
    </row>
    <row r="282" spans="2:5" x14ac:dyDescent="0.25">
      <c r="B282" t="str">
        <f>IF('[1]Charriage - Geschiebehaushalt'!P170="a",'[1]Charriage - Geschiebehaushalt'!O170,"")</f>
        <v>non pertinent / nicht relevant</v>
      </c>
      <c r="C282" t="str">
        <f>IF('[1]Charriage - Geschiebehaushalt'!P170="b",'[1]Charriage - Geschiebehaushalt'!O170,"")</f>
        <v/>
      </c>
      <c r="D282" t="str">
        <f>IF('[1]Revitalisation-Revitalisierung'!L170="a",'[1]Revitalisation-Revitalisierung'!K170,"")</f>
        <v>non pertinent / nicht relevant</v>
      </c>
      <c r="E282" t="str">
        <f>IF('[1]Revitalisation-Revitalisierung'!L170="b",'[1]Revitalisation-Revitalisierung'!K170,"")</f>
        <v/>
      </c>
    </row>
    <row r="283" spans="2:5" x14ac:dyDescent="0.25">
      <c r="B283" t="str">
        <f>IF('[1]Charriage - Geschiebehaushalt'!P171="a",'[1]Charriage - Geschiebehaushalt'!O171,"")</f>
        <v>81 -100%</v>
      </c>
      <c r="C283" t="str">
        <f>IF('[1]Charriage - Geschiebehaushalt'!P171="b",'[1]Charriage - Geschiebehaushalt'!O171,"")</f>
        <v/>
      </c>
      <c r="D283" t="str">
        <f>IF('[1]Revitalisation-Revitalisierung'!L171="a",'[1]Revitalisation-Revitalisierung'!K171,"")</f>
        <v>Non nécessaire / nicht nötig</v>
      </c>
      <c r="E283" t="str">
        <f>IF('[1]Revitalisation-Revitalisierung'!L171="b",'[1]Revitalisation-Revitalisierung'!K171,"")</f>
        <v/>
      </c>
    </row>
    <row r="284" spans="2:5" x14ac:dyDescent="0.25">
      <c r="B284" t="str">
        <f>IF('[1]Charriage - Geschiebehaushalt'!P172="a",'[1]Charriage - Geschiebehaushalt'!O172,"")</f>
        <v>non pertinent / nicht relevant</v>
      </c>
      <c r="C284" t="str">
        <f>IF('[1]Charriage - Geschiebehaushalt'!P172="b",'[1]Charriage - Geschiebehaushalt'!O172,"")</f>
        <v/>
      </c>
      <c r="D284" t="str">
        <f>IF('[1]Revitalisation-Revitalisierung'!L172="a",'[1]Revitalisation-Revitalisierung'!K172,"")</f>
        <v>non pertinent / nicht relevant</v>
      </c>
      <c r="E284" t="str">
        <f>IF('[1]Revitalisation-Revitalisierung'!L172="b",'[1]Revitalisation-Revitalisierung'!K172,"")</f>
        <v/>
      </c>
    </row>
    <row r="285" spans="2:5" x14ac:dyDescent="0.25">
      <c r="B285" t="str">
        <f>IF('[1]Charriage - Geschiebehaushalt'!P173="a",'[1]Charriage - Geschiebehaushalt'!O173,"")</f>
        <v/>
      </c>
      <c r="C285" t="str">
        <f>IF('[1]Charriage - Geschiebehaushalt'!P173="b",'[1]Charriage - Geschiebehaushalt'!O173,"")</f>
        <v>La remobilisation des sédiments est perturbée / Mobilisierung von Geschiebe beeinträchtigt</v>
      </c>
      <c r="D285" t="str">
        <f>IF('[1]Revitalisation-Revitalisierung'!L173="a",'[1]Revitalisation-Revitalisierung'!K173,"")</f>
        <v>Très nécessaire, facile / unbedingt nötig, einfach</v>
      </c>
      <c r="E285" t="str">
        <f>IF('[1]Revitalisation-Revitalisierung'!L173="b",'[1]Revitalisation-Revitalisierung'!K173,"")</f>
        <v/>
      </c>
    </row>
    <row r="286" spans="2:5" x14ac:dyDescent="0.25">
      <c r="B286" t="str">
        <f>IF('[1]Charriage - Geschiebehaushalt'!P174="a",'[1]Charriage - Geschiebehaushalt'!O174,"")</f>
        <v/>
      </c>
      <c r="C286" t="str">
        <f>IF('[1]Charriage - Geschiebehaushalt'!P174="b",'[1]Charriage - Geschiebehaushalt'!O174,"")</f>
        <v>La remobilisation des sédiments est perturbée / Mobilisierung von Geschiebe beeinträchtigt</v>
      </c>
      <c r="D286" t="str">
        <f>IF('[1]Revitalisation-Revitalisierung'!L174="a",'[1]Revitalisation-Revitalisierung'!K174,"")</f>
        <v/>
      </c>
      <c r="E286" t="str">
        <f>IF('[1]Revitalisation-Revitalisierung'!L174="b",'[1]Revitalisation-Revitalisierung'!K174,"")</f>
        <v>Très nécessaire, facile / unbedingt nötig, einfach</v>
      </c>
    </row>
    <row r="287" spans="2:5" x14ac:dyDescent="0.25">
      <c r="B287" t="str">
        <f>IF('[1]Charriage - Geschiebehaushalt'!P175="a",'[1]Charriage - Geschiebehaushalt'!O175,"")</f>
        <v>Charriage présumé naturel / Geschiebehaushalt vermutlich natürlich</v>
      </c>
      <c r="C287" t="str">
        <f>IF('[1]Charriage - Geschiebehaushalt'!P175="b",'[1]Charriage - Geschiebehaushalt'!O175,"")</f>
        <v/>
      </c>
      <c r="D287" t="str">
        <f>IF('[1]Revitalisation-Revitalisierung'!L175="a",'[1]Revitalisation-Revitalisierung'!K175,"")</f>
        <v/>
      </c>
      <c r="E287" t="str">
        <f>IF('[1]Revitalisation-Revitalisierung'!L175="b",'[1]Revitalisation-Revitalisierung'!K175,"")</f>
        <v>Très nécessaire, facile / unbedingt nötig, einfach</v>
      </c>
    </row>
    <row r="288" spans="2:5" x14ac:dyDescent="0.25">
      <c r="B288" t="str">
        <f>IF('[1]Charriage - Geschiebehaushalt'!P176="a",'[1]Charriage - Geschiebehaushalt'!O176,"")</f>
        <v/>
      </c>
      <c r="C288" t="str">
        <f>IF('[1]Charriage - Geschiebehaushalt'!P176="b",'[1]Charriage - Geschiebehaushalt'!O176,"")</f>
        <v>Charriage présumé perturbé / Geschiebehaushalt vermutlich beeinträchtigt</v>
      </c>
      <c r="D288" t="str">
        <f>IF('[1]Revitalisation-Revitalisierung'!L176="a",'[1]Revitalisation-Revitalisierung'!K176,"")</f>
        <v>Non nécessaire / nicht nötig</v>
      </c>
      <c r="E288" t="str">
        <f>IF('[1]Revitalisation-Revitalisierung'!L176="b",'[1]Revitalisation-Revitalisierung'!K176,"")</f>
        <v/>
      </c>
    </row>
    <row r="289" spans="2:5" x14ac:dyDescent="0.25">
      <c r="B289" t="str">
        <f>IF('[1]Charriage - Geschiebehaushalt'!P177="a",'[1]Charriage - Geschiebehaushalt'!O177,"")</f>
        <v/>
      </c>
      <c r="C289" t="str">
        <f>IF('[1]Charriage - Geschiebehaushalt'!P177="b",'[1]Charriage - Geschiebehaushalt'!O177,"")</f>
        <v>Déficit non apparent en charriage ou en remobilisation des sédiments / kein sichtbares Defizit beim Geschiebehaushalt bzw. bei der Mobilisierung von Geschiebe</v>
      </c>
      <c r="D289" t="str">
        <f>IF('[1]Revitalisation-Revitalisierung'!L177="a",'[1]Revitalisation-Revitalisierung'!K177,"")</f>
        <v/>
      </c>
      <c r="E289" t="str">
        <f>IF('[1]Revitalisation-Revitalisierung'!L177="b",'[1]Revitalisation-Revitalisierung'!K177,"")</f>
        <v>Très nécessaire, facile / unbedingt nötig, einfach</v>
      </c>
    </row>
    <row r="290" spans="2:5" x14ac:dyDescent="0.25">
      <c r="B290" t="str">
        <f>IF('[1]Charriage - Geschiebehaushalt'!P178="a",'[1]Charriage - Geschiebehaushalt'!O178,"")</f>
        <v/>
      </c>
      <c r="C290" t="str">
        <f>IF('[1]Charriage - Geschiebehaushalt'!P178="b",'[1]Charriage - Geschiebehaushalt'!O178,"")</f>
        <v>Charriage présumé naturel / Geschiebehaushalt vermutlich natürlich</v>
      </c>
      <c r="D290" t="str">
        <f>IF('[1]Revitalisation-Revitalisierung'!L178="a",'[1]Revitalisation-Revitalisierung'!K178,"")</f>
        <v>Non nécessaire / nicht nötig</v>
      </c>
      <c r="E290" t="str">
        <f>IF('[1]Revitalisation-Revitalisierung'!L178="b",'[1]Revitalisation-Revitalisierung'!K178,"")</f>
        <v/>
      </c>
    </row>
    <row r="291" spans="2:5" x14ac:dyDescent="0.25">
      <c r="B291" t="str">
        <f>IF('[1]Charriage - Geschiebehaushalt'!P179="a",'[1]Charriage - Geschiebehaushalt'!O179,"")</f>
        <v/>
      </c>
      <c r="C291" t="str">
        <f>IF('[1]Charriage - Geschiebehaushalt'!P179="b",'[1]Charriage - Geschiebehaushalt'!O179,"")</f>
        <v>Charriage présumé naturel / Geschiebehaushalt vermutlich natürlich</v>
      </c>
      <c r="D291" t="str">
        <f>IF('[1]Revitalisation-Revitalisierung'!L179="a",'[1]Revitalisation-Revitalisierung'!K179,"")</f>
        <v>Non nécessaire / nicht nötig</v>
      </c>
      <c r="E291" t="str">
        <f>IF('[1]Revitalisation-Revitalisierung'!L179="b",'[1]Revitalisation-Revitalisierung'!K179,"")</f>
        <v/>
      </c>
    </row>
    <row r="292" spans="2:5" x14ac:dyDescent="0.25">
      <c r="B292" t="str">
        <f>IF('[1]Charriage - Geschiebehaushalt'!P180="a",'[1]Charriage - Geschiebehaushalt'!O180,"")</f>
        <v/>
      </c>
      <c r="C292" t="str">
        <f>IF('[1]Charriage - Geschiebehaushalt'!P180="b",'[1]Charriage - Geschiebehaushalt'!O180,"")</f>
        <v>Charriage présumé naturel / Geschiebehaushalt vermutlich natürlich</v>
      </c>
      <c r="D292" t="str">
        <f>IF('[1]Revitalisation-Revitalisierung'!L180="a",'[1]Revitalisation-Revitalisierung'!K180,"")</f>
        <v>Partiellement nécessaire, facile / teilweise nötig, einfach</v>
      </c>
      <c r="E292" t="str">
        <f>IF('[1]Revitalisation-Revitalisierung'!L180="b",'[1]Revitalisation-Revitalisierung'!K180,"")</f>
        <v/>
      </c>
    </row>
    <row r="293" spans="2:5" x14ac:dyDescent="0.25">
      <c r="B293" t="str">
        <f>IF('[1]Charriage - Geschiebehaushalt'!P181="a",'[1]Charriage - Geschiebehaushalt'!O181,"")</f>
        <v>Charriage présumé naturel / Geschiebehaushalt vermutlich natürlich</v>
      </c>
      <c r="C293" t="str">
        <f>IF('[1]Charriage - Geschiebehaushalt'!P181="b",'[1]Charriage - Geschiebehaushalt'!O181,"")</f>
        <v/>
      </c>
      <c r="D293" t="str">
        <f>IF('[1]Revitalisation-Revitalisierung'!L181="a",'[1]Revitalisation-Revitalisierung'!K181,"")</f>
        <v/>
      </c>
      <c r="E293" t="str">
        <f>IF('[1]Revitalisation-Revitalisierung'!L181="b",'[1]Revitalisation-Revitalisierung'!K181,"")</f>
        <v>Très nécessaire, facile / unbedingt nötig, einfach</v>
      </c>
    </row>
    <row r="294" spans="2:5" x14ac:dyDescent="0.25">
      <c r="B294" t="str">
        <f>IF('[1]Charriage - Geschiebehaushalt'!P182="a",'[1]Charriage - Geschiebehaushalt'!O182,"")</f>
        <v/>
      </c>
      <c r="C294" t="str">
        <f>IF('[1]Charriage - Geschiebehaushalt'!P182="b",'[1]Charriage - Geschiebehaushalt'!O182,"")</f>
        <v>Déficit non apparent en charriage ou en remobilisation des sédiments / kein sichtbares Defizit beim Geschiebehaushalt bzw. bei der Mobilisierung von Geschiebe</v>
      </c>
      <c r="D294" t="str">
        <f>IF('[1]Revitalisation-Revitalisierung'!L182="a",'[1]Revitalisation-Revitalisierung'!K182,"")</f>
        <v>Très nécessaire, facile / unbedingt nötig, einfach</v>
      </c>
      <c r="E294" t="str">
        <f>IF('[1]Revitalisation-Revitalisierung'!L182="b",'[1]Revitalisation-Revitalisierung'!K182,"")</f>
        <v/>
      </c>
    </row>
    <row r="295" spans="2:5" x14ac:dyDescent="0.25">
      <c r="B295" t="str">
        <f>IF('[1]Charriage - Geschiebehaushalt'!P183="a",'[1]Charriage - Geschiebehaushalt'!O183,"")</f>
        <v/>
      </c>
      <c r="C295" t="str">
        <f>IF('[1]Charriage - Geschiebehaushalt'!P183="b",'[1]Charriage - Geschiebehaushalt'!O183,"")</f>
        <v>Charriage présumé naturel / Geschiebehaushalt vermutlich natürlich</v>
      </c>
      <c r="D295" t="str">
        <f>IF('[1]Revitalisation-Revitalisierung'!L183="a",'[1]Revitalisation-Revitalisierung'!K183,"")</f>
        <v/>
      </c>
      <c r="E295" t="str">
        <f>IF('[1]Revitalisation-Revitalisierung'!L183="b",'[1]Revitalisation-Revitalisierung'!K183,"")</f>
        <v>Non nécessaire / nicht nötig</v>
      </c>
    </row>
    <row r="296" spans="2:5" x14ac:dyDescent="0.25">
      <c r="B296" t="str">
        <f>IF('[1]Charriage - Geschiebehaushalt'!P184="a",'[1]Charriage - Geschiebehaushalt'!O184,"")</f>
        <v>non pertinent / nicht relevant</v>
      </c>
      <c r="C296" t="str">
        <f>IF('[1]Charriage - Geschiebehaushalt'!P184="b",'[1]Charriage - Geschiebehaushalt'!O184,"")</f>
        <v/>
      </c>
      <c r="D296" t="str">
        <f>IF('[1]Revitalisation-Revitalisierung'!L184="a",'[1]Revitalisation-Revitalisierung'!K184,"")</f>
        <v>non pertinent / nicht relevant</v>
      </c>
      <c r="E296" t="str">
        <f>IF('[1]Revitalisation-Revitalisierung'!L184="b",'[1]Revitalisation-Revitalisierung'!K184,"")</f>
        <v/>
      </c>
    </row>
    <row r="297" spans="2:5" x14ac:dyDescent="0.25">
      <c r="B297" t="str">
        <f>IF('[1]Charriage - Geschiebehaushalt'!P185="a",'[1]Charriage - Geschiebehaushalt'!O185,"")</f>
        <v>non pertinent / nicht relevant</v>
      </c>
      <c r="C297" t="str">
        <f>IF('[1]Charriage - Geschiebehaushalt'!P185="b",'[1]Charriage - Geschiebehaushalt'!O185,"")</f>
        <v/>
      </c>
      <c r="D297" t="str">
        <f>IF('[1]Revitalisation-Revitalisierung'!L185="a",'[1]Revitalisation-Revitalisierung'!K185,"")</f>
        <v>Non nécessaire / nicht nötig</v>
      </c>
      <c r="E297" t="str">
        <f>IF('[1]Revitalisation-Revitalisierung'!L185="b",'[1]Revitalisation-Revitalisierung'!K185,"")</f>
        <v/>
      </c>
    </row>
    <row r="298" spans="2:5" x14ac:dyDescent="0.25">
      <c r="B298" t="str">
        <f>IF('[1]Charriage - Geschiebehaushalt'!P186="a",'[1]Charriage - Geschiebehaushalt'!O186,"")</f>
        <v>Charriage présumé perturbé / Geschiebehaushalt vermutlich beeinträchtigt</v>
      </c>
      <c r="C298" t="str">
        <f>IF('[1]Charriage - Geschiebehaushalt'!P186="b",'[1]Charriage - Geschiebehaushalt'!O186,"")</f>
        <v/>
      </c>
      <c r="D298" t="str">
        <f>IF('[1]Revitalisation-Revitalisierung'!L186="a",'[1]Revitalisation-Revitalisierung'!K186,"")</f>
        <v/>
      </c>
      <c r="E298" t="str">
        <f>IF('[1]Revitalisation-Revitalisierung'!L186="b",'[1]Revitalisation-Revitalisierung'!K186,"")</f>
        <v>Très nécessaire, difficile / unbedingt nötig, schwierig</v>
      </c>
    </row>
    <row r="299" spans="2:5" x14ac:dyDescent="0.25">
      <c r="B299" t="str">
        <f>IF('[1]Charriage - Geschiebehaushalt'!P187="a",'[1]Charriage - Geschiebehaushalt'!O187,"")</f>
        <v>Charriage présumé naturel / Geschiebehaushalt vermutlich natürlich</v>
      </c>
      <c r="C299" t="str">
        <f>IF('[1]Charriage - Geschiebehaushalt'!P187="b",'[1]Charriage - Geschiebehaushalt'!O187,"")</f>
        <v/>
      </c>
      <c r="D299" t="str">
        <f>IF('[1]Revitalisation-Revitalisierung'!L187="a",'[1]Revitalisation-Revitalisierung'!K187,"")</f>
        <v>Non nécessaire / nicht nötig</v>
      </c>
      <c r="E299" t="str">
        <f>IF('[1]Revitalisation-Revitalisierung'!L187="b",'[1]Revitalisation-Revitalisierung'!K187,"")</f>
        <v/>
      </c>
    </row>
    <row r="300" spans="2:5" x14ac:dyDescent="0.25">
      <c r="B300" t="str">
        <f>IF('[1]Charriage - Geschiebehaushalt'!P188="a",'[1]Charriage - Geschiebehaushalt'!O188,"")</f>
        <v/>
      </c>
      <c r="C300" t="str">
        <f>IF('[1]Charriage - Geschiebehaushalt'!P188="b",'[1]Charriage - Geschiebehaushalt'!O188,"")</f>
        <v>Charriage présumé naturel / Geschiebehaushalt vermutlich natürlich</v>
      </c>
      <c r="D300" t="str">
        <f>IF('[1]Revitalisation-Revitalisierung'!L188="a",'[1]Revitalisation-Revitalisierung'!K188,"")</f>
        <v>Non nécessaire / nicht nötig</v>
      </c>
      <c r="E300" t="str">
        <f>IF('[1]Revitalisation-Revitalisierung'!L188="b",'[1]Revitalisation-Revitalisierung'!K188,"")</f>
        <v/>
      </c>
    </row>
    <row r="301" spans="2:5" x14ac:dyDescent="0.25">
      <c r="B301" t="str">
        <f>IF('[1]Charriage - Geschiebehaushalt'!P189="a",'[1]Charriage - Geschiebehaushalt'!O189,"")</f>
        <v/>
      </c>
      <c r="C301" t="str">
        <f>IF('[1]Charriage - Geschiebehaushalt'!P189="b",'[1]Charriage - Geschiebehaushalt'!O189,"")</f>
        <v>Charriage présumé naturel / Geschiebehaushalt vermutlich natürlich</v>
      </c>
      <c r="D301" t="str">
        <f>IF('[1]Revitalisation-Revitalisierung'!L189="a",'[1]Revitalisation-Revitalisierung'!K189,"")</f>
        <v>Non nécessaire / nicht nötig</v>
      </c>
      <c r="E301" t="str">
        <f>IF('[1]Revitalisation-Revitalisierung'!L189="b",'[1]Revitalisation-Revitalisierung'!K189,"")</f>
        <v/>
      </c>
    </row>
    <row r="302" spans="2:5" x14ac:dyDescent="0.25">
      <c r="B302" t="str">
        <f>IF('[1]Charriage - Geschiebehaushalt'!P190="a",'[1]Charriage - Geschiebehaushalt'!O190,"")</f>
        <v>0-20%</v>
      </c>
      <c r="C302" t="str">
        <f>IF('[1]Charriage - Geschiebehaushalt'!P190="b",'[1]Charriage - Geschiebehaushalt'!O190,"")</f>
        <v/>
      </c>
      <c r="D302" t="str">
        <f>IF('[1]Revitalisation-Revitalisierung'!L190="a",'[1]Revitalisation-Revitalisierung'!K190,"")</f>
        <v>Partiellement nécessaire, facile / teilweise nötig, einfach</v>
      </c>
      <c r="E302" t="str">
        <f>IF('[1]Revitalisation-Revitalisierung'!L190="b",'[1]Revitalisation-Revitalisierung'!K190,"")</f>
        <v/>
      </c>
    </row>
    <row r="303" spans="2:5" x14ac:dyDescent="0.25">
      <c r="B303" t="str">
        <f>IF('[1]Charriage - Geschiebehaushalt'!P191="a",'[1]Charriage - Geschiebehaushalt'!O191,"")</f>
        <v>21-50%</v>
      </c>
      <c r="C303" t="str">
        <f>IF('[1]Charriage - Geschiebehaushalt'!P191="b",'[1]Charriage - Geschiebehaushalt'!O191,"")</f>
        <v/>
      </c>
      <c r="D303" t="str">
        <f>IF('[1]Revitalisation-Revitalisierung'!L191="a",'[1]Revitalisation-Revitalisierung'!K191,"")</f>
        <v>Partiellement nécessaire, facile / teilweise nötig, einfach</v>
      </c>
      <c r="E303" t="str">
        <f>IF('[1]Revitalisation-Revitalisierung'!L191="b",'[1]Revitalisation-Revitalisierung'!K191,"")</f>
        <v/>
      </c>
    </row>
    <row r="304" spans="2:5" x14ac:dyDescent="0.25">
      <c r="B304" t="str">
        <f>IF('[1]Charriage - Geschiebehaushalt'!P192="a",'[1]Charriage - Geschiebehaushalt'!O192,"")</f>
        <v>0-20%</v>
      </c>
      <c r="C304" t="str">
        <f>IF('[1]Charriage - Geschiebehaushalt'!P192="b",'[1]Charriage - Geschiebehaushalt'!O192,"")</f>
        <v/>
      </c>
      <c r="D304" t="str">
        <f>IF('[1]Revitalisation-Revitalisierung'!L192="a",'[1]Revitalisation-Revitalisierung'!K192,"")</f>
        <v/>
      </c>
      <c r="E304" t="str">
        <f>IF('[1]Revitalisation-Revitalisierung'!L192="b",'[1]Revitalisation-Revitalisierung'!K192,"")</f>
        <v>Non nécessaire / nicht nötig</v>
      </c>
    </row>
    <row r="305" spans="2:5" x14ac:dyDescent="0.25">
      <c r="B305" t="str">
        <f>IF('[1]Charriage - Geschiebehaushalt'!P193="a",'[1]Charriage - Geschiebehaushalt'!O193,"")</f>
        <v/>
      </c>
      <c r="C305" t="str">
        <f>IF('[1]Charriage - Geschiebehaushalt'!P193="b",'[1]Charriage - Geschiebehaushalt'!O193,"")</f>
        <v>Charriage présumé naturel / Geschiebehaushalt vermutlich natürlich</v>
      </c>
      <c r="D305" t="str">
        <f>IF('[1]Revitalisation-Revitalisierung'!L193="a",'[1]Revitalisation-Revitalisierung'!K193,"")</f>
        <v>Non nécessaire / nicht nötig</v>
      </c>
      <c r="E305" t="str">
        <f>IF('[1]Revitalisation-Revitalisierung'!L193="b",'[1]Revitalisation-Revitalisierung'!K193,"")</f>
        <v/>
      </c>
    </row>
    <row r="306" spans="2:5" x14ac:dyDescent="0.25">
      <c r="B306" t="str">
        <f>IF('[1]Charriage - Geschiebehaushalt'!P194="a",'[1]Charriage - Geschiebehaushalt'!O194,"")</f>
        <v>51-80%</v>
      </c>
      <c r="C306" t="str">
        <f>IF('[1]Charriage - Geschiebehaushalt'!P194="b",'[1]Charriage - Geschiebehaushalt'!O194,"")</f>
        <v/>
      </c>
      <c r="D306" t="str">
        <f>IF('[1]Revitalisation-Revitalisierung'!L194="a",'[1]Revitalisation-Revitalisierung'!K194,"")</f>
        <v>Non nécessaire / nicht nötig</v>
      </c>
      <c r="E306" t="str">
        <f>IF('[1]Revitalisation-Revitalisierung'!L194="b",'[1]Revitalisation-Revitalisierung'!K194,"")</f>
        <v/>
      </c>
    </row>
    <row r="307" spans="2:5" x14ac:dyDescent="0.25">
      <c r="B307" t="str">
        <f>IF('[1]Charriage - Geschiebehaushalt'!P195="a",'[1]Charriage - Geschiebehaushalt'!O195,"")</f>
        <v>21-50%</v>
      </c>
      <c r="C307" t="str">
        <f>IF('[1]Charriage - Geschiebehaushalt'!P195="b",'[1]Charriage - Geschiebehaushalt'!O195,"")</f>
        <v/>
      </c>
      <c r="D307" t="str">
        <f>IF('[1]Revitalisation-Revitalisierung'!L195="a",'[1]Revitalisation-Revitalisierung'!K195,"")</f>
        <v>Non nécessaire / nicht nötig</v>
      </c>
      <c r="E307" t="str">
        <f>IF('[1]Revitalisation-Revitalisierung'!L195="b",'[1]Revitalisation-Revitalisierung'!K195,"")</f>
        <v/>
      </c>
    </row>
    <row r="308" spans="2:5" x14ac:dyDescent="0.25">
      <c r="B308" t="str">
        <f>IF('[1]Charriage - Geschiebehaushalt'!P196="a",'[1]Charriage - Geschiebehaushalt'!O196,"")</f>
        <v>21-50%</v>
      </c>
      <c r="C308" t="str">
        <f>IF('[1]Charriage - Geschiebehaushalt'!P196="b",'[1]Charriage - Geschiebehaushalt'!O196,"")</f>
        <v/>
      </c>
      <c r="D308" t="str">
        <f>IF('[1]Revitalisation-Revitalisierung'!L196="a",'[1]Revitalisation-Revitalisierung'!K196,"")</f>
        <v>Non nécessaire / nicht nötig</v>
      </c>
      <c r="E308" t="str">
        <f>IF('[1]Revitalisation-Revitalisierung'!L196="b",'[1]Revitalisation-Revitalisierung'!K196,"")</f>
        <v/>
      </c>
    </row>
    <row r="309" spans="2:5" x14ac:dyDescent="0.25">
      <c r="B309" t="str">
        <f>IF('[1]Charriage - Geschiebehaushalt'!P197="a",'[1]Charriage - Geschiebehaushalt'!O197,"")</f>
        <v>21-50%</v>
      </c>
      <c r="C309" t="str">
        <f>IF('[1]Charriage - Geschiebehaushalt'!P197="b",'[1]Charriage - Geschiebehaushalt'!O197,"")</f>
        <v/>
      </c>
      <c r="D309" t="str">
        <f>IF('[1]Revitalisation-Revitalisierung'!L197="a",'[1]Revitalisation-Revitalisierung'!K197,"")</f>
        <v>Non nécessaire / nicht nötig</v>
      </c>
      <c r="E309" t="str">
        <f>IF('[1]Revitalisation-Revitalisierung'!L197="b",'[1]Revitalisation-Revitalisierung'!K197,"")</f>
        <v/>
      </c>
    </row>
    <row r="310" spans="2:5" x14ac:dyDescent="0.25">
      <c r="B310" t="str">
        <f>IF('[1]Charriage - Geschiebehaushalt'!P198="a",'[1]Charriage - Geschiebehaushalt'!O198,"")</f>
        <v>0-20%</v>
      </c>
      <c r="C310" t="str">
        <f>IF('[1]Charriage - Geschiebehaushalt'!P198="b",'[1]Charriage - Geschiebehaushalt'!O198,"")</f>
        <v/>
      </c>
      <c r="D310" t="str">
        <f>IF('[1]Revitalisation-Revitalisierung'!L198="a",'[1]Revitalisation-Revitalisierung'!K198,"")</f>
        <v/>
      </c>
      <c r="E310" t="str">
        <f>IF('[1]Revitalisation-Revitalisierung'!L198="b",'[1]Revitalisation-Revitalisierung'!K198,"")</f>
        <v>Non nécessaire / nicht nötig</v>
      </c>
    </row>
    <row r="311" spans="2:5" x14ac:dyDescent="0.25">
      <c r="B311" t="str">
        <f>IF('[1]Charriage - Geschiebehaushalt'!P199="a",'[1]Charriage - Geschiebehaushalt'!O199,"")</f>
        <v/>
      </c>
      <c r="C311" t="str">
        <f>IF('[1]Charriage - Geschiebehaushalt'!P199="b",'[1]Charriage - Geschiebehaushalt'!O199,"")</f>
        <v>Charriage présumé naturel / Geschiebehaushalt vermutlich natürlich</v>
      </c>
      <c r="D311" t="str">
        <f>IF('[1]Revitalisation-Revitalisierung'!L199="a",'[1]Revitalisation-Revitalisierung'!K199,"")</f>
        <v>Partiellement nécessaire, facile / teilweise nötig, einfach</v>
      </c>
      <c r="E311" t="str">
        <f>IF('[1]Revitalisation-Revitalisierung'!L199="b",'[1]Revitalisation-Revitalisierung'!K199,"")</f>
        <v/>
      </c>
    </row>
    <row r="312" spans="2:5" x14ac:dyDescent="0.25">
      <c r="B312" t="str">
        <f>IF('[1]Charriage - Geschiebehaushalt'!P200="a",'[1]Charriage - Geschiebehaushalt'!O200,"")</f>
        <v/>
      </c>
      <c r="C312" t="str">
        <f>IF('[1]Charriage - Geschiebehaushalt'!P200="b",'[1]Charriage - Geschiebehaushalt'!O200,"")</f>
        <v>Charriage présumé naturel / Geschiebehaushalt vermutlich natürlich</v>
      </c>
      <c r="D312" t="str">
        <f>IF('[1]Revitalisation-Revitalisierung'!L200="a",'[1]Revitalisation-Revitalisierung'!K200,"")</f>
        <v>Partiellement nécessaire, facile / teilweise nötig, einfach</v>
      </c>
      <c r="E312" t="str">
        <f>IF('[1]Revitalisation-Revitalisierung'!L200="b",'[1]Revitalisation-Revitalisierung'!K200,"")</f>
        <v/>
      </c>
    </row>
    <row r="313" spans="2:5" x14ac:dyDescent="0.25">
      <c r="B313" t="str">
        <f>IF('[1]Charriage - Geschiebehaushalt'!P201="a",'[1]Charriage - Geschiebehaushalt'!O201,"")</f>
        <v>0-20%</v>
      </c>
      <c r="C313" t="str">
        <f>IF('[1]Charriage - Geschiebehaushalt'!P201="b",'[1]Charriage - Geschiebehaushalt'!O201,"")</f>
        <v/>
      </c>
      <c r="D313" t="str">
        <f>IF('[1]Revitalisation-Revitalisierung'!L201="a",'[1]Revitalisation-Revitalisierung'!K201,"")</f>
        <v/>
      </c>
      <c r="E313" t="str">
        <f>IF('[1]Revitalisation-Revitalisierung'!L201="b",'[1]Revitalisation-Revitalisierung'!K201,"")</f>
        <v>Non nécessaire / nicht nötig</v>
      </c>
    </row>
    <row r="314" spans="2:5" x14ac:dyDescent="0.25">
      <c r="B314" t="str">
        <f>IF('[1]Charriage - Geschiebehaushalt'!P202="a",'[1]Charriage - Geschiebehaushalt'!O202,"")</f>
        <v/>
      </c>
      <c r="C314" t="str">
        <f>IF('[1]Charriage - Geschiebehaushalt'!P202="b",'[1]Charriage - Geschiebehaushalt'!O202,"")</f>
        <v>Charriage présumé naturel / Geschiebehaushalt vermutlich natürlich</v>
      </c>
      <c r="D314" t="str">
        <f>IF('[1]Revitalisation-Revitalisierung'!L202="a",'[1]Revitalisation-Revitalisierung'!K202,"")</f>
        <v/>
      </c>
      <c r="E314" t="str">
        <f>IF('[1]Revitalisation-Revitalisierung'!L202="b",'[1]Revitalisation-Revitalisierung'!K202,"")</f>
        <v>Non nécessaire / nicht nötig</v>
      </c>
    </row>
    <row r="315" spans="2:5" x14ac:dyDescent="0.25">
      <c r="B315" t="str">
        <f>IF('[1]Charriage - Geschiebehaushalt'!P203="a",'[1]Charriage - Geschiebehaushalt'!O203,"")</f>
        <v/>
      </c>
      <c r="C315" t="str">
        <f>IF('[1]Charriage - Geschiebehaushalt'!P203="b",'[1]Charriage - Geschiebehaushalt'!O203,"")</f>
        <v>Charriage présumé naturel / Geschiebehaushalt vermutlich natürlich</v>
      </c>
      <c r="D315" t="str">
        <f>IF('[1]Revitalisation-Revitalisierung'!L203="a",'[1]Revitalisation-Revitalisierung'!K203,"")</f>
        <v>Non nécessaire / nicht nötig</v>
      </c>
      <c r="E315" t="str">
        <f>IF('[1]Revitalisation-Revitalisierung'!L203="b",'[1]Revitalisation-Revitalisierung'!K203,"")</f>
        <v/>
      </c>
    </row>
    <row r="316" spans="2:5" x14ac:dyDescent="0.25">
      <c r="B316" t="str">
        <f>IF('[1]Charriage - Geschiebehaushalt'!P204="a",'[1]Charriage - Geschiebehaushalt'!O204,"")</f>
        <v/>
      </c>
      <c r="C316" t="str">
        <f>IF('[1]Charriage - Geschiebehaushalt'!P204="b",'[1]Charriage - Geschiebehaushalt'!O204,"")</f>
        <v>Charriage présumé naturel / Geschiebehaushalt vermutlich natürlich</v>
      </c>
      <c r="D316" t="str">
        <f>IF('[1]Revitalisation-Revitalisierung'!L204="a",'[1]Revitalisation-Revitalisierung'!K204,"")</f>
        <v>Non nécessaire / nicht nötig</v>
      </c>
      <c r="E316" t="str">
        <f>IF('[1]Revitalisation-Revitalisierung'!L204="b",'[1]Revitalisation-Revitalisierung'!K204,"")</f>
        <v/>
      </c>
    </row>
    <row r="317" spans="2:5" x14ac:dyDescent="0.25">
      <c r="B317" t="str">
        <f>IF('[1]Charriage - Geschiebehaushalt'!P205="a",'[1]Charriage - Geschiebehaushalt'!O205,"")</f>
        <v/>
      </c>
      <c r="C317" t="str">
        <f>IF('[1]Charriage - Geschiebehaushalt'!P205="b",'[1]Charriage - Geschiebehaushalt'!O205,"")</f>
        <v>Charriage présumé naturel / Geschiebehaushalt vermutlich natürlich</v>
      </c>
      <c r="D317" t="str">
        <f>IF('[1]Revitalisation-Revitalisierung'!L205="a",'[1]Revitalisation-Revitalisierung'!K205,"")</f>
        <v>Non nécessaire / nicht nötig</v>
      </c>
      <c r="E317" t="str">
        <f>IF('[1]Revitalisation-Revitalisierung'!L205="b",'[1]Revitalisation-Revitalisierung'!K205,"")</f>
        <v/>
      </c>
    </row>
    <row r="318" spans="2:5" x14ac:dyDescent="0.25">
      <c r="B318" t="str">
        <f>IF('[1]Charriage - Geschiebehaushalt'!P206="a",'[1]Charriage - Geschiebehaushalt'!O206,"")</f>
        <v>Charriage présumé naturel / Geschiebehaushalt vermutlich natürlich</v>
      </c>
      <c r="C318" t="str">
        <f>IF('[1]Charriage - Geschiebehaushalt'!P206="b",'[1]Charriage - Geschiebehaushalt'!O206,"")</f>
        <v/>
      </c>
      <c r="D318" t="str">
        <f>IF('[1]Revitalisation-Revitalisierung'!L206="a",'[1]Revitalisation-Revitalisierung'!K206,"")</f>
        <v>Non nécessaire / nicht nötig</v>
      </c>
      <c r="E318" t="str">
        <f>IF('[1]Revitalisation-Revitalisierung'!L206="b",'[1]Revitalisation-Revitalisierung'!K206,"")</f>
        <v/>
      </c>
    </row>
    <row r="319" spans="2:5" x14ac:dyDescent="0.25">
      <c r="B319" t="str">
        <f>IF('[1]Charriage - Geschiebehaushalt'!P207="a",'[1]Charriage - Geschiebehaushalt'!O207,"")</f>
        <v/>
      </c>
      <c r="C319" t="str">
        <f>IF('[1]Charriage - Geschiebehaushalt'!P207="b",'[1]Charriage - Geschiebehaushalt'!O207,"")</f>
        <v>Charriage présumé naturel / Geschiebehaushalt vermutlich natürlich</v>
      </c>
      <c r="D319" t="str">
        <f>IF('[1]Revitalisation-Revitalisierung'!L207="a",'[1]Revitalisation-Revitalisierung'!K207,"")</f>
        <v>Non nécessaire / nicht nötig</v>
      </c>
      <c r="E319" t="str">
        <f>IF('[1]Revitalisation-Revitalisierung'!L207="b",'[1]Revitalisation-Revitalisierung'!K207,"")</f>
        <v/>
      </c>
    </row>
    <row r="320" spans="2:5" x14ac:dyDescent="0.25">
      <c r="B320" t="str">
        <f>IF('[1]Charriage - Geschiebehaushalt'!P208="a",'[1]Charriage - Geschiebehaushalt'!O208,"")</f>
        <v/>
      </c>
      <c r="C320" t="str">
        <f>IF('[1]Charriage - Geschiebehaushalt'!P208="b",'[1]Charriage - Geschiebehaushalt'!O208,"")</f>
        <v>Charriage présumé naturel / Geschiebehaushalt vermutlich natürlich</v>
      </c>
      <c r="D320" t="str">
        <f>IF('[1]Revitalisation-Revitalisierung'!L208="a",'[1]Revitalisation-Revitalisierung'!K208,"")</f>
        <v>Non nécessaire / nicht nötig</v>
      </c>
      <c r="E320" t="str">
        <f>IF('[1]Revitalisation-Revitalisierung'!L208="b",'[1]Revitalisation-Revitalisierung'!K208,"")</f>
        <v/>
      </c>
    </row>
    <row r="321" spans="2:5" x14ac:dyDescent="0.25">
      <c r="B321" t="str">
        <f>IF('[1]Charriage - Geschiebehaushalt'!P209="a",'[1]Charriage - Geschiebehaushalt'!O209,"")</f>
        <v>Charriage présumé naturel / Geschiebehaushalt vermutlich natürlich</v>
      </c>
      <c r="C321" t="str">
        <f>IF('[1]Charriage - Geschiebehaushalt'!P209="b",'[1]Charriage - Geschiebehaushalt'!O209,"")</f>
        <v/>
      </c>
      <c r="D321" t="str">
        <f>IF('[1]Revitalisation-Revitalisierung'!L209="a",'[1]Revitalisation-Revitalisierung'!K209,"")</f>
        <v/>
      </c>
      <c r="E321" t="str">
        <f>IF('[1]Revitalisation-Revitalisierung'!L209="b",'[1]Revitalisation-Revitalisierung'!K209,"")</f>
        <v>Très nécessaire, facile / unbedingt nötig, einfach</v>
      </c>
    </row>
    <row r="322" spans="2:5" x14ac:dyDescent="0.25">
      <c r="B322" t="str">
        <f>IF('[1]Charriage - Geschiebehaushalt'!P210="a",'[1]Charriage - Geschiebehaushalt'!O210,"")</f>
        <v>Charriage présumé naturel / Geschiebehaushalt vermutlich natürlich</v>
      </c>
      <c r="C322" t="str">
        <f>IF('[1]Charriage - Geschiebehaushalt'!P210="b",'[1]Charriage - Geschiebehaushalt'!O210,"")</f>
        <v/>
      </c>
      <c r="D322" t="str">
        <f>IF('[1]Revitalisation-Revitalisierung'!L210="a",'[1]Revitalisation-Revitalisierung'!K210,"")</f>
        <v/>
      </c>
      <c r="E322" t="str">
        <f>IF('[1]Revitalisation-Revitalisierung'!L210="b",'[1]Revitalisation-Revitalisierung'!K210,"")</f>
        <v>Très nécessaire, facile / unbedingt nötig, einfach</v>
      </c>
    </row>
    <row r="323" spans="2:5" x14ac:dyDescent="0.25">
      <c r="B323" t="str">
        <f>IF('[1]Charriage - Geschiebehaushalt'!P211="a",'[1]Charriage - Geschiebehaushalt'!O211,"")</f>
        <v>Charriage présumé naturel / Geschiebehaushalt vermutlich natürlich</v>
      </c>
      <c r="C323" t="str">
        <f>IF('[1]Charriage - Geschiebehaushalt'!P211="b",'[1]Charriage - Geschiebehaushalt'!O211,"")</f>
        <v/>
      </c>
      <c r="D323" t="str">
        <f>IF('[1]Revitalisation-Revitalisierung'!L211="a",'[1]Revitalisation-Revitalisierung'!K211,"")</f>
        <v>Très nécessaire, facile / unbedingt nötig, einfach</v>
      </c>
      <c r="E323" t="str">
        <f>IF('[1]Revitalisation-Revitalisierung'!L211="b",'[1]Revitalisation-Revitalisierung'!K211,"")</f>
        <v/>
      </c>
    </row>
    <row r="324" spans="2:5" x14ac:dyDescent="0.25">
      <c r="B324" t="str">
        <f>IF('[1]Charriage - Geschiebehaushalt'!P212="a",'[1]Charriage - Geschiebehaushalt'!O212,"")</f>
        <v/>
      </c>
      <c r="C324" t="str">
        <f>IF('[1]Charriage - Geschiebehaushalt'!P212="b",'[1]Charriage - Geschiebehaushalt'!O212,"")</f>
        <v>Charriage présumé naturel / Geschiebehaushalt vermutlich natürlich</v>
      </c>
      <c r="D324" t="str">
        <f>IF('[1]Revitalisation-Revitalisierung'!L212="a",'[1]Revitalisation-Revitalisierung'!K212,"")</f>
        <v>Non nécessaire / nicht nötig</v>
      </c>
      <c r="E324" t="str">
        <f>IF('[1]Revitalisation-Revitalisierung'!L212="b",'[1]Revitalisation-Revitalisierung'!K212,"")</f>
        <v/>
      </c>
    </row>
    <row r="325" spans="2:5" x14ac:dyDescent="0.25">
      <c r="B325" t="str">
        <f>IF('[1]Charriage - Geschiebehaushalt'!P213="a",'[1]Charriage - Geschiebehaushalt'!O213,"")</f>
        <v/>
      </c>
      <c r="C325" t="str">
        <f>IF('[1]Charriage - Geschiebehaushalt'!P213="b",'[1]Charriage - Geschiebehaushalt'!O213,"")</f>
        <v>Charriage présumé naturel / Geschiebehaushalt vermutlich natürlich</v>
      </c>
      <c r="D325" t="str">
        <f>IF('[1]Revitalisation-Revitalisierung'!L213="a",'[1]Revitalisation-Revitalisierung'!K213,"")</f>
        <v/>
      </c>
      <c r="E325" t="str">
        <f>IF('[1]Revitalisation-Revitalisierung'!L213="b",'[1]Revitalisation-Revitalisierung'!K213,"")</f>
        <v>Partiellement nécessaire, facile / teilweise nötig, einfach</v>
      </c>
    </row>
    <row r="326" spans="2:5" x14ac:dyDescent="0.25">
      <c r="B326" t="str">
        <f>IF('[1]Charriage - Geschiebehaushalt'!P214="a",'[1]Charriage - Geschiebehaushalt'!O214,"")</f>
        <v/>
      </c>
      <c r="C326" t="str">
        <f>IF('[1]Charriage - Geschiebehaushalt'!P214="b",'[1]Charriage - Geschiebehaushalt'!O214,"")</f>
        <v>La remobilisation des sédiments est perturbée / Mobilisierung von Geschiebe beeinträchtigt</v>
      </c>
      <c r="D326" t="str">
        <f>IF('[1]Revitalisation-Revitalisierung'!L214="a",'[1]Revitalisation-Revitalisierung'!K214,"")</f>
        <v>Très nécessaire, difficile / unbedingt nötig, schwierig</v>
      </c>
      <c r="E326" t="str">
        <f>IF('[1]Revitalisation-Revitalisierung'!L214="b",'[1]Revitalisation-Revitalisierung'!K214,"")</f>
        <v/>
      </c>
    </row>
    <row r="327" spans="2:5" x14ac:dyDescent="0.25">
      <c r="B327" t="str">
        <f>IF('[1]Charriage - Geschiebehaushalt'!P215="a",'[1]Charriage - Geschiebehaushalt'!O215,"")</f>
        <v/>
      </c>
      <c r="C327" t="str">
        <f>IF('[1]Charriage - Geschiebehaushalt'!P215="b",'[1]Charriage - Geschiebehaushalt'!O215,"")</f>
        <v>Charriage présumé naturel / Geschiebehaushalt vermutlich natürlich</v>
      </c>
      <c r="D327" t="str">
        <f>IF('[1]Revitalisation-Revitalisierung'!L215="a",'[1]Revitalisation-Revitalisierung'!K215,"")</f>
        <v/>
      </c>
      <c r="E327" t="str">
        <f>IF('[1]Revitalisation-Revitalisierung'!L215="b",'[1]Revitalisation-Revitalisierung'!K215,"")</f>
        <v>Très nécessaire, facile / unbedingt nötig, einfach</v>
      </c>
    </row>
    <row r="328" spans="2:5" x14ac:dyDescent="0.25">
      <c r="B328" t="str">
        <f>IF('[1]Charriage - Geschiebehaushalt'!P216="a",'[1]Charriage - Geschiebehaushalt'!O216,"")</f>
        <v/>
      </c>
      <c r="C328" t="str">
        <f>IF('[1]Charriage - Geschiebehaushalt'!P216="b",'[1]Charriage - Geschiebehaushalt'!O216,"")</f>
        <v>Charriage présumé naturel / Geschiebehaushalt vermutlich natürlich</v>
      </c>
      <c r="D328" t="str">
        <f>IF('[1]Revitalisation-Revitalisierung'!L216="a",'[1]Revitalisation-Revitalisierung'!K216,"")</f>
        <v/>
      </c>
      <c r="E328" t="str">
        <f>IF('[1]Revitalisation-Revitalisierung'!L216="b",'[1]Revitalisation-Revitalisierung'!K216,"")</f>
        <v>Partiellement nécessaire, facile / teilweise nötig, einfach</v>
      </c>
    </row>
    <row r="329" spans="2:5" x14ac:dyDescent="0.25">
      <c r="B329" t="str">
        <f>IF('[1]Charriage - Geschiebehaushalt'!P217="a",'[1]Charriage - Geschiebehaushalt'!O217,"")</f>
        <v/>
      </c>
      <c r="C329" t="str">
        <f>IF('[1]Charriage - Geschiebehaushalt'!P217="b",'[1]Charriage - Geschiebehaushalt'!O217,"")</f>
        <v>Charriage présumé naturel / Geschiebehaushalt vermutlich natürlich</v>
      </c>
      <c r="D329" t="str">
        <f>IF('[1]Revitalisation-Revitalisierung'!L217="a",'[1]Revitalisation-Revitalisierung'!K217,"")</f>
        <v>Non nécessaire / nicht nötig</v>
      </c>
      <c r="E329" t="str">
        <f>IF('[1]Revitalisation-Revitalisierung'!L217="b",'[1]Revitalisation-Revitalisierung'!K217,"")</f>
        <v/>
      </c>
    </row>
    <row r="330" spans="2:5" x14ac:dyDescent="0.25">
      <c r="B330" t="str">
        <f>IF('[1]Charriage - Geschiebehaushalt'!P218="a",'[1]Charriage - Geschiebehaushalt'!O218,"")</f>
        <v/>
      </c>
      <c r="C330" t="str">
        <f>IF('[1]Charriage - Geschiebehaushalt'!P218="b",'[1]Charriage - Geschiebehaushalt'!O218,"")</f>
        <v>La remobilisation des sédiments est perturbée / Mobilisierung von Geschiebe beeinträchtigt</v>
      </c>
      <c r="D330" t="str">
        <f>IF('[1]Revitalisation-Revitalisierung'!L218="a",'[1]Revitalisation-Revitalisierung'!K218,"")</f>
        <v>Très nécessaire, difficile / unbedingt nötig, schwierig</v>
      </c>
      <c r="E330" t="str">
        <f>IF('[1]Revitalisation-Revitalisierung'!L218="b",'[1]Revitalisation-Revitalisierung'!K218,"")</f>
        <v/>
      </c>
    </row>
    <row r="331" spans="2:5" x14ac:dyDescent="0.25">
      <c r="B331" t="str">
        <f>IF('[1]Charriage - Geschiebehaushalt'!P219="a",'[1]Charriage - Geschiebehaushalt'!O219,"")</f>
        <v/>
      </c>
      <c r="C331" t="str">
        <f>IF('[1]Charriage - Geschiebehaushalt'!P219="b",'[1]Charriage - Geschiebehaushalt'!O219,"")</f>
        <v>Déficit non apparent en charriage ou en remobilisation des sédiments / kein sichtbares Defizit beim Geschiebehaushalt bzw. bei der Mobilisierung von Geschiebe</v>
      </c>
      <c r="D331" t="str">
        <f>IF('[1]Revitalisation-Revitalisierung'!L219="a",'[1]Revitalisation-Revitalisierung'!K219,"")</f>
        <v>Partiellement nécessaire, facile / teilweise nötig, einfach</v>
      </c>
      <c r="E331" t="str">
        <f>IF('[1]Revitalisation-Revitalisierung'!L219="b",'[1]Revitalisation-Revitalisierung'!K219,"")</f>
        <v/>
      </c>
    </row>
    <row r="332" spans="2:5" x14ac:dyDescent="0.25">
      <c r="B332" t="str">
        <f>IF('[1]Charriage - Geschiebehaushalt'!P220="a",'[1]Charriage - Geschiebehaushalt'!O220,"")</f>
        <v/>
      </c>
      <c r="C332" t="str">
        <f>IF('[1]Charriage - Geschiebehaushalt'!P220="b",'[1]Charriage - Geschiebehaushalt'!O220,"")</f>
        <v>Charriage présumé faiblement perturbé / Geschiebe vermutlich leicht beeinträchtigt</v>
      </c>
      <c r="D332" t="str">
        <f>IF('[1]Revitalisation-Revitalisierung'!L220="a",'[1]Revitalisation-Revitalisierung'!K220,"")</f>
        <v>Partiellement nécessaire, facile / teilweise nötig, einfach</v>
      </c>
      <c r="E332" t="str">
        <f>IF('[1]Revitalisation-Revitalisierung'!L220="b",'[1]Revitalisation-Revitalisierung'!K220,"")</f>
        <v/>
      </c>
    </row>
    <row r="333" spans="2:5" x14ac:dyDescent="0.25">
      <c r="B333" t="str">
        <f>IF('[1]Charriage - Geschiebehaushalt'!P221="a",'[1]Charriage - Geschiebehaushalt'!O221,"")</f>
        <v/>
      </c>
      <c r="C333" t="str">
        <f>IF('[1]Charriage - Geschiebehaushalt'!P221="b",'[1]Charriage - Geschiebehaushalt'!O221,"")</f>
        <v>Charriage présumé faiblement perturbé / Geschiebe vermutlich leicht beeinträchtigt</v>
      </c>
      <c r="D333" t="str">
        <f>IF('[1]Revitalisation-Revitalisierung'!L221="a",'[1]Revitalisation-Revitalisierung'!K221,"")</f>
        <v>Non nécessaire / nicht nötig</v>
      </c>
      <c r="E333" t="str">
        <f>IF('[1]Revitalisation-Revitalisierung'!L221="b",'[1]Revitalisation-Revitalisierung'!K221,"")</f>
        <v/>
      </c>
    </row>
    <row r="334" spans="2:5" x14ac:dyDescent="0.25">
      <c r="B334" t="str">
        <f>IF('[1]Charriage - Geschiebehaushalt'!P222="a",'[1]Charriage - Geschiebehaushalt'!O222,"")</f>
        <v/>
      </c>
      <c r="C334" t="str">
        <f>IF('[1]Charriage - Geschiebehaushalt'!P222="b",'[1]Charriage - Geschiebehaushalt'!O222,"")</f>
        <v>La remobilisation des sédiments est perturbée / Mobilisierung von Geschiebe beeinträchtigt</v>
      </c>
      <c r="D334" t="str">
        <f>IF('[1]Revitalisation-Revitalisierung'!L222="a",'[1]Revitalisation-Revitalisierung'!K222,"")</f>
        <v/>
      </c>
      <c r="E334" t="str">
        <f>IF('[1]Revitalisation-Revitalisierung'!L222="b",'[1]Revitalisation-Revitalisierung'!K222,"")</f>
        <v>Très nécessaire, difficile / unbedingt nötig, schwierig</v>
      </c>
    </row>
    <row r="335" spans="2:5" x14ac:dyDescent="0.25">
      <c r="B335" t="str">
        <f>IF('[1]Charriage - Geschiebehaushalt'!P223="a",'[1]Charriage - Geschiebehaushalt'!O223,"")</f>
        <v/>
      </c>
      <c r="C335" t="str">
        <f>IF('[1]Charriage - Geschiebehaushalt'!P223="b",'[1]Charriage - Geschiebehaushalt'!O223,"")</f>
        <v>Charriage présumé perturbé / Geschiebehaushalt vermutlich beeinträchtigt</v>
      </c>
      <c r="D335" t="str">
        <f>IF('[1]Revitalisation-Revitalisierung'!L223="a",'[1]Revitalisation-Revitalisierung'!K223,"")</f>
        <v/>
      </c>
      <c r="E335" t="str">
        <f>IF('[1]Revitalisation-Revitalisierung'!L223="b",'[1]Revitalisation-Revitalisierung'!K223,"")</f>
        <v>Très nécessaire, difficile / unbedingt nötig, schwierig</v>
      </c>
    </row>
    <row r="336" spans="2:5" x14ac:dyDescent="0.25">
      <c r="B336" t="str">
        <f>IF('[1]Charriage - Geschiebehaushalt'!P224="a",'[1]Charriage - Geschiebehaushalt'!O224,"")</f>
        <v/>
      </c>
      <c r="C336" t="str">
        <f>IF('[1]Charriage - Geschiebehaushalt'!P224="b",'[1]Charriage - Geschiebehaushalt'!O224,"")</f>
        <v>Charriage présumé naturel / Geschiebehaushalt vermutlich natürlich</v>
      </c>
      <c r="D336" t="str">
        <f>IF('[1]Revitalisation-Revitalisierung'!L224="a",'[1]Revitalisation-Revitalisierung'!K224,"")</f>
        <v/>
      </c>
      <c r="E336" t="str">
        <f>IF('[1]Revitalisation-Revitalisierung'!L224="b",'[1]Revitalisation-Revitalisierung'!K224,"")</f>
        <v>Non nécessaire / nicht nötig</v>
      </c>
    </row>
    <row r="337" spans="2:5" x14ac:dyDescent="0.25">
      <c r="B337" t="str">
        <f>IF('[1]Charriage - Geschiebehaushalt'!P225="a",'[1]Charriage - Geschiebehaushalt'!O225,"")</f>
        <v>21-50%</v>
      </c>
      <c r="C337" t="str">
        <f>IF('[1]Charriage - Geschiebehaushalt'!P225="b",'[1]Charriage - Geschiebehaushalt'!O225,"")</f>
        <v/>
      </c>
      <c r="D337" t="str">
        <f>IF('[1]Revitalisation-Revitalisierung'!L225="a",'[1]Revitalisation-Revitalisierung'!K225,"")</f>
        <v>Très nécessaire, difficile / unbedingt nötig, schwierig</v>
      </c>
      <c r="E337" t="str">
        <f>IF('[1]Revitalisation-Revitalisierung'!L225="b",'[1]Revitalisation-Revitalisierung'!K225,"")</f>
        <v/>
      </c>
    </row>
    <row r="338" spans="2:5" x14ac:dyDescent="0.25">
      <c r="B338" t="str">
        <f>IF('[1]Charriage - Geschiebehaushalt'!P226="a",'[1]Charriage - Geschiebehaushalt'!O226,"")</f>
        <v/>
      </c>
      <c r="C338" t="str">
        <f>IF('[1]Charriage - Geschiebehaushalt'!P226="b",'[1]Charriage - Geschiebehaushalt'!O226,"")</f>
        <v>Charriage présumé naturel / Geschiebehaushalt vermutlich natürlich</v>
      </c>
      <c r="D338" t="str">
        <f>IF('[1]Revitalisation-Revitalisierung'!L226="a",'[1]Revitalisation-Revitalisierung'!K226,"")</f>
        <v>Partiellement nécessaire, facile / teilweise nötig, einfach</v>
      </c>
      <c r="E338" t="str">
        <f>IF('[1]Revitalisation-Revitalisierung'!L226="b",'[1]Revitalisation-Revitalisierung'!K226,"")</f>
        <v/>
      </c>
    </row>
    <row r="339" spans="2:5" x14ac:dyDescent="0.25">
      <c r="B339" t="str">
        <f>IF('[1]Charriage - Geschiebehaushalt'!P227="a",'[1]Charriage - Geschiebehaushalt'!O227,"")</f>
        <v/>
      </c>
      <c r="C339" t="str">
        <f>IF('[1]Charriage - Geschiebehaushalt'!P227="b",'[1]Charriage - Geschiebehaushalt'!O227,"")</f>
        <v>La remobilisation des sédiments est perturbée / Mobilisierung von Geschiebe beeinträchtigt</v>
      </c>
      <c r="D339" t="str">
        <f>IF('[1]Revitalisation-Revitalisierung'!L227="a",'[1]Revitalisation-Revitalisierung'!K227,"")</f>
        <v>Très nécessaire, facile / unbedingt nötig, einfach</v>
      </c>
      <c r="E339" t="str">
        <f>IF('[1]Revitalisation-Revitalisierung'!L227="b",'[1]Revitalisation-Revitalisierung'!K227,"")</f>
        <v/>
      </c>
    </row>
    <row r="340" spans="2:5" x14ac:dyDescent="0.25">
      <c r="B340" t="str">
        <f>IF('[1]Charriage - Geschiebehaushalt'!P228="a",'[1]Charriage - Geschiebehaushalt'!O228,"")</f>
        <v>21-50%</v>
      </c>
      <c r="C340" t="str">
        <f>IF('[1]Charriage - Geschiebehaushalt'!P228="b",'[1]Charriage - Geschiebehaushalt'!O228,"")</f>
        <v/>
      </c>
      <c r="D340" t="str">
        <f>IF('[1]Revitalisation-Revitalisierung'!L228="a",'[1]Revitalisation-Revitalisierung'!K228,"")</f>
        <v>Partiellement nécessaire, facile / teilweise nötig, einfach</v>
      </c>
      <c r="E340" t="str">
        <f>IF('[1]Revitalisation-Revitalisierung'!L228="b",'[1]Revitalisation-Revitalisierung'!K228,"")</f>
        <v/>
      </c>
    </row>
    <row r="341" spans="2:5" x14ac:dyDescent="0.25">
      <c r="B341" t="str">
        <f>IF('[1]Charriage - Geschiebehaushalt'!P229="a",'[1]Charriage - Geschiebehaushalt'!O229,"")</f>
        <v/>
      </c>
      <c r="C341" t="str">
        <f>IF('[1]Charriage - Geschiebehaushalt'!P229="b",'[1]Charriage - Geschiebehaushalt'!O229,"")</f>
        <v>Déficit non apparent en charriage ou en remobilisation des sédiments / kein sichtbares Defizit beim Geschiebehaushalt bzw. bei der Mobilisierung von Geschiebe</v>
      </c>
      <c r="D341" t="str">
        <f>IF('[1]Revitalisation-Revitalisierung'!L229="a",'[1]Revitalisation-Revitalisierung'!K229,"")</f>
        <v/>
      </c>
      <c r="E341" t="str">
        <f>IF('[1]Revitalisation-Revitalisierung'!L229="b",'[1]Revitalisation-Revitalisierung'!K229,"")</f>
        <v>Partiellement nécessaire, facile / teilweise nötig, einfach</v>
      </c>
    </row>
    <row r="342" spans="2:5" x14ac:dyDescent="0.25">
      <c r="B342" t="str">
        <f>IF('[1]Charriage - Geschiebehaushalt'!P230="a",'[1]Charriage - Geschiebehaushalt'!O230,"")</f>
        <v/>
      </c>
      <c r="C342" t="str">
        <f>IF('[1]Charriage - Geschiebehaushalt'!P230="b",'[1]Charriage - Geschiebehaushalt'!O230,"")</f>
        <v>Charriage présumé naturel / Geschiebehaushalt vermutlich natürlich</v>
      </c>
      <c r="D342" t="str">
        <f>IF('[1]Revitalisation-Revitalisierung'!L230="a",'[1]Revitalisation-Revitalisierung'!K230,"")</f>
        <v>Non nécessaire / nicht nötig</v>
      </c>
      <c r="E342" t="str">
        <f>IF('[1]Revitalisation-Revitalisierung'!L230="b",'[1]Revitalisation-Revitalisierung'!K230,"")</f>
        <v/>
      </c>
    </row>
    <row r="343" spans="2:5" x14ac:dyDescent="0.25">
      <c r="B343" t="str">
        <f>IF('[1]Charriage - Geschiebehaushalt'!P231="a",'[1]Charriage - Geschiebehaushalt'!O231,"")</f>
        <v/>
      </c>
      <c r="C343" t="str">
        <f>IF('[1]Charriage - Geschiebehaushalt'!P231="b",'[1]Charriage - Geschiebehaushalt'!O231,"")</f>
        <v>Charriage présumé naturel / Geschiebehaushalt vermutlich natürlich</v>
      </c>
      <c r="D343" t="str">
        <f>IF('[1]Revitalisation-Revitalisierung'!L231="a",'[1]Revitalisation-Revitalisierung'!K231,"")</f>
        <v>Partiellement nécessaire, facile / teilweise nötig, einfach</v>
      </c>
      <c r="E343" t="str">
        <f>IF('[1]Revitalisation-Revitalisierung'!L231="b",'[1]Revitalisation-Revitalisierung'!K231,"")</f>
        <v/>
      </c>
    </row>
    <row r="344" spans="2:5" x14ac:dyDescent="0.25">
      <c r="B344" t="str">
        <f>IF('[1]Charriage - Geschiebehaushalt'!P232="a",'[1]Charriage - Geschiebehaushalt'!O232,"")</f>
        <v>0-20%</v>
      </c>
      <c r="C344" t="str">
        <f>IF('[1]Charriage - Geschiebehaushalt'!P232="b",'[1]Charriage - Geschiebehaushalt'!O232,"")</f>
        <v/>
      </c>
      <c r="D344" t="str">
        <f>IF('[1]Revitalisation-Revitalisierung'!L232="a",'[1]Revitalisation-Revitalisierung'!K232,"")</f>
        <v>Non nécessaire / nicht nötig</v>
      </c>
      <c r="E344" t="str">
        <f>IF('[1]Revitalisation-Revitalisierung'!L232="b",'[1]Revitalisation-Revitalisierung'!K232,"")</f>
        <v/>
      </c>
    </row>
    <row r="345" spans="2:5" x14ac:dyDescent="0.25">
      <c r="B345" t="str">
        <f>IF('[1]Charriage - Geschiebehaushalt'!P233="a",'[1]Charriage - Geschiebehaushalt'!O233,"")</f>
        <v/>
      </c>
      <c r="C345" t="str">
        <f>IF('[1]Charriage - Geschiebehaushalt'!P233="b",'[1]Charriage - Geschiebehaushalt'!O233,"")</f>
        <v>La remobilisation des sédiments est perturbée / Mobilisierung von Geschiebe beeinträchtigt</v>
      </c>
      <c r="D345" t="str">
        <f>IF('[1]Revitalisation-Revitalisierung'!L233="a",'[1]Revitalisation-Revitalisierung'!K233,"")</f>
        <v>Très nécessaire, facile / unbedingt nötig, einfach</v>
      </c>
      <c r="E345" t="str">
        <f>IF('[1]Revitalisation-Revitalisierung'!L233="b",'[1]Revitalisation-Revitalisierung'!K233,"")</f>
        <v/>
      </c>
    </row>
    <row r="346" spans="2:5" x14ac:dyDescent="0.25">
      <c r="B346" t="str">
        <f>IF('[1]Charriage - Geschiebehaushalt'!P234="a",'[1]Charriage - Geschiebehaushalt'!O234,"")</f>
        <v/>
      </c>
      <c r="C346" t="str">
        <f>IF('[1]Charriage - Geschiebehaushalt'!P234="b",'[1]Charriage - Geschiebehaushalt'!O234,"")</f>
        <v>La remobilisation des sédiments est perturbée / Mobilisierung von Geschiebe beeinträchtigt</v>
      </c>
      <c r="D346" t="str">
        <f>IF('[1]Revitalisation-Revitalisierung'!L234="a",'[1]Revitalisation-Revitalisierung'!K234,"")</f>
        <v/>
      </c>
      <c r="E346" t="str">
        <f>IF('[1]Revitalisation-Revitalisierung'!L234="b",'[1]Revitalisation-Revitalisierung'!K234,"")</f>
        <v>Très nécessaire, facile / unbedingt nötig, einfach</v>
      </c>
    </row>
    <row r="347" spans="2:5" x14ac:dyDescent="0.25">
      <c r="B347" t="str">
        <f>IF('[1]Charriage - Geschiebehaushalt'!P235="a",'[1]Charriage - Geschiebehaushalt'!O235,"")</f>
        <v/>
      </c>
      <c r="C347" t="str">
        <f>IF('[1]Charriage - Geschiebehaushalt'!P235="b",'[1]Charriage - Geschiebehaushalt'!O235,"")</f>
        <v>Charriage présumé perturbé / Geschiebehaushalt vermutlich beeinträchtigt</v>
      </c>
      <c r="D347" t="str">
        <f>IF('[1]Revitalisation-Revitalisierung'!L235="a",'[1]Revitalisation-Revitalisierung'!K235,"")</f>
        <v>Partiellement nécessaire, difficile / teilweise nötig, schwierig</v>
      </c>
      <c r="E347" t="str">
        <f>IF('[1]Revitalisation-Revitalisierung'!L235="b",'[1]Revitalisation-Revitalisierung'!K235,"")</f>
        <v/>
      </c>
    </row>
    <row r="348" spans="2:5" x14ac:dyDescent="0.25">
      <c r="B348" t="str">
        <f>IF('[1]Charriage - Geschiebehaushalt'!P236="a",'[1]Charriage - Geschiebehaushalt'!O236,"")</f>
        <v/>
      </c>
      <c r="C348" t="str">
        <f>IF('[1]Charriage - Geschiebehaushalt'!P236="b",'[1]Charriage - Geschiebehaushalt'!O236,"")</f>
        <v>Charriage présumé perturbé / Geschiebehaushalt vermutlich beeinträchtigt</v>
      </c>
      <c r="D348" t="str">
        <f>IF('[1]Revitalisation-Revitalisierung'!L236="a",'[1]Revitalisation-Revitalisierung'!K236,"")</f>
        <v>Partiellement nécessaire, facile / teilweise nötig, einfach</v>
      </c>
      <c r="E348" t="str">
        <f>IF('[1]Revitalisation-Revitalisierung'!L236="b",'[1]Revitalisation-Revitalisierung'!K236,"")</f>
        <v/>
      </c>
    </row>
    <row r="349" spans="2:5" x14ac:dyDescent="0.25">
      <c r="B349" t="str">
        <f>IF('[1]Charriage - Geschiebehaushalt'!P237="a",'[1]Charriage - Geschiebehaushalt'!O237,"")</f>
        <v/>
      </c>
      <c r="C349" t="str">
        <f>IF('[1]Charriage - Geschiebehaushalt'!P237="b",'[1]Charriage - Geschiebehaushalt'!O237,"")</f>
        <v>Charriage présumé naturel / Geschiebehaushalt vermutlich natürlich</v>
      </c>
      <c r="D349" t="str">
        <f>IF('[1]Revitalisation-Revitalisierung'!L237="a",'[1]Revitalisation-Revitalisierung'!K237,"")</f>
        <v>Non nécessaire / nicht nötig</v>
      </c>
      <c r="E349" t="str">
        <f>IF('[1]Revitalisation-Revitalisierung'!L237="b",'[1]Revitalisation-Revitalisierung'!K237,"")</f>
        <v/>
      </c>
    </row>
    <row r="350" spans="2:5" x14ac:dyDescent="0.25">
      <c r="B350" t="str">
        <f>IF('[1]Charriage - Geschiebehaushalt'!P238="a",'[1]Charriage - Geschiebehaushalt'!O238,"")</f>
        <v/>
      </c>
      <c r="C350" t="str">
        <f>IF('[1]Charriage - Geschiebehaushalt'!P238="b",'[1]Charriage - Geschiebehaushalt'!O238,"")</f>
        <v>Charriage présumé naturel / Geschiebehaushalt vermutlich natürlich</v>
      </c>
      <c r="D350" t="str">
        <f>IF('[1]Revitalisation-Revitalisierung'!L238="a",'[1]Revitalisation-Revitalisierung'!K238,"")</f>
        <v>Non nécessaire / nicht nötig</v>
      </c>
      <c r="E350" t="str">
        <f>IF('[1]Revitalisation-Revitalisierung'!L238="b",'[1]Revitalisation-Revitalisierung'!K238,"")</f>
        <v/>
      </c>
    </row>
    <row r="351" spans="2:5" x14ac:dyDescent="0.25">
      <c r="B351" t="str">
        <f>IF('[1]Charriage - Geschiebehaushalt'!P239="a",'[1]Charriage - Geschiebehaushalt'!O239,"")</f>
        <v/>
      </c>
      <c r="C351" t="str">
        <f>IF('[1]Charriage - Geschiebehaushalt'!P239="b",'[1]Charriage - Geschiebehaushalt'!O239,"")</f>
        <v>Charriage présumé naturel / Geschiebehaushalt vermutlich natürlich</v>
      </c>
      <c r="D351" t="str">
        <f>IF('[1]Revitalisation-Revitalisierung'!L239="a",'[1]Revitalisation-Revitalisierung'!K239,"")</f>
        <v>Non nécessaire / nicht nötig</v>
      </c>
      <c r="E351" t="str">
        <f>IF('[1]Revitalisation-Revitalisierung'!L239="b",'[1]Revitalisation-Revitalisierung'!K239,"")</f>
        <v/>
      </c>
    </row>
    <row r="352" spans="2:5" x14ac:dyDescent="0.25">
      <c r="B352" t="str">
        <f>IF('[1]Charriage - Geschiebehaushalt'!P240="a",'[1]Charriage - Geschiebehaushalt'!O240,"")</f>
        <v/>
      </c>
      <c r="C352" t="str">
        <f>IF('[1]Charriage - Geschiebehaushalt'!P240="b",'[1]Charriage - Geschiebehaushalt'!O240,"")</f>
        <v>Déficit non apparent en charriage ou en remobilisation des sédiments / kein sichtbares Defizit beim Geschiebehaushalt bzw. bei der Mobilisierung von Geschiebe</v>
      </c>
      <c r="D352" t="str">
        <f>IF('[1]Revitalisation-Revitalisierung'!L240="a",'[1]Revitalisation-Revitalisierung'!K240,"")</f>
        <v/>
      </c>
      <c r="E352" t="str">
        <f>IF('[1]Revitalisation-Revitalisierung'!L240="b",'[1]Revitalisation-Revitalisierung'!K240,"")</f>
        <v>Non nécessaire / nicht nötig</v>
      </c>
    </row>
    <row r="353" spans="2:5" x14ac:dyDescent="0.25">
      <c r="B353" t="str">
        <f>IF('[1]Charriage - Geschiebehaushalt'!P241="a",'[1]Charriage - Geschiebehaushalt'!O241,"")</f>
        <v/>
      </c>
      <c r="C353" t="str">
        <f>IF('[1]Charriage - Geschiebehaushalt'!P241="b",'[1]Charriage - Geschiebehaushalt'!O241,"")</f>
        <v>La remobilisation des sédiments est perturbée / Mobilisierung von Geschiebe beeinträchtigt</v>
      </c>
      <c r="D353" t="str">
        <f>IF('[1]Revitalisation-Revitalisierung'!L241="a",'[1]Revitalisation-Revitalisierung'!K241,"")</f>
        <v>Très nécessaire, facile / unbedingt nötig, einfach</v>
      </c>
      <c r="E353" t="str">
        <f>IF('[1]Revitalisation-Revitalisierung'!L241="b",'[1]Revitalisation-Revitalisierung'!K241,"")</f>
        <v/>
      </c>
    </row>
    <row r="354" spans="2:5" x14ac:dyDescent="0.25">
      <c r="B354" t="str">
        <f>IF('[1]Charriage - Geschiebehaushalt'!P242="a",'[1]Charriage - Geschiebehaushalt'!O242,"")</f>
        <v/>
      </c>
      <c r="C354" t="str">
        <f>IF('[1]Charriage - Geschiebehaushalt'!P242="b",'[1]Charriage - Geschiebehaushalt'!O242,"")</f>
        <v>Charriage présumé naturel / Geschiebehaushalt vermutlich natürlich</v>
      </c>
      <c r="D354" t="str">
        <f>IF('[1]Revitalisation-Revitalisierung'!L242="a",'[1]Revitalisation-Revitalisierung'!K242,"")</f>
        <v>Non nécessaire / nicht nötig</v>
      </c>
      <c r="E354" t="str">
        <f>IF('[1]Revitalisation-Revitalisierung'!L242="b",'[1]Revitalisation-Revitalisierung'!K242,"")</f>
        <v/>
      </c>
    </row>
    <row r="355" spans="2:5" x14ac:dyDescent="0.25">
      <c r="B355" t="str">
        <f>IF('[1]Charriage - Geschiebehaushalt'!P243="a",'[1]Charriage - Geschiebehaushalt'!O243,"")</f>
        <v/>
      </c>
      <c r="C355" t="str">
        <f>IF('[1]Charriage - Geschiebehaushalt'!P243="b",'[1]Charriage - Geschiebehaushalt'!O243,"")</f>
        <v>Charriage présumé naturel / Geschiebehaushalt vermutlich natürlich</v>
      </c>
      <c r="D355" t="str">
        <f>IF('[1]Revitalisation-Revitalisierung'!L243="a",'[1]Revitalisation-Revitalisierung'!K243,"")</f>
        <v>Non nécessaire / nicht nötig</v>
      </c>
      <c r="E355" t="str">
        <f>IF('[1]Revitalisation-Revitalisierung'!L243="b",'[1]Revitalisation-Revitalisierung'!K243,"")</f>
        <v/>
      </c>
    </row>
    <row r="356" spans="2:5" x14ac:dyDescent="0.25">
      <c r="B356" t="str">
        <f>IF('[1]Charriage - Geschiebehaushalt'!P244="a",'[1]Charriage - Geschiebehaushalt'!O244,"")</f>
        <v/>
      </c>
      <c r="C356" t="str">
        <f>IF('[1]Charriage - Geschiebehaushalt'!P244="b",'[1]Charriage - Geschiebehaushalt'!O244,"")</f>
        <v>La remobilisation des sédiments est perturbée / Mobilisierung von Geschiebe beeinträchtigt</v>
      </c>
      <c r="D356" t="str">
        <f>IF('[1]Revitalisation-Revitalisierung'!L244="a",'[1]Revitalisation-Revitalisierung'!K244,"")</f>
        <v/>
      </c>
      <c r="E356" t="str">
        <f>IF('[1]Revitalisation-Revitalisierung'!L244="b",'[1]Revitalisation-Revitalisierung'!K244,"")</f>
        <v>Très nécessaire, facile / unbedingt nötig, einfach</v>
      </c>
    </row>
    <row r="357" spans="2:5" x14ac:dyDescent="0.25">
      <c r="B357" t="str">
        <f>IF('[1]Charriage - Geschiebehaushalt'!P245="a",'[1]Charriage - Geschiebehaushalt'!O245,"")</f>
        <v/>
      </c>
      <c r="C357" t="str">
        <f>IF('[1]Charriage - Geschiebehaushalt'!P245="b",'[1]Charriage - Geschiebehaushalt'!O245,"")</f>
        <v>Charriage présumé naturel / Geschiebehaushalt vermutlich natürlich</v>
      </c>
      <c r="D357" t="str">
        <f>IF('[1]Revitalisation-Revitalisierung'!L245="a",'[1]Revitalisation-Revitalisierung'!K245,"")</f>
        <v>Très nécessaire, facile / unbedingt nötig, einfach</v>
      </c>
      <c r="E357" t="str">
        <f>IF('[1]Revitalisation-Revitalisierung'!L245="b",'[1]Revitalisation-Revitalisierung'!K245,"")</f>
        <v/>
      </c>
    </row>
    <row r="358" spans="2:5" x14ac:dyDescent="0.25">
      <c r="B358" t="str">
        <f>IF('[1]Charriage - Geschiebehaushalt'!P246="a",'[1]Charriage - Geschiebehaushalt'!O246,"")</f>
        <v/>
      </c>
      <c r="C358" t="str">
        <f>IF('[1]Charriage - Geschiebehaushalt'!P246="b",'[1]Charriage - Geschiebehaushalt'!O246,"")</f>
        <v>Charriage présumé naturel / Geschiebehaushalt vermutlich natürlich</v>
      </c>
      <c r="D358" t="str">
        <f>IF('[1]Revitalisation-Revitalisierung'!L246="a",'[1]Revitalisation-Revitalisierung'!K246,"")</f>
        <v/>
      </c>
      <c r="E358" t="str">
        <f>IF('[1]Revitalisation-Revitalisierung'!L246="b",'[1]Revitalisation-Revitalisierung'!K246,"")</f>
        <v>Partiellement nécessaire, difficile / teilweise nötig, schwierig</v>
      </c>
    </row>
    <row r="359" spans="2:5" x14ac:dyDescent="0.25">
      <c r="B359" t="str">
        <f>IF('[1]Charriage - Geschiebehaushalt'!P247="a",'[1]Charriage - Geschiebehaushalt'!O247,"")</f>
        <v>0-20%</v>
      </c>
      <c r="C359" t="str">
        <f>IF('[1]Charriage - Geschiebehaushalt'!P247="b",'[1]Charriage - Geschiebehaushalt'!O247,"")</f>
        <v/>
      </c>
      <c r="D359" t="str">
        <f>IF('[1]Revitalisation-Revitalisierung'!L247="a",'[1]Revitalisation-Revitalisierung'!K247,"")</f>
        <v>Non nécessaire / nicht nötig</v>
      </c>
      <c r="E359" t="str">
        <f>IF('[1]Revitalisation-Revitalisierung'!L247="b",'[1]Revitalisation-Revitalisierung'!K247,"")</f>
        <v/>
      </c>
    </row>
    <row r="360" spans="2:5" x14ac:dyDescent="0.25">
      <c r="B360" t="str">
        <f>IF('[1]Charriage - Geschiebehaushalt'!P248="a",'[1]Charriage - Geschiebehaushalt'!O248,"")</f>
        <v>Charriage présumé naturel / Geschiebehaushalt vermutlich natürlich</v>
      </c>
      <c r="C360" t="str">
        <f>IF('[1]Charriage - Geschiebehaushalt'!P248="b",'[1]Charriage - Geschiebehaushalt'!O248,"")</f>
        <v/>
      </c>
      <c r="D360" t="str">
        <f>IF('[1]Revitalisation-Revitalisierung'!L248="a",'[1]Revitalisation-Revitalisierung'!K248,"")</f>
        <v>Non nécessaire / nicht nötig</v>
      </c>
      <c r="E360" t="str">
        <f>IF('[1]Revitalisation-Revitalisierung'!L248="b",'[1]Revitalisation-Revitalisierung'!K248,"")</f>
        <v/>
      </c>
    </row>
    <row r="361" spans="2:5" x14ac:dyDescent="0.25">
      <c r="B361" t="str">
        <f>IF('[1]Charriage - Geschiebehaushalt'!P249="a",'[1]Charriage - Geschiebehaushalt'!O249,"")</f>
        <v/>
      </c>
      <c r="C361" t="str">
        <f>IF('[1]Charriage - Geschiebehaushalt'!P249="b",'[1]Charriage - Geschiebehaushalt'!O249,"")</f>
        <v>Déficit non apparent en charriage ou en remobilisation des sédiments / kein sichtbares Defizit beim Geschiebehaushalt bzw. bei der Mobilisierung von Geschiebe</v>
      </c>
      <c r="D361" t="str">
        <f>IF('[1]Revitalisation-Revitalisierung'!L249="a",'[1]Revitalisation-Revitalisierung'!K249,"")</f>
        <v/>
      </c>
      <c r="E361" t="str">
        <f>IF('[1]Revitalisation-Revitalisierung'!L249="b",'[1]Revitalisation-Revitalisierung'!K249,"")</f>
        <v>Non nécessaire / nicht nötig</v>
      </c>
    </row>
    <row r="362" spans="2:5" x14ac:dyDescent="0.25">
      <c r="B362" t="str">
        <f>IF('[1]Charriage - Geschiebehaushalt'!P250="a",'[1]Charriage - Geschiebehaushalt'!O250,"")</f>
        <v>21-50%</v>
      </c>
      <c r="C362" t="str">
        <f>IF('[1]Charriage - Geschiebehaushalt'!P250="b",'[1]Charriage - Geschiebehaushalt'!O250,"")</f>
        <v/>
      </c>
      <c r="D362" t="str">
        <f>IF('[1]Revitalisation-Revitalisierung'!L250="a",'[1]Revitalisation-Revitalisierung'!K250,"")</f>
        <v/>
      </c>
      <c r="E362" t="str">
        <f>IF('[1]Revitalisation-Revitalisierung'!L250="b",'[1]Revitalisation-Revitalisierung'!K250,"")</f>
        <v>Très nécessaire, facile / unbedingt nötig, einfach</v>
      </c>
    </row>
    <row r="363" spans="2:5" x14ac:dyDescent="0.25">
      <c r="B363" t="str">
        <f>IF('[1]Charriage - Geschiebehaushalt'!P251="a",'[1]Charriage - Geschiebehaushalt'!O251,"")</f>
        <v>51-80%</v>
      </c>
      <c r="C363" t="str">
        <f>IF('[1]Charriage - Geschiebehaushalt'!P251="b",'[1]Charriage - Geschiebehaushalt'!O251,"")</f>
        <v/>
      </c>
      <c r="D363" t="str">
        <f>IF('[1]Revitalisation-Revitalisierung'!L251="a",'[1]Revitalisation-Revitalisierung'!K251,"")</f>
        <v>Très nécessaire, facile / unbedingt nötig, einfach</v>
      </c>
      <c r="E363" t="str">
        <f>IF('[1]Revitalisation-Revitalisierung'!L251="b",'[1]Revitalisation-Revitalisierung'!K251,"")</f>
        <v/>
      </c>
    </row>
    <row r="364" spans="2:5" x14ac:dyDescent="0.25">
      <c r="B364" t="str">
        <f>IF('[1]Charriage - Geschiebehaushalt'!P252="a",'[1]Charriage - Geschiebehaushalt'!O252,"")</f>
        <v>51-80%</v>
      </c>
      <c r="C364" t="str">
        <f>IF('[1]Charriage - Geschiebehaushalt'!P252="b",'[1]Charriage - Geschiebehaushalt'!O252,"")</f>
        <v/>
      </c>
      <c r="D364" t="str">
        <f>IF('[1]Revitalisation-Revitalisierung'!L252="a",'[1]Revitalisation-Revitalisierung'!K252,"")</f>
        <v>Très nécessaire, facile / unbedingt nötig, einfach</v>
      </c>
      <c r="E364" t="str">
        <f>IF('[1]Revitalisation-Revitalisierung'!L252="b",'[1]Revitalisation-Revitalisierung'!K252,"")</f>
        <v/>
      </c>
    </row>
    <row r="365" spans="2:5" x14ac:dyDescent="0.25">
      <c r="B365" t="str">
        <f>IF('[1]Charriage - Geschiebehaushalt'!P253="a",'[1]Charriage - Geschiebehaushalt'!O253,"")</f>
        <v>Charriage présumé naturel / Geschiebehaushalt vermutlich natürlich</v>
      </c>
      <c r="C365" t="str">
        <f>IF('[1]Charriage - Geschiebehaushalt'!P253="b",'[1]Charriage - Geschiebehaushalt'!O253,"")</f>
        <v/>
      </c>
      <c r="D365" t="str">
        <f>IF('[1]Revitalisation-Revitalisierung'!L253="a",'[1]Revitalisation-Revitalisierung'!K253,"")</f>
        <v>Non nécessaire / nicht nötig</v>
      </c>
      <c r="E365" t="str">
        <f>IF('[1]Revitalisation-Revitalisierung'!L253="b",'[1]Revitalisation-Revitalisierung'!K253,"")</f>
        <v/>
      </c>
    </row>
    <row r="366" spans="2:5" x14ac:dyDescent="0.25">
      <c r="B366" t="str">
        <f>IF('[1]Charriage - Geschiebehaushalt'!P254="a",'[1]Charriage - Geschiebehaushalt'!O254,"")</f>
        <v>0-20%</v>
      </c>
      <c r="C366" t="str">
        <f>IF('[1]Charriage - Geschiebehaushalt'!P254="b",'[1]Charriage - Geschiebehaushalt'!O254,"")</f>
        <v/>
      </c>
      <c r="D366" t="str">
        <f>IF('[1]Revitalisation-Revitalisierung'!L254="a",'[1]Revitalisation-Revitalisierung'!K254,"")</f>
        <v>Non nécessaire / nicht nötig</v>
      </c>
      <c r="E366" t="str">
        <f>IF('[1]Revitalisation-Revitalisierung'!L254="b",'[1]Revitalisation-Revitalisierung'!K254,"")</f>
        <v/>
      </c>
    </row>
    <row r="367" spans="2:5" x14ac:dyDescent="0.25">
      <c r="B367" t="str">
        <f>IF('[1]Charriage - Geschiebehaushalt'!P255="a",'[1]Charriage - Geschiebehaushalt'!O255,"")</f>
        <v>21-50%</v>
      </c>
      <c r="C367" t="str">
        <f>IF('[1]Charriage - Geschiebehaushalt'!P255="b",'[1]Charriage - Geschiebehaushalt'!O255,"")</f>
        <v/>
      </c>
      <c r="D367" t="str">
        <f>IF('[1]Revitalisation-Revitalisierung'!L255="a",'[1]Revitalisation-Revitalisierung'!K255,"")</f>
        <v>Très nécessaire, difficile / unbedingt nötig, schwierig</v>
      </c>
      <c r="E367" t="str">
        <f>IF('[1]Revitalisation-Revitalisierung'!L255="b",'[1]Revitalisation-Revitalisierung'!K255,"")</f>
        <v/>
      </c>
    </row>
    <row r="368" spans="2:5" x14ac:dyDescent="0.25">
      <c r="B368" t="str">
        <f>IF('[1]Charriage - Geschiebehaushalt'!P256="a",'[1]Charriage - Geschiebehaushalt'!O256,"")</f>
        <v>0-20%</v>
      </c>
      <c r="C368" t="str">
        <f>IF('[1]Charriage - Geschiebehaushalt'!P256="b",'[1]Charriage - Geschiebehaushalt'!O256,"")</f>
        <v/>
      </c>
      <c r="D368" t="str">
        <f>IF('[1]Revitalisation-Revitalisierung'!L256="a",'[1]Revitalisation-Revitalisierung'!K256,"")</f>
        <v>Non nécessaire / nicht nötig</v>
      </c>
      <c r="E368" t="str">
        <f>IF('[1]Revitalisation-Revitalisierung'!L256="b",'[1]Revitalisation-Revitalisierung'!K256,"")</f>
        <v/>
      </c>
    </row>
    <row r="369" spans="2:5" x14ac:dyDescent="0.25">
      <c r="B369" t="str">
        <f>IF('[1]Charriage - Geschiebehaushalt'!P257="a",'[1]Charriage - Geschiebehaushalt'!O257,"")</f>
        <v>0-20%</v>
      </c>
      <c r="C369" t="str">
        <f>IF('[1]Charriage - Geschiebehaushalt'!P257="b",'[1]Charriage - Geschiebehaushalt'!O257,"")</f>
        <v/>
      </c>
      <c r="D369" t="str">
        <f>IF('[1]Revitalisation-Revitalisierung'!L257="a",'[1]Revitalisation-Revitalisierung'!K257,"")</f>
        <v>Non nécessaire / nicht nötig</v>
      </c>
      <c r="E369" t="str">
        <f>IF('[1]Revitalisation-Revitalisierung'!L257="b",'[1]Revitalisation-Revitalisierung'!K257,"")</f>
        <v/>
      </c>
    </row>
    <row r="370" spans="2:5" x14ac:dyDescent="0.25">
      <c r="B370" t="str">
        <f>IF('[1]Charriage - Geschiebehaushalt'!P258="a",'[1]Charriage - Geschiebehaushalt'!O258,"")</f>
        <v>0-20%</v>
      </c>
      <c r="C370" t="str">
        <f>IF('[1]Charriage - Geschiebehaushalt'!P258="b",'[1]Charriage - Geschiebehaushalt'!O258,"")</f>
        <v/>
      </c>
      <c r="D370" t="str">
        <f>IF('[1]Revitalisation-Revitalisierung'!L258="a",'[1]Revitalisation-Revitalisierung'!K258,"")</f>
        <v/>
      </c>
      <c r="E370" t="str">
        <f>IF('[1]Revitalisation-Revitalisierung'!L258="b",'[1]Revitalisation-Revitalisierung'!K258,"")</f>
        <v>Très nécessaire, difficile / unbedingt nötig, schwierig</v>
      </c>
    </row>
    <row r="371" spans="2:5" x14ac:dyDescent="0.25">
      <c r="B371" t="str">
        <f>IF('[1]Charriage - Geschiebehaushalt'!P259="a",'[1]Charriage - Geschiebehaushalt'!O259,"")</f>
        <v>0-20%</v>
      </c>
      <c r="C371" t="str">
        <f>IF('[1]Charriage - Geschiebehaushalt'!P259="b",'[1]Charriage - Geschiebehaushalt'!O259,"")</f>
        <v/>
      </c>
      <c r="D371" t="str">
        <f>IF('[1]Revitalisation-Revitalisierung'!L259="a",'[1]Revitalisation-Revitalisierung'!K259,"")</f>
        <v/>
      </c>
      <c r="E371" t="str">
        <f>IF('[1]Revitalisation-Revitalisierung'!L259="b",'[1]Revitalisation-Revitalisierung'!K259,"")</f>
        <v>Partiellement nécessaire, difficile / teilweise nötig, schwierig</v>
      </c>
    </row>
    <row r="372" spans="2:5" x14ac:dyDescent="0.25">
      <c r="B372" t="str">
        <f>IF('[1]Charriage - Geschiebehaushalt'!P260="a",'[1]Charriage - Geschiebehaushalt'!O260,"")</f>
        <v>0-20%</v>
      </c>
      <c r="C372" t="str">
        <f>IF('[1]Charriage - Geschiebehaushalt'!P260="b",'[1]Charriage - Geschiebehaushalt'!O260,"")</f>
        <v/>
      </c>
      <c r="D372" t="str">
        <f>IF('[1]Revitalisation-Revitalisierung'!L260="a",'[1]Revitalisation-Revitalisierung'!K260,"")</f>
        <v>Non nécessaire / nicht nötig</v>
      </c>
      <c r="E372" t="str">
        <f>IF('[1]Revitalisation-Revitalisierung'!L260="b",'[1]Revitalisation-Revitalisierung'!K260,"")</f>
        <v/>
      </c>
    </row>
    <row r="373" spans="2:5" x14ac:dyDescent="0.25">
      <c r="B373" t="str">
        <f>IF('[1]Charriage - Geschiebehaushalt'!P261="a",'[1]Charriage - Geschiebehaushalt'!O261,"")</f>
        <v>0-20%</v>
      </c>
      <c r="C373" t="str">
        <f>IF('[1]Charriage - Geschiebehaushalt'!P261="b",'[1]Charriage - Geschiebehaushalt'!O261,"")</f>
        <v/>
      </c>
      <c r="D373" t="str">
        <f>IF('[1]Revitalisation-Revitalisierung'!L261="a",'[1]Revitalisation-Revitalisierung'!K261,"")</f>
        <v>Non nécessaire / nicht nötig</v>
      </c>
      <c r="E373" t="str">
        <f>IF('[1]Revitalisation-Revitalisierung'!L261="b",'[1]Revitalisation-Revitalisierung'!K261,"")</f>
        <v/>
      </c>
    </row>
    <row r="374" spans="2:5" x14ac:dyDescent="0.25">
      <c r="B374" t="str">
        <f>IF('[1]Charriage - Geschiebehaushalt'!P262="a",'[1]Charriage - Geschiebehaushalt'!O262,"")</f>
        <v>0-20%</v>
      </c>
      <c r="C374" t="str">
        <f>IF('[1]Charriage - Geschiebehaushalt'!P262="b",'[1]Charriage - Geschiebehaushalt'!O262,"")</f>
        <v/>
      </c>
      <c r="D374" t="str">
        <f>IF('[1]Revitalisation-Revitalisierung'!L262="a",'[1]Revitalisation-Revitalisierung'!K262,"")</f>
        <v>Non nécessaire / nicht nötig</v>
      </c>
      <c r="E374" t="str">
        <f>IF('[1]Revitalisation-Revitalisierung'!L262="b",'[1]Revitalisation-Revitalisierung'!K262,"")</f>
        <v/>
      </c>
    </row>
    <row r="375" spans="2:5" x14ac:dyDescent="0.25">
      <c r="B375" t="str">
        <f>IF('[1]Charriage - Geschiebehaushalt'!P263="a",'[1]Charriage - Geschiebehaushalt'!O263,"")</f>
        <v>0-20%</v>
      </c>
      <c r="C375" t="str">
        <f>IF('[1]Charriage - Geschiebehaushalt'!P263="b",'[1]Charriage - Geschiebehaushalt'!O263,"")</f>
        <v/>
      </c>
      <c r="D375" t="str">
        <f>IF('[1]Revitalisation-Revitalisierung'!L263="a",'[1]Revitalisation-Revitalisierung'!K263,"")</f>
        <v/>
      </c>
      <c r="E375" t="str">
        <f>IF('[1]Revitalisation-Revitalisierung'!L263="b",'[1]Revitalisation-Revitalisierung'!K263,"")</f>
        <v>Partiellement nécessaire, facile / teilweise nötig, einfach</v>
      </c>
    </row>
    <row r="376" spans="2:5" x14ac:dyDescent="0.25">
      <c r="B376" t="str">
        <f>IF('[1]Charriage - Geschiebehaushalt'!P264="a",'[1]Charriage - Geschiebehaushalt'!O264,"")</f>
        <v/>
      </c>
      <c r="C376" t="str">
        <f>IF('[1]Charriage - Geschiebehaushalt'!P264="b",'[1]Charriage - Geschiebehaushalt'!O264,"")</f>
        <v>Déficit non apparent en charriage ou en remobilisation des sédiments / kein sichtbares Defizit beim Geschiebehaushalt bzw. bei der Mobilisierung von Geschiebe</v>
      </c>
      <c r="D376" t="str">
        <f>IF('[1]Revitalisation-Revitalisierung'!L264="a",'[1]Revitalisation-Revitalisierung'!K264,"")</f>
        <v>Non nécessaire / nicht nötig</v>
      </c>
      <c r="E376" t="str">
        <f>IF('[1]Revitalisation-Revitalisierung'!L264="b",'[1]Revitalisation-Revitalisierung'!K264,"")</f>
        <v/>
      </c>
    </row>
    <row r="377" spans="2:5" x14ac:dyDescent="0.25">
      <c r="B377" t="str">
        <f>IF('[1]Charriage - Geschiebehaushalt'!P265="a",'[1]Charriage - Geschiebehaushalt'!O265,"")</f>
        <v/>
      </c>
      <c r="C377" t="str">
        <f>IF('[1]Charriage - Geschiebehaushalt'!P265="b",'[1]Charriage - Geschiebehaushalt'!O265,"")</f>
        <v>La remobilisation des sédiments est perturbée / Mobilisierung von Geschiebe beeinträchtigt</v>
      </c>
      <c r="D377" t="str">
        <f>IF('[1]Revitalisation-Revitalisierung'!L265="a",'[1]Revitalisation-Revitalisierung'!K265,"")</f>
        <v/>
      </c>
      <c r="E377" t="str">
        <f>IF('[1]Revitalisation-Revitalisierung'!L265="b",'[1]Revitalisation-Revitalisierung'!K265,"")</f>
        <v>Partiellement nécessaire, difficile / teilweise nötig, schwierig</v>
      </c>
    </row>
    <row r="378" spans="2:5" x14ac:dyDescent="0.25">
      <c r="B378" t="str">
        <f>IF('[1]Charriage - Geschiebehaushalt'!P266="a",'[1]Charriage - Geschiebehaushalt'!O266,"")</f>
        <v>0-20%</v>
      </c>
      <c r="C378" t="str">
        <f>IF('[1]Charriage - Geschiebehaushalt'!P266="b",'[1]Charriage - Geschiebehaushalt'!O266,"")</f>
        <v/>
      </c>
      <c r="D378" t="str">
        <f>IF('[1]Revitalisation-Revitalisierung'!L266="a",'[1]Revitalisation-Revitalisierung'!K266,"")</f>
        <v/>
      </c>
      <c r="E378" t="str">
        <f>IF('[1]Revitalisation-Revitalisierung'!L266="b",'[1]Revitalisation-Revitalisierung'!K266,"")</f>
        <v>Partiellement nécessaire, difficile / teilweise nötig, schwierig</v>
      </c>
    </row>
    <row r="379" spans="2:5" x14ac:dyDescent="0.25">
      <c r="B379" t="str">
        <f>IF('[1]Charriage - Geschiebehaushalt'!P267="a",'[1]Charriage - Geschiebehaushalt'!O267,"")</f>
        <v/>
      </c>
      <c r="C379" t="str">
        <f>IF('[1]Charriage - Geschiebehaushalt'!P267="b",'[1]Charriage - Geschiebehaushalt'!O267,"")</f>
        <v>Déficit non apparent en charriage ou en remobilisation des sédiments / kein sichtbares Defizit beim Geschiebehaushalt bzw. bei der Mobilisierung von Geschiebe</v>
      </c>
      <c r="D379" t="str">
        <f>IF('[1]Revitalisation-Revitalisierung'!L267="a",'[1]Revitalisation-Revitalisierung'!K267,"")</f>
        <v>Non nécessaire / nicht nötig</v>
      </c>
      <c r="E379" t="str">
        <f>IF('[1]Revitalisation-Revitalisierung'!L267="b",'[1]Revitalisation-Revitalisierung'!K267,"")</f>
        <v/>
      </c>
    </row>
    <row r="380" spans="2:5" x14ac:dyDescent="0.25">
      <c r="B380" t="str">
        <f>IF('[1]Charriage - Geschiebehaushalt'!P268="a",'[1]Charriage - Geschiebehaushalt'!O268,"")</f>
        <v/>
      </c>
      <c r="C380" t="str">
        <f>IF('[1]Charriage - Geschiebehaushalt'!P268="b",'[1]Charriage - Geschiebehaushalt'!O268,"")</f>
        <v>La remobilisation des sédiments est perturbée / Mobilisierung von Geschiebe beeinträchtigt</v>
      </c>
      <c r="D380" t="str">
        <f>IF('[1]Revitalisation-Revitalisierung'!L268="a",'[1]Revitalisation-Revitalisierung'!K268,"")</f>
        <v>Très nécessaire, facile / unbedingt nötig, einfach</v>
      </c>
      <c r="E380" t="str">
        <f>IF('[1]Revitalisation-Revitalisierung'!L268="b",'[1]Revitalisation-Revitalisierung'!K268,"")</f>
        <v/>
      </c>
    </row>
    <row r="381" spans="2:5" x14ac:dyDescent="0.25">
      <c r="B381" t="str">
        <f>IF('[1]Charriage - Geschiebehaushalt'!P269="a",'[1]Charriage - Geschiebehaushalt'!O269,"")</f>
        <v/>
      </c>
      <c r="C381" t="str">
        <f>IF('[1]Charriage - Geschiebehaushalt'!P269="b",'[1]Charriage - Geschiebehaushalt'!O269,"")</f>
        <v>Charriage présumé naturel / Geschiebehaushalt vermutlich natürlich</v>
      </c>
      <c r="D381" t="str">
        <f>IF('[1]Revitalisation-Revitalisierung'!L269="a",'[1]Revitalisation-Revitalisierung'!K269,"")</f>
        <v>Non nécessaire / nicht nötig</v>
      </c>
      <c r="E381" t="str">
        <f>IF('[1]Revitalisation-Revitalisierung'!L269="b",'[1]Revitalisation-Revitalisierung'!K269,"")</f>
        <v/>
      </c>
    </row>
    <row r="382" spans="2:5" x14ac:dyDescent="0.25">
      <c r="B382" t="str">
        <f>IF('[1]Charriage - Geschiebehaushalt'!P270="a",'[1]Charriage - Geschiebehaushalt'!O270,"")</f>
        <v/>
      </c>
      <c r="C382" t="str">
        <f>IF('[1]Charriage - Geschiebehaushalt'!P270="b",'[1]Charriage - Geschiebehaushalt'!O270,"")</f>
        <v>Charriage présumé naturel / Geschiebehaushalt vermutlich natürlich</v>
      </c>
      <c r="D382" t="str">
        <f>IF('[1]Revitalisation-Revitalisierung'!L270="a",'[1]Revitalisation-Revitalisierung'!K270,"")</f>
        <v>Non nécessaire / nicht nötig</v>
      </c>
      <c r="E382" t="str">
        <f>IF('[1]Revitalisation-Revitalisierung'!L270="b",'[1]Revitalisation-Revitalisierung'!K270,"")</f>
        <v/>
      </c>
    </row>
    <row r="383" spans="2:5" x14ac:dyDescent="0.25">
      <c r="B383" t="str">
        <f>IF('[1]Charriage - Geschiebehaushalt'!P271="a",'[1]Charriage - Geschiebehaushalt'!O271,"")</f>
        <v/>
      </c>
      <c r="C383" t="str">
        <f>IF('[1]Charriage - Geschiebehaushalt'!P271="b",'[1]Charriage - Geschiebehaushalt'!O271,"")</f>
        <v>Charriage présumé naturel / Geschiebehaushalt vermutlich natürlich</v>
      </c>
      <c r="D383" t="str">
        <f>IF('[1]Revitalisation-Revitalisierung'!L271="a",'[1]Revitalisation-Revitalisierung'!K271,"")</f>
        <v/>
      </c>
      <c r="E383" t="str">
        <f>IF('[1]Revitalisation-Revitalisierung'!L271="b",'[1]Revitalisation-Revitalisierung'!K271,"")</f>
        <v>Non nécessaire / nicht nötig</v>
      </c>
    </row>
    <row r="384" spans="2:5" x14ac:dyDescent="0.25">
      <c r="B384" t="str">
        <f>IF('[1]Charriage - Geschiebehaushalt'!P272="a",'[1]Charriage - Geschiebehaushalt'!O272,"")</f>
        <v/>
      </c>
      <c r="C384" t="str">
        <f>IF('[1]Charriage - Geschiebehaushalt'!P272="b",'[1]Charriage - Geschiebehaushalt'!O272,"")</f>
        <v>La remobilisation des sédiments est perturbée / Mobilisierung von Geschiebe beeinträchtigt</v>
      </c>
      <c r="D384" t="str">
        <f>IF('[1]Revitalisation-Revitalisierung'!L272="a",'[1]Revitalisation-Revitalisierung'!K272,"")</f>
        <v>Très nécessaire, facile / unbedingt nötig, einfach</v>
      </c>
      <c r="E384" t="str">
        <f>IF('[1]Revitalisation-Revitalisierung'!L272="b",'[1]Revitalisation-Revitalisierung'!K272,"")</f>
        <v/>
      </c>
    </row>
    <row r="385" spans="2:5" x14ac:dyDescent="0.25">
      <c r="B385" t="str">
        <f>IF('[1]Charriage - Geschiebehaushalt'!P297="a",'[1]Charriage - Geschiebehaushalt'!O297,"")</f>
        <v/>
      </c>
      <c r="C385" t="str">
        <f>IF('[1]Charriage - Geschiebehaushalt'!P297="b",'[1]Charriage - Geschiebehaushalt'!O297,"")</f>
        <v/>
      </c>
      <c r="D385" t="str">
        <f>IF('[1]Revitalisation-Revitalisierung'!L297="a",'[1]Revitalisation-Revitalisierung'!K297,"")</f>
        <v/>
      </c>
      <c r="E385" t="str">
        <f>IF('[1]Revitalisation-Revitalisierung'!L297="b",'[1]Revitalisation-Revitalisierung'!K297,"")</f>
        <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85"/>
  <sheetViews>
    <sheetView topLeftCell="A22" zoomScale="40" zoomScaleNormal="40" workbookViewId="0">
      <selection activeCell="A31" sqref="A31"/>
    </sheetView>
  </sheetViews>
  <sheetFormatPr baseColWidth="10" defaultRowHeight="15" x14ac:dyDescent="0.25"/>
  <cols>
    <col min="1" max="1" width="46.42578125" customWidth="1"/>
  </cols>
  <sheetData>
    <row r="1" spans="1:16" x14ac:dyDescent="0.25">
      <c r="A1" s="342" t="s">
        <v>709</v>
      </c>
      <c r="B1" s="343"/>
      <c r="C1" s="343"/>
      <c r="D1" s="343"/>
      <c r="E1" s="343"/>
      <c r="F1" s="343"/>
      <c r="G1" s="343"/>
      <c r="H1" s="343"/>
      <c r="I1" s="343"/>
      <c r="J1" s="343"/>
      <c r="K1" s="343"/>
      <c r="L1" s="343"/>
      <c r="M1" s="343"/>
      <c r="N1" s="343"/>
      <c r="O1" s="343"/>
      <c r="P1" s="343"/>
    </row>
    <row r="2" spans="1:16" ht="60" x14ac:dyDescent="0.25">
      <c r="B2" s="1" t="s">
        <v>1525</v>
      </c>
      <c r="C2" s="344" t="s">
        <v>1526</v>
      </c>
      <c r="D2" s="345" t="s">
        <v>72</v>
      </c>
      <c r="E2" s="345" t="s">
        <v>110</v>
      </c>
      <c r="F2" s="345" t="s">
        <v>59</v>
      </c>
      <c r="G2" s="345" t="s">
        <v>368</v>
      </c>
      <c r="H2" t="s">
        <v>1527</v>
      </c>
    </row>
    <row r="3" spans="1:16" ht="30" x14ac:dyDescent="0.25">
      <c r="A3" s="1" t="s">
        <v>1528</v>
      </c>
      <c r="B3">
        <f>SUM(COUNTIF('Charriage - Geschiebehaushalt'!Q4:Q275,"non pertinent / nicht relevant"))</f>
        <v>23</v>
      </c>
      <c r="C3">
        <f>SUM(COUNTIFS('Charriage - Geschiebehaushalt'!$Q$4:$Q$275,"non pertinent / nicht relevant",'Charriage - Geschiebehaushalt'!$R$4:$R$275,"a"))</f>
        <v>23</v>
      </c>
      <c r="D3">
        <f>COUNTIFS('Charriage - Geschiebehaushalt'!$Q$4:$Q$275,"non pertinent / nicht relevant",'Charriage - Geschiebehaushalt'!$R$4:$R$275,"b")</f>
        <v>0</v>
      </c>
      <c r="E3">
        <f>COUNTIFS('Charriage - Geschiebehaushalt'!$Q$4:$Q$275,"non pertinent / nicht relevant",'Charriage - Geschiebehaushalt'!$R$4:$R$275,"c")</f>
        <v>0</v>
      </c>
      <c r="F3">
        <f>COUNTIFS('Charriage - Geschiebehaushalt'!$Q$4:$Q$275,"non pertinent / nicht relevant",'Charriage - Geschiebehaushalt'!$R$4:$R$275,"d")</f>
        <v>0</v>
      </c>
      <c r="G3">
        <f>COUNTIFS('Charriage - Geschiebehaushalt'!$Q$4:$Q$275,"non pertinent / nicht relevant",'Charriage - Geschiebehaushalt'!$R$4:$R$275,"e")</f>
        <v>0</v>
      </c>
      <c r="H3" s="346">
        <f>B3/$B$10</f>
        <v>8.6792452830188674E-2</v>
      </c>
    </row>
    <row r="4" spans="1:16" ht="45" x14ac:dyDescent="0.25">
      <c r="A4" s="1" t="s">
        <v>1529</v>
      </c>
      <c r="B4">
        <f>SUM(COUNTIF('Charriage - Geschiebehaushalt'!$Q$3:$Q$275,"0-20%"),COUNTIF('Charriage - Geschiebehaushalt'!$Q$3:$Q$275,"Charriage présumé naturel / Geschiebehaushalt vermutlich natürlich"),COUNTIF('Charriage - Geschiebehaushalt'!$Q$3:$Q$275,"Déficit non apparent en charriage ou en remobilisation des sédiments / kein sichtbares Defizit beim Geschiebehaushalt bzw. bei der Mobilisierung von Geschiebe"))</f>
        <v>115</v>
      </c>
      <c r="C4">
        <f>SUM(COUNTIFS('Charriage - Geschiebehaushalt'!$Q$3:$Q$275,"0-20%",'Charriage - Geschiebehaushalt'!$R$3:$R$275,"a"),COUNTIFS('Charriage - Geschiebehaushalt'!$Q$3:$Q$275,"Charriage présumé naturel / Geschiebehaushalt vermutlich natürlich",'Charriage - Geschiebehaushalt'!$R$3:$R$275,"a"),COUNTIFS('Charriage - Geschiebehaushalt'!$Q$3:$Q$275,"Déficit non apparent en charriage ou en remobilisation des sédiments / kein sichtbares Defizit beim Geschiebehaushalt bzw. bei der Mobilisierung von Geschiebe",'Charriage - Geschiebehaushalt'!$R$3:$R$275,"a"))</f>
        <v>50</v>
      </c>
      <c r="D4">
        <f>SUM(COUNTIFS('Charriage - Geschiebehaushalt'!$Q$3:$Q$275,"0-20%",'Charriage - Geschiebehaushalt'!$R$3:$R$275,"b"),COUNTIFS('Charriage - Geschiebehaushalt'!$Q$3:$Q$275,"Charriage présumé naturel / Geschiebehaushalt vermutlich natürlich",'Charriage - Geschiebehaushalt'!$R$3:$R$275,"b"),COUNTIFS('Charriage - Geschiebehaushalt'!$Q$3:$Q$275,"Déficit non apparent en charriage ou en remobilisation des sédiments / kein sichtbares Defizit beim Geschiebehaushalt bzw. bei der Mobilisierung von Geschiebe",'Charriage - Geschiebehaushalt'!$R$3:$R$275,"b"))</f>
        <v>65</v>
      </c>
      <c r="E4">
        <f>SUM(COUNTIFS('Charriage - Geschiebehaushalt'!$Q$3:$Q$275,"0-20%",'Charriage - Geschiebehaushalt'!$R$3:$R$275,"c"),COUNTIFS('Charriage - Geschiebehaushalt'!$Q$3:$Q$275,"Charriage présumé naturel / Geschiebehaushalt vermutlich natürlich",'Charriage - Geschiebehaushalt'!$R$3:$R$275,"c"),COUNTIFS('Charriage - Geschiebehaushalt'!$Q$3:$Q$275,"Déficit non apparent en charriage ou en remobilisation des sédiments / kein sichtbares Defizit beim Geschiebehaushalt bzw. bei der Mobilisierung von Geschiebe",'Charriage - Geschiebehaushalt'!$R$3:$R$275,"c"))</f>
        <v>0</v>
      </c>
      <c r="F4">
        <f>SUM(COUNTIFS('Charriage - Geschiebehaushalt'!$Q$3:$Q$275,"0-20%",'Charriage - Geschiebehaushalt'!$R$3:$R$275,"d"),COUNTIFS('Charriage - Geschiebehaushalt'!$Q$3:$Q$275,"Charriage présumé naturel / Geschiebehaushalt vermutlich natürlich",'Charriage - Geschiebehaushalt'!$R$3:$R$275,"d"),COUNTIFS('Charriage - Geschiebehaushalt'!$Q$3:$Q$275,"Déficit non apparent en charriage ou en remobilisation des sédiments / kein sichtbares Defizit beim Geschiebehaushalt bzw. bei der Mobilisierung von Geschiebe",'Charriage - Geschiebehaushalt'!$R$3:$R$275,"d"))</f>
        <v>0</v>
      </c>
      <c r="G4">
        <f>SUM(COUNTIFS('Charriage - Geschiebehaushalt'!$Q$3:$Q$275,"0-20%",'Charriage - Geschiebehaushalt'!$R$3:$R$275,"e"),COUNTIFS('Charriage - Geschiebehaushalt'!$Q$3:$Q$275,"Charriage présumé naturel / Geschiebehaushalt vermutlich natürlich",'Charriage - Geschiebehaushalt'!$R$3:$R$275,"e"),COUNTIFS('Charriage - Geschiebehaushalt'!$Q$3:$Q$275,"Déficit non apparent en charriage ou en remobilisation des sédiments / kein sichtbares Defizit beim Geschiebehaushalt bzw. bei der Mobilisierung von Geschiebe",'Charriage - Geschiebehaushalt'!$R$3:$R$275,"e"))</f>
        <v>0</v>
      </c>
      <c r="H4" s="346">
        <f>B4/$B$10</f>
        <v>0.43396226415094341</v>
      </c>
    </row>
    <row r="5" spans="1:16" ht="30" x14ac:dyDescent="0.25">
      <c r="A5" s="1" t="s">
        <v>1530</v>
      </c>
      <c r="B5">
        <f>SUM(COUNTIF('Charriage - Geschiebehaushalt'!$Q$3:$Q$275,"21-50%"),COUNTIF('Charriage - Geschiebehaushalt'!$Q$3:$Q$275,"La remobilisation des sédiments est perturbée / Mobilisierung von Geschiebe beeinträchtigt"),COUNTIF('Charriage - Geschiebehaushalt'!$Q$3:$Q$275,"Charriage présumé faiblement perturbé / Geschiebe vermutlich leicht beeinträchtigt"))</f>
        <v>69</v>
      </c>
      <c r="C5">
        <f>SUM(COUNTIFS('Charriage - Geschiebehaushalt'!$Q$3:$Q$275,"21-50%",'Charriage - Geschiebehaushalt'!$R$3:$R$275,"a"),COUNTIFS('Charriage - Geschiebehaushalt'!$Q$3:$Q$275,"La remobilisation des sédiments est perturbée / Mobilisierung von Geschiebe beeinträchtigt",'Charriage - Geschiebehaushalt'!$R$3:$R$275,"a"),COUNTIFS('Charriage - Geschiebehaushalt'!$Q$3:$Q$275,"Charriage présumé faiblement perturbé / Geschiebe vermutlich leicht beeinträchtigt",'Charriage - Geschiebehaushalt'!$R$3:$R$275,"a"))</f>
        <v>36</v>
      </c>
      <c r="D5">
        <f>SUM(COUNTIFS('Charriage - Geschiebehaushalt'!$Q$3:$Q$275,"21-50%",'Charriage - Geschiebehaushalt'!$R$3:$R$275,"b"),COUNTIFS('Charriage - Geschiebehaushalt'!$Q$3:$Q$275,"La remobilisation des sédiments est perturbée / Mobilisierung von Geschiebe beeinträchtigt",'Charriage - Geschiebehaushalt'!$R$3:$R$275,"b"),COUNTIFS('Charriage - Geschiebehaushalt'!$Q$3:$Q$275,"Charriage présumé faiblement perturbé / Geschiebe vermutlich leicht beeinträchtigt",'Charriage - Geschiebehaushalt'!$R$3:$R$275,"b"))</f>
        <v>33</v>
      </c>
      <c r="E5">
        <f>SUM(COUNTIFS('Charriage - Geschiebehaushalt'!$Q$3:$Q$275,"21-50%",'Charriage - Geschiebehaushalt'!$R$3:$R$275,"c"),COUNTIFS('Charriage - Geschiebehaushalt'!$Q$3:$Q$275,"La remobilisation des sédiments est perturbée / Mobilisierung von Geschiebe beeinträchtigt",'Charriage - Geschiebehaushalt'!$R$3:$R$275,"c"),COUNTIFS('Charriage - Geschiebehaushalt'!$Q$3:$Q$275,"Charriage présumé faiblement perturbé / Geschiebe vermutlich leicht beeinträchtigt",'Charriage - Geschiebehaushalt'!$R$3:$R$275,"c"))</f>
        <v>0</v>
      </c>
      <c r="F5">
        <f>SUM(COUNTIFS('Charriage - Geschiebehaushalt'!$Q$3:$Q$275,"21-50%",'Charriage - Geschiebehaushalt'!$R$3:$R$275,"d"),COUNTIFS('Charriage - Geschiebehaushalt'!$Q$3:$Q$275,"La remobilisation des sédiments est perturbée / Mobilisierung von Geschiebe beeinträchtigt",'Charriage - Geschiebehaushalt'!$R$3:$R$275,"d"),COUNTIFS('Charriage - Geschiebehaushalt'!$Q$3:$Q$275,"Charriage présumé faiblement perturbé / Geschiebe vermutlich leicht beeinträchtigt",'Charriage - Geschiebehaushalt'!$R$3:$R$275,"d"))</f>
        <v>0</v>
      </c>
      <c r="G5">
        <f>SUM(COUNTIFS('Charriage - Geschiebehaushalt'!$Q$3:$Q$275,"21-50%",'Charriage - Geschiebehaushalt'!$R$3:$R$275,"e"),COUNTIFS('Charriage - Geschiebehaushalt'!$Q$3:$Q$275,"La remobilisation des sédiments est perturbée / Mobilisierung von Geschiebe beeinträchtigt",'Charriage - Geschiebehaushalt'!$R$3:$R$275,"e"),COUNTIFS('Charriage - Geschiebehaushalt'!$Q$3:$Q$275,"Charriage présumé faiblement perturbé / Geschiebe vermutlich leicht beeinträchtigt",'Charriage - Geschiebehaushalt'!$R$3:$R$275,"e"))</f>
        <v>0</v>
      </c>
      <c r="H5" s="346">
        <f>B5/$B$10</f>
        <v>0.26037735849056604</v>
      </c>
    </row>
    <row r="6" spans="1:16" ht="30" x14ac:dyDescent="0.25">
      <c r="A6" s="1" t="s">
        <v>1531</v>
      </c>
      <c r="B6">
        <f>SUM(COUNTIF('Charriage - Geschiebehaushalt'!$Q$3:$Q$275,"51-80%"),COUNTIFS('Charriage - Geschiebehaushalt'!$Q$3:$Q$275,"Charriage présumé perturbé / Geschiebehaushalt vermutlich beeinträchtigt"))</f>
        <v>40</v>
      </c>
      <c r="C6">
        <f>SUM(COUNTIFS('Charriage - Geschiebehaushalt'!$Q$3:$Q$275,"51-80%",'Charriage - Geschiebehaushalt'!$R$3:$R$275,"a"),COUNTIFS('Charriage - Geschiebehaushalt'!$Q$3:$Q$275,"Charriage présumé perturbé / Geschiebehaushalt vermutlich beeinträchtigt",'Charriage - Geschiebehaushalt'!$R$3:$R$275,"a"))</f>
        <v>18</v>
      </c>
      <c r="D6">
        <f>SUM(COUNTIFS('Charriage - Geschiebehaushalt'!$Q$3:$Q$275,"51-80%",'Charriage - Geschiebehaushalt'!$R$3:$R$275,"b"),COUNTIFS('Charriage - Geschiebehaushalt'!$Q$3:$Q$275,"Charriage présumé perturbé / Geschiebehaushalt vermutlich beeinträchtigt",'Charriage - Geschiebehaushalt'!$R$3:$R$275,"b"))</f>
        <v>22</v>
      </c>
      <c r="E6">
        <f>SUM(COUNTIFS('Charriage - Geschiebehaushalt'!$Q$3:$Q$275,"51-80%",'Charriage - Geschiebehaushalt'!$R$3:$R$275,"c"),COUNTIFS('Charriage - Geschiebehaushalt'!$Q$3:$Q$275,"Charriage présumé perturbé / Geschiebehaushalt vermutlich beeinträchtigt",'Charriage - Geschiebehaushalt'!$R$3:$R$275,"c"))</f>
        <v>0</v>
      </c>
      <c r="F6">
        <f>SUM(COUNTIFS('Charriage - Geschiebehaushalt'!$Q$3:$Q$275,"51-80%",'Charriage - Geschiebehaushalt'!$R$3:$R$275,"d"),COUNTIFS('Charriage - Geschiebehaushalt'!$Q$3:$Q$275,"Charriage présumé perturbé / Geschiebehaushalt vermutlich beeinträchtigt",'Charriage - Geschiebehaushalt'!$R$3:$R$275,"d"))</f>
        <v>0</v>
      </c>
      <c r="G6">
        <f>SUM(COUNTIFS('Charriage - Geschiebehaushalt'!$Q$3:$Q$275,"51-80%",'Charriage - Geschiebehaushalt'!$R$3:$R$275,"e"),COUNTIFS('Charriage - Geschiebehaushalt'!$Q$3:$Q$275,"Charriage présumé perturbé / Geschiebehaushalt vermutlich beeinträchtigt",'Charriage - Geschiebehaushalt'!$R$3:$R$275,"e"))</f>
        <v>0</v>
      </c>
      <c r="H6" s="346">
        <f>B6/$B$10</f>
        <v>0.15094339622641509</v>
      </c>
    </row>
    <row r="7" spans="1:16" ht="30" x14ac:dyDescent="0.25">
      <c r="A7" s="1" t="s">
        <v>1532</v>
      </c>
      <c r="B7">
        <f>SUM(COUNTIF('Charriage - Geschiebehaushalt'!$Q$3:$Q$275,"81 -100%"),COUNTIF('Charriage - Geschiebehaushalt'!$Q$3:$Q$275,"Problème lié à un manque de charriage ou à un manque de remobilisation des sédiments / Problem aufgrund Geschiebemangels bzw. mangelnder Mobilisierung von Geschiebe"))</f>
        <v>18</v>
      </c>
      <c r="C7">
        <f>SUM(COUNTIFS('Charriage - Geschiebehaushalt'!$Q$3:$Q$275,"81 -100%",'Charriage - Geschiebehaushalt'!$R$3:$R$275,"a"),COUNTIFS('Charriage - Geschiebehaushalt'!$Q$3:$Q$275,"Problème lié à un manque de charriage ou à un manque de remobilisation des sédiments / Problem aufgrund Geschiebemangels bzw. mangelnder Mobilisierung von Geschiebe",'Charriage - Geschiebehaushalt'!$R$3:$R$275,"a"))</f>
        <v>15</v>
      </c>
      <c r="D7">
        <f>SUM(COUNTIFS('Charriage - Geschiebehaushalt'!$Q$3:$Q$275,"81 -100%",'Charriage - Geschiebehaushalt'!$R$3:$R$275,"b"),COUNTIFS('Charriage - Geschiebehaushalt'!$Q$3:$Q$275,"Problème lié à un manque de charriage ou à un manque de remobilisation des sédiments / Problem aufgrund Geschiebemangels bzw. mangelnder Mobilisierung von Geschiebe",'Charriage - Geschiebehaushalt'!$R$3:$R$275,"b"))</f>
        <v>3</v>
      </c>
      <c r="E7">
        <f>SUM(COUNTIFS('Charriage - Geschiebehaushalt'!$Q$3:$Q$275,"81 -100%",'Charriage - Geschiebehaushalt'!$R$3:$R$275,"c"),COUNTIFS('Charriage - Geschiebehaushalt'!$Q$3:$Q$275,"Problème lié à un manque de charriage ou à un manque de remobilisation des sédiments / Problem aufgrund Geschiebemangels bzw. mangelnder Mobilisierung von Geschiebe",'Charriage - Geschiebehaushalt'!$R$3:$R$275,"c"))</f>
        <v>0</v>
      </c>
      <c r="F7">
        <f>SUM(COUNTIFS('Charriage - Geschiebehaushalt'!$Q$3:$Q$275,"81 -100%",'Charriage - Geschiebehaushalt'!$R$3:$R$275,"d"),COUNTIFS('Charriage - Geschiebehaushalt'!$Q$3:$Q$275,"Problème lié à un manque de charriage ou à un manque de remobilisation des sédiments / Problem aufgrund Geschiebemangels bzw. mangelnder Mobilisierung von Geschiebe",'Charriage - Geschiebehaushalt'!$R$3:$R$275,"d"))</f>
        <v>0</v>
      </c>
      <c r="G7">
        <f>SUM(COUNTIFS('Charriage - Geschiebehaushalt'!$Q$3:$Q$275,"81 -100%",'Charriage - Geschiebehaushalt'!$R$3:$R$275,"e"),COUNTIFS('Charriage - Geschiebehaushalt'!$Q$3:$Q$275,"Problème lié à un manque de charriage ou à un manque de remobilisation des sédiments / Problem aufgrund Geschiebemangels bzw. mangelnder Mobilisierung von Geschiebe",'Charriage - Geschiebehaushalt'!$R$3:$R$275,"e"))</f>
        <v>0</v>
      </c>
      <c r="H7" s="346">
        <f>B7/$B$10</f>
        <v>6.7924528301886791E-2</v>
      </c>
    </row>
    <row r="10" spans="1:16" x14ac:dyDescent="0.25">
      <c r="A10" t="s">
        <v>1533</v>
      </c>
      <c r="B10">
        <f t="shared" ref="B10:H10" si="0">SUM(B3:B7)</f>
        <v>265</v>
      </c>
      <c r="C10">
        <f t="shared" si="0"/>
        <v>142</v>
      </c>
      <c r="D10">
        <f t="shared" si="0"/>
        <v>123</v>
      </c>
      <c r="E10">
        <f t="shared" si="0"/>
        <v>0</v>
      </c>
      <c r="F10">
        <f t="shared" si="0"/>
        <v>0</v>
      </c>
      <c r="G10">
        <f t="shared" si="0"/>
        <v>0</v>
      </c>
      <c r="H10">
        <f t="shared" si="0"/>
        <v>1</v>
      </c>
    </row>
    <row r="33" spans="1:16" x14ac:dyDescent="0.25">
      <c r="A33" s="342" t="s">
        <v>710</v>
      </c>
      <c r="B33" s="343"/>
      <c r="C33" s="343"/>
      <c r="D33" s="343"/>
      <c r="E33" s="343"/>
      <c r="F33" s="343"/>
      <c r="G33" s="343"/>
      <c r="H33" s="343"/>
      <c r="I33" s="343"/>
      <c r="J33" s="343"/>
      <c r="K33" s="343"/>
      <c r="L33" s="343"/>
      <c r="M33" s="343"/>
      <c r="N33" s="343"/>
      <c r="O33" s="343"/>
      <c r="P33" s="343"/>
    </row>
    <row r="34" spans="1:16" ht="60" x14ac:dyDescent="0.25">
      <c r="B34" s="1" t="s">
        <v>1525</v>
      </c>
      <c r="C34" s="347" t="s">
        <v>43</v>
      </c>
      <c r="D34" s="347" t="s">
        <v>110</v>
      </c>
      <c r="E34" s="347" t="s">
        <v>59</v>
      </c>
      <c r="F34" s="347" t="s">
        <v>368</v>
      </c>
      <c r="G34" t="s">
        <v>1527</v>
      </c>
    </row>
    <row r="35" spans="1:16" x14ac:dyDescent="0.25">
      <c r="A35" t="s">
        <v>1534</v>
      </c>
      <c r="B35" s="347">
        <f>COUNTIF('Débit - Abfluss'!H4:H275,"non pertinent / nicht relevant")</f>
        <v>25</v>
      </c>
      <c r="C35" s="347"/>
      <c r="D35" s="347"/>
      <c r="E35" s="347"/>
      <c r="F35" s="347"/>
      <c r="G35" s="346">
        <f t="shared" ref="G35:G40" si="1">B35/$B$43</f>
        <v>9.1911764705882359E-2</v>
      </c>
    </row>
    <row r="36" spans="1:16" ht="30" x14ac:dyDescent="0.25">
      <c r="A36" s="1" t="s">
        <v>1535</v>
      </c>
      <c r="B36" s="347">
        <f>SUM(COUNTIF('Débit - Abfluss'!H4:H275,"100%"),COUNTIF('Débit - Abfluss'!H4:H275,"Régime présumé naturel (100%) / Abfluss vermutlich natürlich"),COUNTIF('Débit - Abfluss'!H4:H275,"81-100%"))</f>
        <v>170</v>
      </c>
      <c r="C36" s="347"/>
      <c r="D36" s="347"/>
      <c r="E36" s="347"/>
      <c r="F36" s="347"/>
      <c r="G36" s="346">
        <f t="shared" si="1"/>
        <v>0.625</v>
      </c>
    </row>
    <row r="37" spans="1:16" ht="30" x14ac:dyDescent="0.25">
      <c r="A37" s="1" t="s">
        <v>1536</v>
      </c>
      <c r="B37" s="347">
        <f>COUNTIF('Débit - Abfluss'!H4:H275,"61-80%")</f>
        <v>7</v>
      </c>
      <c r="C37" s="347"/>
      <c r="D37" s="347"/>
      <c r="E37" s="347"/>
      <c r="F37" s="347"/>
      <c r="G37" s="346">
        <f t="shared" si="1"/>
        <v>2.5735294117647058E-2</v>
      </c>
    </row>
    <row r="38" spans="1:16" ht="30" x14ac:dyDescent="0.25">
      <c r="A38" s="1" t="s">
        <v>1537</v>
      </c>
      <c r="B38" s="347">
        <f>COUNTIF('Débit - Abfluss'!H4:H275,"41-60%")</f>
        <v>14</v>
      </c>
      <c r="C38" s="347"/>
      <c r="D38" s="347"/>
      <c r="E38" s="347"/>
      <c r="F38" s="347"/>
      <c r="G38" s="346">
        <f t="shared" si="1"/>
        <v>5.1470588235294115E-2</v>
      </c>
    </row>
    <row r="39" spans="1:16" ht="30" x14ac:dyDescent="0.25">
      <c r="A39" s="1" t="s">
        <v>1538</v>
      </c>
      <c r="B39" s="347">
        <f>COUNTIF('Débit - Abfluss'!H4:H275,"21-40%")</f>
        <v>27</v>
      </c>
      <c r="C39" s="347"/>
      <c r="D39" s="347"/>
      <c r="E39" s="347"/>
      <c r="F39" s="347"/>
      <c r="G39" s="346">
        <f t="shared" si="1"/>
        <v>9.9264705882352935E-2</v>
      </c>
    </row>
    <row r="40" spans="1:16" ht="30" x14ac:dyDescent="0.25">
      <c r="A40" s="1" t="s">
        <v>1539</v>
      </c>
      <c r="B40" s="347">
        <f>COUNTIF('Débit - Abfluss'!H4:H275,"0-20%")</f>
        <v>29</v>
      </c>
      <c r="C40" s="347"/>
      <c r="D40" s="347"/>
      <c r="E40" s="347"/>
      <c r="F40" s="347"/>
      <c r="G40" s="346">
        <f t="shared" si="1"/>
        <v>0.10661764705882353</v>
      </c>
    </row>
    <row r="41" spans="1:16" x14ac:dyDescent="0.25">
      <c r="B41" s="347"/>
      <c r="C41" s="347"/>
      <c r="D41" s="347"/>
      <c r="E41" s="347"/>
      <c r="F41" s="347"/>
    </row>
    <row r="42" spans="1:16" x14ac:dyDescent="0.25">
      <c r="B42" s="347"/>
      <c r="C42" s="347"/>
      <c r="D42" s="347"/>
      <c r="E42" s="347"/>
      <c r="F42" s="347"/>
    </row>
    <row r="43" spans="1:16" x14ac:dyDescent="0.25">
      <c r="A43" t="s">
        <v>1533</v>
      </c>
      <c r="B43" s="347">
        <f>SUM(B35:B40)</f>
        <v>272</v>
      </c>
      <c r="C43" s="347"/>
      <c r="D43" s="347"/>
      <c r="E43" s="347"/>
      <c r="F43" s="347"/>
      <c r="G43">
        <f>SUM(G35:G40)</f>
        <v>1</v>
      </c>
    </row>
    <row r="53" spans="1:16" x14ac:dyDescent="0.25">
      <c r="A53" s="342" t="s">
        <v>711</v>
      </c>
      <c r="B53" s="343"/>
      <c r="C53" s="343"/>
      <c r="D53" s="343"/>
      <c r="E53" s="343"/>
      <c r="F53" s="343"/>
      <c r="G53" s="343"/>
      <c r="H53" s="343"/>
      <c r="I53" s="343"/>
      <c r="J53" s="343"/>
      <c r="K53" s="343"/>
      <c r="L53" s="343"/>
      <c r="M53" s="343"/>
      <c r="N53" s="343"/>
      <c r="O53" s="343"/>
      <c r="P53" s="343"/>
    </row>
    <row r="54" spans="1:16" ht="60" x14ac:dyDescent="0.25">
      <c r="B54" s="1" t="s">
        <v>1525</v>
      </c>
      <c r="C54" t="s">
        <v>1527</v>
      </c>
    </row>
    <row r="55" spans="1:16" ht="30" x14ac:dyDescent="0.25">
      <c r="A55" s="1" t="s">
        <v>1540</v>
      </c>
      <c r="B55" t="e">
        <f>COUNTIF('[1]Débit - Abfluss'!#REF!,"Non affecté / nicht betroffen")</f>
        <v>#REF!</v>
      </c>
      <c r="C55" s="346" t="e">
        <f>B55/$B$60</f>
        <v>#REF!</v>
      </c>
    </row>
    <row r="56" spans="1:16" ht="45" x14ac:dyDescent="0.25">
      <c r="A56" s="1" t="s">
        <v>1541</v>
      </c>
      <c r="B56" t="e">
        <f>COUNTIF('[1]Débit - Abfluss'!#REF!,"Potentiellement affecté mais non plausible / möglicherweise betroffen aber nicht nachweisbar")</f>
        <v>#REF!</v>
      </c>
      <c r="C56" s="346" t="e">
        <f>B56/$B$60</f>
        <v>#REF!</v>
      </c>
    </row>
    <row r="57" spans="1:16" ht="30" x14ac:dyDescent="0.25">
      <c r="A57" s="1" t="s">
        <v>1542</v>
      </c>
      <c r="B57" t="e">
        <f>COUNTIF('[1]Débit - Abfluss'!#REF!,"Potentiellement affecté / möglicherweise betroffen")</f>
        <v>#REF!</v>
      </c>
      <c r="C57" s="346" t="e">
        <f>B57/$B$60</f>
        <v>#REF!</v>
      </c>
    </row>
    <row r="60" spans="1:16" x14ac:dyDescent="0.25">
      <c r="A60" t="s">
        <v>1533</v>
      </c>
      <c r="B60" t="e">
        <f>SUM(B55:B57)</f>
        <v>#REF!</v>
      </c>
      <c r="C60" t="e">
        <f>SUM(C55:C57)</f>
        <v>#REF!</v>
      </c>
    </row>
    <row r="76" spans="1:16" x14ac:dyDescent="0.25">
      <c r="A76" s="342" t="s">
        <v>712</v>
      </c>
      <c r="B76" s="343"/>
      <c r="C76" s="343"/>
      <c r="D76" s="343"/>
      <c r="E76" s="343"/>
      <c r="F76" s="343"/>
      <c r="G76" s="343"/>
      <c r="H76" s="343"/>
      <c r="I76" s="343"/>
      <c r="J76" s="343"/>
      <c r="K76" s="343"/>
      <c r="L76" s="343"/>
      <c r="M76" s="343"/>
      <c r="N76" s="343"/>
      <c r="O76" s="343"/>
      <c r="P76" s="343"/>
    </row>
    <row r="77" spans="1:16" ht="60" x14ac:dyDescent="0.25">
      <c r="B77" s="1" t="s">
        <v>1525</v>
      </c>
      <c r="C77" s="348" t="s">
        <v>43</v>
      </c>
      <c r="D77" s="349" t="s">
        <v>72</v>
      </c>
      <c r="E77" s="349" t="s">
        <v>110</v>
      </c>
      <c r="F77" s="349" t="s">
        <v>59</v>
      </c>
      <c r="G77" s="349" t="s">
        <v>368</v>
      </c>
      <c r="H77" t="s">
        <v>1527</v>
      </c>
    </row>
    <row r="78" spans="1:16" ht="30" x14ac:dyDescent="0.25">
      <c r="A78" s="1" t="s">
        <v>1543</v>
      </c>
      <c r="B78">
        <f>COUNTIF('Revitalisation-Revitalisierung'!M4:M275,"non pertinent / nicht relevant")</f>
        <v>14</v>
      </c>
      <c r="C78">
        <f>COUNTIFS('Revitalisation-Revitalisierung'!$M$4:$M$275,"non pertinent / nicht relevant",'Revitalisation-Revitalisierung'!$N$4:$N$275,C$77)</f>
        <v>14</v>
      </c>
      <c r="D78">
        <f>COUNTIFS('Revitalisation-Revitalisierung'!$M$4:$M$275,"non pertinent / nicht relevant",'Revitalisation-Revitalisierung'!$N$4:$N$275,D$77)</f>
        <v>0</v>
      </c>
      <c r="E78">
        <f>COUNTIFS('Revitalisation-Revitalisierung'!$M$4:$M$275,"non pertinent / nicht relevant",'Revitalisation-Revitalisierung'!$N$4:$N$275,E$77)</f>
        <v>0</v>
      </c>
      <c r="F78">
        <f>COUNTIFS('Revitalisation-Revitalisierung'!$M$4:$M$275,"non pertinent / nicht relevant",'Revitalisation-Revitalisierung'!$N$4:$N$275,F$77)</f>
        <v>0</v>
      </c>
      <c r="G78">
        <f>COUNTIFS('Revitalisation-Revitalisierung'!$M$4:$M$275,"non pertinent / nicht relevant",'Revitalisation-Revitalisierung'!$N$4:$N$275,G$77)</f>
        <v>0</v>
      </c>
      <c r="H78" s="346">
        <f t="shared" ref="H78:H83" si="2">B78/$B$86</f>
        <v>5.3231939163498096E-2</v>
      </c>
    </row>
    <row r="79" spans="1:16" ht="30" x14ac:dyDescent="0.25">
      <c r="A79" s="1" t="s">
        <v>1544</v>
      </c>
      <c r="B79">
        <f>COUNTIF('Revitalisation-Revitalisierung'!M4:M275,"Non nécessaire / nicht nötig")</f>
        <v>100</v>
      </c>
      <c r="C79">
        <f>COUNTIFS('Revitalisation-Revitalisierung'!$M$4:$M$275,"Non nécessaire / nicht nötig",'Revitalisation-Revitalisierung'!$N$4:$N$275,C$77,'Revitalisation-Revitalisierung'!$N$4:$N$275,C$77)</f>
        <v>71</v>
      </c>
      <c r="D79">
        <f>COUNTIFS('Revitalisation-Revitalisierung'!$M$4:$M$275,"Non nécessaire / nicht nötig",'Revitalisation-Revitalisierung'!$N$4:$N$275,D$77,'Revitalisation-Revitalisierung'!$N$4:$N$275,D$77)</f>
        <v>29</v>
      </c>
      <c r="E79">
        <f>COUNTIFS('Revitalisation-Revitalisierung'!$M$4:$M$275,"Non nécessaire / nicht nötig",'Revitalisation-Revitalisierung'!$N$4:$N$275,E$77,'Revitalisation-Revitalisierung'!$N$4:$N$275,E$77)</f>
        <v>0</v>
      </c>
      <c r="F79">
        <f>COUNTIFS('Revitalisation-Revitalisierung'!$M$4:$M$275,"Non nécessaire / nicht nötig",'Revitalisation-Revitalisierung'!$N$4:$N$275,F$77,'Revitalisation-Revitalisierung'!$N$4:$N$275,F$77)</f>
        <v>0</v>
      </c>
      <c r="G79">
        <f>COUNTIFS('Revitalisation-Revitalisierung'!$M$4:$M$275,"Non nécessaire / nicht nötig",'Revitalisation-Revitalisierung'!$N$4:$N$275,G$77,'Revitalisation-Revitalisierung'!$N$4:$N$275,G$77)</f>
        <v>0</v>
      </c>
      <c r="H79" s="346">
        <f t="shared" si="2"/>
        <v>0.38022813688212925</v>
      </c>
    </row>
    <row r="80" spans="1:16" ht="30" x14ac:dyDescent="0.25">
      <c r="A80" s="1" t="s">
        <v>1545</v>
      </c>
      <c r="B80">
        <f>COUNTIF('Revitalisation-Revitalisierung'!M4:M275,"Partiellement nécessaire, difficile / teilweise nötig, schwierig")</f>
        <v>13</v>
      </c>
      <c r="C80">
        <f>COUNTIFS('Revitalisation-Revitalisierung'!$M$4:$M$275,"Partiellement nécessaire, difficile / teilweise nötig, schwierig",'Revitalisation-Revitalisierung'!$N$4:$N$275,C$77)</f>
        <v>5</v>
      </c>
      <c r="D80">
        <f>COUNTIFS('Revitalisation-Revitalisierung'!$M$4:$M$275,"Partiellement nécessaire, difficile / teilweise nötig, schwierig",'Revitalisation-Revitalisierung'!$N$4:$N$275,D$77)</f>
        <v>8</v>
      </c>
      <c r="E80">
        <f>COUNTIFS('Revitalisation-Revitalisierung'!$M$4:$M$275,"Partiellement nécessaire, difficile / teilweise nötig, schwierig",'Revitalisation-Revitalisierung'!$N$4:$N$275,E$77)</f>
        <v>0</v>
      </c>
      <c r="F80">
        <f>COUNTIFS('Revitalisation-Revitalisierung'!$M$4:$M$275,"Partiellement nécessaire, difficile / teilweise nötig, schwierig",'Revitalisation-Revitalisierung'!$N$4:$N$275,F$77)</f>
        <v>0</v>
      </c>
      <c r="G80">
        <f>COUNTIFS('Revitalisation-Revitalisierung'!$M$4:$M$275,"Partiellement nécessaire, difficile / teilweise nötig, schwierig",'Revitalisation-Revitalisierung'!$N$4:$N$275,G$77)</f>
        <v>0</v>
      </c>
      <c r="H80" s="346">
        <f t="shared" si="2"/>
        <v>4.9429657794676805E-2</v>
      </c>
    </row>
    <row r="81" spans="1:8" ht="30" x14ac:dyDescent="0.25">
      <c r="A81" s="1" t="s">
        <v>1546</v>
      </c>
      <c r="B81">
        <f>COUNTIF('Revitalisation-Revitalisierung'!M4:M275,"Partiellement nécessaire, facile / teilweise nötig, einfach")</f>
        <v>38</v>
      </c>
      <c r="C81">
        <f>COUNTIFS('Revitalisation-Revitalisierung'!$M$4:$M$275,"Partiellement nécessaire, facile / teilweise nötig, einfach",'Revitalisation-Revitalisierung'!$N$4:$N$275,C$77)</f>
        <v>26</v>
      </c>
      <c r="D81">
        <f>COUNTIFS('Revitalisation-Revitalisierung'!$M$4:$M$274,"Partiellement nécessaire, facile / teilweise nötig, einfach",'Revitalisation-Revitalisierung'!$N$4:$N$274,D$77)</f>
        <v>12</v>
      </c>
      <c r="E81">
        <f>COUNTIFS('Revitalisation-Revitalisierung'!$M$4:$M$274,"Partiellement nécessaire, facile / teilweise nötig, einfach",'Revitalisation-Revitalisierung'!$N$4:$N$274,E$77)</f>
        <v>0</v>
      </c>
      <c r="F81">
        <f>COUNTIFS('Revitalisation-Revitalisierung'!$M$4:$M$274,"Partiellement nécessaire, facile / teilweise nötig, einfach",'Revitalisation-Revitalisierung'!$N$4:$N$274,F$77)</f>
        <v>0</v>
      </c>
      <c r="G81">
        <f>COUNTIFS('Revitalisation-Revitalisierung'!$M$4:$M$274,"Partiellement nécessaire, facile / teilweise nötig, einfach",'Revitalisation-Revitalisierung'!$N$4:$N$274,G$77)</f>
        <v>0</v>
      </c>
      <c r="H81" s="346">
        <f t="shared" si="2"/>
        <v>0.14448669201520911</v>
      </c>
    </row>
    <row r="82" spans="1:8" ht="30" x14ac:dyDescent="0.25">
      <c r="A82" s="1" t="s">
        <v>1547</v>
      </c>
      <c r="B82">
        <f>COUNTIF('Revitalisation-Revitalisierung'!M4:M275,"Très nécessaire, difficile / unbedingt nötig, schwierig")</f>
        <v>23</v>
      </c>
      <c r="C82">
        <f>COUNTIFS('Revitalisation-Revitalisierung'!$M$4:$M$275,"Très nécessaire, difficile / unbedingt nötig, schwierig",'Revitalisation-Revitalisierung'!$N$4:$N$275,C$77)</f>
        <v>8</v>
      </c>
      <c r="D82">
        <f>COUNTIFS('Revitalisation-Revitalisierung'!$M$4:$M$275,"Très nécessaire, difficile / unbedingt nötig, schwierig",'Revitalisation-Revitalisierung'!$N$4:$N$275,D$77)</f>
        <v>15</v>
      </c>
      <c r="E82">
        <f>COUNTIFS('Revitalisation-Revitalisierung'!$M$4:$M$275,"Très nécessaire, difficile / unbedingt nötig, schwierig",'Revitalisation-Revitalisierung'!$N$4:$N$275,E$77)</f>
        <v>0</v>
      </c>
      <c r="F82">
        <f>COUNTIFS('Revitalisation-Revitalisierung'!$M$4:$M$275,"Très nécessaire, difficile / unbedingt nötig, schwierig",'Revitalisation-Revitalisierung'!$N$4:$N$275,F$77)</f>
        <v>0</v>
      </c>
      <c r="G82">
        <f>COUNTIFS('Revitalisation-Revitalisierung'!$M$4:$M$275,"Très nécessaire, difficile / unbedingt nötig, schwierig",'Revitalisation-Revitalisierung'!$N$4:$N$275,G$77)</f>
        <v>0</v>
      </c>
      <c r="H82" s="346">
        <f t="shared" si="2"/>
        <v>8.7452471482889732E-2</v>
      </c>
    </row>
    <row r="83" spans="1:8" ht="30" x14ac:dyDescent="0.25">
      <c r="A83" s="1" t="s">
        <v>1548</v>
      </c>
      <c r="B83">
        <f>COUNTIF('Revitalisation-Revitalisierung'!M4:M275,"Très nécessaire, facile / unbedingt nötig, einfach")</f>
        <v>75</v>
      </c>
      <c r="C83">
        <f>COUNTIFS('Revitalisation-Revitalisierung'!$M$4:$M$275,"Très nécessaire, facile / unbedingt nötig, einfach",'Revitalisation-Revitalisierung'!$N$4:$N$275,C$77)</f>
        <v>41</v>
      </c>
      <c r="D83">
        <f>COUNTIFS('Revitalisation-Revitalisierung'!$M$4:$M$275,"Très nécessaire, facile / unbedingt nötig, einfach",'Revitalisation-Revitalisierung'!$N$4:$N$275,D$77)</f>
        <v>34</v>
      </c>
      <c r="E83">
        <f>COUNTIFS('Revitalisation-Revitalisierung'!$M$4:$M$275,"Très nécessaire, facile / unbedingt nötig, einfach",'Revitalisation-Revitalisierung'!$N$4:$N$275,E$77)</f>
        <v>0</v>
      </c>
      <c r="F83">
        <f>COUNTIFS('Revitalisation-Revitalisierung'!$M$4:$M$275,"Très nécessaire, facile / unbedingt nötig, einfach",'Revitalisation-Revitalisierung'!$N$4:$N$275,F$77)</f>
        <v>0</v>
      </c>
      <c r="G83">
        <f>COUNTIFS('Revitalisation-Revitalisierung'!$M$4:$M$275,"Très nécessaire, facile / unbedingt nötig, einfach",'Revitalisation-Revitalisierung'!$N$4:$N$275,G$77)</f>
        <v>0</v>
      </c>
      <c r="H83" s="346">
        <f t="shared" si="2"/>
        <v>0.28517110266159695</v>
      </c>
    </row>
    <row r="86" spans="1:8" x14ac:dyDescent="0.25">
      <c r="A86" t="s">
        <v>1533</v>
      </c>
      <c r="B86">
        <f t="shared" ref="B86:H86" si="3">SUM(B78:B83)</f>
        <v>263</v>
      </c>
      <c r="C86">
        <f t="shared" si="3"/>
        <v>165</v>
      </c>
      <c r="D86">
        <f t="shared" si="3"/>
        <v>98</v>
      </c>
      <c r="E86">
        <f t="shared" si="3"/>
        <v>0</v>
      </c>
      <c r="F86">
        <f t="shared" si="3"/>
        <v>0</v>
      </c>
      <c r="G86">
        <f t="shared" si="3"/>
        <v>0</v>
      </c>
      <c r="H86">
        <f t="shared" si="3"/>
        <v>0.99999999999999989</v>
      </c>
    </row>
    <row r="114" spans="1:5" x14ac:dyDescent="0.25">
      <c r="A114" t="s">
        <v>1549</v>
      </c>
      <c r="B114" t="str">
        <f>IF('[1]Charriage - Geschiebehaushalt'!P2="a",'[1]Charriage - Geschiebehaushalt'!O2,"")</f>
        <v>81 -100%</v>
      </c>
      <c r="C114" t="str">
        <f>IF('[1]Charriage - Geschiebehaushalt'!P2="b",'[1]Charriage - Geschiebehaushalt'!O2,"")</f>
        <v/>
      </c>
      <c r="D114" t="str">
        <f>IF('[1]Revitalisation-Revitalisierung'!L2="a",'[1]Revitalisation-Revitalisierung'!K2,"")</f>
        <v/>
      </c>
      <c r="E114" t="str">
        <f>IF('[1]Revitalisation-Revitalisierung'!L2="b",'[1]Revitalisation-Revitalisierung'!K2,"")</f>
        <v>Partiellement nécessaire, facile / teilweise nötig, einfach</v>
      </c>
    </row>
    <row r="115" spans="1:5" x14ac:dyDescent="0.25">
      <c r="B115" t="str">
        <f>IF('[1]Charriage - Geschiebehaushalt'!P3="a",'[1]Charriage - Geschiebehaushalt'!O3,"")</f>
        <v>81 -100%</v>
      </c>
      <c r="C115" t="str">
        <f>IF('[1]Charriage - Geschiebehaushalt'!P3="b",'[1]Charriage - Geschiebehaushalt'!O3,"")</f>
        <v/>
      </c>
      <c r="D115" t="str">
        <f>IF('[1]Revitalisation-Revitalisierung'!L3="a",'[1]Revitalisation-Revitalisierung'!K3,"")</f>
        <v/>
      </c>
      <c r="E115" t="str">
        <f>IF('[1]Revitalisation-Revitalisierung'!L3="b",'[1]Revitalisation-Revitalisierung'!K3,"")</f>
        <v>Partiellement nécessaire, difficile / teilweise nötig, schwierig</v>
      </c>
    </row>
    <row r="116" spans="1:5" x14ac:dyDescent="0.25">
      <c r="B116" t="str">
        <f>IF('[1]Charriage - Geschiebehaushalt'!P4="a",'[1]Charriage - Geschiebehaushalt'!O4,"")</f>
        <v/>
      </c>
      <c r="C116" t="str">
        <f>IF('[1]Charriage - Geschiebehaushalt'!P4="b",'[1]Charriage - Geschiebehaushalt'!O4,"")</f>
        <v>Charriage présumé naturel / Geschiebehaushalt vermutlich natürlich</v>
      </c>
      <c r="D116" t="str">
        <f>IF('[1]Revitalisation-Revitalisierung'!L4="a",'[1]Revitalisation-Revitalisierung'!K4,"")</f>
        <v>Non nécessaire / nicht nötig</v>
      </c>
      <c r="E116" t="str">
        <f>IF('[1]Revitalisation-Revitalisierung'!L4="b",'[1]Revitalisation-Revitalisierung'!K4,"")</f>
        <v/>
      </c>
    </row>
    <row r="117" spans="1:5" x14ac:dyDescent="0.25">
      <c r="B117" t="str">
        <f>IF('[1]Charriage - Geschiebehaushalt'!P5="a",'[1]Charriage - Geschiebehaushalt'!O5,"")</f>
        <v>0-20%</v>
      </c>
      <c r="C117" t="str">
        <f>IF('[1]Charriage - Geschiebehaushalt'!P5="b",'[1]Charriage - Geschiebehaushalt'!O5,"")</f>
        <v/>
      </c>
      <c r="D117" t="str">
        <f>IF('[1]Revitalisation-Revitalisierung'!L5="a",'[1]Revitalisation-Revitalisierung'!K5,"")</f>
        <v/>
      </c>
      <c r="E117" t="str">
        <f>IF('[1]Revitalisation-Revitalisierung'!L5="b",'[1]Revitalisation-Revitalisierung'!K5,"")</f>
        <v>Partiellement nécessaire, facile / teilweise nötig, einfach</v>
      </c>
    </row>
    <row r="118" spans="1:5" x14ac:dyDescent="0.25">
      <c r="B118" t="str">
        <f>IF('[1]Charriage - Geschiebehaushalt'!P6="a",'[1]Charriage - Geschiebehaushalt'!O6,"")</f>
        <v>0-20%</v>
      </c>
      <c r="C118" t="str">
        <f>IF('[1]Charriage - Geschiebehaushalt'!P6="b",'[1]Charriage - Geschiebehaushalt'!O6,"")</f>
        <v/>
      </c>
      <c r="D118" t="str">
        <f>IF('[1]Revitalisation-Revitalisierung'!L6="a",'[1]Revitalisation-Revitalisierung'!K6,"")</f>
        <v/>
      </c>
      <c r="E118" t="str">
        <f>IF('[1]Revitalisation-Revitalisierung'!L6="b",'[1]Revitalisation-Revitalisierung'!K6,"")</f>
        <v>Partiellement nécessaire, difficile / teilweise nötig, schwierig</v>
      </c>
    </row>
    <row r="119" spans="1:5" x14ac:dyDescent="0.25">
      <c r="B119" t="str">
        <f>IF('[1]Charriage - Geschiebehaushalt'!P7="a",'[1]Charriage - Geschiebehaushalt'!O7,"")</f>
        <v>0-20%</v>
      </c>
      <c r="C119" t="str">
        <f>IF('[1]Charriage - Geschiebehaushalt'!P7="b",'[1]Charriage - Geschiebehaushalt'!O7,"")</f>
        <v/>
      </c>
      <c r="D119" t="str">
        <f>IF('[1]Revitalisation-Revitalisierung'!L7="a",'[1]Revitalisation-Revitalisierung'!K7,"")</f>
        <v>Très nécessaire, facile / unbedingt nötig, einfach</v>
      </c>
      <c r="E119" t="str">
        <f>IF('[1]Revitalisation-Revitalisierung'!L7="b",'[1]Revitalisation-Revitalisierung'!K7,"")</f>
        <v/>
      </c>
    </row>
    <row r="120" spans="1:5" x14ac:dyDescent="0.25">
      <c r="B120" t="str">
        <f>IF('[1]Charriage - Geschiebehaushalt'!P8="a",'[1]Charriage - Geschiebehaushalt'!O8,"")</f>
        <v>0-20%</v>
      </c>
      <c r="C120" t="str">
        <f>IF('[1]Charriage - Geschiebehaushalt'!P8="b",'[1]Charriage - Geschiebehaushalt'!O8,"")</f>
        <v/>
      </c>
      <c r="D120" t="str">
        <f>IF('[1]Revitalisation-Revitalisierung'!L8="a",'[1]Revitalisation-Revitalisierung'!K8,"")</f>
        <v>Très nécessaire, facile / unbedingt nötig, einfach</v>
      </c>
      <c r="E120" t="str">
        <f>IF('[1]Revitalisation-Revitalisierung'!L8="b",'[1]Revitalisation-Revitalisierung'!K8,"")</f>
        <v/>
      </c>
    </row>
    <row r="121" spans="1:5" x14ac:dyDescent="0.25">
      <c r="B121" t="str">
        <f>IF('[1]Charriage - Geschiebehaushalt'!P9="a",'[1]Charriage - Geschiebehaushalt'!O9,"")</f>
        <v>0-20%</v>
      </c>
      <c r="C121" t="str">
        <f>IF('[1]Charriage - Geschiebehaushalt'!P9="b",'[1]Charriage - Geschiebehaushalt'!O9,"")</f>
        <v/>
      </c>
      <c r="D121" t="str">
        <f>IF('[1]Revitalisation-Revitalisierung'!L9="a",'[1]Revitalisation-Revitalisierung'!K9,"")</f>
        <v>Très nécessaire, facile / unbedingt nötig, einfach</v>
      </c>
      <c r="E121" t="str">
        <f>IF('[1]Revitalisation-Revitalisierung'!L9="b",'[1]Revitalisation-Revitalisierung'!K9,"")</f>
        <v/>
      </c>
    </row>
    <row r="122" spans="1:5" x14ac:dyDescent="0.25">
      <c r="B122" t="str">
        <f>IF('[1]Charriage - Geschiebehaushalt'!P10="a",'[1]Charriage - Geschiebehaushalt'!O10,"")</f>
        <v>0-20%</v>
      </c>
      <c r="C122" t="str">
        <f>IF('[1]Charriage - Geschiebehaushalt'!P10="b",'[1]Charriage - Geschiebehaushalt'!O10,"")</f>
        <v/>
      </c>
      <c r="D122" t="str">
        <f>IF('[1]Revitalisation-Revitalisierung'!L10="a",'[1]Revitalisation-Revitalisierung'!K10,"")</f>
        <v/>
      </c>
      <c r="E122" t="str">
        <f>IF('[1]Revitalisation-Revitalisierung'!L10="b",'[1]Revitalisation-Revitalisierung'!K10,"")</f>
        <v>Partiellement nécessaire, difficile / teilweise nötig, schwierig</v>
      </c>
    </row>
    <row r="123" spans="1:5" x14ac:dyDescent="0.25">
      <c r="B123" t="str">
        <f>IF('[1]Charriage - Geschiebehaushalt'!P11="a",'[1]Charriage - Geschiebehaushalt'!O11,"")</f>
        <v>0-20%</v>
      </c>
      <c r="C123" t="str">
        <f>IF('[1]Charriage - Geschiebehaushalt'!P11="b",'[1]Charriage - Geschiebehaushalt'!O11,"")</f>
        <v/>
      </c>
      <c r="D123" t="str">
        <f>IF('[1]Revitalisation-Revitalisierung'!L11="a",'[1]Revitalisation-Revitalisierung'!K11,"")</f>
        <v>Très nécessaire, facile / unbedingt nötig, einfach</v>
      </c>
      <c r="E123" t="str">
        <f>IF('[1]Revitalisation-Revitalisierung'!L11="b",'[1]Revitalisation-Revitalisierung'!K11,"")</f>
        <v/>
      </c>
    </row>
    <row r="124" spans="1:5" x14ac:dyDescent="0.25">
      <c r="B124" t="str">
        <f>IF('[1]Charriage - Geschiebehaushalt'!P12="a",'[1]Charriage - Geschiebehaushalt'!O12,"")</f>
        <v>51-80%</v>
      </c>
      <c r="C124" t="str">
        <f>IF('[1]Charriage - Geschiebehaushalt'!P12="b",'[1]Charriage - Geschiebehaushalt'!O12,"")</f>
        <v/>
      </c>
      <c r="D124" t="str">
        <f>IF('[1]Revitalisation-Revitalisierung'!L12="a",'[1]Revitalisation-Revitalisierung'!K12,"")</f>
        <v>Partiellement nécessaire, difficile / teilweise nötig, schwierig</v>
      </c>
      <c r="E124" t="str">
        <f>IF('[1]Revitalisation-Revitalisierung'!L12="b",'[1]Revitalisation-Revitalisierung'!K12,"")</f>
        <v/>
      </c>
    </row>
    <row r="125" spans="1:5" x14ac:dyDescent="0.25">
      <c r="B125" t="str">
        <f>IF('[1]Charriage - Geschiebehaushalt'!P13="a",'[1]Charriage - Geschiebehaushalt'!O13,"")</f>
        <v>0-20%</v>
      </c>
      <c r="C125" t="str">
        <f>IF('[1]Charriage - Geschiebehaushalt'!P13="b",'[1]Charriage - Geschiebehaushalt'!O13,"")</f>
        <v/>
      </c>
      <c r="D125" t="str">
        <f>IF('[1]Revitalisation-Revitalisierung'!L13="a",'[1]Revitalisation-Revitalisierung'!K13,"")</f>
        <v>Très nécessaire, facile / unbedingt nötig, einfach</v>
      </c>
      <c r="E125" t="str">
        <f>IF('[1]Revitalisation-Revitalisierung'!L13="b",'[1]Revitalisation-Revitalisierung'!K13,"")</f>
        <v/>
      </c>
    </row>
    <row r="126" spans="1:5" x14ac:dyDescent="0.25">
      <c r="B126" t="str">
        <f>IF('[1]Charriage - Geschiebehaushalt'!P14="a",'[1]Charriage - Geschiebehaushalt'!O14,"")</f>
        <v>0-20%</v>
      </c>
      <c r="C126" t="str">
        <f>IF('[1]Charriage - Geschiebehaushalt'!P14="b",'[1]Charriage - Geschiebehaushalt'!O14,"")</f>
        <v/>
      </c>
      <c r="D126" t="str">
        <f>IF('[1]Revitalisation-Revitalisierung'!L14="a",'[1]Revitalisation-Revitalisierung'!K14,"")</f>
        <v/>
      </c>
      <c r="E126" t="str">
        <f>IF('[1]Revitalisation-Revitalisierung'!L14="b",'[1]Revitalisation-Revitalisierung'!K14,"")</f>
        <v>Très nécessaire, facile / unbedingt nötig, einfach</v>
      </c>
    </row>
    <row r="127" spans="1:5" x14ac:dyDescent="0.25">
      <c r="B127" t="str">
        <f>IF('[1]Charriage - Geschiebehaushalt'!P15="a",'[1]Charriage - Geschiebehaushalt'!O15,"")</f>
        <v>0-20%</v>
      </c>
      <c r="C127" t="str">
        <f>IF('[1]Charriage - Geschiebehaushalt'!P15="b",'[1]Charriage - Geschiebehaushalt'!O15,"")</f>
        <v/>
      </c>
      <c r="D127" t="str">
        <f>IF('[1]Revitalisation-Revitalisierung'!L15="a",'[1]Revitalisation-Revitalisierung'!K15,"")</f>
        <v>Non nécessaire / nicht nötig</v>
      </c>
      <c r="E127" t="str">
        <f>IF('[1]Revitalisation-Revitalisierung'!L15="b",'[1]Revitalisation-Revitalisierung'!K15,"")</f>
        <v/>
      </c>
    </row>
    <row r="128" spans="1:5" x14ac:dyDescent="0.25">
      <c r="B128" t="str">
        <f>IF('[1]Charriage - Geschiebehaushalt'!P16="a",'[1]Charriage - Geschiebehaushalt'!O16,"")</f>
        <v>51-80%</v>
      </c>
      <c r="C128" t="str">
        <f>IF('[1]Charriage - Geschiebehaushalt'!P16="b",'[1]Charriage - Geschiebehaushalt'!O16,"")</f>
        <v/>
      </c>
      <c r="D128" t="str">
        <f>IF('[1]Revitalisation-Revitalisierung'!L16="a",'[1]Revitalisation-Revitalisierung'!K16,"")</f>
        <v/>
      </c>
      <c r="E128" t="str">
        <f>IF('[1]Revitalisation-Revitalisierung'!L16="b",'[1]Revitalisation-Revitalisierung'!K16,"")</f>
        <v>Partiellement nécessaire, facile / teilweise nötig, einfach</v>
      </c>
    </row>
    <row r="129" spans="2:5" x14ac:dyDescent="0.25">
      <c r="B129" t="str">
        <f>IF('[1]Charriage - Geschiebehaushalt'!P17="a",'[1]Charriage - Geschiebehaushalt'!O17,"")</f>
        <v>51-80%</v>
      </c>
      <c r="C129" t="str">
        <f>IF('[1]Charriage - Geschiebehaushalt'!P17="b",'[1]Charriage - Geschiebehaushalt'!O17,"")</f>
        <v/>
      </c>
      <c r="D129" t="str">
        <f>IF('[1]Revitalisation-Revitalisierung'!L17="a",'[1]Revitalisation-Revitalisierung'!K17,"")</f>
        <v/>
      </c>
      <c r="E129" t="str">
        <f>IF('[1]Revitalisation-Revitalisierung'!L17="b",'[1]Revitalisation-Revitalisierung'!K17,"")</f>
        <v>Très nécessaire, facile / unbedingt nötig, einfach</v>
      </c>
    </row>
    <row r="130" spans="2:5" x14ac:dyDescent="0.25">
      <c r="B130" t="str">
        <f>IF('[1]Charriage - Geschiebehaushalt'!P18="a",'[1]Charriage - Geschiebehaushalt'!O18,"")</f>
        <v/>
      </c>
      <c r="C130" t="str">
        <f>IF('[1]Charriage - Geschiebehaushalt'!P18="b",'[1]Charriage - Geschiebehaushalt'!O18,"")</f>
        <v>Charriage présumé perturbé / Geschiebehaushalt vermutlich beeinträchtigt</v>
      </c>
      <c r="D130" t="str">
        <f>IF('[1]Revitalisation-Revitalisierung'!L18="a",'[1]Revitalisation-Revitalisierung'!K18,"")</f>
        <v/>
      </c>
      <c r="E130" t="str">
        <f>IF('[1]Revitalisation-Revitalisierung'!L18="b",'[1]Revitalisation-Revitalisierung'!K18,"")</f>
        <v>Partiellement nécessaire, facile / teilweise nötig, einfach</v>
      </c>
    </row>
    <row r="131" spans="2:5" x14ac:dyDescent="0.25">
      <c r="B131" t="str">
        <f>IF('[1]Charriage - Geschiebehaushalt'!P19="a",'[1]Charriage - Geschiebehaushalt'!O19,"")</f>
        <v>81 -100%</v>
      </c>
      <c r="C131" t="str">
        <f>IF('[1]Charriage - Geschiebehaushalt'!P19="b",'[1]Charriage - Geschiebehaushalt'!O19,"")</f>
        <v/>
      </c>
      <c r="D131" t="str">
        <f>IF('[1]Revitalisation-Revitalisierung'!L19="a",'[1]Revitalisation-Revitalisierung'!K19,"")</f>
        <v/>
      </c>
      <c r="E131" t="str">
        <f>IF('[1]Revitalisation-Revitalisierung'!L19="b",'[1]Revitalisation-Revitalisierung'!K19,"")</f>
        <v>Très nécessaire, difficile / unbedingt nötig, schwierig</v>
      </c>
    </row>
    <row r="132" spans="2:5" x14ac:dyDescent="0.25">
      <c r="B132" t="str">
        <f>IF('[1]Charriage - Geschiebehaushalt'!P20="a",'[1]Charriage - Geschiebehaushalt'!O20,"")</f>
        <v>0-20%</v>
      </c>
      <c r="C132" t="str">
        <f>IF('[1]Charriage - Geschiebehaushalt'!P20="b",'[1]Charriage - Geschiebehaushalt'!O20,"")</f>
        <v/>
      </c>
      <c r="D132" t="str">
        <f>IF('[1]Revitalisation-Revitalisierung'!L20="a",'[1]Revitalisation-Revitalisierung'!K20,"")</f>
        <v/>
      </c>
      <c r="E132" t="str">
        <f>IF('[1]Revitalisation-Revitalisierung'!L20="b",'[1]Revitalisation-Revitalisierung'!K20,"")</f>
        <v>Non nécessaire / nicht nötig</v>
      </c>
    </row>
    <row r="133" spans="2:5" x14ac:dyDescent="0.25">
      <c r="B133" t="str">
        <f>IF('[1]Charriage - Geschiebehaushalt'!P21="a",'[1]Charriage - Geschiebehaushalt'!O21,"")</f>
        <v>21-50%</v>
      </c>
      <c r="C133" t="str">
        <f>IF('[1]Charriage - Geschiebehaushalt'!P21="b",'[1]Charriage - Geschiebehaushalt'!O21,"")</f>
        <v/>
      </c>
      <c r="D133" t="str">
        <f>IF('[1]Revitalisation-Revitalisierung'!L21="a",'[1]Revitalisation-Revitalisierung'!K21,"")</f>
        <v>Très nécessaire, facile / unbedingt nötig, einfach</v>
      </c>
      <c r="E133" t="str">
        <f>IF('[1]Revitalisation-Revitalisierung'!L21="b",'[1]Revitalisation-Revitalisierung'!K21,"")</f>
        <v/>
      </c>
    </row>
    <row r="134" spans="2:5" x14ac:dyDescent="0.25">
      <c r="B134" t="str">
        <f>IF('[1]Charriage - Geschiebehaushalt'!P22="a",'[1]Charriage - Geschiebehaushalt'!O22,"")</f>
        <v>21-50%</v>
      </c>
      <c r="C134" t="str">
        <f>IF('[1]Charriage - Geschiebehaushalt'!P22="b",'[1]Charriage - Geschiebehaushalt'!O22,"")</f>
        <v/>
      </c>
      <c r="D134" t="str">
        <f>IF('[1]Revitalisation-Revitalisierung'!L22="a",'[1]Revitalisation-Revitalisierung'!K22,"")</f>
        <v>Partiellement nécessaire, facile / teilweise nötig, einfach</v>
      </c>
      <c r="E134" t="str">
        <f>IF('[1]Revitalisation-Revitalisierung'!L22="b",'[1]Revitalisation-Revitalisierung'!K22,"")</f>
        <v/>
      </c>
    </row>
    <row r="135" spans="2:5" x14ac:dyDescent="0.25">
      <c r="B135" t="str">
        <f>IF('[1]Charriage - Geschiebehaushalt'!P23="a",'[1]Charriage - Geschiebehaushalt'!O23,"")</f>
        <v>21-50%</v>
      </c>
      <c r="C135" t="str">
        <f>IF('[1]Charriage - Geschiebehaushalt'!P23="b",'[1]Charriage - Geschiebehaushalt'!O23,"")</f>
        <v/>
      </c>
      <c r="D135" t="str">
        <f>IF('[1]Revitalisation-Revitalisierung'!L23="a",'[1]Revitalisation-Revitalisierung'!K23,"")</f>
        <v>Non nécessaire / nicht nötig</v>
      </c>
      <c r="E135" t="str">
        <f>IF('[1]Revitalisation-Revitalisierung'!L23="b",'[1]Revitalisation-Revitalisierung'!K23,"")</f>
        <v/>
      </c>
    </row>
    <row r="136" spans="2:5" x14ac:dyDescent="0.25">
      <c r="B136" t="str">
        <f>IF('[1]Charriage - Geschiebehaushalt'!P24="a",'[1]Charriage - Geschiebehaushalt'!O24,"")</f>
        <v>21-50%</v>
      </c>
      <c r="C136" t="str">
        <f>IF('[1]Charriage - Geschiebehaushalt'!P24="b",'[1]Charriage - Geschiebehaushalt'!O24,"")</f>
        <v/>
      </c>
      <c r="D136" t="str">
        <f>IF('[1]Revitalisation-Revitalisierung'!L24="a",'[1]Revitalisation-Revitalisierung'!K24,"")</f>
        <v>Partiellement nécessaire, facile / teilweise nötig, einfach</v>
      </c>
      <c r="E136" t="str">
        <f>IF('[1]Revitalisation-Revitalisierung'!L24="b",'[1]Revitalisation-Revitalisierung'!K24,"")</f>
        <v/>
      </c>
    </row>
    <row r="137" spans="2:5" x14ac:dyDescent="0.25">
      <c r="B137" t="str">
        <f>IF('[1]Charriage - Geschiebehaushalt'!P25="a",'[1]Charriage - Geschiebehaushalt'!O25,"")</f>
        <v>21-50%</v>
      </c>
      <c r="C137" t="str">
        <f>IF('[1]Charriage - Geschiebehaushalt'!P25="b",'[1]Charriage - Geschiebehaushalt'!O25,"")</f>
        <v/>
      </c>
      <c r="D137" t="str">
        <f>IF('[1]Revitalisation-Revitalisierung'!L25="a",'[1]Revitalisation-Revitalisierung'!K25,"")</f>
        <v>Non nécessaire / nicht nötig</v>
      </c>
      <c r="E137" t="str">
        <f>IF('[1]Revitalisation-Revitalisierung'!L25="b",'[1]Revitalisation-Revitalisierung'!K25,"")</f>
        <v/>
      </c>
    </row>
    <row r="138" spans="2:5" x14ac:dyDescent="0.25">
      <c r="B138" t="str">
        <f>IF('[1]Charriage - Geschiebehaushalt'!P26="a",'[1]Charriage - Geschiebehaushalt'!O26,"")</f>
        <v>21-50%</v>
      </c>
      <c r="C138" t="str">
        <f>IF('[1]Charriage - Geschiebehaushalt'!P26="b",'[1]Charriage - Geschiebehaushalt'!O26,"")</f>
        <v/>
      </c>
      <c r="D138" t="str">
        <f>IF('[1]Revitalisation-Revitalisierung'!L26="a",'[1]Revitalisation-Revitalisierung'!K26,"")</f>
        <v>Très nécessaire, difficile / unbedingt nötig, schwierig</v>
      </c>
      <c r="E138" t="str">
        <f>IF('[1]Revitalisation-Revitalisierung'!L26="b",'[1]Revitalisation-Revitalisierung'!K26,"")</f>
        <v/>
      </c>
    </row>
    <row r="139" spans="2:5" x14ac:dyDescent="0.25">
      <c r="B139" t="str">
        <f>IF('[1]Charriage - Geschiebehaushalt'!P27="a",'[1]Charriage - Geschiebehaushalt'!O27,"")</f>
        <v>non pertinent / nicht relevant</v>
      </c>
      <c r="C139" t="str">
        <f>IF('[1]Charriage - Geschiebehaushalt'!P27="b",'[1]Charriage - Geschiebehaushalt'!O27,"")</f>
        <v/>
      </c>
      <c r="D139" t="str">
        <f>IF('[1]Revitalisation-Revitalisierung'!L27="a",'[1]Revitalisation-Revitalisierung'!K27,"")</f>
        <v/>
      </c>
      <c r="E139" t="str">
        <f>IF('[1]Revitalisation-Revitalisierung'!L27="b",'[1]Revitalisation-Revitalisierung'!K27,"")</f>
        <v>Partiellement nécessaire, facile / teilweise nötig, einfach</v>
      </c>
    </row>
    <row r="140" spans="2:5" x14ac:dyDescent="0.25">
      <c r="B140" t="str">
        <f>IF('[1]Charriage - Geschiebehaushalt'!P28="a",'[1]Charriage - Geschiebehaushalt'!O28,"")</f>
        <v>81 -100%</v>
      </c>
      <c r="C140" t="str">
        <f>IF('[1]Charriage - Geschiebehaushalt'!P28="b",'[1]Charriage - Geschiebehaushalt'!O28,"")</f>
        <v/>
      </c>
      <c r="D140" t="str">
        <f>IF('[1]Revitalisation-Revitalisierung'!L28="a",'[1]Revitalisation-Revitalisierung'!K28,"")</f>
        <v/>
      </c>
      <c r="E140" t="str">
        <f>IF('[1]Revitalisation-Revitalisierung'!L28="b",'[1]Revitalisation-Revitalisierung'!K28,"")</f>
        <v>Partiellement nécessaire, difficile / teilweise nötig, schwierig</v>
      </c>
    </row>
    <row r="141" spans="2:5" x14ac:dyDescent="0.25">
      <c r="B141" t="str">
        <f>IF('[1]Charriage - Geschiebehaushalt'!P29="a",'[1]Charriage - Geschiebehaushalt'!O29,"")</f>
        <v>81 -100%</v>
      </c>
      <c r="C141" t="str">
        <f>IF('[1]Charriage - Geschiebehaushalt'!P29="b",'[1]Charriage - Geschiebehaushalt'!O29,"")</f>
        <v/>
      </c>
      <c r="D141" t="str">
        <f>IF('[1]Revitalisation-Revitalisierung'!L29="a",'[1]Revitalisation-Revitalisierung'!K29,"")</f>
        <v/>
      </c>
      <c r="E141" t="str">
        <f>IF('[1]Revitalisation-Revitalisierung'!L29="b",'[1]Revitalisation-Revitalisierung'!K29,"")</f>
        <v>Partiellement nécessaire, difficile / teilweise nötig, schwierig</v>
      </c>
    </row>
    <row r="142" spans="2:5" x14ac:dyDescent="0.25">
      <c r="B142" t="str">
        <f>IF('[1]Charriage - Geschiebehaushalt'!P30="a",'[1]Charriage - Geschiebehaushalt'!O30,"")</f>
        <v>21-50%</v>
      </c>
      <c r="C142" t="str">
        <f>IF('[1]Charriage - Geschiebehaushalt'!P30="b",'[1]Charriage - Geschiebehaushalt'!O30,"")</f>
        <v/>
      </c>
      <c r="D142" t="str">
        <f>IF('[1]Revitalisation-Revitalisierung'!L30="a",'[1]Revitalisation-Revitalisierung'!K30,"")</f>
        <v>Très nécessaire, facile / unbedingt nötig, einfach</v>
      </c>
      <c r="E142" t="str">
        <f>IF('[1]Revitalisation-Revitalisierung'!L30="b",'[1]Revitalisation-Revitalisierung'!K30,"")</f>
        <v/>
      </c>
    </row>
    <row r="143" spans="2:5" x14ac:dyDescent="0.25">
      <c r="B143" t="str">
        <f>IF('[1]Charriage - Geschiebehaushalt'!P31="a",'[1]Charriage - Geschiebehaushalt'!O31,"")</f>
        <v>21-50%</v>
      </c>
      <c r="C143" t="str">
        <f>IF('[1]Charriage - Geschiebehaushalt'!P31="b",'[1]Charriage - Geschiebehaushalt'!O31,"")</f>
        <v/>
      </c>
      <c r="D143" t="str">
        <f>IF('[1]Revitalisation-Revitalisierung'!L31="a",'[1]Revitalisation-Revitalisierung'!K31,"")</f>
        <v>Très nécessaire, facile / unbedingt nötig, einfach</v>
      </c>
      <c r="E143" t="str">
        <f>IF('[1]Revitalisation-Revitalisierung'!L31="b",'[1]Revitalisation-Revitalisierung'!K31,"")</f>
        <v/>
      </c>
    </row>
    <row r="144" spans="2:5" x14ac:dyDescent="0.25">
      <c r="B144" t="str">
        <f>IF('[1]Charriage - Geschiebehaushalt'!P32="a",'[1]Charriage - Geschiebehaushalt'!O32,"")</f>
        <v>21-50%</v>
      </c>
      <c r="C144" t="str">
        <f>IF('[1]Charriage - Geschiebehaushalt'!P32="b",'[1]Charriage - Geschiebehaushalt'!O32,"")</f>
        <v/>
      </c>
      <c r="D144" t="str">
        <f>IF('[1]Revitalisation-Revitalisierung'!L32="a",'[1]Revitalisation-Revitalisierung'!K32,"")</f>
        <v>Très nécessaire, facile / unbedingt nötig, einfach</v>
      </c>
      <c r="E144" t="str">
        <f>IF('[1]Revitalisation-Revitalisierung'!L32="b",'[1]Revitalisation-Revitalisierung'!K32,"")</f>
        <v/>
      </c>
    </row>
    <row r="145" spans="2:5" x14ac:dyDescent="0.25">
      <c r="B145" t="str">
        <f>IF('[1]Charriage - Geschiebehaushalt'!P33="a",'[1]Charriage - Geschiebehaushalt'!O33,"")</f>
        <v>Déficit non apparent en charriage ou en remobilisation des sédiments / kein sichtbares Defizit beim Geschiebehaushalt bzw. bei der Mobilisierung von Geschiebe</v>
      </c>
      <c r="C145" t="str">
        <f>IF('[1]Charriage - Geschiebehaushalt'!P33="b",'[1]Charriage - Geschiebehaushalt'!O33,"")</f>
        <v/>
      </c>
      <c r="D145" t="str">
        <f>IF('[1]Revitalisation-Revitalisierung'!L33="a",'[1]Revitalisation-Revitalisierung'!K33,"")</f>
        <v/>
      </c>
      <c r="E145" t="str">
        <f>IF('[1]Revitalisation-Revitalisierung'!L33="b",'[1]Revitalisation-Revitalisierung'!K33,"")</f>
        <v>Très nécessaire, difficile / unbedingt nötig, schwierig</v>
      </c>
    </row>
    <row r="146" spans="2:5" x14ac:dyDescent="0.25">
      <c r="B146" t="str">
        <f>IF('[1]Charriage - Geschiebehaushalt'!P34="a",'[1]Charriage - Geschiebehaushalt'!O34,"")</f>
        <v/>
      </c>
      <c r="C146" t="str">
        <f>IF('[1]Charriage - Geschiebehaushalt'!P34="b",'[1]Charriage - Geschiebehaushalt'!O34,"")</f>
        <v>La remobilisation des sédiments est perturbée / Mobilisierung von Geschiebe beeinträchtigt</v>
      </c>
      <c r="D146" t="str">
        <f>IF('[1]Revitalisation-Revitalisierung'!L34="a",'[1]Revitalisation-Revitalisierung'!K34,"")</f>
        <v/>
      </c>
      <c r="E146" t="str">
        <f>IF('[1]Revitalisation-Revitalisierung'!L34="b",'[1]Revitalisation-Revitalisierung'!K34,"")</f>
        <v>Non nécessaire / nicht nötig</v>
      </c>
    </row>
    <row r="147" spans="2:5" x14ac:dyDescent="0.25">
      <c r="B147" t="str">
        <f>IF('[1]Charriage - Geschiebehaushalt'!P35="a",'[1]Charriage - Geschiebehaushalt'!O35,"")</f>
        <v/>
      </c>
      <c r="C147" t="str">
        <f>IF('[1]Charriage - Geschiebehaushalt'!P35="b",'[1]Charriage - Geschiebehaushalt'!O35,"")</f>
        <v>Charriage présumé perturbé / Geschiebehaushalt vermutlich beeinträchtigt</v>
      </c>
      <c r="D147" t="str">
        <f>IF('[1]Revitalisation-Revitalisierung'!L35="a",'[1]Revitalisation-Revitalisierung'!K35,"")</f>
        <v/>
      </c>
      <c r="E147" t="str">
        <f>IF('[1]Revitalisation-Revitalisierung'!L35="b",'[1]Revitalisation-Revitalisierung'!K35,"")</f>
        <v>Partiellement nécessaire, facile / teilweise nötig, einfach</v>
      </c>
    </row>
    <row r="148" spans="2:5" x14ac:dyDescent="0.25">
      <c r="B148" t="str">
        <f>IF('[1]Charriage - Geschiebehaushalt'!P36="a",'[1]Charriage - Geschiebehaushalt'!O36,"")</f>
        <v/>
      </c>
      <c r="C148" t="str">
        <f>IF('[1]Charriage - Geschiebehaushalt'!P36="b",'[1]Charriage - Geschiebehaushalt'!O36,"")</f>
        <v>Charriage présumé perturbé / Geschiebehaushalt vermutlich beeinträchtigt</v>
      </c>
      <c r="D148" t="str">
        <f>IF('[1]Revitalisation-Revitalisierung'!L36="a",'[1]Revitalisation-Revitalisierung'!K36,"")</f>
        <v/>
      </c>
      <c r="E148" t="str">
        <f>IF('[1]Revitalisation-Revitalisierung'!L36="b",'[1]Revitalisation-Revitalisierung'!K36,"")</f>
        <v>Partiellement nécessaire, facile / teilweise nötig, einfach</v>
      </c>
    </row>
    <row r="149" spans="2:5" x14ac:dyDescent="0.25">
      <c r="B149" t="str">
        <f>IF('[1]Charriage - Geschiebehaushalt'!P37="a",'[1]Charriage - Geschiebehaushalt'!O37,"")</f>
        <v/>
      </c>
      <c r="C149" t="str">
        <f>IF('[1]Charriage - Geschiebehaushalt'!P37="b",'[1]Charriage - Geschiebehaushalt'!O37,"")</f>
        <v>Déficit non apparent en charriage ou en remobilisation des sédiments / kein sichtbares Defizit beim Geschiebehaushalt bzw. bei der Mobilisierung von Geschiebe</v>
      </c>
      <c r="D149" t="str">
        <f>IF('[1]Revitalisation-Revitalisierung'!L37="a",'[1]Revitalisation-Revitalisierung'!K37,"")</f>
        <v>Non nécessaire / nicht nötig</v>
      </c>
      <c r="E149" t="str">
        <f>IF('[1]Revitalisation-Revitalisierung'!L37="b",'[1]Revitalisation-Revitalisierung'!K37,"")</f>
        <v/>
      </c>
    </row>
    <row r="150" spans="2:5" x14ac:dyDescent="0.25">
      <c r="B150" t="str">
        <f>IF('[1]Charriage - Geschiebehaushalt'!P38="a",'[1]Charriage - Geschiebehaushalt'!O38,"")</f>
        <v>81 -100%</v>
      </c>
      <c r="C150" t="str">
        <f>IF('[1]Charriage - Geschiebehaushalt'!P38="b",'[1]Charriage - Geschiebehaushalt'!O38,"")</f>
        <v/>
      </c>
      <c r="D150" t="str">
        <f>IF('[1]Revitalisation-Revitalisierung'!L38="a",'[1]Revitalisation-Revitalisierung'!K38,"")</f>
        <v/>
      </c>
      <c r="E150" t="str">
        <f>IF('[1]Revitalisation-Revitalisierung'!L38="b",'[1]Revitalisation-Revitalisierung'!K38,"")</f>
        <v>Partiellement nécessaire, facile / teilweise nötig, einfach</v>
      </c>
    </row>
    <row r="151" spans="2:5" x14ac:dyDescent="0.25">
      <c r="B151" t="str">
        <f>IF('[1]Charriage - Geschiebehaushalt'!P39="a",'[1]Charriage - Geschiebehaushalt'!O39,"")</f>
        <v/>
      </c>
      <c r="C151" t="str">
        <f>IF('[1]Charriage - Geschiebehaushalt'!P39="b",'[1]Charriage - Geschiebehaushalt'!O39,"")</f>
        <v>Problème lié à un manque de charriage ou à un manque de remobilisation des sédiments / Problem aufgrund Geschiebemangels bzw. mangelnder Mobilisierung von Geschiebe</v>
      </c>
      <c r="D151" t="str">
        <f>IF('[1]Revitalisation-Revitalisierung'!L39="a",'[1]Revitalisation-Revitalisierung'!K39,"")</f>
        <v>Très nécessaire, facile / unbedingt nötig, einfach</v>
      </c>
      <c r="E151" t="str">
        <f>IF('[1]Revitalisation-Revitalisierung'!L39="b",'[1]Revitalisation-Revitalisierung'!K39,"")</f>
        <v/>
      </c>
    </row>
    <row r="152" spans="2:5" x14ac:dyDescent="0.25">
      <c r="B152" t="str">
        <f>IF('[1]Charriage - Geschiebehaushalt'!P40="a",'[1]Charriage - Geschiebehaushalt'!O40,"")</f>
        <v/>
      </c>
      <c r="C152" t="str">
        <f>IF('[1]Charriage - Geschiebehaushalt'!P40="b",'[1]Charriage - Geschiebehaushalt'!O40,"")</f>
        <v>La remobilisation des sédiments est perturbée / Mobilisierung von Geschiebe beeinträchtigt</v>
      </c>
      <c r="D152" t="str">
        <f>IF('[1]Revitalisation-Revitalisierung'!L40="a",'[1]Revitalisation-Revitalisierung'!K40,"")</f>
        <v/>
      </c>
      <c r="E152" t="str">
        <f>IF('[1]Revitalisation-Revitalisierung'!L40="b",'[1]Revitalisation-Revitalisierung'!K40,"")</f>
        <v>Très nécessaire, facile / unbedingt nötig, einfach</v>
      </c>
    </row>
    <row r="153" spans="2:5" x14ac:dyDescent="0.25">
      <c r="B153" t="str">
        <f>IF('[1]Charriage - Geschiebehaushalt'!P41="a",'[1]Charriage - Geschiebehaushalt'!O41,"")</f>
        <v>0-20%</v>
      </c>
      <c r="C153" t="str">
        <f>IF('[1]Charriage - Geschiebehaushalt'!P41="b",'[1]Charriage - Geschiebehaushalt'!O41,"")</f>
        <v/>
      </c>
      <c r="D153" t="str">
        <f>IF('[1]Revitalisation-Revitalisierung'!L41="a",'[1]Revitalisation-Revitalisierung'!K41,"")</f>
        <v>Non nécessaire / nicht nötig</v>
      </c>
      <c r="E153" t="str">
        <f>IF('[1]Revitalisation-Revitalisierung'!L41="b",'[1]Revitalisation-Revitalisierung'!K41,"")</f>
        <v/>
      </c>
    </row>
    <row r="154" spans="2:5" x14ac:dyDescent="0.25">
      <c r="B154" t="str">
        <f>IF('[1]Charriage - Geschiebehaushalt'!P42="a",'[1]Charriage - Geschiebehaushalt'!O42,"")</f>
        <v>0-20%</v>
      </c>
      <c r="C154" t="str">
        <f>IF('[1]Charriage - Geschiebehaushalt'!P42="b",'[1]Charriage - Geschiebehaushalt'!O42,"")</f>
        <v/>
      </c>
      <c r="D154" t="str">
        <f>IF('[1]Revitalisation-Revitalisierung'!L42="a",'[1]Revitalisation-Revitalisierung'!K42,"")</f>
        <v>Partiellement nécessaire, difficile / teilweise nötig, schwierig</v>
      </c>
      <c r="E154" t="str">
        <f>IF('[1]Revitalisation-Revitalisierung'!L42="b",'[1]Revitalisation-Revitalisierung'!K42,"")</f>
        <v/>
      </c>
    </row>
    <row r="155" spans="2:5" x14ac:dyDescent="0.25">
      <c r="B155" t="str">
        <f>IF('[1]Charriage - Geschiebehaushalt'!P43="a",'[1]Charriage - Geschiebehaushalt'!O43,"")</f>
        <v>51-80%</v>
      </c>
      <c r="C155" t="str">
        <f>IF('[1]Charriage - Geschiebehaushalt'!P43="b",'[1]Charriage - Geschiebehaushalt'!O43,"")</f>
        <v/>
      </c>
      <c r="D155" t="str">
        <f>IF('[1]Revitalisation-Revitalisierung'!L43="a",'[1]Revitalisation-Revitalisierung'!K43,"")</f>
        <v>Très nécessaire, facile / unbedingt nötig, einfach</v>
      </c>
      <c r="E155" t="str">
        <f>IF('[1]Revitalisation-Revitalisierung'!L43="b",'[1]Revitalisation-Revitalisierung'!K43,"")</f>
        <v/>
      </c>
    </row>
    <row r="156" spans="2:5" x14ac:dyDescent="0.25">
      <c r="B156" t="str">
        <f>IF('[1]Charriage - Geschiebehaushalt'!P44="a",'[1]Charriage - Geschiebehaushalt'!O44,"")</f>
        <v/>
      </c>
      <c r="C156" t="str">
        <f>IF('[1]Charriage - Geschiebehaushalt'!P44="b",'[1]Charriage - Geschiebehaushalt'!O44,"")</f>
        <v>Charriage présumé faiblement perturbé / Geschiebe vermutlich leicht beeinträchtigt</v>
      </c>
      <c r="D156" t="str">
        <f>IF('[1]Revitalisation-Revitalisierung'!L44="a",'[1]Revitalisation-Revitalisierung'!K44,"")</f>
        <v/>
      </c>
      <c r="E156" t="str">
        <f>IF('[1]Revitalisation-Revitalisierung'!L44="b",'[1]Revitalisation-Revitalisierung'!K44,"")</f>
        <v>Non nécessaire / nicht nötig</v>
      </c>
    </row>
    <row r="157" spans="2:5" x14ac:dyDescent="0.25">
      <c r="B157" t="str">
        <f>IF('[1]Charriage - Geschiebehaushalt'!P45="a",'[1]Charriage - Geschiebehaushalt'!O45,"")</f>
        <v/>
      </c>
      <c r="C157" t="str">
        <f>IF('[1]Charriage - Geschiebehaushalt'!P45="b",'[1]Charriage - Geschiebehaushalt'!O45,"")</f>
        <v>Charriage présumé naturel / Geschiebehaushalt vermutlich natürlich</v>
      </c>
      <c r="D157" t="str">
        <f>IF('[1]Revitalisation-Revitalisierung'!L45="a",'[1]Revitalisation-Revitalisierung'!K45,"")</f>
        <v>Partiellement nécessaire, facile / teilweise nötig, einfach</v>
      </c>
      <c r="E157" t="str">
        <f>IF('[1]Revitalisation-Revitalisierung'!L45="b",'[1]Revitalisation-Revitalisierung'!K45,"")</f>
        <v/>
      </c>
    </row>
    <row r="158" spans="2:5" x14ac:dyDescent="0.25">
      <c r="B158" t="str">
        <f>IF('[1]Charriage - Geschiebehaushalt'!P46="a",'[1]Charriage - Geschiebehaushalt'!O46,"")</f>
        <v>81 -100%</v>
      </c>
      <c r="C158" t="str">
        <f>IF('[1]Charriage - Geschiebehaushalt'!P46="b",'[1]Charriage - Geschiebehaushalt'!O46,"")</f>
        <v/>
      </c>
      <c r="D158" t="str">
        <f>IF('[1]Revitalisation-Revitalisierung'!L46="a",'[1]Revitalisation-Revitalisierung'!K46,"")</f>
        <v>Non nécessaire / nicht nötig</v>
      </c>
      <c r="E158" t="str">
        <f>IF('[1]Revitalisation-Revitalisierung'!L46="b",'[1]Revitalisation-Revitalisierung'!K46,"")</f>
        <v/>
      </c>
    </row>
    <row r="159" spans="2:5" x14ac:dyDescent="0.25">
      <c r="B159" t="str">
        <f>IF('[1]Charriage - Geschiebehaushalt'!P47="a",'[1]Charriage - Geschiebehaushalt'!O47,"")</f>
        <v>81 -100%</v>
      </c>
      <c r="C159" t="str">
        <f>IF('[1]Charriage - Geschiebehaushalt'!P47="b",'[1]Charriage - Geschiebehaushalt'!O47,"")</f>
        <v/>
      </c>
      <c r="D159" t="str">
        <f>IF('[1]Revitalisation-Revitalisierung'!L47="a",'[1]Revitalisation-Revitalisierung'!K47,"")</f>
        <v/>
      </c>
      <c r="E159" t="str">
        <f>IF('[1]Revitalisation-Revitalisierung'!L47="b",'[1]Revitalisation-Revitalisierung'!K47,"")</f>
        <v>Partiellement nécessaire, facile / teilweise nötig, einfach</v>
      </c>
    </row>
    <row r="160" spans="2:5" x14ac:dyDescent="0.25">
      <c r="B160" t="str">
        <f>IF('[1]Charriage - Geschiebehaushalt'!P48="a",'[1]Charriage - Geschiebehaushalt'!O48,"")</f>
        <v/>
      </c>
      <c r="C160" t="str">
        <f>IF('[1]Charriage - Geschiebehaushalt'!P48="b",'[1]Charriage - Geschiebehaushalt'!O48,"")</f>
        <v>Charriage présumé perturbé / Geschiebehaushalt vermutlich beeinträchtigt</v>
      </c>
      <c r="D160" t="str">
        <f>IF('[1]Revitalisation-Revitalisierung'!L48="a",'[1]Revitalisation-Revitalisierung'!K48,"")</f>
        <v>Partiellement nécessaire, facile / teilweise nötig, einfach</v>
      </c>
      <c r="E160" t="str">
        <f>IF('[1]Revitalisation-Revitalisierung'!L48="b",'[1]Revitalisation-Revitalisierung'!K48,"")</f>
        <v/>
      </c>
    </row>
    <row r="161" spans="2:5" x14ac:dyDescent="0.25">
      <c r="B161" t="str">
        <f>IF('[1]Charriage - Geschiebehaushalt'!P49="a",'[1]Charriage - Geschiebehaushalt'!O49,"")</f>
        <v>Problème lié à un manque de charriage ou à un manque de remobilisation des sédiments / Problem aufgrund Geschiebemangels bzw. mangelnder Mobilisierung von Geschiebe</v>
      </c>
      <c r="C161" t="str">
        <f>IF('[1]Charriage - Geschiebehaushalt'!P49="b",'[1]Charriage - Geschiebehaushalt'!O49,"")</f>
        <v/>
      </c>
      <c r="D161" t="str">
        <f>IF('[1]Revitalisation-Revitalisierung'!L49="a",'[1]Revitalisation-Revitalisierung'!K49,"")</f>
        <v>Très nécessaire, facile / unbedingt nötig, einfach</v>
      </c>
      <c r="E161" t="str">
        <f>IF('[1]Revitalisation-Revitalisierung'!L49="b",'[1]Revitalisation-Revitalisierung'!K49,"")</f>
        <v/>
      </c>
    </row>
    <row r="162" spans="2:5" x14ac:dyDescent="0.25">
      <c r="B162" t="str">
        <f>IF('[1]Charriage - Geschiebehaushalt'!P50="a",'[1]Charriage - Geschiebehaushalt'!O50,"")</f>
        <v>Problème lié à un manque de charriage ou à un manque de remobilisation des sédiments / Problem aufgrund Geschiebemangels bzw. mangelnder Mobilisierung von Geschiebe</v>
      </c>
      <c r="C162" t="str">
        <f>IF('[1]Charriage - Geschiebehaushalt'!P50="b",'[1]Charriage - Geschiebehaushalt'!O50,"")</f>
        <v/>
      </c>
      <c r="D162" t="str">
        <f>IF('[1]Revitalisation-Revitalisierung'!L50="a",'[1]Revitalisation-Revitalisierung'!K50,"")</f>
        <v>Très nécessaire, facile / unbedingt nötig, einfach</v>
      </c>
      <c r="E162" t="str">
        <f>IF('[1]Revitalisation-Revitalisierung'!L50="b",'[1]Revitalisation-Revitalisierung'!K50,"")</f>
        <v/>
      </c>
    </row>
    <row r="163" spans="2:5" x14ac:dyDescent="0.25">
      <c r="B163" t="str">
        <f>IF('[1]Charriage - Geschiebehaushalt'!P51="a",'[1]Charriage - Geschiebehaushalt'!O51,"")</f>
        <v/>
      </c>
      <c r="C163" t="str">
        <f>IF('[1]Charriage - Geschiebehaushalt'!P51="b",'[1]Charriage - Geschiebehaushalt'!O51,"")</f>
        <v>Déficit non apparent en charriage ou en remobilisation des sédiments / kein sichtbares Defizit beim Geschiebehaushalt bzw. bei der Mobilisierung von Geschiebe</v>
      </c>
      <c r="D163" t="str">
        <f>IF('[1]Revitalisation-Revitalisierung'!L51="a",'[1]Revitalisation-Revitalisierung'!K51,"")</f>
        <v>Partiellement nécessaire, facile / teilweise nötig, einfach</v>
      </c>
      <c r="E163" t="str">
        <f>IF('[1]Revitalisation-Revitalisierung'!L51="b",'[1]Revitalisation-Revitalisierung'!K51,"")</f>
        <v/>
      </c>
    </row>
    <row r="164" spans="2:5" x14ac:dyDescent="0.25">
      <c r="B164" t="str">
        <f>IF('[1]Charriage - Geschiebehaushalt'!P52="a",'[1]Charriage - Geschiebehaushalt'!O52,"")</f>
        <v>21-50%</v>
      </c>
      <c r="C164" t="str">
        <f>IF('[1]Charriage - Geschiebehaushalt'!P52="b",'[1]Charriage - Geschiebehaushalt'!O52,"")</f>
        <v/>
      </c>
      <c r="D164" t="str">
        <f>IF('[1]Revitalisation-Revitalisierung'!L52="a",'[1]Revitalisation-Revitalisierung'!K52,"")</f>
        <v>Très nécessaire, difficile / unbedingt nötig, schwierig</v>
      </c>
      <c r="E164" t="str">
        <f>IF('[1]Revitalisation-Revitalisierung'!L52="b",'[1]Revitalisation-Revitalisierung'!K52,"")</f>
        <v/>
      </c>
    </row>
    <row r="165" spans="2:5" x14ac:dyDescent="0.25">
      <c r="B165" t="str">
        <f>IF('[1]Charriage - Geschiebehaushalt'!P53="a",'[1]Charriage - Geschiebehaushalt'!O53,"")</f>
        <v>51-80%</v>
      </c>
      <c r="C165" t="str">
        <f>IF('[1]Charriage - Geschiebehaushalt'!P53="b",'[1]Charriage - Geschiebehaushalt'!O53,"")</f>
        <v/>
      </c>
      <c r="D165" t="str">
        <f>IF('[1]Revitalisation-Revitalisierung'!L53="a",'[1]Revitalisation-Revitalisierung'!K53,"")</f>
        <v/>
      </c>
      <c r="E165" t="str">
        <f>IF('[1]Revitalisation-Revitalisierung'!L53="b",'[1]Revitalisation-Revitalisierung'!K53,"")</f>
        <v>Très nécessaire, facile / unbedingt nötig, einfach</v>
      </c>
    </row>
    <row r="166" spans="2:5" x14ac:dyDescent="0.25">
      <c r="B166" t="str">
        <f>IF('[1]Charriage - Geschiebehaushalt'!P54="a",'[1]Charriage - Geschiebehaushalt'!O54,"")</f>
        <v>51-80%</v>
      </c>
      <c r="C166" t="str">
        <f>IF('[1]Charriage - Geschiebehaushalt'!P54="b",'[1]Charriage - Geschiebehaushalt'!O54,"")</f>
        <v/>
      </c>
      <c r="D166" t="str">
        <f>IF('[1]Revitalisation-Revitalisierung'!L54="a",'[1]Revitalisation-Revitalisierung'!K54,"")</f>
        <v/>
      </c>
      <c r="E166" t="str">
        <f>IF('[1]Revitalisation-Revitalisierung'!L54="b",'[1]Revitalisation-Revitalisierung'!K54,"")</f>
        <v>Non nécessaire / nicht nötig</v>
      </c>
    </row>
    <row r="167" spans="2:5" x14ac:dyDescent="0.25">
      <c r="B167" t="str">
        <f>IF('[1]Charriage - Geschiebehaushalt'!P55="a",'[1]Charriage - Geschiebehaushalt'!O55,"")</f>
        <v>81 -100%</v>
      </c>
      <c r="C167" t="str">
        <f>IF('[1]Charriage - Geschiebehaushalt'!P55="b",'[1]Charriage - Geschiebehaushalt'!O55,"")</f>
        <v/>
      </c>
      <c r="D167" t="str">
        <f>IF('[1]Revitalisation-Revitalisierung'!L55="a",'[1]Revitalisation-Revitalisierung'!K55,"")</f>
        <v/>
      </c>
      <c r="E167" t="str">
        <f>IF('[1]Revitalisation-Revitalisierung'!L55="b",'[1]Revitalisation-Revitalisierung'!K55,"")</f>
        <v>Très nécessaire, facile / unbedingt nötig, einfach</v>
      </c>
    </row>
    <row r="168" spans="2:5" x14ac:dyDescent="0.25">
      <c r="B168" t="str">
        <f>IF('[1]Charriage - Geschiebehaushalt'!P56="a",'[1]Charriage - Geschiebehaushalt'!O56,"")</f>
        <v>0-20%</v>
      </c>
      <c r="C168" t="str">
        <f>IF('[1]Charriage - Geschiebehaushalt'!P56="b",'[1]Charriage - Geschiebehaushalt'!O56,"")</f>
        <v/>
      </c>
      <c r="D168" t="str">
        <f>IF('[1]Revitalisation-Revitalisierung'!L56="a",'[1]Revitalisation-Revitalisierung'!K56,"")</f>
        <v/>
      </c>
      <c r="E168" t="str">
        <f>IF('[1]Revitalisation-Revitalisierung'!L56="b",'[1]Revitalisation-Revitalisierung'!K56,"")</f>
        <v>Non nécessaire / nicht nötig</v>
      </c>
    </row>
    <row r="169" spans="2:5" x14ac:dyDescent="0.25">
      <c r="B169" t="str">
        <f>IF('[1]Charriage - Geschiebehaushalt'!P57="a",'[1]Charriage - Geschiebehaushalt'!O57,"")</f>
        <v>21-50%</v>
      </c>
      <c r="C169" t="str">
        <f>IF('[1]Charriage - Geschiebehaushalt'!P57="b",'[1]Charriage - Geschiebehaushalt'!O57,"")</f>
        <v/>
      </c>
      <c r="D169" t="str">
        <f>IF('[1]Revitalisation-Revitalisierung'!L57="a",'[1]Revitalisation-Revitalisierung'!K57,"")</f>
        <v>Très nécessaire, facile / unbedingt nötig, einfach</v>
      </c>
      <c r="E169" t="str">
        <f>IF('[1]Revitalisation-Revitalisierung'!L57="b",'[1]Revitalisation-Revitalisierung'!K57,"")</f>
        <v/>
      </c>
    </row>
    <row r="170" spans="2:5" x14ac:dyDescent="0.25">
      <c r="B170" t="str">
        <f>IF('[1]Charriage - Geschiebehaushalt'!P58="a",'[1]Charriage - Geschiebehaushalt'!O58,"")</f>
        <v>21-50%</v>
      </c>
      <c r="C170" t="str">
        <f>IF('[1]Charriage - Geschiebehaushalt'!P58="b",'[1]Charriage - Geschiebehaushalt'!O58,"")</f>
        <v/>
      </c>
      <c r="D170" t="str">
        <f>IF('[1]Revitalisation-Revitalisierung'!L58="a",'[1]Revitalisation-Revitalisierung'!K58,"")</f>
        <v>Très nécessaire, facile / unbedingt nötig, einfach</v>
      </c>
      <c r="E170" t="str">
        <f>IF('[1]Revitalisation-Revitalisierung'!L58="b",'[1]Revitalisation-Revitalisierung'!K58,"")</f>
        <v/>
      </c>
    </row>
    <row r="171" spans="2:5" x14ac:dyDescent="0.25">
      <c r="B171" t="str">
        <f>IF('[1]Charriage - Geschiebehaushalt'!P59="a",'[1]Charriage - Geschiebehaushalt'!O59,"")</f>
        <v>21-50%</v>
      </c>
      <c r="C171" t="str">
        <f>IF('[1]Charriage - Geschiebehaushalt'!P59="b",'[1]Charriage - Geschiebehaushalt'!O59,"")</f>
        <v/>
      </c>
      <c r="D171" t="str">
        <f>IF('[1]Revitalisation-Revitalisierung'!L59="a",'[1]Revitalisation-Revitalisierung'!K59,"")</f>
        <v>Partiellement nécessaire, facile / teilweise nötig, einfach</v>
      </c>
      <c r="E171" t="str">
        <f>IF('[1]Revitalisation-Revitalisierung'!L59="b",'[1]Revitalisation-Revitalisierung'!K59,"")</f>
        <v/>
      </c>
    </row>
    <row r="172" spans="2:5" x14ac:dyDescent="0.25">
      <c r="B172" t="str">
        <f>IF('[1]Charriage - Geschiebehaushalt'!P60="a",'[1]Charriage - Geschiebehaushalt'!O60,"")</f>
        <v>0-20%</v>
      </c>
      <c r="C172" t="str">
        <f>IF('[1]Charriage - Geschiebehaushalt'!P60="b",'[1]Charriage - Geschiebehaushalt'!O60,"")</f>
        <v/>
      </c>
      <c r="D172" t="str">
        <f>IF('[1]Revitalisation-Revitalisierung'!L60="a",'[1]Revitalisation-Revitalisierung'!K60,"")</f>
        <v>Partiellement nécessaire, facile / teilweise nötig, einfach</v>
      </c>
      <c r="E172" t="str">
        <f>IF('[1]Revitalisation-Revitalisierung'!L60="b",'[1]Revitalisation-Revitalisierung'!K60,"")</f>
        <v/>
      </c>
    </row>
    <row r="173" spans="2:5" x14ac:dyDescent="0.25">
      <c r="B173" t="str">
        <f>IF('[1]Charriage - Geschiebehaushalt'!P61="a",'[1]Charriage - Geschiebehaushalt'!O61,"")</f>
        <v/>
      </c>
      <c r="C173" t="str">
        <f>IF('[1]Charriage - Geschiebehaushalt'!P61="b",'[1]Charriage - Geschiebehaushalt'!O61,"")</f>
        <v>La remobilisation des sédiments est perturbée / Mobilisierung von Geschiebe beeinträchtigt</v>
      </c>
      <c r="D173" t="str">
        <f>IF('[1]Revitalisation-Revitalisierung'!L61="a",'[1]Revitalisation-Revitalisierung'!K61,"")</f>
        <v>Très nécessaire, facile / unbedingt nötig, einfach</v>
      </c>
      <c r="E173" t="str">
        <f>IF('[1]Revitalisation-Revitalisierung'!L61="b",'[1]Revitalisation-Revitalisierung'!K61,"")</f>
        <v/>
      </c>
    </row>
    <row r="174" spans="2:5" x14ac:dyDescent="0.25">
      <c r="B174" t="str">
        <f>IF('[1]Charriage - Geschiebehaushalt'!P62="a",'[1]Charriage - Geschiebehaushalt'!O62,"")</f>
        <v>non pertinent / nicht relevant</v>
      </c>
      <c r="C174" t="str">
        <f>IF('[1]Charriage - Geschiebehaushalt'!P62="b",'[1]Charriage - Geschiebehaushalt'!O62,"")</f>
        <v/>
      </c>
      <c r="D174" t="str">
        <f>IF('[1]Revitalisation-Revitalisierung'!L62="a",'[1]Revitalisation-Revitalisierung'!K62,"")</f>
        <v/>
      </c>
      <c r="E174" t="str">
        <f>IF('[1]Revitalisation-Revitalisierung'!L62="b",'[1]Revitalisation-Revitalisierung'!K62,"")</f>
        <v>Non nécessaire / nicht nötig</v>
      </c>
    </row>
    <row r="175" spans="2:5" x14ac:dyDescent="0.25">
      <c r="B175" t="str">
        <f>IF('[1]Charriage - Geschiebehaushalt'!P63="a",'[1]Charriage - Geschiebehaushalt'!O63,"")</f>
        <v/>
      </c>
      <c r="C175" t="str">
        <f>IF('[1]Charriage - Geschiebehaushalt'!P63="b",'[1]Charriage - Geschiebehaushalt'!O63,"")</f>
        <v>La remobilisation des sédiments est perturbée / Mobilisierung von Geschiebe beeinträchtigt</v>
      </c>
      <c r="D175" t="str">
        <f>IF('[1]Revitalisation-Revitalisierung'!L63="a",'[1]Revitalisation-Revitalisierung'!K63,"")</f>
        <v/>
      </c>
      <c r="E175" t="str">
        <f>IF('[1]Revitalisation-Revitalisierung'!L63="b",'[1]Revitalisation-Revitalisierung'!K63,"")</f>
        <v>Très nécessaire, difficile / unbedingt nötig, schwierig</v>
      </c>
    </row>
    <row r="176" spans="2:5" x14ac:dyDescent="0.25">
      <c r="B176" t="str">
        <f>IF('[1]Charriage - Geschiebehaushalt'!P64="a",'[1]Charriage - Geschiebehaushalt'!O64,"")</f>
        <v>51-80%</v>
      </c>
      <c r="C176" t="str">
        <f>IF('[1]Charriage - Geschiebehaushalt'!P64="b",'[1]Charriage - Geschiebehaushalt'!O64,"")</f>
        <v/>
      </c>
      <c r="D176" t="str">
        <f>IF('[1]Revitalisation-Revitalisierung'!L64="a",'[1]Revitalisation-Revitalisierung'!K64,"")</f>
        <v>Très nécessaire, facile / unbedingt nötig, einfach</v>
      </c>
      <c r="E176" t="str">
        <f>IF('[1]Revitalisation-Revitalisierung'!L64="b",'[1]Revitalisation-Revitalisierung'!K64,"")</f>
        <v/>
      </c>
    </row>
    <row r="177" spans="2:5" x14ac:dyDescent="0.25">
      <c r="B177" t="str">
        <f>IF('[1]Charriage - Geschiebehaushalt'!P65="a",'[1]Charriage - Geschiebehaushalt'!O65,"")</f>
        <v>non pertinent / nicht relevant</v>
      </c>
      <c r="C177" t="str">
        <f>IF('[1]Charriage - Geschiebehaushalt'!P65="b",'[1]Charriage - Geschiebehaushalt'!O65,"")</f>
        <v/>
      </c>
      <c r="D177" t="str">
        <f>IF('[1]Revitalisation-Revitalisierung'!L65="a",'[1]Revitalisation-Revitalisierung'!K65,"")</f>
        <v>Non nécessaire / nicht nötig</v>
      </c>
      <c r="E177" t="str">
        <f>IF('[1]Revitalisation-Revitalisierung'!L65="b",'[1]Revitalisation-Revitalisierung'!K65,"")</f>
        <v/>
      </c>
    </row>
    <row r="178" spans="2:5" x14ac:dyDescent="0.25">
      <c r="B178" t="str">
        <f>IF('[1]Charriage - Geschiebehaushalt'!P66="a",'[1]Charriage - Geschiebehaushalt'!O66,"")</f>
        <v>21-50%</v>
      </c>
      <c r="C178" t="str">
        <f>IF('[1]Charriage - Geschiebehaushalt'!P66="b",'[1]Charriage - Geschiebehaushalt'!O66,"")</f>
        <v/>
      </c>
      <c r="D178" t="str">
        <f>IF('[1]Revitalisation-Revitalisierung'!L66="a",'[1]Revitalisation-Revitalisierung'!K66,"")</f>
        <v/>
      </c>
      <c r="E178" t="str">
        <f>IF('[1]Revitalisation-Revitalisierung'!L66="b",'[1]Revitalisation-Revitalisierung'!K66,"")</f>
        <v>Très nécessaire, difficile / unbedingt nötig, schwierig</v>
      </c>
    </row>
    <row r="179" spans="2:5" x14ac:dyDescent="0.25">
      <c r="B179" t="str">
        <f>IF('[1]Charriage - Geschiebehaushalt'!P67="a",'[1]Charriage - Geschiebehaushalt'!O67,"")</f>
        <v>Déficit non apparent en charriage ou en remobilisation des sédiments / kein sichtbares Defizit beim Geschiebehaushalt bzw. bei der Mobilisierung von Geschiebe</v>
      </c>
      <c r="C179" t="str">
        <f>IF('[1]Charriage - Geschiebehaushalt'!P67="b",'[1]Charriage - Geschiebehaushalt'!O67,"")</f>
        <v/>
      </c>
      <c r="D179" t="str">
        <f>IF('[1]Revitalisation-Revitalisierung'!L67="a",'[1]Revitalisation-Revitalisierung'!K67,"")</f>
        <v/>
      </c>
      <c r="E179" t="str">
        <f>IF('[1]Revitalisation-Revitalisierung'!L67="b",'[1]Revitalisation-Revitalisierung'!K67,"")</f>
        <v>Très nécessaire, facile / unbedingt nötig, einfach</v>
      </c>
    </row>
    <row r="180" spans="2:5" x14ac:dyDescent="0.25">
      <c r="B180" t="str">
        <f>IF('[1]Charriage - Geschiebehaushalt'!P68="a",'[1]Charriage - Geschiebehaushalt'!O68,"")</f>
        <v>81 -100%</v>
      </c>
      <c r="C180" t="str">
        <f>IF('[1]Charriage - Geschiebehaushalt'!P68="b",'[1]Charriage - Geschiebehaushalt'!O68,"")</f>
        <v/>
      </c>
      <c r="D180" t="str">
        <f>IF('[1]Revitalisation-Revitalisierung'!L68="a",'[1]Revitalisation-Revitalisierung'!K68,"")</f>
        <v/>
      </c>
      <c r="E180" t="str">
        <f>IF('[1]Revitalisation-Revitalisierung'!L68="b",'[1]Revitalisation-Revitalisierung'!K68,"")</f>
        <v>Très nécessaire, facile / unbedingt nötig, einfach</v>
      </c>
    </row>
    <row r="181" spans="2:5" x14ac:dyDescent="0.25">
      <c r="B181" t="str">
        <f>IF('[1]Charriage - Geschiebehaushalt'!P69="a",'[1]Charriage - Geschiebehaushalt'!O69,"")</f>
        <v>81 -100%</v>
      </c>
      <c r="C181" t="str">
        <f>IF('[1]Charriage - Geschiebehaushalt'!P69="b",'[1]Charriage - Geschiebehaushalt'!O69,"")</f>
        <v/>
      </c>
      <c r="D181" t="str">
        <f>IF('[1]Revitalisation-Revitalisierung'!L69="a",'[1]Revitalisation-Revitalisierung'!K69,"")</f>
        <v/>
      </c>
      <c r="E181" t="str">
        <f>IF('[1]Revitalisation-Revitalisierung'!L69="b",'[1]Revitalisation-Revitalisierung'!K69,"")</f>
        <v>Très nécessaire, difficile / unbedingt nötig, schwierig</v>
      </c>
    </row>
    <row r="182" spans="2:5" x14ac:dyDescent="0.25">
      <c r="B182" t="str">
        <f>IF('[1]Charriage - Geschiebehaushalt'!P70="a",'[1]Charriage - Geschiebehaushalt'!O70,"")</f>
        <v>51-80%</v>
      </c>
      <c r="C182" t="str">
        <f>IF('[1]Charriage - Geschiebehaushalt'!P70="b",'[1]Charriage - Geschiebehaushalt'!O70,"")</f>
        <v/>
      </c>
      <c r="D182" t="str">
        <f>IF('[1]Revitalisation-Revitalisierung'!L70="a",'[1]Revitalisation-Revitalisierung'!K70,"")</f>
        <v>Très nécessaire, facile / unbedingt nötig, einfach</v>
      </c>
      <c r="E182" t="str">
        <f>IF('[1]Revitalisation-Revitalisierung'!L70="b",'[1]Revitalisation-Revitalisierung'!K70,"")</f>
        <v/>
      </c>
    </row>
    <row r="183" spans="2:5" x14ac:dyDescent="0.25">
      <c r="B183" t="str">
        <f>IF('[1]Charriage - Geschiebehaushalt'!P71="a",'[1]Charriage - Geschiebehaushalt'!O71,"")</f>
        <v>51-80%</v>
      </c>
      <c r="C183" t="str">
        <f>IF('[1]Charriage - Geschiebehaushalt'!P71="b",'[1]Charriage - Geschiebehaushalt'!O71,"")</f>
        <v/>
      </c>
      <c r="D183" t="str">
        <f>IF('[1]Revitalisation-Revitalisierung'!L71="a",'[1]Revitalisation-Revitalisierung'!K71,"")</f>
        <v/>
      </c>
      <c r="E183" t="str">
        <f>IF('[1]Revitalisation-Revitalisierung'!L71="b",'[1]Revitalisation-Revitalisierung'!K71,"")</f>
        <v>Très nécessaire, facile / unbedingt nötig, einfach</v>
      </c>
    </row>
    <row r="184" spans="2:5" x14ac:dyDescent="0.25">
      <c r="B184" t="str">
        <f>IF('[1]Charriage - Geschiebehaushalt'!P72="a",'[1]Charriage - Geschiebehaushalt'!O72,"")</f>
        <v>51-80%</v>
      </c>
      <c r="C184" t="str">
        <f>IF('[1]Charriage - Geschiebehaushalt'!P72="b",'[1]Charriage - Geschiebehaushalt'!O72,"")</f>
        <v/>
      </c>
      <c r="D184" t="str">
        <f>IF('[1]Revitalisation-Revitalisierung'!L72="a",'[1]Revitalisation-Revitalisierung'!K72,"")</f>
        <v/>
      </c>
      <c r="E184" t="str">
        <f>IF('[1]Revitalisation-Revitalisierung'!L72="b",'[1]Revitalisation-Revitalisierung'!K72,"")</f>
        <v>Très nécessaire, facile / unbedingt nötig, einfach</v>
      </c>
    </row>
    <row r="185" spans="2:5" x14ac:dyDescent="0.25">
      <c r="B185" t="str">
        <f>IF('[1]Charriage - Geschiebehaushalt'!P73="a",'[1]Charriage - Geschiebehaushalt'!O73,"")</f>
        <v/>
      </c>
      <c r="C185" t="str">
        <f>IF('[1]Charriage - Geschiebehaushalt'!P73="b",'[1]Charriage - Geschiebehaushalt'!O73,"")</f>
        <v>Charriage présumé perturbé / Geschiebehaushalt vermutlich beeinträchtigt</v>
      </c>
      <c r="D185" t="str">
        <f>IF('[1]Revitalisation-Revitalisierung'!L73="a",'[1]Revitalisation-Revitalisierung'!K73,"")</f>
        <v>Non nécessaire / nicht nötig</v>
      </c>
      <c r="E185" t="str">
        <f>IF('[1]Revitalisation-Revitalisierung'!L73="b",'[1]Revitalisation-Revitalisierung'!K73,"")</f>
        <v/>
      </c>
    </row>
    <row r="186" spans="2:5" x14ac:dyDescent="0.25">
      <c r="B186" t="str">
        <f>IF('[1]Charriage - Geschiebehaushalt'!P74="a",'[1]Charriage - Geschiebehaushalt'!O74,"")</f>
        <v>0-20%</v>
      </c>
      <c r="C186" t="str">
        <f>IF('[1]Charriage - Geschiebehaushalt'!P74="b",'[1]Charriage - Geschiebehaushalt'!O74,"")</f>
        <v/>
      </c>
      <c r="D186" t="str">
        <f>IF('[1]Revitalisation-Revitalisierung'!L74="a",'[1]Revitalisation-Revitalisierung'!K74,"")</f>
        <v>Partiellement nécessaire, facile / teilweise nötig, einfach</v>
      </c>
      <c r="E186" t="str">
        <f>IF('[1]Revitalisation-Revitalisierung'!L74="b",'[1]Revitalisation-Revitalisierung'!K74,"")</f>
        <v/>
      </c>
    </row>
    <row r="187" spans="2:5" x14ac:dyDescent="0.25">
      <c r="B187" t="str">
        <f>IF('[1]Charriage - Geschiebehaushalt'!P75="a",'[1]Charriage - Geschiebehaushalt'!O75,"")</f>
        <v/>
      </c>
      <c r="C187" t="str">
        <f>IF('[1]Charriage - Geschiebehaushalt'!P75="b",'[1]Charriage - Geschiebehaushalt'!O75,"")</f>
        <v>La remobilisation des sédiments est perturbée / Mobilisierung von Geschiebe beeinträchtigt</v>
      </c>
      <c r="D187" t="str">
        <f>IF('[1]Revitalisation-Revitalisierung'!L75="a",'[1]Revitalisation-Revitalisierung'!K75,"")</f>
        <v>Partiellement nécessaire, facile / teilweise nötig, einfach</v>
      </c>
      <c r="E187" t="str">
        <f>IF('[1]Revitalisation-Revitalisierung'!L75="b",'[1]Revitalisation-Revitalisierung'!K75,"")</f>
        <v/>
      </c>
    </row>
    <row r="188" spans="2:5" x14ac:dyDescent="0.25">
      <c r="B188" t="str">
        <f>IF('[1]Charriage - Geschiebehaushalt'!P76="a",'[1]Charriage - Geschiebehaushalt'!O76,"")</f>
        <v>non pertinent / nicht relevant</v>
      </c>
      <c r="C188" t="str">
        <f>IF('[1]Charriage - Geschiebehaushalt'!P76="b",'[1]Charriage - Geschiebehaushalt'!O76,"")</f>
        <v/>
      </c>
      <c r="D188" t="str">
        <f>IF('[1]Revitalisation-Revitalisierung'!L76="a",'[1]Revitalisation-Revitalisierung'!K76,"")</f>
        <v/>
      </c>
      <c r="E188" t="str">
        <f>IF('[1]Revitalisation-Revitalisierung'!L76="b",'[1]Revitalisation-Revitalisierung'!K76,"")</f>
        <v>Très nécessaire, facile / unbedingt nötig, einfach</v>
      </c>
    </row>
    <row r="189" spans="2:5" x14ac:dyDescent="0.25">
      <c r="B189" t="str">
        <f>IF('[1]Charriage - Geschiebehaushalt'!P77="a",'[1]Charriage - Geschiebehaushalt'!O77,"")</f>
        <v>La remobilisation des sédiments est perturbée / Mobilisierung von Geschiebe beeinträchtigt</v>
      </c>
      <c r="C189" t="str">
        <f>IF('[1]Charriage - Geschiebehaushalt'!P77="b",'[1]Charriage - Geschiebehaushalt'!O77,"")</f>
        <v/>
      </c>
      <c r="D189" t="str">
        <f>IF('[1]Revitalisation-Revitalisierung'!L77="a",'[1]Revitalisation-Revitalisierung'!K77,"")</f>
        <v/>
      </c>
      <c r="E189" t="str">
        <f>IF('[1]Revitalisation-Revitalisierung'!L77="b",'[1]Revitalisation-Revitalisierung'!K77,"")</f>
        <v>Très nécessaire, difficile / unbedingt nötig, schwierig</v>
      </c>
    </row>
    <row r="190" spans="2:5" x14ac:dyDescent="0.25">
      <c r="B190" t="str">
        <f>IF('[1]Charriage - Geschiebehaushalt'!P78="a",'[1]Charriage - Geschiebehaushalt'!O78,"")</f>
        <v>La remobilisation des sédiments est perturbée / Mobilisierung von Geschiebe beeinträchtigt</v>
      </c>
      <c r="C190" t="str">
        <f>IF('[1]Charriage - Geschiebehaushalt'!P78="b",'[1]Charriage - Geschiebehaushalt'!O78,"")</f>
        <v/>
      </c>
      <c r="D190" t="str">
        <f>IF('[1]Revitalisation-Revitalisierung'!L78="a",'[1]Revitalisation-Revitalisierung'!K78,"")</f>
        <v/>
      </c>
      <c r="E190" t="str">
        <f>IF('[1]Revitalisation-Revitalisierung'!L78="b",'[1]Revitalisation-Revitalisierung'!K78,"")</f>
        <v>Très nécessaire, difficile / unbedingt nötig, schwierig</v>
      </c>
    </row>
    <row r="191" spans="2:5" x14ac:dyDescent="0.25">
      <c r="B191" t="str">
        <f>IF('[1]Charriage - Geschiebehaushalt'!P79="a",'[1]Charriage - Geschiebehaushalt'!O79,"")</f>
        <v/>
      </c>
      <c r="C191" t="str">
        <f>IF('[1]Charriage - Geschiebehaushalt'!P79="b",'[1]Charriage - Geschiebehaushalt'!O79,"")</f>
        <v>La remobilisation des sédiments est perturbée / Mobilisierung von Geschiebe beeinträchtigt</v>
      </c>
      <c r="D191" t="str">
        <f>IF('[1]Revitalisation-Revitalisierung'!L79="a",'[1]Revitalisation-Revitalisierung'!K79,"")</f>
        <v/>
      </c>
      <c r="E191" t="str">
        <f>IF('[1]Revitalisation-Revitalisierung'!L79="b",'[1]Revitalisation-Revitalisierung'!K79,"")</f>
        <v>Non nécessaire / nicht nötig</v>
      </c>
    </row>
    <row r="192" spans="2:5" x14ac:dyDescent="0.25">
      <c r="B192" t="str">
        <f>IF('[1]Charriage - Geschiebehaushalt'!P80="a",'[1]Charriage - Geschiebehaushalt'!O80,"")</f>
        <v>51-80%</v>
      </c>
      <c r="C192" t="str">
        <f>IF('[1]Charriage - Geschiebehaushalt'!P80="b",'[1]Charriage - Geschiebehaushalt'!O80,"")</f>
        <v/>
      </c>
      <c r="D192" t="str">
        <f>IF('[1]Revitalisation-Revitalisierung'!L80="a",'[1]Revitalisation-Revitalisierung'!K80,"")</f>
        <v/>
      </c>
      <c r="E192" t="str">
        <f>IF('[1]Revitalisation-Revitalisierung'!L80="b",'[1]Revitalisation-Revitalisierung'!K80,"")</f>
        <v>Non nécessaire / nicht nötig</v>
      </c>
    </row>
    <row r="193" spans="2:5" x14ac:dyDescent="0.25">
      <c r="B193" t="str">
        <f>IF('[1]Charriage - Geschiebehaushalt'!P81="a",'[1]Charriage - Geschiebehaushalt'!O81,"")</f>
        <v>non pertinent / nicht relevant</v>
      </c>
      <c r="C193" t="str">
        <f>IF('[1]Charriage - Geschiebehaushalt'!P81="b",'[1]Charriage - Geschiebehaushalt'!O81,"")</f>
        <v/>
      </c>
      <c r="D193" t="str">
        <f>IF('[1]Revitalisation-Revitalisierung'!L81="a",'[1]Revitalisation-Revitalisierung'!K81,"")</f>
        <v/>
      </c>
      <c r="E193" t="str">
        <f>IF('[1]Revitalisation-Revitalisierung'!L81="b",'[1]Revitalisation-Revitalisierung'!K81,"")</f>
        <v>Non nécessaire / nicht nötig</v>
      </c>
    </row>
    <row r="194" spans="2:5" x14ac:dyDescent="0.25">
      <c r="B194" t="str">
        <f>IF('[1]Charriage - Geschiebehaushalt'!P82="a",'[1]Charriage - Geschiebehaushalt'!O82,"")</f>
        <v>0-20%</v>
      </c>
      <c r="C194" t="str">
        <f>IF('[1]Charriage - Geschiebehaushalt'!P82="b",'[1]Charriage - Geschiebehaushalt'!O82,"")</f>
        <v/>
      </c>
      <c r="D194" t="str">
        <f>IF('[1]Revitalisation-Revitalisierung'!L82="a",'[1]Revitalisation-Revitalisierung'!K82,"")</f>
        <v>Non nécessaire / nicht nötig</v>
      </c>
      <c r="E194" t="str">
        <f>IF('[1]Revitalisation-Revitalisierung'!L82="b",'[1]Revitalisation-Revitalisierung'!K82,"")</f>
        <v/>
      </c>
    </row>
    <row r="195" spans="2:5" x14ac:dyDescent="0.25">
      <c r="B195" t="str">
        <f>IF('[1]Charriage - Geschiebehaushalt'!P83="a",'[1]Charriage - Geschiebehaushalt'!O83,"")</f>
        <v>0-20%</v>
      </c>
      <c r="C195" t="str">
        <f>IF('[1]Charriage - Geschiebehaushalt'!P83="b",'[1]Charriage - Geschiebehaushalt'!O83,"")</f>
        <v/>
      </c>
      <c r="D195" t="str">
        <f>IF('[1]Revitalisation-Revitalisierung'!L83="a",'[1]Revitalisation-Revitalisierung'!K83,"")</f>
        <v/>
      </c>
      <c r="E195" t="str">
        <f>IF('[1]Revitalisation-Revitalisierung'!L83="b",'[1]Revitalisation-Revitalisierung'!K83,"")</f>
        <v>Très nécessaire, facile / unbedingt nötig, einfach</v>
      </c>
    </row>
    <row r="196" spans="2:5" x14ac:dyDescent="0.25">
      <c r="B196" t="str">
        <f>IF('[1]Charriage - Geschiebehaushalt'!P84="a",'[1]Charriage - Geschiebehaushalt'!O84,"")</f>
        <v/>
      </c>
      <c r="C196" t="str">
        <f>IF('[1]Charriage - Geschiebehaushalt'!P84="b",'[1]Charriage - Geschiebehaushalt'!O84,"")</f>
        <v>Déficit non apparent en charriage ou en remobilisation des sédiments / kein sichtbares Defizit beim Geschiebehaushalt bzw. bei der Mobilisierung von Geschiebe</v>
      </c>
      <c r="D196" t="str">
        <f>IF('[1]Revitalisation-Revitalisierung'!L84="a",'[1]Revitalisation-Revitalisierung'!K84,"")</f>
        <v>Non nécessaire / nicht nötig</v>
      </c>
      <c r="E196" t="str">
        <f>IF('[1]Revitalisation-Revitalisierung'!L84="b",'[1]Revitalisation-Revitalisierung'!K84,"")</f>
        <v/>
      </c>
    </row>
    <row r="197" spans="2:5" x14ac:dyDescent="0.25">
      <c r="B197" t="str">
        <f>IF('[1]Charriage - Geschiebehaushalt'!P85="a",'[1]Charriage - Geschiebehaushalt'!O85,"")</f>
        <v/>
      </c>
      <c r="C197" t="str">
        <f>IF('[1]Charriage - Geschiebehaushalt'!P85="b",'[1]Charriage - Geschiebehaushalt'!O85,"")</f>
        <v>Déficit non apparent en charriage ou en remobilisation des sédiments / kein sichtbares Defizit beim Geschiebehaushalt bzw. bei der Mobilisierung von Geschiebe</v>
      </c>
      <c r="D197" t="str">
        <f>IF('[1]Revitalisation-Revitalisierung'!L85="a",'[1]Revitalisation-Revitalisierung'!K85,"")</f>
        <v/>
      </c>
      <c r="E197" t="str">
        <f>IF('[1]Revitalisation-Revitalisierung'!L85="b",'[1]Revitalisation-Revitalisierung'!K85,"")</f>
        <v>Partiellement nécessaire, facile / teilweise nötig, einfach</v>
      </c>
    </row>
    <row r="198" spans="2:5" x14ac:dyDescent="0.25">
      <c r="B198" t="str">
        <f>IF('[1]Charriage - Geschiebehaushalt'!P86="a",'[1]Charriage - Geschiebehaushalt'!O86,"")</f>
        <v/>
      </c>
      <c r="C198" t="str">
        <f>IF('[1]Charriage - Geschiebehaushalt'!P86="b",'[1]Charriage - Geschiebehaushalt'!O86,"")</f>
        <v>Déficit non apparent en charriage ou en remobilisation des sédiments / kein sichtbares Defizit beim Geschiebehaushalt bzw. bei der Mobilisierung von Geschiebe</v>
      </c>
      <c r="D198" t="str">
        <f>IF('[1]Revitalisation-Revitalisierung'!L86="a",'[1]Revitalisation-Revitalisierung'!K86,"")</f>
        <v>Non nécessaire / nicht nötig</v>
      </c>
      <c r="E198" t="str">
        <f>IF('[1]Revitalisation-Revitalisierung'!L86="b",'[1]Revitalisation-Revitalisierung'!K86,"")</f>
        <v/>
      </c>
    </row>
    <row r="199" spans="2:5" x14ac:dyDescent="0.25">
      <c r="B199" t="str">
        <f>IF('[1]Charriage - Geschiebehaushalt'!P87="a",'[1]Charriage - Geschiebehaushalt'!O87,"")</f>
        <v/>
      </c>
      <c r="C199" t="str">
        <f>IF('[1]Charriage - Geschiebehaushalt'!P87="b",'[1]Charriage - Geschiebehaushalt'!O87,"")</f>
        <v>Charriage présumé faiblement perturbé / Geschiebe vermutlich leicht beeinträchtigt</v>
      </c>
      <c r="D199" t="str">
        <f>IF('[1]Revitalisation-Revitalisierung'!L87="a",'[1]Revitalisation-Revitalisierung'!K87,"")</f>
        <v/>
      </c>
      <c r="E199" t="str">
        <f>IF('[1]Revitalisation-Revitalisierung'!L87="b",'[1]Revitalisation-Revitalisierung'!K87,"")</f>
        <v>Très nécessaire, facile / unbedingt nötig, einfach</v>
      </c>
    </row>
    <row r="200" spans="2:5" x14ac:dyDescent="0.25">
      <c r="B200" t="str">
        <f>IF('[1]Charriage - Geschiebehaushalt'!P88="a",'[1]Charriage - Geschiebehaushalt'!O88,"")</f>
        <v/>
      </c>
      <c r="C200" t="str">
        <f>IF('[1]Charriage - Geschiebehaushalt'!P88="b",'[1]Charriage - Geschiebehaushalt'!O88,"")</f>
        <v>La remobilisation des sédiments est perturbée / Mobilisierung von Geschiebe beeinträchtigt</v>
      </c>
      <c r="D200" t="str">
        <f>IF('[1]Revitalisation-Revitalisierung'!L88="a",'[1]Revitalisation-Revitalisierung'!K88,"")</f>
        <v/>
      </c>
      <c r="E200" t="str">
        <f>IF('[1]Revitalisation-Revitalisierung'!L88="b",'[1]Revitalisation-Revitalisierung'!K88,"")</f>
        <v>Non nécessaire / nicht nötig</v>
      </c>
    </row>
    <row r="201" spans="2:5" x14ac:dyDescent="0.25">
      <c r="B201" t="str">
        <f>IF('[1]Charriage - Geschiebehaushalt'!P89="a",'[1]Charriage - Geschiebehaushalt'!O89,"")</f>
        <v>81 -100%</v>
      </c>
      <c r="C201" t="str">
        <f>IF('[1]Charriage - Geschiebehaushalt'!P89="b",'[1]Charriage - Geschiebehaushalt'!O89,"")</f>
        <v/>
      </c>
      <c r="D201" t="str">
        <f>IF('[1]Revitalisation-Revitalisierung'!L89="a",'[1]Revitalisation-Revitalisierung'!K89,"")</f>
        <v/>
      </c>
      <c r="E201" t="str">
        <f>IF('[1]Revitalisation-Revitalisierung'!L89="b",'[1]Revitalisation-Revitalisierung'!K89,"")</f>
        <v>Partiellement nécessaire, difficile / teilweise nötig, schwierig</v>
      </c>
    </row>
    <row r="202" spans="2:5" x14ac:dyDescent="0.25">
      <c r="B202" t="str">
        <f>IF('[1]Charriage - Geschiebehaushalt'!P90="a",'[1]Charriage - Geschiebehaushalt'!O90,"")</f>
        <v/>
      </c>
      <c r="C202" t="str">
        <f>IF('[1]Charriage - Geschiebehaushalt'!P90="b",'[1]Charriage - Geschiebehaushalt'!O90,"")</f>
        <v>Charriage présumé naturel / Geschiebehaushalt vermutlich natürlich</v>
      </c>
      <c r="D202" t="str">
        <f>IF('[1]Revitalisation-Revitalisierung'!L90="a",'[1]Revitalisation-Revitalisierung'!K90,"")</f>
        <v/>
      </c>
      <c r="E202" t="str">
        <f>IF('[1]Revitalisation-Revitalisierung'!L90="b",'[1]Revitalisation-Revitalisierung'!K90,"")</f>
        <v>Très nécessaire, facile / unbedingt nötig, einfach</v>
      </c>
    </row>
    <row r="203" spans="2:5" x14ac:dyDescent="0.25">
      <c r="B203" t="str">
        <f>IF('[1]Charriage - Geschiebehaushalt'!P91="a",'[1]Charriage - Geschiebehaushalt'!O91,"")</f>
        <v/>
      </c>
      <c r="C203" t="str">
        <f>IF('[1]Charriage - Geschiebehaushalt'!P91="b",'[1]Charriage - Geschiebehaushalt'!O91,"")</f>
        <v>Déficit non apparent en charriage ou en remobilisation des sédiments / kein sichtbares Defizit beim Geschiebehaushalt bzw. bei der Mobilisierung von Geschiebe</v>
      </c>
      <c r="D203" t="str">
        <f>IF('[1]Revitalisation-Revitalisierung'!L91="a",'[1]Revitalisation-Revitalisierung'!K91,"")</f>
        <v>Non nécessaire / nicht nötig</v>
      </c>
      <c r="E203" t="str">
        <f>IF('[1]Revitalisation-Revitalisierung'!L91="b",'[1]Revitalisation-Revitalisierung'!K91,"")</f>
        <v/>
      </c>
    </row>
    <row r="204" spans="2:5" x14ac:dyDescent="0.25">
      <c r="B204" t="str">
        <f>IF('[1]Charriage - Geschiebehaushalt'!P92="a",'[1]Charriage - Geschiebehaushalt'!O92,"")</f>
        <v/>
      </c>
      <c r="C204" t="str">
        <f>IF('[1]Charriage - Geschiebehaushalt'!P92="b",'[1]Charriage - Geschiebehaushalt'!O92,"")</f>
        <v>Problème lié à un manque de charriage ou à un manque de remobilisation des sédiments / Problem aufgrund Geschiebemangels bzw. mangelnder Mobilisierung von Geschiebe</v>
      </c>
      <c r="D204" t="str">
        <f>IF('[1]Revitalisation-Revitalisierung'!L92="a",'[1]Revitalisation-Revitalisierung'!K92,"")</f>
        <v>Très nécessaire, facile / unbedingt nötig, einfach</v>
      </c>
      <c r="E204" t="str">
        <f>IF('[1]Revitalisation-Revitalisierung'!L92="b",'[1]Revitalisation-Revitalisierung'!K92,"")</f>
        <v/>
      </c>
    </row>
    <row r="205" spans="2:5" x14ac:dyDescent="0.25">
      <c r="B205" t="str">
        <f>IF('[1]Charriage - Geschiebehaushalt'!P93="a",'[1]Charriage - Geschiebehaushalt'!O93,"")</f>
        <v/>
      </c>
      <c r="C205" t="str">
        <f>IF('[1]Charriage - Geschiebehaushalt'!P93="b",'[1]Charriage - Geschiebehaushalt'!O93,"")</f>
        <v>Charriage présumé faiblement perturbé / Geschiebe vermutlich leicht beeinträchtigt</v>
      </c>
      <c r="D205" t="str">
        <f>IF('[1]Revitalisation-Revitalisierung'!L93="a",'[1]Revitalisation-Revitalisierung'!K93,"")</f>
        <v>Partiellement nécessaire, facile / teilweise nötig, einfach</v>
      </c>
      <c r="E205" t="str">
        <f>IF('[1]Revitalisation-Revitalisierung'!L93="b",'[1]Revitalisation-Revitalisierung'!K93,"")</f>
        <v/>
      </c>
    </row>
    <row r="206" spans="2:5" x14ac:dyDescent="0.25">
      <c r="B206" t="str">
        <f>IF('[1]Charriage - Geschiebehaushalt'!P94="a",'[1]Charriage - Geschiebehaushalt'!O94,"")</f>
        <v>non pertinent / nicht relevant</v>
      </c>
      <c r="C206" t="str">
        <f>IF('[1]Charriage - Geschiebehaushalt'!P94="b",'[1]Charriage - Geschiebehaushalt'!O94,"")</f>
        <v/>
      </c>
      <c r="D206" t="str">
        <f>IF('[1]Revitalisation-Revitalisierung'!L94="a",'[1]Revitalisation-Revitalisierung'!K94,"")</f>
        <v/>
      </c>
      <c r="E206" t="str">
        <f>IF('[1]Revitalisation-Revitalisierung'!L94="b",'[1]Revitalisation-Revitalisierung'!K94,"")</f>
        <v>Non nécessaire / nicht nötig</v>
      </c>
    </row>
    <row r="207" spans="2:5" x14ac:dyDescent="0.25">
      <c r="B207" t="str">
        <f>IF('[1]Charriage - Geschiebehaushalt'!P95="a",'[1]Charriage - Geschiebehaushalt'!O95,"")</f>
        <v/>
      </c>
      <c r="C207" t="str">
        <f>IF('[1]Charriage - Geschiebehaushalt'!P95="b",'[1]Charriage - Geschiebehaushalt'!O95,"")</f>
        <v>Charriage présumé naturel / Geschiebehaushalt vermutlich natürlich</v>
      </c>
      <c r="D207" t="str">
        <f>IF('[1]Revitalisation-Revitalisierung'!L95="a",'[1]Revitalisation-Revitalisierung'!K95,"")</f>
        <v>Non nécessaire / nicht nötig</v>
      </c>
      <c r="E207" t="str">
        <f>IF('[1]Revitalisation-Revitalisierung'!L95="b",'[1]Revitalisation-Revitalisierung'!K95,"")</f>
        <v/>
      </c>
    </row>
    <row r="208" spans="2:5" x14ac:dyDescent="0.25">
      <c r="B208" t="str">
        <f>IF('[1]Charriage - Geschiebehaushalt'!P96="a",'[1]Charriage - Geschiebehaushalt'!O96,"")</f>
        <v/>
      </c>
      <c r="C208" t="str">
        <f>IF('[1]Charriage - Geschiebehaushalt'!P96="b",'[1]Charriage - Geschiebehaushalt'!O96,"")</f>
        <v>Charriage présumé naturel / Geschiebehaushalt vermutlich natürlich</v>
      </c>
      <c r="D208" t="str">
        <f>IF('[1]Revitalisation-Revitalisierung'!L96="a",'[1]Revitalisation-Revitalisierung'!K96,"")</f>
        <v/>
      </c>
      <c r="E208" t="str">
        <f>IF('[1]Revitalisation-Revitalisierung'!L96="b",'[1]Revitalisation-Revitalisierung'!K96,"")</f>
        <v>Partiellement nécessaire, facile / teilweise nötig, einfach</v>
      </c>
    </row>
    <row r="209" spans="2:5" x14ac:dyDescent="0.25">
      <c r="B209" t="str">
        <f>IF('[1]Charriage - Geschiebehaushalt'!P97="a",'[1]Charriage - Geschiebehaushalt'!O97,"")</f>
        <v/>
      </c>
      <c r="C209" t="str">
        <f>IF('[1]Charriage - Geschiebehaushalt'!P97="b",'[1]Charriage - Geschiebehaushalt'!O97,"")</f>
        <v>Charriage présumé perturbé / Geschiebehaushalt vermutlich beeinträchtigt</v>
      </c>
      <c r="D209" t="str">
        <f>IF('[1]Revitalisation-Revitalisierung'!L97="a",'[1]Revitalisation-Revitalisierung'!K97,"")</f>
        <v/>
      </c>
      <c r="E209" t="str">
        <f>IF('[1]Revitalisation-Revitalisierung'!L97="b",'[1]Revitalisation-Revitalisierung'!K97,"")</f>
        <v>Très nécessaire, facile / unbedingt nötig, einfach</v>
      </c>
    </row>
    <row r="210" spans="2:5" x14ac:dyDescent="0.25">
      <c r="B210" t="str">
        <f>IF('[1]Charriage - Geschiebehaushalt'!P98="a",'[1]Charriage - Geschiebehaushalt'!O98,"")</f>
        <v>21-50%</v>
      </c>
      <c r="C210" t="str">
        <f>IF('[1]Charriage - Geschiebehaushalt'!P98="b",'[1]Charriage - Geschiebehaushalt'!O98,"")</f>
        <v/>
      </c>
      <c r="D210" t="str">
        <f>IF('[1]Revitalisation-Revitalisierung'!L98="a",'[1]Revitalisation-Revitalisierung'!K98,"")</f>
        <v>Très nécessaire, facile / unbedingt nötig, einfach</v>
      </c>
      <c r="E210" t="str">
        <f>IF('[1]Revitalisation-Revitalisierung'!L98="b",'[1]Revitalisation-Revitalisierung'!K98,"")</f>
        <v/>
      </c>
    </row>
    <row r="211" spans="2:5" x14ac:dyDescent="0.25">
      <c r="B211" t="str">
        <f>IF('[1]Charriage - Geschiebehaushalt'!P99="a",'[1]Charriage - Geschiebehaushalt'!O99,"")</f>
        <v>21-50%</v>
      </c>
      <c r="C211" t="str">
        <f>IF('[1]Charriage - Geschiebehaushalt'!P99="b",'[1]Charriage - Geschiebehaushalt'!O99,"")</f>
        <v/>
      </c>
      <c r="D211" t="str">
        <f>IF('[1]Revitalisation-Revitalisierung'!L99="a",'[1]Revitalisation-Revitalisierung'!K99,"")</f>
        <v>Très nécessaire, facile / unbedingt nötig, einfach</v>
      </c>
      <c r="E211" t="str">
        <f>IF('[1]Revitalisation-Revitalisierung'!L99="b",'[1]Revitalisation-Revitalisierung'!K99,"")</f>
        <v/>
      </c>
    </row>
    <row r="212" spans="2:5" x14ac:dyDescent="0.25">
      <c r="B212" t="str">
        <f>IF('[1]Charriage - Geschiebehaushalt'!P100="a",'[1]Charriage - Geschiebehaushalt'!O100,"")</f>
        <v>non pertinent / nicht relevant</v>
      </c>
      <c r="C212" t="str">
        <f>IF('[1]Charriage - Geschiebehaushalt'!P100="b",'[1]Charriage - Geschiebehaushalt'!O100,"")</f>
        <v/>
      </c>
      <c r="D212" t="str">
        <f>IF('[1]Revitalisation-Revitalisierung'!L100="a",'[1]Revitalisation-Revitalisierung'!K100,"")</f>
        <v>Non nécessaire / nicht nötig</v>
      </c>
      <c r="E212" t="str">
        <f>IF('[1]Revitalisation-Revitalisierung'!L100="b",'[1]Revitalisation-Revitalisierung'!K100,"")</f>
        <v/>
      </c>
    </row>
    <row r="213" spans="2:5" x14ac:dyDescent="0.25">
      <c r="B213" t="str">
        <f>IF('[1]Charriage - Geschiebehaushalt'!P101="a",'[1]Charriage - Geschiebehaushalt'!O101,"")</f>
        <v>21-50%</v>
      </c>
      <c r="C213" t="str">
        <f>IF('[1]Charriage - Geschiebehaushalt'!P101="b",'[1]Charriage - Geschiebehaushalt'!O101,"")</f>
        <v/>
      </c>
      <c r="D213" t="str">
        <f>IF('[1]Revitalisation-Revitalisierung'!L101="a",'[1]Revitalisation-Revitalisierung'!K101,"")</f>
        <v>Très nécessaire, facile / unbedingt nötig, einfach</v>
      </c>
      <c r="E213" t="str">
        <f>IF('[1]Revitalisation-Revitalisierung'!L101="b",'[1]Revitalisation-Revitalisierung'!K101,"")</f>
        <v/>
      </c>
    </row>
    <row r="214" spans="2:5" x14ac:dyDescent="0.25">
      <c r="B214" t="str">
        <f>IF('[1]Charriage - Geschiebehaushalt'!P102="a",'[1]Charriage - Geschiebehaushalt'!O102,"")</f>
        <v/>
      </c>
      <c r="C214" t="str">
        <f>IF('[1]Charriage - Geschiebehaushalt'!P102="b",'[1]Charriage - Geschiebehaushalt'!O102,"")</f>
        <v>Charriage présumé naturel / Geschiebehaushalt vermutlich natürlich</v>
      </c>
      <c r="D214" t="str">
        <f>IF('[1]Revitalisation-Revitalisierung'!L102="a",'[1]Revitalisation-Revitalisierung'!K102,"")</f>
        <v/>
      </c>
      <c r="E214" t="str">
        <f>IF('[1]Revitalisation-Revitalisierung'!L102="b",'[1]Revitalisation-Revitalisierung'!K102,"")</f>
        <v>Non nécessaire / nicht nötig</v>
      </c>
    </row>
    <row r="215" spans="2:5" x14ac:dyDescent="0.25">
      <c r="B215" t="str">
        <f>IF('[1]Charriage - Geschiebehaushalt'!P103="a",'[1]Charriage - Geschiebehaushalt'!O103,"")</f>
        <v>La remobilisation des sédiments est perturbée / Mobilisierung von Geschiebe beeinträchtigt</v>
      </c>
      <c r="C215" t="str">
        <f>IF('[1]Charriage - Geschiebehaushalt'!P103="b",'[1]Charriage - Geschiebehaushalt'!O103,"")</f>
        <v/>
      </c>
      <c r="D215" t="str">
        <f>IF('[1]Revitalisation-Revitalisierung'!L103="a",'[1]Revitalisation-Revitalisierung'!K103,"")</f>
        <v>Très nécessaire, facile / unbedingt nötig, einfach</v>
      </c>
      <c r="E215" t="str">
        <f>IF('[1]Revitalisation-Revitalisierung'!L103="b",'[1]Revitalisation-Revitalisierung'!K103,"")</f>
        <v/>
      </c>
    </row>
    <row r="216" spans="2:5" x14ac:dyDescent="0.25">
      <c r="B216" t="str">
        <f>IF('[1]Charriage - Geschiebehaushalt'!P104="a",'[1]Charriage - Geschiebehaushalt'!O104,"")</f>
        <v>Charriage présumé naturel / Geschiebehaushalt vermutlich natürlich</v>
      </c>
      <c r="C216" t="str">
        <f>IF('[1]Charriage - Geschiebehaushalt'!P104="b",'[1]Charriage - Geschiebehaushalt'!O104,"")</f>
        <v/>
      </c>
      <c r="D216" t="str">
        <f>IF('[1]Revitalisation-Revitalisierung'!L104="a",'[1]Revitalisation-Revitalisierung'!K104,"")</f>
        <v>Non nécessaire / nicht nötig</v>
      </c>
      <c r="E216" t="str">
        <f>IF('[1]Revitalisation-Revitalisierung'!L104="b",'[1]Revitalisation-Revitalisierung'!K104,"")</f>
        <v/>
      </c>
    </row>
    <row r="217" spans="2:5" x14ac:dyDescent="0.25">
      <c r="B217" t="str">
        <f>IF('[1]Charriage - Geschiebehaushalt'!P105="a",'[1]Charriage - Geschiebehaushalt'!O105,"")</f>
        <v/>
      </c>
      <c r="C217" t="str">
        <f>IF('[1]Charriage - Geschiebehaushalt'!P105="b",'[1]Charriage - Geschiebehaushalt'!O105,"")</f>
        <v>Charriage présumé naturel / Geschiebehaushalt vermutlich natürlich</v>
      </c>
      <c r="D217" t="str">
        <f>IF('[1]Revitalisation-Revitalisierung'!L105="a",'[1]Revitalisation-Revitalisierung'!K105,"")</f>
        <v/>
      </c>
      <c r="E217" t="str">
        <f>IF('[1]Revitalisation-Revitalisierung'!L105="b",'[1]Revitalisation-Revitalisierung'!K105,"")</f>
        <v>Non nécessaire / nicht nötig</v>
      </c>
    </row>
    <row r="218" spans="2:5" x14ac:dyDescent="0.25">
      <c r="B218" t="str">
        <f>IF('[1]Charriage - Geschiebehaushalt'!P106="a",'[1]Charriage - Geschiebehaushalt'!O106,"")</f>
        <v/>
      </c>
      <c r="C218" t="str">
        <f>IF('[1]Charriage - Geschiebehaushalt'!P106="b",'[1]Charriage - Geschiebehaushalt'!O106,"")</f>
        <v>Déficit non apparent en charriage ou en remobilisation des sédiments / kein sichtbares Defizit beim Geschiebehaushalt bzw. bei der Mobilisierung von Geschiebe</v>
      </c>
      <c r="D218" t="str">
        <f>IF('[1]Revitalisation-Revitalisierung'!L106="a",'[1]Revitalisation-Revitalisierung'!K106,"")</f>
        <v/>
      </c>
      <c r="E218" t="str">
        <f>IF('[1]Revitalisation-Revitalisierung'!L106="b",'[1]Revitalisation-Revitalisierung'!K106,"")</f>
        <v>Non nécessaire / nicht nötig</v>
      </c>
    </row>
    <row r="219" spans="2:5" x14ac:dyDescent="0.25">
      <c r="B219" t="str">
        <f>IF('[1]Charriage - Geschiebehaushalt'!P107="a",'[1]Charriage - Geschiebehaushalt'!O107,"")</f>
        <v/>
      </c>
      <c r="C219" t="str">
        <f>IF('[1]Charriage - Geschiebehaushalt'!P107="b",'[1]Charriage - Geschiebehaushalt'!O107,"")</f>
        <v>Déficit non apparent en charriage ou en remobilisation des sédiments / kein sichtbares Defizit beim Geschiebehaushalt bzw. bei der Mobilisierung von Geschiebe</v>
      </c>
      <c r="D219" t="str">
        <f>IF('[1]Revitalisation-Revitalisierung'!L107="a",'[1]Revitalisation-Revitalisierung'!K107,"")</f>
        <v/>
      </c>
      <c r="E219" t="str">
        <f>IF('[1]Revitalisation-Revitalisierung'!L107="b",'[1]Revitalisation-Revitalisierung'!K107,"")</f>
        <v>Non nécessaire / nicht nötig</v>
      </c>
    </row>
    <row r="220" spans="2:5" x14ac:dyDescent="0.25">
      <c r="B220" t="str">
        <f>IF('[1]Charriage - Geschiebehaushalt'!P108="a",'[1]Charriage - Geschiebehaushalt'!O108,"")</f>
        <v>Déficit non apparent en charriage ou en remobilisation des sédiments / kein sichtbares Defizit beim Geschiebehaushalt bzw. bei der Mobilisierung von Geschiebe</v>
      </c>
      <c r="C220" t="str">
        <f>IF('[1]Charriage - Geschiebehaushalt'!P108="b",'[1]Charriage - Geschiebehaushalt'!O108,"")</f>
        <v/>
      </c>
      <c r="D220" t="str">
        <f>IF('[1]Revitalisation-Revitalisierung'!L108="a",'[1]Revitalisation-Revitalisierung'!K108,"")</f>
        <v>Non nécessaire / nicht nötig</v>
      </c>
      <c r="E220" t="str">
        <f>IF('[1]Revitalisation-Revitalisierung'!L108="b",'[1]Revitalisation-Revitalisierung'!K108,"")</f>
        <v/>
      </c>
    </row>
    <row r="221" spans="2:5" x14ac:dyDescent="0.25">
      <c r="B221" t="str">
        <f>IF('[1]Charriage - Geschiebehaushalt'!P109="a",'[1]Charriage - Geschiebehaushalt'!O109,"")</f>
        <v>51-80%</v>
      </c>
      <c r="C221" t="str">
        <f>IF('[1]Charriage - Geschiebehaushalt'!P109="b",'[1]Charriage - Geschiebehaushalt'!O109,"")</f>
        <v/>
      </c>
      <c r="D221" t="str">
        <f>IF('[1]Revitalisation-Revitalisierung'!L109="a",'[1]Revitalisation-Revitalisierung'!K109,"")</f>
        <v/>
      </c>
      <c r="E221" t="str">
        <f>IF('[1]Revitalisation-Revitalisierung'!L109="b",'[1]Revitalisation-Revitalisierung'!K109,"")</f>
        <v>Très nécessaire, facile / unbedingt nötig, einfach</v>
      </c>
    </row>
    <row r="222" spans="2:5" x14ac:dyDescent="0.25">
      <c r="B222" t="str">
        <f>IF('[1]Charriage - Geschiebehaushalt'!P110="a",'[1]Charriage - Geschiebehaushalt'!O110,"")</f>
        <v>Charriage présumé naturel / Geschiebehaushalt vermutlich natürlich</v>
      </c>
      <c r="C222" t="str">
        <f>IF('[1]Charriage - Geschiebehaushalt'!P110="b",'[1]Charriage - Geschiebehaushalt'!O110,"")</f>
        <v/>
      </c>
      <c r="D222" t="str">
        <f>IF('[1]Revitalisation-Revitalisierung'!L110="a",'[1]Revitalisation-Revitalisierung'!K110,"")</f>
        <v/>
      </c>
      <c r="E222" t="str">
        <f>IF('[1]Revitalisation-Revitalisierung'!L110="b",'[1]Revitalisation-Revitalisierung'!K110,"")</f>
        <v>Très nécessaire, facile / unbedingt nötig, einfach</v>
      </c>
    </row>
    <row r="223" spans="2:5" x14ac:dyDescent="0.25">
      <c r="B223" t="str">
        <f>IF('[1]Charriage - Geschiebehaushalt'!P111="a",'[1]Charriage - Geschiebehaushalt'!O111,"")</f>
        <v>Charriage présumé naturel / Geschiebehaushalt vermutlich natürlich</v>
      </c>
      <c r="C223" t="str">
        <f>IF('[1]Charriage - Geschiebehaushalt'!P111="b",'[1]Charriage - Geschiebehaushalt'!O111,"")</f>
        <v/>
      </c>
      <c r="D223" t="str">
        <f>IF('[1]Revitalisation-Revitalisierung'!L111="a",'[1]Revitalisation-Revitalisierung'!K111,"")</f>
        <v>Partiellement nécessaire, facile / teilweise nötig, einfach</v>
      </c>
      <c r="E223" t="str">
        <f>IF('[1]Revitalisation-Revitalisierung'!L111="b",'[1]Revitalisation-Revitalisierung'!K111,"")</f>
        <v/>
      </c>
    </row>
    <row r="224" spans="2:5" x14ac:dyDescent="0.25">
      <c r="B224" t="str">
        <f>IF('[1]Charriage - Geschiebehaushalt'!P112="a",'[1]Charriage - Geschiebehaushalt'!O112,"")</f>
        <v/>
      </c>
      <c r="C224" t="str">
        <f>IF('[1]Charriage - Geschiebehaushalt'!P112="b",'[1]Charriage - Geschiebehaushalt'!O112,"")</f>
        <v>Charriage présumé naturel / Geschiebehaushalt vermutlich natürlich</v>
      </c>
      <c r="D224" t="str">
        <f>IF('[1]Revitalisation-Revitalisierung'!L112="a",'[1]Revitalisation-Revitalisierung'!K112,"")</f>
        <v>Non nécessaire / nicht nötig</v>
      </c>
      <c r="E224" t="str">
        <f>IF('[1]Revitalisation-Revitalisierung'!L112="b",'[1]Revitalisation-Revitalisierung'!K112,"")</f>
        <v/>
      </c>
    </row>
    <row r="225" spans="2:5" x14ac:dyDescent="0.25">
      <c r="B225" t="str">
        <f>IF('[1]Charriage - Geschiebehaushalt'!P113="a",'[1]Charriage - Geschiebehaushalt'!O113,"")</f>
        <v>51-80%</v>
      </c>
      <c r="C225" t="str">
        <f>IF('[1]Charriage - Geschiebehaushalt'!P113="b",'[1]Charriage - Geschiebehaushalt'!O113,"")</f>
        <v/>
      </c>
      <c r="D225" t="str">
        <f>IF('[1]Revitalisation-Revitalisierung'!L113="a",'[1]Revitalisation-Revitalisierung'!K113,"")</f>
        <v/>
      </c>
      <c r="E225" t="str">
        <f>IF('[1]Revitalisation-Revitalisierung'!L113="b",'[1]Revitalisation-Revitalisierung'!K113,"")</f>
        <v>Très nécessaire, difficile / unbedingt nötig, schwierig</v>
      </c>
    </row>
    <row r="226" spans="2:5" x14ac:dyDescent="0.25">
      <c r="B226" t="str">
        <f>IF('[1]Charriage - Geschiebehaushalt'!P114="a",'[1]Charriage - Geschiebehaushalt'!O114,"")</f>
        <v>21-50%</v>
      </c>
      <c r="C226" t="str">
        <f>IF('[1]Charriage - Geschiebehaushalt'!P114="b",'[1]Charriage - Geschiebehaushalt'!O114,"")</f>
        <v/>
      </c>
      <c r="D226" t="str">
        <f>IF('[1]Revitalisation-Revitalisierung'!L114="a",'[1]Revitalisation-Revitalisierung'!K114,"")</f>
        <v/>
      </c>
      <c r="E226" t="str">
        <f>IF('[1]Revitalisation-Revitalisierung'!L114="b",'[1]Revitalisation-Revitalisierung'!K114,"")</f>
        <v>Très nécessaire, facile / unbedingt nötig, einfach</v>
      </c>
    </row>
    <row r="227" spans="2:5" x14ac:dyDescent="0.25">
      <c r="B227" t="str">
        <f>IF('[1]Charriage - Geschiebehaushalt'!P115="a",'[1]Charriage - Geschiebehaushalt'!O115,"")</f>
        <v>21-50%</v>
      </c>
      <c r="C227" t="str">
        <f>IF('[1]Charriage - Geschiebehaushalt'!P115="b",'[1]Charriage - Geschiebehaushalt'!O115,"")</f>
        <v/>
      </c>
      <c r="D227" t="str">
        <f>IF('[1]Revitalisation-Revitalisierung'!L115="a",'[1]Revitalisation-Revitalisierung'!K115,"")</f>
        <v>Très nécessaire, facile / unbedingt nötig, einfach</v>
      </c>
      <c r="E227" t="str">
        <f>IF('[1]Revitalisation-Revitalisierung'!L115="b",'[1]Revitalisation-Revitalisierung'!K115,"")</f>
        <v/>
      </c>
    </row>
    <row r="228" spans="2:5" x14ac:dyDescent="0.25">
      <c r="B228" t="str">
        <f>IF('[1]Charriage - Geschiebehaushalt'!P116="a",'[1]Charriage - Geschiebehaushalt'!O116,"")</f>
        <v>21-50%</v>
      </c>
      <c r="C228" t="str">
        <f>IF('[1]Charriage - Geschiebehaushalt'!P116="b",'[1]Charriage - Geschiebehaushalt'!O116,"")</f>
        <v/>
      </c>
      <c r="D228" t="str">
        <f>IF('[1]Revitalisation-Revitalisierung'!L116="a",'[1]Revitalisation-Revitalisierung'!K116,"")</f>
        <v/>
      </c>
      <c r="E228" t="str">
        <f>IF('[1]Revitalisation-Revitalisierung'!L116="b",'[1]Revitalisation-Revitalisierung'!K116,"")</f>
        <v>Très nécessaire, difficile / unbedingt nötig, schwierig</v>
      </c>
    </row>
    <row r="229" spans="2:5" x14ac:dyDescent="0.25">
      <c r="B229" t="str">
        <f>IF('[1]Charriage - Geschiebehaushalt'!P117="a",'[1]Charriage - Geschiebehaushalt'!O117,"")</f>
        <v/>
      </c>
      <c r="C229" t="str">
        <f>IF('[1]Charriage - Geschiebehaushalt'!P117="b",'[1]Charriage - Geschiebehaushalt'!O117,"")</f>
        <v>La remobilisation des sédiments est perturbée / Mobilisierung von Geschiebe beeinträchtigt</v>
      </c>
      <c r="D229" t="str">
        <f>IF('[1]Revitalisation-Revitalisierung'!L117="a",'[1]Revitalisation-Revitalisierung'!K117,"")</f>
        <v>Partiellement nécessaire, facile / teilweise nötig, einfach</v>
      </c>
      <c r="E229" t="str">
        <f>IF('[1]Revitalisation-Revitalisierung'!L117="b",'[1]Revitalisation-Revitalisierung'!K117,"")</f>
        <v/>
      </c>
    </row>
    <row r="230" spans="2:5" x14ac:dyDescent="0.25">
      <c r="B230" t="str">
        <f>IF('[1]Charriage - Geschiebehaushalt'!P118="a",'[1]Charriage - Geschiebehaushalt'!O118,"")</f>
        <v/>
      </c>
      <c r="C230" t="str">
        <f>IF('[1]Charriage - Geschiebehaushalt'!P118="b",'[1]Charriage - Geschiebehaushalt'!O118,"")</f>
        <v>La remobilisation des sédiments est perturbée / Mobilisierung von Geschiebe beeinträchtigt</v>
      </c>
      <c r="D230" t="str">
        <f>IF('[1]Revitalisation-Revitalisierung'!L118="a",'[1]Revitalisation-Revitalisierung'!K118,"")</f>
        <v>Non nécessaire / nicht nötig</v>
      </c>
      <c r="E230" t="str">
        <f>IF('[1]Revitalisation-Revitalisierung'!L118="b",'[1]Revitalisation-Revitalisierung'!K118,"")</f>
        <v/>
      </c>
    </row>
    <row r="231" spans="2:5" x14ac:dyDescent="0.25">
      <c r="B231" t="str">
        <f>IF('[1]Charriage - Geschiebehaushalt'!P119="a",'[1]Charriage - Geschiebehaushalt'!O119,"")</f>
        <v>La remobilisation des sédiments est perturbée / Mobilisierung von Geschiebe beeinträchtigt</v>
      </c>
      <c r="C231" t="str">
        <f>IF('[1]Charriage - Geschiebehaushalt'!P119="b",'[1]Charriage - Geschiebehaushalt'!O119,"")</f>
        <v/>
      </c>
      <c r="D231" t="str">
        <f>IF('[1]Revitalisation-Revitalisierung'!L119="a",'[1]Revitalisation-Revitalisierung'!K119,"")</f>
        <v>Très nécessaire, difficile / unbedingt nötig, schwierig</v>
      </c>
      <c r="E231" t="str">
        <f>IF('[1]Revitalisation-Revitalisierung'!L119="b",'[1]Revitalisation-Revitalisierung'!K119,"")</f>
        <v/>
      </c>
    </row>
    <row r="232" spans="2:5" x14ac:dyDescent="0.25">
      <c r="B232" t="str">
        <f>IF('[1]Charriage - Geschiebehaushalt'!P120="a",'[1]Charriage - Geschiebehaushalt'!O120,"")</f>
        <v/>
      </c>
      <c r="C232" t="str">
        <f>IF('[1]Charriage - Geschiebehaushalt'!P120="b",'[1]Charriage - Geschiebehaushalt'!O120,"")</f>
        <v>Déficit non apparent en charriage ou en remobilisation des sédiments / kein sichtbares Defizit beim Geschiebehaushalt bzw. bei der Mobilisierung von Geschiebe</v>
      </c>
      <c r="D232" t="str">
        <f>IF('[1]Revitalisation-Revitalisierung'!L120="a",'[1]Revitalisation-Revitalisierung'!K120,"")</f>
        <v>Non nécessaire / nicht nötig</v>
      </c>
      <c r="E232" t="str">
        <f>IF('[1]Revitalisation-Revitalisierung'!L120="b",'[1]Revitalisation-Revitalisierung'!K120,"")</f>
        <v/>
      </c>
    </row>
    <row r="233" spans="2:5" x14ac:dyDescent="0.25">
      <c r="B233" t="str">
        <f>IF('[1]Charriage - Geschiebehaushalt'!P121="a",'[1]Charriage - Geschiebehaushalt'!O121,"")</f>
        <v>La remobilisation des sédiments est perturbée / Mobilisierung von Geschiebe beeinträchtigt</v>
      </c>
      <c r="C233" t="str">
        <f>IF('[1]Charriage - Geschiebehaushalt'!P121="b",'[1]Charriage - Geschiebehaushalt'!O121,"")</f>
        <v/>
      </c>
      <c r="D233" t="str">
        <f>IF('[1]Revitalisation-Revitalisierung'!L121="a",'[1]Revitalisation-Revitalisierung'!K121,"")</f>
        <v>Très nécessaire, facile / unbedingt nötig, einfach</v>
      </c>
      <c r="E233" t="str">
        <f>IF('[1]Revitalisation-Revitalisierung'!L121="b",'[1]Revitalisation-Revitalisierung'!K121,"")</f>
        <v/>
      </c>
    </row>
    <row r="234" spans="2:5" x14ac:dyDescent="0.25">
      <c r="B234" t="str">
        <f>IF('[1]Charriage - Geschiebehaushalt'!P122="a",'[1]Charriage - Geschiebehaushalt'!O122,"")</f>
        <v/>
      </c>
      <c r="C234" t="str">
        <f>IF('[1]Charriage - Geschiebehaushalt'!P122="b",'[1]Charriage - Geschiebehaushalt'!O122,"")</f>
        <v>Déficit non apparent en charriage ou en remobilisation des sédiments / kein sichtbares Defizit beim Geschiebehaushalt bzw. bei der Mobilisierung von Geschiebe</v>
      </c>
      <c r="D234" t="str">
        <f>IF('[1]Revitalisation-Revitalisierung'!L122="a",'[1]Revitalisation-Revitalisierung'!K122,"")</f>
        <v>Non nécessaire / nicht nötig</v>
      </c>
      <c r="E234" t="str">
        <f>IF('[1]Revitalisation-Revitalisierung'!L122="b",'[1]Revitalisation-Revitalisierung'!K122,"")</f>
        <v/>
      </c>
    </row>
    <row r="235" spans="2:5" x14ac:dyDescent="0.25">
      <c r="B235" t="str">
        <f>IF('[1]Charriage - Geschiebehaushalt'!P123="a",'[1]Charriage - Geschiebehaushalt'!O123,"")</f>
        <v>21-50%</v>
      </c>
      <c r="C235" t="str">
        <f>IF('[1]Charriage - Geschiebehaushalt'!P123="b",'[1]Charriage - Geschiebehaushalt'!O123,"")</f>
        <v/>
      </c>
      <c r="D235" t="str">
        <f>IF('[1]Revitalisation-Revitalisierung'!L123="a",'[1]Revitalisation-Revitalisierung'!K123,"")</f>
        <v>Très nécessaire, facile / unbedingt nötig, einfach</v>
      </c>
      <c r="E235" t="str">
        <f>IF('[1]Revitalisation-Revitalisierung'!L123="b",'[1]Revitalisation-Revitalisierung'!K123,"")</f>
        <v/>
      </c>
    </row>
    <row r="236" spans="2:5" x14ac:dyDescent="0.25">
      <c r="B236" t="str">
        <f>IF('[1]Charriage - Geschiebehaushalt'!P124="a",'[1]Charriage - Geschiebehaushalt'!O124,"")</f>
        <v>21-50%</v>
      </c>
      <c r="C236" t="str">
        <f>IF('[1]Charriage - Geschiebehaushalt'!P124="b",'[1]Charriage - Geschiebehaushalt'!O124,"")</f>
        <v/>
      </c>
      <c r="D236" t="str">
        <f>IF('[1]Revitalisation-Revitalisierung'!L124="a",'[1]Revitalisation-Revitalisierung'!K124,"")</f>
        <v>Partiellement nécessaire, facile / teilweise nötig, einfach</v>
      </c>
      <c r="E236" t="str">
        <f>IF('[1]Revitalisation-Revitalisierung'!L124="b",'[1]Revitalisation-Revitalisierung'!K124,"")</f>
        <v/>
      </c>
    </row>
    <row r="237" spans="2:5" x14ac:dyDescent="0.25">
      <c r="B237" t="str">
        <f>IF('[1]Charriage - Geschiebehaushalt'!P125="a",'[1]Charriage - Geschiebehaushalt'!O125,"")</f>
        <v>21-50%</v>
      </c>
      <c r="C237" t="str">
        <f>IF('[1]Charriage - Geschiebehaushalt'!P125="b",'[1]Charriage - Geschiebehaushalt'!O125,"")</f>
        <v/>
      </c>
      <c r="D237" t="str">
        <f>IF('[1]Revitalisation-Revitalisierung'!L125="a",'[1]Revitalisation-Revitalisierung'!K125,"")</f>
        <v>Partiellement nécessaire, difficile / teilweise nötig, schwierig</v>
      </c>
      <c r="E237" t="str">
        <f>IF('[1]Revitalisation-Revitalisierung'!L125="b",'[1]Revitalisation-Revitalisierung'!K125,"")</f>
        <v/>
      </c>
    </row>
    <row r="238" spans="2:5" x14ac:dyDescent="0.25">
      <c r="B238" t="str">
        <f>IF('[1]Charriage - Geschiebehaushalt'!P126="a",'[1]Charriage - Geschiebehaushalt'!O126,"")</f>
        <v/>
      </c>
      <c r="C238" t="str">
        <f>IF('[1]Charriage - Geschiebehaushalt'!P126="b",'[1]Charriage - Geschiebehaushalt'!O126,"")</f>
        <v>Déficit non apparent en charriage ou en remobilisation des sédiments / kein sichtbares Defizit beim Geschiebehaushalt bzw. bei der Mobilisierung von Geschiebe</v>
      </c>
      <c r="D238" t="str">
        <f>IF('[1]Revitalisation-Revitalisierung'!L126="a",'[1]Revitalisation-Revitalisierung'!K126,"")</f>
        <v>Non nécessaire / nicht nötig</v>
      </c>
      <c r="E238" t="str">
        <f>IF('[1]Revitalisation-Revitalisierung'!L126="b",'[1]Revitalisation-Revitalisierung'!K126,"")</f>
        <v/>
      </c>
    </row>
    <row r="239" spans="2:5" x14ac:dyDescent="0.25">
      <c r="B239" t="str">
        <f>IF('[1]Charriage - Geschiebehaushalt'!P127="a",'[1]Charriage - Geschiebehaushalt'!O127,"")</f>
        <v/>
      </c>
      <c r="C239" t="str">
        <f>IF('[1]Charriage - Geschiebehaushalt'!P127="b",'[1]Charriage - Geschiebehaushalt'!O127,"")</f>
        <v>Charriage présumé perturbé / Geschiebehaushalt vermutlich beeinträchtigt</v>
      </c>
      <c r="D239" t="str">
        <f>IF('[1]Revitalisation-Revitalisierung'!L127="a",'[1]Revitalisation-Revitalisierung'!K127,"")</f>
        <v/>
      </c>
      <c r="E239" t="str">
        <f>IF('[1]Revitalisation-Revitalisierung'!L127="b",'[1]Revitalisation-Revitalisierung'!K127,"")</f>
        <v>Très nécessaire, facile / unbedingt nötig, einfach</v>
      </c>
    </row>
    <row r="240" spans="2:5" x14ac:dyDescent="0.25">
      <c r="B240" t="str">
        <f>IF('[1]Charriage - Geschiebehaushalt'!P128="a",'[1]Charriage - Geschiebehaushalt'!O128,"")</f>
        <v/>
      </c>
      <c r="C240" t="str">
        <f>IF('[1]Charriage - Geschiebehaushalt'!P128="b",'[1]Charriage - Geschiebehaushalt'!O128,"")</f>
        <v>Charriage présumé perturbé / Geschiebehaushalt vermutlich beeinträchtigt</v>
      </c>
      <c r="D240" t="str">
        <f>IF('[1]Revitalisation-Revitalisierung'!L128="a",'[1]Revitalisation-Revitalisierung'!K128,"")</f>
        <v/>
      </c>
      <c r="E240" t="str">
        <f>IF('[1]Revitalisation-Revitalisierung'!L128="b",'[1]Revitalisation-Revitalisierung'!K128,"")</f>
        <v>Très nécessaire, difficile / unbedingt nötig, schwierig</v>
      </c>
    </row>
    <row r="241" spans="2:5" x14ac:dyDescent="0.25">
      <c r="B241" t="str">
        <f>IF('[1]Charriage - Geschiebehaushalt'!P129="a",'[1]Charriage - Geschiebehaushalt'!O129,"")</f>
        <v/>
      </c>
      <c r="C241" t="str">
        <f>IF('[1]Charriage - Geschiebehaushalt'!P129="b",'[1]Charriage - Geschiebehaushalt'!O129,"")</f>
        <v>La remobilisation des sédiments est perturbée / Mobilisierung von Geschiebe beeinträchtigt</v>
      </c>
      <c r="D241" t="str">
        <f>IF('[1]Revitalisation-Revitalisierung'!L129="a",'[1]Revitalisation-Revitalisierung'!K129,"")</f>
        <v/>
      </c>
      <c r="E241" t="str">
        <f>IF('[1]Revitalisation-Revitalisierung'!L129="b",'[1]Revitalisation-Revitalisierung'!K129,"")</f>
        <v>Très nécessaire, facile / unbedingt nötig, einfach</v>
      </c>
    </row>
    <row r="242" spans="2:5" x14ac:dyDescent="0.25">
      <c r="B242" t="str">
        <f>IF('[1]Charriage - Geschiebehaushalt'!P130="a",'[1]Charriage - Geschiebehaushalt'!O130,"")</f>
        <v/>
      </c>
      <c r="C242" t="str">
        <f>IF('[1]Charriage - Geschiebehaushalt'!P130="b",'[1]Charriage - Geschiebehaushalt'!O130,"")</f>
        <v>Problème lié à un manque de charriage ou à un manque de remobilisation des sédiments / Problem aufgrund Geschiebemangels bzw. mangelnder Mobilisierung von Geschiebe</v>
      </c>
      <c r="D242" t="str">
        <f>IF('[1]Revitalisation-Revitalisierung'!L130="a",'[1]Revitalisation-Revitalisierung'!K130,"")</f>
        <v/>
      </c>
      <c r="E242" t="str">
        <f>IF('[1]Revitalisation-Revitalisierung'!L130="b",'[1]Revitalisation-Revitalisierung'!K130,"")</f>
        <v>Non nécessaire / nicht nötig</v>
      </c>
    </row>
    <row r="243" spans="2:5" x14ac:dyDescent="0.25">
      <c r="B243" t="str">
        <f>IF('[1]Charriage - Geschiebehaushalt'!P131="a",'[1]Charriage - Geschiebehaushalt'!O131,"")</f>
        <v/>
      </c>
      <c r="C243" t="str">
        <f>IF('[1]Charriage - Geschiebehaushalt'!P131="b",'[1]Charriage - Geschiebehaushalt'!O131,"")</f>
        <v>Problème lié à un manque de charriage ou à un manque de remobilisation des sédiments / Problem aufgrund Geschiebemangels bzw. mangelnder Mobilisierung von Geschiebe</v>
      </c>
      <c r="D243" t="str">
        <f>IF('[1]Revitalisation-Revitalisierung'!L131="a",'[1]Revitalisation-Revitalisierung'!K131,"")</f>
        <v/>
      </c>
      <c r="E243" t="str">
        <f>IF('[1]Revitalisation-Revitalisierung'!L131="b",'[1]Revitalisation-Revitalisierung'!K131,"")</f>
        <v>Très nécessaire, facile / unbedingt nötig, einfach</v>
      </c>
    </row>
    <row r="244" spans="2:5" x14ac:dyDescent="0.25">
      <c r="B244" t="str">
        <f>IF('[1]Charriage - Geschiebehaushalt'!P132="a",'[1]Charriage - Geschiebehaushalt'!O132,"")</f>
        <v/>
      </c>
      <c r="C244" t="str">
        <f>IF('[1]Charriage - Geschiebehaushalt'!P132="b",'[1]Charriage - Geschiebehaushalt'!O132,"")</f>
        <v>La remobilisation des sédiments est perturbée / Mobilisierung von Geschiebe beeinträchtigt</v>
      </c>
      <c r="D244" t="str">
        <f>IF('[1]Revitalisation-Revitalisierung'!L132="a",'[1]Revitalisation-Revitalisierung'!K132,"")</f>
        <v/>
      </c>
      <c r="E244" t="str">
        <f>IF('[1]Revitalisation-Revitalisierung'!L132="b",'[1]Revitalisation-Revitalisierung'!K132,"")</f>
        <v>Très nécessaire, facile / unbedingt nötig, einfach</v>
      </c>
    </row>
    <row r="245" spans="2:5" x14ac:dyDescent="0.25">
      <c r="B245" t="str">
        <f>IF('[1]Charriage - Geschiebehaushalt'!P133="a",'[1]Charriage - Geschiebehaushalt'!O133,"")</f>
        <v/>
      </c>
      <c r="C245" t="str">
        <f>IF('[1]Charriage - Geschiebehaushalt'!P133="b",'[1]Charriage - Geschiebehaushalt'!O133,"")</f>
        <v>Charriage présumé faiblement perturbé / Geschiebe vermutlich leicht beeinträchtigt</v>
      </c>
      <c r="D245" t="str">
        <f>IF('[1]Revitalisation-Revitalisierung'!L133="a",'[1]Revitalisation-Revitalisierung'!K133,"")</f>
        <v>Non nécessaire / nicht nötig</v>
      </c>
      <c r="E245" t="str">
        <f>IF('[1]Revitalisation-Revitalisierung'!L133="b",'[1]Revitalisation-Revitalisierung'!K133,"")</f>
        <v/>
      </c>
    </row>
    <row r="246" spans="2:5" x14ac:dyDescent="0.25">
      <c r="B246" t="str">
        <f>IF('[1]Charriage - Geschiebehaushalt'!P134="a",'[1]Charriage - Geschiebehaushalt'!O134,"")</f>
        <v/>
      </c>
      <c r="C246" t="str">
        <f>IF('[1]Charriage - Geschiebehaushalt'!P134="b",'[1]Charriage - Geschiebehaushalt'!O134,"")</f>
        <v>La remobilisation des sédiments est perturbée / Mobilisierung von Geschiebe beeinträchtigt</v>
      </c>
      <c r="D246" t="str">
        <f>IF('[1]Revitalisation-Revitalisierung'!L134="a",'[1]Revitalisation-Revitalisierung'!K134,"")</f>
        <v>Très nécessaire, difficile / unbedingt nötig, schwierig</v>
      </c>
      <c r="E246" t="str">
        <f>IF('[1]Revitalisation-Revitalisierung'!L134="b",'[1]Revitalisation-Revitalisierung'!K134,"")</f>
        <v/>
      </c>
    </row>
    <row r="247" spans="2:5" x14ac:dyDescent="0.25">
      <c r="B247" t="str">
        <f>IF('[1]Charriage - Geschiebehaushalt'!P135="a",'[1]Charriage - Geschiebehaushalt'!O135,"")</f>
        <v/>
      </c>
      <c r="C247" t="str">
        <f>IF('[1]Charriage - Geschiebehaushalt'!P135="b",'[1]Charriage - Geschiebehaushalt'!O135,"")</f>
        <v>Charriage présumé perturbé / Geschiebehaushalt vermutlich beeinträchtigt</v>
      </c>
      <c r="D247" t="str">
        <f>IF('[1]Revitalisation-Revitalisierung'!L135="a",'[1]Revitalisation-Revitalisierung'!K135,"")</f>
        <v>Très nécessaire, facile / unbedingt nötig, einfach</v>
      </c>
      <c r="E247" t="str">
        <f>IF('[1]Revitalisation-Revitalisierung'!L135="b",'[1]Revitalisation-Revitalisierung'!K135,"")</f>
        <v/>
      </c>
    </row>
    <row r="248" spans="2:5" x14ac:dyDescent="0.25">
      <c r="B248" t="str">
        <f>IF('[1]Charriage - Geschiebehaushalt'!P136="a",'[1]Charriage - Geschiebehaushalt'!O136,"")</f>
        <v/>
      </c>
      <c r="C248" t="str">
        <f>IF('[1]Charriage - Geschiebehaushalt'!P136="b",'[1]Charriage - Geschiebehaushalt'!O136,"")</f>
        <v>Charriage présumé perturbé / Geschiebehaushalt vermutlich beeinträchtigt</v>
      </c>
      <c r="D248" t="str">
        <f>IF('[1]Revitalisation-Revitalisierung'!L136="a",'[1]Revitalisation-Revitalisierung'!K136,"")</f>
        <v>Très nécessaire, facile / unbedingt nötig, einfach</v>
      </c>
      <c r="E248" t="str">
        <f>IF('[1]Revitalisation-Revitalisierung'!L136="b",'[1]Revitalisation-Revitalisierung'!K136,"")</f>
        <v/>
      </c>
    </row>
    <row r="249" spans="2:5" x14ac:dyDescent="0.25">
      <c r="B249" t="str">
        <f>IF('[1]Charriage - Geschiebehaushalt'!P137="a",'[1]Charriage - Geschiebehaushalt'!O137,"")</f>
        <v/>
      </c>
      <c r="C249" t="str">
        <f>IF('[1]Charriage - Geschiebehaushalt'!P137="b",'[1]Charriage - Geschiebehaushalt'!O137,"")</f>
        <v>Charriage présumé perturbé / Geschiebehaushalt vermutlich beeinträchtigt</v>
      </c>
      <c r="D249" t="str">
        <f>IF('[1]Revitalisation-Revitalisierung'!L137="a",'[1]Revitalisation-Revitalisierung'!K137,"")</f>
        <v>Non nécessaire / nicht nötig</v>
      </c>
      <c r="E249" t="str">
        <f>IF('[1]Revitalisation-Revitalisierung'!L137="b",'[1]Revitalisation-Revitalisierung'!K137,"")</f>
        <v/>
      </c>
    </row>
    <row r="250" spans="2:5" x14ac:dyDescent="0.25">
      <c r="B250" t="str">
        <f>IF('[1]Charriage - Geschiebehaushalt'!P138="a",'[1]Charriage - Geschiebehaushalt'!O138,"")</f>
        <v/>
      </c>
      <c r="C250" t="str">
        <f>IF('[1]Charriage - Geschiebehaushalt'!P138="b",'[1]Charriage - Geschiebehaushalt'!O138,"")</f>
        <v>Charriage présumé perturbé / Geschiebehaushalt vermutlich beeinträchtigt</v>
      </c>
      <c r="D250" t="str">
        <f>IF('[1]Revitalisation-Revitalisierung'!L138="a",'[1]Revitalisation-Revitalisierung'!K138,"")</f>
        <v/>
      </c>
      <c r="E250" t="str">
        <f>IF('[1]Revitalisation-Revitalisierung'!L138="b",'[1]Revitalisation-Revitalisierung'!K138,"")</f>
        <v>Très nécessaire, facile / unbedingt nötig, einfach</v>
      </c>
    </row>
    <row r="251" spans="2:5" x14ac:dyDescent="0.25">
      <c r="B251" t="str">
        <f>IF('[1]Charriage - Geschiebehaushalt'!P139="a",'[1]Charriage - Geschiebehaushalt'!O139,"")</f>
        <v/>
      </c>
      <c r="C251" t="str">
        <f>IF('[1]Charriage - Geschiebehaushalt'!P139="b",'[1]Charriage - Geschiebehaushalt'!O139,"")</f>
        <v>Charriage présumé perturbé / Geschiebehaushalt vermutlich beeinträchtigt</v>
      </c>
      <c r="D251" t="str">
        <f>IF('[1]Revitalisation-Revitalisierung'!L139="a",'[1]Revitalisation-Revitalisierung'!K139,"")</f>
        <v/>
      </c>
      <c r="E251" t="str">
        <f>IF('[1]Revitalisation-Revitalisierung'!L139="b",'[1]Revitalisation-Revitalisierung'!K139,"")</f>
        <v>Très nécessaire, facile / unbedingt nötig, einfach</v>
      </c>
    </row>
    <row r="252" spans="2:5" x14ac:dyDescent="0.25">
      <c r="B252" t="str">
        <f>IF('[1]Charriage - Geschiebehaushalt'!P140="a",'[1]Charriage - Geschiebehaushalt'!O140,"")</f>
        <v/>
      </c>
      <c r="C252" t="str">
        <f>IF('[1]Charriage - Geschiebehaushalt'!P140="b",'[1]Charriage - Geschiebehaushalt'!O140,"")</f>
        <v>Charriage présumé perturbé / Geschiebehaushalt vermutlich beeinträchtigt</v>
      </c>
      <c r="D252" t="str">
        <f>IF('[1]Revitalisation-Revitalisierung'!L140="a",'[1]Revitalisation-Revitalisierung'!K140,"")</f>
        <v>Partiellement nécessaire, difficile / teilweise nötig, schwierig</v>
      </c>
      <c r="E252" t="str">
        <f>IF('[1]Revitalisation-Revitalisierung'!L140="b",'[1]Revitalisation-Revitalisierung'!K140,"")</f>
        <v/>
      </c>
    </row>
    <row r="253" spans="2:5" x14ac:dyDescent="0.25">
      <c r="B253" t="str">
        <f>IF('[1]Charriage - Geschiebehaushalt'!P141="a",'[1]Charriage - Geschiebehaushalt'!O141,"")</f>
        <v/>
      </c>
      <c r="C253" t="str">
        <f>IF('[1]Charriage - Geschiebehaushalt'!P141="b",'[1]Charriage - Geschiebehaushalt'!O141,"")</f>
        <v>Charriage présumé perturbé / Geschiebehaushalt vermutlich beeinträchtigt</v>
      </c>
      <c r="D253" t="str">
        <f>IF('[1]Revitalisation-Revitalisierung'!L141="a",'[1]Revitalisation-Revitalisierung'!K141,"")</f>
        <v>Partiellement nécessaire, facile / teilweise nötig, einfach</v>
      </c>
      <c r="E253" t="str">
        <f>IF('[1]Revitalisation-Revitalisierung'!L141="b",'[1]Revitalisation-Revitalisierung'!K141,"")</f>
        <v/>
      </c>
    </row>
    <row r="254" spans="2:5" x14ac:dyDescent="0.25">
      <c r="B254" t="str">
        <f>IF('[1]Charriage - Geschiebehaushalt'!P142="a",'[1]Charriage - Geschiebehaushalt'!O142,"")</f>
        <v/>
      </c>
      <c r="C254" t="str">
        <f>IF('[1]Charriage - Geschiebehaushalt'!P142="b",'[1]Charriage - Geschiebehaushalt'!O142,"")</f>
        <v>Charriage présumé naturel / Geschiebehaushalt vermutlich natürlich</v>
      </c>
      <c r="D254" t="str">
        <f>IF('[1]Revitalisation-Revitalisierung'!L142="a",'[1]Revitalisation-Revitalisierung'!K142,"")</f>
        <v/>
      </c>
      <c r="E254" t="str">
        <f>IF('[1]Revitalisation-Revitalisierung'!L142="b",'[1]Revitalisation-Revitalisierung'!K142,"")</f>
        <v>Non nécessaire / nicht nötig</v>
      </c>
    </row>
    <row r="255" spans="2:5" x14ac:dyDescent="0.25">
      <c r="B255" t="str">
        <f>IF('[1]Charriage - Geschiebehaushalt'!P143="a",'[1]Charriage - Geschiebehaushalt'!O143,"")</f>
        <v/>
      </c>
      <c r="C255" t="str">
        <f>IF('[1]Charriage - Geschiebehaushalt'!P143="b",'[1]Charriage - Geschiebehaushalt'!O143,"")</f>
        <v>Déficit non apparent en charriage ou en remobilisation des sédiments / kein sichtbares Defizit beim Geschiebehaushalt bzw. bei der Mobilisierung von Geschiebe</v>
      </c>
      <c r="D255" t="str">
        <f>IF('[1]Revitalisation-Revitalisierung'!L143="a",'[1]Revitalisation-Revitalisierung'!K143,"")</f>
        <v>Non nécessaire / nicht nötig</v>
      </c>
      <c r="E255" t="str">
        <f>IF('[1]Revitalisation-Revitalisierung'!L143="b",'[1]Revitalisation-Revitalisierung'!K143,"")</f>
        <v/>
      </c>
    </row>
    <row r="256" spans="2:5" x14ac:dyDescent="0.25">
      <c r="B256" t="str">
        <f>IF('[1]Charriage - Geschiebehaushalt'!P144="a",'[1]Charriage - Geschiebehaushalt'!O144,"")</f>
        <v/>
      </c>
      <c r="C256" t="str">
        <f>IF('[1]Charriage - Geschiebehaushalt'!P144="b",'[1]Charriage - Geschiebehaushalt'!O144,"")</f>
        <v>Charriage présumé perturbé / Geschiebehaushalt vermutlich beeinträchtigt</v>
      </c>
      <c r="D256" t="str">
        <f>IF('[1]Revitalisation-Revitalisierung'!L144="a",'[1]Revitalisation-Revitalisierung'!K144,"")</f>
        <v>Non nécessaire / nicht nötig</v>
      </c>
      <c r="E256" t="str">
        <f>IF('[1]Revitalisation-Revitalisierung'!L144="b",'[1]Revitalisation-Revitalisierung'!K144,"")</f>
        <v/>
      </c>
    </row>
    <row r="257" spans="2:5" x14ac:dyDescent="0.25">
      <c r="B257" t="str">
        <f>IF('[1]Charriage - Geschiebehaushalt'!P145="a",'[1]Charriage - Geschiebehaushalt'!O145,"")</f>
        <v/>
      </c>
      <c r="C257" t="str">
        <f>IF('[1]Charriage - Geschiebehaushalt'!P145="b",'[1]Charriage - Geschiebehaushalt'!O145,"")</f>
        <v>Charriage présumé faiblement perturbé / Geschiebe vermutlich leicht beeinträchtigt</v>
      </c>
      <c r="D257" t="str">
        <f>IF('[1]Revitalisation-Revitalisierung'!L145="a",'[1]Revitalisation-Revitalisierung'!K145,"")</f>
        <v>Non nécessaire / nicht nötig</v>
      </c>
      <c r="E257" t="str">
        <f>IF('[1]Revitalisation-Revitalisierung'!L145="b",'[1]Revitalisation-Revitalisierung'!K145,"")</f>
        <v/>
      </c>
    </row>
    <row r="258" spans="2:5" x14ac:dyDescent="0.25">
      <c r="B258" t="str">
        <f>IF('[1]Charriage - Geschiebehaushalt'!P146="a",'[1]Charriage - Geschiebehaushalt'!O146,"")</f>
        <v/>
      </c>
      <c r="C258" t="str">
        <f>IF('[1]Charriage - Geschiebehaushalt'!P146="b",'[1]Charriage - Geschiebehaushalt'!O146,"")</f>
        <v>Charriage présumé faiblement perturbé / Geschiebe vermutlich leicht beeinträchtigt</v>
      </c>
      <c r="D258" t="str">
        <f>IF('[1]Revitalisation-Revitalisierung'!L146="a",'[1]Revitalisation-Revitalisierung'!K146,"")</f>
        <v>Non nécessaire / nicht nötig</v>
      </c>
      <c r="E258" t="str">
        <f>IF('[1]Revitalisation-Revitalisierung'!L146="b",'[1]Revitalisation-Revitalisierung'!K146,"")</f>
        <v/>
      </c>
    </row>
    <row r="259" spans="2:5" x14ac:dyDescent="0.25">
      <c r="B259" t="str">
        <f>IF('[1]Charriage - Geschiebehaushalt'!P147="a",'[1]Charriage - Geschiebehaushalt'!O147,"")</f>
        <v/>
      </c>
      <c r="C259" t="str">
        <f>IF('[1]Charriage - Geschiebehaushalt'!P147="b",'[1]Charriage - Geschiebehaushalt'!O147,"")</f>
        <v>Charriage présumé perturbé / Geschiebehaushalt vermutlich beeinträchtigt</v>
      </c>
      <c r="D259" t="str">
        <f>IF('[1]Revitalisation-Revitalisierung'!L147="a",'[1]Revitalisation-Revitalisierung'!K147,"")</f>
        <v>Partiellement nécessaire, facile / teilweise nötig, einfach</v>
      </c>
      <c r="E259" t="str">
        <f>IF('[1]Revitalisation-Revitalisierung'!L147="b",'[1]Revitalisation-Revitalisierung'!K147,"")</f>
        <v/>
      </c>
    </row>
    <row r="260" spans="2:5" x14ac:dyDescent="0.25">
      <c r="B260" t="str">
        <f>IF('[1]Charriage - Geschiebehaushalt'!P148="a",'[1]Charriage - Geschiebehaushalt'!O148,"")</f>
        <v>0-20%</v>
      </c>
      <c r="C260" t="str">
        <f>IF('[1]Charriage - Geschiebehaushalt'!P148="b",'[1]Charriage - Geschiebehaushalt'!O148,"")</f>
        <v/>
      </c>
      <c r="D260" t="str">
        <f>IF('[1]Revitalisation-Revitalisierung'!L148="a",'[1]Revitalisation-Revitalisierung'!K148,"")</f>
        <v/>
      </c>
      <c r="E260" t="str">
        <f>IF('[1]Revitalisation-Revitalisierung'!L148="b",'[1]Revitalisation-Revitalisierung'!K148,"")</f>
        <v>Non nécessaire / nicht nötig</v>
      </c>
    </row>
    <row r="261" spans="2:5" x14ac:dyDescent="0.25">
      <c r="B261" t="str">
        <f>IF('[1]Charriage - Geschiebehaushalt'!P149="a",'[1]Charriage - Geschiebehaushalt'!O149,"")</f>
        <v>0-20%</v>
      </c>
      <c r="C261" t="str">
        <f>IF('[1]Charriage - Geschiebehaushalt'!P149="b",'[1]Charriage - Geschiebehaushalt'!O149,"")</f>
        <v/>
      </c>
      <c r="D261" t="str">
        <f>IF('[1]Revitalisation-Revitalisierung'!L149="a",'[1]Revitalisation-Revitalisierung'!K149,"")</f>
        <v/>
      </c>
      <c r="E261" t="str">
        <f>IF('[1]Revitalisation-Revitalisierung'!L149="b",'[1]Revitalisation-Revitalisierung'!K149,"")</f>
        <v>Très nécessaire, facile / unbedingt nötig, einfach</v>
      </c>
    </row>
    <row r="262" spans="2:5" x14ac:dyDescent="0.25">
      <c r="B262" t="str">
        <f>IF('[1]Charriage - Geschiebehaushalt'!P150="a",'[1]Charriage - Geschiebehaushalt'!O150,"")</f>
        <v>51-80%</v>
      </c>
      <c r="C262" t="str">
        <f>IF('[1]Charriage - Geschiebehaushalt'!P150="b",'[1]Charriage - Geschiebehaushalt'!O150,"")</f>
        <v/>
      </c>
      <c r="D262" t="str">
        <f>IF('[1]Revitalisation-Revitalisierung'!L150="a",'[1]Revitalisation-Revitalisierung'!K150,"")</f>
        <v>Très nécessaire, facile / unbedingt nötig, einfach</v>
      </c>
      <c r="E262" t="str">
        <f>IF('[1]Revitalisation-Revitalisierung'!L150="b",'[1]Revitalisation-Revitalisierung'!K150,"")</f>
        <v/>
      </c>
    </row>
    <row r="263" spans="2:5" x14ac:dyDescent="0.25">
      <c r="B263" t="str">
        <f>IF('[1]Charriage - Geschiebehaushalt'!P151="a",'[1]Charriage - Geschiebehaushalt'!O151,"")</f>
        <v/>
      </c>
      <c r="C263" t="str">
        <f>IF('[1]Charriage - Geschiebehaushalt'!P151="b",'[1]Charriage - Geschiebehaushalt'!O151,"")</f>
        <v>La remobilisation des sédiments est perturbée / Mobilisierung von Geschiebe beeinträchtigt</v>
      </c>
      <c r="D263" t="str">
        <f>IF('[1]Revitalisation-Revitalisierung'!L151="a",'[1]Revitalisation-Revitalisierung'!K151,"")</f>
        <v>Très nécessaire, difficile / unbedingt nötig, schwierig</v>
      </c>
      <c r="E263" t="str">
        <f>IF('[1]Revitalisation-Revitalisierung'!L151="b",'[1]Revitalisation-Revitalisierung'!K151,"")</f>
        <v/>
      </c>
    </row>
    <row r="264" spans="2:5" x14ac:dyDescent="0.25">
      <c r="B264" t="str">
        <f>IF('[1]Charriage - Geschiebehaushalt'!P152="a",'[1]Charriage - Geschiebehaushalt'!O152,"")</f>
        <v>non pertinent / nicht relevant</v>
      </c>
      <c r="C264" t="str">
        <f>IF('[1]Charriage - Geschiebehaushalt'!P152="b",'[1]Charriage - Geschiebehaushalt'!O152,"")</f>
        <v/>
      </c>
      <c r="D264" t="str">
        <f>IF('[1]Revitalisation-Revitalisierung'!L152="a",'[1]Revitalisation-Revitalisierung'!K152,"")</f>
        <v>non pertinent / nicht relevant</v>
      </c>
      <c r="E264" t="str">
        <f>IF('[1]Revitalisation-Revitalisierung'!L152="b",'[1]Revitalisation-Revitalisierung'!K152,"")</f>
        <v/>
      </c>
    </row>
    <row r="265" spans="2:5" x14ac:dyDescent="0.25">
      <c r="B265" t="str">
        <f>IF('[1]Charriage - Geschiebehaushalt'!P153="a",'[1]Charriage - Geschiebehaushalt'!O153,"")</f>
        <v>non pertinent / nicht relevant</v>
      </c>
      <c r="C265" t="str">
        <f>IF('[1]Charriage - Geschiebehaushalt'!P153="b",'[1]Charriage - Geschiebehaushalt'!O153,"")</f>
        <v/>
      </c>
      <c r="D265" t="str">
        <f>IF('[1]Revitalisation-Revitalisierung'!L153="a",'[1]Revitalisation-Revitalisierung'!K153,"")</f>
        <v>non pertinent / nicht relevant</v>
      </c>
      <c r="E265" t="str">
        <f>IF('[1]Revitalisation-Revitalisierung'!L153="b",'[1]Revitalisation-Revitalisierung'!K153,"")</f>
        <v/>
      </c>
    </row>
    <row r="266" spans="2:5" x14ac:dyDescent="0.25">
      <c r="B266" t="str">
        <f>IF('[1]Charriage - Geschiebehaushalt'!P154="a",'[1]Charriage - Geschiebehaushalt'!O154,"")</f>
        <v>non pertinent / nicht relevant</v>
      </c>
      <c r="C266" t="str">
        <f>IF('[1]Charriage - Geschiebehaushalt'!P154="b",'[1]Charriage - Geschiebehaushalt'!O154,"")</f>
        <v/>
      </c>
      <c r="D266" t="str">
        <f>IF('[1]Revitalisation-Revitalisierung'!L154="a",'[1]Revitalisation-Revitalisierung'!K154,"")</f>
        <v>non pertinent / nicht relevant</v>
      </c>
      <c r="E266" t="str">
        <f>IF('[1]Revitalisation-Revitalisierung'!L154="b",'[1]Revitalisation-Revitalisierung'!K154,"")</f>
        <v/>
      </c>
    </row>
    <row r="267" spans="2:5" x14ac:dyDescent="0.25">
      <c r="B267" t="str">
        <f>IF('[1]Charriage - Geschiebehaushalt'!P155="a",'[1]Charriage - Geschiebehaushalt'!O155,"")</f>
        <v>non pertinent / nicht relevant</v>
      </c>
      <c r="C267" t="str">
        <f>IF('[1]Charriage - Geschiebehaushalt'!P155="b",'[1]Charriage - Geschiebehaushalt'!O155,"")</f>
        <v/>
      </c>
      <c r="D267" t="str">
        <f>IF('[1]Revitalisation-Revitalisierung'!L155="a",'[1]Revitalisation-Revitalisierung'!K155,"")</f>
        <v>non pertinent / nicht relevant</v>
      </c>
      <c r="E267" t="str">
        <f>IF('[1]Revitalisation-Revitalisierung'!L155="b",'[1]Revitalisation-Revitalisierung'!K155,"")</f>
        <v/>
      </c>
    </row>
    <row r="268" spans="2:5" x14ac:dyDescent="0.25">
      <c r="B268" t="str">
        <f>IF('[1]Charriage - Geschiebehaushalt'!P156="a",'[1]Charriage - Geschiebehaushalt'!O156,"")</f>
        <v>non pertinent / nicht relevant</v>
      </c>
      <c r="C268" t="str">
        <f>IF('[1]Charriage - Geschiebehaushalt'!P156="b",'[1]Charriage - Geschiebehaushalt'!O156,"")</f>
        <v/>
      </c>
      <c r="D268" t="str">
        <f>IF('[1]Revitalisation-Revitalisierung'!L156="a",'[1]Revitalisation-Revitalisierung'!K156,"")</f>
        <v>non pertinent / nicht relevant</v>
      </c>
      <c r="E268" t="str">
        <f>IF('[1]Revitalisation-Revitalisierung'!L156="b",'[1]Revitalisation-Revitalisierung'!K156,"")</f>
        <v/>
      </c>
    </row>
    <row r="269" spans="2:5" x14ac:dyDescent="0.25">
      <c r="B269" t="str">
        <f>IF('[1]Charriage - Geschiebehaushalt'!P157="a",'[1]Charriage - Geschiebehaushalt'!O157,"")</f>
        <v>non pertinent / nicht relevant</v>
      </c>
      <c r="C269" t="str">
        <f>IF('[1]Charriage - Geschiebehaushalt'!P157="b",'[1]Charriage - Geschiebehaushalt'!O157,"")</f>
        <v/>
      </c>
      <c r="D269" t="str">
        <f>IF('[1]Revitalisation-Revitalisierung'!L157="a",'[1]Revitalisation-Revitalisierung'!K157,"")</f>
        <v>non pertinent / nicht relevant</v>
      </c>
      <c r="E269" t="str">
        <f>IF('[1]Revitalisation-Revitalisierung'!L157="b",'[1]Revitalisation-Revitalisierung'!K157,"")</f>
        <v/>
      </c>
    </row>
    <row r="270" spans="2:5" x14ac:dyDescent="0.25">
      <c r="B270" t="str">
        <f>IF('[1]Charriage - Geschiebehaushalt'!P158="a",'[1]Charriage - Geschiebehaushalt'!O158,"")</f>
        <v>non pertinent / nicht relevant</v>
      </c>
      <c r="C270" t="str">
        <f>IF('[1]Charriage - Geschiebehaushalt'!P158="b",'[1]Charriage - Geschiebehaushalt'!O158,"")</f>
        <v/>
      </c>
      <c r="D270" t="str">
        <f>IF('[1]Revitalisation-Revitalisierung'!L158="a",'[1]Revitalisation-Revitalisierung'!K158,"")</f>
        <v>non pertinent / nicht relevant</v>
      </c>
      <c r="E270" t="str">
        <f>IF('[1]Revitalisation-Revitalisierung'!L158="b",'[1]Revitalisation-Revitalisierung'!K158,"")</f>
        <v/>
      </c>
    </row>
    <row r="271" spans="2:5" x14ac:dyDescent="0.25">
      <c r="B271" t="str">
        <f>IF('[1]Charriage - Geschiebehaushalt'!P159="a",'[1]Charriage - Geschiebehaushalt'!O159,"")</f>
        <v>non pertinent / nicht relevant</v>
      </c>
      <c r="C271" t="str">
        <f>IF('[1]Charriage - Geschiebehaushalt'!P159="b",'[1]Charriage - Geschiebehaushalt'!O159,"")</f>
        <v/>
      </c>
      <c r="D271" t="str">
        <f>IF('[1]Revitalisation-Revitalisierung'!L159="a",'[1]Revitalisation-Revitalisierung'!K159,"")</f>
        <v>non pertinent / nicht relevant</v>
      </c>
      <c r="E271" t="str">
        <f>IF('[1]Revitalisation-Revitalisierung'!L159="b",'[1]Revitalisation-Revitalisierung'!K159,"")</f>
        <v/>
      </c>
    </row>
    <row r="272" spans="2:5" x14ac:dyDescent="0.25">
      <c r="B272" t="str">
        <f>IF('[1]Charriage - Geschiebehaushalt'!P160="a",'[1]Charriage - Geschiebehaushalt'!O160,"")</f>
        <v>non pertinent / nicht relevant</v>
      </c>
      <c r="C272" t="str">
        <f>IF('[1]Charriage - Geschiebehaushalt'!P160="b",'[1]Charriage - Geschiebehaushalt'!O160,"")</f>
        <v/>
      </c>
      <c r="D272" t="str">
        <f>IF('[1]Revitalisation-Revitalisierung'!L160="a",'[1]Revitalisation-Revitalisierung'!K160,"")</f>
        <v>non pertinent / nicht relevant</v>
      </c>
      <c r="E272" t="str">
        <f>IF('[1]Revitalisation-Revitalisierung'!L160="b",'[1]Revitalisation-Revitalisierung'!K160,"")</f>
        <v/>
      </c>
    </row>
    <row r="273" spans="2:5" x14ac:dyDescent="0.25">
      <c r="B273" t="str">
        <f>IF('[1]Charriage - Geschiebehaushalt'!P161="a",'[1]Charriage - Geschiebehaushalt'!O161,"")</f>
        <v>non pertinent / nicht relevant</v>
      </c>
      <c r="C273" t="str">
        <f>IF('[1]Charriage - Geschiebehaushalt'!P161="b",'[1]Charriage - Geschiebehaushalt'!O161,"")</f>
        <v/>
      </c>
      <c r="D273" t="str">
        <f>IF('[1]Revitalisation-Revitalisierung'!L161="a",'[1]Revitalisation-Revitalisierung'!K161,"")</f>
        <v>non pertinent / nicht relevant</v>
      </c>
      <c r="E273" t="str">
        <f>IF('[1]Revitalisation-Revitalisierung'!L161="b",'[1]Revitalisation-Revitalisierung'!K161,"")</f>
        <v/>
      </c>
    </row>
    <row r="274" spans="2:5" x14ac:dyDescent="0.25">
      <c r="B274" t="str">
        <f>IF('[1]Charriage - Geschiebehaushalt'!P162="a",'[1]Charriage - Geschiebehaushalt'!O162,"")</f>
        <v>non pertinent / nicht relevant</v>
      </c>
      <c r="C274" t="str">
        <f>IF('[1]Charriage - Geschiebehaushalt'!P162="b",'[1]Charriage - Geschiebehaushalt'!O162,"")</f>
        <v/>
      </c>
      <c r="D274" t="str">
        <f>IF('[1]Revitalisation-Revitalisierung'!L162="a",'[1]Revitalisation-Revitalisierung'!K162,"")</f>
        <v>non pertinent / nicht relevant</v>
      </c>
      <c r="E274" t="str">
        <f>IF('[1]Revitalisation-Revitalisierung'!L162="b",'[1]Revitalisation-Revitalisierung'!K162,"")</f>
        <v/>
      </c>
    </row>
    <row r="275" spans="2:5" x14ac:dyDescent="0.25">
      <c r="B275" t="str">
        <f>IF('[1]Charriage - Geschiebehaushalt'!P163="a",'[1]Charriage - Geschiebehaushalt'!O163,"")</f>
        <v/>
      </c>
      <c r="C275" t="str">
        <f>IF('[1]Charriage - Geschiebehaushalt'!P163="b",'[1]Charriage - Geschiebehaushalt'!O163,"")</f>
        <v>Déficit non apparent en charriage ou en remobilisation des sédiments / kein sichtbares Defizit beim Geschiebehaushalt bzw. bei der Mobilisierung von Geschiebe</v>
      </c>
      <c r="D275" t="str">
        <f>IF('[1]Revitalisation-Revitalisierung'!L163="a",'[1]Revitalisation-Revitalisierung'!K163,"")</f>
        <v>Non nécessaire / nicht nötig</v>
      </c>
      <c r="E275" t="str">
        <f>IF('[1]Revitalisation-Revitalisierung'!L163="b",'[1]Revitalisation-Revitalisierung'!K163,"")</f>
        <v/>
      </c>
    </row>
    <row r="276" spans="2:5" x14ac:dyDescent="0.25">
      <c r="B276" t="str">
        <f>IF('[1]Charriage - Geschiebehaushalt'!P164="a",'[1]Charriage - Geschiebehaushalt'!O164,"")</f>
        <v/>
      </c>
      <c r="C276" t="str">
        <f>IF('[1]Charriage - Geschiebehaushalt'!P164="b",'[1]Charriage - Geschiebehaushalt'!O164,"")</f>
        <v>Charriage présumé naturel / Geschiebehaushalt vermutlich natürlich</v>
      </c>
      <c r="D276" t="str">
        <f>IF('[1]Revitalisation-Revitalisierung'!L164="a",'[1]Revitalisation-Revitalisierung'!K164,"")</f>
        <v/>
      </c>
      <c r="E276" t="str">
        <f>IF('[1]Revitalisation-Revitalisierung'!L164="b",'[1]Revitalisation-Revitalisierung'!K164,"")</f>
        <v>Non nécessaire / nicht nötig</v>
      </c>
    </row>
    <row r="277" spans="2:5" x14ac:dyDescent="0.25">
      <c r="B277" t="str">
        <f>IF('[1]Charriage - Geschiebehaushalt'!P165="a",'[1]Charriage - Geschiebehaushalt'!O165,"")</f>
        <v/>
      </c>
      <c r="C277" t="str">
        <f>IF('[1]Charriage - Geschiebehaushalt'!P165="b",'[1]Charriage - Geschiebehaushalt'!O165,"")</f>
        <v>Charriage présumé naturel / Geschiebehaushalt vermutlich natürlich</v>
      </c>
      <c r="D277" t="str">
        <f>IF('[1]Revitalisation-Revitalisierung'!L165="a",'[1]Revitalisation-Revitalisierung'!K165,"")</f>
        <v>Non nécessaire / nicht nötig</v>
      </c>
      <c r="E277" t="str">
        <f>IF('[1]Revitalisation-Revitalisierung'!L165="b",'[1]Revitalisation-Revitalisierung'!K165,"")</f>
        <v/>
      </c>
    </row>
    <row r="278" spans="2:5" x14ac:dyDescent="0.25">
      <c r="B278" t="str">
        <f>IF('[1]Charriage - Geschiebehaushalt'!P166="a",'[1]Charriage - Geschiebehaushalt'!O166,"")</f>
        <v>81 -100%</v>
      </c>
      <c r="C278" t="str">
        <f>IF('[1]Charriage - Geschiebehaushalt'!P166="b",'[1]Charriage - Geschiebehaushalt'!O166,"")</f>
        <v/>
      </c>
      <c r="D278" t="str">
        <f>IF('[1]Revitalisation-Revitalisierung'!L166="a",'[1]Revitalisation-Revitalisierung'!K166,"")</f>
        <v/>
      </c>
      <c r="E278" t="str">
        <f>IF('[1]Revitalisation-Revitalisierung'!L166="b",'[1]Revitalisation-Revitalisierung'!K166,"")</f>
        <v>Très nécessaire, facile / unbedingt nötig, einfach</v>
      </c>
    </row>
    <row r="279" spans="2:5" x14ac:dyDescent="0.25">
      <c r="B279" t="str">
        <f>IF('[1]Charriage - Geschiebehaushalt'!P167="a",'[1]Charriage - Geschiebehaushalt'!O167,"")</f>
        <v>non pertinent / nicht relevant</v>
      </c>
      <c r="C279" t="str">
        <f>IF('[1]Charriage - Geschiebehaushalt'!P167="b",'[1]Charriage - Geschiebehaushalt'!O167,"")</f>
        <v/>
      </c>
      <c r="D279" t="str">
        <f>IF('[1]Revitalisation-Revitalisierung'!L167="a",'[1]Revitalisation-Revitalisierung'!K167,"")</f>
        <v/>
      </c>
      <c r="E279" t="str">
        <f>IF('[1]Revitalisation-Revitalisierung'!L167="b",'[1]Revitalisation-Revitalisierung'!K167,"")</f>
        <v>Non nécessaire / nicht nötig</v>
      </c>
    </row>
    <row r="280" spans="2:5" x14ac:dyDescent="0.25">
      <c r="B280" t="str">
        <f>IF('[1]Charriage - Geschiebehaushalt'!P168="a",'[1]Charriage - Geschiebehaushalt'!O168,"")</f>
        <v>81 -100%</v>
      </c>
      <c r="C280" t="str">
        <f>IF('[1]Charriage - Geschiebehaushalt'!P168="b",'[1]Charriage - Geschiebehaushalt'!O168,"")</f>
        <v/>
      </c>
      <c r="D280" t="str">
        <f>IF('[1]Revitalisation-Revitalisierung'!L168="a",'[1]Revitalisation-Revitalisierung'!K168,"")</f>
        <v>Très nécessaire, facile / unbedingt nötig, einfach</v>
      </c>
      <c r="E280" t="str">
        <f>IF('[1]Revitalisation-Revitalisierung'!L168="b",'[1]Revitalisation-Revitalisierung'!K168,"")</f>
        <v/>
      </c>
    </row>
    <row r="281" spans="2:5" x14ac:dyDescent="0.25">
      <c r="B281" t="str">
        <f>IF('[1]Charriage - Geschiebehaushalt'!P169="a",'[1]Charriage - Geschiebehaushalt'!O169,"")</f>
        <v/>
      </c>
      <c r="C281" t="str">
        <f>IF('[1]Charriage - Geschiebehaushalt'!P169="b",'[1]Charriage - Geschiebehaushalt'!O169,"")</f>
        <v>Charriage présumé perturbé / Geschiebehaushalt vermutlich beeinträchtigt</v>
      </c>
      <c r="D281" t="str">
        <f>IF('[1]Revitalisation-Revitalisierung'!L169="a",'[1]Revitalisation-Revitalisierung'!K169,"")</f>
        <v/>
      </c>
      <c r="E281" t="str">
        <f>IF('[1]Revitalisation-Revitalisierung'!L169="b",'[1]Revitalisation-Revitalisierung'!K169,"")</f>
        <v>Très nécessaire, difficile / unbedingt nötig, schwierig</v>
      </c>
    </row>
    <row r="282" spans="2:5" x14ac:dyDescent="0.25">
      <c r="B282" t="str">
        <f>IF('[1]Charriage - Geschiebehaushalt'!P170="a",'[1]Charriage - Geschiebehaushalt'!O170,"")</f>
        <v>non pertinent / nicht relevant</v>
      </c>
      <c r="C282" t="str">
        <f>IF('[1]Charriage - Geschiebehaushalt'!P170="b",'[1]Charriage - Geschiebehaushalt'!O170,"")</f>
        <v/>
      </c>
      <c r="D282" t="str">
        <f>IF('[1]Revitalisation-Revitalisierung'!L170="a",'[1]Revitalisation-Revitalisierung'!K170,"")</f>
        <v>non pertinent / nicht relevant</v>
      </c>
      <c r="E282" t="str">
        <f>IF('[1]Revitalisation-Revitalisierung'!L170="b",'[1]Revitalisation-Revitalisierung'!K170,"")</f>
        <v/>
      </c>
    </row>
    <row r="283" spans="2:5" x14ac:dyDescent="0.25">
      <c r="B283" t="str">
        <f>IF('[1]Charriage - Geschiebehaushalt'!P171="a",'[1]Charriage - Geschiebehaushalt'!O171,"")</f>
        <v>81 -100%</v>
      </c>
      <c r="C283" t="str">
        <f>IF('[1]Charriage - Geschiebehaushalt'!P171="b",'[1]Charriage - Geschiebehaushalt'!O171,"")</f>
        <v/>
      </c>
      <c r="D283" t="str">
        <f>IF('[1]Revitalisation-Revitalisierung'!L171="a",'[1]Revitalisation-Revitalisierung'!K171,"")</f>
        <v>Non nécessaire / nicht nötig</v>
      </c>
      <c r="E283" t="str">
        <f>IF('[1]Revitalisation-Revitalisierung'!L171="b",'[1]Revitalisation-Revitalisierung'!K171,"")</f>
        <v/>
      </c>
    </row>
    <row r="284" spans="2:5" x14ac:dyDescent="0.25">
      <c r="B284" t="str">
        <f>IF('[1]Charriage - Geschiebehaushalt'!P172="a",'[1]Charriage - Geschiebehaushalt'!O172,"")</f>
        <v>non pertinent / nicht relevant</v>
      </c>
      <c r="C284" t="str">
        <f>IF('[1]Charriage - Geschiebehaushalt'!P172="b",'[1]Charriage - Geschiebehaushalt'!O172,"")</f>
        <v/>
      </c>
      <c r="D284" t="str">
        <f>IF('[1]Revitalisation-Revitalisierung'!L172="a",'[1]Revitalisation-Revitalisierung'!K172,"")</f>
        <v>non pertinent / nicht relevant</v>
      </c>
      <c r="E284" t="str">
        <f>IF('[1]Revitalisation-Revitalisierung'!L172="b",'[1]Revitalisation-Revitalisierung'!K172,"")</f>
        <v/>
      </c>
    </row>
    <row r="285" spans="2:5" x14ac:dyDescent="0.25">
      <c r="B285" t="str">
        <f>IF('[1]Charriage - Geschiebehaushalt'!P173="a",'[1]Charriage - Geschiebehaushalt'!O173,"")</f>
        <v/>
      </c>
      <c r="C285" t="str">
        <f>IF('[1]Charriage - Geschiebehaushalt'!P173="b",'[1]Charriage - Geschiebehaushalt'!O173,"")</f>
        <v>La remobilisation des sédiments est perturbée / Mobilisierung von Geschiebe beeinträchtigt</v>
      </c>
      <c r="D285" t="str">
        <f>IF('[1]Revitalisation-Revitalisierung'!L173="a",'[1]Revitalisation-Revitalisierung'!K173,"")</f>
        <v>Très nécessaire, facile / unbedingt nötig, einfach</v>
      </c>
      <c r="E285" t="str">
        <f>IF('[1]Revitalisation-Revitalisierung'!L173="b",'[1]Revitalisation-Revitalisierung'!K173,"")</f>
        <v/>
      </c>
    </row>
    <row r="286" spans="2:5" x14ac:dyDescent="0.25">
      <c r="B286" t="str">
        <f>IF('[1]Charriage - Geschiebehaushalt'!P174="a",'[1]Charriage - Geschiebehaushalt'!O174,"")</f>
        <v/>
      </c>
      <c r="C286" t="str">
        <f>IF('[1]Charriage - Geschiebehaushalt'!P174="b",'[1]Charriage - Geschiebehaushalt'!O174,"")</f>
        <v>La remobilisation des sédiments est perturbée / Mobilisierung von Geschiebe beeinträchtigt</v>
      </c>
      <c r="D286" t="str">
        <f>IF('[1]Revitalisation-Revitalisierung'!L174="a",'[1]Revitalisation-Revitalisierung'!K174,"")</f>
        <v/>
      </c>
      <c r="E286" t="str">
        <f>IF('[1]Revitalisation-Revitalisierung'!L174="b",'[1]Revitalisation-Revitalisierung'!K174,"")</f>
        <v>Très nécessaire, facile / unbedingt nötig, einfach</v>
      </c>
    </row>
    <row r="287" spans="2:5" x14ac:dyDescent="0.25">
      <c r="B287" t="str">
        <f>IF('[1]Charriage - Geschiebehaushalt'!P175="a",'[1]Charriage - Geschiebehaushalt'!O175,"")</f>
        <v>Charriage présumé naturel / Geschiebehaushalt vermutlich natürlich</v>
      </c>
      <c r="C287" t="str">
        <f>IF('[1]Charriage - Geschiebehaushalt'!P175="b",'[1]Charriage - Geschiebehaushalt'!O175,"")</f>
        <v/>
      </c>
      <c r="D287" t="str">
        <f>IF('[1]Revitalisation-Revitalisierung'!L175="a",'[1]Revitalisation-Revitalisierung'!K175,"")</f>
        <v/>
      </c>
      <c r="E287" t="str">
        <f>IF('[1]Revitalisation-Revitalisierung'!L175="b",'[1]Revitalisation-Revitalisierung'!K175,"")</f>
        <v>Très nécessaire, facile / unbedingt nötig, einfach</v>
      </c>
    </row>
    <row r="288" spans="2:5" x14ac:dyDescent="0.25">
      <c r="B288" t="str">
        <f>IF('[1]Charriage - Geschiebehaushalt'!P176="a",'[1]Charriage - Geschiebehaushalt'!O176,"")</f>
        <v/>
      </c>
      <c r="C288" t="str">
        <f>IF('[1]Charriage - Geschiebehaushalt'!P176="b",'[1]Charriage - Geschiebehaushalt'!O176,"")</f>
        <v>Charriage présumé perturbé / Geschiebehaushalt vermutlich beeinträchtigt</v>
      </c>
      <c r="D288" t="str">
        <f>IF('[1]Revitalisation-Revitalisierung'!L176="a",'[1]Revitalisation-Revitalisierung'!K176,"")</f>
        <v>Non nécessaire / nicht nötig</v>
      </c>
      <c r="E288" t="str">
        <f>IF('[1]Revitalisation-Revitalisierung'!L176="b",'[1]Revitalisation-Revitalisierung'!K176,"")</f>
        <v/>
      </c>
    </row>
    <row r="289" spans="2:5" x14ac:dyDescent="0.25">
      <c r="B289" t="str">
        <f>IF('[1]Charriage - Geschiebehaushalt'!P177="a",'[1]Charriage - Geschiebehaushalt'!O177,"")</f>
        <v/>
      </c>
      <c r="C289" t="str">
        <f>IF('[1]Charriage - Geschiebehaushalt'!P177="b",'[1]Charriage - Geschiebehaushalt'!O177,"")</f>
        <v>Déficit non apparent en charriage ou en remobilisation des sédiments / kein sichtbares Defizit beim Geschiebehaushalt bzw. bei der Mobilisierung von Geschiebe</v>
      </c>
      <c r="D289" t="str">
        <f>IF('[1]Revitalisation-Revitalisierung'!L177="a",'[1]Revitalisation-Revitalisierung'!K177,"")</f>
        <v/>
      </c>
      <c r="E289" t="str">
        <f>IF('[1]Revitalisation-Revitalisierung'!L177="b",'[1]Revitalisation-Revitalisierung'!K177,"")</f>
        <v>Très nécessaire, facile / unbedingt nötig, einfach</v>
      </c>
    </row>
    <row r="290" spans="2:5" x14ac:dyDescent="0.25">
      <c r="B290" t="str">
        <f>IF('[1]Charriage - Geschiebehaushalt'!P178="a",'[1]Charriage - Geschiebehaushalt'!O178,"")</f>
        <v/>
      </c>
      <c r="C290" t="str">
        <f>IF('[1]Charriage - Geschiebehaushalt'!P178="b",'[1]Charriage - Geschiebehaushalt'!O178,"")</f>
        <v>Charriage présumé naturel / Geschiebehaushalt vermutlich natürlich</v>
      </c>
      <c r="D290" t="str">
        <f>IF('[1]Revitalisation-Revitalisierung'!L178="a",'[1]Revitalisation-Revitalisierung'!K178,"")</f>
        <v>Non nécessaire / nicht nötig</v>
      </c>
      <c r="E290" t="str">
        <f>IF('[1]Revitalisation-Revitalisierung'!L178="b",'[1]Revitalisation-Revitalisierung'!K178,"")</f>
        <v/>
      </c>
    </row>
    <row r="291" spans="2:5" x14ac:dyDescent="0.25">
      <c r="B291" t="str">
        <f>IF('[1]Charriage - Geschiebehaushalt'!P179="a",'[1]Charriage - Geschiebehaushalt'!O179,"")</f>
        <v/>
      </c>
      <c r="C291" t="str">
        <f>IF('[1]Charriage - Geschiebehaushalt'!P179="b",'[1]Charriage - Geschiebehaushalt'!O179,"")</f>
        <v>Charriage présumé naturel / Geschiebehaushalt vermutlich natürlich</v>
      </c>
      <c r="D291" t="str">
        <f>IF('[1]Revitalisation-Revitalisierung'!L179="a",'[1]Revitalisation-Revitalisierung'!K179,"")</f>
        <v>Non nécessaire / nicht nötig</v>
      </c>
      <c r="E291" t="str">
        <f>IF('[1]Revitalisation-Revitalisierung'!L179="b",'[1]Revitalisation-Revitalisierung'!K179,"")</f>
        <v/>
      </c>
    </row>
    <row r="292" spans="2:5" x14ac:dyDescent="0.25">
      <c r="B292" t="str">
        <f>IF('[1]Charriage - Geschiebehaushalt'!P180="a",'[1]Charriage - Geschiebehaushalt'!O180,"")</f>
        <v/>
      </c>
      <c r="C292" t="str">
        <f>IF('[1]Charriage - Geschiebehaushalt'!P180="b",'[1]Charriage - Geschiebehaushalt'!O180,"")</f>
        <v>Charriage présumé naturel / Geschiebehaushalt vermutlich natürlich</v>
      </c>
      <c r="D292" t="str">
        <f>IF('[1]Revitalisation-Revitalisierung'!L180="a",'[1]Revitalisation-Revitalisierung'!K180,"")</f>
        <v>Partiellement nécessaire, facile / teilweise nötig, einfach</v>
      </c>
      <c r="E292" t="str">
        <f>IF('[1]Revitalisation-Revitalisierung'!L180="b",'[1]Revitalisation-Revitalisierung'!K180,"")</f>
        <v/>
      </c>
    </row>
    <row r="293" spans="2:5" x14ac:dyDescent="0.25">
      <c r="B293" t="str">
        <f>IF('[1]Charriage - Geschiebehaushalt'!P181="a",'[1]Charriage - Geschiebehaushalt'!O181,"")</f>
        <v>Charriage présumé naturel / Geschiebehaushalt vermutlich natürlich</v>
      </c>
      <c r="C293" t="str">
        <f>IF('[1]Charriage - Geschiebehaushalt'!P181="b",'[1]Charriage - Geschiebehaushalt'!O181,"")</f>
        <v/>
      </c>
      <c r="D293" t="str">
        <f>IF('[1]Revitalisation-Revitalisierung'!L181="a",'[1]Revitalisation-Revitalisierung'!K181,"")</f>
        <v/>
      </c>
      <c r="E293" t="str">
        <f>IF('[1]Revitalisation-Revitalisierung'!L181="b",'[1]Revitalisation-Revitalisierung'!K181,"")</f>
        <v>Très nécessaire, facile / unbedingt nötig, einfach</v>
      </c>
    </row>
    <row r="294" spans="2:5" x14ac:dyDescent="0.25">
      <c r="B294" t="str">
        <f>IF('[1]Charriage - Geschiebehaushalt'!P182="a",'[1]Charriage - Geschiebehaushalt'!O182,"")</f>
        <v/>
      </c>
      <c r="C294" t="str">
        <f>IF('[1]Charriage - Geschiebehaushalt'!P182="b",'[1]Charriage - Geschiebehaushalt'!O182,"")</f>
        <v>Déficit non apparent en charriage ou en remobilisation des sédiments / kein sichtbares Defizit beim Geschiebehaushalt bzw. bei der Mobilisierung von Geschiebe</v>
      </c>
      <c r="D294" t="str">
        <f>IF('[1]Revitalisation-Revitalisierung'!L182="a",'[1]Revitalisation-Revitalisierung'!K182,"")</f>
        <v>Très nécessaire, facile / unbedingt nötig, einfach</v>
      </c>
      <c r="E294" t="str">
        <f>IF('[1]Revitalisation-Revitalisierung'!L182="b",'[1]Revitalisation-Revitalisierung'!K182,"")</f>
        <v/>
      </c>
    </row>
    <row r="295" spans="2:5" x14ac:dyDescent="0.25">
      <c r="B295" t="str">
        <f>IF('[1]Charriage - Geschiebehaushalt'!P183="a",'[1]Charriage - Geschiebehaushalt'!O183,"")</f>
        <v/>
      </c>
      <c r="C295" t="str">
        <f>IF('[1]Charriage - Geschiebehaushalt'!P183="b",'[1]Charriage - Geschiebehaushalt'!O183,"")</f>
        <v>Charriage présumé naturel / Geschiebehaushalt vermutlich natürlich</v>
      </c>
      <c r="D295" t="str">
        <f>IF('[1]Revitalisation-Revitalisierung'!L183="a",'[1]Revitalisation-Revitalisierung'!K183,"")</f>
        <v/>
      </c>
      <c r="E295" t="str">
        <f>IF('[1]Revitalisation-Revitalisierung'!L183="b",'[1]Revitalisation-Revitalisierung'!K183,"")</f>
        <v>Non nécessaire / nicht nötig</v>
      </c>
    </row>
    <row r="296" spans="2:5" x14ac:dyDescent="0.25">
      <c r="B296" t="str">
        <f>IF('[1]Charriage - Geschiebehaushalt'!P184="a",'[1]Charriage - Geschiebehaushalt'!O184,"")</f>
        <v>non pertinent / nicht relevant</v>
      </c>
      <c r="C296" t="str">
        <f>IF('[1]Charriage - Geschiebehaushalt'!P184="b",'[1]Charriage - Geschiebehaushalt'!O184,"")</f>
        <v/>
      </c>
      <c r="D296" t="str">
        <f>IF('[1]Revitalisation-Revitalisierung'!L184="a",'[1]Revitalisation-Revitalisierung'!K184,"")</f>
        <v>non pertinent / nicht relevant</v>
      </c>
      <c r="E296" t="str">
        <f>IF('[1]Revitalisation-Revitalisierung'!L184="b",'[1]Revitalisation-Revitalisierung'!K184,"")</f>
        <v/>
      </c>
    </row>
    <row r="297" spans="2:5" x14ac:dyDescent="0.25">
      <c r="B297" t="str">
        <f>IF('[1]Charriage - Geschiebehaushalt'!P185="a",'[1]Charriage - Geschiebehaushalt'!O185,"")</f>
        <v>non pertinent / nicht relevant</v>
      </c>
      <c r="C297" t="str">
        <f>IF('[1]Charriage - Geschiebehaushalt'!P185="b",'[1]Charriage - Geschiebehaushalt'!O185,"")</f>
        <v/>
      </c>
      <c r="D297" t="str">
        <f>IF('[1]Revitalisation-Revitalisierung'!L185="a",'[1]Revitalisation-Revitalisierung'!K185,"")</f>
        <v>Non nécessaire / nicht nötig</v>
      </c>
      <c r="E297" t="str">
        <f>IF('[1]Revitalisation-Revitalisierung'!L185="b",'[1]Revitalisation-Revitalisierung'!K185,"")</f>
        <v/>
      </c>
    </row>
    <row r="298" spans="2:5" x14ac:dyDescent="0.25">
      <c r="B298" t="str">
        <f>IF('[1]Charriage - Geschiebehaushalt'!P186="a",'[1]Charriage - Geschiebehaushalt'!O186,"")</f>
        <v>Charriage présumé perturbé / Geschiebehaushalt vermutlich beeinträchtigt</v>
      </c>
      <c r="C298" t="str">
        <f>IF('[1]Charriage - Geschiebehaushalt'!P186="b",'[1]Charriage - Geschiebehaushalt'!O186,"")</f>
        <v/>
      </c>
      <c r="D298" t="str">
        <f>IF('[1]Revitalisation-Revitalisierung'!L186="a",'[1]Revitalisation-Revitalisierung'!K186,"")</f>
        <v/>
      </c>
      <c r="E298" t="str">
        <f>IF('[1]Revitalisation-Revitalisierung'!L186="b",'[1]Revitalisation-Revitalisierung'!K186,"")</f>
        <v>Très nécessaire, difficile / unbedingt nötig, schwierig</v>
      </c>
    </row>
    <row r="299" spans="2:5" x14ac:dyDescent="0.25">
      <c r="B299" t="str">
        <f>IF('[1]Charriage - Geschiebehaushalt'!P187="a",'[1]Charriage - Geschiebehaushalt'!O187,"")</f>
        <v>Charriage présumé naturel / Geschiebehaushalt vermutlich natürlich</v>
      </c>
      <c r="C299" t="str">
        <f>IF('[1]Charriage - Geschiebehaushalt'!P187="b",'[1]Charriage - Geschiebehaushalt'!O187,"")</f>
        <v/>
      </c>
      <c r="D299" t="str">
        <f>IF('[1]Revitalisation-Revitalisierung'!L187="a",'[1]Revitalisation-Revitalisierung'!K187,"")</f>
        <v>Non nécessaire / nicht nötig</v>
      </c>
      <c r="E299" t="str">
        <f>IF('[1]Revitalisation-Revitalisierung'!L187="b",'[1]Revitalisation-Revitalisierung'!K187,"")</f>
        <v/>
      </c>
    </row>
    <row r="300" spans="2:5" x14ac:dyDescent="0.25">
      <c r="B300" t="str">
        <f>IF('[1]Charriage - Geschiebehaushalt'!P188="a",'[1]Charriage - Geschiebehaushalt'!O188,"")</f>
        <v/>
      </c>
      <c r="C300" t="str">
        <f>IF('[1]Charriage - Geschiebehaushalt'!P188="b",'[1]Charriage - Geschiebehaushalt'!O188,"")</f>
        <v>Charriage présumé naturel / Geschiebehaushalt vermutlich natürlich</v>
      </c>
      <c r="D300" t="str">
        <f>IF('[1]Revitalisation-Revitalisierung'!L188="a",'[1]Revitalisation-Revitalisierung'!K188,"")</f>
        <v>Non nécessaire / nicht nötig</v>
      </c>
      <c r="E300" t="str">
        <f>IF('[1]Revitalisation-Revitalisierung'!L188="b",'[1]Revitalisation-Revitalisierung'!K188,"")</f>
        <v/>
      </c>
    </row>
    <row r="301" spans="2:5" x14ac:dyDescent="0.25">
      <c r="B301" t="str">
        <f>IF('[1]Charriage - Geschiebehaushalt'!P189="a",'[1]Charriage - Geschiebehaushalt'!O189,"")</f>
        <v/>
      </c>
      <c r="C301" t="str">
        <f>IF('[1]Charriage - Geschiebehaushalt'!P189="b",'[1]Charriage - Geschiebehaushalt'!O189,"")</f>
        <v>Charriage présumé naturel / Geschiebehaushalt vermutlich natürlich</v>
      </c>
      <c r="D301" t="str">
        <f>IF('[1]Revitalisation-Revitalisierung'!L189="a",'[1]Revitalisation-Revitalisierung'!K189,"")</f>
        <v>Non nécessaire / nicht nötig</v>
      </c>
      <c r="E301" t="str">
        <f>IF('[1]Revitalisation-Revitalisierung'!L189="b",'[1]Revitalisation-Revitalisierung'!K189,"")</f>
        <v/>
      </c>
    </row>
    <row r="302" spans="2:5" x14ac:dyDescent="0.25">
      <c r="B302" t="str">
        <f>IF('[1]Charriage - Geschiebehaushalt'!P190="a",'[1]Charriage - Geschiebehaushalt'!O190,"")</f>
        <v>0-20%</v>
      </c>
      <c r="C302" t="str">
        <f>IF('[1]Charriage - Geschiebehaushalt'!P190="b",'[1]Charriage - Geschiebehaushalt'!O190,"")</f>
        <v/>
      </c>
      <c r="D302" t="str">
        <f>IF('[1]Revitalisation-Revitalisierung'!L190="a",'[1]Revitalisation-Revitalisierung'!K190,"")</f>
        <v>Partiellement nécessaire, facile / teilweise nötig, einfach</v>
      </c>
      <c r="E302" t="str">
        <f>IF('[1]Revitalisation-Revitalisierung'!L190="b",'[1]Revitalisation-Revitalisierung'!K190,"")</f>
        <v/>
      </c>
    </row>
    <row r="303" spans="2:5" x14ac:dyDescent="0.25">
      <c r="B303" t="str">
        <f>IF('[1]Charriage - Geschiebehaushalt'!P191="a",'[1]Charriage - Geschiebehaushalt'!O191,"")</f>
        <v>21-50%</v>
      </c>
      <c r="C303" t="str">
        <f>IF('[1]Charriage - Geschiebehaushalt'!P191="b",'[1]Charriage - Geschiebehaushalt'!O191,"")</f>
        <v/>
      </c>
      <c r="D303" t="str">
        <f>IF('[1]Revitalisation-Revitalisierung'!L191="a",'[1]Revitalisation-Revitalisierung'!K191,"")</f>
        <v>Partiellement nécessaire, facile / teilweise nötig, einfach</v>
      </c>
      <c r="E303" t="str">
        <f>IF('[1]Revitalisation-Revitalisierung'!L191="b",'[1]Revitalisation-Revitalisierung'!K191,"")</f>
        <v/>
      </c>
    </row>
    <row r="304" spans="2:5" x14ac:dyDescent="0.25">
      <c r="B304" t="str">
        <f>IF('[1]Charriage - Geschiebehaushalt'!P192="a",'[1]Charriage - Geschiebehaushalt'!O192,"")</f>
        <v>0-20%</v>
      </c>
      <c r="C304" t="str">
        <f>IF('[1]Charriage - Geschiebehaushalt'!P192="b",'[1]Charriage - Geschiebehaushalt'!O192,"")</f>
        <v/>
      </c>
      <c r="D304" t="str">
        <f>IF('[1]Revitalisation-Revitalisierung'!L192="a",'[1]Revitalisation-Revitalisierung'!K192,"")</f>
        <v/>
      </c>
      <c r="E304" t="str">
        <f>IF('[1]Revitalisation-Revitalisierung'!L192="b",'[1]Revitalisation-Revitalisierung'!K192,"")</f>
        <v>Non nécessaire / nicht nötig</v>
      </c>
    </row>
    <row r="305" spans="2:5" x14ac:dyDescent="0.25">
      <c r="B305" t="str">
        <f>IF('[1]Charriage - Geschiebehaushalt'!P193="a",'[1]Charriage - Geschiebehaushalt'!O193,"")</f>
        <v/>
      </c>
      <c r="C305" t="str">
        <f>IF('[1]Charriage - Geschiebehaushalt'!P193="b",'[1]Charriage - Geschiebehaushalt'!O193,"")</f>
        <v>Charriage présumé naturel / Geschiebehaushalt vermutlich natürlich</v>
      </c>
      <c r="D305" t="str">
        <f>IF('[1]Revitalisation-Revitalisierung'!L193="a",'[1]Revitalisation-Revitalisierung'!K193,"")</f>
        <v>Non nécessaire / nicht nötig</v>
      </c>
      <c r="E305" t="str">
        <f>IF('[1]Revitalisation-Revitalisierung'!L193="b",'[1]Revitalisation-Revitalisierung'!K193,"")</f>
        <v/>
      </c>
    </row>
    <row r="306" spans="2:5" x14ac:dyDescent="0.25">
      <c r="B306" t="str">
        <f>IF('[1]Charriage - Geschiebehaushalt'!P194="a",'[1]Charriage - Geschiebehaushalt'!O194,"")</f>
        <v>51-80%</v>
      </c>
      <c r="C306" t="str">
        <f>IF('[1]Charriage - Geschiebehaushalt'!P194="b",'[1]Charriage - Geschiebehaushalt'!O194,"")</f>
        <v/>
      </c>
      <c r="D306" t="str">
        <f>IF('[1]Revitalisation-Revitalisierung'!L194="a",'[1]Revitalisation-Revitalisierung'!K194,"")</f>
        <v>Non nécessaire / nicht nötig</v>
      </c>
      <c r="E306" t="str">
        <f>IF('[1]Revitalisation-Revitalisierung'!L194="b",'[1]Revitalisation-Revitalisierung'!K194,"")</f>
        <v/>
      </c>
    </row>
    <row r="307" spans="2:5" x14ac:dyDescent="0.25">
      <c r="B307" t="str">
        <f>IF('[1]Charriage - Geschiebehaushalt'!P195="a",'[1]Charriage - Geschiebehaushalt'!O195,"")</f>
        <v>21-50%</v>
      </c>
      <c r="C307" t="str">
        <f>IF('[1]Charriage - Geschiebehaushalt'!P195="b",'[1]Charriage - Geschiebehaushalt'!O195,"")</f>
        <v/>
      </c>
      <c r="D307" t="str">
        <f>IF('[1]Revitalisation-Revitalisierung'!L195="a",'[1]Revitalisation-Revitalisierung'!K195,"")</f>
        <v>Non nécessaire / nicht nötig</v>
      </c>
      <c r="E307" t="str">
        <f>IF('[1]Revitalisation-Revitalisierung'!L195="b",'[1]Revitalisation-Revitalisierung'!K195,"")</f>
        <v/>
      </c>
    </row>
    <row r="308" spans="2:5" x14ac:dyDescent="0.25">
      <c r="B308" t="str">
        <f>IF('[1]Charriage - Geschiebehaushalt'!P196="a",'[1]Charriage - Geschiebehaushalt'!O196,"")</f>
        <v>21-50%</v>
      </c>
      <c r="C308" t="str">
        <f>IF('[1]Charriage - Geschiebehaushalt'!P196="b",'[1]Charriage - Geschiebehaushalt'!O196,"")</f>
        <v/>
      </c>
      <c r="D308" t="str">
        <f>IF('[1]Revitalisation-Revitalisierung'!L196="a",'[1]Revitalisation-Revitalisierung'!K196,"")</f>
        <v>Non nécessaire / nicht nötig</v>
      </c>
      <c r="E308" t="str">
        <f>IF('[1]Revitalisation-Revitalisierung'!L196="b",'[1]Revitalisation-Revitalisierung'!K196,"")</f>
        <v/>
      </c>
    </row>
    <row r="309" spans="2:5" x14ac:dyDescent="0.25">
      <c r="B309" t="str">
        <f>IF('[1]Charriage - Geschiebehaushalt'!P197="a",'[1]Charriage - Geschiebehaushalt'!O197,"")</f>
        <v>21-50%</v>
      </c>
      <c r="C309" t="str">
        <f>IF('[1]Charriage - Geschiebehaushalt'!P197="b",'[1]Charriage - Geschiebehaushalt'!O197,"")</f>
        <v/>
      </c>
      <c r="D309" t="str">
        <f>IF('[1]Revitalisation-Revitalisierung'!L197="a",'[1]Revitalisation-Revitalisierung'!K197,"")</f>
        <v>Non nécessaire / nicht nötig</v>
      </c>
      <c r="E309" t="str">
        <f>IF('[1]Revitalisation-Revitalisierung'!L197="b",'[1]Revitalisation-Revitalisierung'!K197,"")</f>
        <v/>
      </c>
    </row>
    <row r="310" spans="2:5" x14ac:dyDescent="0.25">
      <c r="B310" t="str">
        <f>IF('[1]Charriage - Geschiebehaushalt'!P198="a",'[1]Charriage - Geschiebehaushalt'!O198,"")</f>
        <v>0-20%</v>
      </c>
      <c r="C310" t="str">
        <f>IF('[1]Charriage - Geschiebehaushalt'!P198="b",'[1]Charriage - Geschiebehaushalt'!O198,"")</f>
        <v/>
      </c>
      <c r="D310" t="str">
        <f>IF('[1]Revitalisation-Revitalisierung'!L198="a",'[1]Revitalisation-Revitalisierung'!K198,"")</f>
        <v/>
      </c>
      <c r="E310" t="str">
        <f>IF('[1]Revitalisation-Revitalisierung'!L198="b",'[1]Revitalisation-Revitalisierung'!K198,"")</f>
        <v>Non nécessaire / nicht nötig</v>
      </c>
    </row>
    <row r="311" spans="2:5" x14ac:dyDescent="0.25">
      <c r="B311" t="str">
        <f>IF('[1]Charriage - Geschiebehaushalt'!P199="a",'[1]Charriage - Geschiebehaushalt'!O199,"")</f>
        <v/>
      </c>
      <c r="C311" t="str">
        <f>IF('[1]Charriage - Geschiebehaushalt'!P199="b",'[1]Charriage - Geschiebehaushalt'!O199,"")</f>
        <v>Charriage présumé naturel / Geschiebehaushalt vermutlich natürlich</v>
      </c>
      <c r="D311" t="str">
        <f>IF('[1]Revitalisation-Revitalisierung'!L199="a",'[1]Revitalisation-Revitalisierung'!K199,"")</f>
        <v>Partiellement nécessaire, facile / teilweise nötig, einfach</v>
      </c>
      <c r="E311" t="str">
        <f>IF('[1]Revitalisation-Revitalisierung'!L199="b",'[1]Revitalisation-Revitalisierung'!K199,"")</f>
        <v/>
      </c>
    </row>
    <row r="312" spans="2:5" x14ac:dyDescent="0.25">
      <c r="B312" t="str">
        <f>IF('[1]Charriage - Geschiebehaushalt'!P200="a",'[1]Charriage - Geschiebehaushalt'!O200,"")</f>
        <v/>
      </c>
      <c r="C312" t="str">
        <f>IF('[1]Charriage - Geschiebehaushalt'!P200="b",'[1]Charriage - Geschiebehaushalt'!O200,"")</f>
        <v>Charriage présumé naturel / Geschiebehaushalt vermutlich natürlich</v>
      </c>
      <c r="D312" t="str">
        <f>IF('[1]Revitalisation-Revitalisierung'!L200="a",'[1]Revitalisation-Revitalisierung'!K200,"")</f>
        <v>Partiellement nécessaire, facile / teilweise nötig, einfach</v>
      </c>
      <c r="E312" t="str">
        <f>IF('[1]Revitalisation-Revitalisierung'!L200="b",'[1]Revitalisation-Revitalisierung'!K200,"")</f>
        <v/>
      </c>
    </row>
    <row r="313" spans="2:5" x14ac:dyDescent="0.25">
      <c r="B313" t="str">
        <f>IF('[1]Charriage - Geschiebehaushalt'!P201="a",'[1]Charriage - Geschiebehaushalt'!O201,"")</f>
        <v>0-20%</v>
      </c>
      <c r="C313" t="str">
        <f>IF('[1]Charriage - Geschiebehaushalt'!P201="b",'[1]Charriage - Geschiebehaushalt'!O201,"")</f>
        <v/>
      </c>
      <c r="D313" t="str">
        <f>IF('[1]Revitalisation-Revitalisierung'!L201="a",'[1]Revitalisation-Revitalisierung'!K201,"")</f>
        <v/>
      </c>
      <c r="E313" t="str">
        <f>IF('[1]Revitalisation-Revitalisierung'!L201="b",'[1]Revitalisation-Revitalisierung'!K201,"")</f>
        <v>Non nécessaire / nicht nötig</v>
      </c>
    </row>
    <row r="314" spans="2:5" x14ac:dyDescent="0.25">
      <c r="B314" t="str">
        <f>IF('[1]Charriage - Geschiebehaushalt'!P202="a",'[1]Charriage - Geschiebehaushalt'!O202,"")</f>
        <v/>
      </c>
      <c r="C314" t="str">
        <f>IF('[1]Charriage - Geschiebehaushalt'!P202="b",'[1]Charriage - Geschiebehaushalt'!O202,"")</f>
        <v>Charriage présumé naturel / Geschiebehaushalt vermutlich natürlich</v>
      </c>
      <c r="D314" t="str">
        <f>IF('[1]Revitalisation-Revitalisierung'!L202="a",'[1]Revitalisation-Revitalisierung'!K202,"")</f>
        <v/>
      </c>
      <c r="E314" t="str">
        <f>IF('[1]Revitalisation-Revitalisierung'!L202="b",'[1]Revitalisation-Revitalisierung'!K202,"")</f>
        <v>Non nécessaire / nicht nötig</v>
      </c>
    </row>
    <row r="315" spans="2:5" x14ac:dyDescent="0.25">
      <c r="B315" t="str">
        <f>IF('[1]Charriage - Geschiebehaushalt'!P203="a",'[1]Charriage - Geschiebehaushalt'!O203,"")</f>
        <v/>
      </c>
      <c r="C315" t="str">
        <f>IF('[1]Charriage - Geschiebehaushalt'!P203="b",'[1]Charriage - Geschiebehaushalt'!O203,"")</f>
        <v>Charriage présumé naturel / Geschiebehaushalt vermutlich natürlich</v>
      </c>
      <c r="D315" t="str">
        <f>IF('[1]Revitalisation-Revitalisierung'!L203="a",'[1]Revitalisation-Revitalisierung'!K203,"")</f>
        <v>Non nécessaire / nicht nötig</v>
      </c>
      <c r="E315" t="str">
        <f>IF('[1]Revitalisation-Revitalisierung'!L203="b",'[1]Revitalisation-Revitalisierung'!K203,"")</f>
        <v/>
      </c>
    </row>
    <row r="316" spans="2:5" x14ac:dyDescent="0.25">
      <c r="B316" t="str">
        <f>IF('[1]Charriage - Geschiebehaushalt'!P204="a",'[1]Charriage - Geschiebehaushalt'!O204,"")</f>
        <v/>
      </c>
      <c r="C316" t="str">
        <f>IF('[1]Charriage - Geschiebehaushalt'!P204="b",'[1]Charriage - Geschiebehaushalt'!O204,"")</f>
        <v>Charriage présumé naturel / Geschiebehaushalt vermutlich natürlich</v>
      </c>
      <c r="D316" t="str">
        <f>IF('[1]Revitalisation-Revitalisierung'!L204="a",'[1]Revitalisation-Revitalisierung'!K204,"")</f>
        <v>Non nécessaire / nicht nötig</v>
      </c>
      <c r="E316" t="str">
        <f>IF('[1]Revitalisation-Revitalisierung'!L204="b",'[1]Revitalisation-Revitalisierung'!K204,"")</f>
        <v/>
      </c>
    </row>
    <row r="317" spans="2:5" x14ac:dyDescent="0.25">
      <c r="B317" t="str">
        <f>IF('[1]Charriage - Geschiebehaushalt'!P205="a",'[1]Charriage - Geschiebehaushalt'!O205,"")</f>
        <v/>
      </c>
      <c r="C317" t="str">
        <f>IF('[1]Charriage - Geschiebehaushalt'!P205="b",'[1]Charriage - Geschiebehaushalt'!O205,"")</f>
        <v>Charriage présumé naturel / Geschiebehaushalt vermutlich natürlich</v>
      </c>
      <c r="D317" t="str">
        <f>IF('[1]Revitalisation-Revitalisierung'!L205="a",'[1]Revitalisation-Revitalisierung'!K205,"")</f>
        <v>Non nécessaire / nicht nötig</v>
      </c>
      <c r="E317" t="str">
        <f>IF('[1]Revitalisation-Revitalisierung'!L205="b",'[1]Revitalisation-Revitalisierung'!K205,"")</f>
        <v/>
      </c>
    </row>
    <row r="318" spans="2:5" x14ac:dyDescent="0.25">
      <c r="B318" t="str">
        <f>IF('[1]Charriage - Geschiebehaushalt'!P206="a",'[1]Charriage - Geschiebehaushalt'!O206,"")</f>
        <v>Charriage présumé naturel / Geschiebehaushalt vermutlich natürlich</v>
      </c>
      <c r="C318" t="str">
        <f>IF('[1]Charriage - Geschiebehaushalt'!P206="b",'[1]Charriage - Geschiebehaushalt'!O206,"")</f>
        <v/>
      </c>
      <c r="D318" t="str">
        <f>IF('[1]Revitalisation-Revitalisierung'!L206="a",'[1]Revitalisation-Revitalisierung'!K206,"")</f>
        <v>Non nécessaire / nicht nötig</v>
      </c>
      <c r="E318" t="str">
        <f>IF('[1]Revitalisation-Revitalisierung'!L206="b",'[1]Revitalisation-Revitalisierung'!K206,"")</f>
        <v/>
      </c>
    </row>
    <row r="319" spans="2:5" x14ac:dyDescent="0.25">
      <c r="B319" t="str">
        <f>IF('[1]Charriage - Geschiebehaushalt'!P207="a",'[1]Charriage - Geschiebehaushalt'!O207,"")</f>
        <v/>
      </c>
      <c r="C319" t="str">
        <f>IF('[1]Charriage - Geschiebehaushalt'!P207="b",'[1]Charriage - Geschiebehaushalt'!O207,"")</f>
        <v>Charriage présumé naturel / Geschiebehaushalt vermutlich natürlich</v>
      </c>
      <c r="D319" t="str">
        <f>IF('[1]Revitalisation-Revitalisierung'!L207="a",'[1]Revitalisation-Revitalisierung'!K207,"")</f>
        <v>Non nécessaire / nicht nötig</v>
      </c>
      <c r="E319" t="str">
        <f>IF('[1]Revitalisation-Revitalisierung'!L207="b",'[1]Revitalisation-Revitalisierung'!K207,"")</f>
        <v/>
      </c>
    </row>
    <row r="320" spans="2:5" x14ac:dyDescent="0.25">
      <c r="B320" t="str">
        <f>IF('[1]Charriage - Geschiebehaushalt'!P208="a",'[1]Charriage - Geschiebehaushalt'!O208,"")</f>
        <v/>
      </c>
      <c r="C320" t="str">
        <f>IF('[1]Charriage - Geschiebehaushalt'!P208="b",'[1]Charriage - Geschiebehaushalt'!O208,"")</f>
        <v>Charriage présumé naturel / Geschiebehaushalt vermutlich natürlich</v>
      </c>
      <c r="D320" t="str">
        <f>IF('[1]Revitalisation-Revitalisierung'!L208="a",'[1]Revitalisation-Revitalisierung'!K208,"")</f>
        <v>Non nécessaire / nicht nötig</v>
      </c>
      <c r="E320" t="str">
        <f>IF('[1]Revitalisation-Revitalisierung'!L208="b",'[1]Revitalisation-Revitalisierung'!K208,"")</f>
        <v/>
      </c>
    </row>
    <row r="321" spans="2:5" x14ac:dyDescent="0.25">
      <c r="B321" t="str">
        <f>IF('[1]Charriage - Geschiebehaushalt'!P209="a",'[1]Charriage - Geschiebehaushalt'!O209,"")</f>
        <v>Charriage présumé naturel / Geschiebehaushalt vermutlich natürlich</v>
      </c>
      <c r="C321" t="str">
        <f>IF('[1]Charriage - Geschiebehaushalt'!P209="b",'[1]Charriage - Geschiebehaushalt'!O209,"")</f>
        <v/>
      </c>
      <c r="D321" t="str">
        <f>IF('[1]Revitalisation-Revitalisierung'!L209="a",'[1]Revitalisation-Revitalisierung'!K209,"")</f>
        <v/>
      </c>
      <c r="E321" t="str">
        <f>IF('[1]Revitalisation-Revitalisierung'!L209="b",'[1]Revitalisation-Revitalisierung'!K209,"")</f>
        <v>Très nécessaire, facile / unbedingt nötig, einfach</v>
      </c>
    </row>
    <row r="322" spans="2:5" x14ac:dyDescent="0.25">
      <c r="B322" t="str">
        <f>IF('[1]Charriage - Geschiebehaushalt'!P210="a",'[1]Charriage - Geschiebehaushalt'!O210,"")</f>
        <v>Charriage présumé naturel / Geschiebehaushalt vermutlich natürlich</v>
      </c>
      <c r="C322" t="str">
        <f>IF('[1]Charriage - Geschiebehaushalt'!P210="b",'[1]Charriage - Geschiebehaushalt'!O210,"")</f>
        <v/>
      </c>
      <c r="D322" t="str">
        <f>IF('[1]Revitalisation-Revitalisierung'!L210="a",'[1]Revitalisation-Revitalisierung'!K210,"")</f>
        <v/>
      </c>
      <c r="E322" t="str">
        <f>IF('[1]Revitalisation-Revitalisierung'!L210="b",'[1]Revitalisation-Revitalisierung'!K210,"")</f>
        <v>Très nécessaire, facile / unbedingt nötig, einfach</v>
      </c>
    </row>
    <row r="323" spans="2:5" x14ac:dyDescent="0.25">
      <c r="B323" t="str">
        <f>IF('[1]Charriage - Geschiebehaushalt'!P211="a",'[1]Charriage - Geschiebehaushalt'!O211,"")</f>
        <v>Charriage présumé naturel / Geschiebehaushalt vermutlich natürlich</v>
      </c>
      <c r="C323" t="str">
        <f>IF('[1]Charriage - Geschiebehaushalt'!P211="b",'[1]Charriage - Geschiebehaushalt'!O211,"")</f>
        <v/>
      </c>
      <c r="D323" t="str">
        <f>IF('[1]Revitalisation-Revitalisierung'!L211="a",'[1]Revitalisation-Revitalisierung'!K211,"")</f>
        <v>Très nécessaire, facile / unbedingt nötig, einfach</v>
      </c>
      <c r="E323" t="str">
        <f>IF('[1]Revitalisation-Revitalisierung'!L211="b",'[1]Revitalisation-Revitalisierung'!K211,"")</f>
        <v/>
      </c>
    </row>
    <row r="324" spans="2:5" x14ac:dyDescent="0.25">
      <c r="B324" t="str">
        <f>IF('[1]Charriage - Geschiebehaushalt'!P212="a",'[1]Charriage - Geschiebehaushalt'!O212,"")</f>
        <v/>
      </c>
      <c r="C324" t="str">
        <f>IF('[1]Charriage - Geschiebehaushalt'!P212="b",'[1]Charriage - Geschiebehaushalt'!O212,"")</f>
        <v>Charriage présumé naturel / Geschiebehaushalt vermutlich natürlich</v>
      </c>
      <c r="D324" t="str">
        <f>IF('[1]Revitalisation-Revitalisierung'!L212="a",'[1]Revitalisation-Revitalisierung'!K212,"")</f>
        <v>Non nécessaire / nicht nötig</v>
      </c>
      <c r="E324" t="str">
        <f>IF('[1]Revitalisation-Revitalisierung'!L212="b",'[1]Revitalisation-Revitalisierung'!K212,"")</f>
        <v/>
      </c>
    </row>
    <row r="325" spans="2:5" x14ac:dyDescent="0.25">
      <c r="B325" t="str">
        <f>IF('[1]Charriage - Geschiebehaushalt'!P213="a",'[1]Charriage - Geschiebehaushalt'!O213,"")</f>
        <v/>
      </c>
      <c r="C325" t="str">
        <f>IF('[1]Charriage - Geschiebehaushalt'!P213="b",'[1]Charriage - Geschiebehaushalt'!O213,"")</f>
        <v>Charriage présumé naturel / Geschiebehaushalt vermutlich natürlich</v>
      </c>
      <c r="D325" t="str">
        <f>IF('[1]Revitalisation-Revitalisierung'!L213="a",'[1]Revitalisation-Revitalisierung'!K213,"")</f>
        <v/>
      </c>
      <c r="E325" t="str">
        <f>IF('[1]Revitalisation-Revitalisierung'!L213="b",'[1]Revitalisation-Revitalisierung'!K213,"")</f>
        <v>Partiellement nécessaire, facile / teilweise nötig, einfach</v>
      </c>
    </row>
    <row r="326" spans="2:5" x14ac:dyDescent="0.25">
      <c r="B326" t="str">
        <f>IF('[1]Charriage - Geschiebehaushalt'!P214="a",'[1]Charriage - Geschiebehaushalt'!O214,"")</f>
        <v/>
      </c>
      <c r="C326" t="str">
        <f>IF('[1]Charriage - Geschiebehaushalt'!P214="b",'[1]Charriage - Geschiebehaushalt'!O214,"")</f>
        <v>La remobilisation des sédiments est perturbée / Mobilisierung von Geschiebe beeinträchtigt</v>
      </c>
      <c r="D326" t="str">
        <f>IF('[1]Revitalisation-Revitalisierung'!L214="a",'[1]Revitalisation-Revitalisierung'!K214,"")</f>
        <v>Très nécessaire, difficile / unbedingt nötig, schwierig</v>
      </c>
      <c r="E326" t="str">
        <f>IF('[1]Revitalisation-Revitalisierung'!L214="b",'[1]Revitalisation-Revitalisierung'!K214,"")</f>
        <v/>
      </c>
    </row>
    <row r="327" spans="2:5" x14ac:dyDescent="0.25">
      <c r="B327" t="str">
        <f>IF('[1]Charriage - Geschiebehaushalt'!P215="a",'[1]Charriage - Geschiebehaushalt'!O215,"")</f>
        <v/>
      </c>
      <c r="C327" t="str">
        <f>IF('[1]Charriage - Geschiebehaushalt'!P215="b",'[1]Charriage - Geschiebehaushalt'!O215,"")</f>
        <v>Charriage présumé naturel / Geschiebehaushalt vermutlich natürlich</v>
      </c>
      <c r="D327" t="str">
        <f>IF('[1]Revitalisation-Revitalisierung'!L215="a",'[1]Revitalisation-Revitalisierung'!K215,"")</f>
        <v/>
      </c>
      <c r="E327" t="str">
        <f>IF('[1]Revitalisation-Revitalisierung'!L215="b",'[1]Revitalisation-Revitalisierung'!K215,"")</f>
        <v>Très nécessaire, facile / unbedingt nötig, einfach</v>
      </c>
    </row>
    <row r="328" spans="2:5" x14ac:dyDescent="0.25">
      <c r="B328" t="str">
        <f>IF('[1]Charriage - Geschiebehaushalt'!P216="a",'[1]Charriage - Geschiebehaushalt'!O216,"")</f>
        <v/>
      </c>
      <c r="C328" t="str">
        <f>IF('[1]Charriage - Geschiebehaushalt'!P216="b",'[1]Charriage - Geschiebehaushalt'!O216,"")</f>
        <v>Charriage présumé naturel / Geschiebehaushalt vermutlich natürlich</v>
      </c>
      <c r="D328" t="str">
        <f>IF('[1]Revitalisation-Revitalisierung'!L216="a",'[1]Revitalisation-Revitalisierung'!K216,"")</f>
        <v/>
      </c>
      <c r="E328" t="str">
        <f>IF('[1]Revitalisation-Revitalisierung'!L216="b",'[1]Revitalisation-Revitalisierung'!K216,"")</f>
        <v>Partiellement nécessaire, facile / teilweise nötig, einfach</v>
      </c>
    </row>
    <row r="329" spans="2:5" x14ac:dyDescent="0.25">
      <c r="B329" t="str">
        <f>IF('[1]Charriage - Geschiebehaushalt'!P217="a",'[1]Charriage - Geschiebehaushalt'!O217,"")</f>
        <v/>
      </c>
      <c r="C329" t="str">
        <f>IF('[1]Charriage - Geschiebehaushalt'!P217="b",'[1]Charriage - Geschiebehaushalt'!O217,"")</f>
        <v>Charriage présumé naturel / Geschiebehaushalt vermutlich natürlich</v>
      </c>
      <c r="D329" t="str">
        <f>IF('[1]Revitalisation-Revitalisierung'!L217="a",'[1]Revitalisation-Revitalisierung'!K217,"")</f>
        <v>Non nécessaire / nicht nötig</v>
      </c>
      <c r="E329" t="str">
        <f>IF('[1]Revitalisation-Revitalisierung'!L217="b",'[1]Revitalisation-Revitalisierung'!K217,"")</f>
        <v/>
      </c>
    </row>
    <row r="330" spans="2:5" x14ac:dyDescent="0.25">
      <c r="B330" t="str">
        <f>IF('[1]Charriage - Geschiebehaushalt'!P218="a",'[1]Charriage - Geschiebehaushalt'!O218,"")</f>
        <v/>
      </c>
      <c r="C330" t="str">
        <f>IF('[1]Charriage - Geschiebehaushalt'!P218="b",'[1]Charriage - Geschiebehaushalt'!O218,"")</f>
        <v>La remobilisation des sédiments est perturbée / Mobilisierung von Geschiebe beeinträchtigt</v>
      </c>
      <c r="D330" t="str">
        <f>IF('[1]Revitalisation-Revitalisierung'!L218="a",'[1]Revitalisation-Revitalisierung'!K218,"")</f>
        <v>Très nécessaire, difficile / unbedingt nötig, schwierig</v>
      </c>
      <c r="E330" t="str">
        <f>IF('[1]Revitalisation-Revitalisierung'!L218="b",'[1]Revitalisation-Revitalisierung'!K218,"")</f>
        <v/>
      </c>
    </row>
    <row r="331" spans="2:5" x14ac:dyDescent="0.25">
      <c r="B331" t="str">
        <f>IF('[1]Charriage - Geschiebehaushalt'!P219="a",'[1]Charriage - Geschiebehaushalt'!O219,"")</f>
        <v/>
      </c>
      <c r="C331" t="str">
        <f>IF('[1]Charriage - Geschiebehaushalt'!P219="b",'[1]Charriage - Geschiebehaushalt'!O219,"")</f>
        <v>Déficit non apparent en charriage ou en remobilisation des sédiments / kein sichtbares Defizit beim Geschiebehaushalt bzw. bei der Mobilisierung von Geschiebe</v>
      </c>
      <c r="D331" t="str">
        <f>IF('[1]Revitalisation-Revitalisierung'!L219="a",'[1]Revitalisation-Revitalisierung'!K219,"")</f>
        <v>Partiellement nécessaire, facile / teilweise nötig, einfach</v>
      </c>
      <c r="E331" t="str">
        <f>IF('[1]Revitalisation-Revitalisierung'!L219="b",'[1]Revitalisation-Revitalisierung'!K219,"")</f>
        <v/>
      </c>
    </row>
    <row r="332" spans="2:5" x14ac:dyDescent="0.25">
      <c r="B332" t="str">
        <f>IF('[1]Charriage - Geschiebehaushalt'!P220="a",'[1]Charriage - Geschiebehaushalt'!O220,"")</f>
        <v/>
      </c>
      <c r="C332" t="str">
        <f>IF('[1]Charriage - Geschiebehaushalt'!P220="b",'[1]Charriage - Geschiebehaushalt'!O220,"")</f>
        <v>Charriage présumé faiblement perturbé / Geschiebe vermutlich leicht beeinträchtigt</v>
      </c>
      <c r="D332" t="str">
        <f>IF('[1]Revitalisation-Revitalisierung'!L220="a",'[1]Revitalisation-Revitalisierung'!K220,"")</f>
        <v>Partiellement nécessaire, facile / teilweise nötig, einfach</v>
      </c>
      <c r="E332" t="str">
        <f>IF('[1]Revitalisation-Revitalisierung'!L220="b",'[1]Revitalisation-Revitalisierung'!K220,"")</f>
        <v/>
      </c>
    </row>
    <row r="333" spans="2:5" x14ac:dyDescent="0.25">
      <c r="B333" t="str">
        <f>IF('[1]Charriage - Geschiebehaushalt'!P221="a",'[1]Charriage - Geschiebehaushalt'!O221,"")</f>
        <v/>
      </c>
      <c r="C333" t="str">
        <f>IF('[1]Charriage - Geschiebehaushalt'!P221="b",'[1]Charriage - Geschiebehaushalt'!O221,"")</f>
        <v>Charriage présumé faiblement perturbé / Geschiebe vermutlich leicht beeinträchtigt</v>
      </c>
      <c r="D333" t="str">
        <f>IF('[1]Revitalisation-Revitalisierung'!L221="a",'[1]Revitalisation-Revitalisierung'!K221,"")</f>
        <v>Non nécessaire / nicht nötig</v>
      </c>
      <c r="E333" t="str">
        <f>IF('[1]Revitalisation-Revitalisierung'!L221="b",'[1]Revitalisation-Revitalisierung'!K221,"")</f>
        <v/>
      </c>
    </row>
    <row r="334" spans="2:5" x14ac:dyDescent="0.25">
      <c r="B334" t="str">
        <f>IF('[1]Charriage - Geschiebehaushalt'!P222="a",'[1]Charriage - Geschiebehaushalt'!O222,"")</f>
        <v/>
      </c>
      <c r="C334" t="str">
        <f>IF('[1]Charriage - Geschiebehaushalt'!P222="b",'[1]Charriage - Geschiebehaushalt'!O222,"")</f>
        <v>La remobilisation des sédiments est perturbée / Mobilisierung von Geschiebe beeinträchtigt</v>
      </c>
      <c r="D334" t="str">
        <f>IF('[1]Revitalisation-Revitalisierung'!L222="a",'[1]Revitalisation-Revitalisierung'!K222,"")</f>
        <v/>
      </c>
      <c r="E334" t="str">
        <f>IF('[1]Revitalisation-Revitalisierung'!L222="b",'[1]Revitalisation-Revitalisierung'!K222,"")</f>
        <v>Très nécessaire, difficile / unbedingt nötig, schwierig</v>
      </c>
    </row>
    <row r="335" spans="2:5" x14ac:dyDescent="0.25">
      <c r="B335" t="str">
        <f>IF('[1]Charriage - Geschiebehaushalt'!P223="a",'[1]Charriage - Geschiebehaushalt'!O223,"")</f>
        <v/>
      </c>
      <c r="C335" t="str">
        <f>IF('[1]Charriage - Geschiebehaushalt'!P223="b",'[1]Charriage - Geschiebehaushalt'!O223,"")</f>
        <v>Charriage présumé perturbé / Geschiebehaushalt vermutlich beeinträchtigt</v>
      </c>
      <c r="D335" t="str">
        <f>IF('[1]Revitalisation-Revitalisierung'!L223="a",'[1]Revitalisation-Revitalisierung'!K223,"")</f>
        <v/>
      </c>
      <c r="E335" t="str">
        <f>IF('[1]Revitalisation-Revitalisierung'!L223="b",'[1]Revitalisation-Revitalisierung'!K223,"")</f>
        <v>Très nécessaire, difficile / unbedingt nötig, schwierig</v>
      </c>
    </row>
    <row r="336" spans="2:5" x14ac:dyDescent="0.25">
      <c r="B336" t="str">
        <f>IF('[1]Charriage - Geschiebehaushalt'!P224="a",'[1]Charriage - Geschiebehaushalt'!O224,"")</f>
        <v/>
      </c>
      <c r="C336" t="str">
        <f>IF('[1]Charriage - Geschiebehaushalt'!P224="b",'[1]Charriage - Geschiebehaushalt'!O224,"")</f>
        <v>Charriage présumé naturel / Geschiebehaushalt vermutlich natürlich</v>
      </c>
      <c r="D336" t="str">
        <f>IF('[1]Revitalisation-Revitalisierung'!L224="a",'[1]Revitalisation-Revitalisierung'!K224,"")</f>
        <v/>
      </c>
      <c r="E336" t="str">
        <f>IF('[1]Revitalisation-Revitalisierung'!L224="b",'[1]Revitalisation-Revitalisierung'!K224,"")</f>
        <v>Non nécessaire / nicht nötig</v>
      </c>
    </row>
    <row r="337" spans="2:5" x14ac:dyDescent="0.25">
      <c r="B337" t="str">
        <f>IF('[1]Charriage - Geschiebehaushalt'!P225="a",'[1]Charriage - Geschiebehaushalt'!O225,"")</f>
        <v>21-50%</v>
      </c>
      <c r="C337" t="str">
        <f>IF('[1]Charriage - Geschiebehaushalt'!P225="b",'[1]Charriage - Geschiebehaushalt'!O225,"")</f>
        <v/>
      </c>
      <c r="D337" t="str">
        <f>IF('[1]Revitalisation-Revitalisierung'!L225="a",'[1]Revitalisation-Revitalisierung'!K225,"")</f>
        <v>Très nécessaire, difficile / unbedingt nötig, schwierig</v>
      </c>
      <c r="E337" t="str">
        <f>IF('[1]Revitalisation-Revitalisierung'!L225="b",'[1]Revitalisation-Revitalisierung'!K225,"")</f>
        <v/>
      </c>
    </row>
    <row r="338" spans="2:5" x14ac:dyDescent="0.25">
      <c r="B338" t="str">
        <f>IF('[1]Charriage - Geschiebehaushalt'!P226="a",'[1]Charriage - Geschiebehaushalt'!O226,"")</f>
        <v/>
      </c>
      <c r="C338" t="str">
        <f>IF('[1]Charriage - Geschiebehaushalt'!P226="b",'[1]Charriage - Geschiebehaushalt'!O226,"")</f>
        <v>Charriage présumé naturel / Geschiebehaushalt vermutlich natürlich</v>
      </c>
      <c r="D338" t="str">
        <f>IF('[1]Revitalisation-Revitalisierung'!L226="a",'[1]Revitalisation-Revitalisierung'!K226,"")</f>
        <v>Partiellement nécessaire, facile / teilweise nötig, einfach</v>
      </c>
      <c r="E338" t="str">
        <f>IF('[1]Revitalisation-Revitalisierung'!L226="b",'[1]Revitalisation-Revitalisierung'!K226,"")</f>
        <v/>
      </c>
    </row>
    <row r="339" spans="2:5" x14ac:dyDescent="0.25">
      <c r="B339" t="str">
        <f>IF('[1]Charriage - Geschiebehaushalt'!P227="a",'[1]Charriage - Geschiebehaushalt'!O227,"")</f>
        <v/>
      </c>
      <c r="C339" t="str">
        <f>IF('[1]Charriage - Geschiebehaushalt'!P227="b",'[1]Charriage - Geschiebehaushalt'!O227,"")</f>
        <v>La remobilisation des sédiments est perturbée / Mobilisierung von Geschiebe beeinträchtigt</v>
      </c>
      <c r="D339" t="str">
        <f>IF('[1]Revitalisation-Revitalisierung'!L227="a",'[1]Revitalisation-Revitalisierung'!K227,"")</f>
        <v>Très nécessaire, facile / unbedingt nötig, einfach</v>
      </c>
      <c r="E339" t="str">
        <f>IF('[1]Revitalisation-Revitalisierung'!L227="b",'[1]Revitalisation-Revitalisierung'!K227,"")</f>
        <v/>
      </c>
    </row>
    <row r="340" spans="2:5" x14ac:dyDescent="0.25">
      <c r="B340" t="str">
        <f>IF('[1]Charriage - Geschiebehaushalt'!P228="a",'[1]Charriage - Geschiebehaushalt'!O228,"")</f>
        <v>21-50%</v>
      </c>
      <c r="C340" t="str">
        <f>IF('[1]Charriage - Geschiebehaushalt'!P228="b",'[1]Charriage - Geschiebehaushalt'!O228,"")</f>
        <v/>
      </c>
      <c r="D340" t="str">
        <f>IF('[1]Revitalisation-Revitalisierung'!L228="a",'[1]Revitalisation-Revitalisierung'!K228,"")</f>
        <v>Partiellement nécessaire, facile / teilweise nötig, einfach</v>
      </c>
      <c r="E340" t="str">
        <f>IF('[1]Revitalisation-Revitalisierung'!L228="b",'[1]Revitalisation-Revitalisierung'!K228,"")</f>
        <v/>
      </c>
    </row>
    <row r="341" spans="2:5" x14ac:dyDescent="0.25">
      <c r="B341" t="str">
        <f>IF('[1]Charriage - Geschiebehaushalt'!P229="a",'[1]Charriage - Geschiebehaushalt'!O229,"")</f>
        <v/>
      </c>
      <c r="C341" t="str">
        <f>IF('[1]Charriage - Geschiebehaushalt'!P229="b",'[1]Charriage - Geschiebehaushalt'!O229,"")</f>
        <v>Déficit non apparent en charriage ou en remobilisation des sédiments / kein sichtbares Defizit beim Geschiebehaushalt bzw. bei der Mobilisierung von Geschiebe</v>
      </c>
      <c r="D341" t="str">
        <f>IF('[1]Revitalisation-Revitalisierung'!L229="a",'[1]Revitalisation-Revitalisierung'!K229,"")</f>
        <v/>
      </c>
      <c r="E341" t="str">
        <f>IF('[1]Revitalisation-Revitalisierung'!L229="b",'[1]Revitalisation-Revitalisierung'!K229,"")</f>
        <v>Partiellement nécessaire, facile / teilweise nötig, einfach</v>
      </c>
    </row>
    <row r="342" spans="2:5" x14ac:dyDescent="0.25">
      <c r="B342" t="str">
        <f>IF('[1]Charriage - Geschiebehaushalt'!P230="a",'[1]Charriage - Geschiebehaushalt'!O230,"")</f>
        <v/>
      </c>
      <c r="C342" t="str">
        <f>IF('[1]Charriage - Geschiebehaushalt'!P230="b",'[1]Charriage - Geschiebehaushalt'!O230,"")</f>
        <v>Charriage présumé naturel / Geschiebehaushalt vermutlich natürlich</v>
      </c>
      <c r="D342" t="str">
        <f>IF('[1]Revitalisation-Revitalisierung'!L230="a",'[1]Revitalisation-Revitalisierung'!K230,"")</f>
        <v>Non nécessaire / nicht nötig</v>
      </c>
      <c r="E342" t="str">
        <f>IF('[1]Revitalisation-Revitalisierung'!L230="b",'[1]Revitalisation-Revitalisierung'!K230,"")</f>
        <v/>
      </c>
    </row>
    <row r="343" spans="2:5" x14ac:dyDescent="0.25">
      <c r="B343" t="str">
        <f>IF('[1]Charriage - Geschiebehaushalt'!P231="a",'[1]Charriage - Geschiebehaushalt'!O231,"")</f>
        <v/>
      </c>
      <c r="C343" t="str">
        <f>IF('[1]Charriage - Geschiebehaushalt'!P231="b",'[1]Charriage - Geschiebehaushalt'!O231,"")</f>
        <v>Charriage présumé naturel / Geschiebehaushalt vermutlich natürlich</v>
      </c>
      <c r="D343" t="str">
        <f>IF('[1]Revitalisation-Revitalisierung'!L231="a",'[1]Revitalisation-Revitalisierung'!K231,"")</f>
        <v>Partiellement nécessaire, facile / teilweise nötig, einfach</v>
      </c>
      <c r="E343" t="str">
        <f>IF('[1]Revitalisation-Revitalisierung'!L231="b",'[1]Revitalisation-Revitalisierung'!K231,"")</f>
        <v/>
      </c>
    </row>
    <row r="344" spans="2:5" x14ac:dyDescent="0.25">
      <c r="B344" t="str">
        <f>IF('[1]Charriage - Geschiebehaushalt'!P232="a",'[1]Charriage - Geschiebehaushalt'!O232,"")</f>
        <v>0-20%</v>
      </c>
      <c r="C344" t="str">
        <f>IF('[1]Charriage - Geschiebehaushalt'!P232="b",'[1]Charriage - Geschiebehaushalt'!O232,"")</f>
        <v/>
      </c>
      <c r="D344" t="str">
        <f>IF('[1]Revitalisation-Revitalisierung'!L232="a",'[1]Revitalisation-Revitalisierung'!K232,"")</f>
        <v>Non nécessaire / nicht nötig</v>
      </c>
      <c r="E344" t="str">
        <f>IF('[1]Revitalisation-Revitalisierung'!L232="b",'[1]Revitalisation-Revitalisierung'!K232,"")</f>
        <v/>
      </c>
    </row>
    <row r="345" spans="2:5" x14ac:dyDescent="0.25">
      <c r="B345" t="str">
        <f>IF('[1]Charriage - Geschiebehaushalt'!P233="a",'[1]Charriage - Geschiebehaushalt'!O233,"")</f>
        <v/>
      </c>
      <c r="C345" t="str">
        <f>IF('[1]Charriage - Geschiebehaushalt'!P233="b",'[1]Charriage - Geschiebehaushalt'!O233,"")</f>
        <v>La remobilisation des sédiments est perturbée / Mobilisierung von Geschiebe beeinträchtigt</v>
      </c>
      <c r="D345" t="str">
        <f>IF('[1]Revitalisation-Revitalisierung'!L233="a",'[1]Revitalisation-Revitalisierung'!K233,"")</f>
        <v>Très nécessaire, facile / unbedingt nötig, einfach</v>
      </c>
      <c r="E345" t="str">
        <f>IF('[1]Revitalisation-Revitalisierung'!L233="b",'[1]Revitalisation-Revitalisierung'!K233,"")</f>
        <v/>
      </c>
    </row>
    <row r="346" spans="2:5" x14ac:dyDescent="0.25">
      <c r="B346" t="str">
        <f>IF('[1]Charriage - Geschiebehaushalt'!P234="a",'[1]Charriage - Geschiebehaushalt'!O234,"")</f>
        <v/>
      </c>
      <c r="C346" t="str">
        <f>IF('[1]Charriage - Geschiebehaushalt'!P234="b",'[1]Charriage - Geschiebehaushalt'!O234,"")</f>
        <v>La remobilisation des sédiments est perturbée / Mobilisierung von Geschiebe beeinträchtigt</v>
      </c>
      <c r="D346" t="str">
        <f>IF('[1]Revitalisation-Revitalisierung'!L234="a",'[1]Revitalisation-Revitalisierung'!K234,"")</f>
        <v/>
      </c>
      <c r="E346" t="str">
        <f>IF('[1]Revitalisation-Revitalisierung'!L234="b",'[1]Revitalisation-Revitalisierung'!K234,"")</f>
        <v>Très nécessaire, facile / unbedingt nötig, einfach</v>
      </c>
    </row>
    <row r="347" spans="2:5" x14ac:dyDescent="0.25">
      <c r="B347" t="str">
        <f>IF('[1]Charriage - Geschiebehaushalt'!P235="a",'[1]Charriage - Geschiebehaushalt'!O235,"")</f>
        <v/>
      </c>
      <c r="C347" t="str">
        <f>IF('[1]Charriage - Geschiebehaushalt'!P235="b",'[1]Charriage - Geschiebehaushalt'!O235,"")</f>
        <v>Charriage présumé perturbé / Geschiebehaushalt vermutlich beeinträchtigt</v>
      </c>
      <c r="D347" t="str">
        <f>IF('[1]Revitalisation-Revitalisierung'!L235="a",'[1]Revitalisation-Revitalisierung'!K235,"")</f>
        <v>Partiellement nécessaire, difficile / teilweise nötig, schwierig</v>
      </c>
      <c r="E347" t="str">
        <f>IF('[1]Revitalisation-Revitalisierung'!L235="b",'[1]Revitalisation-Revitalisierung'!K235,"")</f>
        <v/>
      </c>
    </row>
    <row r="348" spans="2:5" x14ac:dyDescent="0.25">
      <c r="B348" t="str">
        <f>IF('[1]Charriage - Geschiebehaushalt'!P236="a",'[1]Charriage - Geschiebehaushalt'!O236,"")</f>
        <v/>
      </c>
      <c r="C348" t="str">
        <f>IF('[1]Charriage - Geschiebehaushalt'!P236="b",'[1]Charriage - Geschiebehaushalt'!O236,"")</f>
        <v>Charriage présumé perturbé / Geschiebehaushalt vermutlich beeinträchtigt</v>
      </c>
      <c r="D348" t="str">
        <f>IF('[1]Revitalisation-Revitalisierung'!L236="a",'[1]Revitalisation-Revitalisierung'!K236,"")</f>
        <v>Partiellement nécessaire, facile / teilweise nötig, einfach</v>
      </c>
      <c r="E348" t="str">
        <f>IF('[1]Revitalisation-Revitalisierung'!L236="b",'[1]Revitalisation-Revitalisierung'!K236,"")</f>
        <v/>
      </c>
    </row>
    <row r="349" spans="2:5" x14ac:dyDescent="0.25">
      <c r="B349" t="str">
        <f>IF('[1]Charriage - Geschiebehaushalt'!P237="a",'[1]Charriage - Geschiebehaushalt'!O237,"")</f>
        <v/>
      </c>
      <c r="C349" t="str">
        <f>IF('[1]Charriage - Geschiebehaushalt'!P237="b",'[1]Charriage - Geschiebehaushalt'!O237,"")</f>
        <v>Charriage présumé naturel / Geschiebehaushalt vermutlich natürlich</v>
      </c>
      <c r="D349" t="str">
        <f>IF('[1]Revitalisation-Revitalisierung'!L237="a",'[1]Revitalisation-Revitalisierung'!K237,"")</f>
        <v>Non nécessaire / nicht nötig</v>
      </c>
      <c r="E349" t="str">
        <f>IF('[1]Revitalisation-Revitalisierung'!L237="b",'[1]Revitalisation-Revitalisierung'!K237,"")</f>
        <v/>
      </c>
    </row>
    <row r="350" spans="2:5" x14ac:dyDescent="0.25">
      <c r="B350" t="str">
        <f>IF('[1]Charriage - Geschiebehaushalt'!P238="a",'[1]Charriage - Geschiebehaushalt'!O238,"")</f>
        <v/>
      </c>
      <c r="C350" t="str">
        <f>IF('[1]Charriage - Geschiebehaushalt'!P238="b",'[1]Charriage - Geschiebehaushalt'!O238,"")</f>
        <v>Charriage présumé naturel / Geschiebehaushalt vermutlich natürlich</v>
      </c>
      <c r="D350" t="str">
        <f>IF('[1]Revitalisation-Revitalisierung'!L238="a",'[1]Revitalisation-Revitalisierung'!K238,"")</f>
        <v>Non nécessaire / nicht nötig</v>
      </c>
      <c r="E350" t="str">
        <f>IF('[1]Revitalisation-Revitalisierung'!L238="b",'[1]Revitalisation-Revitalisierung'!K238,"")</f>
        <v/>
      </c>
    </row>
    <row r="351" spans="2:5" x14ac:dyDescent="0.25">
      <c r="B351" t="str">
        <f>IF('[1]Charriage - Geschiebehaushalt'!P239="a",'[1]Charriage - Geschiebehaushalt'!O239,"")</f>
        <v/>
      </c>
      <c r="C351" t="str">
        <f>IF('[1]Charriage - Geschiebehaushalt'!P239="b",'[1]Charriage - Geschiebehaushalt'!O239,"")</f>
        <v>Charriage présumé naturel / Geschiebehaushalt vermutlich natürlich</v>
      </c>
      <c r="D351" t="str">
        <f>IF('[1]Revitalisation-Revitalisierung'!L239="a",'[1]Revitalisation-Revitalisierung'!K239,"")</f>
        <v>Non nécessaire / nicht nötig</v>
      </c>
      <c r="E351" t="str">
        <f>IF('[1]Revitalisation-Revitalisierung'!L239="b",'[1]Revitalisation-Revitalisierung'!K239,"")</f>
        <v/>
      </c>
    </row>
    <row r="352" spans="2:5" x14ac:dyDescent="0.25">
      <c r="B352" t="str">
        <f>IF('[1]Charriage - Geschiebehaushalt'!P240="a",'[1]Charriage - Geschiebehaushalt'!O240,"")</f>
        <v/>
      </c>
      <c r="C352" t="str">
        <f>IF('[1]Charriage - Geschiebehaushalt'!P240="b",'[1]Charriage - Geschiebehaushalt'!O240,"")</f>
        <v>Déficit non apparent en charriage ou en remobilisation des sédiments / kein sichtbares Defizit beim Geschiebehaushalt bzw. bei der Mobilisierung von Geschiebe</v>
      </c>
      <c r="D352" t="str">
        <f>IF('[1]Revitalisation-Revitalisierung'!L240="a",'[1]Revitalisation-Revitalisierung'!K240,"")</f>
        <v/>
      </c>
      <c r="E352" t="str">
        <f>IF('[1]Revitalisation-Revitalisierung'!L240="b",'[1]Revitalisation-Revitalisierung'!K240,"")</f>
        <v>Non nécessaire / nicht nötig</v>
      </c>
    </row>
    <row r="353" spans="2:5" x14ac:dyDescent="0.25">
      <c r="B353" t="str">
        <f>IF('[1]Charriage - Geschiebehaushalt'!P241="a",'[1]Charriage - Geschiebehaushalt'!O241,"")</f>
        <v/>
      </c>
      <c r="C353" t="str">
        <f>IF('[1]Charriage - Geschiebehaushalt'!P241="b",'[1]Charriage - Geschiebehaushalt'!O241,"")</f>
        <v>La remobilisation des sédiments est perturbée / Mobilisierung von Geschiebe beeinträchtigt</v>
      </c>
      <c r="D353" t="str">
        <f>IF('[1]Revitalisation-Revitalisierung'!L241="a",'[1]Revitalisation-Revitalisierung'!K241,"")</f>
        <v>Très nécessaire, facile / unbedingt nötig, einfach</v>
      </c>
      <c r="E353" t="str">
        <f>IF('[1]Revitalisation-Revitalisierung'!L241="b",'[1]Revitalisation-Revitalisierung'!K241,"")</f>
        <v/>
      </c>
    </row>
    <row r="354" spans="2:5" x14ac:dyDescent="0.25">
      <c r="B354" t="str">
        <f>IF('[1]Charriage - Geschiebehaushalt'!P242="a",'[1]Charriage - Geschiebehaushalt'!O242,"")</f>
        <v/>
      </c>
      <c r="C354" t="str">
        <f>IF('[1]Charriage - Geschiebehaushalt'!P242="b",'[1]Charriage - Geschiebehaushalt'!O242,"")</f>
        <v>Charriage présumé naturel / Geschiebehaushalt vermutlich natürlich</v>
      </c>
      <c r="D354" t="str">
        <f>IF('[1]Revitalisation-Revitalisierung'!L242="a",'[1]Revitalisation-Revitalisierung'!K242,"")</f>
        <v>Non nécessaire / nicht nötig</v>
      </c>
      <c r="E354" t="str">
        <f>IF('[1]Revitalisation-Revitalisierung'!L242="b",'[1]Revitalisation-Revitalisierung'!K242,"")</f>
        <v/>
      </c>
    </row>
    <row r="355" spans="2:5" x14ac:dyDescent="0.25">
      <c r="B355" t="str">
        <f>IF('[1]Charriage - Geschiebehaushalt'!P243="a",'[1]Charriage - Geschiebehaushalt'!O243,"")</f>
        <v/>
      </c>
      <c r="C355" t="str">
        <f>IF('[1]Charriage - Geschiebehaushalt'!P243="b",'[1]Charriage - Geschiebehaushalt'!O243,"")</f>
        <v>Charriage présumé naturel / Geschiebehaushalt vermutlich natürlich</v>
      </c>
      <c r="D355" t="str">
        <f>IF('[1]Revitalisation-Revitalisierung'!L243="a",'[1]Revitalisation-Revitalisierung'!K243,"")</f>
        <v>Non nécessaire / nicht nötig</v>
      </c>
      <c r="E355" t="str">
        <f>IF('[1]Revitalisation-Revitalisierung'!L243="b",'[1]Revitalisation-Revitalisierung'!K243,"")</f>
        <v/>
      </c>
    </row>
    <row r="356" spans="2:5" x14ac:dyDescent="0.25">
      <c r="B356" t="str">
        <f>IF('[1]Charriage - Geschiebehaushalt'!P244="a",'[1]Charriage - Geschiebehaushalt'!O244,"")</f>
        <v/>
      </c>
      <c r="C356" t="str">
        <f>IF('[1]Charriage - Geschiebehaushalt'!P244="b",'[1]Charriage - Geschiebehaushalt'!O244,"")</f>
        <v>La remobilisation des sédiments est perturbée / Mobilisierung von Geschiebe beeinträchtigt</v>
      </c>
      <c r="D356" t="str">
        <f>IF('[1]Revitalisation-Revitalisierung'!L244="a",'[1]Revitalisation-Revitalisierung'!K244,"")</f>
        <v/>
      </c>
      <c r="E356" t="str">
        <f>IF('[1]Revitalisation-Revitalisierung'!L244="b",'[1]Revitalisation-Revitalisierung'!K244,"")</f>
        <v>Très nécessaire, facile / unbedingt nötig, einfach</v>
      </c>
    </row>
    <row r="357" spans="2:5" x14ac:dyDescent="0.25">
      <c r="B357" t="str">
        <f>IF('[1]Charriage - Geschiebehaushalt'!P245="a",'[1]Charriage - Geschiebehaushalt'!O245,"")</f>
        <v/>
      </c>
      <c r="C357" t="str">
        <f>IF('[1]Charriage - Geschiebehaushalt'!P245="b",'[1]Charriage - Geschiebehaushalt'!O245,"")</f>
        <v>Charriage présumé naturel / Geschiebehaushalt vermutlich natürlich</v>
      </c>
      <c r="D357" t="str">
        <f>IF('[1]Revitalisation-Revitalisierung'!L245="a",'[1]Revitalisation-Revitalisierung'!K245,"")</f>
        <v>Très nécessaire, facile / unbedingt nötig, einfach</v>
      </c>
      <c r="E357" t="str">
        <f>IF('[1]Revitalisation-Revitalisierung'!L245="b",'[1]Revitalisation-Revitalisierung'!K245,"")</f>
        <v/>
      </c>
    </row>
    <row r="358" spans="2:5" x14ac:dyDescent="0.25">
      <c r="B358" t="str">
        <f>IF('[1]Charriage - Geschiebehaushalt'!P246="a",'[1]Charriage - Geschiebehaushalt'!O246,"")</f>
        <v/>
      </c>
      <c r="C358" t="str">
        <f>IF('[1]Charriage - Geschiebehaushalt'!P246="b",'[1]Charriage - Geschiebehaushalt'!O246,"")</f>
        <v>Charriage présumé naturel / Geschiebehaushalt vermutlich natürlich</v>
      </c>
      <c r="D358" t="str">
        <f>IF('[1]Revitalisation-Revitalisierung'!L246="a",'[1]Revitalisation-Revitalisierung'!K246,"")</f>
        <v/>
      </c>
      <c r="E358" t="str">
        <f>IF('[1]Revitalisation-Revitalisierung'!L246="b",'[1]Revitalisation-Revitalisierung'!K246,"")</f>
        <v>Partiellement nécessaire, difficile / teilweise nötig, schwierig</v>
      </c>
    </row>
    <row r="359" spans="2:5" x14ac:dyDescent="0.25">
      <c r="B359" t="str">
        <f>IF('[1]Charriage - Geschiebehaushalt'!P247="a",'[1]Charriage - Geschiebehaushalt'!O247,"")</f>
        <v>0-20%</v>
      </c>
      <c r="C359" t="str">
        <f>IF('[1]Charriage - Geschiebehaushalt'!P247="b",'[1]Charriage - Geschiebehaushalt'!O247,"")</f>
        <v/>
      </c>
      <c r="D359" t="str">
        <f>IF('[1]Revitalisation-Revitalisierung'!L247="a",'[1]Revitalisation-Revitalisierung'!K247,"")</f>
        <v>Non nécessaire / nicht nötig</v>
      </c>
      <c r="E359" t="str">
        <f>IF('[1]Revitalisation-Revitalisierung'!L247="b",'[1]Revitalisation-Revitalisierung'!K247,"")</f>
        <v/>
      </c>
    </row>
    <row r="360" spans="2:5" x14ac:dyDescent="0.25">
      <c r="B360" t="str">
        <f>IF('[1]Charriage - Geschiebehaushalt'!P248="a",'[1]Charriage - Geschiebehaushalt'!O248,"")</f>
        <v>Charriage présumé naturel / Geschiebehaushalt vermutlich natürlich</v>
      </c>
      <c r="C360" t="str">
        <f>IF('[1]Charriage - Geschiebehaushalt'!P248="b",'[1]Charriage - Geschiebehaushalt'!O248,"")</f>
        <v/>
      </c>
      <c r="D360" t="str">
        <f>IF('[1]Revitalisation-Revitalisierung'!L248="a",'[1]Revitalisation-Revitalisierung'!K248,"")</f>
        <v>Non nécessaire / nicht nötig</v>
      </c>
      <c r="E360" t="str">
        <f>IF('[1]Revitalisation-Revitalisierung'!L248="b",'[1]Revitalisation-Revitalisierung'!K248,"")</f>
        <v/>
      </c>
    </row>
    <row r="361" spans="2:5" x14ac:dyDescent="0.25">
      <c r="B361" t="str">
        <f>IF('[1]Charriage - Geschiebehaushalt'!P249="a",'[1]Charriage - Geschiebehaushalt'!O249,"")</f>
        <v/>
      </c>
      <c r="C361" t="str">
        <f>IF('[1]Charriage - Geschiebehaushalt'!P249="b",'[1]Charriage - Geschiebehaushalt'!O249,"")</f>
        <v>Déficit non apparent en charriage ou en remobilisation des sédiments / kein sichtbares Defizit beim Geschiebehaushalt bzw. bei der Mobilisierung von Geschiebe</v>
      </c>
      <c r="D361" t="str">
        <f>IF('[1]Revitalisation-Revitalisierung'!L249="a",'[1]Revitalisation-Revitalisierung'!K249,"")</f>
        <v/>
      </c>
      <c r="E361" t="str">
        <f>IF('[1]Revitalisation-Revitalisierung'!L249="b",'[1]Revitalisation-Revitalisierung'!K249,"")</f>
        <v>Non nécessaire / nicht nötig</v>
      </c>
    </row>
    <row r="362" spans="2:5" x14ac:dyDescent="0.25">
      <c r="B362" t="str">
        <f>IF('[1]Charriage - Geschiebehaushalt'!P250="a",'[1]Charriage - Geschiebehaushalt'!O250,"")</f>
        <v>21-50%</v>
      </c>
      <c r="C362" t="str">
        <f>IF('[1]Charriage - Geschiebehaushalt'!P250="b",'[1]Charriage - Geschiebehaushalt'!O250,"")</f>
        <v/>
      </c>
      <c r="D362" t="str">
        <f>IF('[1]Revitalisation-Revitalisierung'!L250="a",'[1]Revitalisation-Revitalisierung'!K250,"")</f>
        <v/>
      </c>
      <c r="E362" t="str">
        <f>IF('[1]Revitalisation-Revitalisierung'!L250="b",'[1]Revitalisation-Revitalisierung'!K250,"")</f>
        <v>Très nécessaire, facile / unbedingt nötig, einfach</v>
      </c>
    </row>
    <row r="363" spans="2:5" x14ac:dyDescent="0.25">
      <c r="B363" t="str">
        <f>IF('[1]Charriage - Geschiebehaushalt'!P251="a",'[1]Charriage - Geschiebehaushalt'!O251,"")</f>
        <v>51-80%</v>
      </c>
      <c r="C363" t="str">
        <f>IF('[1]Charriage - Geschiebehaushalt'!P251="b",'[1]Charriage - Geschiebehaushalt'!O251,"")</f>
        <v/>
      </c>
      <c r="D363" t="str">
        <f>IF('[1]Revitalisation-Revitalisierung'!L251="a",'[1]Revitalisation-Revitalisierung'!K251,"")</f>
        <v>Très nécessaire, facile / unbedingt nötig, einfach</v>
      </c>
      <c r="E363" t="str">
        <f>IF('[1]Revitalisation-Revitalisierung'!L251="b",'[1]Revitalisation-Revitalisierung'!K251,"")</f>
        <v/>
      </c>
    </row>
    <row r="364" spans="2:5" x14ac:dyDescent="0.25">
      <c r="B364" t="str">
        <f>IF('[1]Charriage - Geschiebehaushalt'!P252="a",'[1]Charriage - Geschiebehaushalt'!O252,"")</f>
        <v>51-80%</v>
      </c>
      <c r="C364" t="str">
        <f>IF('[1]Charriage - Geschiebehaushalt'!P252="b",'[1]Charriage - Geschiebehaushalt'!O252,"")</f>
        <v/>
      </c>
      <c r="D364" t="str">
        <f>IF('[1]Revitalisation-Revitalisierung'!L252="a",'[1]Revitalisation-Revitalisierung'!K252,"")</f>
        <v>Très nécessaire, facile / unbedingt nötig, einfach</v>
      </c>
      <c r="E364" t="str">
        <f>IF('[1]Revitalisation-Revitalisierung'!L252="b",'[1]Revitalisation-Revitalisierung'!K252,"")</f>
        <v/>
      </c>
    </row>
    <row r="365" spans="2:5" x14ac:dyDescent="0.25">
      <c r="B365" t="str">
        <f>IF('[1]Charriage - Geschiebehaushalt'!P253="a",'[1]Charriage - Geschiebehaushalt'!O253,"")</f>
        <v>Charriage présumé naturel / Geschiebehaushalt vermutlich natürlich</v>
      </c>
      <c r="C365" t="str">
        <f>IF('[1]Charriage - Geschiebehaushalt'!P253="b",'[1]Charriage - Geschiebehaushalt'!O253,"")</f>
        <v/>
      </c>
      <c r="D365" t="str">
        <f>IF('[1]Revitalisation-Revitalisierung'!L253="a",'[1]Revitalisation-Revitalisierung'!K253,"")</f>
        <v>Non nécessaire / nicht nötig</v>
      </c>
      <c r="E365" t="str">
        <f>IF('[1]Revitalisation-Revitalisierung'!L253="b",'[1]Revitalisation-Revitalisierung'!K253,"")</f>
        <v/>
      </c>
    </row>
    <row r="366" spans="2:5" x14ac:dyDescent="0.25">
      <c r="B366" t="str">
        <f>IF('[1]Charriage - Geschiebehaushalt'!P254="a",'[1]Charriage - Geschiebehaushalt'!O254,"")</f>
        <v>0-20%</v>
      </c>
      <c r="C366" t="str">
        <f>IF('[1]Charriage - Geschiebehaushalt'!P254="b",'[1]Charriage - Geschiebehaushalt'!O254,"")</f>
        <v/>
      </c>
      <c r="D366" t="str">
        <f>IF('[1]Revitalisation-Revitalisierung'!L254="a",'[1]Revitalisation-Revitalisierung'!K254,"")</f>
        <v>Non nécessaire / nicht nötig</v>
      </c>
      <c r="E366" t="str">
        <f>IF('[1]Revitalisation-Revitalisierung'!L254="b",'[1]Revitalisation-Revitalisierung'!K254,"")</f>
        <v/>
      </c>
    </row>
    <row r="367" spans="2:5" x14ac:dyDescent="0.25">
      <c r="B367" t="str">
        <f>IF('[1]Charriage - Geschiebehaushalt'!P255="a",'[1]Charriage - Geschiebehaushalt'!O255,"")</f>
        <v>21-50%</v>
      </c>
      <c r="C367" t="str">
        <f>IF('[1]Charriage - Geschiebehaushalt'!P255="b",'[1]Charriage - Geschiebehaushalt'!O255,"")</f>
        <v/>
      </c>
      <c r="D367" t="str">
        <f>IF('[1]Revitalisation-Revitalisierung'!L255="a",'[1]Revitalisation-Revitalisierung'!K255,"")</f>
        <v>Très nécessaire, difficile / unbedingt nötig, schwierig</v>
      </c>
      <c r="E367" t="str">
        <f>IF('[1]Revitalisation-Revitalisierung'!L255="b",'[1]Revitalisation-Revitalisierung'!K255,"")</f>
        <v/>
      </c>
    </row>
    <row r="368" spans="2:5" x14ac:dyDescent="0.25">
      <c r="B368" t="str">
        <f>IF('[1]Charriage - Geschiebehaushalt'!P256="a",'[1]Charriage - Geschiebehaushalt'!O256,"")</f>
        <v>0-20%</v>
      </c>
      <c r="C368" t="str">
        <f>IF('[1]Charriage - Geschiebehaushalt'!P256="b",'[1]Charriage - Geschiebehaushalt'!O256,"")</f>
        <v/>
      </c>
      <c r="D368" t="str">
        <f>IF('[1]Revitalisation-Revitalisierung'!L256="a",'[1]Revitalisation-Revitalisierung'!K256,"")</f>
        <v>Non nécessaire / nicht nötig</v>
      </c>
      <c r="E368" t="str">
        <f>IF('[1]Revitalisation-Revitalisierung'!L256="b",'[1]Revitalisation-Revitalisierung'!K256,"")</f>
        <v/>
      </c>
    </row>
    <row r="369" spans="2:5" x14ac:dyDescent="0.25">
      <c r="B369" t="str">
        <f>IF('[1]Charriage - Geschiebehaushalt'!P257="a",'[1]Charriage - Geschiebehaushalt'!O257,"")</f>
        <v>0-20%</v>
      </c>
      <c r="C369" t="str">
        <f>IF('[1]Charriage - Geschiebehaushalt'!P257="b",'[1]Charriage - Geschiebehaushalt'!O257,"")</f>
        <v/>
      </c>
      <c r="D369" t="str">
        <f>IF('[1]Revitalisation-Revitalisierung'!L257="a",'[1]Revitalisation-Revitalisierung'!K257,"")</f>
        <v>Non nécessaire / nicht nötig</v>
      </c>
      <c r="E369" t="str">
        <f>IF('[1]Revitalisation-Revitalisierung'!L257="b",'[1]Revitalisation-Revitalisierung'!K257,"")</f>
        <v/>
      </c>
    </row>
    <row r="370" spans="2:5" x14ac:dyDescent="0.25">
      <c r="B370" t="str">
        <f>IF('[1]Charriage - Geschiebehaushalt'!P258="a",'[1]Charriage - Geschiebehaushalt'!O258,"")</f>
        <v>0-20%</v>
      </c>
      <c r="C370" t="str">
        <f>IF('[1]Charriage - Geschiebehaushalt'!P258="b",'[1]Charriage - Geschiebehaushalt'!O258,"")</f>
        <v/>
      </c>
      <c r="D370" t="str">
        <f>IF('[1]Revitalisation-Revitalisierung'!L258="a",'[1]Revitalisation-Revitalisierung'!K258,"")</f>
        <v/>
      </c>
      <c r="E370" t="str">
        <f>IF('[1]Revitalisation-Revitalisierung'!L258="b",'[1]Revitalisation-Revitalisierung'!K258,"")</f>
        <v>Très nécessaire, difficile / unbedingt nötig, schwierig</v>
      </c>
    </row>
    <row r="371" spans="2:5" x14ac:dyDescent="0.25">
      <c r="B371" t="str">
        <f>IF('[1]Charriage - Geschiebehaushalt'!P259="a",'[1]Charriage - Geschiebehaushalt'!O259,"")</f>
        <v>0-20%</v>
      </c>
      <c r="C371" t="str">
        <f>IF('[1]Charriage - Geschiebehaushalt'!P259="b",'[1]Charriage - Geschiebehaushalt'!O259,"")</f>
        <v/>
      </c>
      <c r="D371" t="str">
        <f>IF('[1]Revitalisation-Revitalisierung'!L259="a",'[1]Revitalisation-Revitalisierung'!K259,"")</f>
        <v/>
      </c>
      <c r="E371" t="str">
        <f>IF('[1]Revitalisation-Revitalisierung'!L259="b",'[1]Revitalisation-Revitalisierung'!K259,"")</f>
        <v>Partiellement nécessaire, difficile / teilweise nötig, schwierig</v>
      </c>
    </row>
    <row r="372" spans="2:5" x14ac:dyDescent="0.25">
      <c r="B372" t="str">
        <f>IF('[1]Charriage - Geschiebehaushalt'!P260="a",'[1]Charriage - Geschiebehaushalt'!O260,"")</f>
        <v>0-20%</v>
      </c>
      <c r="C372" t="str">
        <f>IF('[1]Charriage - Geschiebehaushalt'!P260="b",'[1]Charriage - Geschiebehaushalt'!O260,"")</f>
        <v/>
      </c>
      <c r="D372" t="str">
        <f>IF('[1]Revitalisation-Revitalisierung'!L260="a",'[1]Revitalisation-Revitalisierung'!K260,"")</f>
        <v>Non nécessaire / nicht nötig</v>
      </c>
      <c r="E372" t="str">
        <f>IF('[1]Revitalisation-Revitalisierung'!L260="b",'[1]Revitalisation-Revitalisierung'!K260,"")</f>
        <v/>
      </c>
    </row>
    <row r="373" spans="2:5" x14ac:dyDescent="0.25">
      <c r="B373" t="str">
        <f>IF('[1]Charriage - Geschiebehaushalt'!P261="a",'[1]Charriage - Geschiebehaushalt'!O261,"")</f>
        <v>0-20%</v>
      </c>
      <c r="C373" t="str">
        <f>IF('[1]Charriage - Geschiebehaushalt'!P261="b",'[1]Charriage - Geschiebehaushalt'!O261,"")</f>
        <v/>
      </c>
      <c r="D373" t="str">
        <f>IF('[1]Revitalisation-Revitalisierung'!L261="a",'[1]Revitalisation-Revitalisierung'!K261,"")</f>
        <v>Non nécessaire / nicht nötig</v>
      </c>
      <c r="E373" t="str">
        <f>IF('[1]Revitalisation-Revitalisierung'!L261="b",'[1]Revitalisation-Revitalisierung'!K261,"")</f>
        <v/>
      </c>
    </row>
    <row r="374" spans="2:5" x14ac:dyDescent="0.25">
      <c r="B374" t="str">
        <f>IF('[1]Charriage - Geschiebehaushalt'!P262="a",'[1]Charriage - Geschiebehaushalt'!O262,"")</f>
        <v>0-20%</v>
      </c>
      <c r="C374" t="str">
        <f>IF('[1]Charriage - Geschiebehaushalt'!P262="b",'[1]Charriage - Geschiebehaushalt'!O262,"")</f>
        <v/>
      </c>
      <c r="D374" t="str">
        <f>IF('[1]Revitalisation-Revitalisierung'!L262="a",'[1]Revitalisation-Revitalisierung'!K262,"")</f>
        <v>Non nécessaire / nicht nötig</v>
      </c>
      <c r="E374" t="str">
        <f>IF('[1]Revitalisation-Revitalisierung'!L262="b",'[1]Revitalisation-Revitalisierung'!K262,"")</f>
        <v/>
      </c>
    </row>
    <row r="375" spans="2:5" x14ac:dyDescent="0.25">
      <c r="B375" t="str">
        <f>IF('[1]Charriage - Geschiebehaushalt'!P263="a",'[1]Charriage - Geschiebehaushalt'!O263,"")</f>
        <v>0-20%</v>
      </c>
      <c r="C375" t="str">
        <f>IF('[1]Charriage - Geschiebehaushalt'!P263="b",'[1]Charriage - Geschiebehaushalt'!O263,"")</f>
        <v/>
      </c>
      <c r="D375" t="str">
        <f>IF('[1]Revitalisation-Revitalisierung'!L263="a",'[1]Revitalisation-Revitalisierung'!K263,"")</f>
        <v/>
      </c>
      <c r="E375" t="str">
        <f>IF('[1]Revitalisation-Revitalisierung'!L263="b",'[1]Revitalisation-Revitalisierung'!K263,"")</f>
        <v>Partiellement nécessaire, facile / teilweise nötig, einfach</v>
      </c>
    </row>
    <row r="376" spans="2:5" x14ac:dyDescent="0.25">
      <c r="B376" t="str">
        <f>IF('[1]Charriage - Geschiebehaushalt'!P264="a",'[1]Charriage - Geschiebehaushalt'!O264,"")</f>
        <v/>
      </c>
      <c r="C376" t="str">
        <f>IF('[1]Charriage - Geschiebehaushalt'!P264="b",'[1]Charriage - Geschiebehaushalt'!O264,"")</f>
        <v>Déficit non apparent en charriage ou en remobilisation des sédiments / kein sichtbares Defizit beim Geschiebehaushalt bzw. bei der Mobilisierung von Geschiebe</v>
      </c>
      <c r="D376" t="str">
        <f>IF('[1]Revitalisation-Revitalisierung'!L264="a",'[1]Revitalisation-Revitalisierung'!K264,"")</f>
        <v>Non nécessaire / nicht nötig</v>
      </c>
      <c r="E376" t="str">
        <f>IF('[1]Revitalisation-Revitalisierung'!L264="b",'[1]Revitalisation-Revitalisierung'!K264,"")</f>
        <v/>
      </c>
    </row>
    <row r="377" spans="2:5" x14ac:dyDescent="0.25">
      <c r="B377" t="str">
        <f>IF('[1]Charriage - Geschiebehaushalt'!P265="a",'[1]Charriage - Geschiebehaushalt'!O265,"")</f>
        <v/>
      </c>
      <c r="C377" t="str">
        <f>IF('[1]Charriage - Geschiebehaushalt'!P265="b",'[1]Charriage - Geschiebehaushalt'!O265,"")</f>
        <v>La remobilisation des sédiments est perturbée / Mobilisierung von Geschiebe beeinträchtigt</v>
      </c>
      <c r="D377" t="str">
        <f>IF('[1]Revitalisation-Revitalisierung'!L265="a",'[1]Revitalisation-Revitalisierung'!K265,"")</f>
        <v/>
      </c>
      <c r="E377" t="str">
        <f>IF('[1]Revitalisation-Revitalisierung'!L265="b",'[1]Revitalisation-Revitalisierung'!K265,"")</f>
        <v>Partiellement nécessaire, difficile / teilweise nötig, schwierig</v>
      </c>
    </row>
    <row r="378" spans="2:5" x14ac:dyDescent="0.25">
      <c r="B378" t="str">
        <f>IF('[1]Charriage - Geschiebehaushalt'!P266="a",'[1]Charriage - Geschiebehaushalt'!O266,"")</f>
        <v>0-20%</v>
      </c>
      <c r="C378" t="str">
        <f>IF('[1]Charriage - Geschiebehaushalt'!P266="b",'[1]Charriage - Geschiebehaushalt'!O266,"")</f>
        <v/>
      </c>
      <c r="D378" t="str">
        <f>IF('[1]Revitalisation-Revitalisierung'!L266="a",'[1]Revitalisation-Revitalisierung'!K266,"")</f>
        <v/>
      </c>
      <c r="E378" t="str">
        <f>IF('[1]Revitalisation-Revitalisierung'!L266="b",'[1]Revitalisation-Revitalisierung'!K266,"")</f>
        <v>Partiellement nécessaire, difficile / teilweise nötig, schwierig</v>
      </c>
    </row>
    <row r="379" spans="2:5" x14ac:dyDescent="0.25">
      <c r="B379" t="str">
        <f>IF('[1]Charriage - Geschiebehaushalt'!P267="a",'[1]Charriage - Geschiebehaushalt'!O267,"")</f>
        <v/>
      </c>
      <c r="C379" t="str">
        <f>IF('[1]Charriage - Geschiebehaushalt'!P267="b",'[1]Charriage - Geschiebehaushalt'!O267,"")</f>
        <v>Déficit non apparent en charriage ou en remobilisation des sédiments / kein sichtbares Defizit beim Geschiebehaushalt bzw. bei der Mobilisierung von Geschiebe</v>
      </c>
      <c r="D379" t="str">
        <f>IF('[1]Revitalisation-Revitalisierung'!L267="a",'[1]Revitalisation-Revitalisierung'!K267,"")</f>
        <v>Non nécessaire / nicht nötig</v>
      </c>
      <c r="E379" t="str">
        <f>IF('[1]Revitalisation-Revitalisierung'!L267="b",'[1]Revitalisation-Revitalisierung'!K267,"")</f>
        <v/>
      </c>
    </row>
    <row r="380" spans="2:5" x14ac:dyDescent="0.25">
      <c r="B380" t="str">
        <f>IF('[1]Charriage - Geschiebehaushalt'!P268="a",'[1]Charriage - Geschiebehaushalt'!O268,"")</f>
        <v/>
      </c>
      <c r="C380" t="str">
        <f>IF('[1]Charriage - Geschiebehaushalt'!P268="b",'[1]Charriage - Geschiebehaushalt'!O268,"")</f>
        <v>La remobilisation des sédiments est perturbée / Mobilisierung von Geschiebe beeinträchtigt</v>
      </c>
      <c r="D380" t="str">
        <f>IF('[1]Revitalisation-Revitalisierung'!L268="a",'[1]Revitalisation-Revitalisierung'!K268,"")</f>
        <v>Très nécessaire, facile / unbedingt nötig, einfach</v>
      </c>
      <c r="E380" t="str">
        <f>IF('[1]Revitalisation-Revitalisierung'!L268="b",'[1]Revitalisation-Revitalisierung'!K268,"")</f>
        <v/>
      </c>
    </row>
    <row r="381" spans="2:5" x14ac:dyDescent="0.25">
      <c r="B381" t="str">
        <f>IF('[1]Charriage - Geschiebehaushalt'!P269="a",'[1]Charriage - Geschiebehaushalt'!O269,"")</f>
        <v/>
      </c>
      <c r="C381" t="str">
        <f>IF('[1]Charriage - Geschiebehaushalt'!P269="b",'[1]Charriage - Geschiebehaushalt'!O269,"")</f>
        <v>Charriage présumé naturel / Geschiebehaushalt vermutlich natürlich</v>
      </c>
      <c r="D381" t="str">
        <f>IF('[1]Revitalisation-Revitalisierung'!L269="a",'[1]Revitalisation-Revitalisierung'!K269,"")</f>
        <v>Non nécessaire / nicht nötig</v>
      </c>
      <c r="E381" t="str">
        <f>IF('[1]Revitalisation-Revitalisierung'!L269="b",'[1]Revitalisation-Revitalisierung'!K269,"")</f>
        <v/>
      </c>
    </row>
    <row r="382" spans="2:5" x14ac:dyDescent="0.25">
      <c r="B382" t="str">
        <f>IF('[1]Charriage - Geschiebehaushalt'!P270="a",'[1]Charriage - Geschiebehaushalt'!O270,"")</f>
        <v/>
      </c>
      <c r="C382" t="str">
        <f>IF('[1]Charriage - Geschiebehaushalt'!P270="b",'[1]Charriage - Geschiebehaushalt'!O270,"")</f>
        <v>Charriage présumé naturel / Geschiebehaushalt vermutlich natürlich</v>
      </c>
      <c r="D382" t="str">
        <f>IF('[1]Revitalisation-Revitalisierung'!L270="a",'[1]Revitalisation-Revitalisierung'!K270,"")</f>
        <v>Non nécessaire / nicht nötig</v>
      </c>
      <c r="E382" t="str">
        <f>IF('[1]Revitalisation-Revitalisierung'!L270="b",'[1]Revitalisation-Revitalisierung'!K270,"")</f>
        <v/>
      </c>
    </row>
    <row r="383" spans="2:5" x14ac:dyDescent="0.25">
      <c r="B383" t="str">
        <f>IF('[1]Charriage - Geschiebehaushalt'!P271="a",'[1]Charriage - Geschiebehaushalt'!O271,"")</f>
        <v/>
      </c>
      <c r="C383" t="str">
        <f>IF('[1]Charriage - Geschiebehaushalt'!P271="b",'[1]Charriage - Geschiebehaushalt'!O271,"")</f>
        <v>Charriage présumé naturel / Geschiebehaushalt vermutlich natürlich</v>
      </c>
      <c r="D383" t="str">
        <f>IF('[1]Revitalisation-Revitalisierung'!L271="a",'[1]Revitalisation-Revitalisierung'!K271,"")</f>
        <v/>
      </c>
      <c r="E383" t="str">
        <f>IF('[1]Revitalisation-Revitalisierung'!L271="b",'[1]Revitalisation-Revitalisierung'!K271,"")</f>
        <v>Non nécessaire / nicht nötig</v>
      </c>
    </row>
    <row r="384" spans="2:5" x14ac:dyDescent="0.25">
      <c r="B384" t="str">
        <f>IF('[1]Charriage - Geschiebehaushalt'!P272="a",'[1]Charriage - Geschiebehaushalt'!O272,"")</f>
        <v/>
      </c>
      <c r="C384" t="str">
        <f>IF('[1]Charriage - Geschiebehaushalt'!P272="b",'[1]Charriage - Geschiebehaushalt'!O272,"")</f>
        <v>La remobilisation des sédiments est perturbée / Mobilisierung von Geschiebe beeinträchtigt</v>
      </c>
      <c r="D384" t="str">
        <f>IF('[1]Revitalisation-Revitalisierung'!L272="a",'[1]Revitalisation-Revitalisierung'!K272,"")</f>
        <v>Très nécessaire, facile / unbedingt nötig, einfach</v>
      </c>
      <c r="E384" t="str">
        <f>IF('[1]Revitalisation-Revitalisierung'!L272="b",'[1]Revitalisation-Revitalisierung'!K272,"")</f>
        <v/>
      </c>
    </row>
    <row r="385" spans="2:5" x14ac:dyDescent="0.25">
      <c r="B385" t="str">
        <f>IF('[1]Charriage - Geschiebehaushalt'!P297="a",'[1]Charriage - Geschiebehaushalt'!O297,"")</f>
        <v/>
      </c>
      <c r="C385" t="str">
        <f>IF('[1]Charriage - Geschiebehaushalt'!P297="b",'[1]Charriage - Geschiebehaushalt'!O297,"")</f>
        <v/>
      </c>
      <c r="D385" t="str">
        <f>IF('[1]Revitalisation-Revitalisierung'!L297="a",'[1]Revitalisation-Revitalisierung'!K297,"")</f>
        <v/>
      </c>
      <c r="E385" t="str">
        <f>IF('[1]Revitalisation-Revitalisierung'!L297="b",'[1]Revitalisation-Revitalisierung'!K297,"")</f>
        <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04"/>
  <sheetViews>
    <sheetView topLeftCell="A25" zoomScale="85" zoomScaleNormal="85" workbookViewId="0">
      <selection activeCell="L8" sqref="L8"/>
    </sheetView>
  </sheetViews>
  <sheetFormatPr baseColWidth="10" defaultRowHeight="15" x14ac:dyDescent="0.25"/>
  <cols>
    <col min="1" max="1" width="7.85546875" customWidth="1"/>
    <col min="2" max="2" width="23" customWidth="1"/>
    <col min="3" max="3" width="13.5703125" style="1" customWidth="1"/>
    <col min="4" max="4" width="7.7109375" customWidth="1"/>
    <col min="5" max="5" width="8.85546875" customWidth="1"/>
    <col min="6" max="6" width="3.5703125" customWidth="1"/>
    <col min="9" max="9" width="8.85546875" customWidth="1"/>
    <col min="10" max="10" width="4.7109375" customWidth="1"/>
  </cols>
  <sheetData>
    <row r="1" spans="1:10" ht="33.75" customHeight="1" thickBot="1" x14ac:dyDescent="0.3">
      <c r="A1" s="362" t="s">
        <v>1988</v>
      </c>
      <c r="B1" s="363"/>
      <c r="C1" s="364"/>
      <c r="D1" s="363"/>
      <c r="E1" s="363"/>
      <c r="F1" s="363"/>
      <c r="G1" s="363"/>
      <c r="H1" s="363"/>
      <c r="I1" s="363"/>
      <c r="J1" s="365"/>
    </row>
    <row r="2" spans="1:10" ht="20.100000000000001" customHeight="1" thickBot="1" x14ac:dyDescent="0.3"/>
    <row r="3" spans="1:10" ht="20.100000000000001" customHeight="1" x14ac:dyDescent="0.25">
      <c r="A3" s="366" t="s">
        <v>709</v>
      </c>
      <c r="B3" s="367"/>
      <c r="C3" s="368"/>
      <c r="D3" s="367"/>
      <c r="E3" s="367"/>
      <c r="F3" s="367"/>
      <c r="G3" s="367"/>
      <c r="H3" s="367"/>
      <c r="I3" s="367"/>
      <c r="J3" s="369"/>
    </row>
    <row r="4" spans="1:10" s="374" customFormat="1" ht="20.100000000000001" customHeight="1" x14ac:dyDescent="0.25">
      <c r="A4" s="370" t="s">
        <v>1586</v>
      </c>
      <c r="B4" s="371"/>
      <c r="C4" s="371"/>
      <c r="D4" s="371"/>
      <c r="E4" s="371"/>
      <c r="F4" s="371"/>
      <c r="G4" s="371"/>
      <c r="H4" s="371"/>
      <c r="I4" s="372"/>
      <c r="J4" s="373"/>
    </row>
    <row r="5" spans="1:10" s="374" customFormat="1" ht="20.100000000000001" customHeight="1" x14ac:dyDescent="0.25">
      <c r="A5" s="370" t="s">
        <v>1587</v>
      </c>
      <c r="B5" s="371"/>
      <c r="C5" s="371"/>
      <c r="D5" s="371"/>
      <c r="E5" s="371"/>
      <c r="F5" s="371"/>
      <c r="G5" s="371"/>
      <c r="H5" s="371"/>
      <c r="I5" s="375"/>
      <c r="J5" s="376"/>
    </row>
    <row r="6" spans="1:10" s="374" customFormat="1" ht="20.100000000000001" customHeight="1" x14ac:dyDescent="0.25">
      <c r="A6" s="370" t="s">
        <v>1588</v>
      </c>
      <c r="B6" s="371"/>
      <c r="C6" s="371"/>
      <c r="D6" s="371"/>
      <c r="E6" s="371"/>
      <c r="F6" s="371"/>
      <c r="G6" s="371"/>
      <c r="H6" s="371"/>
      <c r="I6" s="377"/>
      <c r="J6" s="378"/>
    </row>
    <row r="7" spans="1:10" s="374" customFormat="1" ht="20.100000000000001" customHeight="1" x14ac:dyDescent="0.25">
      <c r="A7" s="370" t="s">
        <v>1589</v>
      </c>
      <c r="B7" s="371"/>
      <c r="C7" s="371"/>
      <c r="D7" s="371"/>
      <c r="E7" s="371"/>
      <c r="F7" s="371"/>
      <c r="G7" s="371"/>
      <c r="H7" s="371"/>
      <c r="I7" s="379"/>
      <c r="J7" s="380"/>
    </row>
    <row r="8" spans="1:10" s="374" customFormat="1" ht="20.100000000000001" customHeight="1" thickBot="1" x14ac:dyDescent="0.3">
      <c r="A8" s="381" t="s">
        <v>1590</v>
      </c>
      <c r="B8" s="382"/>
      <c r="C8" s="382"/>
      <c r="D8" s="382"/>
      <c r="E8" s="382"/>
      <c r="F8" s="382"/>
      <c r="G8" s="382"/>
      <c r="H8" s="382"/>
      <c r="I8" s="383"/>
      <c r="J8" s="384"/>
    </row>
    <row r="9" spans="1:10" ht="20.100000000000001" customHeight="1" thickBot="1" x14ac:dyDescent="0.3"/>
    <row r="10" spans="1:10" ht="20.100000000000001" customHeight="1" x14ac:dyDescent="0.25">
      <c r="A10" s="366" t="s">
        <v>710</v>
      </c>
      <c r="B10" s="367"/>
      <c r="C10" s="368"/>
      <c r="D10" s="367"/>
      <c r="E10" s="367"/>
      <c r="F10" s="367"/>
      <c r="G10" s="367"/>
      <c r="H10" s="367"/>
      <c r="I10" s="367"/>
      <c r="J10" s="369"/>
    </row>
    <row r="11" spans="1:10" ht="20.100000000000001" customHeight="1" x14ac:dyDescent="0.25">
      <c r="A11" s="370" t="s">
        <v>1534</v>
      </c>
      <c r="B11" s="385"/>
      <c r="C11" s="386"/>
      <c r="D11" s="385"/>
      <c r="E11" s="385"/>
      <c r="F11" s="385"/>
      <c r="G11" s="385"/>
      <c r="H11" s="385"/>
      <c r="I11" s="372"/>
      <c r="J11" s="373"/>
    </row>
    <row r="12" spans="1:10" ht="20.100000000000001" customHeight="1" x14ac:dyDescent="0.25">
      <c r="A12" s="370" t="s">
        <v>1591</v>
      </c>
      <c r="B12" s="385"/>
      <c r="C12" s="386"/>
      <c r="D12" s="385"/>
      <c r="E12" s="385"/>
      <c r="F12" s="385"/>
      <c r="G12" s="385"/>
      <c r="H12" s="385"/>
      <c r="I12" s="375"/>
      <c r="J12" s="376"/>
    </row>
    <row r="13" spans="1:10" ht="20.100000000000001" customHeight="1" x14ac:dyDescent="0.25">
      <c r="A13" s="370" t="s">
        <v>1592</v>
      </c>
      <c r="B13" s="385"/>
      <c r="C13" s="386"/>
      <c r="D13" s="385"/>
      <c r="E13" s="385"/>
      <c r="F13" s="385"/>
      <c r="G13" s="385"/>
      <c r="H13" s="385"/>
      <c r="I13" s="377"/>
      <c r="J13" s="378"/>
    </row>
    <row r="14" spans="1:10" ht="20.100000000000001" customHeight="1" x14ac:dyDescent="0.25">
      <c r="A14" s="370" t="s">
        <v>1593</v>
      </c>
      <c r="B14" s="385"/>
      <c r="C14" s="386"/>
      <c r="D14" s="385"/>
      <c r="E14" s="385"/>
      <c r="F14" s="385"/>
      <c r="G14" s="385"/>
      <c r="H14" s="385"/>
      <c r="I14" s="379"/>
      <c r="J14" s="380"/>
    </row>
    <row r="15" spans="1:10" ht="20.100000000000001" customHeight="1" x14ac:dyDescent="0.25">
      <c r="A15" s="370" t="s">
        <v>1594</v>
      </c>
      <c r="B15" s="385"/>
      <c r="C15" s="386"/>
      <c r="D15" s="385"/>
      <c r="E15" s="385"/>
      <c r="F15" s="385"/>
      <c r="G15" s="385"/>
      <c r="H15" s="385"/>
      <c r="I15" s="387"/>
      <c r="J15" s="388"/>
    </row>
    <row r="16" spans="1:10" ht="20.100000000000001" customHeight="1" thickBot="1" x14ac:dyDescent="0.3">
      <c r="A16" s="381" t="s">
        <v>1595</v>
      </c>
      <c r="B16" s="389"/>
      <c r="C16" s="390"/>
      <c r="D16" s="389"/>
      <c r="E16" s="389"/>
      <c r="F16" s="389"/>
      <c r="G16" s="389"/>
      <c r="H16" s="389"/>
      <c r="I16" s="383"/>
      <c r="J16" s="384"/>
    </row>
    <row r="17" spans="1:11" ht="20.100000000000001" customHeight="1" thickBot="1" x14ac:dyDescent="0.3"/>
    <row r="18" spans="1:11" ht="20.100000000000001" customHeight="1" x14ac:dyDescent="0.25">
      <c r="A18" s="366" t="s">
        <v>711</v>
      </c>
      <c r="B18" s="367"/>
      <c r="C18" s="368"/>
      <c r="D18" s="367"/>
      <c r="E18" s="367"/>
      <c r="F18" s="367"/>
      <c r="G18" s="367"/>
      <c r="H18" s="367"/>
      <c r="I18" s="367"/>
      <c r="J18" s="369"/>
    </row>
    <row r="19" spans="1:11" ht="20.100000000000001" customHeight="1" x14ac:dyDescent="0.25">
      <c r="A19" s="370" t="s">
        <v>722</v>
      </c>
      <c r="B19" s="385"/>
      <c r="C19" s="386"/>
      <c r="D19" s="385"/>
      <c r="E19" s="385"/>
      <c r="F19" s="385"/>
      <c r="G19" s="385"/>
      <c r="H19" s="385"/>
      <c r="I19" s="375"/>
      <c r="J19" s="376"/>
    </row>
    <row r="20" spans="1:11" ht="20.100000000000001" customHeight="1" x14ac:dyDescent="0.25">
      <c r="A20" s="370" t="s">
        <v>719</v>
      </c>
      <c r="B20" s="385"/>
      <c r="C20" s="386"/>
      <c r="D20" s="385"/>
      <c r="E20" s="385"/>
      <c r="F20" s="385"/>
      <c r="G20" s="385"/>
      <c r="H20" s="385"/>
      <c r="I20" s="379"/>
      <c r="J20" s="380"/>
    </row>
    <row r="21" spans="1:11" ht="20.100000000000001" customHeight="1" thickBot="1" x14ac:dyDescent="0.3">
      <c r="A21" s="381" t="s">
        <v>767</v>
      </c>
      <c r="B21" s="389"/>
      <c r="C21" s="390"/>
      <c r="D21" s="389"/>
      <c r="E21" s="389"/>
      <c r="F21" s="389"/>
      <c r="G21" s="389"/>
      <c r="H21" s="389"/>
      <c r="I21" s="383"/>
      <c r="J21" s="384"/>
    </row>
    <row r="22" spans="1:11" ht="20.100000000000001" customHeight="1" thickBot="1" x14ac:dyDescent="0.3"/>
    <row r="23" spans="1:11" ht="20.100000000000001" customHeight="1" x14ac:dyDescent="0.25">
      <c r="A23" s="366" t="s">
        <v>712</v>
      </c>
      <c r="B23" s="391"/>
      <c r="C23" s="392"/>
      <c r="D23" s="391"/>
      <c r="E23" s="391"/>
      <c r="F23" s="391"/>
      <c r="G23" s="391"/>
      <c r="H23" s="391"/>
      <c r="I23" s="391"/>
      <c r="J23" s="393"/>
    </row>
    <row r="24" spans="1:11" ht="20.100000000000001" customHeight="1" x14ac:dyDescent="0.25">
      <c r="A24" s="370" t="s">
        <v>1534</v>
      </c>
      <c r="B24" s="385"/>
      <c r="C24" s="386"/>
      <c r="D24" s="385"/>
      <c r="E24" s="385"/>
      <c r="F24" s="385"/>
      <c r="G24" s="385"/>
      <c r="H24" s="385"/>
      <c r="I24" s="372"/>
      <c r="J24" s="373"/>
    </row>
    <row r="25" spans="1:11" ht="20.100000000000001" customHeight="1" x14ac:dyDescent="0.25">
      <c r="A25" s="370" t="s">
        <v>1596</v>
      </c>
      <c r="B25" s="385"/>
      <c r="C25" s="386"/>
      <c r="D25" s="385"/>
      <c r="E25" s="385"/>
      <c r="F25" s="385"/>
      <c r="G25" s="385"/>
      <c r="H25" s="385"/>
      <c r="I25" s="375"/>
      <c r="J25" s="376"/>
    </row>
    <row r="26" spans="1:11" ht="20.100000000000001" customHeight="1" x14ac:dyDescent="0.25">
      <c r="A26" s="370" t="s">
        <v>723</v>
      </c>
      <c r="B26" s="385"/>
      <c r="C26" s="386"/>
      <c r="D26" s="385"/>
      <c r="E26" s="385"/>
      <c r="F26" s="385"/>
      <c r="G26" s="385"/>
      <c r="H26" s="385"/>
      <c r="I26" s="377"/>
      <c r="J26" s="378"/>
    </row>
    <row r="27" spans="1:11" ht="20.100000000000001" customHeight="1" x14ac:dyDescent="0.25">
      <c r="A27" s="370" t="s">
        <v>720</v>
      </c>
      <c r="B27" s="385"/>
      <c r="C27" s="386"/>
      <c r="D27" s="385"/>
      <c r="E27" s="385"/>
      <c r="F27" s="385"/>
      <c r="G27" s="385"/>
      <c r="H27" s="385"/>
      <c r="I27" s="379"/>
      <c r="J27" s="380"/>
    </row>
    <row r="28" spans="1:11" ht="20.100000000000001" customHeight="1" x14ac:dyDescent="0.25">
      <c r="A28" s="370" t="s">
        <v>738</v>
      </c>
      <c r="B28" s="385"/>
      <c r="C28" s="386"/>
      <c r="D28" s="385"/>
      <c r="E28" s="385"/>
      <c r="F28" s="385"/>
      <c r="G28" s="385"/>
      <c r="H28" s="385"/>
      <c r="I28" s="387"/>
      <c r="J28" s="388"/>
    </row>
    <row r="29" spans="1:11" ht="20.100000000000001" customHeight="1" thickBot="1" x14ac:dyDescent="0.3">
      <c r="A29" s="381" t="s">
        <v>737</v>
      </c>
      <c r="B29" s="389"/>
      <c r="C29" s="390"/>
      <c r="D29" s="389"/>
      <c r="E29" s="389"/>
      <c r="F29" s="389"/>
      <c r="G29" s="389"/>
      <c r="H29" s="389"/>
      <c r="I29" s="383"/>
      <c r="J29" s="384"/>
    </row>
    <row r="31" spans="1:11" ht="20.100000000000001" customHeight="1" thickBot="1" x14ac:dyDescent="0.3"/>
    <row r="32" spans="1:11" ht="38.25" customHeight="1" x14ac:dyDescent="0.25">
      <c r="A32" s="394" t="s">
        <v>1053</v>
      </c>
      <c r="B32" s="395" t="s">
        <v>21</v>
      </c>
      <c r="C32" s="395" t="s">
        <v>22</v>
      </c>
      <c r="D32" s="396" t="s">
        <v>20</v>
      </c>
      <c r="E32" s="1396" t="s">
        <v>709</v>
      </c>
      <c r="F32" s="1397"/>
      <c r="G32" s="397" t="s">
        <v>710</v>
      </c>
      <c r="H32" s="397" t="s">
        <v>711</v>
      </c>
      <c r="I32" s="1396" t="s">
        <v>712</v>
      </c>
      <c r="J32" s="1397"/>
      <c r="K32" s="398"/>
    </row>
    <row r="33" spans="1:11" ht="20.100000000000001" customHeight="1" x14ac:dyDescent="0.25">
      <c r="A33" s="399">
        <v>2</v>
      </c>
      <c r="B33" s="400" t="s">
        <v>36</v>
      </c>
      <c r="C33" s="400" t="s">
        <v>37</v>
      </c>
      <c r="D33" s="401" t="s">
        <v>35</v>
      </c>
      <c r="E33" s="402" t="str">
        <f>IF(VLOOKUP(A33,'Charriage - Geschiebehaushalt'!$A$4:$AC$275,17,FALSE)="","",VLOOKUP(A33,'Charriage - Geschiebehaushalt'!$A$4:$AC$275,17,FALSE))</f>
        <v>81 -100%</v>
      </c>
      <c r="F33" s="403" t="str">
        <f>IF(VLOOKUP(A33,'Charriage - Geschiebehaushalt'!$A$4:$AC$275,18,FALSE)="","",VLOOKUP(A33,'Charriage - Geschiebehaushalt'!$A$4:$AC$275,18,FALSE))</f>
        <v>a</v>
      </c>
      <c r="G33" s="330" t="str">
        <f>IF(VLOOKUP(A33,'Débit - Abfluss'!$A$4:$AD$275,8,FALSE)="","",VLOOKUP(A33,'Débit - Abfluss'!$A$4:$AD$275,8,FALSE))</f>
        <v>81-100%</v>
      </c>
      <c r="H33" s="404" t="str">
        <f>IF(VLOOKUP(A33,'Eclusée - Schwall-Sunk'!$A$2:$F$273,6,FALSE)="","",VLOOKUP(A33,'Eclusée - Schwall-Sunk'!$A$2:$F$273,6,FALSE))</f>
        <v>Potentiellement affecté mais non plausible / möglicherweise betroffen aber nicht nachweisbar</v>
      </c>
      <c r="I33" s="405" t="str">
        <f>IF(VLOOKUP(A33,'Revitalisation-Revitalisierung'!$A$4:$Z$275,13,FALSE)="","",VLOOKUP(A33,'Revitalisation-Revitalisierung'!$A$4:$Z$275,13,FALSE))</f>
        <v>Partiellement nécessaire, facile / teilweise nötig, einfach</v>
      </c>
      <c r="J33" s="406" t="str">
        <f>IF(VLOOKUP(A33,'Revitalisation-Revitalisierung'!$A$4:$Z$275,14,FALSE)="","",VLOOKUP(A33,'Revitalisation-Revitalisierung'!$A$4:$Z$275,14,FALSE))</f>
        <v>b</v>
      </c>
      <c r="K33" s="407"/>
    </row>
    <row r="34" spans="1:11" ht="20.100000000000001" customHeight="1" x14ac:dyDescent="0.25">
      <c r="A34" s="399">
        <v>3</v>
      </c>
      <c r="B34" s="400" t="s">
        <v>46</v>
      </c>
      <c r="C34" s="400" t="s">
        <v>37</v>
      </c>
      <c r="D34" s="401" t="s">
        <v>35</v>
      </c>
      <c r="E34" s="402" t="str">
        <f>IF(VLOOKUP(A34,'Charriage - Geschiebehaushalt'!$A$4:$AC$275,17,FALSE)="","",VLOOKUP(A34,'Charriage - Geschiebehaushalt'!$A$4:$AC$275,17,FALSE))</f>
        <v>81 -100%</v>
      </c>
      <c r="F34" s="403" t="str">
        <f>IF(VLOOKUP(A34,'Charriage - Geschiebehaushalt'!$A$4:$AC$275,18,FALSE)="","",VLOOKUP(A34,'Charriage - Geschiebehaushalt'!$A$4:$AC$275,18,FALSE))</f>
        <v>a</v>
      </c>
      <c r="G34" s="330" t="str">
        <f>IF(VLOOKUP(A34,'Débit - Abfluss'!$A$4:$AD$275,8,FALSE)="","",VLOOKUP(A34,'Débit - Abfluss'!$A$4:$AD$275,8,FALSE))</f>
        <v>81-100%</v>
      </c>
      <c r="H34" s="404" t="str">
        <f>IF(VLOOKUP(A34,'Eclusée - Schwall-Sunk'!$A$2:$F$273,6,FALSE)="","",VLOOKUP(A34,'Eclusée - Schwall-Sunk'!$A$2:$F$273,6,FALSE))</f>
        <v>Non affecté / nicht betroffen</v>
      </c>
      <c r="I34" s="405" t="str">
        <f>IF(VLOOKUP(A34,'Revitalisation-Revitalisierung'!$A$4:$Z$275,13,FALSE)="","",VLOOKUP(A34,'Revitalisation-Revitalisierung'!$A$4:$Z$275,13,FALSE))</f>
        <v>Partiellement nécessaire, difficile / teilweise nötig, schwierig</v>
      </c>
      <c r="J34" s="406" t="str">
        <f>IF(VLOOKUP(A34,'Revitalisation-Revitalisierung'!$A$4:$Z$275,14,FALSE)="","",VLOOKUP(A34,'Revitalisation-Revitalisierung'!$A$4:$Z$275,14,FALSE))</f>
        <v>b</v>
      </c>
      <c r="K34" s="407"/>
    </row>
    <row r="35" spans="1:11" ht="20.100000000000001" customHeight="1" x14ac:dyDescent="0.25">
      <c r="A35" s="399">
        <v>4</v>
      </c>
      <c r="B35" s="400" t="s">
        <v>440</v>
      </c>
      <c r="C35" s="400" t="s">
        <v>441</v>
      </c>
      <c r="D35" s="401" t="s">
        <v>439</v>
      </c>
      <c r="E35" s="402" t="str">
        <f>IF(VLOOKUP(A35,'Charriage - Geschiebehaushalt'!$A$4:$AC$275,17,FALSE)="","",VLOOKUP(A35,'Charriage - Geschiebehaushalt'!$A$4:$AC$275,17,FALSE))</f>
        <v>Charriage présumé naturel / Geschiebehaushalt vermutlich natürlich</v>
      </c>
      <c r="F35" s="403" t="str">
        <f>IF(VLOOKUP(A35,'Charriage - Geschiebehaushalt'!$A$4:$AC$275,18,FALSE)="","",VLOOKUP(A35,'Charriage - Geschiebehaushalt'!$A$4:$AC$275,18,FALSE))</f>
        <v>b</v>
      </c>
      <c r="G35" s="330" t="str">
        <f>IF(VLOOKUP(A35,'Débit - Abfluss'!$A$4:$AD$275,8,FALSE)="","",VLOOKUP(A35,'Débit - Abfluss'!$A$4:$AD$275,8,FALSE))</f>
        <v>100%</v>
      </c>
      <c r="H35" s="404" t="str">
        <f>IF(VLOOKUP(A35,'Eclusée - Schwall-Sunk'!$A$2:$F$273,6,FALSE)="","",VLOOKUP(A35,'Eclusée - Schwall-Sunk'!$A$2:$F$273,6,FALSE))</f>
        <v>Non affecté / nicht betroffen</v>
      </c>
      <c r="I35" s="405" t="str">
        <f>IF(VLOOKUP(A35,'Revitalisation-Revitalisierung'!$A$4:$Z$275,13,FALSE)="","",VLOOKUP(A35,'Revitalisation-Revitalisierung'!$A$4:$Z$275,13,FALSE))</f>
        <v>Non nécessaire / nicht nötig</v>
      </c>
      <c r="J35" s="406" t="str">
        <f>IF(VLOOKUP(A35,'Revitalisation-Revitalisierung'!$A$4:$Z$275,14,FALSE)="","",VLOOKUP(A35,'Revitalisation-Revitalisierung'!$A$4:$Z$275,14,FALSE))</f>
        <v>a</v>
      </c>
      <c r="K35" s="407"/>
    </row>
    <row r="36" spans="1:11" ht="20.100000000000001" customHeight="1" x14ac:dyDescent="0.25">
      <c r="A36" s="399">
        <v>5</v>
      </c>
      <c r="B36" s="400" t="s">
        <v>449</v>
      </c>
      <c r="C36" s="400" t="s">
        <v>450</v>
      </c>
      <c r="D36" s="401" t="s">
        <v>448</v>
      </c>
      <c r="E36" s="402" t="str">
        <f>IF(VLOOKUP(A36,'Charriage - Geschiebehaushalt'!$A$4:$AC$275,17,FALSE)="","",VLOOKUP(A36,'Charriage - Geschiebehaushalt'!$A$4:$AC$275,17,FALSE))</f>
        <v>0-20%</v>
      </c>
      <c r="F36" s="403" t="str">
        <f>IF(VLOOKUP(A36,'Charriage - Geschiebehaushalt'!$A$4:$AC$275,18,FALSE)="","",VLOOKUP(A36,'Charriage - Geschiebehaushalt'!$A$4:$AC$275,18,FALSE))</f>
        <v>a</v>
      </c>
      <c r="G36" s="330" t="str">
        <f>IF(VLOOKUP(A36,'Débit - Abfluss'!$A$4:$AD$275,8,FALSE)="","",VLOOKUP(A36,'Débit - Abfluss'!$A$4:$AD$275,8,FALSE))</f>
        <v>81-100%</v>
      </c>
      <c r="H36" s="404" t="str">
        <f>IF(VLOOKUP(A36,'Eclusée - Schwall-Sunk'!$A$2:$F$273,6,FALSE)="","",VLOOKUP(A36,'Eclusée - Schwall-Sunk'!$A$2:$F$273,6,FALSE))</f>
        <v>Potentiellement affecté mais non plausible / möglicherweise betroffen aber nicht nachweisbar</v>
      </c>
      <c r="I36" s="405" t="str">
        <f>IF(VLOOKUP(A36,'Revitalisation-Revitalisierung'!$A$4:$Z$275,13,FALSE)="","",VLOOKUP(A36,'Revitalisation-Revitalisierung'!$A$4:$Z$275,13,FALSE))</f>
        <v>Partiellement nécessaire, facile / teilweise nötig, einfach</v>
      </c>
      <c r="J36" s="406" t="str">
        <f>IF(VLOOKUP(A36,'Revitalisation-Revitalisierung'!$A$4:$Z$275,14,FALSE)="","",VLOOKUP(A36,'Revitalisation-Revitalisierung'!$A$4:$Z$275,14,FALSE))</f>
        <v>b</v>
      </c>
      <c r="K36" s="407"/>
    </row>
    <row r="37" spans="1:11" ht="20.100000000000001" customHeight="1" x14ac:dyDescent="0.25">
      <c r="A37" s="399">
        <v>6</v>
      </c>
      <c r="B37" s="400" t="s">
        <v>473</v>
      </c>
      <c r="C37" s="400" t="s">
        <v>417</v>
      </c>
      <c r="D37" s="401" t="s">
        <v>472</v>
      </c>
      <c r="E37" s="402" t="str">
        <f>IF(VLOOKUP(A37,'Charriage - Geschiebehaushalt'!$A$4:$AC$275,17,FALSE)="","",VLOOKUP(A37,'Charriage - Geschiebehaushalt'!$A$4:$AC$275,17,FALSE))</f>
        <v>0-20%</v>
      </c>
      <c r="F37" s="403" t="str">
        <f>IF(VLOOKUP(A37,'Charriage - Geschiebehaushalt'!$A$4:$AC$275,18,FALSE)="","",VLOOKUP(A37,'Charriage - Geschiebehaushalt'!$A$4:$AC$275,18,FALSE))</f>
        <v>a</v>
      </c>
      <c r="G37" s="330" t="str">
        <f>IF(VLOOKUP(A37,'Débit - Abfluss'!$A$4:$AD$275,8,FALSE)="","",VLOOKUP(A37,'Débit - Abfluss'!$A$4:$AD$275,8,FALSE))</f>
        <v>100%</v>
      </c>
      <c r="H37" s="404" t="str">
        <f>IF(VLOOKUP(A37,'Eclusée - Schwall-Sunk'!$A$2:$F$273,6,FALSE)="","",VLOOKUP(A37,'Eclusée - Schwall-Sunk'!$A$2:$F$273,6,FALSE))</f>
        <v>Potentiellement affecté mais non plausible / möglicherweise betroffen aber nicht nachweisbar</v>
      </c>
      <c r="I37" s="405" t="str">
        <f>IF(VLOOKUP(A37,'Revitalisation-Revitalisierung'!$A$4:$Z$275,13,FALSE)="","",VLOOKUP(A37,'Revitalisation-Revitalisierung'!$A$4:$Z$275,13,FALSE))</f>
        <v>Partiellement nécessaire, difficile / teilweise nötig, schwierig</v>
      </c>
      <c r="J37" s="406" t="str">
        <f>IF(VLOOKUP(A37,'Revitalisation-Revitalisierung'!$A$4:$Z$275,14,FALSE)="","",VLOOKUP(A37,'Revitalisation-Revitalisierung'!$A$4:$Z$275,14,FALSE))</f>
        <v>b</v>
      </c>
      <c r="K37" s="407"/>
    </row>
    <row r="38" spans="1:11" ht="20.100000000000001" customHeight="1" x14ac:dyDescent="0.25">
      <c r="A38" s="399">
        <v>7</v>
      </c>
      <c r="B38" s="400" t="s">
        <v>476</v>
      </c>
      <c r="C38" s="400" t="s">
        <v>417</v>
      </c>
      <c r="D38" s="401" t="s">
        <v>472</v>
      </c>
      <c r="E38" s="402" t="str">
        <f>IF(VLOOKUP(A38,'Charriage - Geschiebehaushalt'!$A$4:$AC$275,17,FALSE)="","",VLOOKUP(A38,'Charriage - Geschiebehaushalt'!$A$4:$AC$275,17,FALSE))</f>
        <v>0-20%</v>
      </c>
      <c r="F38" s="403" t="str">
        <f>IF(VLOOKUP(A38,'Charriage - Geschiebehaushalt'!$A$4:$AC$275,18,FALSE)="","",VLOOKUP(A38,'Charriage - Geschiebehaushalt'!$A$4:$AC$275,18,FALSE))</f>
        <v>a</v>
      </c>
      <c r="G38" s="330" t="str">
        <f>IF(VLOOKUP(A38,'Débit - Abfluss'!$A$4:$AD$275,8,FALSE)="","",VLOOKUP(A38,'Débit - Abfluss'!$A$4:$AD$275,8,FALSE))</f>
        <v>100%</v>
      </c>
      <c r="H38" s="404" t="str">
        <f>IF(VLOOKUP(A38,'Eclusée - Schwall-Sunk'!$A$2:$F$273,6,FALSE)="","",VLOOKUP(A38,'Eclusée - Schwall-Sunk'!$A$2:$F$273,6,FALSE))</f>
        <v>Potentiellement affecté mais non plausible / möglicherweise betroffen aber nicht nachweisbar</v>
      </c>
      <c r="I38" s="405" t="str">
        <f>IF(VLOOKUP(A38,'Revitalisation-Revitalisierung'!$A$4:$Z$275,13,FALSE)="","",VLOOKUP(A38,'Revitalisation-Revitalisierung'!$A$4:$Z$275,13,FALSE))</f>
        <v>Très nécessaire, facile / unbedingt nötig, einfach</v>
      </c>
      <c r="J38" s="406" t="str">
        <f>IF(VLOOKUP(A38,'Revitalisation-Revitalisierung'!$A$4:$Z$275,14,FALSE)="","",VLOOKUP(A38,'Revitalisation-Revitalisierung'!$A$4:$Z$275,14,FALSE))</f>
        <v>a</v>
      </c>
      <c r="K38" s="407"/>
    </row>
    <row r="39" spans="1:11" ht="20.100000000000001" customHeight="1" x14ac:dyDescent="0.25">
      <c r="A39" s="399">
        <v>8</v>
      </c>
      <c r="B39" s="400" t="s">
        <v>478</v>
      </c>
      <c r="C39" s="400" t="s">
        <v>479</v>
      </c>
      <c r="D39" s="401" t="s">
        <v>472</v>
      </c>
      <c r="E39" s="402" t="str">
        <f>IF(VLOOKUP(A39,'Charriage - Geschiebehaushalt'!$A$4:$AC$275,17,FALSE)="","",VLOOKUP(A39,'Charriage - Geschiebehaushalt'!$A$4:$AC$275,17,FALSE))</f>
        <v>0-20%</v>
      </c>
      <c r="F39" s="403" t="str">
        <f>IF(VLOOKUP(A39,'Charriage - Geschiebehaushalt'!$A$4:$AC$275,18,FALSE)="","",VLOOKUP(A39,'Charriage - Geschiebehaushalt'!$A$4:$AC$275,18,FALSE))</f>
        <v>a</v>
      </c>
      <c r="G39" s="330" t="str">
        <f>IF(VLOOKUP(A39,'Débit - Abfluss'!$A$4:$AD$275,8,FALSE)="","",VLOOKUP(A39,'Débit - Abfluss'!$A$4:$AD$275,8,FALSE))</f>
        <v>100%</v>
      </c>
      <c r="H39" s="404" t="str">
        <f>IF(VLOOKUP(A39,'Eclusée - Schwall-Sunk'!$A$2:$F$273,6,FALSE)="","",VLOOKUP(A39,'Eclusée - Schwall-Sunk'!$A$2:$F$273,6,FALSE))</f>
        <v>Potentiellement affecté mais non plausible / möglicherweise betroffen aber nicht nachweisbar</v>
      </c>
      <c r="I39" s="405" t="str">
        <f>IF(VLOOKUP(A39,'Revitalisation-Revitalisierung'!$A$4:$Z$275,13,FALSE)="","",VLOOKUP(A39,'Revitalisation-Revitalisierung'!$A$4:$Z$275,13,FALSE))</f>
        <v>Très nécessaire, facile / unbedingt nötig, einfach</v>
      </c>
      <c r="J39" s="406" t="str">
        <f>IF(VLOOKUP(A39,'Revitalisation-Revitalisierung'!$A$4:$Z$275,14,FALSE)="","",VLOOKUP(A39,'Revitalisation-Revitalisierung'!$A$4:$Z$275,14,FALSE))</f>
        <v>a</v>
      </c>
      <c r="K39" s="407"/>
    </row>
    <row r="40" spans="1:11" ht="20.100000000000001" customHeight="1" x14ac:dyDescent="0.25">
      <c r="A40" s="399">
        <v>9</v>
      </c>
      <c r="B40" s="400" t="s">
        <v>480</v>
      </c>
      <c r="C40" s="400" t="s">
        <v>417</v>
      </c>
      <c r="D40" s="401">
        <v>0</v>
      </c>
      <c r="E40" s="402" t="str">
        <f>IF(VLOOKUP(A40,'Charriage - Geschiebehaushalt'!$A$4:$AC$275,17,FALSE)="","",VLOOKUP(A40,'Charriage - Geschiebehaushalt'!$A$4:$AC$275,17,FALSE))</f>
        <v>0-20%</v>
      </c>
      <c r="F40" s="403" t="str">
        <f>IF(VLOOKUP(A40,'Charriage - Geschiebehaushalt'!$A$4:$AC$275,18,FALSE)="","",VLOOKUP(A40,'Charriage - Geschiebehaushalt'!$A$4:$AC$275,18,FALSE))</f>
        <v>a</v>
      </c>
      <c r="G40" s="330" t="str">
        <f>IF(VLOOKUP(A40,'Débit - Abfluss'!$A$4:$AD$275,8,FALSE)="","",VLOOKUP(A40,'Débit - Abfluss'!$A$4:$AD$275,8,FALSE))</f>
        <v>0-20%</v>
      </c>
      <c r="H40" s="404" t="str">
        <f>IF(VLOOKUP(A40,'Eclusée - Schwall-Sunk'!$A$2:$F$273,6,FALSE)="","",VLOOKUP(A40,'Eclusée - Schwall-Sunk'!$A$2:$F$273,6,FALSE))</f>
        <v>Potentiellement affecté mais non plausible / möglicherweise betroffen aber nicht nachweisbar</v>
      </c>
      <c r="I40" s="405" t="str">
        <f>IF(VLOOKUP(A40,'Revitalisation-Revitalisierung'!$A$4:$Z$275,13,FALSE)="","",VLOOKUP(A40,'Revitalisation-Revitalisierung'!$A$4:$Z$275,13,FALSE))</f>
        <v>Très nécessaire, facile / unbedingt nötig, einfach</v>
      </c>
      <c r="J40" s="406" t="str">
        <f>IF(VLOOKUP(A40,'Revitalisation-Revitalisierung'!$A$4:$Z$275,14,FALSE)="","",VLOOKUP(A40,'Revitalisation-Revitalisierung'!$A$4:$Z$275,14,FALSE))</f>
        <v>a</v>
      </c>
      <c r="K40" s="407"/>
    </row>
    <row r="41" spans="1:11" ht="20.100000000000001" customHeight="1" x14ac:dyDescent="0.25">
      <c r="A41" s="399">
        <v>11</v>
      </c>
      <c r="B41" s="400" t="s">
        <v>481</v>
      </c>
      <c r="C41" s="400" t="s">
        <v>417</v>
      </c>
      <c r="D41" s="401" t="s">
        <v>472</v>
      </c>
      <c r="E41" s="402" t="str">
        <f>IF(VLOOKUP(A41,'Charriage - Geschiebehaushalt'!$A$4:$AC$275,17,FALSE)="","",VLOOKUP(A41,'Charriage - Geschiebehaushalt'!$A$4:$AC$275,17,FALSE))</f>
        <v>0-20%</v>
      </c>
      <c r="F41" s="403" t="str">
        <f>IF(VLOOKUP(A41,'Charriage - Geschiebehaushalt'!$A$4:$AC$275,18,FALSE)="","",VLOOKUP(A41,'Charriage - Geschiebehaushalt'!$A$4:$AC$275,18,FALSE))</f>
        <v>a</v>
      </c>
      <c r="G41" s="330" t="str">
        <f>IF(VLOOKUP(A41,'Débit - Abfluss'!$A$4:$AD$275,8,FALSE)="","",VLOOKUP(A41,'Débit - Abfluss'!$A$4:$AD$275,8,FALSE))</f>
        <v>41-60%</v>
      </c>
      <c r="H41" s="404" t="str">
        <f>IF(VLOOKUP(A41,'Eclusée - Schwall-Sunk'!$A$2:$F$273,6,FALSE)="","",VLOOKUP(A41,'Eclusée - Schwall-Sunk'!$A$2:$F$273,6,FALSE))</f>
        <v>Non affecté / nicht betroffen</v>
      </c>
      <c r="I41" s="405" t="str">
        <f>IF(VLOOKUP(A41,'Revitalisation-Revitalisierung'!$A$4:$Z$275,13,FALSE)="","",VLOOKUP(A41,'Revitalisation-Revitalisierung'!$A$4:$Z$275,13,FALSE))</f>
        <v>Partiellement nécessaire, difficile</v>
      </c>
      <c r="J41" s="406" t="str">
        <f>IF(VLOOKUP(A41,'Revitalisation-Revitalisierung'!$A$4:$Z$275,14,FALSE)="","",VLOOKUP(A41,'Revitalisation-Revitalisierung'!$A$4:$Z$275,14,FALSE))</f>
        <v>b</v>
      </c>
      <c r="K41" s="407"/>
    </row>
    <row r="42" spans="1:11" ht="20.100000000000001" customHeight="1" x14ac:dyDescent="0.25">
      <c r="A42" s="399">
        <v>12</v>
      </c>
      <c r="B42" s="400" t="s">
        <v>436</v>
      </c>
      <c r="C42" s="400" t="s">
        <v>417</v>
      </c>
      <c r="D42" s="401" t="s">
        <v>435</v>
      </c>
      <c r="E42" s="402" t="str">
        <f>IF(VLOOKUP(A42,'Charriage - Geschiebehaushalt'!$A$4:$AC$275,17,FALSE)="","",VLOOKUP(A42,'Charriage - Geschiebehaushalt'!$A$4:$AC$275,17,FALSE))</f>
        <v>0-20%</v>
      </c>
      <c r="F42" s="403" t="str">
        <f>IF(VLOOKUP(A42,'Charriage - Geschiebehaushalt'!$A$4:$AC$275,18,FALSE)="","",VLOOKUP(A42,'Charriage - Geschiebehaushalt'!$A$4:$AC$275,18,FALSE))</f>
        <v>a</v>
      </c>
      <c r="G42" s="330" t="str">
        <f>IF(VLOOKUP(A42,'Débit - Abfluss'!$A$4:$AD$275,8,FALSE)="","",VLOOKUP(A42,'Débit - Abfluss'!$A$4:$AD$275,8,FALSE))</f>
        <v>100%</v>
      </c>
      <c r="H42" s="404" t="str">
        <f>IF(VLOOKUP(A42,'Eclusée - Schwall-Sunk'!$A$2:$F$273,6,FALSE)="","",VLOOKUP(A42,'Eclusée - Schwall-Sunk'!$A$2:$F$273,6,FALSE))</f>
        <v>Non affecté / nicht betroffen</v>
      </c>
      <c r="I42" s="405" t="str">
        <f>IF(VLOOKUP(A42,'Revitalisation-Revitalisierung'!$A$4:$Z$275,13,FALSE)="","",VLOOKUP(A42,'Revitalisation-Revitalisierung'!$A$4:$Z$275,13,FALSE))</f>
        <v>Très nécessaire, facile / unbedingt nötig, einfach</v>
      </c>
      <c r="J42" s="406" t="str">
        <f>IF(VLOOKUP(A42,'Revitalisation-Revitalisierung'!$A$4:$Z$275,14,FALSE)="","",VLOOKUP(A42,'Revitalisation-Revitalisierung'!$A$4:$Z$275,14,FALSE))</f>
        <v>a</v>
      </c>
      <c r="K42" s="407"/>
    </row>
    <row r="43" spans="1:11" ht="20.100000000000001" customHeight="1" x14ac:dyDescent="0.25">
      <c r="A43" s="399">
        <v>14</v>
      </c>
      <c r="B43" s="400" t="s">
        <v>411</v>
      </c>
      <c r="C43" s="400" t="s">
        <v>412</v>
      </c>
      <c r="D43" s="401" t="s">
        <v>410</v>
      </c>
      <c r="E43" s="402" t="str">
        <f>IF(VLOOKUP(A43,'Charriage - Geschiebehaushalt'!$A$4:$AC$275,17,FALSE)="","",VLOOKUP(A43,'Charriage - Geschiebehaushalt'!$A$4:$AC$275,17,FALSE))</f>
        <v>51-80%</v>
      </c>
      <c r="F43" s="403" t="str">
        <f>IF(VLOOKUP(A43,'Charriage - Geschiebehaushalt'!$A$4:$AC$275,18,FALSE)="","",VLOOKUP(A43,'Charriage - Geschiebehaushalt'!$A$4:$AC$275,18,FALSE))</f>
        <v>a</v>
      </c>
      <c r="G43" s="330" t="str">
        <f>IF(VLOOKUP(A43,'Débit - Abfluss'!$A$4:$AD$275,8,FALSE)="","",VLOOKUP(A43,'Débit - Abfluss'!$A$4:$AD$275,8,FALSE))</f>
        <v>100%</v>
      </c>
      <c r="H43" s="404" t="str">
        <f>IF(VLOOKUP(A43,'Eclusée - Schwall-Sunk'!$A$2:$F$273,6,FALSE)="","",VLOOKUP(A43,'Eclusée - Schwall-Sunk'!$A$2:$F$273,6,FALSE))</f>
        <v>Non affecté / nicht betroffen</v>
      </c>
      <c r="I43" s="405" t="str">
        <f>IF(VLOOKUP(A43,'Revitalisation-Revitalisierung'!$A$4:$Z$275,13,FALSE)="","",VLOOKUP(A43,'Revitalisation-Revitalisierung'!$A$4:$Z$275,13,FALSE))</f>
        <v>Partiellement nécessaire, difficile / teilweise nötig, schwierig</v>
      </c>
      <c r="J43" s="406" t="str">
        <f>IF(VLOOKUP(A43,'Revitalisation-Revitalisierung'!$A$4:$Z$275,14,FALSE)="","",VLOOKUP(A43,'Revitalisation-Revitalisierung'!$A$4:$Z$275,14,FALSE))</f>
        <v>a</v>
      </c>
      <c r="K43" s="407"/>
    </row>
    <row r="44" spans="1:11" ht="20.100000000000001" customHeight="1" x14ac:dyDescent="0.25">
      <c r="A44" s="399">
        <v>16</v>
      </c>
      <c r="B44" s="400" t="s">
        <v>416</v>
      </c>
      <c r="C44" s="400" t="s">
        <v>417</v>
      </c>
      <c r="D44" s="401" t="s">
        <v>410</v>
      </c>
      <c r="E44" s="402" t="str">
        <f>IF(VLOOKUP(A44,'Charriage - Geschiebehaushalt'!$A$4:$AC$275,17,FALSE)="","",VLOOKUP(A44,'Charriage - Geschiebehaushalt'!$A$4:$AC$275,17,FALSE))</f>
        <v>0-20%</v>
      </c>
      <c r="F44" s="403" t="str">
        <f>IF(VLOOKUP(A44,'Charriage - Geschiebehaushalt'!$A$4:$AC$275,18,FALSE)="","",VLOOKUP(A44,'Charriage - Geschiebehaushalt'!$A$4:$AC$275,18,FALSE))</f>
        <v>a</v>
      </c>
      <c r="G44" s="330" t="str">
        <f>IF(VLOOKUP(A44,'Débit - Abfluss'!$A$4:$AD$275,8,FALSE)="","",VLOOKUP(A44,'Débit - Abfluss'!$A$4:$AD$275,8,FALSE))</f>
        <v>100%</v>
      </c>
      <c r="H44" s="404" t="str">
        <f>IF(VLOOKUP(A44,'Eclusée - Schwall-Sunk'!$A$2:$F$273,6,FALSE)="","",VLOOKUP(A44,'Eclusée - Schwall-Sunk'!$A$2:$F$273,6,FALSE))</f>
        <v>Non affecté / nicht betroffen</v>
      </c>
      <c r="I44" s="405" t="str">
        <f>IF(VLOOKUP(A44,'Revitalisation-Revitalisierung'!$A$4:$Z$275,13,FALSE)="","",VLOOKUP(A44,'Revitalisation-Revitalisierung'!$A$4:$Z$275,13,FALSE))</f>
        <v>Très nécessaire, facile / unbedingt nötig, einfach</v>
      </c>
      <c r="J44" s="406" t="str">
        <f>IF(VLOOKUP(A44,'Revitalisation-Revitalisierung'!$A$4:$Z$275,14,FALSE)="","",VLOOKUP(A44,'Revitalisation-Revitalisierung'!$A$4:$Z$275,14,FALSE))</f>
        <v>a</v>
      </c>
      <c r="K44" s="407"/>
    </row>
    <row r="45" spans="1:11" ht="20.100000000000001" customHeight="1" x14ac:dyDescent="0.25">
      <c r="A45" s="399">
        <v>18</v>
      </c>
      <c r="B45" s="400" t="s">
        <v>419</v>
      </c>
      <c r="C45" s="400" t="s">
        <v>417</v>
      </c>
      <c r="D45" s="401" t="s">
        <v>410</v>
      </c>
      <c r="E45" s="402" t="str">
        <f>IF(VLOOKUP(A45,'Charriage - Geschiebehaushalt'!$A$4:$AC$275,17,FALSE)="","",VLOOKUP(A45,'Charriage - Geschiebehaushalt'!$A$4:$AC$275,17,FALSE))</f>
        <v>0-20%</v>
      </c>
      <c r="F45" s="403" t="str">
        <f>IF(VLOOKUP(A45,'Charriage - Geschiebehaushalt'!$A$4:$AC$275,18,FALSE)="","",VLOOKUP(A45,'Charriage - Geschiebehaushalt'!$A$4:$AC$275,18,FALSE))</f>
        <v>a</v>
      </c>
      <c r="G45" s="330" t="str">
        <f>IF(VLOOKUP(A45,'Débit - Abfluss'!$A$4:$AD$275,8,FALSE)="","",VLOOKUP(A45,'Débit - Abfluss'!$A$4:$AD$275,8,FALSE))</f>
        <v>100%</v>
      </c>
      <c r="H45" s="404" t="str">
        <f>IF(VLOOKUP(A45,'Eclusée - Schwall-Sunk'!$A$2:$F$273,6,FALSE)="","",VLOOKUP(A45,'Eclusée - Schwall-Sunk'!$A$2:$F$273,6,FALSE))</f>
        <v>Non affecté / nicht betroffen</v>
      </c>
      <c r="I45" s="405" t="str">
        <f>IF(VLOOKUP(A45,'Revitalisation-Revitalisierung'!$A$4:$Z$275,13,FALSE)="","",VLOOKUP(A45,'Revitalisation-Revitalisierung'!$A$4:$Z$275,13,FALSE))</f>
        <v>Très nécessaire, facile</v>
      </c>
      <c r="J45" s="406" t="str">
        <f>IF(VLOOKUP(A45,'Revitalisation-Revitalisierung'!$A$4:$Z$275,14,FALSE)="","",VLOOKUP(A45,'Revitalisation-Revitalisierung'!$A$4:$Z$275,14,FALSE))</f>
        <v>b</v>
      </c>
      <c r="K45" s="407"/>
    </row>
    <row r="46" spans="1:11" ht="20.100000000000001" customHeight="1" x14ac:dyDescent="0.25">
      <c r="A46" s="399">
        <v>19</v>
      </c>
      <c r="B46" s="400" t="s">
        <v>420</v>
      </c>
      <c r="C46" s="400" t="s">
        <v>421</v>
      </c>
      <c r="D46" s="401" t="s">
        <v>410</v>
      </c>
      <c r="E46" s="402" t="str">
        <f>IF(VLOOKUP(A46,'Charriage - Geschiebehaushalt'!$A$4:$AC$275,17,FALSE)="","",VLOOKUP(A46,'Charriage - Geschiebehaushalt'!$A$4:$AC$275,17,FALSE))</f>
        <v>0-20%</v>
      </c>
      <c r="F46" s="403" t="str">
        <f>IF(VLOOKUP(A46,'Charriage - Geschiebehaushalt'!$A$4:$AC$275,18,FALSE)="","",VLOOKUP(A46,'Charriage - Geschiebehaushalt'!$A$4:$AC$275,18,FALSE))</f>
        <v>a</v>
      </c>
      <c r="G46" s="330" t="str">
        <f>IF(VLOOKUP(A46,'Débit - Abfluss'!$A$4:$AD$275,8,FALSE)="","",VLOOKUP(A46,'Débit - Abfluss'!$A$4:$AD$275,8,FALSE))</f>
        <v>100%</v>
      </c>
      <c r="H46" s="404" t="str">
        <f>IF(VLOOKUP(A46,'Eclusée - Schwall-Sunk'!$A$2:$F$273,6,FALSE)="","",VLOOKUP(A46,'Eclusée - Schwall-Sunk'!$A$2:$F$273,6,FALSE))</f>
        <v>Non affecté / nicht betroffen</v>
      </c>
      <c r="I46" s="405" t="str">
        <f>IF(VLOOKUP(A46,'Revitalisation-Revitalisierung'!$A$4:$Z$275,13,FALSE)="","",VLOOKUP(A46,'Revitalisation-Revitalisierung'!$A$4:$Z$275,13,FALSE))</f>
        <v>Non nécessaire</v>
      </c>
      <c r="J46" s="406" t="str">
        <f>IF(VLOOKUP(A46,'Revitalisation-Revitalisierung'!$A$4:$Z$275,14,FALSE)="","",VLOOKUP(A46,'Revitalisation-Revitalisierung'!$A$4:$Z$275,14,FALSE))</f>
        <v>a</v>
      </c>
      <c r="K46" s="407"/>
    </row>
    <row r="47" spans="1:11" ht="20.100000000000001" customHeight="1" x14ac:dyDescent="0.25">
      <c r="A47" s="408">
        <v>22</v>
      </c>
      <c r="B47" s="409" t="s">
        <v>275</v>
      </c>
      <c r="C47" s="410" t="s">
        <v>37</v>
      </c>
      <c r="D47" s="411" t="s">
        <v>274</v>
      </c>
      <c r="E47" s="402" t="str">
        <f>IF(VLOOKUP(A47,'Charriage - Geschiebehaushalt'!$A$4:$AC$275,17,FALSE)="","",VLOOKUP(A47,'Charriage - Geschiebehaushalt'!$A$4:$AC$275,17,FALSE))</f>
        <v>51-80%</v>
      </c>
      <c r="F47" s="403" t="str">
        <f>IF(VLOOKUP(A47,'Charriage - Geschiebehaushalt'!$A$4:$AC$275,18,FALSE)="","",VLOOKUP(A47,'Charriage - Geschiebehaushalt'!$A$4:$AC$275,18,FALSE))</f>
        <v>a</v>
      </c>
      <c r="G47" s="330" t="str">
        <f>IF(VLOOKUP(A47,'Débit - Abfluss'!$A$4:$AD$275,8,FALSE)="","",VLOOKUP(A47,'Débit - Abfluss'!$A$4:$AD$275,8,FALSE))</f>
        <v>81-100%</v>
      </c>
      <c r="H47" s="404" t="str">
        <f>IF(VLOOKUP(A47,'Eclusée - Schwall-Sunk'!$A$2:$F$273,6,FALSE)="","",VLOOKUP(A47,'Eclusée - Schwall-Sunk'!$A$2:$F$273,6,FALSE))</f>
        <v>Potentiellement affecté / möglicherweise betroffen</v>
      </c>
      <c r="I47" s="405" t="str">
        <f>IF(VLOOKUP(A47,'Revitalisation-Revitalisierung'!$A$4:$Z$275,13,FALSE)="","",VLOOKUP(A47,'Revitalisation-Revitalisierung'!$A$4:$Z$275,13,FALSE))</f>
        <v>Partiellement nécessaire, facile</v>
      </c>
      <c r="J47" s="406" t="str">
        <f>IF(VLOOKUP(A47,'Revitalisation-Revitalisierung'!$A$4:$Z$275,14,FALSE)="","",VLOOKUP(A47,'Revitalisation-Revitalisierung'!$A$4:$Z$275,14,FALSE))</f>
        <v>b</v>
      </c>
      <c r="K47" s="407"/>
    </row>
    <row r="48" spans="1:11" ht="20.100000000000001" customHeight="1" x14ac:dyDescent="0.25">
      <c r="A48" s="408">
        <v>25</v>
      </c>
      <c r="B48" s="409" t="s">
        <v>277</v>
      </c>
      <c r="C48" s="410" t="s">
        <v>37</v>
      </c>
      <c r="D48" s="411" t="s">
        <v>274</v>
      </c>
      <c r="E48" s="402" t="str">
        <f>IF(VLOOKUP(A48,'Charriage - Geschiebehaushalt'!$A$4:$AC$275,17,FALSE)="","",VLOOKUP(A48,'Charriage - Geschiebehaushalt'!$A$4:$AC$275,17,FALSE))</f>
        <v>51-80%</v>
      </c>
      <c r="F48" s="403" t="str">
        <f>IF(VLOOKUP(A48,'Charriage - Geschiebehaushalt'!$A$4:$AC$275,18,FALSE)="","",VLOOKUP(A48,'Charriage - Geschiebehaushalt'!$A$4:$AC$275,18,FALSE))</f>
        <v>a</v>
      </c>
      <c r="G48" s="330" t="str">
        <f>IF(VLOOKUP(A48,'Débit - Abfluss'!$A$4:$AD$275,8,FALSE)="","",VLOOKUP(A48,'Débit - Abfluss'!$A$4:$AD$275,8,FALSE))</f>
        <v>81-100%</v>
      </c>
      <c r="H48" s="404" t="str">
        <f>IF(VLOOKUP(A48,'Eclusée - Schwall-Sunk'!$A$2:$F$273,6,FALSE)="","",VLOOKUP(A48,'Eclusée - Schwall-Sunk'!$A$2:$F$273,6,FALSE))</f>
        <v>Potentiellement affecté / möglicherweise betroffen</v>
      </c>
      <c r="I48" s="405" t="str">
        <f>IF(VLOOKUP(A48,'Revitalisation-Revitalisierung'!$A$4:$Z$275,13,FALSE)="","",VLOOKUP(A48,'Revitalisation-Revitalisierung'!$A$4:$Z$275,13,FALSE))</f>
        <v>Très nécessaire, facile</v>
      </c>
      <c r="J48" s="406" t="str">
        <f>IF(VLOOKUP(A48,'Revitalisation-Revitalisierung'!$A$4:$Z$275,14,FALSE)="","",VLOOKUP(A48,'Revitalisation-Revitalisierung'!$A$4:$Z$275,14,FALSE))</f>
        <v>b</v>
      </c>
      <c r="K48" s="407"/>
    </row>
    <row r="49" spans="1:11" ht="20.100000000000001" customHeight="1" x14ac:dyDescent="0.25">
      <c r="A49" s="399">
        <v>27</v>
      </c>
      <c r="B49" s="400" t="s">
        <v>278</v>
      </c>
      <c r="C49" s="400" t="s">
        <v>279</v>
      </c>
      <c r="D49" s="401" t="s">
        <v>274</v>
      </c>
      <c r="E49" s="402" t="str">
        <f>IF(VLOOKUP(A49,'Charriage - Geschiebehaushalt'!$A$4:$AC$275,17,FALSE)="","",VLOOKUP(A49,'Charriage - Geschiebehaushalt'!$A$4:$AC$275,17,FALSE))</f>
        <v>Charriage présumé perturbé / Geschiebehaushalt vermutlich beeinträchtigt</v>
      </c>
      <c r="F49" s="403" t="str">
        <f>IF(VLOOKUP(A49,'Charriage - Geschiebehaushalt'!$A$4:$AC$275,18,FALSE)="","",VLOOKUP(A49,'Charriage - Geschiebehaushalt'!$A$4:$AC$275,18,FALSE))</f>
        <v>b</v>
      </c>
      <c r="G49" s="330" t="str">
        <f>IF(VLOOKUP(A49,'Débit - Abfluss'!$A$4:$AD$275,8,FALSE)="","",VLOOKUP(A49,'Débit - Abfluss'!$A$4:$AD$275,8,FALSE))</f>
        <v>81-100%</v>
      </c>
      <c r="H49" s="404" t="str">
        <f>IF(VLOOKUP(A49,'Eclusée - Schwall-Sunk'!$A$2:$F$273,6,FALSE)="","",VLOOKUP(A49,'Eclusée - Schwall-Sunk'!$A$2:$F$273,6,FALSE))</f>
        <v>Potentiellement affecté / möglicherweise betroffen</v>
      </c>
      <c r="I49" s="405" t="str">
        <f>IF(VLOOKUP(A49,'Revitalisation-Revitalisierung'!$A$4:$Z$275,13,FALSE)="","",VLOOKUP(A49,'Revitalisation-Revitalisierung'!$A$4:$Z$275,13,FALSE))</f>
        <v>Partiellement nécessaire, facile</v>
      </c>
      <c r="J49" s="406" t="str">
        <f>IF(VLOOKUP(A49,'Revitalisation-Revitalisierung'!$A$4:$Z$275,14,FALSE)="","",VLOOKUP(A49,'Revitalisation-Revitalisierung'!$A$4:$Z$275,14,FALSE))</f>
        <v>b</v>
      </c>
      <c r="K49" s="407"/>
    </row>
    <row r="50" spans="1:11" ht="20.100000000000001" customHeight="1" x14ac:dyDescent="0.25">
      <c r="A50" s="399">
        <v>28</v>
      </c>
      <c r="B50" s="400" t="s">
        <v>281</v>
      </c>
      <c r="C50" s="400" t="s">
        <v>282</v>
      </c>
      <c r="D50" s="401" t="s">
        <v>274</v>
      </c>
      <c r="E50" s="402" t="str">
        <f>IF(VLOOKUP(A50,'Charriage - Geschiebehaushalt'!$A$4:$AC$275,17,FALSE)="","",VLOOKUP(A50,'Charriage - Geschiebehaushalt'!$A$4:$AC$275,17,FALSE))</f>
        <v>81 -100%</v>
      </c>
      <c r="F50" s="403" t="str">
        <f>IF(VLOOKUP(A50,'Charriage - Geschiebehaushalt'!$A$4:$AC$275,18,FALSE)="","",VLOOKUP(A50,'Charriage - Geschiebehaushalt'!$A$4:$AC$275,18,FALSE))</f>
        <v>a</v>
      </c>
      <c r="G50" s="330" t="str">
        <f>IF(VLOOKUP(A50,'Débit - Abfluss'!$A$4:$AD$275,8,FALSE)="","",VLOOKUP(A50,'Débit - Abfluss'!$A$4:$AD$275,8,FALSE))</f>
        <v>0-20%</v>
      </c>
      <c r="H50" s="404" t="str">
        <f>IF(VLOOKUP(A50,'Eclusée - Schwall-Sunk'!$A$2:$F$273,6,FALSE)="","",VLOOKUP(A50,'Eclusée - Schwall-Sunk'!$A$2:$F$273,6,FALSE))</f>
        <v>Potentiellement affecté / möglicherweise betroffen</v>
      </c>
      <c r="I50" s="405" t="str">
        <f>IF(VLOOKUP(A50,'Revitalisation-Revitalisierung'!$A$4:$Z$275,13,FALSE)="","",VLOOKUP(A50,'Revitalisation-Revitalisierung'!$A$4:$Z$275,13,FALSE))</f>
        <v>Très nécessaire, difficile / unbedingt nötig, schwierig</v>
      </c>
      <c r="J50" s="406" t="str">
        <f>IF(VLOOKUP(A50,'Revitalisation-Revitalisierung'!$A$4:$Z$275,14,FALSE)="","",VLOOKUP(A50,'Revitalisation-Revitalisierung'!$A$4:$Z$275,14,FALSE))</f>
        <v>b</v>
      </c>
      <c r="K50" s="407"/>
    </row>
    <row r="51" spans="1:11" ht="20.100000000000001" customHeight="1" x14ac:dyDescent="0.25">
      <c r="A51" s="399">
        <v>29</v>
      </c>
      <c r="B51" s="400" t="s">
        <v>283</v>
      </c>
      <c r="C51" s="400" t="s">
        <v>284</v>
      </c>
      <c r="D51" s="401" t="s">
        <v>274</v>
      </c>
      <c r="E51" s="402" t="str">
        <f>IF(VLOOKUP(A51,'Charriage - Geschiebehaushalt'!$A$4:$AC$275,17,FALSE)="","",VLOOKUP(A51,'Charriage - Geschiebehaushalt'!$A$4:$AC$275,17,FALSE))</f>
        <v>0-20%</v>
      </c>
      <c r="F51" s="403" t="str">
        <f>IF(VLOOKUP(A51,'Charriage - Geschiebehaushalt'!$A$4:$AC$275,18,FALSE)="","",VLOOKUP(A51,'Charriage - Geschiebehaushalt'!$A$4:$AC$275,18,FALSE))</f>
        <v>a</v>
      </c>
      <c r="G51" s="330" t="str">
        <f>IF(VLOOKUP(A51,'Débit - Abfluss'!$A$4:$AD$275,8,FALSE)="","",VLOOKUP(A51,'Débit - Abfluss'!$A$4:$AD$275,8,FALSE))</f>
        <v>81-100%</v>
      </c>
      <c r="H51" s="404" t="str">
        <f>IF(VLOOKUP(A51,'Eclusée - Schwall-Sunk'!$A$2:$F$273,6,FALSE)="","",VLOOKUP(A51,'Eclusée - Schwall-Sunk'!$A$2:$F$273,6,FALSE))</f>
        <v>Potentiellement affecté / möglicherweise betroffen</v>
      </c>
      <c r="I51" s="405" t="str">
        <f>IF(VLOOKUP(A51,'Revitalisation-Revitalisierung'!$A$4:$Z$275,13,FALSE)="","",VLOOKUP(A51,'Revitalisation-Revitalisierung'!$A$4:$Z$275,13,FALSE))</f>
        <v>Non nécessaire / nicht nötig</v>
      </c>
      <c r="J51" s="406" t="str">
        <f>IF(VLOOKUP(A51,'Revitalisation-Revitalisierung'!$A$4:$Z$275,14,FALSE)="","",VLOOKUP(A51,'Revitalisation-Revitalisierung'!$A$4:$Z$275,14,FALSE))</f>
        <v>b</v>
      </c>
      <c r="K51" s="407"/>
    </row>
    <row r="52" spans="1:11" ht="20.100000000000001" customHeight="1" x14ac:dyDescent="0.25">
      <c r="A52" s="399">
        <v>30</v>
      </c>
      <c r="B52" s="400" t="s">
        <v>285</v>
      </c>
      <c r="C52" s="400" t="s">
        <v>284</v>
      </c>
      <c r="D52" s="401" t="s">
        <v>274</v>
      </c>
      <c r="E52" s="402" t="str">
        <f>IF(VLOOKUP(A52,'Charriage - Geschiebehaushalt'!$A$4:$AC$275,17,FALSE)="","",VLOOKUP(A52,'Charriage - Geschiebehaushalt'!$A$4:$AC$275,17,FALSE))</f>
        <v>21-50%</v>
      </c>
      <c r="F52" s="403" t="str">
        <f>IF(VLOOKUP(A52,'Charriage - Geschiebehaushalt'!$A$4:$AC$275,18,FALSE)="","",VLOOKUP(A52,'Charriage - Geschiebehaushalt'!$A$4:$AC$275,18,FALSE))</f>
        <v>a</v>
      </c>
      <c r="G52" s="330" t="str">
        <f>IF(VLOOKUP(A52,'Débit - Abfluss'!$A$4:$AD$275,8,FALSE)="","",VLOOKUP(A52,'Débit - Abfluss'!$A$4:$AD$275,8,FALSE))</f>
        <v>21-40%</v>
      </c>
      <c r="H52" s="404" t="str">
        <f>IF(VLOOKUP(A52,'Eclusée - Schwall-Sunk'!$A$2:$F$273,6,FALSE)="","",VLOOKUP(A52,'Eclusée - Schwall-Sunk'!$A$2:$F$273,6,FALSE))</f>
        <v>Non affecté / nicht betroffen</v>
      </c>
      <c r="I52" s="405" t="str">
        <f>IF(VLOOKUP(A52,'Revitalisation-Revitalisierung'!$A$4:$Z$275,13,FALSE)="","",VLOOKUP(A52,'Revitalisation-Revitalisierung'!$A$4:$Z$275,13,FALSE))</f>
        <v>Très nécessaire, facile / unbedingt nötig, einfach</v>
      </c>
      <c r="J52" s="406" t="str">
        <f>IF(VLOOKUP(A52,'Revitalisation-Revitalisierung'!$A$4:$Z$275,14,FALSE)="","",VLOOKUP(A52,'Revitalisation-Revitalisierung'!$A$4:$Z$275,14,FALSE))</f>
        <v>a</v>
      </c>
      <c r="K52" s="407"/>
    </row>
    <row r="53" spans="1:11" ht="20.100000000000001" customHeight="1" x14ac:dyDescent="0.25">
      <c r="A53" s="399">
        <v>31</v>
      </c>
      <c r="B53" s="400" t="s">
        <v>286</v>
      </c>
      <c r="C53" s="400" t="s">
        <v>284</v>
      </c>
      <c r="D53" s="401" t="s">
        <v>274</v>
      </c>
      <c r="E53" s="402" t="str">
        <f>IF(VLOOKUP(A53,'Charriage - Geschiebehaushalt'!$A$4:$AC$275,17,FALSE)="","",VLOOKUP(A53,'Charriage - Geschiebehaushalt'!$A$4:$AC$275,17,FALSE))</f>
        <v>21-50%</v>
      </c>
      <c r="F53" s="403" t="str">
        <f>IF(VLOOKUP(A53,'Charriage - Geschiebehaushalt'!$A$4:$AC$275,18,FALSE)="","",VLOOKUP(A53,'Charriage - Geschiebehaushalt'!$A$4:$AC$275,18,FALSE))</f>
        <v>a</v>
      </c>
      <c r="G53" s="330" t="str">
        <f>IF(VLOOKUP(A53,'Débit - Abfluss'!$A$4:$AD$275,8,FALSE)="","",VLOOKUP(A53,'Débit - Abfluss'!$A$4:$AD$275,8,FALSE))</f>
        <v>0-20%</v>
      </c>
      <c r="H53" s="404" t="str">
        <f>IF(VLOOKUP(A53,'Eclusée - Schwall-Sunk'!$A$2:$F$273,6,FALSE)="","",VLOOKUP(A53,'Eclusée - Schwall-Sunk'!$A$2:$F$273,6,FALSE))</f>
        <v>Non affecté / nicht betroffen</v>
      </c>
      <c r="I53" s="405" t="str">
        <f>IF(VLOOKUP(A53,'Revitalisation-Revitalisierung'!$A$4:$Z$275,13,FALSE)="","",VLOOKUP(A53,'Revitalisation-Revitalisierung'!$A$4:$Z$275,13,FALSE))</f>
        <v>Partiellement nécessaire, facile / teilweise nötig, einfach</v>
      </c>
      <c r="J53" s="406" t="str">
        <f>IF(VLOOKUP(A53,'Revitalisation-Revitalisierung'!$A$4:$Z$275,14,FALSE)="","",VLOOKUP(A53,'Revitalisation-Revitalisierung'!$A$4:$Z$275,14,FALSE))</f>
        <v>a</v>
      </c>
      <c r="K53" s="407"/>
    </row>
    <row r="54" spans="1:11" ht="20.100000000000001" customHeight="1" x14ac:dyDescent="0.25">
      <c r="A54" s="399">
        <v>32</v>
      </c>
      <c r="B54" s="400" t="s">
        <v>288</v>
      </c>
      <c r="C54" s="400" t="s">
        <v>284</v>
      </c>
      <c r="D54" s="401" t="s">
        <v>274</v>
      </c>
      <c r="E54" s="402" t="str">
        <f>IF(VLOOKUP(A54,'Charriage - Geschiebehaushalt'!$A$4:$AC$275,17,FALSE)="","",VLOOKUP(A54,'Charriage - Geschiebehaushalt'!$A$4:$AC$275,17,FALSE))</f>
        <v>21-50%</v>
      </c>
      <c r="F54" s="403" t="str">
        <f>IF(VLOOKUP(A54,'Charriage - Geschiebehaushalt'!$A$4:$AC$275,18,FALSE)="","",VLOOKUP(A54,'Charriage - Geschiebehaushalt'!$A$4:$AC$275,18,FALSE))</f>
        <v>a</v>
      </c>
      <c r="G54" s="330" t="str">
        <f>IF(VLOOKUP(A54,'Débit - Abfluss'!$A$4:$AD$275,8,FALSE)="","",VLOOKUP(A54,'Débit - Abfluss'!$A$4:$AD$275,8,FALSE))</f>
        <v>0-20%</v>
      </c>
      <c r="H54" s="404" t="str">
        <f>IF(VLOOKUP(A54,'Eclusée - Schwall-Sunk'!$A$2:$F$273,6,FALSE)="","",VLOOKUP(A54,'Eclusée - Schwall-Sunk'!$A$2:$F$273,6,FALSE))</f>
        <v>Non affecté / nicht betroffen</v>
      </c>
      <c r="I54" s="405" t="str">
        <f>IF(VLOOKUP(A54,'Revitalisation-Revitalisierung'!$A$4:$Z$275,13,FALSE)="","",VLOOKUP(A54,'Revitalisation-Revitalisierung'!$A$4:$Z$275,13,FALSE))</f>
        <v>Non nécessaire / nicht nötig</v>
      </c>
      <c r="J54" s="406" t="str">
        <f>IF(VLOOKUP(A54,'Revitalisation-Revitalisierung'!$A$4:$Z$275,14,FALSE)="","",VLOOKUP(A54,'Revitalisation-Revitalisierung'!$A$4:$Z$275,14,FALSE))</f>
        <v>a</v>
      </c>
      <c r="K54" s="407"/>
    </row>
    <row r="55" spans="1:11" ht="20.100000000000001" customHeight="1" x14ac:dyDescent="0.25">
      <c r="A55" s="399">
        <v>33</v>
      </c>
      <c r="B55" s="400" t="s">
        <v>290</v>
      </c>
      <c r="C55" s="400" t="s">
        <v>284</v>
      </c>
      <c r="D55" s="401" t="s">
        <v>274</v>
      </c>
      <c r="E55" s="402" t="str">
        <f>IF(VLOOKUP(A55,'Charriage - Geschiebehaushalt'!$A$4:$AC$275,17,FALSE)="","",VLOOKUP(A55,'Charriage - Geschiebehaushalt'!$A$4:$AC$275,17,FALSE))</f>
        <v>21-50%</v>
      </c>
      <c r="F55" s="403" t="str">
        <f>IF(VLOOKUP(A55,'Charriage - Geschiebehaushalt'!$A$4:$AC$275,18,FALSE)="","",VLOOKUP(A55,'Charriage - Geschiebehaushalt'!$A$4:$AC$275,18,FALSE))</f>
        <v>a</v>
      </c>
      <c r="G55" s="330" t="str">
        <f>IF(VLOOKUP(A55,'Débit - Abfluss'!$A$4:$AD$275,8,FALSE)="","",VLOOKUP(A55,'Débit - Abfluss'!$A$4:$AD$275,8,FALSE))</f>
        <v>0-20%</v>
      </c>
      <c r="H55" s="404" t="str">
        <f>IF(VLOOKUP(A55,'Eclusée - Schwall-Sunk'!$A$2:$F$273,6,FALSE)="","",VLOOKUP(A55,'Eclusée - Schwall-Sunk'!$A$2:$F$273,6,FALSE))</f>
        <v>Non affecté / nicht betroffen</v>
      </c>
      <c r="I55" s="405" t="str">
        <f>IF(VLOOKUP(A55,'Revitalisation-Revitalisierung'!$A$4:$Z$275,13,FALSE)="","",VLOOKUP(A55,'Revitalisation-Revitalisierung'!$A$4:$Z$275,13,FALSE))</f>
        <v>Partiellement nécessaire, facile / teilweise nötig, einfach</v>
      </c>
      <c r="J55" s="406" t="str">
        <f>IF(VLOOKUP(A55,'Revitalisation-Revitalisierung'!$A$4:$Z$275,14,FALSE)="","",VLOOKUP(A55,'Revitalisation-Revitalisierung'!$A$4:$Z$275,14,FALSE))</f>
        <v>a</v>
      </c>
      <c r="K55" s="407"/>
    </row>
    <row r="56" spans="1:11" ht="20.100000000000001" customHeight="1" x14ac:dyDescent="0.25">
      <c r="A56" s="399">
        <v>34</v>
      </c>
      <c r="B56" s="400" t="s">
        <v>291</v>
      </c>
      <c r="C56" s="400" t="s">
        <v>284</v>
      </c>
      <c r="D56" s="401" t="s">
        <v>274</v>
      </c>
      <c r="E56" s="402" t="str">
        <f>IF(VLOOKUP(A56,'Charriage - Geschiebehaushalt'!$A$4:$AC$275,17,FALSE)="","",VLOOKUP(A56,'Charriage - Geschiebehaushalt'!$A$4:$AC$275,17,FALSE))</f>
        <v>21-50%</v>
      </c>
      <c r="F56" s="403" t="str">
        <f>IF(VLOOKUP(A56,'Charriage - Geschiebehaushalt'!$A$4:$AC$275,18,FALSE)="","",VLOOKUP(A56,'Charriage - Geschiebehaushalt'!$A$4:$AC$275,18,FALSE))</f>
        <v>a</v>
      </c>
      <c r="G56" s="330" t="str">
        <f>IF(VLOOKUP(A56,'Débit - Abfluss'!$A$4:$AD$275,8,FALSE)="","",VLOOKUP(A56,'Débit - Abfluss'!$A$4:$AD$275,8,FALSE))</f>
        <v>0-20%</v>
      </c>
      <c r="H56" s="404" t="str">
        <f>IF(VLOOKUP(A56,'Eclusée - Schwall-Sunk'!$A$2:$F$273,6,FALSE)="","",VLOOKUP(A56,'Eclusée - Schwall-Sunk'!$A$2:$F$273,6,FALSE))</f>
        <v>Non affecté / nicht betroffen</v>
      </c>
      <c r="I56" s="405" t="str">
        <f>IF(VLOOKUP(A56,'Revitalisation-Revitalisierung'!$A$4:$Z$275,13,FALSE)="","",VLOOKUP(A56,'Revitalisation-Revitalisierung'!$A$4:$Z$275,13,FALSE))</f>
        <v>Non nécessaire / nicht nötig</v>
      </c>
      <c r="J56" s="406" t="str">
        <f>IF(VLOOKUP(A56,'Revitalisation-Revitalisierung'!$A$4:$Z$275,14,FALSE)="","",VLOOKUP(A56,'Revitalisation-Revitalisierung'!$A$4:$Z$275,14,FALSE))</f>
        <v>a</v>
      </c>
      <c r="K56" s="407"/>
    </row>
    <row r="57" spans="1:11" ht="20.100000000000001" customHeight="1" x14ac:dyDescent="0.25">
      <c r="A57" s="399">
        <v>35</v>
      </c>
      <c r="B57" s="400" t="s">
        <v>292</v>
      </c>
      <c r="C57" s="400" t="s">
        <v>284</v>
      </c>
      <c r="D57" s="401" t="s">
        <v>274</v>
      </c>
      <c r="E57" s="402" t="str">
        <f>IF(VLOOKUP(A57,'Charriage - Geschiebehaushalt'!$A$4:$AC$275,17,FALSE)="","",VLOOKUP(A57,'Charriage - Geschiebehaushalt'!$A$4:$AC$275,17,FALSE))</f>
        <v>21-50%</v>
      </c>
      <c r="F57" s="403" t="str">
        <f>IF(VLOOKUP(A57,'Charriage - Geschiebehaushalt'!$A$4:$AC$275,18,FALSE)="","",VLOOKUP(A57,'Charriage - Geschiebehaushalt'!$A$4:$AC$275,18,FALSE))</f>
        <v>a</v>
      </c>
      <c r="G57" s="330" t="str">
        <f>IF(VLOOKUP(A57,'Débit - Abfluss'!$A$4:$AD$275,8,FALSE)="","",VLOOKUP(A57,'Débit - Abfluss'!$A$4:$AD$275,8,FALSE))</f>
        <v>21-40%</v>
      </c>
      <c r="H57" s="404" t="str">
        <f>IF(VLOOKUP(A57,'Eclusée - Schwall-Sunk'!$A$2:$F$273,6,FALSE)="","",VLOOKUP(A57,'Eclusée - Schwall-Sunk'!$A$2:$F$273,6,FALSE))</f>
        <v>Non affecté / nicht betroffen</v>
      </c>
      <c r="I57" s="405" t="str">
        <f>IF(VLOOKUP(A57,'Revitalisation-Revitalisierung'!$A$4:$Z$275,13,FALSE)="","",VLOOKUP(A57,'Revitalisation-Revitalisierung'!$A$4:$Z$275,13,FALSE))</f>
        <v>Très nécessaire, difficile</v>
      </c>
      <c r="J57" s="406" t="str">
        <f>IF(VLOOKUP(A57,'Revitalisation-Revitalisierung'!$A$4:$Z$275,14,FALSE)="","",VLOOKUP(A57,'Revitalisation-Revitalisierung'!$A$4:$Z$275,14,FALSE))</f>
        <v>a</v>
      </c>
      <c r="K57" s="407"/>
    </row>
    <row r="58" spans="1:11" ht="20.100000000000001" customHeight="1" x14ac:dyDescent="0.25">
      <c r="A58" s="399">
        <v>36</v>
      </c>
      <c r="B58" s="400" t="s">
        <v>49</v>
      </c>
      <c r="C58" s="400" t="s">
        <v>50</v>
      </c>
      <c r="D58" s="401" t="s">
        <v>35</v>
      </c>
      <c r="E58" s="402" t="str">
        <f>IF(VLOOKUP(A58,'Charriage - Geschiebehaushalt'!$A$4:$AC$275,17,FALSE)="","",VLOOKUP(A58,'Charriage - Geschiebehaushalt'!$A$4:$AC$275,17,FALSE))</f>
        <v>non pertinent / nicht relevant</v>
      </c>
      <c r="F58" s="403" t="str">
        <f>IF(VLOOKUP(A58,'Charriage - Geschiebehaushalt'!$A$4:$AC$275,18,FALSE)="","",VLOOKUP(A58,'Charriage - Geschiebehaushalt'!$A$4:$AC$275,18,FALSE))</f>
        <v>a</v>
      </c>
      <c r="G58" s="330" t="str">
        <f>IF(VLOOKUP(A58,'Débit - Abfluss'!$A$4:$AD$275,8,FALSE)="","",VLOOKUP(A58,'Débit - Abfluss'!$A$4:$AD$275,8,FALSE))</f>
        <v>non pertinent / nicht relevant</v>
      </c>
      <c r="H58" s="404" t="str">
        <f>IF(VLOOKUP(A58,'Eclusée - Schwall-Sunk'!$A$2:$F$273,6,FALSE)="","",VLOOKUP(A58,'Eclusée - Schwall-Sunk'!$A$2:$F$273,6,FALSE))</f>
        <v>Potentiellement affecté mais non plausible / möglicherweise betroffen aber nicht nachweisbar</v>
      </c>
      <c r="I58" s="405" t="str">
        <f>IF(VLOOKUP(A58,'Revitalisation-Revitalisierung'!$A$4:$Z$275,13,FALSE)="","",VLOOKUP(A58,'Revitalisation-Revitalisierung'!$A$4:$Z$275,13,FALSE))</f>
        <v>Partiellement nécessaire, facile</v>
      </c>
      <c r="J58" s="406" t="str">
        <f>IF(VLOOKUP(A58,'Revitalisation-Revitalisierung'!$A$4:$Z$275,14,FALSE)="","",VLOOKUP(A58,'Revitalisation-Revitalisierung'!$A$4:$Z$275,14,FALSE))</f>
        <v>b</v>
      </c>
      <c r="K58" s="407"/>
    </row>
    <row r="59" spans="1:11" ht="20.100000000000001" customHeight="1" x14ac:dyDescent="0.25">
      <c r="A59" s="399">
        <v>37</v>
      </c>
      <c r="B59" s="400" t="s">
        <v>56</v>
      </c>
      <c r="C59" s="400" t="s">
        <v>57</v>
      </c>
      <c r="D59" s="401" t="s">
        <v>35</v>
      </c>
      <c r="E59" s="402" t="str">
        <f>IF(VLOOKUP(A59,'Charriage - Geschiebehaushalt'!$A$4:$AC$275,17,FALSE)="","",VLOOKUP(A59,'Charriage - Geschiebehaushalt'!$A$4:$AC$275,17,FALSE))</f>
        <v>81 -100%</v>
      </c>
      <c r="F59" s="403" t="str">
        <f>IF(VLOOKUP(A59,'Charriage - Geschiebehaushalt'!$A$4:$AC$275,18,FALSE)="","",VLOOKUP(A59,'Charriage - Geschiebehaushalt'!$A$4:$AC$275,18,FALSE))</f>
        <v>a</v>
      </c>
      <c r="G59" s="330" t="str">
        <f>IF(VLOOKUP(A59,'Débit - Abfluss'!$A$4:$AD$275,8,FALSE)="","",VLOOKUP(A59,'Débit - Abfluss'!$A$4:$AD$275,8,FALSE))</f>
        <v>41-60%</v>
      </c>
      <c r="H59" s="404" t="str">
        <f>IF(VLOOKUP(A59,'Eclusée - Schwall-Sunk'!$A$2:$F$273,6,FALSE)="","",VLOOKUP(A59,'Eclusée - Schwall-Sunk'!$A$2:$F$273,6,FALSE))</f>
        <v>Non affecté / nicht betroffen</v>
      </c>
      <c r="I59" s="405" t="str">
        <f>IF(VLOOKUP(A59,'Revitalisation-Revitalisierung'!$A$4:$Z$275,13,FALSE)="","",VLOOKUP(A59,'Revitalisation-Revitalisierung'!$A$4:$Z$275,13,FALSE))</f>
        <v>Partiellement nécessaire, difficile</v>
      </c>
      <c r="J59" s="406" t="str">
        <f>IF(VLOOKUP(A59,'Revitalisation-Revitalisierung'!$A$4:$Z$275,14,FALSE)="","",VLOOKUP(A59,'Revitalisation-Revitalisierung'!$A$4:$Z$275,14,FALSE))</f>
        <v>b</v>
      </c>
      <c r="K59" s="407"/>
    </row>
    <row r="60" spans="1:11" ht="20.100000000000001" customHeight="1" x14ac:dyDescent="0.25">
      <c r="A60" s="399">
        <v>40</v>
      </c>
      <c r="B60" s="400" t="s">
        <v>60</v>
      </c>
      <c r="C60" s="400" t="s">
        <v>50</v>
      </c>
      <c r="D60" s="401" t="s">
        <v>35</v>
      </c>
      <c r="E60" s="402" t="str">
        <f>IF(VLOOKUP(A60,'Charriage - Geschiebehaushalt'!$A$4:$AC$275,17,FALSE)="","",VLOOKUP(A60,'Charriage - Geschiebehaushalt'!$A$4:$AC$275,17,FALSE))</f>
        <v>81 -100%</v>
      </c>
      <c r="F60" s="403" t="str">
        <f>IF(VLOOKUP(A60,'Charriage - Geschiebehaushalt'!$A$4:$AC$275,18,FALSE)="","",VLOOKUP(A60,'Charriage - Geschiebehaushalt'!$A$4:$AC$275,18,FALSE))</f>
        <v>a</v>
      </c>
      <c r="G60" s="330" t="str">
        <f>IF(VLOOKUP(A60,'Débit - Abfluss'!$A$4:$AD$275,8,FALSE)="","",VLOOKUP(A60,'Débit - Abfluss'!$A$4:$AD$275,8,FALSE))</f>
        <v>0-20%</v>
      </c>
      <c r="H60" s="404" t="str">
        <f>IF(VLOOKUP(A60,'Eclusée - Schwall-Sunk'!$A$2:$F$273,6,FALSE)="","",VLOOKUP(A60,'Eclusée - Schwall-Sunk'!$A$2:$F$273,6,FALSE))</f>
        <v>Non affecté / nicht betroffen</v>
      </c>
      <c r="I60" s="405" t="str">
        <f>IF(VLOOKUP(A60,'Revitalisation-Revitalisierung'!$A$4:$Z$275,13,FALSE)="","",VLOOKUP(A60,'Revitalisation-Revitalisierung'!$A$4:$Z$275,13,FALSE))</f>
        <v>Partiellement nécessaire, difficile / teilweise nötig, schwierig</v>
      </c>
      <c r="J60" s="406" t="str">
        <f>IF(VLOOKUP(A60,'Revitalisation-Revitalisierung'!$A$4:$Z$275,14,FALSE)="","",VLOOKUP(A60,'Revitalisation-Revitalisierung'!$A$4:$Z$275,14,FALSE))</f>
        <v>b</v>
      </c>
      <c r="K60" s="407"/>
    </row>
    <row r="61" spans="1:11" ht="20.100000000000001" customHeight="1" x14ac:dyDescent="0.25">
      <c r="A61" s="399">
        <v>44</v>
      </c>
      <c r="B61" s="400" t="s">
        <v>93</v>
      </c>
      <c r="C61" s="400" t="s">
        <v>94</v>
      </c>
      <c r="D61" s="401" t="s">
        <v>92</v>
      </c>
      <c r="E61" s="402" t="str">
        <f>IF(VLOOKUP(A61,'Charriage - Geschiebehaushalt'!$A$4:$AC$275,17,FALSE)="","",VLOOKUP(A61,'Charriage - Geschiebehaushalt'!$A$4:$AC$275,17,FALSE))</f>
        <v>21-50%</v>
      </c>
      <c r="F61" s="403" t="str">
        <f>IF(VLOOKUP(A61,'Charriage - Geschiebehaushalt'!$A$4:$AC$275,18,FALSE)="","",VLOOKUP(A61,'Charriage - Geschiebehaushalt'!$A$4:$AC$275,18,FALSE))</f>
        <v>a</v>
      </c>
      <c r="G61" s="330" t="str">
        <f>IF(VLOOKUP(A61,'Débit - Abfluss'!$A$4:$AD$275,8,FALSE)="","",VLOOKUP(A61,'Débit - Abfluss'!$A$4:$AD$275,8,FALSE))</f>
        <v>100%</v>
      </c>
      <c r="H61" s="404" t="str">
        <f>IF(VLOOKUP(A61,'Eclusée - Schwall-Sunk'!$A$2:$F$273,6,FALSE)="","",VLOOKUP(A61,'Eclusée - Schwall-Sunk'!$A$2:$F$273,6,FALSE))</f>
        <v>Non affecté / nicht betroffen</v>
      </c>
      <c r="I61" s="405" t="str">
        <f>IF(VLOOKUP(A61,'Revitalisation-Revitalisierung'!$A$4:$Z$275,13,FALSE)="","",VLOOKUP(A61,'Revitalisation-Revitalisierung'!$A$4:$Z$275,13,FALSE))</f>
        <v>Très nécessaire, facile / unbedingt nötig, einfach</v>
      </c>
      <c r="J61" s="406" t="str">
        <f>IF(VLOOKUP(A61,'Revitalisation-Revitalisierung'!$A$4:$Z$275,14,FALSE)="","",VLOOKUP(A61,'Revitalisation-Revitalisierung'!$A$4:$Z$275,14,FALSE))</f>
        <v>a</v>
      </c>
      <c r="K61" s="407"/>
    </row>
    <row r="62" spans="1:11" ht="20.100000000000001" customHeight="1" x14ac:dyDescent="0.25">
      <c r="A62" s="399">
        <v>45</v>
      </c>
      <c r="B62" s="400" t="s">
        <v>455</v>
      </c>
      <c r="C62" s="400" t="s">
        <v>456</v>
      </c>
      <c r="D62" s="401" t="s">
        <v>454</v>
      </c>
      <c r="E62" s="402" t="str">
        <f>IF(VLOOKUP(A62,'Charriage - Geschiebehaushalt'!$A$4:$AC$275,17,FALSE)="","",VLOOKUP(A62,'Charriage - Geschiebehaushalt'!$A$4:$AC$275,17,FALSE))</f>
        <v>21-50%</v>
      </c>
      <c r="F62" s="403" t="str">
        <f>IF(VLOOKUP(A62,'Charriage - Geschiebehaushalt'!$A$4:$AC$275,18,FALSE)="","",VLOOKUP(A62,'Charriage - Geschiebehaushalt'!$A$4:$AC$275,18,FALSE))</f>
        <v>a</v>
      </c>
      <c r="G62" s="330" t="str">
        <f>IF(VLOOKUP(A62,'Débit - Abfluss'!$A$4:$AD$275,8,FALSE)="","",VLOOKUP(A62,'Débit - Abfluss'!$A$4:$AD$275,8,FALSE))</f>
        <v>61-80%</v>
      </c>
      <c r="H62" s="404" t="str">
        <f>IF(VLOOKUP(A62,'Eclusée - Schwall-Sunk'!$A$2:$F$273,6,FALSE)="","",VLOOKUP(A62,'Eclusée - Schwall-Sunk'!$A$2:$F$273,6,FALSE))</f>
        <v>Non affecté / nicht betroffen</v>
      </c>
      <c r="I62" s="405" t="str">
        <f>IF(VLOOKUP(A62,'Revitalisation-Revitalisierung'!$A$4:$Z$275,13,FALSE)="","",VLOOKUP(A62,'Revitalisation-Revitalisierung'!$A$4:$Z$275,13,FALSE))</f>
        <v>Très nécessaire, facile / unbedingt nötig, einfach</v>
      </c>
      <c r="J62" s="406" t="str">
        <f>IF(VLOOKUP(A62,'Revitalisation-Revitalisierung'!$A$4:$Z$275,14,FALSE)="","",VLOOKUP(A62,'Revitalisation-Revitalisierung'!$A$4:$Z$275,14,FALSE))</f>
        <v>a</v>
      </c>
      <c r="K62" s="407"/>
    </row>
    <row r="63" spans="1:11" ht="20.100000000000001" customHeight="1" x14ac:dyDescent="0.25">
      <c r="A63" s="399">
        <v>46</v>
      </c>
      <c r="B63" s="400" t="s">
        <v>97</v>
      </c>
      <c r="C63" s="400" t="s">
        <v>94</v>
      </c>
      <c r="D63" s="401" t="s">
        <v>92</v>
      </c>
      <c r="E63" s="402" t="str">
        <f>IF(VLOOKUP(A63,'Charriage - Geschiebehaushalt'!$A$4:$AC$275,17,FALSE)="","",VLOOKUP(A63,'Charriage - Geschiebehaushalt'!$A$4:$AC$275,17,FALSE))</f>
        <v>21-50%</v>
      </c>
      <c r="F63" s="403" t="str">
        <f>IF(VLOOKUP(A63,'Charriage - Geschiebehaushalt'!$A$4:$AC$275,18,FALSE)="","",VLOOKUP(A63,'Charriage - Geschiebehaushalt'!$A$4:$AC$275,18,FALSE))</f>
        <v>a</v>
      </c>
      <c r="G63" s="330" t="str">
        <f>IF(VLOOKUP(A63,'Débit - Abfluss'!$A$4:$AD$275,8,FALSE)="","",VLOOKUP(A63,'Débit - Abfluss'!$A$4:$AD$275,8,FALSE))</f>
        <v>41-60%</v>
      </c>
      <c r="H63" s="404" t="str">
        <f>IF(VLOOKUP(A63,'Eclusée - Schwall-Sunk'!$A$2:$F$273,6,FALSE)="","",VLOOKUP(A63,'Eclusée - Schwall-Sunk'!$A$2:$F$273,6,FALSE))</f>
        <v>Non affecté / nicht betroffen</v>
      </c>
      <c r="I63" s="405" t="str">
        <f>IF(VLOOKUP(A63,'Revitalisation-Revitalisierung'!$A$4:$Z$275,13,FALSE)="","",VLOOKUP(A63,'Revitalisation-Revitalisierung'!$A$4:$Z$275,13,FALSE))</f>
        <v>Très nécessaire, facile / unbedingt nötig, einfach</v>
      </c>
      <c r="J63" s="406" t="str">
        <f>IF(VLOOKUP(A63,'Revitalisation-Revitalisierung'!$A$4:$Z$275,14,FALSE)="","",VLOOKUP(A63,'Revitalisation-Revitalisierung'!$A$4:$Z$275,14,FALSE))</f>
        <v>a</v>
      </c>
      <c r="K63" s="407"/>
    </row>
    <row r="64" spans="1:11" ht="20.100000000000001" customHeight="1" x14ac:dyDescent="0.25">
      <c r="A64" s="412">
        <v>47.1</v>
      </c>
      <c r="B64" s="400" t="s">
        <v>98</v>
      </c>
      <c r="C64" s="400" t="s">
        <v>50</v>
      </c>
      <c r="D64" s="401" t="s">
        <v>92</v>
      </c>
      <c r="E64" s="402" t="str">
        <f>IF(VLOOKUP(A64,'Charriage - Geschiebehaushalt'!$A$4:$AC$275,17,FALSE)="","",VLOOKUP(A64,'Charriage - Geschiebehaushalt'!$A$4:$AC$275,17,FALSE))</f>
        <v>Déficit non apparent en charriage ou en remobilisation des sédiments</v>
      </c>
      <c r="F64" s="403" t="str">
        <f>IF(VLOOKUP(A64,'Charriage - Geschiebehaushalt'!$A$4:$AC$275,18,FALSE)="","",VLOOKUP(A64,'Charriage - Geschiebehaushalt'!$A$4:$AC$275,18,FALSE))</f>
        <v>a</v>
      </c>
      <c r="G64" s="330" t="str">
        <f>IF(VLOOKUP(A64,'Débit - Abfluss'!$A$4:$AD$275,8,FALSE)="","",VLOOKUP(A64,'Débit - Abfluss'!$A$4:$AD$275,8,FALSE))</f>
        <v>81-100%</v>
      </c>
      <c r="H64" s="404" t="str">
        <f>IF(VLOOKUP(A64,'Eclusée - Schwall-Sunk'!$A$2:$F$273,6,FALSE)="","",VLOOKUP(A64,'Eclusée - Schwall-Sunk'!$A$2:$F$273,6,FALSE))</f>
        <v>Non affecté / nicht betroffen</v>
      </c>
      <c r="I64" s="405" t="str">
        <f>IF(VLOOKUP(A64,'Revitalisation-Revitalisierung'!$A$4:$Z$275,13,FALSE)="","",VLOOKUP(A64,'Revitalisation-Revitalisierung'!$A$4:$Z$275,13,FALSE))</f>
        <v>Très nécessaire, difficile / unbedingt nötig, schwierig</v>
      </c>
      <c r="J64" s="406" t="str">
        <f>IF(VLOOKUP(A64,'Revitalisation-Revitalisierung'!$A$4:$Z$275,14,FALSE)="","",VLOOKUP(A64,'Revitalisation-Revitalisierung'!$A$4:$Z$275,14,FALSE))</f>
        <v>b</v>
      </c>
      <c r="K64" s="407"/>
    </row>
    <row r="65" spans="1:11" ht="20.100000000000001" customHeight="1" x14ac:dyDescent="0.25">
      <c r="A65" s="412">
        <v>47.2</v>
      </c>
      <c r="B65" s="400" t="s">
        <v>98</v>
      </c>
      <c r="C65" s="400" t="s">
        <v>50</v>
      </c>
      <c r="D65" s="401" t="s">
        <v>92</v>
      </c>
      <c r="E65" s="402" t="str">
        <f>IF(VLOOKUP(A65,'Charriage - Geschiebehaushalt'!$A$4:$AC$275,17,FALSE)="","",VLOOKUP(A65,'Charriage - Geschiebehaushalt'!$A$4:$AC$275,17,FALSE))</f>
        <v>La remobilisation des sédiments est perturbée</v>
      </c>
      <c r="F65" s="403" t="str">
        <f>IF(VLOOKUP(A65,'Charriage - Geschiebehaushalt'!$A$4:$AC$275,18,FALSE)="","",VLOOKUP(A65,'Charriage - Geschiebehaushalt'!$A$4:$AC$275,18,FALSE))</f>
        <v>b</v>
      </c>
      <c r="G65" s="330" t="str">
        <f>IF(VLOOKUP(A65,'Débit - Abfluss'!$A$4:$AD$275,8,FALSE)="","",VLOOKUP(A65,'Débit - Abfluss'!$A$4:$AD$275,8,FALSE))</f>
        <v>100%</v>
      </c>
      <c r="H65" s="404" t="str">
        <f>IF(VLOOKUP(A65,'Eclusée - Schwall-Sunk'!$A$2:$F$273,6,FALSE)="","",VLOOKUP(A65,'Eclusée - Schwall-Sunk'!$A$2:$F$273,6,FALSE))</f>
        <v>Non affecté / nicht betroffen</v>
      </c>
      <c r="I65" s="405" t="str">
        <f>IF(VLOOKUP(A65,'Revitalisation-Revitalisierung'!$A$4:$Z$275,13,FALSE)="","",VLOOKUP(A65,'Revitalisation-Revitalisierung'!$A$4:$Z$275,13,FALSE))</f>
        <v>Non nécessaire / nicht nötig</v>
      </c>
      <c r="J65" s="406" t="str">
        <f>IF(VLOOKUP(A65,'Revitalisation-Revitalisierung'!$A$4:$Z$275,14,FALSE)="","",VLOOKUP(A65,'Revitalisation-Revitalisierung'!$A$4:$Z$275,14,FALSE))</f>
        <v>b</v>
      </c>
      <c r="K65" s="407"/>
    </row>
    <row r="66" spans="1:11" ht="20.100000000000001" customHeight="1" x14ac:dyDescent="0.25">
      <c r="A66" s="399">
        <v>48</v>
      </c>
      <c r="B66" s="400" t="s">
        <v>100</v>
      </c>
      <c r="C66" s="400" t="s">
        <v>101</v>
      </c>
      <c r="D66" s="401" t="s">
        <v>92</v>
      </c>
      <c r="E66" s="402" t="str">
        <f>IF(VLOOKUP(A66,'Charriage - Geschiebehaushalt'!$A$4:$AC$275,17,FALSE)="","",VLOOKUP(A66,'Charriage - Geschiebehaushalt'!$A$4:$AC$275,17,FALSE))</f>
        <v>Charriage présumé perturbé</v>
      </c>
      <c r="F66" s="403" t="str">
        <f>IF(VLOOKUP(A66,'Charriage - Geschiebehaushalt'!$A$4:$AC$275,18,FALSE)="","",VLOOKUP(A66,'Charriage - Geschiebehaushalt'!$A$4:$AC$275,18,FALSE))</f>
        <v>b</v>
      </c>
      <c r="G66" s="330" t="str">
        <f>IF(VLOOKUP(A66,'Débit - Abfluss'!$A$4:$AD$275,8,FALSE)="","",VLOOKUP(A66,'Débit - Abfluss'!$A$4:$AD$275,8,FALSE))</f>
        <v>100%</v>
      </c>
      <c r="H66" s="404" t="str">
        <f>IF(VLOOKUP(A66,'Eclusée - Schwall-Sunk'!$A$2:$F$273,6,FALSE)="","",VLOOKUP(A66,'Eclusée - Schwall-Sunk'!$A$2:$F$273,6,FALSE))</f>
        <v>Non affecté / nicht betroffen</v>
      </c>
      <c r="I66" s="405" t="str">
        <f>IF(VLOOKUP(A66,'Revitalisation-Revitalisierung'!$A$4:$Z$275,13,FALSE)="","",VLOOKUP(A66,'Revitalisation-Revitalisierung'!$A$4:$Z$275,13,FALSE))</f>
        <v>Partiellement nécessaire, facile / teilweise nötig, einfach</v>
      </c>
      <c r="J66" s="406" t="str">
        <f>IF(VLOOKUP(A66,'Revitalisation-Revitalisierung'!$A$4:$Z$275,14,FALSE)="","",VLOOKUP(A66,'Revitalisation-Revitalisierung'!$A$4:$Z$275,14,FALSE))</f>
        <v>b</v>
      </c>
      <c r="K66" s="407"/>
    </row>
    <row r="67" spans="1:11" ht="20.100000000000001" customHeight="1" x14ac:dyDescent="0.25">
      <c r="A67" s="399">
        <v>49</v>
      </c>
      <c r="B67" s="400" t="s">
        <v>105</v>
      </c>
      <c r="C67" s="400" t="s">
        <v>101</v>
      </c>
      <c r="D67" s="401" t="s">
        <v>92</v>
      </c>
      <c r="E67" s="402" t="str">
        <f>IF(VLOOKUP(A67,'Charriage - Geschiebehaushalt'!$A$4:$AC$275,17,FALSE)="","",VLOOKUP(A67,'Charriage - Geschiebehaushalt'!$A$4:$AC$275,17,FALSE))</f>
        <v>Charriage présumé perturbé / Geschiebehaushalt vermutlich beeinträchtigt</v>
      </c>
      <c r="F67" s="403" t="str">
        <f>IF(VLOOKUP(A67,'Charriage - Geschiebehaushalt'!$A$4:$AC$275,18,FALSE)="","",VLOOKUP(A67,'Charriage - Geschiebehaushalt'!$A$4:$AC$275,18,FALSE))</f>
        <v>b</v>
      </c>
      <c r="G67" s="330" t="str">
        <f>IF(VLOOKUP(A67,'Débit - Abfluss'!$A$4:$AD$275,8,FALSE)="","",VLOOKUP(A67,'Débit - Abfluss'!$A$4:$AD$275,8,FALSE))</f>
        <v>100%</v>
      </c>
      <c r="H67" s="404" t="str">
        <f>IF(VLOOKUP(A67,'Eclusée - Schwall-Sunk'!$A$2:$F$273,6,FALSE)="","",VLOOKUP(A67,'Eclusée - Schwall-Sunk'!$A$2:$F$273,6,FALSE))</f>
        <v>Non affecté / nicht betroffen</v>
      </c>
      <c r="I67" s="405" t="str">
        <f>IF(VLOOKUP(A67,'Revitalisation-Revitalisierung'!$A$4:$Z$275,13,FALSE)="","",VLOOKUP(A67,'Revitalisation-Revitalisierung'!$A$4:$Z$275,13,FALSE))</f>
        <v>Partiellement nécessaire, facile / teilweise nötig, einfach</v>
      </c>
      <c r="J67" s="406" t="str">
        <f>IF(VLOOKUP(A67,'Revitalisation-Revitalisierung'!$A$4:$Z$275,14,FALSE)="","",VLOOKUP(A67,'Revitalisation-Revitalisierung'!$A$4:$Z$275,14,FALSE))</f>
        <v>b</v>
      </c>
      <c r="K67" s="407"/>
    </row>
    <row r="68" spans="1:11" ht="20.100000000000001" customHeight="1" x14ac:dyDescent="0.25">
      <c r="A68" s="399">
        <v>50</v>
      </c>
      <c r="B68" s="400" t="s">
        <v>574</v>
      </c>
      <c r="C68" s="400" t="s">
        <v>575</v>
      </c>
      <c r="D68" s="401" t="s">
        <v>573</v>
      </c>
      <c r="E68" s="402" t="str">
        <f>IF(VLOOKUP(A68,'Charriage - Geschiebehaushalt'!$A$4:$AC$275,17,FALSE)="","",VLOOKUP(A68,'Charriage - Geschiebehaushalt'!$A$4:$AC$275,17,FALSE))</f>
        <v>Déficit non apparent en charriage ou en remobilisation des sédiments / kein sichtbares Defizit beim Geschiebehaushalt bzw. bei der Mobilisierung von Geschiebe</v>
      </c>
      <c r="F68" s="403" t="str">
        <f>IF(VLOOKUP(A68,'Charriage - Geschiebehaushalt'!$A$4:$AC$275,18,FALSE)="","",VLOOKUP(A68,'Charriage - Geschiebehaushalt'!$A$4:$AC$275,18,FALSE))</f>
        <v>b</v>
      </c>
      <c r="G68" s="330" t="str">
        <f>IF(VLOOKUP(A68,'Débit - Abfluss'!$A$4:$AD$275,8,FALSE)="","",VLOOKUP(A68,'Débit - Abfluss'!$A$4:$AD$275,8,FALSE))</f>
        <v>100%</v>
      </c>
      <c r="H68" s="404" t="str">
        <f>IF(VLOOKUP(A68,'Eclusée - Schwall-Sunk'!$A$2:$F$273,6,FALSE)="","",VLOOKUP(A68,'Eclusée - Schwall-Sunk'!$A$2:$F$273,6,FALSE))</f>
        <v>Non affecté / nicht betroffen</v>
      </c>
      <c r="I68" s="405" t="str">
        <f>IF(VLOOKUP(A68,'Revitalisation-Revitalisierung'!$A$4:$Z$275,13,FALSE)="","",VLOOKUP(A68,'Revitalisation-Revitalisierung'!$A$4:$Z$275,13,FALSE))</f>
        <v>Non nécessaire / nicht nötig</v>
      </c>
      <c r="J68" s="406" t="str">
        <f>IF(VLOOKUP(A68,'Revitalisation-Revitalisierung'!$A$4:$Z$275,14,FALSE)="","",VLOOKUP(A68,'Revitalisation-Revitalisierung'!$A$4:$Z$275,14,FALSE))</f>
        <v>a</v>
      </c>
      <c r="K68" s="407"/>
    </row>
    <row r="69" spans="1:11" ht="20.100000000000001" customHeight="1" x14ac:dyDescent="0.25">
      <c r="A69" s="399">
        <v>51</v>
      </c>
      <c r="B69" s="400" t="s">
        <v>62</v>
      </c>
      <c r="C69" s="400" t="s">
        <v>63</v>
      </c>
      <c r="D69" s="401" t="s">
        <v>35</v>
      </c>
      <c r="E69" s="402" t="str">
        <f>IF(VLOOKUP(A69,'Charriage - Geschiebehaushalt'!$A$4:$AC$275,17,FALSE)="","",VLOOKUP(A69,'Charriage - Geschiebehaushalt'!$A$4:$AC$275,17,FALSE))</f>
        <v>81 -100%</v>
      </c>
      <c r="F69" s="403" t="str">
        <f>IF(VLOOKUP(A69,'Charriage - Geschiebehaushalt'!$A$4:$AC$275,18,FALSE)="","",VLOOKUP(A69,'Charriage - Geschiebehaushalt'!$A$4:$AC$275,18,FALSE))</f>
        <v>a</v>
      </c>
      <c r="G69" s="330" t="str">
        <f>IF(VLOOKUP(A69,'Débit - Abfluss'!$A$4:$AD$275,8,FALSE)="","",VLOOKUP(A69,'Débit - Abfluss'!$A$4:$AD$275,8,FALSE))</f>
        <v>81-100%</v>
      </c>
      <c r="H69" s="404" t="str">
        <f>IF(VLOOKUP(A69,'Eclusée - Schwall-Sunk'!$A$2:$F$273,6,FALSE)="","",VLOOKUP(A69,'Eclusée - Schwall-Sunk'!$A$2:$F$273,6,FALSE))</f>
        <v>Non affecté / nicht betroffen</v>
      </c>
      <c r="I69" s="405" t="str">
        <f>IF(VLOOKUP(A69,'Revitalisation-Revitalisierung'!$A$4:$Z$275,13,FALSE)="","",VLOOKUP(A69,'Revitalisation-Revitalisierung'!$A$4:$Z$275,13,FALSE))</f>
        <v>Partiellement nécessaire, facile / teilweise nötig, einfach</v>
      </c>
      <c r="J69" s="406" t="str">
        <f>IF(VLOOKUP(A69,'Revitalisation-Revitalisierung'!$A$4:$Z$275,14,FALSE)="","",VLOOKUP(A69,'Revitalisation-Revitalisierung'!$A$4:$Z$275,14,FALSE))</f>
        <v>b</v>
      </c>
      <c r="K69" s="407"/>
    </row>
    <row r="70" spans="1:11" ht="20.100000000000001" customHeight="1" x14ac:dyDescent="0.25">
      <c r="A70" s="399">
        <v>52</v>
      </c>
      <c r="B70" s="400" t="s">
        <v>234</v>
      </c>
      <c r="C70" s="400" t="s">
        <v>235</v>
      </c>
      <c r="D70" s="401" t="s">
        <v>233</v>
      </c>
      <c r="E70" s="402" t="str">
        <f>IF(VLOOKUP(A70,'Charriage - Geschiebehaushalt'!$A$4:$AC$275,17,FALSE)="","",VLOOKUP(A70,'Charriage - Geschiebehaushalt'!$A$4:$AC$275,17,FALSE))</f>
        <v>Problème lié à un manque de charriage ou à un manque de remobilisation des sédiments</v>
      </c>
      <c r="F70" s="403" t="str">
        <f>IF(VLOOKUP(A70,'Charriage - Geschiebehaushalt'!$A$4:$AC$275,18,FALSE)="","",VLOOKUP(A70,'Charriage - Geschiebehaushalt'!$A$4:$AC$275,18,FALSE))</f>
        <v>b</v>
      </c>
      <c r="G70" s="330" t="str">
        <f>IF(VLOOKUP(A70,'Débit - Abfluss'!$A$4:$AD$275,8,FALSE)="","",VLOOKUP(A70,'Débit - Abfluss'!$A$4:$AD$275,8,FALSE))</f>
        <v>100%</v>
      </c>
      <c r="H70" s="404" t="str">
        <f>IF(VLOOKUP(A70,'Eclusée - Schwall-Sunk'!$A$2:$F$273,6,FALSE)="","",VLOOKUP(A70,'Eclusée - Schwall-Sunk'!$A$2:$F$273,6,FALSE))</f>
        <v>Non affecté / nicht betroffen</v>
      </c>
      <c r="I70" s="405" t="str">
        <f>IF(VLOOKUP(A70,'Revitalisation-Revitalisierung'!$A$4:$Z$275,13,FALSE)="","",VLOOKUP(A70,'Revitalisation-Revitalisierung'!$A$4:$Z$275,13,FALSE))</f>
        <v>Très nécessaire, facile / unbedingt nötig, einfach</v>
      </c>
      <c r="J70" s="406" t="str">
        <f>IF(VLOOKUP(A70,'Revitalisation-Revitalisierung'!$A$4:$Z$275,14,FALSE)="","",VLOOKUP(A70,'Revitalisation-Revitalisierung'!$A$4:$Z$275,14,FALSE))</f>
        <v>a</v>
      </c>
      <c r="K70" s="407"/>
    </row>
    <row r="71" spans="1:11" ht="20.100000000000001" customHeight="1" x14ac:dyDescent="0.25">
      <c r="A71" s="399">
        <v>53</v>
      </c>
      <c r="B71" s="400" t="s">
        <v>107</v>
      </c>
      <c r="C71" s="400" t="s">
        <v>108</v>
      </c>
      <c r="D71" s="401" t="s">
        <v>92</v>
      </c>
      <c r="E71" s="402" t="str">
        <f>IF(VLOOKUP(A71,'Charriage - Geschiebehaushalt'!$A$4:$AC$275,17,FALSE)="","",VLOOKUP(A71,'Charriage - Geschiebehaushalt'!$A$4:$AC$275,17,FALSE))</f>
        <v>La remobilisation des sédiments est perturbée / Mobilisierung von Geschiebe beeinträchtigt</v>
      </c>
      <c r="F71" s="403" t="str">
        <f>IF(VLOOKUP(A71,'Charriage - Geschiebehaushalt'!$A$4:$AC$275,18,FALSE)="","",VLOOKUP(A71,'Charriage - Geschiebehaushalt'!$A$4:$AC$275,18,FALSE))</f>
        <v>b</v>
      </c>
      <c r="G71" s="330" t="str">
        <f>IF(VLOOKUP(A71,'Débit - Abfluss'!$A$4:$AD$275,8,FALSE)="","",VLOOKUP(A71,'Débit - Abfluss'!$A$4:$AD$275,8,FALSE))</f>
        <v>non pertinent / nicht relevant</v>
      </c>
      <c r="H71" s="404" t="str">
        <f>IF(VLOOKUP(A71,'Eclusée - Schwall-Sunk'!$A$2:$F$273,6,FALSE)="","",VLOOKUP(A71,'Eclusée - Schwall-Sunk'!$A$2:$F$273,6,FALSE))</f>
        <v>Potentiellement affecté / möglicherweise betroffen</v>
      </c>
      <c r="I71" s="405" t="str">
        <f>IF(VLOOKUP(A71,'Revitalisation-Revitalisierung'!$A$4:$Z$275,13,FALSE)="","",VLOOKUP(A71,'Revitalisation-Revitalisierung'!$A$4:$Z$275,13,FALSE))</f>
        <v>Très nécessaire, facile / unbedingt nötig, einfach</v>
      </c>
      <c r="J71" s="406" t="str">
        <f>IF(VLOOKUP(A71,'Revitalisation-Revitalisierung'!$A$4:$Z$275,14,FALSE)="","",VLOOKUP(A71,'Revitalisation-Revitalisierung'!$A$4:$Z$275,14,FALSE))</f>
        <v>b</v>
      </c>
      <c r="K71" s="407"/>
    </row>
    <row r="72" spans="1:11" ht="20.100000000000001" customHeight="1" x14ac:dyDescent="0.25">
      <c r="A72" s="399">
        <v>55</v>
      </c>
      <c r="B72" s="400" t="s">
        <v>184</v>
      </c>
      <c r="C72" s="400" t="s">
        <v>185</v>
      </c>
      <c r="D72" s="401" t="s">
        <v>183</v>
      </c>
      <c r="E72" s="402" t="str">
        <f>IF(VLOOKUP(A72,'Charriage - Geschiebehaushalt'!$A$4:$AC$275,17,FALSE)="","",VLOOKUP(A72,'Charriage - Geschiebehaushalt'!$A$4:$AC$275,17,FALSE))</f>
        <v>0-20%</v>
      </c>
      <c r="F72" s="403" t="str">
        <f>IF(VLOOKUP(A72,'Charriage - Geschiebehaushalt'!$A$4:$AC$275,18,FALSE)="","",VLOOKUP(A72,'Charriage - Geschiebehaushalt'!$A$4:$AC$275,18,FALSE))</f>
        <v>a</v>
      </c>
      <c r="G72" s="330" t="str">
        <f>IF(VLOOKUP(A72,'Débit - Abfluss'!$A$4:$AD$275,8,FALSE)="","",VLOOKUP(A72,'Débit - Abfluss'!$A$4:$AD$275,8,FALSE))</f>
        <v>100%</v>
      </c>
      <c r="H72" s="404" t="str">
        <f>IF(VLOOKUP(A72,'Eclusée - Schwall-Sunk'!$A$2:$F$273,6,FALSE)="","",VLOOKUP(A72,'Eclusée - Schwall-Sunk'!$A$2:$F$273,6,FALSE))</f>
        <v>Non affecté / nicht betroffen</v>
      </c>
      <c r="I72" s="405" t="str">
        <f>IF(VLOOKUP(A72,'Revitalisation-Revitalisierung'!$A$4:$Z$275,13,FALSE)="","",VLOOKUP(A72,'Revitalisation-Revitalisierung'!$A$4:$Z$275,13,FALSE))</f>
        <v>Non nécessaire / nicht nötig</v>
      </c>
      <c r="J72" s="406" t="str">
        <f>IF(VLOOKUP(A72,'Revitalisation-Revitalisierung'!$A$4:$Z$275,14,FALSE)="","",VLOOKUP(A72,'Revitalisation-Revitalisierung'!$A$4:$Z$275,14,FALSE))</f>
        <v>a</v>
      </c>
      <c r="K72" s="407"/>
    </row>
    <row r="73" spans="1:11" ht="20.100000000000001" customHeight="1" x14ac:dyDescent="0.25">
      <c r="A73" s="399">
        <v>58</v>
      </c>
      <c r="B73" s="400" t="s">
        <v>111</v>
      </c>
      <c r="C73" s="400" t="s">
        <v>112</v>
      </c>
      <c r="D73" s="401" t="s">
        <v>92</v>
      </c>
      <c r="E73" s="402" t="str">
        <f>IF(VLOOKUP(A73,'Charriage - Geschiebehaushalt'!$A$4:$AC$275,17,FALSE)="","",VLOOKUP(A73,'Charriage - Geschiebehaushalt'!$A$4:$AC$275,17,FALSE))</f>
        <v>0-20%</v>
      </c>
      <c r="F73" s="403" t="str">
        <f>IF(VLOOKUP(A73,'Charriage - Geschiebehaushalt'!$A$4:$AC$275,18,FALSE)="","",VLOOKUP(A73,'Charriage - Geschiebehaushalt'!$A$4:$AC$275,18,FALSE))</f>
        <v>a</v>
      </c>
      <c r="G73" s="330" t="str">
        <f>IF(VLOOKUP(A73,'Débit - Abfluss'!$A$4:$AD$275,8,FALSE)="","",VLOOKUP(A73,'Débit - Abfluss'!$A$4:$AD$275,8,FALSE))</f>
        <v>100%</v>
      </c>
      <c r="H73" s="404" t="str">
        <f>IF(VLOOKUP(A73,'Eclusée - Schwall-Sunk'!$A$2:$F$273,6,FALSE)="","",VLOOKUP(A73,'Eclusée - Schwall-Sunk'!$A$2:$F$273,6,FALSE))</f>
        <v>Non affecté / nicht betroffen</v>
      </c>
      <c r="I73" s="405" t="str">
        <f>IF(VLOOKUP(A73,'Revitalisation-Revitalisierung'!$A$4:$Z$275,13,FALSE)="","",VLOOKUP(A73,'Revitalisation-Revitalisierung'!$A$4:$Z$275,13,FALSE))</f>
        <v>Partiellement nécessaire, difficile / teilweise nötig, schwierig</v>
      </c>
      <c r="J73" s="406" t="str">
        <f>IF(VLOOKUP(A73,'Revitalisation-Revitalisierung'!$A$4:$Z$275,14,FALSE)="","",VLOOKUP(A73,'Revitalisation-Revitalisierung'!$A$4:$Z$275,14,FALSE))</f>
        <v>a</v>
      </c>
      <c r="K73" s="407"/>
    </row>
    <row r="74" spans="1:11" ht="20.100000000000001" customHeight="1" x14ac:dyDescent="0.25">
      <c r="A74" s="399">
        <v>59</v>
      </c>
      <c r="B74" s="400" t="s">
        <v>115</v>
      </c>
      <c r="C74" s="400" t="s">
        <v>116</v>
      </c>
      <c r="D74" s="401" t="s">
        <v>92</v>
      </c>
      <c r="E74" s="402" t="str">
        <f>IF(VLOOKUP(A74,'Charriage - Geschiebehaushalt'!$A$4:$AC$275,17,FALSE)="","",VLOOKUP(A74,'Charriage - Geschiebehaushalt'!$A$4:$AC$275,17,FALSE))</f>
        <v>51-80%</v>
      </c>
      <c r="F74" s="403" t="str">
        <f>IF(VLOOKUP(A74,'Charriage - Geschiebehaushalt'!$A$4:$AC$275,18,FALSE)="","",VLOOKUP(A74,'Charriage - Geschiebehaushalt'!$A$4:$AC$275,18,FALSE))</f>
        <v>a</v>
      </c>
      <c r="G74" s="330" t="str">
        <f>IF(VLOOKUP(A74,'Débit - Abfluss'!$A$4:$AD$275,8,FALSE)="","",VLOOKUP(A74,'Débit - Abfluss'!$A$4:$AD$275,8,FALSE))</f>
        <v>81-100%</v>
      </c>
      <c r="H74" s="404" t="str">
        <f>IF(VLOOKUP(A74,'Eclusée - Schwall-Sunk'!$A$2:$F$273,6,FALSE)="","",VLOOKUP(A74,'Eclusée - Schwall-Sunk'!$A$2:$F$273,6,FALSE))</f>
        <v>Potentiellement affecté / möglicherweise betroffen</v>
      </c>
      <c r="I74" s="405" t="str">
        <f>IF(VLOOKUP(A74,'Revitalisation-Revitalisierung'!$A$4:$Z$275,13,FALSE)="","",VLOOKUP(A74,'Revitalisation-Revitalisierung'!$A$4:$Z$275,13,FALSE))</f>
        <v>Très nécessaire, facile / unbedingt nötig, einfach</v>
      </c>
      <c r="J74" s="406" t="str">
        <f>IF(VLOOKUP(A74,'Revitalisation-Revitalisierung'!$A$4:$Z$275,14,FALSE)="","",VLOOKUP(A74,'Revitalisation-Revitalisierung'!$A$4:$Z$275,14,FALSE))</f>
        <v>a</v>
      </c>
      <c r="K74" s="407"/>
    </row>
    <row r="75" spans="1:11" ht="20.100000000000001" customHeight="1" x14ac:dyDescent="0.25">
      <c r="A75" s="399">
        <v>60</v>
      </c>
      <c r="B75" s="400" t="s">
        <v>198</v>
      </c>
      <c r="C75" s="400" t="s">
        <v>199</v>
      </c>
      <c r="D75" s="401" t="s">
        <v>197</v>
      </c>
      <c r="E75" s="402" t="str">
        <f>IF(VLOOKUP(A75,'Charriage - Geschiebehaushalt'!$A$4:$AC$275,17,FALSE)="","",VLOOKUP(A75,'Charriage - Geschiebehaushalt'!$A$4:$AC$275,17,FALSE))</f>
        <v>Charriage présumé faiblement perturbé / Geschiebe vermutlich leicht beeinträchtigt</v>
      </c>
      <c r="F75" s="403" t="str">
        <f>IF(VLOOKUP(A75,'Charriage - Geschiebehaushalt'!$A$4:$AC$275,18,FALSE)="","",VLOOKUP(A75,'Charriage - Geschiebehaushalt'!$A$4:$AC$275,18,FALSE))</f>
        <v>b</v>
      </c>
      <c r="G75" s="330" t="str">
        <f>IF(VLOOKUP(A75,'Débit - Abfluss'!$A$4:$AD$275,8,FALSE)="","",VLOOKUP(A75,'Débit - Abfluss'!$A$4:$AD$275,8,FALSE))</f>
        <v>100%</v>
      </c>
      <c r="H75" s="404" t="str">
        <f>IF(VLOOKUP(A75,'Eclusée - Schwall-Sunk'!$A$2:$F$273,6,FALSE)="","",VLOOKUP(A75,'Eclusée - Schwall-Sunk'!$A$2:$F$273,6,FALSE))</f>
        <v>Non affecté / nicht betroffen</v>
      </c>
      <c r="I75" s="405" t="str">
        <f>IF(VLOOKUP(A75,'Revitalisation-Revitalisierung'!$A$4:$Z$275,13,FALSE)="","",VLOOKUP(A75,'Revitalisation-Revitalisierung'!$A$4:$Z$275,13,FALSE))</f>
        <v>Non nécessaire / nicht nötig</v>
      </c>
      <c r="J75" s="406" t="str">
        <f>IF(VLOOKUP(A75,'Revitalisation-Revitalisierung'!$A$4:$Z$275,14,FALSE)="","",VLOOKUP(A75,'Revitalisation-Revitalisierung'!$A$4:$Z$275,14,FALSE))</f>
        <v>b</v>
      </c>
      <c r="K75" s="407"/>
    </row>
    <row r="76" spans="1:11" ht="20.100000000000001" customHeight="1" x14ac:dyDescent="0.25">
      <c r="A76" s="399">
        <v>61</v>
      </c>
      <c r="B76" s="400" t="s">
        <v>204</v>
      </c>
      <c r="C76" s="400" t="s">
        <v>205</v>
      </c>
      <c r="D76" s="401" t="s">
        <v>197</v>
      </c>
      <c r="E76" s="402" t="str">
        <f>IF(VLOOKUP(A76,'Charriage - Geschiebehaushalt'!$A$4:$AC$275,17,FALSE)="","",VLOOKUP(A76,'Charriage - Geschiebehaushalt'!$A$4:$AC$275,17,FALSE))</f>
        <v>Charriage présumé naturel</v>
      </c>
      <c r="F76" s="403" t="str">
        <f>IF(VLOOKUP(A76,'Charriage - Geschiebehaushalt'!$A$4:$AC$275,18,FALSE)="","",VLOOKUP(A76,'Charriage - Geschiebehaushalt'!$A$4:$AC$275,18,FALSE))</f>
        <v>b</v>
      </c>
      <c r="G76" s="330" t="str">
        <f>IF(VLOOKUP(A76,'Débit - Abfluss'!$A$4:$AD$275,8,FALSE)="","",VLOOKUP(A76,'Débit - Abfluss'!$A$4:$AD$275,8,FALSE))</f>
        <v>100%</v>
      </c>
      <c r="H76" s="404" t="str">
        <f>IF(VLOOKUP(A76,'Eclusée - Schwall-Sunk'!$A$2:$F$273,6,FALSE)="","",VLOOKUP(A76,'Eclusée - Schwall-Sunk'!$A$2:$F$273,6,FALSE))</f>
        <v>Non affecté / nicht betroffen</v>
      </c>
      <c r="I76" s="405" t="str">
        <f>IF(VLOOKUP(A76,'Revitalisation-Revitalisierung'!$A$4:$Z$275,13,FALSE)="","",VLOOKUP(A76,'Revitalisation-Revitalisierung'!$A$4:$Z$275,13,FALSE))</f>
        <v>Partiellement nécessaire, facile / teilweise nötig, einfach</v>
      </c>
      <c r="J76" s="406" t="str">
        <f>IF(VLOOKUP(A76,'Revitalisation-Revitalisierung'!$A$4:$Z$275,14,FALSE)="","",VLOOKUP(A76,'Revitalisation-Revitalisierung'!$A$4:$Z$275,14,FALSE))</f>
        <v>a</v>
      </c>
      <c r="K76" s="407"/>
    </row>
    <row r="77" spans="1:11" ht="20.100000000000001" customHeight="1" x14ac:dyDescent="0.25">
      <c r="A77" s="412">
        <v>62.1</v>
      </c>
      <c r="B77" s="400" t="s">
        <v>207</v>
      </c>
      <c r="C77" s="400" t="s">
        <v>208</v>
      </c>
      <c r="D77" s="401" t="s">
        <v>197</v>
      </c>
      <c r="E77" s="402" t="str">
        <f>IF(VLOOKUP(A77,'Charriage - Geschiebehaushalt'!$A$4:$AC$275,17,FALSE)="","",VLOOKUP(A77,'Charriage - Geschiebehaushalt'!$A$4:$AC$275,17,FALSE))</f>
        <v>81 -100%</v>
      </c>
      <c r="F77" s="403" t="str">
        <f>IF(VLOOKUP(A77,'Charriage - Geschiebehaushalt'!$A$4:$AC$275,18,FALSE)="","",VLOOKUP(A77,'Charriage - Geschiebehaushalt'!$A$4:$AC$275,18,FALSE))</f>
        <v>a</v>
      </c>
      <c r="G77" s="330" t="str">
        <f>IF(VLOOKUP(A77,'Débit - Abfluss'!$A$4:$AD$275,8,FALSE)="","",VLOOKUP(A77,'Débit - Abfluss'!$A$4:$AD$275,8,FALSE))</f>
        <v>0-20%</v>
      </c>
      <c r="H77" s="404" t="str">
        <f>IF(VLOOKUP(A77,'Eclusée - Schwall-Sunk'!$A$2:$F$273,6,FALSE)="","",VLOOKUP(A77,'Eclusée - Schwall-Sunk'!$A$2:$F$273,6,FALSE))</f>
        <v>Non affecté / nicht betroffen</v>
      </c>
      <c r="I77" s="405" t="str">
        <f>IF(VLOOKUP(A77,'Revitalisation-Revitalisierung'!$A$4:$Z$275,13,FALSE)="","",VLOOKUP(A77,'Revitalisation-Revitalisierung'!$A$4:$Z$275,13,FALSE))</f>
        <v>Non nécessaire / nicht nötig</v>
      </c>
      <c r="J77" s="406" t="str">
        <f>IF(VLOOKUP(A77,'Revitalisation-Revitalisierung'!$A$4:$Z$275,14,FALSE)="","",VLOOKUP(A77,'Revitalisation-Revitalisierung'!$A$4:$Z$275,14,FALSE))</f>
        <v>a</v>
      </c>
      <c r="K77" s="407"/>
    </row>
    <row r="78" spans="1:11" ht="20.100000000000001" customHeight="1" x14ac:dyDescent="0.25">
      <c r="A78" s="412">
        <v>62.2</v>
      </c>
      <c r="B78" s="400" t="s">
        <v>207</v>
      </c>
      <c r="C78" s="400" t="s">
        <v>208</v>
      </c>
      <c r="D78" s="401" t="s">
        <v>197</v>
      </c>
      <c r="E78" s="402" t="str">
        <f>IF(VLOOKUP(A78,'Charriage - Geschiebehaushalt'!$A$4:$AC$275,17,FALSE)="","",VLOOKUP(A78,'Charriage - Geschiebehaushalt'!$A$4:$AC$275,17,FALSE))</f>
        <v>81 -100%</v>
      </c>
      <c r="F78" s="403" t="str">
        <f>IF(VLOOKUP(A78,'Charriage - Geschiebehaushalt'!$A$4:$AC$275,18,FALSE)="","",VLOOKUP(A78,'Charriage - Geschiebehaushalt'!$A$4:$AC$275,18,FALSE))</f>
        <v>a</v>
      </c>
      <c r="G78" s="330" t="str">
        <f>IF(VLOOKUP(A78,'Débit - Abfluss'!$A$4:$AD$275,8,FALSE)="","",VLOOKUP(A78,'Débit - Abfluss'!$A$4:$AD$275,8,FALSE))</f>
        <v>81-100%</v>
      </c>
      <c r="H78" s="404" t="str">
        <f>IF(VLOOKUP(A78,'Eclusée - Schwall-Sunk'!$A$2:$F$273,6,FALSE)="","",VLOOKUP(A78,'Eclusée - Schwall-Sunk'!$A$2:$F$273,6,FALSE))</f>
        <v>Potentiellement affecté / möglicherweise betroffen</v>
      </c>
      <c r="I78" s="405" t="str">
        <f>IF(VLOOKUP(A78,'Revitalisation-Revitalisierung'!$A$4:$Z$275,13,FALSE)="","",VLOOKUP(A78,'Revitalisation-Revitalisierung'!$A$4:$Z$275,13,FALSE))</f>
        <v>Partiellement nécessaire, facile / teilweise nötig, einfach</v>
      </c>
      <c r="J78" s="406" t="str">
        <f>IF(VLOOKUP(A78,'Revitalisation-Revitalisierung'!$A$4:$Z$275,14,FALSE)="","",VLOOKUP(A78,'Revitalisation-Revitalisierung'!$A$4:$Z$275,14,FALSE))</f>
        <v>b</v>
      </c>
      <c r="K78" s="407"/>
    </row>
    <row r="79" spans="1:11" ht="20.100000000000001" customHeight="1" x14ac:dyDescent="0.25">
      <c r="A79" s="399">
        <v>64</v>
      </c>
      <c r="B79" s="400" t="s">
        <v>210</v>
      </c>
      <c r="C79" s="400" t="s">
        <v>211</v>
      </c>
      <c r="D79" s="401" t="s">
        <v>197</v>
      </c>
      <c r="E79" s="402" t="str">
        <f>IF(VLOOKUP(A79,'Charriage - Geschiebehaushalt'!$A$4:$AC$275,17,FALSE)="","",VLOOKUP(A79,'Charriage - Geschiebehaushalt'!$A$4:$AC$275,17,FALSE))</f>
        <v>Charriage présumé perturbé / Geschiebehaushalt vermutlich beeinträchtigt</v>
      </c>
      <c r="F79" s="403" t="str">
        <f>IF(VLOOKUP(A79,'Charriage - Geschiebehaushalt'!$A$4:$AC$275,18,FALSE)="","",VLOOKUP(A79,'Charriage - Geschiebehaushalt'!$A$4:$AC$275,18,FALSE))</f>
        <v>b</v>
      </c>
      <c r="G79" s="330" t="str">
        <f>IF(VLOOKUP(A79,'Débit - Abfluss'!$A$4:$AD$275,8,FALSE)="","",VLOOKUP(A79,'Débit - Abfluss'!$A$4:$AD$275,8,FALSE))</f>
        <v>non pertinent / nicht relevant</v>
      </c>
      <c r="H79" s="404" t="str">
        <f>IF(VLOOKUP(A79,'Eclusée - Schwall-Sunk'!$A$2:$F$273,6,FALSE)="","",VLOOKUP(A79,'Eclusée - Schwall-Sunk'!$A$2:$F$273,6,FALSE))</f>
        <v>Potentiellement affecté / möglicherweise betroffen</v>
      </c>
      <c r="I79" s="405" t="str">
        <f>IF(VLOOKUP(A79,'Revitalisation-Revitalisierung'!$A$4:$Z$275,13,FALSE)="","",VLOOKUP(A79,'Revitalisation-Revitalisierung'!$A$4:$Z$275,13,FALSE))</f>
        <v>Partiellement nécessaire, facile / teilweise nötig, einfach</v>
      </c>
      <c r="J79" s="406" t="str">
        <f>IF(VLOOKUP(A79,'Revitalisation-Revitalisierung'!$A$4:$Z$275,14,FALSE)="","",VLOOKUP(A79,'Revitalisation-Revitalisierung'!$A$4:$Z$275,14,FALSE))</f>
        <v>a</v>
      </c>
      <c r="K79" s="407"/>
    </row>
    <row r="80" spans="1:11" ht="20.100000000000001" customHeight="1" x14ac:dyDescent="0.25">
      <c r="A80" s="399">
        <v>65</v>
      </c>
      <c r="B80" s="400" t="s">
        <v>213</v>
      </c>
      <c r="C80" s="400" t="s">
        <v>208</v>
      </c>
      <c r="D80" s="401" t="s">
        <v>197</v>
      </c>
      <c r="E80" s="402" t="str">
        <f>IF(VLOOKUP(A80,'Charriage - Geschiebehaushalt'!$A$4:$AC$275,17,FALSE)="","",VLOOKUP(A80,'Charriage - Geschiebehaushalt'!$A$4:$AC$275,17,FALSE))</f>
        <v>Problème lié à un manque de charriage ou à un manque de remobilisation des sédiments</v>
      </c>
      <c r="F80" s="403" t="str">
        <f>IF(VLOOKUP(A80,'Charriage - Geschiebehaushalt'!$A$4:$AC$275,18,FALSE)="","",VLOOKUP(A80,'Charriage - Geschiebehaushalt'!$A$4:$AC$275,18,FALSE))</f>
        <v>a</v>
      </c>
      <c r="G80" s="330" t="str">
        <f>IF(VLOOKUP(A80,'Débit - Abfluss'!$A$4:$AD$275,8,FALSE)="","",VLOOKUP(A80,'Débit - Abfluss'!$A$4:$AD$275,8,FALSE))</f>
        <v>81-100%</v>
      </c>
      <c r="H80" s="404" t="str">
        <f>IF(VLOOKUP(A80,'Eclusée - Schwall-Sunk'!$A$2:$F$273,6,FALSE)="","",VLOOKUP(A80,'Eclusée - Schwall-Sunk'!$A$2:$F$273,6,FALSE))</f>
        <v>Potentiellement affecté / möglicherweise betroffen</v>
      </c>
      <c r="I80" s="405" t="str">
        <f>IF(VLOOKUP(A80,'Revitalisation-Revitalisierung'!$A$4:$Z$275,13,FALSE)="","",VLOOKUP(A80,'Revitalisation-Revitalisierung'!$A$4:$Z$275,13,FALSE))</f>
        <v>Très nécessaire, facile / unbedingt nötig, einfach</v>
      </c>
      <c r="J80" s="406" t="str">
        <f>IF(VLOOKUP(A80,'Revitalisation-Revitalisierung'!$A$4:$Z$275,14,FALSE)="","",VLOOKUP(A80,'Revitalisation-Revitalisierung'!$A$4:$Z$275,14,FALSE))</f>
        <v>a</v>
      </c>
      <c r="K80" s="407"/>
    </row>
    <row r="81" spans="1:11" ht="20.100000000000001" customHeight="1" x14ac:dyDescent="0.25">
      <c r="A81" s="399">
        <v>66</v>
      </c>
      <c r="B81" s="400" t="s">
        <v>215</v>
      </c>
      <c r="C81" s="400" t="s">
        <v>208</v>
      </c>
      <c r="D81" s="401" t="s">
        <v>197</v>
      </c>
      <c r="E81" s="402" t="str">
        <f>IF(VLOOKUP(A81,'Charriage - Geschiebehaushalt'!$A$4:$AC$275,17,FALSE)="","",VLOOKUP(A81,'Charriage - Geschiebehaushalt'!$A$4:$AC$275,17,FALSE))</f>
        <v>Problème lié à un manque de charriage ou à un manque de remobilisation des sédiments</v>
      </c>
      <c r="F81" s="403" t="str">
        <f>IF(VLOOKUP(A81,'Charriage - Geschiebehaushalt'!$A$4:$AC$275,18,FALSE)="","",VLOOKUP(A81,'Charriage - Geschiebehaushalt'!$A$4:$AC$275,18,FALSE))</f>
        <v>a</v>
      </c>
      <c r="G81" s="330" t="str">
        <f>IF(VLOOKUP(A81,'Débit - Abfluss'!$A$4:$AD$275,8,FALSE)="","",VLOOKUP(A81,'Débit - Abfluss'!$A$4:$AD$275,8,FALSE))</f>
        <v>81-100%</v>
      </c>
      <c r="H81" s="404" t="str">
        <f>IF(VLOOKUP(A81,'Eclusée - Schwall-Sunk'!$A$2:$F$273,6,FALSE)="","",VLOOKUP(A81,'Eclusée - Schwall-Sunk'!$A$2:$F$273,6,FALSE))</f>
        <v>Potentiellement affecté / möglicherweise betroffen</v>
      </c>
      <c r="I81" s="405" t="str">
        <f>IF(VLOOKUP(A81,'Revitalisation-Revitalisierung'!$A$4:$Z$275,13,FALSE)="","",VLOOKUP(A81,'Revitalisation-Revitalisierung'!$A$4:$Z$275,13,FALSE))</f>
        <v>Très nécessaire, facile / unbedingt nötig, einfach</v>
      </c>
      <c r="J81" s="406" t="str">
        <f>IF(VLOOKUP(A81,'Revitalisation-Revitalisierung'!$A$4:$Z$275,14,FALSE)="","",VLOOKUP(A81,'Revitalisation-Revitalisierung'!$A$4:$Z$275,14,FALSE))</f>
        <v>a</v>
      </c>
      <c r="K81" s="407"/>
    </row>
    <row r="82" spans="1:11" ht="20.100000000000001" customHeight="1" x14ac:dyDescent="0.25">
      <c r="A82" s="399">
        <v>68</v>
      </c>
      <c r="B82" s="400" t="s">
        <v>579</v>
      </c>
      <c r="C82" s="400" t="s">
        <v>208</v>
      </c>
      <c r="D82" s="401" t="s">
        <v>573</v>
      </c>
      <c r="E82" s="402" t="str">
        <f>IF(VLOOKUP(A82,'Charriage - Geschiebehaushalt'!$A$4:$AC$275,17,FALSE)="","",VLOOKUP(A82,'Charriage - Geschiebehaushalt'!$A$4:$AC$275,17,FALSE))</f>
        <v>Déficit non apparent en charriage ou en remobilisation des sédiments / kein sichtbares Defizit beim Geschiebehaushalt bzw. bei der Mobilisierung von Geschiebe</v>
      </c>
      <c r="F82" s="403" t="str">
        <f>IF(VLOOKUP(A82,'Charriage - Geschiebehaushalt'!$A$4:$AC$275,18,FALSE)="","",VLOOKUP(A82,'Charriage - Geschiebehaushalt'!$A$4:$AC$275,18,FALSE))</f>
        <v>b</v>
      </c>
      <c r="G82" s="330" t="str">
        <f>IF(VLOOKUP(A82,'Débit - Abfluss'!$A$4:$AD$275,8,FALSE)="","",VLOOKUP(A82,'Débit - Abfluss'!$A$4:$AD$275,8,FALSE))</f>
        <v>81-100%</v>
      </c>
      <c r="H82" s="404" t="str">
        <f>IF(VLOOKUP(A82,'Eclusée - Schwall-Sunk'!$A$2:$F$273,6,FALSE)="","",VLOOKUP(A82,'Eclusée - Schwall-Sunk'!$A$2:$F$273,6,FALSE))</f>
        <v>Potentiellement affecté / möglicherweise betroffen</v>
      </c>
      <c r="I82" s="405" t="str">
        <f>IF(VLOOKUP(A82,'Revitalisation-Revitalisierung'!$A$4:$Z$275,13,FALSE)="","",VLOOKUP(A82,'Revitalisation-Revitalisierung'!$A$4:$Z$275,13,FALSE))</f>
        <v>Partiellement nécessaire, facile / teilweise nötig, einfach</v>
      </c>
      <c r="J82" s="406" t="str">
        <f>IF(VLOOKUP(A82,'Revitalisation-Revitalisierung'!$A$4:$Z$275,14,FALSE)="","",VLOOKUP(A82,'Revitalisation-Revitalisierung'!$A$4:$Z$275,14,FALSE))</f>
        <v>a</v>
      </c>
      <c r="K82" s="407"/>
    </row>
    <row r="83" spans="1:11" ht="20.100000000000001" customHeight="1" x14ac:dyDescent="0.25">
      <c r="A83" s="412">
        <v>69</v>
      </c>
      <c r="B83" s="400" t="s">
        <v>117</v>
      </c>
      <c r="C83" s="400" t="s">
        <v>50</v>
      </c>
      <c r="D83" s="401" t="s">
        <v>92</v>
      </c>
      <c r="E83" s="402" t="str">
        <f>IF(VLOOKUP(A83,'Charriage - Geschiebehaushalt'!$A$4:$AC$275,17,FALSE)="","",VLOOKUP(A83,'Charriage - Geschiebehaushalt'!$A$4:$AC$275,17,FALSE))</f>
        <v>21-50%</v>
      </c>
      <c r="F83" s="403" t="str">
        <f>IF(VLOOKUP(A83,'Charriage - Geschiebehaushalt'!$A$4:$AC$275,18,FALSE)="","",VLOOKUP(A83,'Charriage - Geschiebehaushalt'!$A$4:$AC$275,18,FALSE))</f>
        <v>a</v>
      </c>
      <c r="G83" s="330" t="str">
        <f>IF(VLOOKUP(A83,'Débit - Abfluss'!$A$4:$AD$275,8,FALSE)="","",VLOOKUP(A83,'Débit - Abfluss'!$A$4:$AD$275,8,FALSE))</f>
        <v>81-100%</v>
      </c>
      <c r="H83" s="404" t="str">
        <f>IF(VLOOKUP(A83,'Eclusée - Schwall-Sunk'!$A$2:$F$273,6,FALSE)="","",VLOOKUP(A83,'Eclusée - Schwall-Sunk'!$A$2:$F$273,6,FALSE))</f>
        <v>Non affecté / nicht betroffen</v>
      </c>
      <c r="I83" s="405" t="str">
        <f>IF(VLOOKUP(A83,'Revitalisation-Revitalisierung'!$A$4:$Z$275,13,FALSE)="","",VLOOKUP(A83,'Revitalisation-Revitalisierung'!$A$4:$Z$275,13,FALSE))</f>
        <v>Très nécessaire, difficile / unbedingt nötig, schwierig</v>
      </c>
      <c r="J83" s="406" t="str">
        <f>IF(VLOOKUP(A83,'Revitalisation-Revitalisierung'!$A$4:$Z$275,14,FALSE)="","",VLOOKUP(A83,'Revitalisation-Revitalisierung'!$A$4:$Z$275,14,FALSE))</f>
        <v>a</v>
      </c>
      <c r="K83" s="407"/>
    </row>
    <row r="84" spans="1:11" ht="20.100000000000001" customHeight="1" x14ac:dyDescent="0.25">
      <c r="A84" s="399">
        <v>70</v>
      </c>
      <c r="B84" s="400" t="s">
        <v>120</v>
      </c>
      <c r="C84" s="400" t="s">
        <v>121</v>
      </c>
      <c r="D84" s="401" t="s">
        <v>92</v>
      </c>
      <c r="E84" s="402" t="str">
        <f>IF(VLOOKUP(A84,'Charriage - Geschiebehaushalt'!$A$4:$AC$275,17,FALSE)="","",VLOOKUP(A84,'Charriage - Geschiebehaushalt'!$A$4:$AC$275,17,FALSE))</f>
        <v>51-80%</v>
      </c>
      <c r="F84" s="403" t="str">
        <f>IF(VLOOKUP(A84,'Charriage - Geschiebehaushalt'!$A$4:$AC$275,18,FALSE)="","",VLOOKUP(A84,'Charriage - Geschiebehaushalt'!$A$4:$AC$275,18,FALSE))</f>
        <v>a</v>
      </c>
      <c r="G84" s="330" t="str">
        <f>IF(VLOOKUP(A84,'Débit - Abfluss'!$A$4:$AD$275,8,FALSE)="","",VLOOKUP(A84,'Débit - Abfluss'!$A$4:$AD$275,8,FALSE))</f>
        <v>41-60%</v>
      </c>
      <c r="H84" s="404" t="str">
        <f>IF(VLOOKUP(A84,'Eclusée - Schwall-Sunk'!$A$2:$F$273,6,FALSE)="","",VLOOKUP(A84,'Eclusée - Schwall-Sunk'!$A$2:$F$273,6,FALSE))</f>
        <v>Non affecté / nicht betroffen</v>
      </c>
      <c r="I84" s="405" t="str">
        <f>IF(VLOOKUP(A84,'Revitalisation-Revitalisierung'!$A$4:$Z$275,13,FALSE)="","",VLOOKUP(A84,'Revitalisation-Revitalisierung'!$A$4:$Z$275,13,FALSE))</f>
        <v>Très nécessaire, facile / unbedingt nötig, einfach</v>
      </c>
      <c r="J84" s="406" t="str">
        <f>IF(VLOOKUP(A84,'Revitalisation-Revitalisierung'!$A$4:$Z$275,14,FALSE)="","",VLOOKUP(A84,'Revitalisation-Revitalisierung'!$A$4:$Z$275,14,FALSE))</f>
        <v>b</v>
      </c>
      <c r="K84" s="407"/>
    </row>
    <row r="85" spans="1:11" ht="20.100000000000001" customHeight="1" x14ac:dyDescent="0.25">
      <c r="A85" s="399">
        <v>71</v>
      </c>
      <c r="B85" s="400" t="s">
        <v>122</v>
      </c>
      <c r="C85" s="400" t="s">
        <v>123</v>
      </c>
      <c r="D85" s="401" t="s">
        <v>92</v>
      </c>
      <c r="E85" s="402" t="str">
        <f>IF(VLOOKUP(A85,'Charriage - Geschiebehaushalt'!$A$4:$AC$275,17,FALSE)="","",VLOOKUP(A85,'Charriage - Geschiebehaushalt'!$A$4:$AC$275,17,FALSE))</f>
        <v>51-80%</v>
      </c>
      <c r="F85" s="403" t="str">
        <f>IF(VLOOKUP(A85,'Charriage - Geschiebehaushalt'!$A$4:$AC$275,18,FALSE)="","",VLOOKUP(A85,'Charriage - Geschiebehaushalt'!$A$4:$AC$275,18,FALSE))</f>
        <v>a</v>
      </c>
      <c r="G85" s="330" t="str">
        <f>IF(VLOOKUP(A85,'Débit - Abfluss'!$A$4:$AD$275,8,FALSE)="","",VLOOKUP(A85,'Débit - Abfluss'!$A$4:$AD$275,8,FALSE))</f>
        <v>41-60%</v>
      </c>
      <c r="H85" s="404" t="str">
        <f>IF(VLOOKUP(A85,'Eclusée - Schwall-Sunk'!$A$2:$F$273,6,FALSE)="","",VLOOKUP(A85,'Eclusée - Schwall-Sunk'!$A$2:$F$273,6,FALSE))</f>
        <v>Non affecté / nicht betroffen</v>
      </c>
      <c r="I85" s="405" t="str">
        <f>IF(VLOOKUP(A85,'Revitalisation-Revitalisierung'!$A$4:$Z$275,13,FALSE)="","",VLOOKUP(A85,'Revitalisation-Revitalisierung'!$A$4:$Z$275,13,FALSE))</f>
        <v>Non nécessaire / nicht nötig</v>
      </c>
      <c r="J85" s="406" t="str">
        <f>IF(VLOOKUP(A85,'Revitalisation-Revitalisierung'!$A$4:$Z$275,14,FALSE)="","",VLOOKUP(A85,'Revitalisation-Revitalisierung'!$A$4:$Z$275,14,FALSE))</f>
        <v>b</v>
      </c>
      <c r="K85" s="407"/>
    </row>
    <row r="86" spans="1:11" ht="20.100000000000001" customHeight="1" x14ac:dyDescent="0.25">
      <c r="A86" s="399">
        <v>72</v>
      </c>
      <c r="B86" s="400" t="s">
        <v>124</v>
      </c>
      <c r="C86" s="400" t="s">
        <v>125</v>
      </c>
      <c r="D86" s="401" t="s">
        <v>92</v>
      </c>
      <c r="E86" s="402" t="str">
        <f>IF(VLOOKUP(A86,'Charriage - Geschiebehaushalt'!$A$4:$AC$275,17,FALSE)="","",VLOOKUP(A86,'Charriage - Geschiebehaushalt'!$A$4:$AC$275,17,FALSE))</f>
        <v>81 -100%</v>
      </c>
      <c r="F86" s="403" t="str">
        <f>IF(VLOOKUP(A86,'Charriage - Geschiebehaushalt'!$A$4:$AC$275,18,FALSE)="","",VLOOKUP(A86,'Charriage - Geschiebehaushalt'!$A$4:$AC$275,18,FALSE))</f>
        <v>a</v>
      </c>
      <c r="G86" s="330" t="str">
        <f>IF(VLOOKUP(A86,'Débit - Abfluss'!$A$4:$AD$275,8,FALSE)="","",VLOOKUP(A86,'Débit - Abfluss'!$A$4:$AD$275,8,FALSE))</f>
        <v>100%</v>
      </c>
      <c r="H86" s="404" t="str">
        <f>IF(VLOOKUP(A86,'Eclusée - Schwall-Sunk'!$A$2:$F$273,6,FALSE)="","",VLOOKUP(A86,'Eclusée - Schwall-Sunk'!$A$2:$F$273,6,FALSE))</f>
        <v>Non affecté / nicht betroffen</v>
      </c>
      <c r="I86" s="405" t="str">
        <f>IF(VLOOKUP(A86,'Revitalisation-Revitalisierung'!$A$4:$Z$275,13,FALSE)="","",VLOOKUP(A86,'Revitalisation-Revitalisierung'!$A$4:$Z$275,13,FALSE))</f>
        <v>Très nécessaire, facile / unbedingt nötig, einfach</v>
      </c>
      <c r="J86" s="406" t="str">
        <f>IF(VLOOKUP(A86,'Revitalisation-Revitalisierung'!$A$4:$Z$275,14,FALSE)="","",VLOOKUP(A86,'Revitalisation-Revitalisierung'!$A$4:$Z$275,14,FALSE))</f>
        <v>b</v>
      </c>
      <c r="K86" s="407"/>
    </row>
    <row r="87" spans="1:11" ht="20.100000000000001" customHeight="1" x14ac:dyDescent="0.25">
      <c r="A87" s="399">
        <v>74</v>
      </c>
      <c r="B87" s="400" t="s">
        <v>128</v>
      </c>
      <c r="C87" s="400" t="s">
        <v>125</v>
      </c>
      <c r="D87" s="401" t="s">
        <v>92</v>
      </c>
      <c r="E87" s="402" t="str">
        <f>IF(VLOOKUP(A87,'Charriage - Geschiebehaushalt'!$A$4:$AC$275,17,FALSE)="","",VLOOKUP(A87,'Charriage - Geschiebehaushalt'!$A$4:$AC$275,17,FALSE))</f>
        <v>0-20%</v>
      </c>
      <c r="F87" s="403" t="str">
        <f>IF(VLOOKUP(A87,'Charriage - Geschiebehaushalt'!$A$4:$AC$275,18,FALSE)="","",VLOOKUP(A87,'Charriage - Geschiebehaushalt'!$A$4:$AC$275,18,FALSE))</f>
        <v>a</v>
      </c>
      <c r="G87" s="330" t="str">
        <f>IF(VLOOKUP(A87,'Débit - Abfluss'!$A$4:$AD$275,8,FALSE)="","",VLOOKUP(A87,'Débit - Abfluss'!$A$4:$AD$275,8,FALSE))</f>
        <v>100%</v>
      </c>
      <c r="H87" s="404" t="str">
        <f>IF(VLOOKUP(A87,'Eclusée - Schwall-Sunk'!$A$2:$F$273,6,FALSE)="","",VLOOKUP(A87,'Eclusée - Schwall-Sunk'!$A$2:$F$273,6,FALSE))</f>
        <v>Non affecté / nicht betroffen</v>
      </c>
      <c r="I87" s="405" t="str">
        <f>IF(VLOOKUP(A87,'Revitalisation-Revitalisierung'!$A$4:$Z$275,13,FALSE)="","",VLOOKUP(A87,'Revitalisation-Revitalisierung'!$A$4:$Z$275,13,FALSE))</f>
        <v>Non nécessaire / nicht nötig</v>
      </c>
      <c r="J87" s="406" t="str">
        <f>IF(VLOOKUP(A87,'Revitalisation-Revitalisierung'!$A$4:$Z$275,14,FALSE)="","",VLOOKUP(A87,'Revitalisation-Revitalisierung'!$A$4:$Z$275,14,FALSE))</f>
        <v>b</v>
      </c>
      <c r="K87" s="407"/>
    </row>
    <row r="88" spans="1:11" ht="20.100000000000001" customHeight="1" x14ac:dyDescent="0.25">
      <c r="A88" s="399">
        <v>75</v>
      </c>
      <c r="B88" s="400" t="s">
        <v>129</v>
      </c>
      <c r="C88" s="400" t="s">
        <v>130</v>
      </c>
      <c r="D88" s="401" t="s">
        <v>92</v>
      </c>
      <c r="E88" s="402" t="str">
        <f>IF(VLOOKUP(A88,'Charriage - Geschiebehaushalt'!$A$4:$AC$275,17,FALSE)="","",VLOOKUP(A88,'Charriage - Geschiebehaushalt'!$A$4:$AC$275,17,FALSE))</f>
        <v>21-50%</v>
      </c>
      <c r="F88" s="403" t="str">
        <f>IF(VLOOKUP(A88,'Charriage - Geschiebehaushalt'!$A$4:$AC$275,18,FALSE)="","",VLOOKUP(A88,'Charriage - Geschiebehaushalt'!$A$4:$AC$275,18,FALSE))</f>
        <v>a</v>
      </c>
      <c r="G88" s="330" t="str">
        <f>IF(VLOOKUP(A88,'Débit - Abfluss'!$A$4:$AD$275,8,FALSE)="","",VLOOKUP(A88,'Débit - Abfluss'!$A$4:$AD$275,8,FALSE))</f>
        <v>0-20%</v>
      </c>
      <c r="H88" s="404" t="str">
        <f>IF(VLOOKUP(A88,'Eclusée - Schwall-Sunk'!$A$2:$F$273,6,FALSE)="","",VLOOKUP(A88,'Eclusée - Schwall-Sunk'!$A$2:$F$273,6,FALSE))</f>
        <v>Non affecté / nicht betroffen</v>
      </c>
      <c r="I88" s="405" t="str">
        <f>IF(VLOOKUP(A88,'Revitalisation-Revitalisierung'!$A$4:$Z$275,13,FALSE)="","",VLOOKUP(A88,'Revitalisation-Revitalisierung'!$A$4:$Z$275,13,FALSE))</f>
        <v>Très nécessaire, facile / unbedingt nötig, einfach</v>
      </c>
      <c r="J88" s="406" t="str">
        <f>IF(VLOOKUP(A88,'Revitalisation-Revitalisierung'!$A$4:$Z$275,14,FALSE)="","",VLOOKUP(A88,'Revitalisation-Revitalisierung'!$A$4:$Z$275,14,FALSE))</f>
        <v>a</v>
      </c>
      <c r="K88" s="407"/>
    </row>
    <row r="89" spans="1:11" ht="20.100000000000001" customHeight="1" x14ac:dyDescent="0.25">
      <c r="A89" s="399">
        <v>76</v>
      </c>
      <c r="B89" s="400" t="s">
        <v>131</v>
      </c>
      <c r="C89" s="400" t="s">
        <v>130</v>
      </c>
      <c r="D89" s="401" t="s">
        <v>92</v>
      </c>
      <c r="E89" s="402" t="str">
        <f>IF(VLOOKUP(A89,'Charriage - Geschiebehaushalt'!$A$4:$AC$275,17,FALSE)="","",VLOOKUP(A89,'Charriage - Geschiebehaushalt'!$A$4:$AC$275,17,FALSE))</f>
        <v>21-50%</v>
      </c>
      <c r="F89" s="403" t="str">
        <f>IF(VLOOKUP(A89,'Charriage - Geschiebehaushalt'!$A$4:$AC$275,18,FALSE)="","",VLOOKUP(A89,'Charriage - Geschiebehaushalt'!$A$4:$AC$275,18,FALSE))</f>
        <v>a</v>
      </c>
      <c r="G89" s="330" t="str">
        <f>IF(VLOOKUP(A89,'Débit - Abfluss'!$A$4:$AD$275,8,FALSE)="","",VLOOKUP(A89,'Débit - Abfluss'!$A$4:$AD$275,8,FALSE))</f>
        <v>0-20%</v>
      </c>
      <c r="H89" s="404" t="str">
        <f>IF(VLOOKUP(A89,'Eclusée - Schwall-Sunk'!$A$2:$F$273,6,FALSE)="","",VLOOKUP(A89,'Eclusée - Schwall-Sunk'!$A$2:$F$273,6,FALSE))</f>
        <v>Non affecté / nicht betroffen</v>
      </c>
      <c r="I89" s="405" t="str">
        <f>IF(VLOOKUP(A89,'Revitalisation-Revitalisierung'!$A$4:$Z$275,13,FALSE)="","",VLOOKUP(A89,'Revitalisation-Revitalisierung'!$A$4:$Z$275,13,FALSE))</f>
        <v>Très nécessaire, facile / unbedingt nötig, einfach</v>
      </c>
      <c r="J89" s="406" t="str">
        <f>IF(VLOOKUP(A89,'Revitalisation-Revitalisierung'!$A$4:$Z$275,14,FALSE)="","",VLOOKUP(A89,'Revitalisation-Revitalisierung'!$A$4:$Z$275,14,FALSE))</f>
        <v>a</v>
      </c>
      <c r="K89" s="407"/>
    </row>
    <row r="90" spans="1:11" ht="20.100000000000001" customHeight="1" x14ac:dyDescent="0.25">
      <c r="A90" s="399">
        <v>77</v>
      </c>
      <c r="B90" s="400" t="s">
        <v>133</v>
      </c>
      <c r="C90" s="400" t="s">
        <v>130</v>
      </c>
      <c r="D90" s="401" t="s">
        <v>92</v>
      </c>
      <c r="E90" s="402" t="str">
        <f>IF(VLOOKUP(A90,'Charriage - Geschiebehaushalt'!$A$4:$AC$275,17,FALSE)="","",VLOOKUP(A90,'Charriage - Geschiebehaushalt'!$A$4:$AC$275,17,FALSE))</f>
        <v>21-50%</v>
      </c>
      <c r="F90" s="403" t="str">
        <f>IF(VLOOKUP(A90,'Charriage - Geschiebehaushalt'!$A$4:$AC$275,18,FALSE)="","",VLOOKUP(A90,'Charriage - Geschiebehaushalt'!$A$4:$AC$275,18,FALSE))</f>
        <v>a</v>
      </c>
      <c r="G90" s="330" t="str">
        <f>IF(VLOOKUP(A90,'Débit - Abfluss'!$A$4:$AD$275,8,FALSE)="","",VLOOKUP(A90,'Débit - Abfluss'!$A$4:$AD$275,8,FALSE))</f>
        <v>100%</v>
      </c>
      <c r="H90" s="404" t="str">
        <f>IF(VLOOKUP(A90,'Eclusée - Schwall-Sunk'!$A$2:$F$273,6,FALSE)="","",VLOOKUP(A90,'Eclusée - Schwall-Sunk'!$A$2:$F$273,6,FALSE))</f>
        <v>Non affecté / nicht betroffen</v>
      </c>
      <c r="I90" s="405" t="str">
        <f>IF(VLOOKUP(A90,'Revitalisation-Revitalisierung'!$A$4:$Z$275,13,FALSE)="","",VLOOKUP(A90,'Revitalisation-Revitalisierung'!$A$4:$Z$275,13,FALSE))</f>
        <v>Partiellement nécessaire, facile / teilweise nötig, einfach</v>
      </c>
      <c r="J90" s="406" t="str">
        <f>IF(VLOOKUP(A90,'Revitalisation-Revitalisierung'!$A$4:$Z$275,14,FALSE)="","",VLOOKUP(A90,'Revitalisation-Revitalisierung'!$A$4:$Z$275,14,FALSE))</f>
        <v>a</v>
      </c>
      <c r="K90" s="407"/>
    </row>
    <row r="91" spans="1:11" ht="20.100000000000001" customHeight="1" x14ac:dyDescent="0.25">
      <c r="A91" s="399">
        <v>78</v>
      </c>
      <c r="B91" s="400" t="s">
        <v>134</v>
      </c>
      <c r="C91" s="400" t="s">
        <v>135</v>
      </c>
      <c r="D91" s="401" t="s">
        <v>92</v>
      </c>
      <c r="E91" s="402" t="str">
        <f>IF(VLOOKUP(A91,'Charriage - Geschiebehaushalt'!$A$4:$AC$275,17,FALSE)="","",VLOOKUP(A91,'Charriage - Geschiebehaushalt'!$A$4:$AC$275,17,FALSE))</f>
        <v>0-20%</v>
      </c>
      <c r="F91" s="403" t="str">
        <f>IF(VLOOKUP(A91,'Charriage - Geschiebehaushalt'!$A$4:$AC$275,18,FALSE)="","",VLOOKUP(A91,'Charriage - Geschiebehaushalt'!$A$4:$AC$275,18,FALSE))</f>
        <v>a</v>
      </c>
      <c r="G91" s="330" t="str">
        <f>IF(VLOOKUP(A91,'Débit - Abfluss'!$A$4:$AD$275,8,FALSE)="","",VLOOKUP(A91,'Débit - Abfluss'!$A$4:$AD$275,8,FALSE))</f>
        <v>100%</v>
      </c>
      <c r="H91" s="404" t="str">
        <f>IF(VLOOKUP(A91,'Eclusée - Schwall-Sunk'!$A$2:$F$273,6,FALSE)="","",VLOOKUP(A91,'Eclusée - Schwall-Sunk'!$A$2:$F$273,6,FALSE))</f>
        <v>Non affecté / nicht betroffen</v>
      </c>
      <c r="I91" s="405" t="str">
        <f>IF(VLOOKUP(A91,'Revitalisation-Revitalisierung'!$A$4:$Z$275,13,FALSE)="","",VLOOKUP(A91,'Revitalisation-Revitalisierung'!$A$4:$Z$275,13,FALSE))</f>
        <v>Partiellement nécessaire, facile / teilweise nötig, einfach</v>
      </c>
      <c r="J91" s="406" t="str">
        <f>IF(VLOOKUP(A91,'Revitalisation-Revitalisierung'!$A$4:$Z$275,14,FALSE)="","",VLOOKUP(A91,'Revitalisation-Revitalisierung'!$A$4:$Z$275,14,FALSE))</f>
        <v>a</v>
      </c>
      <c r="K91" s="407"/>
    </row>
    <row r="92" spans="1:11" ht="20.100000000000001" customHeight="1" x14ac:dyDescent="0.25">
      <c r="A92" s="412">
        <v>79.099999999999994</v>
      </c>
      <c r="B92" s="400" t="s">
        <v>136</v>
      </c>
      <c r="C92" s="400" t="s">
        <v>137</v>
      </c>
      <c r="D92" s="401" t="s">
        <v>92</v>
      </c>
      <c r="E92" s="402" t="str">
        <f>IF(VLOOKUP(A92,'Charriage - Geschiebehaushalt'!$A$4:$AC$275,17,FALSE)="","",VLOOKUP(A92,'Charriage - Geschiebehaushalt'!$A$4:$AC$275,17,FALSE))</f>
        <v>La remobilisation des sédiments est perturbée / Mobilisierung von Geschiebe beeinträchtigt</v>
      </c>
      <c r="F92" s="403" t="str">
        <f>IF(VLOOKUP(A92,'Charriage - Geschiebehaushalt'!$A$4:$AC$275,18,FALSE)="","",VLOOKUP(A92,'Charriage - Geschiebehaushalt'!$A$4:$AC$275,18,FALSE))</f>
        <v>b</v>
      </c>
      <c r="G92" s="330" t="str">
        <f>IF(VLOOKUP(A92,'Débit - Abfluss'!$A$4:$AD$275,8,FALSE)="","",VLOOKUP(A92,'Débit - Abfluss'!$A$4:$AD$275,8,FALSE))</f>
        <v>41-60%</v>
      </c>
      <c r="H92" s="404" t="str">
        <f>IF(VLOOKUP(A92,'Eclusée - Schwall-Sunk'!$A$2:$F$273,6,FALSE)="","",VLOOKUP(A92,'Eclusée - Schwall-Sunk'!$A$2:$F$273,6,FALSE))</f>
        <v>Non affecté / nicht betroffen</v>
      </c>
      <c r="I92" s="405" t="str">
        <f>IF(VLOOKUP(A92,'Revitalisation-Revitalisierung'!$A$4:$Z$275,13,FALSE)="","",VLOOKUP(A92,'Revitalisation-Revitalisierung'!$A$4:$Z$275,13,FALSE))</f>
        <v>Très nécessaire, facile / unbedingt nötig, einfach</v>
      </c>
      <c r="J92" s="406" t="str">
        <f>IF(VLOOKUP(A92,'Revitalisation-Revitalisierung'!$A$4:$Z$275,14,FALSE)="","",VLOOKUP(A92,'Revitalisation-Revitalisierung'!$A$4:$Z$275,14,FALSE))</f>
        <v>a</v>
      </c>
      <c r="K92" s="407"/>
    </row>
    <row r="93" spans="1:11" ht="20.100000000000001" customHeight="1" x14ac:dyDescent="0.25">
      <c r="A93" s="412">
        <v>79.2</v>
      </c>
      <c r="B93" s="400" t="s">
        <v>136</v>
      </c>
      <c r="C93" s="400" t="s">
        <v>137</v>
      </c>
      <c r="D93" s="401" t="s">
        <v>92</v>
      </c>
      <c r="E93" s="402" t="str">
        <f>IF(VLOOKUP(A93,'Charriage - Geschiebehaushalt'!$A$4:$AC$275,17,FALSE)="","",VLOOKUP(A93,'Charriage - Geschiebehaushalt'!$A$4:$AC$275,17,FALSE))</f>
        <v>non pertinent / nicht relevant</v>
      </c>
      <c r="F93" s="403" t="str">
        <f>IF(VLOOKUP(A93,'Charriage - Geschiebehaushalt'!$A$4:$AC$275,18,FALSE)="","",VLOOKUP(A93,'Charriage - Geschiebehaushalt'!$A$4:$AC$275,18,FALSE))</f>
        <v>a</v>
      </c>
      <c r="G93" s="330" t="str">
        <f>IF(VLOOKUP(A93,'Débit - Abfluss'!$A$4:$AD$275,8,FALSE)="","",VLOOKUP(A93,'Débit - Abfluss'!$A$4:$AD$275,8,FALSE))</f>
        <v>non pertinent / nicht relevant</v>
      </c>
      <c r="H93" s="404" t="str">
        <f>IF(VLOOKUP(A93,'Eclusée - Schwall-Sunk'!$A$2:$F$273,6,FALSE)="","",VLOOKUP(A93,'Eclusée - Schwall-Sunk'!$A$2:$F$273,6,FALSE))</f>
        <v>Non affecté / nicht betroffen</v>
      </c>
      <c r="I93" s="405" t="str">
        <f>IF(VLOOKUP(A93,'Revitalisation-Revitalisierung'!$A$4:$Z$275,13,FALSE)="","",VLOOKUP(A93,'Revitalisation-Revitalisierung'!$A$4:$Z$275,13,FALSE))</f>
        <v>Non nécessaire / nicht nötig</v>
      </c>
      <c r="J93" s="406" t="str">
        <f>IF(VLOOKUP(A93,'Revitalisation-Revitalisierung'!$A$4:$Z$275,14,FALSE)="","",VLOOKUP(A93,'Revitalisation-Revitalisierung'!$A$4:$Z$275,14,FALSE))</f>
        <v>b</v>
      </c>
      <c r="K93" s="407"/>
    </row>
    <row r="94" spans="1:11" ht="20.100000000000001" customHeight="1" x14ac:dyDescent="0.25">
      <c r="A94" s="399">
        <v>80</v>
      </c>
      <c r="B94" s="400" t="s">
        <v>138</v>
      </c>
      <c r="C94" s="400" t="s">
        <v>139</v>
      </c>
      <c r="D94" s="401" t="s">
        <v>92</v>
      </c>
      <c r="E94" s="402" t="str">
        <f>IF(VLOOKUP(A94,'Charriage - Geschiebehaushalt'!$A$4:$AC$275,17,FALSE)="","",VLOOKUP(A94,'Charriage - Geschiebehaushalt'!$A$4:$AC$275,17,FALSE))</f>
        <v>La remobilisation des sédiments est perturbée / Mobilisierung von Geschiebe beeinträchtigt</v>
      </c>
      <c r="F94" s="403" t="str">
        <f>IF(VLOOKUP(A94,'Charriage - Geschiebehaushalt'!$A$4:$AC$275,18,FALSE)="","",VLOOKUP(A94,'Charriage - Geschiebehaushalt'!$A$4:$AC$275,18,FALSE))</f>
        <v>b</v>
      </c>
      <c r="G94" s="330" t="str">
        <f>IF(VLOOKUP(A94,'Débit - Abfluss'!$A$4:$AD$275,8,FALSE)="","",VLOOKUP(A94,'Débit - Abfluss'!$A$4:$AD$275,8,FALSE))</f>
        <v>100%</v>
      </c>
      <c r="H94" s="404" t="str">
        <f>IF(VLOOKUP(A94,'Eclusée - Schwall-Sunk'!$A$2:$F$273,6,FALSE)="","",VLOOKUP(A94,'Eclusée - Schwall-Sunk'!$A$2:$F$273,6,FALSE))</f>
        <v>Non affecté / nicht betroffen</v>
      </c>
      <c r="I94" s="405" t="str">
        <f>IF(VLOOKUP(A94,'Revitalisation-Revitalisierung'!$A$4:$Z$275,13,FALSE)="","",VLOOKUP(A94,'Revitalisation-Revitalisierung'!$A$4:$Z$275,13,FALSE))</f>
        <v>Très nécessaire, difficile / unbedingt nötig, schwierig</v>
      </c>
      <c r="J94" s="406" t="str">
        <f>IF(VLOOKUP(A94,'Revitalisation-Revitalisierung'!$A$4:$Z$275,14,FALSE)="","",VLOOKUP(A94,'Revitalisation-Revitalisierung'!$A$4:$Z$275,14,FALSE))</f>
        <v>b</v>
      </c>
      <c r="K94" s="407"/>
    </row>
    <row r="95" spans="1:11" ht="20.100000000000001" customHeight="1" x14ac:dyDescent="0.25">
      <c r="A95" s="399">
        <v>81</v>
      </c>
      <c r="B95" s="400" t="s">
        <v>140</v>
      </c>
      <c r="C95" s="400" t="s">
        <v>141</v>
      </c>
      <c r="D95" s="401" t="s">
        <v>92</v>
      </c>
      <c r="E95" s="402" t="str">
        <f>IF(VLOOKUP(A95,'Charriage - Geschiebehaushalt'!$A$4:$AC$275,17,FALSE)="","",VLOOKUP(A95,'Charriage - Geschiebehaushalt'!$A$4:$AC$275,17,FALSE))</f>
        <v>51-80%</v>
      </c>
      <c r="F95" s="403" t="str">
        <f>IF(VLOOKUP(A95,'Charriage - Geschiebehaushalt'!$A$4:$AC$275,18,FALSE)="","",VLOOKUP(A95,'Charriage - Geschiebehaushalt'!$A$4:$AC$275,18,FALSE))</f>
        <v>a</v>
      </c>
      <c r="G95" s="330" t="str">
        <f>IF(VLOOKUP(A95,'Débit - Abfluss'!$A$4:$AD$275,8,FALSE)="","",VLOOKUP(A95,'Débit - Abfluss'!$A$4:$AD$275,8,FALSE))</f>
        <v>100%</v>
      </c>
      <c r="H95" s="404" t="str">
        <f>IF(VLOOKUP(A95,'Eclusée - Schwall-Sunk'!$A$2:$F$273,6,FALSE)="","",VLOOKUP(A95,'Eclusée - Schwall-Sunk'!$A$2:$F$273,6,FALSE))</f>
        <v>Non affecté / nicht betroffen</v>
      </c>
      <c r="I95" s="405" t="str">
        <f>IF(VLOOKUP(A95,'Revitalisation-Revitalisierung'!$A$4:$Z$275,13,FALSE)="","",VLOOKUP(A95,'Revitalisation-Revitalisierung'!$A$4:$Z$275,13,FALSE))</f>
        <v>Très nécessaire, facile / unbedingt nötig, einfach</v>
      </c>
      <c r="J95" s="406" t="str">
        <f>IF(VLOOKUP(A95,'Revitalisation-Revitalisierung'!$A$4:$Z$275,14,FALSE)="","",VLOOKUP(A95,'Revitalisation-Revitalisierung'!$A$4:$Z$275,14,FALSE))</f>
        <v>a</v>
      </c>
      <c r="K95" s="407"/>
    </row>
    <row r="96" spans="1:11" ht="20.100000000000001" customHeight="1" x14ac:dyDescent="0.25">
      <c r="A96" s="399">
        <v>83</v>
      </c>
      <c r="B96" s="400" t="s">
        <v>142</v>
      </c>
      <c r="C96" s="400" t="s">
        <v>50</v>
      </c>
      <c r="D96" s="401" t="s">
        <v>92</v>
      </c>
      <c r="E96" s="402" t="str">
        <f>IF(VLOOKUP(A96,'Charriage - Geschiebehaushalt'!$A$4:$AC$275,17,FALSE)="","",VLOOKUP(A96,'Charriage - Geschiebehaushalt'!$A$4:$AC$275,17,FALSE))</f>
        <v>non pertinent / nicht relevant</v>
      </c>
      <c r="F96" s="403" t="str">
        <f>IF(VLOOKUP(A96,'Charriage - Geschiebehaushalt'!$A$4:$AC$275,18,FALSE)="","",VLOOKUP(A96,'Charriage - Geschiebehaushalt'!$A$4:$AC$275,18,FALSE))</f>
        <v>a</v>
      </c>
      <c r="G96" s="330" t="str">
        <f>IF(VLOOKUP(A96,'Débit - Abfluss'!$A$4:$AD$275,8,FALSE)="","",VLOOKUP(A96,'Débit - Abfluss'!$A$4:$AD$275,8,FALSE))</f>
        <v>81-100%</v>
      </c>
      <c r="H96" s="404" t="str">
        <f>IF(VLOOKUP(A96,'Eclusée - Schwall-Sunk'!$A$2:$F$273,6,FALSE)="","",VLOOKUP(A96,'Eclusée - Schwall-Sunk'!$A$2:$F$273,6,FALSE))</f>
        <v>Potentiellement affecté / möglicherweise betroffen</v>
      </c>
      <c r="I96" s="405" t="str">
        <f>IF(VLOOKUP(A96,'Revitalisation-Revitalisierung'!$A$4:$Z$275,13,FALSE)="","",VLOOKUP(A96,'Revitalisation-Revitalisierung'!$A$4:$Z$275,13,FALSE))</f>
        <v>Non nécessaire / nicht nötig</v>
      </c>
      <c r="J96" s="406" t="str">
        <f>IF(VLOOKUP(A96,'Revitalisation-Revitalisierung'!$A$4:$Z$275,14,FALSE)="","",VLOOKUP(A96,'Revitalisation-Revitalisierung'!$A$4:$Z$275,14,FALSE))</f>
        <v>a</v>
      </c>
      <c r="K96" s="407"/>
    </row>
    <row r="97" spans="1:11" ht="20.100000000000001" customHeight="1" x14ac:dyDescent="0.25">
      <c r="A97" s="399">
        <v>84</v>
      </c>
      <c r="B97" s="400" t="s">
        <v>143</v>
      </c>
      <c r="C97" s="400" t="s">
        <v>50</v>
      </c>
      <c r="D97" s="401" t="s">
        <v>92</v>
      </c>
      <c r="E97" s="402" t="str">
        <f>IF(VLOOKUP(A97,'Charriage - Geschiebehaushalt'!$A$4:$AC$275,17,FALSE)="","",VLOOKUP(A97,'Charriage - Geschiebehaushalt'!$A$4:$AC$275,17,FALSE))</f>
        <v>21-50%</v>
      </c>
      <c r="F97" s="403" t="str">
        <f>IF(VLOOKUP(A97,'Charriage - Geschiebehaushalt'!$A$4:$AC$275,18,FALSE)="","",VLOOKUP(A97,'Charriage - Geschiebehaushalt'!$A$4:$AC$275,18,FALSE))</f>
        <v>a</v>
      </c>
      <c r="G97" s="330" t="str">
        <f>IF(VLOOKUP(A97,'Débit - Abfluss'!$A$4:$AD$275,8,FALSE)="","",VLOOKUP(A97,'Débit - Abfluss'!$A$4:$AD$275,8,FALSE))</f>
        <v>81-100%</v>
      </c>
      <c r="H97" s="404" t="str">
        <f>IF(VLOOKUP(A97,'Eclusée - Schwall-Sunk'!$A$2:$F$273,6,FALSE)="","",VLOOKUP(A97,'Eclusée - Schwall-Sunk'!$A$2:$F$273,6,FALSE))</f>
        <v>Potentiellement affecté / möglicherweise betroffen</v>
      </c>
      <c r="I97" s="405" t="str">
        <f>IF(VLOOKUP(A97,'Revitalisation-Revitalisierung'!$A$4:$Z$275,13,FALSE)="","",VLOOKUP(A97,'Revitalisation-Revitalisierung'!$A$4:$Z$275,13,FALSE))</f>
        <v>Très nécessaire, difficile / unbedingt nötig, schwierig</v>
      </c>
      <c r="J97" s="406" t="str">
        <f>IF(VLOOKUP(A97,'Revitalisation-Revitalisierung'!$A$4:$Z$275,14,FALSE)="","",VLOOKUP(A97,'Revitalisation-Revitalisierung'!$A$4:$Z$275,14,FALSE))</f>
        <v>b</v>
      </c>
      <c r="K97" s="407"/>
    </row>
    <row r="98" spans="1:11" ht="20.100000000000001" customHeight="1" x14ac:dyDescent="0.25">
      <c r="A98" s="399">
        <v>86</v>
      </c>
      <c r="B98" s="400" t="s">
        <v>144</v>
      </c>
      <c r="C98" s="400" t="s">
        <v>145</v>
      </c>
      <c r="D98" s="401" t="s">
        <v>92</v>
      </c>
      <c r="E98" s="402" t="str">
        <f>IF(VLOOKUP(A98,'Charriage - Geschiebehaushalt'!$A$4:$AC$275,17,FALSE)="","",VLOOKUP(A98,'Charriage - Geschiebehaushalt'!$A$4:$AC$275,17,FALSE))</f>
        <v>Déficit non apparent en charriage ou en remobilisation des sédiments / kein sichtbares Defizit beim Geschiebehaushalt bzw. bei der Mobilisierung von Geschiebe</v>
      </c>
      <c r="F98" s="403" t="str">
        <f>IF(VLOOKUP(A98,'Charriage - Geschiebehaushalt'!$A$4:$AC$275,18,FALSE)="","",VLOOKUP(A98,'Charriage - Geschiebehaushalt'!$A$4:$AC$275,18,FALSE))</f>
        <v>a</v>
      </c>
      <c r="G98" s="330" t="str">
        <f>IF(VLOOKUP(A98,'Débit - Abfluss'!$A$4:$AD$275,8,FALSE)="","",VLOOKUP(A98,'Débit - Abfluss'!$A$4:$AD$275,8,FALSE))</f>
        <v>21-40%</v>
      </c>
      <c r="H98" s="404" t="str">
        <f>IF(VLOOKUP(A98,'Eclusée - Schwall-Sunk'!$A$2:$F$273,6,FALSE)="","",VLOOKUP(A98,'Eclusée - Schwall-Sunk'!$A$2:$F$273,6,FALSE))</f>
        <v>Non affecté / nicht betroffen</v>
      </c>
      <c r="I98" s="405" t="str">
        <f>IF(VLOOKUP(A98,'Revitalisation-Revitalisierung'!$A$4:$Z$275,13,FALSE)="","",VLOOKUP(A98,'Revitalisation-Revitalisierung'!$A$4:$Z$275,13,FALSE))</f>
        <v>Très nécessaire, facile / unbedingt nötig, einfach</v>
      </c>
      <c r="J98" s="406" t="str">
        <f>IF(VLOOKUP(A98,'Revitalisation-Revitalisierung'!$A$4:$Z$275,14,FALSE)="","",VLOOKUP(A98,'Revitalisation-Revitalisierung'!$A$4:$Z$275,14,FALSE))</f>
        <v>b</v>
      </c>
      <c r="K98" s="407"/>
    </row>
    <row r="99" spans="1:11" ht="20.100000000000001" customHeight="1" x14ac:dyDescent="0.25">
      <c r="A99" s="399">
        <v>87</v>
      </c>
      <c r="B99" s="400" t="s">
        <v>64</v>
      </c>
      <c r="C99" s="400" t="s">
        <v>63</v>
      </c>
      <c r="D99" s="401" t="s">
        <v>35</v>
      </c>
      <c r="E99" s="402" t="str">
        <f>IF(VLOOKUP(A99,'Charriage - Geschiebehaushalt'!$A$4:$AC$275,17,FALSE)="","",VLOOKUP(A99,'Charriage - Geschiebehaushalt'!$A$4:$AC$275,17,FALSE))</f>
        <v>81 -100%</v>
      </c>
      <c r="F99" s="403" t="str">
        <f>IF(VLOOKUP(A99,'Charriage - Geschiebehaushalt'!$A$4:$AC$275,18,FALSE)="","",VLOOKUP(A99,'Charriage - Geschiebehaushalt'!$A$4:$AC$275,18,FALSE))</f>
        <v>a</v>
      </c>
      <c r="G99" s="330" t="str">
        <f>IF(VLOOKUP(A99,'Débit - Abfluss'!$A$4:$AD$275,8,FALSE)="","",VLOOKUP(A99,'Débit - Abfluss'!$A$4:$AD$275,8,FALSE))</f>
        <v>81-100%</v>
      </c>
      <c r="H99" s="404" t="str">
        <f>IF(VLOOKUP(A99,'Eclusée - Schwall-Sunk'!$A$2:$F$273,6,FALSE)="","",VLOOKUP(A99,'Eclusée - Schwall-Sunk'!$A$2:$F$273,6,FALSE))</f>
        <v>Potentiellement affecté mais non plausible / möglicherweise betroffen aber nicht nachweisbar</v>
      </c>
      <c r="I99" s="405" t="str">
        <f>IF(VLOOKUP(A99,'Revitalisation-Revitalisierung'!$A$4:$Z$275,13,FALSE)="","",VLOOKUP(A99,'Revitalisation-Revitalisierung'!$A$4:$Z$275,13,FALSE))</f>
        <v>Très nécessaire, facile / unbedingt nötig, einfach</v>
      </c>
      <c r="J99" s="406" t="str">
        <f>IF(VLOOKUP(A99,'Revitalisation-Revitalisierung'!$A$4:$Z$275,14,FALSE)="","",VLOOKUP(A99,'Revitalisation-Revitalisierung'!$A$4:$Z$275,14,FALSE))</f>
        <v>b</v>
      </c>
      <c r="K99" s="407"/>
    </row>
    <row r="100" spans="1:11" ht="20.100000000000001" customHeight="1" x14ac:dyDescent="0.25">
      <c r="A100" s="399">
        <v>88</v>
      </c>
      <c r="B100" s="400" t="s">
        <v>65</v>
      </c>
      <c r="C100" s="400" t="s">
        <v>63</v>
      </c>
      <c r="D100" s="401" t="s">
        <v>35</v>
      </c>
      <c r="E100" s="402" t="str">
        <f>IF(VLOOKUP(A100,'Charriage - Geschiebehaushalt'!$A$4:$AC$275,17,FALSE)="","",VLOOKUP(A100,'Charriage - Geschiebehaushalt'!$A$4:$AC$275,17,FALSE))</f>
        <v>81 -100%</v>
      </c>
      <c r="F100" s="403" t="str">
        <f>IF(VLOOKUP(A100,'Charriage - Geschiebehaushalt'!$A$4:$AC$275,18,FALSE)="","",VLOOKUP(A100,'Charriage - Geschiebehaushalt'!$A$4:$AC$275,18,FALSE))</f>
        <v>a</v>
      </c>
      <c r="G100" s="330" t="str">
        <f>IF(VLOOKUP(A100,'Débit - Abfluss'!$A$4:$AD$275,8,FALSE)="","",VLOOKUP(A100,'Débit - Abfluss'!$A$4:$AD$275,8,FALSE))</f>
        <v>81-100%</v>
      </c>
      <c r="H100" s="404" t="str">
        <f>IF(VLOOKUP(A100,'Eclusée - Schwall-Sunk'!$A$2:$F$273,6,FALSE)="","",VLOOKUP(A100,'Eclusée - Schwall-Sunk'!$A$2:$F$273,6,FALSE))</f>
        <v>Potentiellement affecté mais non plausible / möglicherweise betroffen aber nicht nachweisbar</v>
      </c>
      <c r="I100" s="405" t="str">
        <f>IF(VLOOKUP(A100,'Revitalisation-Revitalisierung'!$A$4:$Z$275,13,FALSE)="","",VLOOKUP(A100,'Revitalisation-Revitalisierung'!$A$4:$Z$275,13,FALSE))</f>
        <v>Très nécessaire, difficile / unbedingt nötig, schwierig</v>
      </c>
      <c r="J100" s="406" t="str">
        <f>IF(VLOOKUP(A100,'Revitalisation-Revitalisierung'!$A$4:$Z$275,14,FALSE)="","",VLOOKUP(A100,'Revitalisation-Revitalisierung'!$A$4:$Z$275,14,FALSE))</f>
        <v>b</v>
      </c>
      <c r="K100" s="407"/>
    </row>
    <row r="101" spans="1:11" ht="20.100000000000001" customHeight="1" x14ac:dyDescent="0.25">
      <c r="A101" s="399">
        <v>91</v>
      </c>
      <c r="B101" s="400" t="s">
        <v>66</v>
      </c>
      <c r="C101" s="400" t="s">
        <v>63</v>
      </c>
      <c r="D101" s="401" t="s">
        <v>35</v>
      </c>
      <c r="E101" s="402" t="str">
        <f>IF(VLOOKUP(A101,'Charriage - Geschiebehaushalt'!$A$4:$AC$275,17,FALSE)="","",VLOOKUP(A101,'Charriage - Geschiebehaushalt'!$A$4:$AC$275,17,FALSE))</f>
        <v>51-80%</v>
      </c>
      <c r="F101" s="403" t="str">
        <f>IF(VLOOKUP(A101,'Charriage - Geschiebehaushalt'!$A$4:$AC$275,18,FALSE)="","",VLOOKUP(A101,'Charriage - Geschiebehaushalt'!$A$4:$AC$275,18,FALSE))</f>
        <v>a</v>
      </c>
      <c r="G101" s="330" t="str">
        <f>IF(VLOOKUP(A101,'Débit - Abfluss'!$A$4:$AD$275,8,FALSE)="","",VLOOKUP(A101,'Débit - Abfluss'!$A$4:$AD$275,8,FALSE))</f>
        <v>non pertinent / nicht relevant</v>
      </c>
      <c r="H101" s="404" t="str">
        <f>IF(VLOOKUP(A101,'Eclusée - Schwall-Sunk'!$A$2:$F$273,6,FALSE)="","",VLOOKUP(A101,'Eclusée - Schwall-Sunk'!$A$2:$F$273,6,FALSE))</f>
        <v>Non affecté / nicht betroffen</v>
      </c>
      <c r="I101" s="405" t="str">
        <f>IF(VLOOKUP(A101,'Revitalisation-Revitalisierung'!$A$4:$Z$275,13,FALSE)="","",VLOOKUP(A101,'Revitalisation-Revitalisierung'!$A$4:$Z$275,13,FALSE))</f>
        <v>Très nécessaire, facile / unbedingt nötig, einfach</v>
      </c>
      <c r="J101" s="406" t="str">
        <f>IF(VLOOKUP(A101,'Revitalisation-Revitalisierung'!$A$4:$Z$275,14,FALSE)="","",VLOOKUP(A101,'Revitalisation-Revitalisierung'!$A$4:$Z$275,14,FALSE))</f>
        <v>a</v>
      </c>
      <c r="K101" s="407"/>
    </row>
    <row r="102" spans="1:11" ht="20.100000000000001" customHeight="1" x14ac:dyDescent="0.25">
      <c r="A102" s="399">
        <v>92</v>
      </c>
      <c r="B102" s="400" t="s">
        <v>79</v>
      </c>
      <c r="C102" s="400" t="s">
        <v>63</v>
      </c>
      <c r="D102" s="401" t="s">
        <v>78</v>
      </c>
      <c r="E102" s="402" t="str">
        <f>IF(VLOOKUP(A102,'Charriage - Geschiebehaushalt'!$A$4:$AC$275,17,FALSE)="","",VLOOKUP(A102,'Charriage - Geschiebehaushalt'!$A$4:$AC$275,17,FALSE))</f>
        <v>51-80%</v>
      </c>
      <c r="F102" s="403" t="str">
        <f>IF(VLOOKUP(A102,'Charriage - Geschiebehaushalt'!$A$4:$AC$275,18,FALSE)="","",VLOOKUP(A102,'Charriage - Geschiebehaushalt'!$A$4:$AC$275,18,FALSE))</f>
        <v>a</v>
      </c>
      <c r="G102" s="330" t="str">
        <f>IF(VLOOKUP(A102,'Débit - Abfluss'!$A$4:$AD$275,8,FALSE)="","",VLOOKUP(A102,'Débit - Abfluss'!$A$4:$AD$275,8,FALSE))</f>
        <v>81-100%</v>
      </c>
      <c r="H102" s="404" t="str">
        <f>IF(VLOOKUP(A102,'Eclusée - Schwall-Sunk'!$A$2:$F$273,6,FALSE)="","",VLOOKUP(A102,'Eclusée - Schwall-Sunk'!$A$2:$F$273,6,FALSE))</f>
        <v>Non affecté / nicht betroffen</v>
      </c>
      <c r="I102" s="405" t="str">
        <f>IF(VLOOKUP(A102,'Revitalisation-Revitalisierung'!$A$4:$Z$275,13,FALSE)="","",VLOOKUP(A102,'Revitalisation-Revitalisierung'!$A$4:$Z$275,13,FALSE))</f>
        <v>Très nécessaire, facile / unbedingt nötig, einfach</v>
      </c>
      <c r="J102" s="406" t="str">
        <f>IF(VLOOKUP(A102,'Revitalisation-Revitalisierung'!$A$4:$Z$275,14,FALSE)="","",VLOOKUP(A102,'Revitalisation-Revitalisierung'!$A$4:$Z$275,14,FALSE))</f>
        <v>b</v>
      </c>
      <c r="K102" s="407"/>
    </row>
    <row r="103" spans="1:11" ht="20.100000000000001" customHeight="1" x14ac:dyDescent="0.25">
      <c r="A103" s="399">
        <v>95</v>
      </c>
      <c r="B103" s="400" t="s">
        <v>75</v>
      </c>
      <c r="C103" s="400" t="s">
        <v>63</v>
      </c>
      <c r="D103" s="401" t="s">
        <v>74</v>
      </c>
      <c r="E103" s="402" t="str">
        <f>IF(VLOOKUP(A103,'Charriage - Geschiebehaushalt'!$A$4:$AC$275,17,FALSE)="","",VLOOKUP(A103,'Charriage - Geschiebehaushalt'!$A$4:$AC$275,17,FALSE))</f>
        <v>51-80%</v>
      </c>
      <c r="F103" s="403" t="str">
        <f>IF(VLOOKUP(A103,'Charriage - Geschiebehaushalt'!$A$4:$AC$275,18,FALSE)="","",VLOOKUP(A103,'Charriage - Geschiebehaushalt'!$A$4:$AC$275,18,FALSE))</f>
        <v>a</v>
      </c>
      <c r="G103" s="330" t="str">
        <f>IF(VLOOKUP(A103,'Débit - Abfluss'!$A$4:$AD$275,8,FALSE)="","",VLOOKUP(A103,'Débit - Abfluss'!$A$4:$AD$275,8,FALSE))</f>
        <v>81-100%</v>
      </c>
      <c r="H103" s="404" t="str">
        <f>IF(VLOOKUP(A103,'Eclusée - Schwall-Sunk'!$A$2:$F$273,6,FALSE)="","",VLOOKUP(A103,'Eclusée - Schwall-Sunk'!$A$2:$F$273,6,FALSE))</f>
        <v>Non affecté / nicht betroffen</v>
      </c>
      <c r="I103" s="405" t="str">
        <f>IF(VLOOKUP(A103,'Revitalisation-Revitalisierung'!$A$4:$Z$275,13,FALSE)="","",VLOOKUP(A103,'Revitalisation-Revitalisierung'!$A$4:$Z$275,13,FALSE))</f>
        <v>Très nécessaire, facile / unbedingt nötig, einfach</v>
      </c>
      <c r="J103" s="406" t="str">
        <f>IF(VLOOKUP(A103,'Revitalisation-Revitalisierung'!$A$4:$Z$275,14,FALSE)="","",VLOOKUP(A103,'Revitalisation-Revitalisierung'!$A$4:$Z$275,14,FALSE))</f>
        <v>b</v>
      </c>
      <c r="K103" s="407"/>
    </row>
    <row r="104" spans="1:11" ht="20.100000000000001" customHeight="1" x14ac:dyDescent="0.25">
      <c r="A104" s="399">
        <v>97</v>
      </c>
      <c r="B104" s="400" t="s">
        <v>688</v>
      </c>
      <c r="C104" s="400" t="s">
        <v>689</v>
      </c>
      <c r="D104" s="401" t="s">
        <v>687</v>
      </c>
      <c r="E104" s="402" t="str">
        <f>IF(VLOOKUP(A104,'Charriage - Geschiebehaushalt'!$A$4:$AC$275,17,FALSE)="","",VLOOKUP(A104,'Charriage - Geschiebehaushalt'!$A$4:$AC$275,17,FALSE))</f>
        <v>Charriage présumé perturbé / Geschiebehaushalt vermutlich beeinträchtigt</v>
      </c>
      <c r="F104" s="403" t="str">
        <f>IF(VLOOKUP(A104,'Charriage - Geschiebehaushalt'!$A$4:$AC$275,18,FALSE)="","",VLOOKUP(A104,'Charriage - Geschiebehaushalt'!$A$4:$AC$275,18,FALSE))</f>
        <v>b</v>
      </c>
      <c r="G104" s="330" t="str">
        <f>IF(VLOOKUP(A104,'Débit - Abfluss'!$A$4:$AD$275,8,FALSE)="","",VLOOKUP(A104,'Débit - Abfluss'!$A$4:$AD$275,8,FALSE))</f>
        <v>81-100%</v>
      </c>
      <c r="H104" s="404" t="str">
        <f>IF(VLOOKUP(A104,'Eclusée - Schwall-Sunk'!$A$2:$F$273,6,FALSE)="","",VLOOKUP(A104,'Eclusée - Schwall-Sunk'!$A$2:$F$273,6,FALSE))</f>
        <v>Potentiellement affecté mais non plausible / möglicherweise betroffen aber nicht nachweisbar</v>
      </c>
      <c r="I104" s="405" t="str">
        <f>IF(VLOOKUP(A104,'Revitalisation-Revitalisierung'!$A$4:$Z$275,13,FALSE)="","",VLOOKUP(A104,'Revitalisation-Revitalisierung'!$A$4:$Z$275,13,FALSE))</f>
        <v>Non nécessaire / nicht nötig</v>
      </c>
      <c r="J104" s="406" t="str">
        <f>IF(VLOOKUP(A104,'Revitalisation-Revitalisierung'!$A$4:$Z$275,14,FALSE)="","",VLOOKUP(A104,'Revitalisation-Revitalisierung'!$A$4:$Z$275,14,FALSE))</f>
        <v>a</v>
      </c>
      <c r="K104" s="407"/>
    </row>
    <row r="105" spans="1:11" ht="20.100000000000001" customHeight="1" x14ac:dyDescent="0.25">
      <c r="A105" s="399">
        <v>98</v>
      </c>
      <c r="B105" s="400" t="s">
        <v>377</v>
      </c>
      <c r="C105" s="400" t="s">
        <v>378</v>
      </c>
      <c r="D105" s="401" t="s">
        <v>376</v>
      </c>
      <c r="E105" s="402" t="str">
        <f>IF(VLOOKUP(A105,'Charriage - Geschiebehaushalt'!$A$4:$AC$275,17,FALSE)="","",VLOOKUP(A105,'Charriage - Geschiebehaushalt'!$A$4:$AC$275,17,FALSE))</f>
        <v>0-20%</v>
      </c>
      <c r="F105" s="403" t="str">
        <f>IF(VLOOKUP(A105,'Charriage - Geschiebehaushalt'!$A$4:$AC$275,18,FALSE)="","",VLOOKUP(A105,'Charriage - Geschiebehaushalt'!$A$4:$AC$275,18,FALSE))</f>
        <v>a</v>
      </c>
      <c r="G105" s="330" t="str">
        <f>IF(VLOOKUP(A105,'Débit - Abfluss'!$A$4:$AD$275,8,FALSE)="","",VLOOKUP(A105,'Débit - Abfluss'!$A$4:$AD$275,8,FALSE))</f>
        <v>100%</v>
      </c>
      <c r="H105" s="404" t="str">
        <f>IF(VLOOKUP(A105,'Eclusée - Schwall-Sunk'!$A$2:$F$273,6,FALSE)="","",VLOOKUP(A105,'Eclusée - Schwall-Sunk'!$A$2:$F$273,6,FALSE))</f>
        <v>Non affecté / nicht betroffen</v>
      </c>
      <c r="I105" s="405" t="str">
        <f>IF(VLOOKUP(A105,'Revitalisation-Revitalisierung'!$A$4:$Z$275,13,FALSE)="","",VLOOKUP(A105,'Revitalisation-Revitalisierung'!$A$4:$Z$275,13,FALSE))</f>
        <v>Partiellement nécessaire, facile / teilweise nötig, einfach</v>
      </c>
      <c r="J105" s="406" t="str">
        <f>IF(VLOOKUP(A105,'Revitalisation-Revitalisierung'!$A$4:$Z$275,14,FALSE)="","",VLOOKUP(A105,'Revitalisation-Revitalisierung'!$A$4:$Z$275,14,FALSE))</f>
        <v>a</v>
      </c>
      <c r="K105" s="407"/>
    </row>
    <row r="106" spans="1:11" ht="20.100000000000001" customHeight="1" x14ac:dyDescent="0.25">
      <c r="A106" s="399">
        <v>99</v>
      </c>
      <c r="B106" s="400" t="s">
        <v>396</v>
      </c>
      <c r="C106" s="400" t="s">
        <v>397</v>
      </c>
      <c r="D106" s="401" t="s">
        <v>395</v>
      </c>
      <c r="E106" s="402" t="str">
        <f>IF(VLOOKUP(A106,'Charriage - Geschiebehaushalt'!$A$4:$AC$275,17,FALSE)="","",VLOOKUP(A106,'Charriage - Geschiebehaushalt'!$A$4:$AC$275,17,FALSE))</f>
        <v>La remobilisation des sédiments est perturbée / Mobilisierung von Geschiebe beeinträchtigt</v>
      </c>
      <c r="F106" s="403" t="str">
        <f>IF(VLOOKUP(A106,'Charriage - Geschiebehaushalt'!$A$4:$AC$275,18,FALSE)="","",VLOOKUP(A106,'Charriage - Geschiebehaushalt'!$A$4:$AC$275,18,FALSE))</f>
        <v>b</v>
      </c>
      <c r="G106" s="330" t="str">
        <f>IF(VLOOKUP(A106,'Débit - Abfluss'!$A$4:$AD$275,8,FALSE)="","",VLOOKUP(A106,'Débit - Abfluss'!$A$4:$AD$275,8,FALSE))</f>
        <v>100%</v>
      </c>
      <c r="H106" s="404" t="str">
        <f>IF(VLOOKUP(A106,'Eclusée - Schwall-Sunk'!$A$2:$F$273,6,FALSE)="","",VLOOKUP(A106,'Eclusée - Schwall-Sunk'!$A$2:$F$273,6,FALSE))</f>
        <v>Non affecté / nicht betroffen</v>
      </c>
      <c r="I106" s="405" t="str">
        <f>IF(VLOOKUP(A106,'Revitalisation-Revitalisierung'!$A$4:$Z$275,13,FALSE)="","",VLOOKUP(A106,'Revitalisation-Revitalisierung'!$A$4:$Z$275,13,FALSE))</f>
        <v>Partiellement nécessaire, facile / teilweise nötig, einfach</v>
      </c>
      <c r="J106" s="406" t="str">
        <f>IF(VLOOKUP(A106,'Revitalisation-Revitalisierung'!$A$4:$Z$275,14,FALSE)="","",VLOOKUP(A106,'Revitalisation-Revitalisierung'!$A$4:$Z$275,14,FALSE))</f>
        <v>a</v>
      </c>
      <c r="K106" s="407"/>
    </row>
    <row r="107" spans="1:11" ht="20.100000000000001" customHeight="1" x14ac:dyDescent="0.25">
      <c r="A107" s="399">
        <v>100</v>
      </c>
      <c r="B107" s="400" t="s">
        <v>398</v>
      </c>
      <c r="C107" s="400" t="s">
        <v>399</v>
      </c>
      <c r="D107" s="401" t="s">
        <v>395</v>
      </c>
      <c r="E107" s="402" t="str">
        <f>IF(VLOOKUP(A107,'Charriage - Geschiebehaushalt'!$A$4:$AC$275,17,FALSE)="","",VLOOKUP(A107,'Charriage - Geschiebehaushalt'!$A$4:$AC$275,17,FALSE))</f>
        <v>non pertinent / nicht relevant</v>
      </c>
      <c r="F107" s="403" t="str">
        <f>IF(VLOOKUP(A107,'Charriage - Geschiebehaushalt'!$A$4:$AC$275,18,FALSE)="","",VLOOKUP(A107,'Charriage - Geschiebehaushalt'!$A$4:$AC$275,18,FALSE))</f>
        <v>a</v>
      </c>
      <c r="G107" s="330" t="str">
        <f>IF(VLOOKUP(A107,'Débit - Abfluss'!$A$4:$AD$275,8,FALSE)="","",VLOOKUP(A107,'Débit - Abfluss'!$A$4:$AD$275,8,FALSE))</f>
        <v>81-100%</v>
      </c>
      <c r="H107" s="404" t="str">
        <f>IF(VLOOKUP(A107,'Eclusée - Schwall-Sunk'!$A$2:$F$273,6,FALSE)="","",VLOOKUP(A107,'Eclusée - Schwall-Sunk'!$A$2:$F$273,6,FALSE))</f>
        <v>Potentiellement affecté / möglicherweise betroffen</v>
      </c>
      <c r="I107" s="405" t="str">
        <f>IF(VLOOKUP(A107,'Revitalisation-Revitalisierung'!$A$4:$Z$275,13,FALSE)="","",VLOOKUP(A107,'Revitalisation-Revitalisierung'!$A$4:$Z$275,13,FALSE))</f>
        <v>Très nécessaire, facile / unbedingt nötig, einfach</v>
      </c>
      <c r="J107" s="406" t="str">
        <f>IF(VLOOKUP(A107,'Revitalisation-Revitalisierung'!$A$4:$Z$275,14,FALSE)="","",VLOOKUP(A107,'Revitalisation-Revitalisierung'!$A$4:$Z$275,14,FALSE))</f>
        <v>b</v>
      </c>
      <c r="K107" s="407"/>
    </row>
    <row r="108" spans="1:11" ht="20.100000000000001" customHeight="1" x14ac:dyDescent="0.25">
      <c r="A108" s="399">
        <v>101</v>
      </c>
      <c r="B108" s="400" t="s">
        <v>400</v>
      </c>
      <c r="C108" s="400" t="s">
        <v>401</v>
      </c>
      <c r="D108" s="401" t="s">
        <v>395</v>
      </c>
      <c r="E108" s="402" t="str">
        <f>IF(VLOOKUP(A108,'Charriage - Geschiebehaushalt'!$A$4:$AC$275,17,FALSE)="","",VLOOKUP(A108,'Charriage - Geschiebehaushalt'!$A$4:$AC$275,17,FALSE))</f>
        <v>La remobilisation des sédiments est perturbée / Mobilisierung von Geschiebe beeinträchtigt</v>
      </c>
      <c r="F108" s="403" t="str">
        <f>IF(VLOOKUP(A108,'Charriage - Geschiebehaushalt'!$A$4:$AC$275,18,FALSE)="","",VLOOKUP(A108,'Charriage - Geschiebehaushalt'!$A$4:$AC$275,18,FALSE))</f>
        <v>a</v>
      </c>
      <c r="G108" s="330" t="str">
        <f>IF(VLOOKUP(A108,'Débit - Abfluss'!$A$4:$AD$275,8,FALSE)="","",VLOOKUP(A108,'Débit - Abfluss'!$A$4:$AD$275,8,FALSE))</f>
        <v>100%</v>
      </c>
      <c r="H108" s="404" t="str">
        <f>IF(VLOOKUP(A108,'Eclusée - Schwall-Sunk'!$A$2:$F$273,6,FALSE)="","",VLOOKUP(A108,'Eclusée - Schwall-Sunk'!$A$2:$F$273,6,FALSE))</f>
        <v>Non affecté / nicht betroffen</v>
      </c>
      <c r="I108" s="405" t="str">
        <f>IF(VLOOKUP(A108,'Revitalisation-Revitalisierung'!$A$4:$Z$275,13,FALSE)="","",VLOOKUP(A108,'Revitalisation-Revitalisierung'!$A$4:$Z$275,13,FALSE))</f>
        <v>Très nécessaire, difficile / unbedingt nötig, schwierig</v>
      </c>
      <c r="J108" s="406" t="str">
        <f>IF(VLOOKUP(A108,'Revitalisation-Revitalisierung'!$A$4:$Z$275,14,FALSE)="","",VLOOKUP(A108,'Revitalisation-Revitalisierung'!$A$4:$Z$275,14,FALSE))</f>
        <v>b</v>
      </c>
      <c r="K108" s="407"/>
    </row>
    <row r="109" spans="1:11" ht="20.100000000000001" customHeight="1" x14ac:dyDescent="0.25">
      <c r="A109" s="399">
        <v>102</v>
      </c>
      <c r="B109" s="400" t="s">
        <v>404</v>
      </c>
      <c r="C109" s="400" t="s">
        <v>405</v>
      </c>
      <c r="D109" s="401" t="s">
        <v>395</v>
      </c>
      <c r="E109" s="402" t="str">
        <f>IF(VLOOKUP(A109,'Charriage - Geschiebehaushalt'!$A$4:$AC$275,17,FALSE)="","",VLOOKUP(A109,'Charriage - Geschiebehaushalt'!$A$4:$AC$275,17,FALSE))</f>
        <v>La remobilisation des sédiments est perturbée / Mobilisierung von Geschiebe beeinträchtigt</v>
      </c>
      <c r="F109" s="403" t="str">
        <f>IF(VLOOKUP(A109,'Charriage - Geschiebehaushalt'!$A$4:$AC$275,18,FALSE)="","",VLOOKUP(A109,'Charriage - Geschiebehaushalt'!$A$4:$AC$275,18,FALSE))</f>
        <v>a</v>
      </c>
      <c r="G109" s="330" t="str">
        <f>IF(VLOOKUP(A109,'Débit - Abfluss'!$A$4:$AD$275,8,FALSE)="","",VLOOKUP(A109,'Débit - Abfluss'!$A$4:$AD$275,8,FALSE))</f>
        <v>100%</v>
      </c>
      <c r="H109" s="404" t="str">
        <f>IF(VLOOKUP(A109,'Eclusée - Schwall-Sunk'!$A$2:$F$273,6,FALSE)="","",VLOOKUP(A109,'Eclusée - Schwall-Sunk'!$A$2:$F$273,6,FALSE))</f>
        <v>Non affecté / nicht betroffen</v>
      </c>
      <c r="I109" s="405" t="str">
        <f>IF(VLOOKUP(A109,'Revitalisation-Revitalisierung'!$A$4:$Z$275,13,FALSE)="","",VLOOKUP(A109,'Revitalisation-Revitalisierung'!$A$4:$Z$275,13,FALSE))</f>
        <v>Très nécessaire, difficile / unbedingt nötig, schwierig</v>
      </c>
      <c r="J109" s="406" t="str">
        <f>IF(VLOOKUP(A109,'Revitalisation-Revitalisierung'!$A$4:$Z$275,14,FALSE)="","",VLOOKUP(A109,'Revitalisation-Revitalisierung'!$A$4:$Z$275,14,FALSE))</f>
        <v>b</v>
      </c>
      <c r="K109" s="407"/>
    </row>
    <row r="110" spans="1:11" ht="20.100000000000001" customHeight="1" x14ac:dyDescent="0.25">
      <c r="A110" s="399">
        <v>104</v>
      </c>
      <c r="B110" s="400" t="s">
        <v>461</v>
      </c>
      <c r="C110" s="400" t="s">
        <v>462</v>
      </c>
      <c r="D110" s="401" t="s">
        <v>460</v>
      </c>
      <c r="E110" s="402" t="str">
        <f>IF(VLOOKUP(A110,'Charriage - Geschiebehaushalt'!$A$4:$AC$275,17,FALSE)="","",VLOOKUP(A110,'Charriage - Geschiebehaushalt'!$A$4:$AC$275,17,FALSE))</f>
        <v>La remobilisation des sédiments est perturbée / Mobilisierung von Geschiebe beeinträchtigt</v>
      </c>
      <c r="F110" s="403" t="str">
        <f>IF(VLOOKUP(A110,'Charriage - Geschiebehaushalt'!$A$4:$AC$275,18,FALSE)="","",VLOOKUP(A110,'Charriage - Geschiebehaushalt'!$A$4:$AC$275,18,FALSE))</f>
        <v>b</v>
      </c>
      <c r="G110" s="330" t="str">
        <f>IF(VLOOKUP(A110,'Débit - Abfluss'!$A$4:$AD$275,8,FALSE)="","",VLOOKUP(A110,'Débit - Abfluss'!$A$4:$AD$275,8,FALSE))</f>
        <v>81-100%</v>
      </c>
      <c r="H110" s="404" t="str">
        <f>IF(VLOOKUP(A110,'Eclusée - Schwall-Sunk'!$A$2:$F$273,6,FALSE)="","",VLOOKUP(A110,'Eclusée - Schwall-Sunk'!$A$2:$F$273,6,FALSE))</f>
        <v>Potentiellement affecté / möglicherweise betroffen</v>
      </c>
      <c r="I110" s="405" t="str">
        <f>IF(VLOOKUP(A110,'Revitalisation-Revitalisierung'!$A$4:$Z$275,13,FALSE)="","",VLOOKUP(A110,'Revitalisation-Revitalisierung'!$A$4:$Z$275,13,FALSE))</f>
        <v>Non nécessaire / nicht nötig</v>
      </c>
      <c r="J110" s="406" t="str">
        <f>IF(VLOOKUP(A110,'Revitalisation-Revitalisierung'!$A$4:$Z$275,14,FALSE)="","",VLOOKUP(A110,'Revitalisation-Revitalisierung'!$A$4:$Z$275,14,FALSE))</f>
        <v>b</v>
      </c>
      <c r="K110" s="407"/>
    </row>
    <row r="111" spans="1:11" ht="20.100000000000001" customHeight="1" x14ac:dyDescent="0.25">
      <c r="A111" s="412">
        <v>105.1</v>
      </c>
      <c r="B111" s="400" t="s">
        <v>552</v>
      </c>
      <c r="C111" s="400" t="s">
        <v>553</v>
      </c>
      <c r="D111" s="401" t="s">
        <v>551</v>
      </c>
      <c r="E111" s="402" t="str">
        <f>IF(VLOOKUP(A111,'Charriage - Geschiebehaushalt'!$A$4:$AC$275,17,FALSE)="","",VLOOKUP(A111,'Charriage - Geschiebehaushalt'!$A$4:$AC$275,17,FALSE))</f>
        <v>51-80%</v>
      </c>
      <c r="F111" s="403" t="str">
        <f>IF(VLOOKUP(A111,'Charriage - Geschiebehaushalt'!$A$4:$AC$275,18,FALSE)="","",VLOOKUP(A111,'Charriage - Geschiebehaushalt'!$A$4:$AC$275,18,FALSE))</f>
        <v>a</v>
      </c>
      <c r="G111" s="330" t="str">
        <f>IF(VLOOKUP(A111,'Débit - Abfluss'!$A$4:$AD$275,8,FALSE)="","",VLOOKUP(A111,'Débit - Abfluss'!$A$4:$AD$275,8,FALSE))</f>
        <v>81-100%</v>
      </c>
      <c r="H111" s="404" t="str">
        <f>IF(VLOOKUP(A111,'Eclusée - Schwall-Sunk'!$A$2:$F$273,6,FALSE)="","",VLOOKUP(A111,'Eclusée - Schwall-Sunk'!$A$2:$F$273,6,FALSE))</f>
        <v>Potentiellement affecté / möglicherweise betroffen</v>
      </c>
      <c r="I111" s="405" t="str">
        <f>IF(VLOOKUP(A111,'Revitalisation-Revitalisierung'!$A$4:$Z$275,13,FALSE)="","",VLOOKUP(A111,'Revitalisation-Revitalisierung'!$A$4:$Z$275,13,FALSE))</f>
        <v>Non nécessaire / nicht nötig</v>
      </c>
      <c r="J111" s="406" t="str">
        <f>IF(VLOOKUP(A111,'Revitalisation-Revitalisierung'!$A$4:$Z$275,14,FALSE)="","",VLOOKUP(A111,'Revitalisation-Revitalisierung'!$A$4:$Z$275,14,FALSE))</f>
        <v>b</v>
      </c>
      <c r="K111" s="407"/>
    </row>
    <row r="112" spans="1:11" ht="20.100000000000001" customHeight="1" x14ac:dyDescent="0.25">
      <c r="A112" s="412">
        <v>105.2</v>
      </c>
      <c r="B112" s="400" t="s">
        <v>552</v>
      </c>
      <c r="C112" s="400" t="s">
        <v>553</v>
      </c>
      <c r="D112" s="401" t="s">
        <v>551</v>
      </c>
      <c r="E112" s="402" t="str">
        <f>IF(VLOOKUP(A112,'Charriage - Geschiebehaushalt'!$A$4:$AC$275,17,FALSE)="","",VLOOKUP(A112,'Charriage - Geschiebehaushalt'!$A$4:$AC$275,17,FALSE))</f>
        <v>non pertinent / nicht relevant</v>
      </c>
      <c r="F112" s="403" t="str">
        <f>IF(VLOOKUP(A112,'Charriage - Geschiebehaushalt'!$A$4:$AC$275,18,FALSE)="","",VLOOKUP(A112,'Charriage - Geschiebehaushalt'!$A$4:$AC$275,18,FALSE))</f>
        <v>a</v>
      </c>
      <c r="G112" s="330" t="str">
        <f>IF(VLOOKUP(A112,'Débit - Abfluss'!$A$4:$AD$275,8,FALSE)="","",VLOOKUP(A112,'Débit - Abfluss'!$A$4:$AD$275,8,FALSE))</f>
        <v>non pertinent / nicht relevant</v>
      </c>
      <c r="H112" s="404" t="str">
        <f>IF(VLOOKUP(A112,'Eclusée - Schwall-Sunk'!$A$2:$F$273,6,FALSE)="","",VLOOKUP(A112,'Eclusée - Schwall-Sunk'!$A$2:$F$273,6,FALSE))</f>
        <v>Non affecté / nicht betroffen</v>
      </c>
      <c r="I112" s="405" t="str">
        <f>IF(VLOOKUP(A112,'Revitalisation-Revitalisierung'!$A$4:$Z$275,13,FALSE)="","",VLOOKUP(A112,'Revitalisation-Revitalisierung'!$A$4:$Z$275,13,FALSE))</f>
        <v>Non nécessaire / nicht nötig</v>
      </c>
      <c r="J112" s="406" t="str">
        <f>IF(VLOOKUP(A112,'Revitalisation-Revitalisierung'!$A$4:$Z$275,14,FALSE)="","",VLOOKUP(A112,'Revitalisation-Revitalisierung'!$A$4:$Z$275,14,FALSE))</f>
        <v>b</v>
      </c>
      <c r="K112" s="407"/>
    </row>
    <row r="113" spans="1:11" ht="20.100000000000001" customHeight="1" x14ac:dyDescent="0.25">
      <c r="A113" s="399">
        <v>107</v>
      </c>
      <c r="B113" s="400" t="s">
        <v>554</v>
      </c>
      <c r="C113" s="400" t="s">
        <v>555</v>
      </c>
      <c r="D113" s="401" t="s">
        <v>551</v>
      </c>
      <c r="E113" s="402" t="str">
        <f>IF(VLOOKUP(A113,'Charriage - Geschiebehaushalt'!$A$4:$AC$275,17,FALSE)="","",VLOOKUP(A113,'Charriage - Geschiebehaushalt'!$A$4:$AC$275,17,FALSE))</f>
        <v>0-20%</v>
      </c>
      <c r="F113" s="403" t="str">
        <f>IF(VLOOKUP(A113,'Charriage - Geschiebehaushalt'!$A$4:$AC$275,18,FALSE)="","",VLOOKUP(A113,'Charriage - Geschiebehaushalt'!$A$4:$AC$275,18,FALSE))</f>
        <v>a</v>
      </c>
      <c r="G113" s="330" t="str">
        <f>IF(VLOOKUP(A113,'Débit - Abfluss'!$A$4:$AD$275,8,FALSE)="","",VLOOKUP(A113,'Débit - Abfluss'!$A$4:$AD$275,8,FALSE))</f>
        <v>100%</v>
      </c>
      <c r="H113" s="404" t="str">
        <f>IF(VLOOKUP(A113,'Eclusée - Schwall-Sunk'!$A$2:$F$273,6,FALSE)="","",VLOOKUP(A113,'Eclusée - Schwall-Sunk'!$A$2:$F$273,6,FALSE))</f>
        <v>Non affecté / nicht betroffen</v>
      </c>
      <c r="I113" s="405" t="str">
        <f>IF(VLOOKUP(A113,'Revitalisation-Revitalisierung'!$A$4:$Z$275,13,FALSE)="","",VLOOKUP(A113,'Revitalisation-Revitalisierung'!$A$4:$Z$275,13,FALSE))</f>
        <v>Non nécessaire / nicht nötig</v>
      </c>
      <c r="J113" s="406" t="str">
        <f>IF(VLOOKUP(A113,'Revitalisation-Revitalisierung'!$A$4:$Z$275,14,FALSE)="","",VLOOKUP(A113,'Revitalisation-Revitalisierung'!$A$4:$Z$275,14,FALSE))</f>
        <v>a</v>
      </c>
      <c r="K113" s="407"/>
    </row>
    <row r="114" spans="1:11" ht="20.100000000000001" customHeight="1" x14ac:dyDescent="0.25">
      <c r="A114" s="399">
        <v>108</v>
      </c>
      <c r="B114" s="400" t="s">
        <v>556</v>
      </c>
      <c r="C114" s="400" t="s">
        <v>557</v>
      </c>
      <c r="D114" s="401" t="s">
        <v>551</v>
      </c>
      <c r="E114" s="402" t="str">
        <f>IF(VLOOKUP(A114,'Charriage - Geschiebehaushalt'!$A$4:$AC$275,17,FALSE)="","",VLOOKUP(A114,'Charriage - Geschiebehaushalt'!$A$4:$AC$275,17,FALSE))</f>
        <v>0-20%</v>
      </c>
      <c r="F114" s="403" t="str">
        <f>IF(VLOOKUP(A114,'Charriage - Geschiebehaushalt'!$A$4:$AC$275,18,FALSE)="","",VLOOKUP(A114,'Charriage - Geschiebehaushalt'!$A$4:$AC$275,18,FALSE))</f>
        <v>a</v>
      </c>
      <c r="G114" s="330" t="str">
        <f>IF(VLOOKUP(A114,'Débit - Abfluss'!$A$4:$AD$275,8,FALSE)="","",VLOOKUP(A114,'Débit - Abfluss'!$A$4:$AD$275,8,FALSE))</f>
        <v>61-80%</v>
      </c>
      <c r="H114" s="404" t="str">
        <f>IF(VLOOKUP(A114,'Eclusée - Schwall-Sunk'!$A$2:$F$273,6,FALSE)="","",VLOOKUP(A114,'Eclusée - Schwall-Sunk'!$A$2:$F$273,6,FALSE))</f>
        <v>Non affecté / nicht betroffen</v>
      </c>
      <c r="I114" s="405" t="str">
        <f>IF(VLOOKUP(A114,'Revitalisation-Revitalisierung'!$A$4:$Z$275,13,FALSE)="","",VLOOKUP(A114,'Revitalisation-Revitalisierung'!$A$4:$Z$275,13,FALSE))</f>
        <v>Très nécessaire, facile / unbedingt nötig, einfach</v>
      </c>
      <c r="J114" s="406" t="str">
        <f>IF(VLOOKUP(A114,'Revitalisation-Revitalisierung'!$A$4:$Z$275,14,FALSE)="","",VLOOKUP(A114,'Revitalisation-Revitalisierung'!$A$4:$Z$275,14,FALSE))</f>
        <v>b</v>
      </c>
      <c r="K114" s="407"/>
    </row>
    <row r="115" spans="1:11" ht="20.100000000000001" customHeight="1" x14ac:dyDescent="0.25">
      <c r="A115" s="412">
        <v>109.1</v>
      </c>
      <c r="B115" s="400" t="s">
        <v>260</v>
      </c>
      <c r="C115" s="400" t="s">
        <v>261</v>
      </c>
      <c r="D115" s="401" t="s">
        <v>259</v>
      </c>
      <c r="E115" s="402" t="str">
        <f>IF(VLOOKUP(A115,'Charriage - Geschiebehaushalt'!$A$4:$AC$275,17,FALSE)="","",VLOOKUP(A115,'Charriage - Geschiebehaushalt'!$A$4:$AC$275,17,FALSE))</f>
        <v>Déficit non apparent en charriage ou en remobilisation des sédiments / kein sichtbares Defizit beim Geschiebehaushalt bzw. bei der Mobilisierung von Geschiebe</v>
      </c>
      <c r="F115" s="403" t="str">
        <f>IF(VLOOKUP(A115,'Charriage - Geschiebehaushalt'!$A$4:$AC$275,18,FALSE)="","",VLOOKUP(A115,'Charriage - Geschiebehaushalt'!$A$4:$AC$275,18,FALSE))</f>
        <v>b</v>
      </c>
      <c r="G115" s="330" t="str">
        <f>IF(VLOOKUP(A115,'Débit - Abfluss'!$A$4:$AD$275,8,FALSE)="","",VLOOKUP(A115,'Débit - Abfluss'!$A$4:$AD$275,8,FALSE))</f>
        <v>100%</v>
      </c>
      <c r="H115" s="404" t="str">
        <f>IF(VLOOKUP(A115,'Eclusée - Schwall-Sunk'!$A$2:$F$273,6,FALSE)="","",VLOOKUP(A115,'Eclusée - Schwall-Sunk'!$A$2:$F$273,6,FALSE))</f>
        <v>Non affecté / nicht betroffen</v>
      </c>
      <c r="I115" s="405" t="str">
        <f>IF(VLOOKUP(A115,'Revitalisation-Revitalisierung'!$A$4:$Z$275,13,FALSE)="","",VLOOKUP(A115,'Revitalisation-Revitalisierung'!$A$4:$Z$275,13,FALSE))</f>
        <v>Non nécessaire / nicht nötig</v>
      </c>
      <c r="J115" s="406" t="str">
        <f>IF(VLOOKUP(A115,'Revitalisation-Revitalisierung'!$A$4:$Z$275,14,FALSE)="","",VLOOKUP(A115,'Revitalisation-Revitalisierung'!$A$4:$Z$275,14,FALSE))</f>
        <v>a</v>
      </c>
      <c r="K115" s="407"/>
    </row>
    <row r="116" spans="1:11" ht="20.100000000000001" customHeight="1" x14ac:dyDescent="0.25">
      <c r="A116" s="412">
        <v>109.2</v>
      </c>
      <c r="B116" s="400" t="s">
        <v>260</v>
      </c>
      <c r="C116" s="400" t="s">
        <v>261</v>
      </c>
      <c r="D116" s="401" t="s">
        <v>259</v>
      </c>
      <c r="E116" s="402" t="str">
        <f>IF(VLOOKUP(A116,'Charriage - Geschiebehaushalt'!$A$4:$AC$275,17,FALSE)="","",VLOOKUP(A116,'Charriage - Geschiebehaushalt'!$A$4:$AC$275,17,FALSE))</f>
        <v>Déficit non apparent en charriage ou en remobilisation des sédiments / kein sichtbares Defizit beim Geschiebehaushalt bzw. bei der Mobilisierung von Geschiebe</v>
      </c>
      <c r="F116" s="403" t="str">
        <f>IF(VLOOKUP(A116,'Charriage - Geschiebehaushalt'!$A$4:$AC$275,18,FALSE)="","",VLOOKUP(A116,'Charriage - Geschiebehaushalt'!$A$4:$AC$275,18,FALSE))</f>
        <v>b</v>
      </c>
      <c r="G116" s="330" t="str">
        <f>IF(VLOOKUP(A116,'Débit - Abfluss'!$A$4:$AD$275,8,FALSE)="","",VLOOKUP(A116,'Débit - Abfluss'!$A$4:$AD$275,8,FALSE))</f>
        <v>100%</v>
      </c>
      <c r="H116" s="404" t="str">
        <f>IF(VLOOKUP(A116,'Eclusée - Schwall-Sunk'!$A$2:$F$273,6,FALSE)="","",VLOOKUP(A116,'Eclusée - Schwall-Sunk'!$A$2:$F$273,6,FALSE))</f>
        <v>Non affecté / nicht betroffen</v>
      </c>
      <c r="I116" s="405" t="str">
        <f>IF(VLOOKUP(A116,'Revitalisation-Revitalisierung'!$A$4:$Z$275,13,FALSE)="","",VLOOKUP(A116,'Revitalisation-Revitalisierung'!$A$4:$Z$275,13,FALSE))</f>
        <v>Partiellement nécessaire, facile / teilweise nötig, einfach</v>
      </c>
      <c r="J116" s="406" t="str">
        <f>IF(VLOOKUP(A116,'Revitalisation-Revitalisierung'!$A$4:$Z$275,14,FALSE)="","",VLOOKUP(A116,'Revitalisation-Revitalisierung'!$A$4:$Z$275,14,FALSE))</f>
        <v>b</v>
      </c>
      <c r="K116" s="407"/>
    </row>
    <row r="117" spans="1:11" ht="20.100000000000001" customHeight="1" x14ac:dyDescent="0.25">
      <c r="A117" s="399">
        <v>110</v>
      </c>
      <c r="B117" s="400" t="s">
        <v>471</v>
      </c>
      <c r="C117" s="400" t="s">
        <v>446</v>
      </c>
      <c r="D117" s="401" t="s">
        <v>470</v>
      </c>
      <c r="E117" s="402" t="str">
        <f>IF(VLOOKUP(A117,'Charriage - Geschiebehaushalt'!$A$4:$AC$275,17,FALSE)="","",VLOOKUP(A117,'Charriage - Geschiebehaushalt'!$A$4:$AC$275,17,FALSE))</f>
        <v>Déficit non apparent en charriage ou en remobilisation des sédiments / kein sichtbares Defizit beim Geschiebehaushalt bzw. bei der Mobilisierung von Geschiebe</v>
      </c>
      <c r="F117" s="403" t="str">
        <f>IF(VLOOKUP(A117,'Charriage - Geschiebehaushalt'!$A$4:$AC$275,18,FALSE)="","",VLOOKUP(A117,'Charriage - Geschiebehaushalt'!$A$4:$AC$275,18,FALSE))</f>
        <v>b</v>
      </c>
      <c r="G117" s="330" t="str">
        <f>IF(VLOOKUP(A117,'Débit - Abfluss'!$A$4:$AD$275,8,FALSE)="","",VLOOKUP(A117,'Débit - Abfluss'!$A$4:$AD$275,8,FALSE))</f>
        <v>100%</v>
      </c>
      <c r="H117" s="404" t="str">
        <f>IF(VLOOKUP(A117,'Eclusée - Schwall-Sunk'!$A$2:$F$273,6,FALSE)="","",VLOOKUP(A117,'Eclusée - Schwall-Sunk'!$A$2:$F$273,6,FALSE))</f>
        <v>Non affecté / nicht betroffen</v>
      </c>
      <c r="I117" s="405" t="str">
        <f>IF(VLOOKUP(A117,'Revitalisation-Revitalisierung'!$A$4:$Z$275,13,FALSE)="","",VLOOKUP(A117,'Revitalisation-Revitalisierung'!$A$4:$Z$275,13,FALSE))</f>
        <v>Non nécessaire / nicht nötig</v>
      </c>
      <c r="J117" s="406" t="str">
        <f>IF(VLOOKUP(A117,'Revitalisation-Revitalisierung'!$A$4:$Z$275,14,FALSE)="","",VLOOKUP(A117,'Revitalisation-Revitalisierung'!$A$4:$Z$275,14,FALSE))</f>
        <v>a</v>
      </c>
      <c r="K117" s="407"/>
    </row>
    <row r="118" spans="1:11" ht="20.100000000000001" customHeight="1" x14ac:dyDescent="0.25">
      <c r="A118" s="399">
        <v>112</v>
      </c>
      <c r="B118" s="400" t="s">
        <v>242</v>
      </c>
      <c r="C118" s="400" t="s">
        <v>243</v>
      </c>
      <c r="D118" s="401" t="s">
        <v>241</v>
      </c>
      <c r="E118" s="402" t="str">
        <f>IF(VLOOKUP(A118,'Charriage - Geschiebehaushalt'!$A$4:$AC$275,17,FALSE)="","",VLOOKUP(A118,'Charriage - Geschiebehaushalt'!$A$4:$AC$275,17,FALSE))</f>
        <v>Charriage présumé faiblement perturbé / Geschiebe vermutlich leicht beeinträchtigt</v>
      </c>
      <c r="F118" s="403" t="str">
        <f>IF(VLOOKUP(A118,'Charriage - Geschiebehaushalt'!$A$4:$AC$275,18,FALSE)="","",VLOOKUP(A118,'Charriage - Geschiebehaushalt'!$A$4:$AC$275,18,FALSE))</f>
        <v>b</v>
      </c>
      <c r="G118" s="330" t="str">
        <f>IF(VLOOKUP(A118,'Débit - Abfluss'!$A$4:$AD$275,8,FALSE)="","",VLOOKUP(A118,'Débit - Abfluss'!$A$4:$AD$275,8,FALSE))</f>
        <v>100%</v>
      </c>
      <c r="H118" s="404" t="str">
        <f>IF(VLOOKUP(A118,'Eclusée - Schwall-Sunk'!$A$2:$F$273,6,FALSE)="","",VLOOKUP(A118,'Eclusée - Schwall-Sunk'!$A$2:$F$273,6,FALSE))</f>
        <v>Non affecté / nicht betroffen</v>
      </c>
      <c r="I118" s="405" t="str">
        <f>IF(VLOOKUP(A118,'Revitalisation-Revitalisierung'!$A$4:$Z$275,13,FALSE)="","",VLOOKUP(A118,'Revitalisation-Revitalisierung'!$A$4:$Z$275,13,FALSE))</f>
        <v>Très nécessaire, facile / unbedingt nötig, einfach</v>
      </c>
      <c r="J118" s="406" t="str">
        <f>IF(VLOOKUP(A118,'Revitalisation-Revitalisierung'!$A$4:$Z$275,14,FALSE)="","",VLOOKUP(A118,'Revitalisation-Revitalisierung'!$A$4:$Z$275,14,FALSE))</f>
        <v>b</v>
      </c>
      <c r="K118" s="407"/>
    </row>
    <row r="119" spans="1:11" ht="20.100000000000001" customHeight="1" x14ac:dyDescent="0.25">
      <c r="A119" s="399">
        <v>113</v>
      </c>
      <c r="B119" s="400" t="s">
        <v>247</v>
      </c>
      <c r="C119" s="400" t="s">
        <v>248</v>
      </c>
      <c r="D119" s="401" t="s">
        <v>241</v>
      </c>
      <c r="E119" s="402" t="str">
        <f>IF(VLOOKUP(A119,'Charriage - Geschiebehaushalt'!$A$4:$AC$275,17,FALSE)="","",VLOOKUP(A119,'Charriage - Geschiebehaushalt'!$A$4:$AC$275,17,FALSE))</f>
        <v>La remobilisation des sédiments est perturbée / Mobilisierung von Geschiebe beeinträchtigt</v>
      </c>
      <c r="F119" s="403" t="str">
        <f>IF(VLOOKUP(A119,'Charriage - Geschiebehaushalt'!$A$4:$AC$275,18,FALSE)="","",VLOOKUP(A119,'Charriage - Geschiebehaushalt'!$A$4:$AC$275,18,FALSE))</f>
        <v>b</v>
      </c>
      <c r="G119" s="330" t="str">
        <f>IF(VLOOKUP(A119,'Débit - Abfluss'!$A$4:$AD$275,8,FALSE)="","",VLOOKUP(A119,'Débit - Abfluss'!$A$4:$AD$275,8,FALSE))</f>
        <v>100%</v>
      </c>
      <c r="H119" s="404" t="str">
        <f>IF(VLOOKUP(A119,'Eclusée - Schwall-Sunk'!$A$2:$F$273,6,FALSE)="","",VLOOKUP(A119,'Eclusée - Schwall-Sunk'!$A$2:$F$273,6,FALSE))</f>
        <v>Non affecté / nicht betroffen</v>
      </c>
      <c r="I119" s="405" t="str">
        <f>IF(VLOOKUP(A119,'Revitalisation-Revitalisierung'!$A$4:$Z$275,13,FALSE)="","",VLOOKUP(A119,'Revitalisation-Revitalisierung'!$A$4:$Z$275,13,FALSE))</f>
        <v>Non nécessaire / nicht nötig</v>
      </c>
      <c r="J119" s="406" t="str">
        <f>IF(VLOOKUP(A119,'Revitalisation-Revitalisierung'!$A$4:$Z$275,14,FALSE)="","",VLOOKUP(A119,'Revitalisation-Revitalisierung'!$A$4:$Z$275,14,FALSE))</f>
        <v>b</v>
      </c>
      <c r="K119" s="407"/>
    </row>
    <row r="120" spans="1:11" ht="20.100000000000001" customHeight="1" x14ac:dyDescent="0.25">
      <c r="A120" s="399">
        <v>114</v>
      </c>
      <c r="B120" s="400" t="s">
        <v>249</v>
      </c>
      <c r="C120" s="400" t="s">
        <v>250</v>
      </c>
      <c r="D120" s="401" t="s">
        <v>241</v>
      </c>
      <c r="E120" s="402" t="str">
        <f>IF(VLOOKUP(A120,'Charriage - Geschiebehaushalt'!$A$4:$AC$275,17,FALSE)="","",VLOOKUP(A120,'Charriage - Geschiebehaushalt'!$A$4:$AC$275,17,FALSE))</f>
        <v>81 -100%</v>
      </c>
      <c r="F120" s="403" t="str">
        <f>IF(VLOOKUP(A120,'Charriage - Geschiebehaushalt'!$A$4:$AC$275,18,FALSE)="","",VLOOKUP(A120,'Charriage - Geschiebehaushalt'!$A$4:$AC$275,18,FALSE))</f>
        <v>a</v>
      </c>
      <c r="G120" s="330" t="str">
        <f>IF(VLOOKUP(A120,'Débit - Abfluss'!$A$4:$AD$275,8,FALSE)="","",VLOOKUP(A120,'Débit - Abfluss'!$A$4:$AD$275,8,FALSE))</f>
        <v>81-100%</v>
      </c>
      <c r="H120" s="404" t="str">
        <f>IF(VLOOKUP(A120,'Eclusée - Schwall-Sunk'!$A$2:$F$273,6,FALSE)="","",VLOOKUP(A120,'Eclusée - Schwall-Sunk'!$A$2:$F$273,6,FALSE))</f>
        <v>Potentiellement affecté / möglicherweise betroffen</v>
      </c>
      <c r="I120" s="405" t="str">
        <f>IF(VLOOKUP(A120,'Revitalisation-Revitalisierung'!$A$4:$Z$275,13,FALSE)="","",VLOOKUP(A120,'Revitalisation-Revitalisierung'!$A$4:$Z$275,13,FALSE))</f>
        <v>Partiellement nécessaire, difficile / teilweise nötig, schwierig</v>
      </c>
      <c r="J120" s="406" t="str">
        <f>IF(VLOOKUP(A120,'Revitalisation-Revitalisierung'!$A$4:$Z$275,14,FALSE)="","",VLOOKUP(A120,'Revitalisation-Revitalisierung'!$A$4:$Z$275,14,FALSE))</f>
        <v>b</v>
      </c>
      <c r="K120" s="407"/>
    </row>
    <row r="121" spans="1:11" ht="20.100000000000001" customHeight="1" x14ac:dyDescent="0.25">
      <c r="A121" s="399">
        <v>115</v>
      </c>
      <c r="B121" s="400" t="s">
        <v>253</v>
      </c>
      <c r="C121" s="400" t="s">
        <v>254</v>
      </c>
      <c r="D121" s="401" t="s">
        <v>241</v>
      </c>
      <c r="E121" s="402" t="str">
        <f>IF(VLOOKUP(A121,'Charriage - Geschiebehaushalt'!$A$4:$AC$275,17,FALSE)="","",VLOOKUP(A121,'Charriage - Geschiebehaushalt'!$A$4:$AC$275,17,FALSE))</f>
        <v>Charriage présumé naturel / Geschiebehaushalt vermutlich natürlich</v>
      </c>
      <c r="F121" s="403" t="str">
        <f>IF(VLOOKUP(A121,'Charriage - Geschiebehaushalt'!$A$4:$AC$275,18,FALSE)="","",VLOOKUP(A121,'Charriage - Geschiebehaushalt'!$A$4:$AC$275,18,FALSE))</f>
        <v>b</v>
      </c>
      <c r="G121" s="330" t="str">
        <f>IF(VLOOKUP(A121,'Débit - Abfluss'!$A$4:$AD$275,8,FALSE)="","",VLOOKUP(A121,'Débit - Abfluss'!$A$4:$AD$275,8,FALSE))</f>
        <v>0-20%</v>
      </c>
      <c r="H121" s="404" t="str">
        <f>IF(VLOOKUP(A121,'Eclusée - Schwall-Sunk'!$A$2:$F$273,6,FALSE)="","",VLOOKUP(A121,'Eclusée - Schwall-Sunk'!$A$2:$F$273,6,FALSE))</f>
        <v>Non affecté / nicht betroffen</v>
      </c>
      <c r="I121" s="405" t="str">
        <f>IF(VLOOKUP(A121,'Revitalisation-Revitalisierung'!$A$4:$Z$275,13,FALSE)="","",VLOOKUP(A121,'Revitalisation-Revitalisierung'!$A$4:$Z$275,13,FALSE))</f>
        <v>Très nécessaire, facile / unbedingt nötig, einfach</v>
      </c>
      <c r="J121" s="406" t="str">
        <f>IF(VLOOKUP(A121,'Revitalisation-Revitalisierung'!$A$4:$Z$275,14,FALSE)="","",VLOOKUP(A121,'Revitalisation-Revitalisierung'!$A$4:$Z$275,14,FALSE))</f>
        <v>b</v>
      </c>
      <c r="K121" s="407"/>
    </row>
    <row r="122" spans="1:11" ht="20.100000000000001" customHeight="1" x14ac:dyDescent="0.25">
      <c r="A122" s="399">
        <v>118</v>
      </c>
      <c r="B122" s="400" t="s">
        <v>582</v>
      </c>
      <c r="C122" s="400" t="s">
        <v>254</v>
      </c>
      <c r="D122" s="401" t="s">
        <v>573</v>
      </c>
      <c r="E122" s="402" t="str">
        <f>IF(VLOOKUP(A122,'Charriage - Geschiebehaushalt'!$A$4:$AC$275,17,FALSE)="","",VLOOKUP(A122,'Charriage - Geschiebehaushalt'!$A$4:$AC$275,17,FALSE))</f>
        <v>Déficit non apparent en charriage ou en remobilisation des sédiments / kein sichtbares Defizit beim Geschiebehaushalt bzw. bei der Mobilisierung von Geschiebe</v>
      </c>
      <c r="F122" s="403" t="str">
        <f>IF(VLOOKUP(A122,'Charriage - Geschiebehaushalt'!$A$4:$AC$275,18,FALSE)="","",VLOOKUP(A122,'Charriage - Geschiebehaushalt'!$A$4:$AC$275,18,FALSE))</f>
        <v>b</v>
      </c>
      <c r="G122" s="330" t="str">
        <f>IF(VLOOKUP(A122,'Débit - Abfluss'!$A$4:$AD$275,8,FALSE)="","",VLOOKUP(A122,'Débit - Abfluss'!$A$4:$AD$275,8,FALSE))</f>
        <v>100%</v>
      </c>
      <c r="H122" s="404" t="str">
        <f>IF(VLOOKUP(A122,'Eclusée - Schwall-Sunk'!$A$2:$F$273,6,FALSE)="","",VLOOKUP(A122,'Eclusée - Schwall-Sunk'!$A$2:$F$273,6,FALSE))</f>
        <v>Non affecté / nicht betroffen</v>
      </c>
      <c r="I122" s="405" t="str">
        <f>IF(VLOOKUP(A122,'Revitalisation-Revitalisierung'!$A$4:$Z$275,13,FALSE)="","",VLOOKUP(A122,'Revitalisation-Revitalisierung'!$A$4:$Z$275,13,FALSE))</f>
        <v>Non nécessaire / nicht nötig</v>
      </c>
      <c r="J122" s="406" t="str">
        <f>IF(VLOOKUP(A122,'Revitalisation-Revitalisierung'!$A$4:$Z$275,14,FALSE)="","",VLOOKUP(A122,'Revitalisation-Revitalisierung'!$A$4:$Z$275,14,FALSE))</f>
        <v>a</v>
      </c>
      <c r="K122" s="407"/>
    </row>
    <row r="123" spans="1:11" ht="20.100000000000001" customHeight="1" x14ac:dyDescent="0.25">
      <c r="A123" s="412">
        <v>119.1</v>
      </c>
      <c r="B123" s="400" t="s">
        <v>584</v>
      </c>
      <c r="C123" s="400" t="s">
        <v>585</v>
      </c>
      <c r="D123" s="401" t="s">
        <v>573</v>
      </c>
      <c r="E123" s="402" t="str">
        <f>IF(VLOOKUP(A123,'Charriage - Geschiebehaushalt'!$A$4:$AC$275,17,FALSE)="","",VLOOKUP(A123,'Charriage - Geschiebehaushalt'!$A$4:$AC$275,17,FALSE))</f>
        <v>Problème lié à un manque de charriage ou à un manque de remobilisation des sédiments / Problem aufgrund Geschiebemangels bzw. mangelnder Mobilisierung von Geschiebe</v>
      </c>
      <c r="F123" s="403" t="str">
        <f>IF(VLOOKUP(A123,'Charriage - Geschiebehaushalt'!$A$4:$AC$275,18,FALSE)="","",VLOOKUP(A123,'Charriage - Geschiebehaushalt'!$A$4:$AC$275,18,FALSE))</f>
        <v>b</v>
      </c>
      <c r="G123" s="330" t="str">
        <f>IF(VLOOKUP(A123,'Débit - Abfluss'!$A$4:$AD$275,8,FALSE)="","",VLOOKUP(A123,'Débit - Abfluss'!$A$4:$AD$275,8,FALSE))</f>
        <v>100%</v>
      </c>
      <c r="H123" s="404" t="str">
        <f>IF(VLOOKUP(A123,'Eclusée - Schwall-Sunk'!$A$2:$F$273,6,FALSE)="","",VLOOKUP(A123,'Eclusée - Schwall-Sunk'!$A$2:$F$273,6,FALSE))</f>
        <v>Potentiellement affecté / möglicherweise betroffen</v>
      </c>
      <c r="I123" s="405" t="str">
        <f>IF(VLOOKUP(A123,'Revitalisation-Revitalisierung'!$A$4:$Z$275,13,FALSE)="","",VLOOKUP(A123,'Revitalisation-Revitalisierung'!$A$4:$Z$275,13,FALSE))</f>
        <v>Très nécessaire, facile / unbedingt nötig, einfach</v>
      </c>
      <c r="J123" s="406" t="str">
        <f>IF(VLOOKUP(A123,'Revitalisation-Revitalisierung'!$A$4:$Z$275,14,FALSE)="","",VLOOKUP(A123,'Revitalisation-Revitalisierung'!$A$4:$Z$275,14,FALSE))</f>
        <v>a</v>
      </c>
      <c r="K123" s="407"/>
    </row>
    <row r="124" spans="1:11" ht="20.100000000000001" customHeight="1" x14ac:dyDescent="0.25">
      <c r="A124" s="412">
        <v>119.2</v>
      </c>
      <c r="B124" s="400" t="s">
        <v>584</v>
      </c>
      <c r="C124" s="400" t="s">
        <v>585</v>
      </c>
      <c r="D124" s="401" t="s">
        <v>573</v>
      </c>
      <c r="E124" s="402" t="str">
        <f>IF(VLOOKUP(A124,'Charriage - Geschiebehaushalt'!$A$4:$AC$275,17,FALSE)="","",VLOOKUP(A124,'Charriage - Geschiebehaushalt'!$A$4:$AC$275,17,FALSE))</f>
        <v>Charriage présumé faiblement perturbé / Geschiebe vermutlich leicht beeinträchtigt</v>
      </c>
      <c r="F124" s="403" t="str">
        <f>IF(VLOOKUP(A124,'Charriage - Geschiebehaushalt'!$A$4:$AC$275,18,FALSE)="","",VLOOKUP(A124,'Charriage - Geschiebehaushalt'!$A$4:$AC$275,18,FALSE))</f>
        <v>b</v>
      </c>
      <c r="G124" s="330" t="str">
        <f>IF(VLOOKUP(A124,'Débit - Abfluss'!$A$4:$AD$275,8,FALSE)="","",VLOOKUP(A124,'Débit - Abfluss'!$A$4:$AD$275,8,FALSE))</f>
        <v>100%</v>
      </c>
      <c r="H124" s="404" t="str">
        <f>IF(VLOOKUP(A124,'Eclusée - Schwall-Sunk'!$A$2:$F$273,6,FALSE)="","",VLOOKUP(A124,'Eclusée - Schwall-Sunk'!$A$2:$F$273,6,FALSE))</f>
        <v>Potentiellement affecté / möglicherweise betroffen</v>
      </c>
      <c r="I124" s="405" t="str">
        <f>IF(VLOOKUP(A124,'Revitalisation-Revitalisierung'!$A$4:$Z$275,13,FALSE)="","",VLOOKUP(A124,'Revitalisation-Revitalisierung'!$A$4:$Z$275,13,FALSE))</f>
        <v>Partiellement nécessaire, facile / teilweise nötig, einfach</v>
      </c>
      <c r="J124" s="406" t="str">
        <f>IF(VLOOKUP(A124,'Revitalisation-Revitalisierung'!$A$4:$Z$275,14,FALSE)="","",VLOOKUP(A124,'Revitalisation-Revitalisierung'!$A$4:$Z$275,14,FALSE))</f>
        <v>a</v>
      </c>
      <c r="K124" s="407"/>
    </row>
    <row r="125" spans="1:11" ht="20.100000000000001" customHeight="1" x14ac:dyDescent="0.25">
      <c r="A125" s="412">
        <v>119.3</v>
      </c>
      <c r="B125" s="400" t="s">
        <v>584</v>
      </c>
      <c r="C125" s="400" t="s">
        <v>585</v>
      </c>
      <c r="D125" s="401" t="s">
        <v>573</v>
      </c>
      <c r="E125" s="402" t="str">
        <f>IF(VLOOKUP(A125,'Charriage - Geschiebehaushalt'!$A$4:$AC$275,17,FALSE)="","",VLOOKUP(A125,'Charriage - Geschiebehaushalt'!$A$4:$AC$275,17,FALSE))</f>
        <v>non pertinent / nicht relevant</v>
      </c>
      <c r="F125" s="403" t="str">
        <f>IF(VLOOKUP(A125,'Charriage - Geschiebehaushalt'!$A$4:$AC$275,18,FALSE)="","",VLOOKUP(A125,'Charriage - Geschiebehaushalt'!$A$4:$AC$275,18,FALSE))</f>
        <v>a</v>
      </c>
      <c r="G125" s="330" t="str">
        <f>IF(VLOOKUP(A125,'Débit - Abfluss'!$A$4:$AD$275,8,FALSE)="","",VLOOKUP(A125,'Débit - Abfluss'!$A$4:$AD$275,8,FALSE))</f>
        <v>non pertinent / nicht relevant</v>
      </c>
      <c r="H125" s="404" t="str">
        <f>IF(VLOOKUP(A125,'Eclusée - Schwall-Sunk'!$A$2:$F$273,6,FALSE)="","",VLOOKUP(A125,'Eclusée - Schwall-Sunk'!$A$2:$F$273,6,FALSE))</f>
        <v>Non affecté / nicht betroffen</v>
      </c>
      <c r="I125" s="405" t="str">
        <f>IF(VLOOKUP(A125,'Revitalisation-Revitalisierung'!$A$4:$Z$275,13,FALSE)="","",VLOOKUP(A125,'Revitalisation-Revitalisierung'!$A$4:$Z$275,13,FALSE))</f>
        <v>Non nécessaire / nicht nötig</v>
      </c>
      <c r="J125" s="406" t="str">
        <f>IF(VLOOKUP(A125,'Revitalisation-Revitalisierung'!$A$4:$Z$275,14,FALSE)="","",VLOOKUP(A125,'Revitalisation-Revitalisierung'!$A$4:$Z$275,14,FALSE))</f>
        <v>b</v>
      </c>
      <c r="K125" s="407"/>
    </row>
    <row r="126" spans="1:11" ht="20.100000000000001" customHeight="1" x14ac:dyDescent="0.25">
      <c r="A126" s="399">
        <v>120</v>
      </c>
      <c r="B126" s="400" t="s">
        <v>588</v>
      </c>
      <c r="C126" s="400" t="s">
        <v>589</v>
      </c>
      <c r="D126" s="401" t="s">
        <v>573</v>
      </c>
      <c r="E126" s="402" t="str">
        <f>IF(VLOOKUP(A126,'Charriage - Geschiebehaushalt'!$A$4:$AC$275,17,FALSE)="","",VLOOKUP(A126,'Charriage - Geschiebehaushalt'!$A$4:$AC$275,17,FALSE))</f>
        <v>Charriage présumé naturel / Geschiebehaushalt vermutlich natürlich</v>
      </c>
      <c r="F126" s="403" t="str">
        <f>IF(VLOOKUP(A126,'Charriage - Geschiebehaushalt'!$A$4:$AC$275,18,FALSE)="","",VLOOKUP(A126,'Charriage - Geschiebehaushalt'!$A$4:$AC$275,18,FALSE))</f>
        <v>b</v>
      </c>
      <c r="G126" s="330" t="str">
        <f>IF(VLOOKUP(A126,'Débit - Abfluss'!$A$4:$AD$275,8,FALSE)="","",VLOOKUP(A126,'Débit - Abfluss'!$A$4:$AD$275,8,FALSE))</f>
        <v>100%</v>
      </c>
      <c r="H126" s="404" t="str">
        <f>IF(VLOOKUP(A126,'Eclusée - Schwall-Sunk'!$A$2:$F$273,6,FALSE)="","",VLOOKUP(A126,'Eclusée - Schwall-Sunk'!$A$2:$F$273,6,FALSE))</f>
        <v>Non affecté / nicht betroffen</v>
      </c>
      <c r="I126" s="405" t="str">
        <f>IF(VLOOKUP(A126,'Revitalisation-Revitalisierung'!$A$4:$Z$275,13,FALSE)="","",VLOOKUP(A126,'Revitalisation-Revitalisierung'!$A$4:$Z$275,13,FALSE))</f>
        <v>Non nécessaire / nicht nötig</v>
      </c>
      <c r="J126" s="406" t="str">
        <f>IF(VLOOKUP(A126,'Revitalisation-Revitalisierung'!$A$4:$Z$275,14,FALSE)="","",VLOOKUP(A126,'Revitalisation-Revitalisierung'!$A$4:$Z$275,14,FALSE))</f>
        <v>a</v>
      </c>
      <c r="K126" s="407"/>
    </row>
    <row r="127" spans="1:11" ht="20.100000000000001" customHeight="1" x14ac:dyDescent="0.25">
      <c r="A127" s="399">
        <v>121</v>
      </c>
      <c r="B127" s="400" t="s">
        <v>591</v>
      </c>
      <c r="C127" s="400" t="s">
        <v>589</v>
      </c>
      <c r="D127" s="401" t="s">
        <v>573</v>
      </c>
      <c r="E127" s="402" t="str">
        <f>IF(VLOOKUP(A127,'Charriage - Geschiebehaushalt'!$A$4:$AC$275,17,FALSE)="","",VLOOKUP(A127,'Charriage - Geschiebehaushalt'!$A$4:$AC$275,17,FALSE))</f>
        <v>Charriage présumé naturel / Geschiebehaushalt vermutlich natürlich</v>
      </c>
      <c r="F127" s="403" t="str">
        <f>IF(VLOOKUP(A127,'Charriage - Geschiebehaushalt'!$A$4:$AC$275,18,FALSE)="","",VLOOKUP(A127,'Charriage - Geschiebehaushalt'!$A$4:$AC$275,18,FALSE))</f>
        <v>b</v>
      </c>
      <c r="G127" s="330" t="str">
        <f>IF(VLOOKUP(A127,'Débit - Abfluss'!$A$4:$AD$275,8,FALSE)="","",VLOOKUP(A127,'Débit - Abfluss'!$A$4:$AD$275,8,FALSE))</f>
        <v>81-100%</v>
      </c>
      <c r="H127" s="404" t="str">
        <f>IF(VLOOKUP(A127,'Eclusée - Schwall-Sunk'!$A$2:$F$273,6,FALSE)="","",VLOOKUP(A127,'Eclusée - Schwall-Sunk'!$A$2:$F$273,6,FALSE))</f>
        <v>Non affecté / nicht betroffen</v>
      </c>
      <c r="I127" s="405" t="str">
        <f>IF(VLOOKUP(A127,'Revitalisation-Revitalisierung'!$A$4:$Z$275,13,FALSE)="","",VLOOKUP(A127,'Revitalisation-Revitalisierung'!$A$4:$Z$275,13,FALSE))</f>
        <v>Partiellement nécessaire, facile / teilweise nötig, einfach</v>
      </c>
      <c r="J127" s="406" t="str">
        <f>IF(VLOOKUP(A127,'Revitalisation-Revitalisierung'!$A$4:$Z$275,14,FALSE)="","",VLOOKUP(A127,'Revitalisation-Revitalisierung'!$A$4:$Z$275,14,FALSE))</f>
        <v>b</v>
      </c>
      <c r="K127" s="407"/>
    </row>
    <row r="128" spans="1:11" ht="20.100000000000001" customHeight="1" x14ac:dyDescent="0.25">
      <c r="A128" s="399">
        <v>122</v>
      </c>
      <c r="B128" s="400" t="s">
        <v>593</v>
      </c>
      <c r="C128" s="400" t="s">
        <v>589</v>
      </c>
      <c r="D128" s="401" t="s">
        <v>573</v>
      </c>
      <c r="E128" s="402" t="str">
        <f>IF(VLOOKUP(A128,'Charriage - Geschiebehaushalt'!$A$4:$AC$275,17,FALSE)="","",VLOOKUP(A128,'Charriage - Geschiebehaushalt'!$A$4:$AC$275,17,FALSE))</f>
        <v>Charriage présumé perturbé / Geschiebehaushalt vermutlich beeinträchtigt</v>
      </c>
      <c r="F128" s="403" t="str">
        <f>IF(VLOOKUP(A128,'Charriage - Geschiebehaushalt'!$A$4:$AC$275,18,FALSE)="","",VLOOKUP(A128,'Charriage - Geschiebehaushalt'!$A$4:$AC$275,18,FALSE))</f>
        <v>b</v>
      </c>
      <c r="G128" s="330" t="str">
        <f>IF(VLOOKUP(A128,'Débit - Abfluss'!$A$4:$AD$275,8,FALSE)="","",VLOOKUP(A128,'Débit - Abfluss'!$A$4:$AD$275,8,FALSE))</f>
        <v>100%</v>
      </c>
      <c r="H128" s="404" t="str">
        <f>IF(VLOOKUP(A128,'Eclusée - Schwall-Sunk'!$A$2:$F$273,6,FALSE)="","",VLOOKUP(A128,'Eclusée - Schwall-Sunk'!$A$2:$F$273,6,FALSE))</f>
        <v>Non affecté / nicht betroffen</v>
      </c>
      <c r="I128" s="405" t="str">
        <f>IF(VLOOKUP(A128,'Revitalisation-Revitalisierung'!$A$4:$Z$275,13,FALSE)="","",VLOOKUP(A128,'Revitalisation-Revitalisierung'!$A$4:$Z$275,13,FALSE))</f>
        <v>Très nécessaire, facile / unbedingt nötig, einfach</v>
      </c>
      <c r="J128" s="406" t="str">
        <f>IF(VLOOKUP(A128,'Revitalisation-Revitalisierung'!$A$4:$Z$275,14,FALSE)="","",VLOOKUP(A128,'Revitalisation-Revitalisierung'!$A$4:$Z$275,14,FALSE))</f>
        <v>b</v>
      </c>
      <c r="K128" s="407"/>
    </row>
    <row r="129" spans="1:11" ht="20.100000000000001" customHeight="1" x14ac:dyDescent="0.25">
      <c r="A129" s="412">
        <v>123.1</v>
      </c>
      <c r="B129" s="400" t="s">
        <v>596</v>
      </c>
      <c r="C129" s="400" t="s">
        <v>597</v>
      </c>
      <c r="D129" s="401" t="s">
        <v>573</v>
      </c>
      <c r="E129" s="402" t="str">
        <f>IF(VLOOKUP(A129,'Charriage - Geschiebehaushalt'!$A$4:$AC$275,17,FALSE)="","",VLOOKUP(A129,'Charriage - Geschiebehaushalt'!$A$4:$AC$275,17,FALSE))</f>
        <v>21-50%</v>
      </c>
      <c r="F129" s="403" t="str">
        <f>IF(VLOOKUP(A129,'Charriage - Geschiebehaushalt'!$A$4:$AC$275,18,FALSE)="","",VLOOKUP(A129,'Charriage - Geschiebehaushalt'!$A$4:$AC$275,18,FALSE))</f>
        <v>a</v>
      </c>
      <c r="G129" s="330" t="str">
        <f>IF(VLOOKUP(A129,'Débit - Abfluss'!$A$4:$AD$275,8,FALSE)="","",VLOOKUP(A129,'Débit - Abfluss'!$A$4:$AD$275,8,FALSE))</f>
        <v>81-100%</v>
      </c>
      <c r="H129" s="404" t="str">
        <f>IF(VLOOKUP(A129,'Eclusée - Schwall-Sunk'!$A$2:$F$273,6,FALSE)="","",VLOOKUP(A129,'Eclusée - Schwall-Sunk'!$A$2:$F$273,6,FALSE))</f>
        <v>Potentiellement affecté / möglicherweise betroffen</v>
      </c>
      <c r="I129" s="405" t="str">
        <f>IF(VLOOKUP(A129,'Revitalisation-Revitalisierung'!$A$4:$Z$275,13,FALSE)="","",VLOOKUP(A129,'Revitalisation-Revitalisierung'!$A$4:$Z$275,13,FALSE))</f>
        <v>Très nécessaire, facile / unbedingt nötig, einfach</v>
      </c>
      <c r="J129" s="406" t="str">
        <f>IF(VLOOKUP(A129,'Revitalisation-Revitalisierung'!$A$4:$Z$275,14,FALSE)="","",VLOOKUP(A129,'Revitalisation-Revitalisierung'!$A$4:$Z$275,14,FALSE))</f>
        <v>a</v>
      </c>
      <c r="K129" s="407"/>
    </row>
    <row r="130" spans="1:11" ht="20.100000000000001" customHeight="1" x14ac:dyDescent="0.25">
      <c r="A130" s="412">
        <v>123.2</v>
      </c>
      <c r="B130" s="400" t="s">
        <v>596</v>
      </c>
      <c r="C130" s="400" t="s">
        <v>597</v>
      </c>
      <c r="D130" s="401" t="s">
        <v>573</v>
      </c>
      <c r="E130" s="402" t="str">
        <f>IF(VLOOKUP(A130,'Charriage - Geschiebehaushalt'!$A$4:$AC$275,17,FALSE)="","",VLOOKUP(A130,'Charriage - Geschiebehaushalt'!$A$4:$AC$275,17,FALSE))</f>
        <v>21-50%</v>
      </c>
      <c r="F130" s="403" t="str">
        <f>IF(VLOOKUP(A130,'Charriage - Geschiebehaushalt'!$A$4:$AC$275,18,FALSE)="","",VLOOKUP(A130,'Charriage - Geschiebehaushalt'!$A$4:$AC$275,18,FALSE))</f>
        <v>a</v>
      </c>
      <c r="G130" s="330" t="str">
        <f>IF(VLOOKUP(A130,'Débit - Abfluss'!$A$4:$AD$275,8,FALSE)="","",VLOOKUP(A130,'Débit - Abfluss'!$A$4:$AD$275,8,FALSE))</f>
        <v>81-100%</v>
      </c>
      <c r="H130" s="404" t="str">
        <f>IF(VLOOKUP(A130,'Eclusée - Schwall-Sunk'!$A$2:$F$273,6,FALSE)="","",VLOOKUP(A130,'Eclusée - Schwall-Sunk'!$A$2:$F$273,6,FALSE))</f>
        <v>Potentiellement affecté / möglicherweise betroffen</v>
      </c>
      <c r="I130" s="405" t="str">
        <f>IF(VLOOKUP(A130,'Revitalisation-Revitalisierung'!$A$4:$Z$275,13,FALSE)="","",VLOOKUP(A130,'Revitalisation-Revitalisierung'!$A$4:$Z$275,13,FALSE))</f>
        <v>Très nécessaire, facile / unbedingt nötig, einfach</v>
      </c>
      <c r="J130" s="406" t="str">
        <f>IF(VLOOKUP(A130,'Revitalisation-Revitalisierung'!$A$4:$Z$275,14,FALSE)="","",VLOOKUP(A130,'Revitalisation-Revitalisierung'!$A$4:$Z$275,14,FALSE))</f>
        <v>a</v>
      </c>
      <c r="K130" s="407"/>
    </row>
    <row r="131" spans="1:11" ht="20.100000000000001" customHeight="1" x14ac:dyDescent="0.25">
      <c r="A131" s="412">
        <v>123.3</v>
      </c>
      <c r="B131" s="400" t="s">
        <v>596</v>
      </c>
      <c r="C131" s="400" t="s">
        <v>597</v>
      </c>
      <c r="D131" s="401" t="s">
        <v>573</v>
      </c>
      <c r="E131" s="402" t="str">
        <f>IF(VLOOKUP(A131,'Charriage - Geschiebehaushalt'!$A$4:$AC$275,17,FALSE)="","",VLOOKUP(A131,'Charriage - Geschiebehaushalt'!$A$4:$AC$275,17,FALSE))</f>
        <v>non pertinent / nicht relevant</v>
      </c>
      <c r="F131" s="403" t="str">
        <f>IF(VLOOKUP(A131,'Charriage - Geschiebehaushalt'!$A$4:$AC$275,18,FALSE)="","",VLOOKUP(A131,'Charriage - Geschiebehaushalt'!$A$4:$AC$275,18,FALSE))</f>
        <v>a</v>
      </c>
      <c r="G131" s="330" t="str">
        <f>IF(VLOOKUP(A131,'Débit - Abfluss'!$A$4:$AD$275,8,FALSE)="","",VLOOKUP(A131,'Débit - Abfluss'!$A$4:$AD$275,8,FALSE))</f>
        <v>non pertinent / nicht relevant</v>
      </c>
      <c r="H131" s="404" t="str">
        <f>IF(VLOOKUP(A131,'Eclusée - Schwall-Sunk'!$A$2:$F$273,6,FALSE)="","",VLOOKUP(A131,'Eclusée - Schwall-Sunk'!$A$2:$F$273,6,FALSE))</f>
        <v>Non affecté / nicht betroffen</v>
      </c>
      <c r="I131" s="405" t="str">
        <f>IF(VLOOKUP(A131,'Revitalisation-Revitalisierung'!$A$4:$Z$275,13,FALSE)="","",VLOOKUP(A131,'Revitalisation-Revitalisierung'!$A$4:$Z$275,13,FALSE))</f>
        <v>Non nécessaire / nicht nötig</v>
      </c>
      <c r="J131" s="406" t="str">
        <f>IF(VLOOKUP(A131,'Revitalisation-Revitalisierung'!$A$4:$Z$275,14,FALSE)="","",VLOOKUP(A131,'Revitalisation-Revitalisierung'!$A$4:$Z$275,14,FALSE))</f>
        <v>a</v>
      </c>
      <c r="K131" s="407"/>
    </row>
    <row r="132" spans="1:11" ht="20.100000000000001" customHeight="1" x14ac:dyDescent="0.25">
      <c r="A132" s="399">
        <v>124</v>
      </c>
      <c r="B132" s="400" t="s">
        <v>598</v>
      </c>
      <c r="C132" s="400" t="s">
        <v>599</v>
      </c>
      <c r="D132" s="401" t="s">
        <v>573</v>
      </c>
      <c r="E132" s="402" t="str">
        <f>IF(VLOOKUP(A132,'Charriage - Geschiebehaushalt'!$A$4:$AC$275,17,FALSE)="","",VLOOKUP(A132,'Charriage - Geschiebehaushalt'!$A$4:$AC$275,17,FALSE))</f>
        <v>21-50%</v>
      </c>
      <c r="F132" s="403" t="str">
        <f>IF(VLOOKUP(A132,'Charriage - Geschiebehaushalt'!$A$4:$AC$275,18,FALSE)="","",VLOOKUP(A132,'Charriage - Geschiebehaushalt'!$A$4:$AC$275,18,FALSE))</f>
        <v>a</v>
      </c>
      <c r="G132" s="330" t="str">
        <f>IF(VLOOKUP(A132,'Débit - Abfluss'!$A$4:$AD$275,8,FALSE)="","",VLOOKUP(A132,'Débit - Abfluss'!$A$4:$AD$275,8,FALSE))</f>
        <v>81-100%</v>
      </c>
      <c r="H132" s="404" t="str">
        <f>IF(VLOOKUP(A132,'Eclusée - Schwall-Sunk'!$A$2:$F$273,6,FALSE)="","",VLOOKUP(A132,'Eclusée - Schwall-Sunk'!$A$2:$F$273,6,FALSE))</f>
        <v>Potentiellement affecté / möglicherweise betroffen</v>
      </c>
      <c r="I132" s="405" t="str">
        <f>IF(VLOOKUP(A132,'Revitalisation-Revitalisierung'!$A$4:$Z$275,13,FALSE)="","",VLOOKUP(A132,'Revitalisation-Revitalisierung'!$A$4:$Z$275,13,FALSE))</f>
        <v>Très nécessaire, facile / unbedingt nötig, einfach</v>
      </c>
      <c r="J132" s="406" t="str">
        <f>IF(VLOOKUP(A132,'Revitalisation-Revitalisierung'!$A$4:$Z$275,14,FALSE)="","",VLOOKUP(A132,'Revitalisation-Revitalisierung'!$A$4:$Z$275,14,FALSE))</f>
        <v>a</v>
      </c>
      <c r="K132" s="407"/>
    </row>
    <row r="133" spans="1:11" ht="20.100000000000001" customHeight="1" x14ac:dyDescent="0.25">
      <c r="A133" s="399">
        <v>125</v>
      </c>
      <c r="B133" s="400" t="s">
        <v>626</v>
      </c>
      <c r="C133" s="400" t="s">
        <v>627</v>
      </c>
      <c r="D133" s="401" t="s">
        <v>625</v>
      </c>
      <c r="E133" s="402" t="str">
        <f>IF(VLOOKUP(A133,'Charriage - Geschiebehaushalt'!$A$4:$AC$275,17,FALSE)="","",VLOOKUP(A133,'Charriage - Geschiebehaushalt'!$A$4:$AC$275,17,FALSE))</f>
        <v>Charriage présumé naturel / Geschiebehaushalt vermutlich natürlich</v>
      </c>
      <c r="F133" s="403" t="str">
        <f>IF(VLOOKUP(A133,'Charriage - Geschiebehaushalt'!$A$4:$AC$275,18,FALSE)="","",VLOOKUP(A133,'Charriage - Geschiebehaushalt'!$A$4:$AC$275,18,FALSE))</f>
        <v>b</v>
      </c>
      <c r="G133" s="330" t="str">
        <f>IF(VLOOKUP(A133,'Débit - Abfluss'!$A$4:$AD$275,8,FALSE)="","",VLOOKUP(A133,'Débit - Abfluss'!$A$4:$AD$275,8,FALSE))</f>
        <v>100%</v>
      </c>
      <c r="H133" s="404" t="str">
        <f>IF(VLOOKUP(A133,'Eclusée - Schwall-Sunk'!$A$2:$F$273,6,FALSE)="","",VLOOKUP(A133,'Eclusée - Schwall-Sunk'!$A$2:$F$273,6,FALSE))</f>
        <v>Non affecté / nicht betroffen</v>
      </c>
      <c r="I133" s="405" t="str">
        <f>IF(VLOOKUP(A133,'Revitalisation-Revitalisierung'!$A$4:$Z$275,13,FALSE)="","",VLOOKUP(A133,'Revitalisation-Revitalisierung'!$A$4:$Z$275,13,FALSE))</f>
        <v>Non nécessaire / nicht nötig</v>
      </c>
      <c r="J133" s="406" t="str">
        <f>IF(VLOOKUP(A133,'Revitalisation-Revitalisierung'!$A$4:$Z$275,14,FALSE)="","",VLOOKUP(A133,'Revitalisation-Revitalisierung'!$A$4:$Z$275,14,FALSE))</f>
        <v>b</v>
      </c>
      <c r="K133" s="407"/>
    </row>
    <row r="134" spans="1:11" ht="20.100000000000001" customHeight="1" x14ac:dyDescent="0.25">
      <c r="A134" s="399">
        <v>127</v>
      </c>
      <c r="B134" s="400" t="s">
        <v>630</v>
      </c>
      <c r="C134" s="400" t="s">
        <v>631</v>
      </c>
      <c r="D134" s="401" t="s">
        <v>625</v>
      </c>
      <c r="E134" s="402" t="str">
        <f>IF(VLOOKUP(A134,'Charriage - Geschiebehaushalt'!$A$4:$AC$275,17,FALSE)="","",VLOOKUP(A134,'Charriage - Geschiebehaushalt'!$A$4:$AC$275,17,FALSE))</f>
        <v>La remobilisation des sédiments est perturbée / Mobilisierung von Geschiebe beeinträchtigt</v>
      </c>
      <c r="F134" s="403" t="str">
        <f>IF(VLOOKUP(A134,'Charriage - Geschiebehaushalt'!$A$4:$AC$275,18,FALSE)="","",VLOOKUP(A134,'Charriage - Geschiebehaushalt'!$A$4:$AC$275,18,FALSE))</f>
        <v>a</v>
      </c>
      <c r="G134" s="330" t="str">
        <f>IF(VLOOKUP(A134,'Débit - Abfluss'!$A$4:$AD$275,8,FALSE)="","",VLOOKUP(A134,'Débit - Abfluss'!$A$4:$AD$275,8,FALSE))</f>
        <v>21-40%</v>
      </c>
      <c r="H134" s="404" t="str">
        <f>IF(VLOOKUP(A134,'Eclusée - Schwall-Sunk'!$A$2:$F$273,6,FALSE)="","",VLOOKUP(A134,'Eclusée - Schwall-Sunk'!$A$2:$F$273,6,FALSE))</f>
        <v>Non affecté / nicht betroffen</v>
      </c>
      <c r="I134" s="405" t="str">
        <f>IF(VLOOKUP(A134,'Revitalisation-Revitalisierung'!$A$4:$Z$275,13,FALSE)="","",VLOOKUP(A134,'Revitalisation-Revitalisierung'!$A$4:$Z$275,13,FALSE))</f>
        <v>Très nécessaire, facile / unbedingt nötig, einfach</v>
      </c>
      <c r="J134" s="406" t="str">
        <f>IF(VLOOKUP(A134,'Revitalisation-Revitalisierung'!$A$4:$Z$275,14,FALSE)="","",VLOOKUP(A134,'Revitalisation-Revitalisierung'!$A$4:$Z$275,14,FALSE))</f>
        <v>a</v>
      </c>
      <c r="K134" s="407"/>
    </row>
    <row r="135" spans="1:11" ht="20.100000000000001" customHeight="1" x14ac:dyDescent="0.25">
      <c r="A135" s="399">
        <v>128</v>
      </c>
      <c r="B135" s="400" t="s">
        <v>635</v>
      </c>
      <c r="C135" s="400" t="s">
        <v>636</v>
      </c>
      <c r="D135" s="401" t="s">
        <v>625</v>
      </c>
      <c r="E135" s="402" t="str">
        <f>IF(VLOOKUP(A135,'Charriage - Geschiebehaushalt'!$A$4:$AC$275,17,FALSE)="","",VLOOKUP(A135,'Charriage - Geschiebehaushalt'!$A$4:$AC$275,17,FALSE))</f>
        <v>Charriage présumé naturel / Geschiebehaushalt vermutlich natürlich</v>
      </c>
      <c r="F135" s="403" t="str">
        <f>IF(VLOOKUP(A135,'Charriage - Geschiebehaushalt'!$A$4:$AC$275,18,FALSE)="","",VLOOKUP(A135,'Charriage - Geschiebehaushalt'!$A$4:$AC$275,18,FALSE))</f>
        <v>a</v>
      </c>
      <c r="G135" s="330" t="str">
        <f>IF(VLOOKUP(A135,'Débit - Abfluss'!$A$4:$AD$275,8,FALSE)="","",VLOOKUP(A135,'Débit - Abfluss'!$A$4:$AD$275,8,FALSE))</f>
        <v>21-40%</v>
      </c>
      <c r="H135" s="404" t="str">
        <f>IF(VLOOKUP(A135,'Eclusée - Schwall-Sunk'!$A$2:$F$273,6,FALSE)="","",VLOOKUP(A135,'Eclusée - Schwall-Sunk'!$A$2:$F$273,6,FALSE))</f>
        <v>Non affecté / nicht betroffen</v>
      </c>
      <c r="I135" s="405" t="str">
        <f>IF(VLOOKUP(A135,'Revitalisation-Revitalisierung'!$A$4:$Z$275,13,FALSE)="","",VLOOKUP(A135,'Revitalisation-Revitalisierung'!$A$4:$Z$275,13,FALSE))</f>
        <v>Non nécessaire / nicht nötig</v>
      </c>
      <c r="J135" s="406" t="str">
        <f>IF(VLOOKUP(A135,'Revitalisation-Revitalisierung'!$A$4:$Z$275,14,FALSE)="","",VLOOKUP(A135,'Revitalisation-Revitalisierung'!$A$4:$Z$275,14,FALSE))</f>
        <v>a</v>
      </c>
      <c r="K135" s="407"/>
    </row>
    <row r="136" spans="1:11" ht="20.100000000000001" customHeight="1" x14ac:dyDescent="0.25">
      <c r="A136" s="399">
        <v>129</v>
      </c>
      <c r="B136" s="400" t="s">
        <v>639</v>
      </c>
      <c r="C136" s="400" t="s">
        <v>636</v>
      </c>
      <c r="D136" s="401" t="s">
        <v>625</v>
      </c>
      <c r="E136" s="402" t="str">
        <f>IF(VLOOKUP(A136,'Charriage - Geschiebehaushalt'!$A$4:$AC$275,17,FALSE)="","",VLOOKUP(A136,'Charriage - Geschiebehaushalt'!$A$4:$AC$275,17,FALSE))</f>
        <v>Charriage présumé naturel / Geschiebehaushalt vermutlich natürlich</v>
      </c>
      <c r="F136" s="403" t="str">
        <f>IF(VLOOKUP(A136,'Charriage - Geschiebehaushalt'!$A$4:$AC$275,18,FALSE)="","",VLOOKUP(A136,'Charriage - Geschiebehaushalt'!$A$4:$AC$275,18,FALSE))</f>
        <v>b</v>
      </c>
      <c r="G136" s="330" t="str">
        <f>IF(VLOOKUP(A136,'Débit - Abfluss'!$A$4:$AD$275,8,FALSE)="","",VLOOKUP(A136,'Débit - Abfluss'!$A$4:$AD$275,8,FALSE))</f>
        <v>0-20%</v>
      </c>
      <c r="H136" s="404" t="str">
        <f>IF(VLOOKUP(A136,'Eclusée - Schwall-Sunk'!$A$2:$F$273,6,FALSE)="","",VLOOKUP(A136,'Eclusée - Schwall-Sunk'!$A$2:$F$273,6,FALSE))</f>
        <v>Non affecté / nicht betroffen</v>
      </c>
      <c r="I136" s="405" t="str">
        <f>IF(VLOOKUP(A136,'Revitalisation-Revitalisierung'!$A$4:$Z$275,13,FALSE)="","",VLOOKUP(A136,'Revitalisation-Revitalisierung'!$A$4:$Z$275,13,FALSE))</f>
        <v>Non nécessaire / nicht nötig</v>
      </c>
      <c r="J136" s="406" t="str">
        <f>IF(VLOOKUP(A136,'Revitalisation-Revitalisierung'!$A$4:$Z$275,14,FALSE)="","",VLOOKUP(A136,'Revitalisation-Revitalisierung'!$A$4:$Z$275,14,FALSE))</f>
        <v>b</v>
      </c>
      <c r="K136" s="407"/>
    </row>
    <row r="137" spans="1:11" ht="20.100000000000001" customHeight="1" x14ac:dyDescent="0.25">
      <c r="A137" s="399">
        <v>130</v>
      </c>
      <c r="B137" s="400" t="s">
        <v>640</v>
      </c>
      <c r="C137" s="400" t="s">
        <v>641</v>
      </c>
      <c r="D137" s="401" t="s">
        <v>625</v>
      </c>
      <c r="E137" s="402" t="str">
        <f>IF(VLOOKUP(A137,'Charriage - Geschiebehaushalt'!$A$4:$AC$275,17,FALSE)="","",VLOOKUP(A137,'Charriage - Geschiebehaushalt'!$A$4:$AC$275,17,FALSE))</f>
        <v>Déficit non apparent en charriage ou en remobilisation des sédiments / kein sichtbares Defizit beim Geschiebehaushalt bzw. bei der Mobilisierung von Geschiebe</v>
      </c>
      <c r="F137" s="403" t="str">
        <f>IF(VLOOKUP(A137,'Charriage - Geschiebehaushalt'!$A$4:$AC$275,18,FALSE)="","",VLOOKUP(A137,'Charriage - Geschiebehaushalt'!$A$4:$AC$275,18,FALSE))</f>
        <v>b</v>
      </c>
      <c r="G137" s="330" t="str">
        <f>IF(VLOOKUP(A137,'Débit - Abfluss'!$A$4:$AD$275,8,FALSE)="","",VLOOKUP(A137,'Débit - Abfluss'!$A$4:$AD$275,8,FALSE))</f>
        <v>0-20%</v>
      </c>
      <c r="H137" s="404" t="str">
        <f>IF(VLOOKUP(A137,'Eclusée - Schwall-Sunk'!$A$2:$F$273,6,FALSE)="","",VLOOKUP(A137,'Eclusée - Schwall-Sunk'!$A$2:$F$273,6,FALSE))</f>
        <v>Non affecté / nicht betroffen</v>
      </c>
      <c r="I137" s="405" t="str">
        <f>IF(VLOOKUP(A137,'Revitalisation-Revitalisierung'!$A$4:$Z$275,13,FALSE)="","",VLOOKUP(A137,'Revitalisation-Revitalisierung'!$A$4:$Z$275,13,FALSE))</f>
        <v>Non nécessaire / nicht nötig</v>
      </c>
      <c r="J137" s="406" t="str">
        <f>IF(VLOOKUP(A137,'Revitalisation-Revitalisierung'!$A$4:$Z$275,14,FALSE)="","",VLOOKUP(A137,'Revitalisation-Revitalisierung'!$A$4:$Z$275,14,FALSE))</f>
        <v>b</v>
      </c>
      <c r="K137" s="407"/>
    </row>
    <row r="138" spans="1:11" ht="20.100000000000001" customHeight="1" x14ac:dyDescent="0.25">
      <c r="A138" s="399">
        <v>131</v>
      </c>
      <c r="B138" s="400" t="s">
        <v>642</v>
      </c>
      <c r="C138" s="400" t="s">
        <v>641</v>
      </c>
      <c r="D138" s="401" t="s">
        <v>625</v>
      </c>
      <c r="E138" s="402" t="str">
        <f>IF(VLOOKUP(A138,'Charriage - Geschiebehaushalt'!$A$4:$AC$275,17,FALSE)="","",VLOOKUP(A138,'Charriage - Geschiebehaushalt'!$A$4:$AC$275,17,FALSE))</f>
        <v>Déficit non apparent en charriage ou en remobilisation des sédiments / kein sichtbares Defizit beim Geschiebehaushalt bzw. bei der Mobilisierung von Geschiebe</v>
      </c>
      <c r="F138" s="403" t="str">
        <f>IF(VLOOKUP(A138,'Charriage - Geschiebehaushalt'!$A$4:$AC$275,18,FALSE)="","",VLOOKUP(A138,'Charriage - Geschiebehaushalt'!$A$4:$AC$275,18,FALSE))</f>
        <v>b</v>
      </c>
      <c r="G138" s="330" t="str">
        <f>IF(VLOOKUP(A138,'Débit - Abfluss'!$A$4:$AD$275,8,FALSE)="","",VLOOKUP(A138,'Débit - Abfluss'!$A$4:$AD$275,8,FALSE))</f>
        <v>0-20%</v>
      </c>
      <c r="H138" s="404" t="str">
        <f>IF(VLOOKUP(A138,'Eclusée - Schwall-Sunk'!$A$2:$F$273,6,FALSE)="","",VLOOKUP(A138,'Eclusée - Schwall-Sunk'!$A$2:$F$273,6,FALSE))</f>
        <v>Non affecté / nicht betroffen</v>
      </c>
      <c r="I138" s="405" t="str">
        <f>IF(VLOOKUP(A138,'Revitalisation-Revitalisierung'!$A$4:$Z$275,13,FALSE)="","",VLOOKUP(A138,'Revitalisation-Revitalisierung'!$A$4:$Z$275,13,FALSE))</f>
        <v>Non nécessaire / nicht nötig</v>
      </c>
      <c r="J138" s="406" t="str">
        <f>IF(VLOOKUP(A138,'Revitalisation-Revitalisierung'!$A$4:$Z$275,14,FALSE)="","",VLOOKUP(A138,'Revitalisation-Revitalisierung'!$A$4:$Z$275,14,FALSE))</f>
        <v>b</v>
      </c>
      <c r="K138" s="407"/>
    </row>
    <row r="139" spans="1:11" ht="20.100000000000001" customHeight="1" x14ac:dyDescent="0.25">
      <c r="A139" s="399">
        <v>132</v>
      </c>
      <c r="B139" s="400" t="s">
        <v>643</v>
      </c>
      <c r="C139" s="400" t="s">
        <v>644</v>
      </c>
      <c r="D139" s="401" t="s">
        <v>625</v>
      </c>
      <c r="E139" s="402" t="str">
        <f>IF(VLOOKUP(A139,'Charriage - Geschiebehaushalt'!$A$4:$AC$275,17,FALSE)="","",VLOOKUP(A139,'Charriage - Geschiebehaushalt'!$A$4:$AC$275,17,FALSE))</f>
        <v>Déficit non apparent en charriage ou en remobilisation des sédiments / kein sichtbares Defizit beim Geschiebehaushalt bzw. bei der Mobilisierung von Geschiebe</v>
      </c>
      <c r="F139" s="403" t="str">
        <f>IF(VLOOKUP(A139,'Charriage - Geschiebehaushalt'!$A$4:$AC$275,18,FALSE)="","",VLOOKUP(A139,'Charriage - Geschiebehaushalt'!$A$4:$AC$275,18,FALSE))</f>
        <v>a</v>
      </c>
      <c r="G139" s="330" t="str">
        <f>IF(VLOOKUP(A139,'Débit - Abfluss'!$A$4:$AD$275,8,FALSE)="","",VLOOKUP(A139,'Débit - Abfluss'!$A$4:$AD$275,8,FALSE))</f>
        <v>100%</v>
      </c>
      <c r="H139" s="404" t="str">
        <f>IF(VLOOKUP(A139,'Eclusée - Schwall-Sunk'!$A$2:$F$273,6,FALSE)="","",VLOOKUP(A139,'Eclusée - Schwall-Sunk'!$A$2:$F$273,6,FALSE))</f>
        <v>Non affecté / nicht betroffen</v>
      </c>
      <c r="I139" s="405" t="str">
        <f>IF(VLOOKUP(A139,'Revitalisation-Revitalisierung'!$A$4:$Z$275,13,FALSE)="","",VLOOKUP(A139,'Revitalisation-Revitalisierung'!$A$4:$Z$275,13,FALSE))</f>
        <v>Non nécessaire / nicht nötig</v>
      </c>
      <c r="J139" s="406" t="str">
        <f>IF(VLOOKUP(A139,'Revitalisation-Revitalisierung'!$A$4:$Z$275,14,FALSE)="","",VLOOKUP(A139,'Revitalisation-Revitalisierung'!$A$4:$Z$275,14,FALSE))</f>
        <v>a</v>
      </c>
      <c r="K139" s="407"/>
    </row>
    <row r="140" spans="1:11" ht="20.100000000000001" customHeight="1" x14ac:dyDescent="0.25">
      <c r="A140" s="399">
        <v>133</v>
      </c>
      <c r="B140" s="400" t="s">
        <v>646</v>
      </c>
      <c r="C140" s="400" t="s">
        <v>647</v>
      </c>
      <c r="D140" s="401" t="s">
        <v>625</v>
      </c>
      <c r="E140" s="402" t="str">
        <f>IF(VLOOKUP(A140,'Charriage - Geschiebehaushalt'!$A$4:$AC$275,17,FALSE)="","",VLOOKUP(A140,'Charriage - Geschiebehaushalt'!$A$4:$AC$275,17,FALSE))</f>
        <v>51-80%</v>
      </c>
      <c r="F140" s="403" t="str">
        <f>IF(VLOOKUP(A140,'Charriage - Geschiebehaushalt'!$A$4:$AC$275,18,FALSE)="","",VLOOKUP(A140,'Charriage - Geschiebehaushalt'!$A$4:$AC$275,18,FALSE))</f>
        <v>a</v>
      </c>
      <c r="G140" s="330" t="str">
        <f>IF(VLOOKUP(A140,'Débit - Abfluss'!$A$4:$AD$275,8,FALSE)="","",VLOOKUP(A140,'Débit - Abfluss'!$A$4:$AD$275,8,FALSE))</f>
        <v>21-40%</v>
      </c>
      <c r="H140" s="404" t="str">
        <f>IF(VLOOKUP(A140,'Eclusée - Schwall-Sunk'!$A$2:$F$273,6,FALSE)="","",VLOOKUP(A140,'Eclusée - Schwall-Sunk'!$A$2:$F$273,6,FALSE))</f>
        <v>Potentiellement affecté / möglicherweise betroffen</v>
      </c>
      <c r="I140" s="405" t="str">
        <f>IF(VLOOKUP(A140,'Revitalisation-Revitalisierung'!$A$4:$Z$275,13,FALSE)="","",VLOOKUP(A140,'Revitalisation-Revitalisierung'!$A$4:$Z$275,13,FALSE))</f>
        <v>Très nécessaire, facile / unbedingt nötig, einfach</v>
      </c>
      <c r="J140" s="406" t="str">
        <f>IF(VLOOKUP(A140,'Revitalisation-Revitalisierung'!$A$4:$Z$275,14,FALSE)="","",VLOOKUP(A140,'Revitalisation-Revitalisierung'!$A$4:$Z$275,14,FALSE))</f>
        <v>b</v>
      </c>
      <c r="K140" s="407"/>
    </row>
    <row r="141" spans="1:11" ht="20.100000000000001" customHeight="1" x14ac:dyDescent="0.25">
      <c r="A141" s="399">
        <v>134</v>
      </c>
      <c r="B141" s="400" t="s">
        <v>649</v>
      </c>
      <c r="C141" s="400" t="s">
        <v>650</v>
      </c>
      <c r="D141" s="401" t="s">
        <v>625</v>
      </c>
      <c r="E141" s="402" t="str">
        <f>IF(VLOOKUP(A141,'Charriage - Geschiebehaushalt'!$A$4:$AC$275,17,FALSE)="","",VLOOKUP(A141,'Charriage - Geschiebehaushalt'!$A$4:$AC$275,17,FALSE))</f>
        <v>Charriage présumé naturel / Geschiebehaushalt vermutlich natürlich</v>
      </c>
      <c r="F141" s="403" t="str">
        <f>IF(VLOOKUP(A141,'Charriage - Geschiebehaushalt'!$A$4:$AC$275,18,FALSE)="","",VLOOKUP(A141,'Charriage - Geschiebehaushalt'!$A$4:$AC$275,18,FALSE))</f>
        <v>a</v>
      </c>
      <c r="G141" s="330" t="str">
        <f>IF(VLOOKUP(A141,'Débit - Abfluss'!$A$4:$AD$275,8,FALSE)="","",VLOOKUP(A141,'Débit - Abfluss'!$A$4:$AD$275,8,FALSE))</f>
        <v>100%</v>
      </c>
      <c r="H141" s="404" t="str">
        <f>IF(VLOOKUP(A141,'Eclusée - Schwall-Sunk'!$A$2:$F$273,6,FALSE)="","",VLOOKUP(A141,'Eclusée - Schwall-Sunk'!$A$2:$F$273,6,FALSE))</f>
        <v>Non affecté / nicht betroffen</v>
      </c>
      <c r="I141" s="405" t="str">
        <f>IF(VLOOKUP(A141,'Revitalisation-Revitalisierung'!$A$4:$Z$275,13,FALSE)="","",VLOOKUP(A141,'Revitalisation-Revitalisierung'!$A$4:$Z$275,13,FALSE))</f>
        <v>Très nécessaire, facile / unbedingt nötig, einfach</v>
      </c>
      <c r="J141" s="406" t="str">
        <f>IF(VLOOKUP(A141,'Revitalisation-Revitalisierung'!$A$4:$Z$275,14,FALSE)="","",VLOOKUP(A141,'Revitalisation-Revitalisierung'!$A$4:$Z$275,14,FALSE))</f>
        <v>b</v>
      </c>
      <c r="K141" s="407"/>
    </row>
    <row r="142" spans="1:11" ht="20.100000000000001" customHeight="1" x14ac:dyDescent="0.25">
      <c r="A142" s="399">
        <v>135</v>
      </c>
      <c r="B142" s="400" t="s">
        <v>652</v>
      </c>
      <c r="C142" s="400" t="s">
        <v>650</v>
      </c>
      <c r="D142" s="401" t="s">
        <v>625</v>
      </c>
      <c r="E142" s="402" t="str">
        <f>IF(VLOOKUP(A142,'Charriage - Geschiebehaushalt'!$A$4:$AC$275,17,FALSE)="","",VLOOKUP(A142,'Charriage - Geschiebehaushalt'!$A$4:$AC$275,17,FALSE))</f>
        <v>Charriage présumé naturel / Geschiebehaushalt vermutlich natürlich</v>
      </c>
      <c r="F142" s="403" t="str">
        <f>IF(VLOOKUP(A142,'Charriage - Geschiebehaushalt'!$A$4:$AC$275,18,FALSE)="","",VLOOKUP(A142,'Charriage - Geschiebehaushalt'!$A$4:$AC$275,18,FALSE))</f>
        <v>a</v>
      </c>
      <c r="G142" s="330" t="str">
        <f>IF(VLOOKUP(A142,'Débit - Abfluss'!$A$4:$AD$275,8,FALSE)="","",VLOOKUP(A142,'Débit - Abfluss'!$A$4:$AD$275,8,FALSE))</f>
        <v>100%</v>
      </c>
      <c r="H142" s="404" t="str">
        <f>IF(VLOOKUP(A142,'Eclusée - Schwall-Sunk'!$A$2:$F$273,6,FALSE)="","",VLOOKUP(A142,'Eclusée - Schwall-Sunk'!$A$2:$F$273,6,FALSE))</f>
        <v>Non affecté / nicht betroffen</v>
      </c>
      <c r="I142" s="405" t="str">
        <f>IF(VLOOKUP(A142,'Revitalisation-Revitalisierung'!$A$4:$Z$275,13,FALSE)="","",VLOOKUP(A142,'Revitalisation-Revitalisierung'!$A$4:$Z$275,13,FALSE))</f>
        <v>Partiellement nécessaire, facile / teilweise nötig, einfach</v>
      </c>
      <c r="J142" s="406" t="str">
        <f>IF(VLOOKUP(A142,'Revitalisation-Revitalisierung'!$A$4:$Z$275,14,FALSE)="","",VLOOKUP(A142,'Revitalisation-Revitalisierung'!$A$4:$Z$275,14,FALSE))</f>
        <v>a</v>
      </c>
      <c r="K142" s="407"/>
    </row>
    <row r="143" spans="1:11" ht="20.100000000000001" customHeight="1" x14ac:dyDescent="0.25">
      <c r="A143" s="399">
        <v>138</v>
      </c>
      <c r="B143" s="400" t="s">
        <v>653</v>
      </c>
      <c r="C143" s="400" t="s">
        <v>654</v>
      </c>
      <c r="D143" s="401" t="s">
        <v>625</v>
      </c>
      <c r="E143" s="402" t="str">
        <f>IF(VLOOKUP(A143,'Charriage - Geschiebehaushalt'!$A$4:$AC$275,17,FALSE)="","",VLOOKUP(A143,'Charriage - Geschiebehaushalt'!$A$4:$AC$275,17,FALSE))</f>
        <v>Charriage présumé naturel / Geschiebehaushalt vermutlich natürlich</v>
      </c>
      <c r="F143" s="403" t="str">
        <f>IF(VLOOKUP(A143,'Charriage - Geschiebehaushalt'!$A$4:$AC$275,18,FALSE)="","",VLOOKUP(A143,'Charriage - Geschiebehaushalt'!$A$4:$AC$275,18,FALSE))</f>
        <v>b</v>
      </c>
      <c r="G143" s="330" t="str">
        <f>IF(VLOOKUP(A143,'Débit - Abfluss'!$A$4:$AD$275,8,FALSE)="","",VLOOKUP(A143,'Débit - Abfluss'!$A$4:$AD$275,8,FALSE))</f>
        <v>0-20%</v>
      </c>
      <c r="H143" s="404" t="str">
        <f>IF(VLOOKUP(A143,'Eclusée - Schwall-Sunk'!$A$2:$F$273,6,FALSE)="","",VLOOKUP(A143,'Eclusée - Schwall-Sunk'!$A$2:$F$273,6,FALSE))</f>
        <v>Potentiellement affecté / möglicherweise betroffen</v>
      </c>
      <c r="I143" s="405" t="str">
        <f>IF(VLOOKUP(A143,'Revitalisation-Revitalisierung'!$A$4:$Z$275,13,FALSE)="","",VLOOKUP(A143,'Revitalisation-Revitalisierung'!$A$4:$Z$275,13,FALSE))</f>
        <v>Non nécessaire / nicht nötig</v>
      </c>
      <c r="J143" s="406" t="str">
        <f>IF(VLOOKUP(A143,'Revitalisation-Revitalisierung'!$A$4:$Z$275,14,FALSE)="","",VLOOKUP(A143,'Revitalisation-Revitalisierung'!$A$4:$Z$275,14,FALSE))</f>
        <v>a</v>
      </c>
      <c r="K143" s="407"/>
    </row>
    <row r="144" spans="1:11" ht="20.100000000000001" customHeight="1" x14ac:dyDescent="0.25">
      <c r="A144" s="399">
        <v>139</v>
      </c>
      <c r="B144" s="400" t="s">
        <v>656</v>
      </c>
      <c r="C144" s="400" t="s">
        <v>657</v>
      </c>
      <c r="D144" s="401" t="s">
        <v>625</v>
      </c>
      <c r="E144" s="402" t="str">
        <f>IF(VLOOKUP(A144,'Charriage - Geschiebehaushalt'!$A$4:$AC$275,17,FALSE)="","",VLOOKUP(A144,'Charriage - Geschiebehaushalt'!$A$4:$AC$275,17,FALSE))</f>
        <v>51-80%</v>
      </c>
      <c r="F144" s="403" t="str">
        <f>IF(VLOOKUP(A144,'Charriage - Geschiebehaushalt'!$A$4:$AC$275,18,FALSE)="","",VLOOKUP(A144,'Charriage - Geschiebehaushalt'!$A$4:$AC$275,18,FALSE))</f>
        <v>a</v>
      </c>
      <c r="G144" s="330" t="str">
        <f>IF(VLOOKUP(A144,'Débit - Abfluss'!$A$4:$AD$275,8,FALSE)="","",VLOOKUP(A144,'Débit - Abfluss'!$A$4:$AD$275,8,FALSE))</f>
        <v>81-100%</v>
      </c>
      <c r="H144" s="404" t="str">
        <f>IF(VLOOKUP(A144,'Eclusée - Schwall-Sunk'!$A$2:$F$273,6,FALSE)="","",VLOOKUP(A144,'Eclusée - Schwall-Sunk'!$A$2:$F$273,6,FALSE))</f>
        <v>Potentiellement affecté / möglicherweise betroffen</v>
      </c>
      <c r="I144" s="405" t="str">
        <f>IF(VLOOKUP(A144,'Revitalisation-Revitalisierung'!$A$4:$Z$275,13,FALSE)="","",VLOOKUP(A144,'Revitalisation-Revitalisierung'!$A$4:$Z$275,13,FALSE))</f>
        <v>Très nécessaire, difficile / unbedingt nötig, schwierig</v>
      </c>
      <c r="J144" s="406" t="str">
        <f>IF(VLOOKUP(A144,'Revitalisation-Revitalisierung'!$A$4:$Z$275,14,FALSE)="","",VLOOKUP(A144,'Revitalisation-Revitalisierung'!$A$4:$Z$275,14,FALSE))</f>
        <v>b</v>
      </c>
      <c r="K144" s="407"/>
    </row>
    <row r="145" spans="1:11" ht="20.100000000000001" customHeight="1" x14ac:dyDescent="0.25">
      <c r="A145" s="399">
        <v>140</v>
      </c>
      <c r="B145" s="400" t="s">
        <v>661</v>
      </c>
      <c r="C145" s="400" t="s">
        <v>657</v>
      </c>
      <c r="D145" s="401" t="s">
        <v>625</v>
      </c>
      <c r="E145" s="402" t="str">
        <f>IF(VLOOKUP(A145,'Charriage - Geschiebehaushalt'!$A$4:$AC$275,17,FALSE)="","",VLOOKUP(A145,'Charriage - Geschiebehaushalt'!$A$4:$AC$275,17,FALSE))</f>
        <v>21-50%</v>
      </c>
      <c r="F145" s="403" t="str">
        <f>IF(VLOOKUP(A145,'Charriage - Geschiebehaushalt'!$A$4:$AC$275,18,FALSE)="","",VLOOKUP(A145,'Charriage - Geschiebehaushalt'!$A$4:$AC$275,18,FALSE))</f>
        <v>a</v>
      </c>
      <c r="G145" s="330" t="str">
        <f>IF(VLOOKUP(A145,'Débit - Abfluss'!$A$4:$AD$275,8,FALSE)="","",VLOOKUP(A145,'Débit - Abfluss'!$A$4:$AD$275,8,FALSE))</f>
        <v>21-40%</v>
      </c>
      <c r="H145" s="404" t="str">
        <f>IF(VLOOKUP(A145,'Eclusée - Schwall-Sunk'!$A$2:$F$273,6,FALSE)="","",VLOOKUP(A145,'Eclusée - Schwall-Sunk'!$A$2:$F$273,6,FALSE))</f>
        <v>Non affecté / nicht betroffen</v>
      </c>
      <c r="I145" s="405" t="str">
        <f>IF(VLOOKUP(A145,'Revitalisation-Revitalisierung'!$A$4:$Z$275,13,FALSE)="","",VLOOKUP(A145,'Revitalisation-Revitalisierung'!$A$4:$Z$275,13,FALSE))</f>
        <v>Très nécessaire, facile / unbedingt nötig, einfach</v>
      </c>
      <c r="J145" s="406" t="str">
        <f>IF(VLOOKUP(A145,'Revitalisation-Revitalisierung'!$A$4:$Z$275,14,FALSE)="","",VLOOKUP(A145,'Revitalisation-Revitalisierung'!$A$4:$Z$275,14,FALSE))</f>
        <v>b</v>
      </c>
      <c r="K145" s="407"/>
    </row>
    <row r="146" spans="1:11" ht="20.100000000000001" customHeight="1" x14ac:dyDescent="0.25">
      <c r="A146" s="399">
        <v>141</v>
      </c>
      <c r="B146" s="400" t="s">
        <v>662</v>
      </c>
      <c r="C146" s="400" t="s">
        <v>657</v>
      </c>
      <c r="D146" s="401" t="s">
        <v>625</v>
      </c>
      <c r="E146" s="402" t="str">
        <f>IF(VLOOKUP(A146,'Charriage - Geschiebehaushalt'!$A$4:$AC$275,17,FALSE)="","",VLOOKUP(A146,'Charriage - Geschiebehaushalt'!$A$4:$AC$275,17,FALSE))</f>
        <v>21-50%</v>
      </c>
      <c r="F146" s="403" t="str">
        <f>IF(VLOOKUP(A146,'Charriage - Geschiebehaushalt'!$A$4:$AC$275,18,FALSE)="","",VLOOKUP(A146,'Charriage - Geschiebehaushalt'!$A$4:$AC$275,18,FALSE))</f>
        <v>a</v>
      </c>
      <c r="G146" s="330" t="str">
        <f>IF(VLOOKUP(A146,'Débit - Abfluss'!$A$4:$AD$275,8,FALSE)="","",VLOOKUP(A146,'Débit - Abfluss'!$A$4:$AD$275,8,FALSE))</f>
        <v>81-100%</v>
      </c>
      <c r="H146" s="404" t="str">
        <f>IF(VLOOKUP(A146,'Eclusée - Schwall-Sunk'!$A$2:$F$273,6,FALSE)="","",VLOOKUP(A146,'Eclusée - Schwall-Sunk'!$A$2:$F$273,6,FALSE))</f>
        <v>Non affecté / nicht betroffen</v>
      </c>
      <c r="I146" s="405" t="str">
        <f>IF(VLOOKUP(A146,'Revitalisation-Revitalisierung'!$A$4:$Z$275,13,FALSE)="","",VLOOKUP(A146,'Revitalisation-Revitalisierung'!$A$4:$Z$275,13,FALSE))</f>
        <v>Très nécessaire, facile / unbedingt nötig, einfach</v>
      </c>
      <c r="J146" s="406" t="str">
        <f>IF(VLOOKUP(A146,'Revitalisation-Revitalisierung'!$A$4:$Z$275,14,FALSE)="","",VLOOKUP(A146,'Revitalisation-Revitalisierung'!$A$4:$Z$275,14,FALSE))</f>
        <v>a</v>
      </c>
      <c r="K146" s="407"/>
    </row>
    <row r="147" spans="1:11" ht="20.100000000000001" customHeight="1" x14ac:dyDescent="0.25">
      <c r="A147" s="399">
        <v>142</v>
      </c>
      <c r="B147" s="400" t="s">
        <v>663</v>
      </c>
      <c r="C147" s="400" t="s">
        <v>664</v>
      </c>
      <c r="D147" s="401" t="s">
        <v>625</v>
      </c>
      <c r="E147" s="402" t="str">
        <f>IF(VLOOKUP(A147,'Charriage - Geschiebehaushalt'!$A$4:$AC$275,17,FALSE)="","",VLOOKUP(A147,'Charriage - Geschiebehaushalt'!$A$4:$AC$275,17,FALSE))</f>
        <v>21-50%</v>
      </c>
      <c r="F147" s="403" t="str">
        <f>IF(VLOOKUP(A147,'Charriage - Geschiebehaushalt'!$A$4:$AC$275,18,FALSE)="","",VLOOKUP(A147,'Charriage - Geschiebehaushalt'!$A$4:$AC$275,18,FALSE))</f>
        <v>a</v>
      </c>
      <c r="G147" s="330" t="str">
        <f>IF(VLOOKUP(A147,'Débit - Abfluss'!$A$4:$AD$275,8,FALSE)="","",VLOOKUP(A147,'Débit - Abfluss'!$A$4:$AD$275,8,FALSE))</f>
        <v>81-100%</v>
      </c>
      <c r="H147" s="404" t="str">
        <f>IF(VLOOKUP(A147,'Eclusée - Schwall-Sunk'!$A$2:$F$273,6,FALSE)="","",VLOOKUP(A147,'Eclusée - Schwall-Sunk'!$A$2:$F$273,6,FALSE))</f>
        <v>Non affecté / nicht betroffen</v>
      </c>
      <c r="I147" s="405" t="str">
        <f>IF(VLOOKUP(A147,'Revitalisation-Revitalisierung'!$A$4:$Z$275,13,FALSE)="","",VLOOKUP(A147,'Revitalisation-Revitalisierung'!$A$4:$Z$275,13,FALSE))</f>
        <v>Très nécessaire, difficile / unbedingt nötig, schwierig</v>
      </c>
      <c r="J147" s="406" t="str">
        <f>IF(VLOOKUP(A147,'Revitalisation-Revitalisierung'!$A$4:$Z$275,14,FALSE)="","",VLOOKUP(A147,'Revitalisation-Revitalisierung'!$A$4:$Z$275,14,FALSE))</f>
        <v>b</v>
      </c>
      <c r="K147" s="407"/>
    </row>
    <row r="148" spans="1:11" ht="20.100000000000001" customHeight="1" x14ac:dyDescent="0.25">
      <c r="A148" s="399">
        <v>144</v>
      </c>
      <c r="B148" s="400" t="s">
        <v>362</v>
      </c>
      <c r="C148" s="400" t="s">
        <v>363</v>
      </c>
      <c r="D148" s="401" t="s">
        <v>361</v>
      </c>
      <c r="E148" s="402" t="str">
        <f>IF(VLOOKUP(A148,'Charriage - Geschiebehaushalt'!$A$4:$AC$275,17,FALSE)="","",VLOOKUP(A148,'Charriage - Geschiebehaushalt'!$A$4:$AC$275,17,FALSE))</f>
        <v>La remobilisation des sédiments est perturbée / Mobilisierung von Geschiebe beeinträchtigt</v>
      </c>
      <c r="F148" s="403" t="str">
        <f>IF(VLOOKUP(A148,'Charriage - Geschiebehaushalt'!$A$4:$AC$275,18,FALSE)="","",VLOOKUP(A148,'Charriage - Geschiebehaushalt'!$A$4:$AC$275,18,FALSE))</f>
        <v>b</v>
      </c>
      <c r="G148" s="330" t="str">
        <f>IF(VLOOKUP(A148,'Débit - Abfluss'!$A$4:$AD$275,8,FALSE)="","",VLOOKUP(A148,'Débit - Abfluss'!$A$4:$AD$275,8,FALSE))</f>
        <v>81-100%</v>
      </c>
      <c r="H148" s="404" t="str">
        <f>IF(VLOOKUP(A148,'Eclusée - Schwall-Sunk'!$A$2:$F$273,6,FALSE)="","",VLOOKUP(A148,'Eclusée - Schwall-Sunk'!$A$2:$F$273,6,FALSE))</f>
        <v>Potentiellement affecté / möglicherweise betroffen</v>
      </c>
      <c r="I148" s="405" t="str">
        <f>IF(VLOOKUP(A148,'Revitalisation-Revitalisierung'!$A$4:$Z$275,13,FALSE)="","",VLOOKUP(A148,'Revitalisation-Revitalisierung'!$A$4:$Z$275,13,FALSE))</f>
        <v>Partiellement nécessaire, facile / teilweise nötig, einfach</v>
      </c>
      <c r="J148" s="406" t="str">
        <f>IF(VLOOKUP(A148,'Revitalisation-Revitalisierung'!$A$4:$Z$275,14,FALSE)="","",VLOOKUP(A148,'Revitalisation-Revitalisierung'!$A$4:$Z$275,14,FALSE))</f>
        <v>a</v>
      </c>
      <c r="K148" s="407"/>
    </row>
    <row r="149" spans="1:11" ht="20.100000000000001" customHeight="1" x14ac:dyDescent="0.25">
      <c r="A149" s="399">
        <v>145</v>
      </c>
      <c r="B149" s="400" t="s">
        <v>369</v>
      </c>
      <c r="C149" s="400" t="s">
        <v>363</v>
      </c>
      <c r="D149" s="401" t="s">
        <v>361</v>
      </c>
      <c r="E149" s="402" t="str">
        <f>IF(VLOOKUP(A149,'Charriage - Geschiebehaushalt'!$A$4:$AC$275,17,FALSE)="","",VLOOKUP(A149,'Charriage - Geschiebehaushalt'!$A$4:$AC$275,17,FALSE))</f>
        <v>La remobilisation des sédiments est perturbée / Mobilisierung von Geschiebe beeinträchtigt</v>
      </c>
      <c r="F149" s="403" t="str">
        <f>IF(VLOOKUP(A149,'Charriage - Geschiebehaushalt'!$A$4:$AC$275,18,FALSE)="","",VLOOKUP(A149,'Charriage - Geschiebehaushalt'!$A$4:$AC$275,18,FALSE))</f>
        <v>b</v>
      </c>
      <c r="G149" s="330" t="str">
        <f>IF(VLOOKUP(A149,'Débit - Abfluss'!$A$4:$AD$275,8,FALSE)="","",VLOOKUP(A149,'Débit - Abfluss'!$A$4:$AD$275,8,FALSE))</f>
        <v>81-100%</v>
      </c>
      <c r="H149" s="404" t="str">
        <f>IF(VLOOKUP(A149,'Eclusée - Schwall-Sunk'!$A$2:$F$273,6,FALSE)="","",VLOOKUP(A149,'Eclusée - Schwall-Sunk'!$A$2:$F$273,6,FALSE))</f>
        <v>Potentiellement affecté / möglicherweise betroffen</v>
      </c>
      <c r="I149" s="405" t="str">
        <f>IF(VLOOKUP(A149,'Revitalisation-Revitalisierung'!$A$4:$Z$275,13,FALSE)="","",VLOOKUP(A149,'Revitalisation-Revitalisierung'!$A$4:$Z$275,13,FALSE))</f>
        <v>Non nécessaire / nicht nötig</v>
      </c>
      <c r="J149" s="406" t="str">
        <f>IF(VLOOKUP(A149,'Revitalisation-Revitalisierung'!$A$4:$Z$275,14,FALSE)="","",VLOOKUP(A149,'Revitalisation-Revitalisierung'!$A$4:$Z$275,14,FALSE))</f>
        <v>a</v>
      </c>
      <c r="K149" s="407"/>
    </row>
    <row r="150" spans="1:11" ht="20.100000000000001" customHeight="1" x14ac:dyDescent="0.25">
      <c r="A150" s="399">
        <v>146</v>
      </c>
      <c r="B150" s="400" t="s">
        <v>483</v>
      </c>
      <c r="C150" s="400" t="s">
        <v>484</v>
      </c>
      <c r="D150" s="401" t="s">
        <v>482</v>
      </c>
      <c r="E150" s="402" t="str">
        <f>IF(VLOOKUP(A150,'Charriage - Geschiebehaushalt'!$A$4:$AC$275,17,FALSE)="","",VLOOKUP(A150,'Charriage - Geschiebehaushalt'!$A$4:$AC$275,17,FALSE))</f>
        <v>La remobilisation des sédiments est perturbée / Mobilisierung von Geschiebe beeinträchtigt</v>
      </c>
      <c r="F150" s="403" t="str">
        <f>IF(VLOOKUP(A150,'Charriage - Geschiebehaushalt'!$A$4:$AC$275,18,FALSE)="","",VLOOKUP(A150,'Charriage - Geschiebehaushalt'!$A$4:$AC$275,18,FALSE))</f>
        <v>a</v>
      </c>
      <c r="G150" s="330" t="str">
        <f>IF(VLOOKUP(A150,'Débit - Abfluss'!$A$4:$AD$275,8,FALSE)="","",VLOOKUP(A150,'Débit - Abfluss'!$A$4:$AD$275,8,FALSE))</f>
        <v>41-60%</v>
      </c>
      <c r="H150" s="404" t="str">
        <f>IF(VLOOKUP(A150,'Eclusée - Schwall-Sunk'!$A$2:$F$273,6,FALSE)="","",VLOOKUP(A150,'Eclusée - Schwall-Sunk'!$A$2:$F$273,6,FALSE))</f>
        <v>Non affecté / nicht betroffen</v>
      </c>
      <c r="I150" s="405" t="str">
        <f>IF(VLOOKUP(A150,'Revitalisation-Revitalisierung'!$A$4:$Z$275,13,FALSE)="","",VLOOKUP(A150,'Revitalisation-Revitalisierung'!$A$4:$Z$275,13,FALSE))</f>
        <v>Très nécessaire, difficile / unbedingt nötig, schwierig</v>
      </c>
      <c r="J150" s="406" t="str">
        <f>IF(VLOOKUP(A150,'Revitalisation-Revitalisierung'!$A$4:$Z$275,14,FALSE)="","",VLOOKUP(A150,'Revitalisation-Revitalisierung'!$A$4:$Z$275,14,FALSE))</f>
        <v>a</v>
      </c>
      <c r="K150" s="407"/>
    </row>
    <row r="151" spans="1:11" ht="20.100000000000001" customHeight="1" x14ac:dyDescent="0.25">
      <c r="A151" s="399">
        <v>147</v>
      </c>
      <c r="B151" s="400" t="s">
        <v>485</v>
      </c>
      <c r="C151" s="400" t="s">
        <v>484</v>
      </c>
      <c r="D151" s="401" t="s">
        <v>482</v>
      </c>
      <c r="E151" s="402" t="str">
        <f>IF(VLOOKUP(A151,'Charriage - Geschiebehaushalt'!$A$4:$AC$275,17,FALSE)="","",VLOOKUP(A151,'Charriage - Geschiebehaushalt'!$A$4:$AC$275,17,FALSE))</f>
        <v>Déficit non apparent en charriage ou en remobilisation des sédiments / kein sichtbares Defizit beim Geschiebehaushalt bzw. bei der Mobilisierung von Geschiebe</v>
      </c>
      <c r="F151" s="403" t="str">
        <f>IF(VLOOKUP(A151,'Charriage - Geschiebehaushalt'!$A$4:$AC$275,18,FALSE)="","",VLOOKUP(A151,'Charriage - Geschiebehaushalt'!$A$4:$AC$275,18,FALSE))</f>
        <v>b</v>
      </c>
      <c r="G151" s="330" t="str">
        <f>IF(VLOOKUP(A151,'Débit - Abfluss'!$A$4:$AD$275,8,FALSE)="","",VLOOKUP(A151,'Débit - Abfluss'!$A$4:$AD$275,8,FALSE))</f>
        <v>41-60%</v>
      </c>
      <c r="H151" s="404" t="str">
        <f>IF(VLOOKUP(A151,'Eclusée - Schwall-Sunk'!$A$2:$F$273,6,FALSE)="","",VLOOKUP(A151,'Eclusée - Schwall-Sunk'!$A$2:$F$273,6,FALSE))</f>
        <v>Non affecté / nicht betroffen</v>
      </c>
      <c r="I151" s="405" t="str">
        <f>IF(VLOOKUP(A151,'Revitalisation-Revitalisierung'!$A$4:$Z$275,13,FALSE)="","",VLOOKUP(A151,'Revitalisation-Revitalisierung'!$A$4:$Z$275,13,FALSE))</f>
        <v>Non nécessaire / nicht nötig</v>
      </c>
      <c r="J151" s="406" t="str">
        <f>IF(VLOOKUP(A151,'Revitalisation-Revitalisierung'!$A$4:$Z$275,14,FALSE)="","",VLOOKUP(A151,'Revitalisation-Revitalisierung'!$A$4:$Z$275,14,FALSE))</f>
        <v>a</v>
      </c>
      <c r="K151" s="407"/>
    </row>
    <row r="152" spans="1:11" ht="20.100000000000001" customHeight="1" x14ac:dyDescent="0.25">
      <c r="A152" s="399">
        <v>148</v>
      </c>
      <c r="B152" s="400" t="s">
        <v>486</v>
      </c>
      <c r="C152" s="400" t="s">
        <v>484</v>
      </c>
      <c r="D152" s="401" t="s">
        <v>482</v>
      </c>
      <c r="E152" s="402" t="str">
        <f>IF(VLOOKUP(A152,'Charriage - Geschiebehaushalt'!$A$4:$AC$275,17,FALSE)="","",VLOOKUP(A152,'Charriage - Geschiebehaushalt'!$A$4:$AC$275,17,FALSE))</f>
        <v>La remobilisation des sédiments est perturbée / Mobilisierung von Geschiebe beeinträchtigt</v>
      </c>
      <c r="F152" s="403" t="str">
        <f>IF(VLOOKUP(A152,'Charriage - Geschiebehaushalt'!$A$4:$AC$275,18,FALSE)="","",VLOOKUP(A152,'Charriage - Geschiebehaushalt'!$A$4:$AC$275,18,FALSE))</f>
        <v>a</v>
      </c>
      <c r="G152" s="330" t="str">
        <f>IF(VLOOKUP(A152,'Débit - Abfluss'!$A$4:$AD$275,8,FALSE)="","",VLOOKUP(A152,'Débit - Abfluss'!$A$4:$AD$275,8,FALSE))</f>
        <v>61-80%</v>
      </c>
      <c r="H152" s="404" t="str">
        <f>IF(VLOOKUP(A152,'Eclusée - Schwall-Sunk'!$A$2:$F$273,6,FALSE)="","",VLOOKUP(A152,'Eclusée - Schwall-Sunk'!$A$2:$F$273,6,FALSE))</f>
        <v>Non affecté / nicht betroffen</v>
      </c>
      <c r="I152" s="405" t="str">
        <f>IF(VLOOKUP(A152,'Revitalisation-Revitalisierung'!$A$4:$Z$275,13,FALSE)="","",VLOOKUP(A152,'Revitalisation-Revitalisierung'!$A$4:$Z$275,13,FALSE))</f>
        <v>Très nécessaire, facile / unbedingt nötig, einfach</v>
      </c>
      <c r="J152" s="406" t="str">
        <f>IF(VLOOKUP(A152,'Revitalisation-Revitalisierung'!$A$4:$Z$275,14,FALSE)="","",VLOOKUP(A152,'Revitalisation-Revitalisierung'!$A$4:$Z$275,14,FALSE))</f>
        <v>a</v>
      </c>
      <c r="K152" s="407"/>
    </row>
    <row r="153" spans="1:11" ht="20.100000000000001" customHeight="1" x14ac:dyDescent="0.25">
      <c r="A153" s="399">
        <v>149</v>
      </c>
      <c r="B153" s="400" t="s">
        <v>487</v>
      </c>
      <c r="C153" s="400" t="s">
        <v>484</v>
      </c>
      <c r="D153" s="401" t="s">
        <v>482</v>
      </c>
      <c r="E153" s="402" t="str">
        <f>IF(VLOOKUP(A153,'Charriage - Geschiebehaushalt'!$A$4:$AC$275,17,FALSE)="","",VLOOKUP(A153,'Charriage - Geschiebehaushalt'!$A$4:$AC$275,17,FALSE))</f>
        <v>Déficit non apparent en charriage ou en remobilisation des sédiments / kein sichtbares Defizit beim Geschiebehaushalt bzw. bei der Mobilisierung von Geschiebe</v>
      </c>
      <c r="F153" s="403" t="str">
        <f>IF(VLOOKUP(A153,'Charriage - Geschiebehaushalt'!$A$4:$AC$275,18,FALSE)="","",VLOOKUP(A153,'Charriage - Geschiebehaushalt'!$A$4:$AC$275,18,FALSE))</f>
        <v>b</v>
      </c>
      <c r="G153" s="330" t="str">
        <f>IF(VLOOKUP(A153,'Débit - Abfluss'!$A$4:$AD$275,8,FALSE)="","",VLOOKUP(A153,'Débit - Abfluss'!$A$4:$AD$275,8,FALSE))</f>
        <v>61-80%</v>
      </c>
      <c r="H153" s="404" t="str">
        <f>IF(VLOOKUP(A153,'Eclusée - Schwall-Sunk'!$A$2:$F$273,6,FALSE)="","",VLOOKUP(A153,'Eclusée - Schwall-Sunk'!$A$2:$F$273,6,FALSE))</f>
        <v>Non affecté / nicht betroffen</v>
      </c>
      <c r="I153" s="405" t="str">
        <f>IF(VLOOKUP(A153,'Revitalisation-Revitalisierung'!$A$4:$Z$275,13,FALSE)="","",VLOOKUP(A153,'Revitalisation-Revitalisierung'!$A$4:$Z$275,13,FALSE))</f>
        <v>Non nécessaire / nicht nötig</v>
      </c>
      <c r="J153" s="406" t="str">
        <f>IF(VLOOKUP(A153,'Revitalisation-Revitalisierung'!$A$4:$Z$275,14,FALSE)="","",VLOOKUP(A153,'Revitalisation-Revitalisierung'!$A$4:$Z$275,14,FALSE))</f>
        <v>a</v>
      </c>
      <c r="K153" s="407"/>
    </row>
    <row r="154" spans="1:11" ht="20.100000000000001" customHeight="1" x14ac:dyDescent="0.25">
      <c r="A154" s="412">
        <v>150.1</v>
      </c>
      <c r="B154" s="400" t="s">
        <v>488</v>
      </c>
      <c r="C154" s="400" t="s">
        <v>489</v>
      </c>
      <c r="D154" s="401" t="s">
        <v>482</v>
      </c>
      <c r="E154" s="402" t="str">
        <f>IF(VLOOKUP(A154,'Charriage - Geschiebehaushalt'!$A$4:$AC$275,17,FALSE)="","",VLOOKUP(A154,'Charriage - Geschiebehaushalt'!$A$4:$AC$275,17,FALSE))</f>
        <v>21-50%</v>
      </c>
      <c r="F154" s="403" t="str">
        <f>IF(VLOOKUP(A154,'Charriage - Geschiebehaushalt'!$A$4:$AC$275,18,FALSE)="","",VLOOKUP(A154,'Charriage - Geschiebehaushalt'!$A$4:$AC$275,18,FALSE))</f>
        <v>a</v>
      </c>
      <c r="G154" s="330" t="str">
        <f>IF(VLOOKUP(A154,'Débit - Abfluss'!$A$4:$AD$275,8,FALSE)="","",VLOOKUP(A154,'Débit - Abfluss'!$A$4:$AD$275,8,FALSE))</f>
        <v>21-40%</v>
      </c>
      <c r="H154" s="404" t="str">
        <f>IF(VLOOKUP(A154,'Eclusée - Schwall-Sunk'!$A$2:$F$273,6,FALSE)="","",VLOOKUP(A154,'Eclusée - Schwall-Sunk'!$A$2:$F$273,6,FALSE))</f>
        <v>Non affecté / nicht betroffen</v>
      </c>
      <c r="I154" s="405" t="str">
        <f>IF(VLOOKUP(A154,'Revitalisation-Revitalisierung'!$A$4:$Z$275,13,FALSE)="","",VLOOKUP(A154,'Revitalisation-Revitalisierung'!$A$4:$Z$275,13,FALSE))</f>
        <v>Très nécessaire, facile / unbedingt nötig, einfach</v>
      </c>
      <c r="J154" s="406" t="str">
        <f>IF(VLOOKUP(A154,'Revitalisation-Revitalisierung'!$A$4:$Z$275,14,FALSE)="","",VLOOKUP(A154,'Revitalisation-Revitalisierung'!$A$4:$Z$275,14,FALSE))</f>
        <v>a</v>
      </c>
      <c r="K154" s="407"/>
    </row>
    <row r="155" spans="1:11" ht="20.100000000000001" customHeight="1" x14ac:dyDescent="0.25">
      <c r="A155" s="412">
        <v>150.19999999999999</v>
      </c>
      <c r="B155" s="400" t="s">
        <v>488</v>
      </c>
      <c r="C155" s="400" t="s">
        <v>489</v>
      </c>
      <c r="D155" s="401" t="s">
        <v>482</v>
      </c>
      <c r="E155" s="402" t="str">
        <f>IF(VLOOKUP(A155,'Charriage - Geschiebehaushalt'!$A$4:$AC$275,17,FALSE)="","",VLOOKUP(A155,'Charriage - Geschiebehaushalt'!$A$4:$AC$275,17,FALSE))</f>
        <v>21-50%</v>
      </c>
      <c r="F155" s="403" t="str">
        <f>IF(VLOOKUP(A155,'Charriage - Geschiebehaushalt'!$A$4:$AC$275,18,FALSE)="","",VLOOKUP(A155,'Charriage - Geschiebehaushalt'!$A$4:$AC$275,18,FALSE))</f>
        <v>a</v>
      </c>
      <c r="G155" s="330" t="str">
        <f>IF(VLOOKUP(A155,'Débit - Abfluss'!$A$4:$AD$275,8,FALSE)="","",VLOOKUP(A155,'Débit - Abfluss'!$A$4:$AD$275,8,FALSE))</f>
        <v>21-40%</v>
      </c>
      <c r="H155" s="404" t="str">
        <f>IF(VLOOKUP(A155,'Eclusée - Schwall-Sunk'!$A$2:$F$273,6,FALSE)="","",VLOOKUP(A155,'Eclusée - Schwall-Sunk'!$A$2:$F$273,6,FALSE))</f>
        <v>Non affecté / nicht betroffen</v>
      </c>
      <c r="I155" s="405" t="str">
        <f>IF(VLOOKUP(A155,'Revitalisation-Revitalisierung'!$A$4:$Z$275,13,FALSE)="","",VLOOKUP(A155,'Revitalisation-Revitalisierung'!$A$4:$Z$275,13,FALSE))</f>
        <v>Partiellement nécessaire, facile / teilweise nötig, einfach</v>
      </c>
      <c r="J155" s="406" t="str">
        <f>IF(VLOOKUP(A155,'Revitalisation-Revitalisierung'!$A$4:$Z$275,14,FALSE)="","",VLOOKUP(A155,'Revitalisation-Revitalisierung'!$A$4:$Z$275,14,FALSE))</f>
        <v>a</v>
      </c>
      <c r="K155" s="407"/>
    </row>
    <row r="156" spans="1:11" ht="20.100000000000001" customHeight="1" x14ac:dyDescent="0.25">
      <c r="A156" s="412">
        <v>151</v>
      </c>
      <c r="B156" s="400" t="s">
        <v>490</v>
      </c>
      <c r="C156" s="400" t="s">
        <v>489</v>
      </c>
      <c r="D156" s="401" t="s">
        <v>482</v>
      </c>
      <c r="E156" s="402" t="str">
        <f>IF(VLOOKUP(A156,'Charriage - Geschiebehaushalt'!$A$4:$AC$275,17,FALSE)="","",VLOOKUP(A156,'Charriage - Geschiebehaushalt'!$A$4:$AC$275,17,FALSE))</f>
        <v>21-50%</v>
      </c>
      <c r="F156" s="403" t="str">
        <f>IF(VLOOKUP(A156,'Charriage - Geschiebehaushalt'!$A$4:$AC$275,18,FALSE)="","",VLOOKUP(A156,'Charriage - Geschiebehaushalt'!$A$4:$AC$275,18,FALSE))</f>
        <v>a</v>
      </c>
      <c r="G156" s="330" t="str">
        <f>IF(VLOOKUP(A156,'Débit - Abfluss'!$A$4:$AD$275,8,FALSE)="","",VLOOKUP(A156,'Débit - Abfluss'!$A$4:$AD$275,8,FALSE))</f>
        <v>0-20%</v>
      </c>
      <c r="H156" s="404" t="str">
        <f>IF(VLOOKUP(A156,'Eclusée - Schwall-Sunk'!$A$2:$F$273,6,FALSE)="","",VLOOKUP(A156,'Eclusée - Schwall-Sunk'!$A$2:$F$273,6,FALSE))</f>
        <v>Non affecté / nicht betroffen</v>
      </c>
      <c r="I156" s="405" t="str">
        <f>IF(VLOOKUP(A156,'Revitalisation-Revitalisierung'!$A$4:$Z$275,13,FALSE)="","",VLOOKUP(A156,'Revitalisation-Revitalisierung'!$A$4:$Z$275,13,FALSE))</f>
        <v>Partiellement nécessaire, difficile / teilweise nötig, schwierig</v>
      </c>
      <c r="J156" s="406" t="str">
        <f>IF(VLOOKUP(A156,'Revitalisation-Revitalisierung'!$A$4:$Z$275,14,FALSE)="","",VLOOKUP(A156,'Revitalisation-Revitalisierung'!$A$4:$Z$275,14,FALSE))</f>
        <v>a</v>
      </c>
      <c r="K156" s="407"/>
    </row>
    <row r="157" spans="1:11" ht="20.100000000000001" customHeight="1" x14ac:dyDescent="0.25">
      <c r="A157" s="399">
        <v>155</v>
      </c>
      <c r="B157" s="400" t="s">
        <v>491</v>
      </c>
      <c r="C157" s="400" t="s">
        <v>492</v>
      </c>
      <c r="D157" s="401" t="s">
        <v>482</v>
      </c>
      <c r="E157" s="402" t="str">
        <f>IF(VLOOKUP(A157,'Charriage - Geschiebehaushalt'!$A$4:$AC$275,17,FALSE)="","",VLOOKUP(A157,'Charriage - Geschiebehaushalt'!$A$4:$AC$275,17,FALSE))</f>
        <v>Déficit non apparent en charriage ou en remobilisation des sédiments / kein sichtbares Defizit beim Geschiebehaushalt bzw. bei der Mobilisierung von Geschiebe</v>
      </c>
      <c r="F157" s="403" t="str">
        <f>IF(VLOOKUP(A157,'Charriage - Geschiebehaushalt'!$A$4:$AC$275,18,FALSE)="","",VLOOKUP(A157,'Charriage - Geschiebehaushalt'!$A$4:$AC$275,18,FALSE))</f>
        <v>b</v>
      </c>
      <c r="G157" s="330" t="str">
        <f>IF(VLOOKUP(A157,'Débit - Abfluss'!$A$4:$AD$275,8,FALSE)="","",VLOOKUP(A157,'Débit - Abfluss'!$A$4:$AD$275,8,FALSE))</f>
        <v>0-20%</v>
      </c>
      <c r="H157" s="404" t="str">
        <f>IF(VLOOKUP(A157,'Eclusée - Schwall-Sunk'!$A$2:$F$273,6,FALSE)="","",VLOOKUP(A157,'Eclusée - Schwall-Sunk'!$A$2:$F$273,6,FALSE))</f>
        <v>Non affecté / nicht betroffen</v>
      </c>
      <c r="I157" s="405" t="str">
        <f>IF(VLOOKUP(A157,'Revitalisation-Revitalisierung'!$A$4:$Z$275,13,FALSE)="","",VLOOKUP(A157,'Revitalisation-Revitalisierung'!$A$4:$Z$275,13,FALSE))</f>
        <v>Non nécessaire / nicht nötig</v>
      </c>
      <c r="J157" s="406" t="str">
        <f>IF(VLOOKUP(A157,'Revitalisation-Revitalisierung'!$A$4:$Z$275,14,FALSE)="","",VLOOKUP(A157,'Revitalisation-Revitalisierung'!$A$4:$Z$275,14,FALSE))</f>
        <v>a</v>
      </c>
      <c r="K157" s="407"/>
    </row>
    <row r="158" spans="1:11" ht="20.100000000000001" customHeight="1" x14ac:dyDescent="0.25">
      <c r="A158" s="399">
        <v>156</v>
      </c>
      <c r="B158" s="400" t="s">
        <v>493</v>
      </c>
      <c r="C158" s="400" t="s">
        <v>294</v>
      </c>
      <c r="D158" s="401" t="s">
        <v>482</v>
      </c>
      <c r="E158" s="402" t="str">
        <f>IF(VLOOKUP(A158,'Charriage - Geschiebehaushalt'!$A$4:$AC$275,17,FALSE)="","",VLOOKUP(A158,'Charriage - Geschiebehaushalt'!$A$4:$AC$275,17,FALSE))</f>
        <v>Charriage présumé perturbé / Geschiebehaushalt vermutlich beeinträchtigt</v>
      </c>
      <c r="F158" s="403" t="str">
        <f>IF(VLOOKUP(A158,'Charriage - Geschiebehaushalt'!$A$4:$AC$275,18,FALSE)="","",VLOOKUP(A158,'Charriage - Geschiebehaushalt'!$A$4:$AC$275,18,FALSE))</f>
        <v>b</v>
      </c>
      <c r="G158" s="330" t="str">
        <f>IF(VLOOKUP(A158,'Débit - Abfluss'!$A$4:$AD$275,8,FALSE)="","",VLOOKUP(A158,'Débit - Abfluss'!$A$4:$AD$275,8,FALSE))</f>
        <v>81-100%</v>
      </c>
      <c r="H158" s="404" t="str">
        <f>IF(VLOOKUP(A158,'Eclusée - Schwall-Sunk'!$A$2:$F$273,6,FALSE)="","",VLOOKUP(A158,'Eclusée - Schwall-Sunk'!$A$2:$F$273,6,FALSE))</f>
        <v>Potentiellement affecté / möglicherweise betroffen</v>
      </c>
      <c r="I158" s="405" t="str">
        <f>IF(VLOOKUP(A158,'Revitalisation-Revitalisierung'!$A$4:$Z$275,13,FALSE)="","",VLOOKUP(A158,'Revitalisation-Revitalisierung'!$A$4:$Z$275,13,FALSE))</f>
        <v>Très nécessaire, facile / unbedingt nötig, einfach</v>
      </c>
      <c r="J158" s="406" t="str">
        <f>IF(VLOOKUP(A158,'Revitalisation-Revitalisierung'!$A$4:$Z$275,14,FALSE)="","",VLOOKUP(A158,'Revitalisation-Revitalisierung'!$A$4:$Z$275,14,FALSE))</f>
        <v>b</v>
      </c>
      <c r="K158" s="407"/>
    </row>
    <row r="159" spans="1:11" ht="20.100000000000001" customHeight="1" x14ac:dyDescent="0.25">
      <c r="A159" s="399">
        <v>157</v>
      </c>
      <c r="B159" s="400" t="s">
        <v>359</v>
      </c>
      <c r="C159" s="400" t="s">
        <v>294</v>
      </c>
      <c r="D159" s="401" t="s">
        <v>358</v>
      </c>
      <c r="E159" s="402" t="str">
        <f>IF(VLOOKUP(A159,'Charriage - Geschiebehaushalt'!$A$4:$AC$275,17,FALSE)="","",VLOOKUP(A159,'Charriage - Geschiebehaushalt'!$A$4:$AC$275,17,FALSE))</f>
        <v>Charriage présumé perturbé / Geschiebehaushalt vermutlich beeinträchtigt</v>
      </c>
      <c r="F159" s="403" t="str">
        <f>IF(VLOOKUP(A159,'Charriage - Geschiebehaushalt'!$A$4:$AC$275,18,FALSE)="","",VLOOKUP(A159,'Charriage - Geschiebehaushalt'!$A$4:$AC$275,18,FALSE))</f>
        <v>b</v>
      </c>
      <c r="G159" s="330" t="str">
        <f>IF(VLOOKUP(A159,'Débit - Abfluss'!$A$4:$AD$275,8,FALSE)="","",VLOOKUP(A159,'Débit - Abfluss'!$A$4:$AD$275,8,FALSE))</f>
        <v>81-100%</v>
      </c>
      <c r="H159" s="404" t="str">
        <f>IF(VLOOKUP(A159,'Eclusée - Schwall-Sunk'!$A$2:$F$273,6,FALSE)="","",VLOOKUP(A159,'Eclusée - Schwall-Sunk'!$A$2:$F$273,6,FALSE))</f>
        <v>Potentiellement affecté / möglicherweise betroffen</v>
      </c>
      <c r="I159" s="405" t="str">
        <f>IF(VLOOKUP(A159,'Revitalisation-Revitalisierung'!$A$4:$Z$275,13,FALSE)="","",VLOOKUP(A159,'Revitalisation-Revitalisierung'!$A$4:$Z$275,13,FALSE))</f>
        <v>Très nécessaire, difficile / unbedingt nötig, schwierig</v>
      </c>
      <c r="J159" s="406" t="str">
        <f>IF(VLOOKUP(A159,'Revitalisation-Revitalisierung'!$A$4:$Z$275,14,FALSE)="","",VLOOKUP(A159,'Revitalisation-Revitalisierung'!$A$4:$Z$275,14,FALSE))</f>
        <v>b</v>
      </c>
      <c r="K159" s="407"/>
    </row>
    <row r="160" spans="1:11" ht="20.100000000000001" customHeight="1" x14ac:dyDescent="0.25">
      <c r="A160" s="399">
        <v>158</v>
      </c>
      <c r="B160" s="400" t="s">
        <v>293</v>
      </c>
      <c r="C160" s="400" t="s">
        <v>294</v>
      </c>
      <c r="D160" s="401" t="s">
        <v>274</v>
      </c>
      <c r="E160" s="402" t="str">
        <f>IF(VLOOKUP(A160,'Charriage - Geschiebehaushalt'!$A$4:$AC$275,17,FALSE)="","",VLOOKUP(A160,'Charriage - Geschiebehaushalt'!$A$4:$AC$275,17,FALSE))</f>
        <v>La remobilisation des sédiments est perturbée / Mobilisierung von Geschiebe beeinträchtigt</v>
      </c>
      <c r="F160" s="403" t="str">
        <f>IF(VLOOKUP(A160,'Charriage - Geschiebehaushalt'!$A$4:$AC$275,18,FALSE)="","",VLOOKUP(A160,'Charriage - Geschiebehaushalt'!$A$4:$AC$275,18,FALSE))</f>
        <v>b</v>
      </c>
      <c r="G160" s="330" t="str">
        <f>IF(VLOOKUP(A160,'Débit - Abfluss'!$A$4:$AD$275,8,FALSE)="","",VLOOKUP(A160,'Débit - Abfluss'!$A$4:$AD$275,8,FALSE))</f>
        <v>81-100%</v>
      </c>
      <c r="H160" s="404" t="str">
        <f>IF(VLOOKUP(A160,'Eclusée - Schwall-Sunk'!$A$2:$F$273,6,FALSE)="","",VLOOKUP(A160,'Eclusée - Schwall-Sunk'!$A$2:$F$273,6,FALSE))</f>
        <v>Potentiellement affecté / möglicherweise betroffen</v>
      </c>
      <c r="I160" s="405" t="str">
        <f>IF(VLOOKUP(A160,'Revitalisation-Revitalisierung'!$A$4:$Z$275,13,FALSE)="","",VLOOKUP(A160,'Revitalisation-Revitalisierung'!$A$4:$Z$275,13,FALSE))</f>
        <v>Très nécessaire, facile / unbedingt nötig, einfach</v>
      </c>
      <c r="J160" s="406" t="str">
        <f>IF(VLOOKUP(A160,'Revitalisation-Revitalisierung'!$A$4:$Z$275,14,FALSE)="","",VLOOKUP(A160,'Revitalisation-Revitalisierung'!$A$4:$Z$275,14,FALSE))</f>
        <v>b</v>
      </c>
      <c r="K160" s="407"/>
    </row>
    <row r="161" spans="1:11" ht="20.100000000000001" customHeight="1" x14ac:dyDescent="0.25">
      <c r="A161" s="399">
        <v>160</v>
      </c>
      <c r="B161" s="400" t="s">
        <v>296</v>
      </c>
      <c r="C161" s="400" t="s">
        <v>294</v>
      </c>
      <c r="D161" s="401" t="s">
        <v>274</v>
      </c>
      <c r="E161" s="402" t="str">
        <f>IF(VLOOKUP(A161,'Charriage - Geschiebehaushalt'!$A$4:$AC$275,17,FALSE)="","",VLOOKUP(A161,'Charriage - Geschiebehaushalt'!$A$4:$AC$275,17,FALSE))</f>
        <v>Problème lié à un manque de charriage ou à un manque de remobilisation des sédiments / Problem aufgrund Geschiebemangels bzw. mangelnder Mobilisierung von Geschiebe</v>
      </c>
      <c r="F161" s="403" t="str">
        <f>IF(VLOOKUP(A161,'Charriage - Geschiebehaushalt'!$A$4:$AC$275,18,FALSE)="","",VLOOKUP(A161,'Charriage - Geschiebehaushalt'!$A$4:$AC$275,18,FALSE))</f>
        <v>b</v>
      </c>
      <c r="G161" s="330" t="str">
        <f>IF(VLOOKUP(A161,'Débit - Abfluss'!$A$4:$AD$275,8,FALSE)="","",VLOOKUP(A161,'Débit - Abfluss'!$A$4:$AD$275,8,FALSE))</f>
        <v>81-100%</v>
      </c>
      <c r="H161" s="404" t="str">
        <f>IF(VLOOKUP(A161,'Eclusée - Schwall-Sunk'!$A$2:$F$273,6,FALSE)="","",VLOOKUP(A161,'Eclusée - Schwall-Sunk'!$A$2:$F$273,6,FALSE))</f>
        <v>Potentiellement affecté / möglicherweise betroffen</v>
      </c>
      <c r="I161" s="405" t="str">
        <f>IF(VLOOKUP(A161,'Revitalisation-Revitalisierung'!$A$4:$Z$275,13,FALSE)="","",VLOOKUP(A161,'Revitalisation-Revitalisierung'!$A$4:$Z$275,13,FALSE))</f>
        <v>Non nécessaire / nicht nötig</v>
      </c>
      <c r="J161" s="406" t="str">
        <f>IF(VLOOKUP(A161,'Revitalisation-Revitalisierung'!$A$4:$Z$275,14,FALSE)="","",VLOOKUP(A161,'Revitalisation-Revitalisierung'!$A$4:$Z$275,14,FALSE))</f>
        <v>b</v>
      </c>
      <c r="K161" s="407"/>
    </row>
    <row r="162" spans="1:11" ht="20.100000000000001" customHeight="1" x14ac:dyDescent="0.25">
      <c r="A162" s="399">
        <v>161</v>
      </c>
      <c r="B162" s="400" t="s">
        <v>297</v>
      </c>
      <c r="C162" s="400" t="s">
        <v>294</v>
      </c>
      <c r="D162" s="401" t="s">
        <v>274</v>
      </c>
      <c r="E162" s="402" t="str">
        <f>IF(VLOOKUP(A162,'Charriage - Geschiebehaushalt'!$A$4:$AC$275,17,FALSE)="","",VLOOKUP(A162,'Charriage - Geschiebehaushalt'!$A$4:$AC$275,17,FALSE))</f>
        <v>Problème lié à un manque de charriage ou à un manque de remobilisation des sédiments / Problem aufgrund Geschiebemangels bzw. mangelnder Mobilisierung von Geschiebe</v>
      </c>
      <c r="F162" s="403" t="str">
        <f>IF(VLOOKUP(A162,'Charriage - Geschiebehaushalt'!$A$4:$AC$275,18,FALSE)="","",VLOOKUP(A162,'Charriage - Geschiebehaushalt'!$A$4:$AC$275,18,FALSE))</f>
        <v>b</v>
      </c>
      <c r="G162" s="330" t="str">
        <f>IF(VLOOKUP(A162,'Débit - Abfluss'!$A$4:$AD$275,8,FALSE)="","",VLOOKUP(A162,'Débit - Abfluss'!$A$4:$AD$275,8,FALSE))</f>
        <v>81-100%</v>
      </c>
      <c r="H162" s="404" t="str">
        <f>IF(VLOOKUP(A162,'Eclusée - Schwall-Sunk'!$A$2:$F$273,6,FALSE)="","",VLOOKUP(A162,'Eclusée - Schwall-Sunk'!$A$2:$F$273,6,FALSE))</f>
        <v>Potentiellement affecté / möglicherweise betroffen</v>
      </c>
      <c r="I162" s="405" t="str">
        <f>IF(VLOOKUP(A162,'Revitalisation-Revitalisierung'!$A$4:$Z$275,13,FALSE)="","",VLOOKUP(A162,'Revitalisation-Revitalisierung'!$A$4:$Z$275,13,FALSE))</f>
        <v>Très nécessaire, facile / unbedingt nötig, einfach</v>
      </c>
      <c r="J162" s="406" t="str">
        <f>IF(VLOOKUP(A162,'Revitalisation-Revitalisierung'!$A$4:$Z$275,14,FALSE)="","",VLOOKUP(A162,'Revitalisation-Revitalisierung'!$A$4:$Z$275,14,FALSE))</f>
        <v>b</v>
      </c>
      <c r="K162" s="407"/>
    </row>
    <row r="163" spans="1:11" ht="20.100000000000001" customHeight="1" x14ac:dyDescent="0.25">
      <c r="A163" s="399">
        <v>162</v>
      </c>
      <c r="B163" s="400" t="s">
        <v>298</v>
      </c>
      <c r="C163" s="400" t="s">
        <v>294</v>
      </c>
      <c r="D163" s="401" t="s">
        <v>274</v>
      </c>
      <c r="E163" s="402" t="str">
        <f>IF(VLOOKUP(A163,'Charriage - Geschiebehaushalt'!$A$4:$AC$275,17,FALSE)="","",VLOOKUP(A163,'Charriage - Geschiebehaushalt'!$A$4:$AC$275,17,FALSE))</f>
        <v>La remobilisation des sédiments est perturbée / Mobilisierung von Geschiebe beeinträchtigt</v>
      </c>
      <c r="F163" s="403" t="str">
        <f>IF(VLOOKUP(A163,'Charriage - Geschiebehaushalt'!$A$4:$AC$275,18,FALSE)="","",VLOOKUP(A163,'Charriage - Geschiebehaushalt'!$A$4:$AC$275,18,FALSE))</f>
        <v>b</v>
      </c>
      <c r="G163" s="330" t="str">
        <f>IF(VLOOKUP(A163,'Débit - Abfluss'!$A$4:$AD$275,8,FALSE)="","",VLOOKUP(A163,'Débit - Abfluss'!$A$4:$AD$275,8,FALSE))</f>
        <v>21-40%</v>
      </c>
      <c r="H163" s="404" t="str">
        <f>IF(VLOOKUP(A163,'Eclusée - Schwall-Sunk'!$A$2:$F$273,6,FALSE)="","",VLOOKUP(A163,'Eclusée - Schwall-Sunk'!$A$2:$F$273,6,FALSE))</f>
        <v>Potentiellement affecté / möglicherweise betroffen</v>
      </c>
      <c r="I163" s="405" t="str">
        <f>IF(VLOOKUP(A163,'Revitalisation-Revitalisierung'!$A$4:$Z$275,13,FALSE)="","",VLOOKUP(A163,'Revitalisation-Revitalisierung'!$A$4:$Z$275,13,FALSE))</f>
        <v>Très nécessaire, facile / unbedingt nötig, einfach</v>
      </c>
      <c r="J163" s="406" t="str">
        <f>IF(VLOOKUP(A163,'Revitalisation-Revitalisierung'!$A$4:$Z$275,14,FALSE)="","",VLOOKUP(A163,'Revitalisation-Revitalisierung'!$A$4:$Z$275,14,FALSE))</f>
        <v>b</v>
      </c>
      <c r="K163" s="407"/>
    </row>
    <row r="164" spans="1:11" ht="20.100000000000001" customHeight="1" x14ac:dyDescent="0.25">
      <c r="A164" s="399">
        <v>164</v>
      </c>
      <c r="B164" s="400" t="s">
        <v>299</v>
      </c>
      <c r="C164" s="400" t="s">
        <v>294</v>
      </c>
      <c r="D164" s="401" t="s">
        <v>274</v>
      </c>
      <c r="E164" s="402" t="str">
        <f>IF(VLOOKUP(A164,'Charriage - Geschiebehaushalt'!$A$4:$AC$275,17,FALSE)="","",VLOOKUP(A164,'Charriage - Geschiebehaushalt'!$A$4:$AC$275,17,FALSE))</f>
        <v>Charriage présumé faiblement perturbé / Geschiebe vermutlich leicht beeinträchtigt</v>
      </c>
      <c r="F164" s="403" t="str">
        <f>IF(VLOOKUP(A164,'Charriage - Geschiebehaushalt'!$A$4:$AC$275,18,FALSE)="","",VLOOKUP(A164,'Charriage - Geschiebehaushalt'!$A$4:$AC$275,18,FALSE))</f>
        <v>b</v>
      </c>
      <c r="G164" s="330" t="str">
        <f>IF(VLOOKUP(A164,'Débit - Abfluss'!$A$4:$AD$275,8,FALSE)="","",VLOOKUP(A164,'Débit - Abfluss'!$A$4:$AD$275,8,FALSE))</f>
        <v>21-40%</v>
      </c>
      <c r="H164" s="404" t="str">
        <f>IF(VLOOKUP(A164,'Eclusée - Schwall-Sunk'!$A$2:$F$273,6,FALSE)="","",VLOOKUP(A164,'Eclusée - Schwall-Sunk'!$A$2:$F$273,6,FALSE))</f>
        <v>Non affecté / nicht betroffen</v>
      </c>
      <c r="I164" s="405" t="str">
        <f>IF(VLOOKUP(A164,'Revitalisation-Revitalisierung'!$A$4:$Z$275,13,FALSE)="","",VLOOKUP(A164,'Revitalisation-Revitalisierung'!$A$4:$Z$275,13,FALSE))</f>
        <v>Non nécessaire / nicht nötig</v>
      </c>
      <c r="J164" s="406" t="str">
        <f>IF(VLOOKUP(A164,'Revitalisation-Revitalisierung'!$A$4:$Z$275,14,FALSE)="","",VLOOKUP(A164,'Revitalisation-Revitalisierung'!$A$4:$Z$275,14,FALSE))</f>
        <v>a</v>
      </c>
      <c r="K164" s="407"/>
    </row>
    <row r="165" spans="1:11" ht="20.100000000000001" customHeight="1" x14ac:dyDescent="0.25">
      <c r="A165" s="399">
        <v>166</v>
      </c>
      <c r="B165" s="400" t="s">
        <v>301</v>
      </c>
      <c r="C165" s="400" t="s">
        <v>302</v>
      </c>
      <c r="D165" s="401" t="s">
        <v>274</v>
      </c>
      <c r="E165" s="402" t="str">
        <f>IF(VLOOKUP(A165,'Charriage - Geschiebehaushalt'!$A$4:$AC$275,17,FALSE)="","",VLOOKUP(A165,'Charriage - Geschiebehaushalt'!$A$4:$AC$275,17,FALSE))</f>
        <v>La remobilisation des sédiments est perturbée / Mobilisierung von Geschiebe beeinträchtigt</v>
      </c>
      <c r="F165" s="403" t="str">
        <f>IF(VLOOKUP(A165,'Charriage - Geschiebehaushalt'!$A$4:$AC$275,18,FALSE)="","",VLOOKUP(A165,'Charriage - Geschiebehaushalt'!$A$4:$AC$275,18,FALSE))</f>
        <v>b</v>
      </c>
      <c r="G165" s="330" t="str">
        <f>IF(VLOOKUP(A165,'Débit - Abfluss'!$A$4:$AD$275,8,FALSE)="","",VLOOKUP(A165,'Débit - Abfluss'!$A$4:$AD$275,8,FALSE))</f>
        <v>41-60%</v>
      </c>
      <c r="H165" s="404" t="str">
        <f>IF(VLOOKUP(A165,'Eclusée - Schwall-Sunk'!$A$2:$F$273,6,FALSE)="","",VLOOKUP(A165,'Eclusée - Schwall-Sunk'!$A$2:$F$273,6,FALSE))</f>
        <v>Non affecté / nicht betroffen</v>
      </c>
      <c r="I165" s="405" t="str">
        <f>IF(VLOOKUP(A165,'Revitalisation-Revitalisierung'!$A$4:$Z$275,13,FALSE)="","",VLOOKUP(A165,'Revitalisation-Revitalisierung'!$A$4:$Z$275,13,FALSE))</f>
        <v>Très nécessaire, difficile / unbedingt nötig, schwierig</v>
      </c>
      <c r="J165" s="406" t="str">
        <f>IF(VLOOKUP(A165,'Revitalisation-Revitalisierung'!$A$4:$Z$275,14,FALSE)="","",VLOOKUP(A165,'Revitalisation-Revitalisierung'!$A$4:$Z$275,14,FALSE))</f>
        <v>a</v>
      </c>
      <c r="K165" s="407"/>
    </row>
    <row r="166" spans="1:11" ht="20.100000000000001" customHeight="1" x14ac:dyDescent="0.25">
      <c r="A166" s="399">
        <v>167</v>
      </c>
      <c r="B166" s="400" t="s">
        <v>497</v>
      </c>
      <c r="C166" s="400" t="s">
        <v>484</v>
      </c>
      <c r="D166" s="401" t="s">
        <v>482</v>
      </c>
      <c r="E166" s="402" t="str">
        <f>IF(VLOOKUP(A166,'Charriage - Geschiebehaushalt'!$A$4:$AC$275,17,FALSE)="","",VLOOKUP(A166,'Charriage - Geschiebehaushalt'!$A$4:$AC$275,17,FALSE))</f>
        <v>Charriage présumé perturbé / Geschiebehaushalt vermutlich beeinträchtigt</v>
      </c>
      <c r="F166" s="403" t="str">
        <f>IF(VLOOKUP(A166,'Charriage - Geschiebehaushalt'!$A$4:$AC$275,18,FALSE)="","",VLOOKUP(A166,'Charriage - Geschiebehaushalt'!$A$4:$AC$275,18,FALSE))</f>
        <v>b</v>
      </c>
      <c r="G166" s="330" t="str">
        <f>IF(VLOOKUP(A166,'Débit - Abfluss'!$A$4:$AD$275,8,FALSE)="","",VLOOKUP(A166,'Débit - Abfluss'!$A$4:$AD$275,8,FALSE))</f>
        <v>81-100%</v>
      </c>
      <c r="H166" s="404" t="str">
        <f>IF(VLOOKUP(A166,'Eclusée - Schwall-Sunk'!$A$2:$F$273,6,FALSE)="","",VLOOKUP(A166,'Eclusée - Schwall-Sunk'!$A$2:$F$273,6,FALSE))</f>
        <v>Potentiellement affecté / möglicherweise betroffen</v>
      </c>
      <c r="I166" s="405" t="str">
        <f>IF(VLOOKUP(A166,'Revitalisation-Revitalisierung'!$A$4:$Z$275,13,FALSE)="","",VLOOKUP(A166,'Revitalisation-Revitalisierung'!$A$4:$Z$275,13,FALSE))</f>
        <v>Très nécessaire, facile / unbedingt nötig, einfach</v>
      </c>
      <c r="J166" s="406" t="str">
        <f>IF(VLOOKUP(A166,'Revitalisation-Revitalisierung'!$A$4:$Z$275,14,FALSE)="","",VLOOKUP(A166,'Revitalisation-Revitalisierung'!$A$4:$Z$275,14,FALSE))</f>
        <v>a</v>
      </c>
      <c r="K166" s="407"/>
    </row>
    <row r="167" spans="1:11" ht="20.100000000000001" customHeight="1" x14ac:dyDescent="0.25">
      <c r="A167" s="399">
        <v>168</v>
      </c>
      <c r="B167" s="400" t="s">
        <v>499</v>
      </c>
      <c r="C167" s="400" t="s">
        <v>484</v>
      </c>
      <c r="D167" s="401" t="s">
        <v>482</v>
      </c>
      <c r="E167" s="402" t="str">
        <f>IF(VLOOKUP(A167,'Charriage - Geschiebehaushalt'!$A$4:$AC$275,17,FALSE)="","",VLOOKUP(A167,'Charriage - Geschiebehaushalt'!$A$4:$AC$275,17,FALSE))</f>
        <v>Charriage présumé perturbé / Geschiebehaushalt vermutlich beeinträchtigt</v>
      </c>
      <c r="F167" s="403" t="str">
        <f>IF(VLOOKUP(A167,'Charriage - Geschiebehaushalt'!$A$4:$AC$275,18,FALSE)="","",VLOOKUP(A167,'Charriage - Geschiebehaushalt'!$A$4:$AC$275,18,FALSE))</f>
        <v>b</v>
      </c>
      <c r="G167" s="330" t="str">
        <f>IF(VLOOKUP(A167,'Débit - Abfluss'!$A$4:$AD$275,8,FALSE)="","",VLOOKUP(A167,'Débit - Abfluss'!$A$4:$AD$275,8,FALSE))</f>
        <v>81-100%</v>
      </c>
      <c r="H167" s="404" t="str">
        <f>IF(VLOOKUP(A167,'Eclusée - Schwall-Sunk'!$A$2:$F$273,6,FALSE)="","",VLOOKUP(A167,'Eclusée - Schwall-Sunk'!$A$2:$F$273,6,FALSE))</f>
        <v>Potentiellement affecté / möglicherweise betroffen</v>
      </c>
      <c r="I167" s="405" t="str">
        <f>IF(VLOOKUP(A167,'Revitalisation-Revitalisierung'!$A$4:$Z$275,13,FALSE)="","",VLOOKUP(A167,'Revitalisation-Revitalisierung'!$A$4:$Z$275,13,FALSE))</f>
        <v>Très nécessaire, facile / unbedingt nötig, einfach</v>
      </c>
      <c r="J167" s="406" t="str">
        <f>IF(VLOOKUP(A167,'Revitalisation-Revitalisierung'!$A$4:$Z$275,14,FALSE)="","",VLOOKUP(A167,'Revitalisation-Revitalisierung'!$A$4:$Z$275,14,FALSE))</f>
        <v>a</v>
      </c>
      <c r="K167" s="407"/>
    </row>
    <row r="168" spans="1:11" ht="20.100000000000001" customHeight="1" x14ac:dyDescent="0.25">
      <c r="A168" s="412">
        <v>169.1</v>
      </c>
      <c r="B168" s="400" t="s">
        <v>500</v>
      </c>
      <c r="C168" s="400" t="s">
        <v>501</v>
      </c>
      <c r="D168" s="401" t="s">
        <v>482</v>
      </c>
      <c r="E168" s="402" t="str">
        <f>IF(VLOOKUP(A168,'Charriage - Geschiebehaushalt'!$A$4:$AC$275,17,FALSE)="","",VLOOKUP(A168,'Charriage - Geschiebehaushalt'!$A$4:$AC$275,17,FALSE))</f>
        <v>Charriage présumé perturbé / Geschiebehaushalt vermutlich beeinträchtigt</v>
      </c>
      <c r="F168" s="403" t="str">
        <f>IF(VLOOKUP(A168,'Charriage - Geschiebehaushalt'!$A$4:$AC$275,18,FALSE)="","",VLOOKUP(A168,'Charriage - Geschiebehaushalt'!$A$4:$AC$275,18,FALSE))</f>
        <v>b</v>
      </c>
      <c r="G168" s="330" t="str">
        <f>IF(VLOOKUP(A168,'Débit - Abfluss'!$A$4:$AD$275,8,FALSE)="","",VLOOKUP(A168,'Débit - Abfluss'!$A$4:$AD$275,8,FALSE))</f>
        <v>81-100%</v>
      </c>
      <c r="H168" s="404" t="str">
        <f>IF(VLOOKUP(A168,'Eclusée - Schwall-Sunk'!$A$2:$F$273,6,FALSE)="","",VLOOKUP(A168,'Eclusée - Schwall-Sunk'!$A$2:$F$273,6,FALSE))</f>
        <v>Potentiellement affecté / möglicherweise betroffen</v>
      </c>
      <c r="I168" s="405" t="str">
        <f>IF(VLOOKUP(A168,'Revitalisation-Revitalisierung'!$A$4:$Z$275,13,FALSE)="","",VLOOKUP(A168,'Revitalisation-Revitalisierung'!$A$4:$Z$275,13,FALSE))</f>
        <v>Non nécessaire / nicht nötig</v>
      </c>
      <c r="J168" s="406" t="str">
        <f>IF(VLOOKUP(A168,'Revitalisation-Revitalisierung'!$A$4:$Z$275,14,FALSE)="","",VLOOKUP(A168,'Revitalisation-Revitalisierung'!$A$4:$Z$275,14,FALSE))</f>
        <v>a</v>
      </c>
      <c r="K168" s="407"/>
    </row>
    <row r="169" spans="1:11" ht="20.100000000000001" customHeight="1" x14ac:dyDescent="0.25">
      <c r="A169" s="412">
        <v>169.2</v>
      </c>
      <c r="B169" s="400" t="s">
        <v>500</v>
      </c>
      <c r="C169" s="400" t="s">
        <v>501</v>
      </c>
      <c r="D169" s="401" t="s">
        <v>482</v>
      </c>
      <c r="E169" s="402" t="str">
        <f>IF(VLOOKUP(A169,'Charriage - Geschiebehaushalt'!$A$4:$AC$275,17,FALSE)="","",VLOOKUP(A169,'Charriage - Geschiebehaushalt'!$A$4:$AC$275,17,FALSE))</f>
        <v>Charriage présumé perturbé / Geschiebehaushalt vermutlich beeinträchtigt</v>
      </c>
      <c r="F169" s="403" t="str">
        <f>IF(VLOOKUP(A169,'Charriage - Geschiebehaushalt'!$A$4:$AC$275,18,FALSE)="","",VLOOKUP(A169,'Charriage - Geschiebehaushalt'!$A$4:$AC$275,18,FALSE))</f>
        <v>b</v>
      </c>
      <c r="G169" s="330" t="str">
        <f>IF(VLOOKUP(A169,'Débit - Abfluss'!$A$4:$AD$275,8,FALSE)="","",VLOOKUP(A169,'Débit - Abfluss'!$A$4:$AD$275,8,FALSE))</f>
        <v>81-100%</v>
      </c>
      <c r="H169" s="404" t="str">
        <f>IF(VLOOKUP(A169,'Eclusée - Schwall-Sunk'!$A$2:$F$273,6,FALSE)="","",VLOOKUP(A169,'Eclusée - Schwall-Sunk'!$A$2:$F$273,6,FALSE))</f>
        <v>Potentiellement affecté / möglicherweise betroffen</v>
      </c>
      <c r="I169" s="405" t="str">
        <f>IF(VLOOKUP(A169,'Revitalisation-Revitalisierung'!$A$4:$Z$275,13,FALSE)="","",VLOOKUP(A169,'Revitalisation-Revitalisierung'!$A$4:$Z$275,13,FALSE))</f>
        <v>Très nécessaire, facile / unbedingt nötig, einfach</v>
      </c>
      <c r="J169" s="406" t="str">
        <f>IF(VLOOKUP(A169,'Revitalisation-Revitalisierung'!$A$4:$Z$275,14,FALSE)="","",VLOOKUP(A169,'Revitalisation-Revitalisierung'!$A$4:$Z$275,14,FALSE))</f>
        <v>b</v>
      </c>
      <c r="K169" s="407"/>
    </row>
    <row r="170" spans="1:11" ht="20.100000000000001" customHeight="1" x14ac:dyDescent="0.25">
      <c r="A170" s="399">
        <v>170</v>
      </c>
      <c r="B170" s="400" t="s">
        <v>502</v>
      </c>
      <c r="C170" s="400" t="s">
        <v>503</v>
      </c>
      <c r="D170" s="401" t="s">
        <v>482</v>
      </c>
      <c r="E170" s="402" t="str">
        <f>IF(VLOOKUP(A170,'Charriage - Geschiebehaushalt'!$A$4:$AC$275,17,FALSE)="","",VLOOKUP(A170,'Charriage - Geschiebehaushalt'!$A$4:$AC$275,17,FALSE))</f>
        <v>Charriage présumé perturbé / Geschiebehaushalt vermutlich beeinträchtigt</v>
      </c>
      <c r="F170" s="403" t="str">
        <f>IF(VLOOKUP(A170,'Charriage - Geschiebehaushalt'!$A$4:$AC$275,18,FALSE)="","",VLOOKUP(A170,'Charriage - Geschiebehaushalt'!$A$4:$AC$275,18,FALSE))</f>
        <v>b</v>
      </c>
      <c r="G170" s="330" t="str">
        <f>IF(VLOOKUP(A170,'Débit - Abfluss'!$A$4:$AD$275,8,FALSE)="","",VLOOKUP(A170,'Débit - Abfluss'!$A$4:$AD$275,8,FALSE))</f>
        <v>21-40%</v>
      </c>
      <c r="H170" s="404" t="str">
        <f>IF(VLOOKUP(A170,'Eclusée - Schwall-Sunk'!$A$2:$F$273,6,FALSE)="","",VLOOKUP(A170,'Eclusée - Schwall-Sunk'!$A$2:$F$273,6,FALSE))</f>
        <v>Non affecté / nicht betroffen</v>
      </c>
      <c r="I170" s="405" t="str">
        <f>IF(VLOOKUP(A170,'Revitalisation-Revitalisierung'!$A$4:$Z$275,13,FALSE)="","",VLOOKUP(A170,'Revitalisation-Revitalisierung'!$A$4:$Z$275,13,FALSE))</f>
        <v>Très nécessaire, facile / unbedingt nötig, einfach</v>
      </c>
      <c r="J170" s="406" t="str">
        <f>IF(VLOOKUP(A170,'Revitalisation-Revitalisierung'!$A$4:$Z$275,14,FALSE)="","",VLOOKUP(A170,'Revitalisation-Revitalisierung'!$A$4:$Z$275,14,FALSE))</f>
        <v>b</v>
      </c>
      <c r="K170" s="407"/>
    </row>
    <row r="171" spans="1:11" ht="20.100000000000001" customHeight="1" x14ac:dyDescent="0.25">
      <c r="A171" s="412">
        <v>171</v>
      </c>
      <c r="B171" s="400" t="s">
        <v>503</v>
      </c>
      <c r="C171" s="400" t="s">
        <v>503</v>
      </c>
      <c r="D171" s="401" t="s">
        <v>482</v>
      </c>
      <c r="E171" s="402" t="str">
        <f>IF(VLOOKUP(A171,'Charriage - Geschiebehaushalt'!$A$4:$AC$275,17,FALSE)="","",VLOOKUP(A171,'Charriage - Geschiebehaushalt'!$A$4:$AC$275,17,FALSE))</f>
        <v>Charriage présumé perturbé / Geschiebehaushalt vermutlich beeinträchtigt</v>
      </c>
      <c r="F171" s="403" t="str">
        <f>IF(VLOOKUP(A171,'Charriage - Geschiebehaushalt'!$A$4:$AC$275,18,FALSE)="","",VLOOKUP(A171,'Charriage - Geschiebehaushalt'!$A$4:$AC$275,18,FALSE))</f>
        <v>b</v>
      </c>
      <c r="G171" s="330" t="str">
        <f>IF(VLOOKUP(A171,'Débit - Abfluss'!$A$4:$AD$275,8,FALSE)="","",VLOOKUP(A171,'Débit - Abfluss'!$A$4:$AD$275,8,FALSE))</f>
        <v>21-40%</v>
      </c>
      <c r="H171" s="404" t="str">
        <f>IF(VLOOKUP(A171,'Eclusée - Schwall-Sunk'!$A$2:$F$273,6,FALSE)="","",VLOOKUP(A171,'Eclusée - Schwall-Sunk'!$A$2:$F$273,6,FALSE))</f>
        <v>Non affecté / nicht betroffen</v>
      </c>
      <c r="I171" s="405" t="str">
        <f>IF(VLOOKUP(A171,'Revitalisation-Revitalisierung'!$A$4:$Z$275,13,FALSE)="","",VLOOKUP(A171,'Revitalisation-Revitalisierung'!$A$4:$Z$275,13,FALSE))</f>
        <v>Partiellement nécessaire, difficile / teilweise nötig, schwierig</v>
      </c>
      <c r="J171" s="406" t="str">
        <f>IF(VLOOKUP(A171,'Revitalisation-Revitalisierung'!$A$4:$Z$275,14,FALSE)="","",VLOOKUP(A171,'Revitalisation-Revitalisierung'!$A$4:$Z$275,14,FALSE))</f>
        <v>a</v>
      </c>
      <c r="K171" s="407"/>
    </row>
    <row r="172" spans="1:11" ht="20.100000000000001" customHeight="1" x14ac:dyDescent="0.25">
      <c r="A172" s="399">
        <v>172</v>
      </c>
      <c r="B172" s="400" t="s">
        <v>509</v>
      </c>
      <c r="C172" s="400" t="s">
        <v>503</v>
      </c>
      <c r="D172" s="401" t="s">
        <v>482</v>
      </c>
      <c r="E172" s="402" t="str">
        <f>IF(VLOOKUP(A172,'Charriage - Geschiebehaushalt'!$A$4:$AC$275,17,FALSE)="","",VLOOKUP(A172,'Charriage - Geschiebehaushalt'!$A$4:$AC$275,17,FALSE))</f>
        <v>Charriage présumé perturbé / Geschiebehaushalt vermutlich beeinträchtigt</v>
      </c>
      <c r="F172" s="403" t="str">
        <f>IF(VLOOKUP(A172,'Charriage - Geschiebehaushalt'!$A$4:$AC$275,18,FALSE)="","",VLOOKUP(A172,'Charriage - Geschiebehaushalt'!$A$4:$AC$275,18,FALSE))</f>
        <v>b</v>
      </c>
      <c r="G172" s="330" t="str">
        <f>IF(VLOOKUP(A172,'Débit - Abfluss'!$A$4:$AD$275,8,FALSE)="","",VLOOKUP(A172,'Débit - Abfluss'!$A$4:$AD$275,8,FALSE))</f>
        <v>0-20%</v>
      </c>
      <c r="H172" s="404" t="str">
        <f>IF(VLOOKUP(A172,'Eclusée - Schwall-Sunk'!$A$2:$F$273,6,FALSE)="","",VLOOKUP(A172,'Eclusée - Schwall-Sunk'!$A$2:$F$273,6,FALSE))</f>
        <v>Non affecté / nicht betroffen</v>
      </c>
      <c r="I172" s="405" t="str">
        <f>IF(VLOOKUP(A172,'Revitalisation-Revitalisierung'!$A$4:$Z$275,13,FALSE)="","",VLOOKUP(A172,'Revitalisation-Revitalisierung'!$A$4:$Z$275,13,FALSE))</f>
        <v>Partiellement nécessaire, facile / teilweise nötig, einfach</v>
      </c>
      <c r="J172" s="406" t="str">
        <f>IF(VLOOKUP(A172,'Revitalisation-Revitalisierung'!$A$4:$Z$275,14,FALSE)="","",VLOOKUP(A172,'Revitalisation-Revitalisierung'!$A$4:$Z$275,14,FALSE))</f>
        <v>a</v>
      </c>
      <c r="K172" s="407"/>
    </row>
    <row r="173" spans="1:11" ht="20.100000000000001" customHeight="1" x14ac:dyDescent="0.25">
      <c r="A173" s="399">
        <v>174</v>
      </c>
      <c r="B173" s="400" t="s">
        <v>303</v>
      </c>
      <c r="C173" s="400" t="s">
        <v>304</v>
      </c>
      <c r="D173" s="401" t="s">
        <v>274</v>
      </c>
      <c r="E173" s="402" t="str">
        <f>IF(VLOOKUP(A173,'Charriage - Geschiebehaushalt'!$A$4:$AC$275,17,FALSE)="","",VLOOKUP(A173,'Charriage - Geschiebehaushalt'!$A$4:$AC$275,17,FALSE))</f>
        <v>Charriage présumé naturel / Geschiebehaushalt vermutlich natürlich</v>
      </c>
      <c r="F173" s="403" t="str">
        <f>IF(VLOOKUP(A173,'Charriage - Geschiebehaushalt'!$A$4:$AC$275,18,FALSE)="","",VLOOKUP(A173,'Charriage - Geschiebehaushalt'!$A$4:$AC$275,18,FALSE))</f>
        <v>b</v>
      </c>
      <c r="G173" s="330" t="str">
        <f>IF(VLOOKUP(A173,'Débit - Abfluss'!$A$4:$AD$275,8,FALSE)="","",VLOOKUP(A173,'Débit - Abfluss'!$A$4:$AD$275,8,FALSE))</f>
        <v>21-40%</v>
      </c>
      <c r="H173" s="404" t="str">
        <f>IF(VLOOKUP(A173,'Eclusée - Schwall-Sunk'!$A$2:$F$273,6,FALSE)="","",VLOOKUP(A173,'Eclusée - Schwall-Sunk'!$A$2:$F$273,6,FALSE))</f>
        <v>Non affecté / nicht betroffen</v>
      </c>
      <c r="I173" s="405" t="str">
        <f>IF(VLOOKUP(A173,'Revitalisation-Revitalisierung'!$A$4:$Z$275,13,FALSE)="","",VLOOKUP(A173,'Revitalisation-Revitalisierung'!$A$4:$Z$275,13,FALSE))</f>
        <v>Non nécessaire / nicht nötig</v>
      </c>
      <c r="J173" s="406" t="str">
        <f>IF(VLOOKUP(A173,'Revitalisation-Revitalisierung'!$A$4:$Z$275,14,FALSE)="","",VLOOKUP(A173,'Revitalisation-Revitalisierung'!$A$4:$Z$275,14,FALSE))</f>
        <v>b</v>
      </c>
      <c r="K173" s="407"/>
    </row>
    <row r="174" spans="1:11" ht="20.100000000000001" customHeight="1" x14ac:dyDescent="0.25">
      <c r="A174" s="399">
        <v>176</v>
      </c>
      <c r="B174" s="400" t="s">
        <v>305</v>
      </c>
      <c r="C174" s="400" t="s">
        <v>304</v>
      </c>
      <c r="D174" s="401" t="s">
        <v>274</v>
      </c>
      <c r="E174" s="402" t="str">
        <f>IF(VLOOKUP(A174,'Charriage - Geschiebehaushalt'!$A$4:$AC$275,17,FALSE)="","",VLOOKUP(A174,'Charriage - Geschiebehaushalt'!$A$4:$AC$275,17,FALSE))</f>
        <v>Déficit non apparent en charriage ou en remobilisation des sédiments / kein sichtbares Defizit beim Geschiebehaushalt bzw. bei der Mobilisierung von Geschiebe</v>
      </c>
      <c r="F174" s="403" t="str">
        <f>IF(VLOOKUP(A174,'Charriage - Geschiebehaushalt'!$A$4:$AC$275,18,FALSE)="","",VLOOKUP(A174,'Charriage - Geschiebehaushalt'!$A$4:$AC$275,18,FALSE))</f>
        <v>b</v>
      </c>
      <c r="G174" s="330" t="str">
        <f>IF(VLOOKUP(A174,'Débit - Abfluss'!$A$4:$AD$275,8,FALSE)="","",VLOOKUP(A174,'Débit - Abfluss'!$A$4:$AD$275,8,FALSE))</f>
        <v>21-40%</v>
      </c>
      <c r="H174" s="404" t="str">
        <f>IF(VLOOKUP(A174,'Eclusée - Schwall-Sunk'!$A$2:$F$273,6,FALSE)="","",VLOOKUP(A174,'Eclusée - Schwall-Sunk'!$A$2:$F$273,6,FALSE))</f>
        <v>Non affecté / nicht betroffen</v>
      </c>
      <c r="I174" s="405" t="str">
        <f>IF(VLOOKUP(A174,'Revitalisation-Revitalisierung'!$A$4:$Z$275,13,FALSE)="","",VLOOKUP(A174,'Revitalisation-Revitalisierung'!$A$4:$Z$275,13,FALSE))</f>
        <v>Non nécessaire / nicht nötig</v>
      </c>
      <c r="J174" s="406" t="str">
        <f>IF(VLOOKUP(A174,'Revitalisation-Revitalisierung'!$A$4:$Z$275,14,FALSE)="","",VLOOKUP(A174,'Revitalisation-Revitalisierung'!$A$4:$Z$275,14,FALSE))</f>
        <v>a</v>
      </c>
      <c r="K174" s="407"/>
    </row>
    <row r="175" spans="1:11" ht="20.100000000000001" customHeight="1" x14ac:dyDescent="0.25">
      <c r="A175" s="399">
        <v>177</v>
      </c>
      <c r="B175" s="400" t="s">
        <v>306</v>
      </c>
      <c r="C175" s="400" t="s">
        <v>304</v>
      </c>
      <c r="D175" s="401" t="s">
        <v>274</v>
      </c>
      <c r="E175" s="402" t="str">
        <f>IF(VLOOKUP(A175,'Charriage - Geschiebehaushalt'!$A$4:$AC$275,17,FALSE)="","",VLOOKUP(A175,'Charriage - Geschiebehaushalt'!$A$4:$AC$275,17,FALSE))</f>
        <v>Charriage présumé perturbé / Geschiebehaushalt vermutlich beeinträchtigt</v>
      </c>
      <c r="F175" s="403" t="str">
        <f>IF(VLOOKUP(A175,'Charriage - Geschiebehaushalt'!$A$4:$AC$275,18,FALSE)="","",VLOOKUP(A175,'Charriage - Geschiebehaushalt'!$A$4:$AC$275,18,FALSE))</f>
        <v>b</v>
      </c>
      <c r="G175" s="330" t="str">
        <f>IF(VLOOKUP(A175,'Débit - Abfluss'!$A$4:$AD$275,8,FALSE)="","",VLOOKUP(A175,'Débit - Abfluss'!$A$4:$AD$275,8,FALSE))</f>
        <v>21-40%</v>
      </c>
      <c r="H175" s="404" t="str">
        <f>IF(VLOOKUP(A175,'Eclusée - Schwall-Sunk'!$A$2:$F$273,6,FALSE)="","",VLOOKUP(A175,'Eclusée - Schwall-Sunk'!$A$2:$F$273,6,FALSE))</f>
        <v>Non affecté / nicht betroffen</v>
      </c>
      <c r="I175" s="405" t="str">
        <f>IF(VLOOKUP(A175,'Revitalisation-Revitalisierung'!$A$4:$Z$275,13,FALSE)="","",VLOOKUP(A175,'Revitalisation-Revitalisierung'!$A$4:$Z$275,13,FALSE))</f>
        <v>Non nécessaire / nicht nötig</v>
      </c>
      <c r="J175" s="406" t="str">
        <f>IF(VLOOKUP(A175,'Revitalisation-Revitalisierung'!$A$4:$Z$275,14,FALSE)="","",VLOOKUP(A175,'Revitalisation-Revitalisierung'!$A$4:$Z$275,14,FALSE))</f>
        <v>a</v>
      </c>
      <c r="K175" s="407"/>
    </row>
    <row r="176" spans="1:11" ht="20.100000000000001" customHeight="1" x14ac:dyDescent="0.25">
      <c r="A176" s="399">
        <v>181</v>
      </c>
      <c r="B176" s="400" t="s">
        <v>309</v>
      </c>
      <c r="C176" s="400" t="s">
        <v>304</v>
      </c>
      <c r="D176" s="401" t="s">
        <v>274</v>
      </c>
      <c r="E176" s="402" t="str">
        <f>IF(VLOOKUP(A176,'Charriage - Geschiebehaushalt'!$A$4:$AC$275,17,FALSE)="","",VLOOKUP(A176,'Charriage - Geschiebehaushalt'!$A$4:$AC$275,17,FALSE))</f>
        <v>Charriage présumé faiblement perturbé / Geschiebe vermutlich leicht beeinträchtigt</v>
      </c>
      <c r="F176" s="403" t="str">
        <f>IF(VLOOKUP(A176,'Charriage - Geschiebehaushalt'!$A$4:$AC$275,18,FALSE)="","",VLOOKUP(A176,'Charriage - Geschiebehaushalt'!$A$4:$AC$275,18,FALSE))</f>
        <v>b</v>
      </c>
      <c r="G176" s="330" t="str">
        <f>IF(VLOOKUP(A176,'Débit - Abfluss'!$A$4:$AD$275,8,FALSE)="","",VLOOKUP(A176,'Débit - Abfluss'!$A$4:$AD$275,8,FALSE))</f>
        <v>21-40%</v>
      </c>
      <c r="H176" s="404" t="str">
        <f>IF(VLOOKUP(A176,'Eclusée - Schwall-Sunk'!$A$2:$F$273,6,FALSE)="","",VLOOKUP(A176,'Eclusée - Schwall-Sunk'!$A$2:$F$273,6,FALSE))</f>
        <v>Non affecté / nicht betroffen</v>
      </c>
      <c r="I176" s="405" t="str">
        <f>IF(VLOOKUP(A176,'Revitalisation-Revitalisierung'!$A$4:$Z$275,13,FALSE)="","",VLOOKUP(A176,'Revitalisation-Revitalisierung'!$A$4:$Z$275,13,FALSE))</f>
        <v>Non nécessaire / nicht nötig</v>
      </c>
      <c r="J176" s="406" t="str">
        <f>IF(VLOOKUP(A176,'Revitalisation-Revitalisierung'!$A$4:$Z$275,14,FALSE)="","",VLOOKUP(A176,'Revitalisation-Revitalisierung'!$A$4:$Z$275,14,FALSE))</f>
        <v>a</v>
      </c>
      <c r="K176" s="407"/>
    </row>
    <row r="177" spans="1:11" ht="20.100000000000001" customHeight="1" x14ac:dyDescent="0.25">
      <c r="A177" s="399">
        <v>185</v>
      </c>
      <c r="B177" s="400" t="s">
        <v>312</v>
      </c>
      <c r="C177" s="400" t="s">
        <v>304</v>
      </c>
      <c r="D177" s="401" t="s">
        <v>274</v>
      </c>
      <c r="E177" s="402" t="str">
        <f>IF(VLOOKUP(A177,'Charriage - Geschiebehaushalt'!$A$4:$AC$275,17,FALSE)="","",VLOOKUP(A177,'Charriage - Geschiebehaushalt'!$A$4:$AC$275,17,FALSE))</f>
        <v>Charriage présumé faiblement perturbé / Geschiebe vermutlich leicht beeinträchtigt</v>
      </c>
      <c r="F177" s="403" t="str">
        <f>IF(VLOOKUP(A177,'Charriage - Geschiebehaushalt'!$A$4:$AC$275,18,FALSE)="","",VLOOKUP(A177,'Charriage - Geschiebehaushalt'!$A$4:$AC$275,18,FALSE))</f>
        <v>b</v>
      </c>
      <c r="G177" s="330" t="str">
        <f>IF(VLOOKUP(A177,'Débit - Abfluss'!$A$4:$AD$275,8,FALSE)="","",VLOOKUP(A177,'Débit - Abfluss'!$A$4:$AD$275,8,FALSE))</f>
        <v>21-40%</v>
      </c>
      <c r="H177" s="404" t="str">
        <f>IF(VLOOKUP(A177,'Eclusée - Schwall-Sunk'!$A$2:$F$273,6,FALSE)="","",VLOOKUP(A177,'Eclusée - Schwall-Sunk'!$A$2:$F$273,6,FALSE))</f>
        <v>Non affecté / nicht betroffen</v>
      </c>
      <c r="I177" s="405" t="str">
        <f>IF(VLOOKUP(A177,'Revitalisation-Revitalisierung'!$A$4:$Z$275,13,FALSE)="","",VLOOKUP(A177,'Revitalisation-Revitalisierung'!$A$4:$Z$275,13,FALSE))</f>
        <v>Non nécessaire / nicht nötig</v>
      </c>
      <c r="J177" s="406" t="str">
        <f>IF(VLOOKUP(A177,'Revitalisation-Revitalisierung'!$A$4:$Z$275,14,FALSE)="","",VLOOKUP(A177,'Revitalisation-Revitalisierung'!$A$4:$Z$275,14,FALSE))</f>
        <v>a</v>
      </c>
      <c r="K177" s="407"/>
    </row>
    <row r="178" spans="1:11" ht="20.100000000000001" customHeight="1" x14ac:dyDescent="0.25">
      <c r="A178" s="399">
        <v>187</v>
      </c>
      <c r="B178" s="400" t="s">
        <v>314</v>
      </c>
      <c r="C178" s="400" t="s">
        <v>315</v>
      </c>
      <c r="D178" s="401" t="s">
        <v>274</v>
      </c>
      <c r="E178" s="402" t="str">
        <f>IF(VLOOKUP(A178,'Charriage - Geschiebehaushalt'!$A$4:$AC$275,17,FALSE)="","",VLOOKUP(A178,'Charriage - Geschiebehaushalt'!$A$4:$AC$275,17,FALSE))</f>
        <v>Charriage présumé perturbé / Geschiebehaushalt vermutlich beeinträchtigt</v>
      </c>
      <c r="F178" s="403" t="str">
        <f>IF(VLOOKUP(A178,'Charriage - Geschiebehaushalt'!$A$4:$AC$275,18,FALSE)="","",VLOOKUP(A178,'Charriage - Geschiebehaushalt'!$A$4:$AC$275,18,FALSE))</f>
        <v>b</v>
      </c>
      <c r="G178" s="330" t="str">
        <f>IF(VLOOKUP(A178,'Débit - Abfluss'!$A$4:$AD$275,8,FALSE)="","",VLOOKUP(A178,'Débit - Abfluss'!$A$4:$AD$275,8,FALSE))</f>
        <v>100%</v>
      </c>
      <c r="H178" s="404" t="str">
        <f>IF(VLOOKUP(A178,'Eclusée - Schwall-Sunk'!$A$2:$F$273,6,FALSE)="","",VLOOKUP(A178,'Eclusée - Schwall-Sunk'!$A$2:$F$273,6,FALSE))</f>
        <v>Non affecté / nicht betroffen</v>
      </c>
      <c r="I178" s="405" t="str">
        <f>IF(VLOOKUP(A178,'Revitalisation-Revitalisierung'!$A$4:$Z$275,13,FALSE)="","",VLOOKUP(A178,'Revitalisation-Revitalisierung'!$A$4:$Z$275,13,FALSE))</f>
        <v>Partiellement nécessaire, facile / teilweise nötig, einfach</v>
      </c>
      <c r="J178" s="406" t="str">
        <f>IF(VLOOKUP(A178,'Revitalisation-Revitalisierung'!$A$4:$Z$275,14,FALSE)="","",VLOOKUP(A178,'Revitalisation-Revitalisierung'!$A$4:$Z$275,14,FALSE))</f>
        <v>a</v>
      </c>
      <c r="K178" s="407"/>
    </row>
    <row r="179" spans="1:11" ht="20.100000000000001" customHeight="1" x14ac:dyDescent="0.25">
      <c r="A179" s="399">
        <v>188</v>
      </c>
      <c r="B179" s="400" t="s">
        <v>317</v>
      </c>
      <c r="C179" s="400" t="s">
        <v>304</v>
      </c>
      <c r="D179" s="401" t="s">
        <v>274</v>
      </c>
      <c r="E179" s="402" t="str">
        <f>IF(VLOOKUP(A179,'Charriage - Geschiebehaushalt'!$A$4:$AC$275,17,FALSE)="","",VLOOKUP(A179,'Charriage - Geschiebehaushalt'!$A$4:$AC$275,17,FALSE))</f>
        <v>0-20%</v>
      </c>
      <c r="F179" s="403" t="str">
        <f>IF(VLOOKUP(A179,'Charriage - Geschiebehaushalt'!$A$4:$AC$275,18,FALSE)="","",VLOOKUP(A179,'Charriage - Geschiebehaushalt'!$A$4:$AC$275,18,FALSE))</f>
        <v>a</v>
      </c>
      <c r="G179" s="330" t="str">
        <f>IF(VLOOKUP(A179,'Débit - Abfluss'!$A$4:$AD$275,8,FALSE)="","",VLOOKUP(A179,'Débit - Abfluss'!$A$4:$AD$275,8,FALSE))</f>
        <v>100%</v>
      </c>
      <c r="H179" s="404" t="str">
        <f>IF(VLOOKUP(A179,'Eclusée - Schwall-Sunk'!$A$2:$F$273,6,FALSE)="","",VLOOKUP(A179,'Eclusée - Schwall-Sunk'!$A$2:$F$273,6,FALSE))</f>
        <v>Potentiellement affecté mais non plausible / möglicherweise betroffen aber nicht nachweisbar</v>
      </c>
      <c r="I179" s="405" t="str">
        <f>IF(VLOOKUP(A179,'Revitalisation-Revitalisierung'!$A$4:$Z$275,13,FALSE)="","",VLOOKUP(A179,'Revitalisation-Revitalisierung'!$A$4:$Z$275,13,FALSE))</f>
        <v>Non nécessaire / nicht nötig</v>
      </c>
      <c r="J179" s="406" t="str">
        <f>IF(VLOOKUP(A179,'Revitalisation-Revitalisierung'!$A$4:$Z$275,14,FALSE)="","",VLOOKUP(A179,'Revitalisation-Revitalisierung'!$A$4:$Z$275,14,FALSE))</f>
        <v>b</v>
      </c>
      <c r="K179" s="407"/>
    </row>
    <row r="180" spans="1:11" ht="20.100000000000001" customHeight="1" x14ac:dyDescent="0.25">
      <c r="A180" s="399">
        <v>190</v>
      </c>
      <c r="B180" s="400" t="s">
        <v>318</v>
      </c>
      <c r="C180" s="400" t="s">
        <v>319</v>
      </c>
      <c r="D180" s="401" t="s">
        <v>274</v>
      </c>
      <c r="E180" s="402" t="str">
        <f>IF(VLOOKUP(A180,'Charriage - Geschiebehaushalt'!$A$4:$AC$275,17,FALSE)="","",VLOOKUP(A180,'Charriage - Geschiebehaushalt'!$A$4:$AC$275,17,FALSE))</f>
        <v>0-20%</v>
      </c>
      <c r="F180" s="403" t="str">
        <f>IF(VLOOKUP(A180,'Charriage - Geschiebehaushalt'!$A$4:$AC$275,18,FALSE)="","",VLOOKUP(A180,'Charriage - Geschiebehaushalt'!$A$4:$AC$275,18,FALSE))</f>
        <v>a</v>
      </c>
      <c r="G180" s="330" t="str">
        <f>IF(VLOOKUP(A180,'Débit - Abfluss'!$A$4:$AD$275,8,FALSE)="","",VLOOKUP(A180,'Débit - Abfluss'!$A$4:$AD$275,8,FALSE))</f>
        <v>100%</v>
      </c>
      <c r="H180" s="404" t="str">
        <f>IF(VLOOKUP(A180,'Eclusée - Schwall-Sunk'!$A$2:$F$273,6,FALSE)="","",VLOOKUP(A180,'Eclusée - Schwall-Sunk'!$A$2:$F$273,6,FALSE))</f>
        <v>Potentiellement affecté mais non plausible / möglicherweise betroffen aber nicht nachweisbar</v>
      </c>
      <c r="I180" s="405" t="str">
        <f>IF(VLOOKUP(A180,'Revitalisation-Revitalisierung'!$A$4:$Z$275,13,FALSE)="","",VLOOKUP(A180,'Revitalisation-Revitalisierung'!$A$4:$Z$275,13,FALSE))</f>
        <v>Très nécessaire, facile / unbedingt nötig, einfach</v>
      </c>
      <c r="J180" s="406" t="str">
        <f>IF(VLOOKUP(A180,'Revitalisation-Revitalisierung'!$A$4:$Z$275,14,FALSE)="","",VLOOKUP(A180,'Revitalisation-Revitalisierung'!$A$4:$Z$275,14,FALSE))</f>
        <v>b</v>
      </c>
      <c r="K180" s="407"/>
    </row>
    <row r="181" spans="1:11" ht="20.100000000000001" customHeight="1" x14ac:dyDescent="0.25">
      <c r="A181" s="399">
        <v>194</v>
      </c>
      <c r="B181" s="400" t="s">
        <v>320</v>
      </c>
      <c r="C181" s="400" t="s">
        <v>321</v>
      </c>
      <c r="D181" s="401" t="s">
        <v>274</v>
      </c>
      <c r="E181" s="402" t="str">
        <f>IF(VLOOKUP(A181,'Charriage - Geschiebehaushalt'!$A$4:$AC$275,17,FALSE)="","",VLOOKUP(A181,'Charriage - Geschiebehaushalt'!$A$4:$AC$275,17,FALSE))</f>
        <v>51-80%</v>
      </c>
      <c r="F181" s="403" t="str">
        <f>IF(VLOOKUP(A181,'Charriage - Geschiebehaushalt'!$A$4:$AC$275,18,FALSE)="","",VLOOKUP(A181,'Charriage - Geschiebehaushalt'!$A$4:$AC$275,18,FALSE))</f>
        <v>a</v>
      </c>
      <c r="G181" s="330" t="str">
        <f>IF(VLOOKUP(A181,'Débit - Abfluss'!$A$4:$AD$275,8,FALSE)="","",VLOOKUP(A181,'Débit - Abfluss'!$A$4:$AD$275,8,FALSE))</f>
        <v>100%</v>
      </c>
      <c r="H181" s="404" t="str">
        <f>IF(VLOOKUP(A181,'Eclusée - Schwall-Sunk'!$A$2:$F$273,6,FALSE)="","",VLOOKUP(A181,'Eclusée - Schwall-Sunk'!$A$2:$F$273,6,FALSE))</f>
        <v>Potentiellement affecté / möglicherweise betroffen</v>
      </c>
      <c r="I181" s="405" t="str">
        <f>IF(VLOOKUP(A181,'Revitalisation-Revitalisierung'!$A$4:$Z$275,13,FALSE)="","",VLOOKUP(A181,'Revitalisation-Revitalisierung'!$A$4:$Z$275,13,FALSE))</f>
        <v>Très nécessaire, facile / unbedingt nötig, einfach</v>
      </c>
      <c r="J181" s="406" t="str">
        <f>IF(VLOOKUP(A181,'Revitalisation-Revitalisierung'!$A$4:$Z$275,14,FALSE)="","",VLOOKUP(A181,'Revitalisation-Revitalisierung'!$A$4:$Z$275,14,FALSE))</f>
        <v>a</v>
      </c>
      <c r="K181" s="407"/>
    </row>
    <row r="182" spans="1:11" ht="20.100000000000001" customHeight="1" x14ac:dyDescent="0.25">
      <c r="A182" s="399">
        <v>195</v>
      </c>
      <c r="B182" s="400" t="s">
        <v>322</v>
      </c>
      <c r="C182" s="400" t="s">
        <v>323</v>
      </c>
      <c r="D182" s="401" t="s">
        <v>274</v>
      </c>
      <c r="E182" s="402" t="str">
        <f>IF(VLOOKUP(A182,'Charriage - Geschiebehaushalt'!$A$4:$AC$275,17,FALSE)="","",VLOOKUP(A182,'Charriage - Geschiebehaushalt'!$A$4:$AC$275,17,FALSE))</f>
        <v>La remobilisation des sédiments est perturbée / Mobilisierung von Geschiebe beeinträchtigt</v>
      </c>
      <c r="F182" s="403" t="str">
        <f>IF(VLOOKUP(A182,'Charriage - Geschiebehaushalt'!$A$4:$AC$275,18,FALSE)="","",VLOOKUP(A182,'Charriage - Geschiebehaushalt'!$A$4:$AC$275,18,FALSE))</f>
        <v>b</v>
      </c>
      <c r="G182" s="330" t="str">
        <f>IF(VLOOKUP(A182,'Débit - Abfluss'!$A$4:$AD$275,8,FALSE)="","",VLOOKUP(A182,'Débit - Abfluss'!$A$4:$AD$275,8,FALSE))</f>
        <v>61-80%</v>
      </c>
      <c r="H182" s="404" t="str">
        <f>IF(VLOOKUP(A182,'Eclusée - Schwall-Sunk'!$A$2:$F$273,6,FALSE)="","",VLOOKUP(A182,'Eclusée - Schwall-Sunk'!$A$2:$F$273,6,FALSE))</f>
        <v>Non affecté / nicht betroffen</v>
      </c>
      <c r="I182" s="405" t="str">
        <f>IF(VLOOKUP(A182,'Revitalisation-Revitalisierung'!$A$4:$Z$275,13,FALSE)="","",VLOOKUP(A182,'Revitalisation-Revitalisierung'!$A$4:$Z$275,13,FALSE))</f>
        <v>Très nécessaire, difficile / unbedingt nötig, schwierig</v>
      </c>
      <c r="J182" s="406" t="str">
        <f>IF(VLOOKUP(A182,'Revitalisation-Revitalisierung'!$A$4:$Z$275,14,FALSE)="","",VLOOKUP(A182,'Revitalisation-Revitalisierung'!$A$4:$Z$275,14,FALSE))</f>
        <v>a</v>
      </c>
      <c r="K182" s="407"/>
    </row>
    <row r="183" spans="1:11" ht="20.100000000000001" customHeight="1" x14ac:dyDescent="0.25">
      <c r="A183" s="399">
        <v>198</v>
      </c>
      <c r="B183" s="400" t="s">
        <v>601</v>
      </c>
      <c r="C183" s="400" t="s">
        <v>217</v>
      </c>
      <c r="D183" s="401" t="s">
        <v>573</v>
      </c>
      <c r="E183" s="402" t="str">
        <f>IF(VLOOKUP(A183,'Charriage - Geschiebehaushalt'!$A$4:$AC$275,17,FALSE)="","",VLOOKUP(A183,'Charriage - Geschiebehaushalt'!$A$4:$AC$275,17,FALSE))</f>
        <v>non pertinent / nicht relevant</v>
      </c>
      <c r="F183" s="403" t="str">
        <f>IF(VLOOKUP(A183,'Charriage - Geschiebehaushalt'!$A$4:$AC$275,18,FALSE)="","",VLOOKUP(A183,'Charriage - Geschiebehaushalt'!$A$4:$AC$275,18,FALSE))</f>
        <v>a</v>
      </c>
      <c r="G183" s="330" t="str">
        <f>IF(VLOOKUP(A183,'Débit - Abfluss'!$A$4:$AD$275,8,FALSE)="","",VLOOKUP(A183,'Débit - Abfluss'!$A$4:$AD$275,8,FALSE))</f>
        <v>non pertinent / nicht relevant</v>
      </c>
      <c r="H183" s="404" t="str">
        <f>IF(VLOOKUP(A183,'Eclusée - Schwall-Sunk'!$A$2:$F$273,6,FALSE)="","",VLOOKUP(A183,'Eclusée - Schwall-Sunk'!$A$2:$F$273,6,FALSE))</f>
        <v>Non affecté / nicht betroffen</v>
      </c>
      <c r="I183" s="405" t="str">
        <f>IF(VLOOKUP(A183,'Revitalisation-Revitalisierung'!$A$4:$Z$275,13,FALSE)="","",VLOOKUP(A183,'Revitalisation-Revitalisierung'!$A$4:$Z$275,13,FALSE))</f>
        <v>non pertinent / nicht relevant</v>
      </c>
      <c r="J183" s="406" t="str">
        <f>IF(VLOOKUP(A183,'Revitalisation-Revitalisierung'!$A$4:$Z$275,14,FALSE)="","",VLOOKUP(A183,'Revitalisation-Revitalisierung'!$A$4:$Z$275,14,FALSE))</f>
        <v>a</v>
      </c>
      <c r="K183" s="407"/>
    </row>
    <row r="184" spans="1:11" ht="20.100000000000001" customHeight="1" x14ac:dyDescent="0.25">
      <c r="A184" s="399">
        <v>200</v>
      </c>
      <c r="B184" s="400" t="s">
        <v>602</v>
      </c>
      <c r="C184" s="400" t="s">
        <v>217</v>
      </c>
      <c r="D184" s="401" t="s">
        <v>573</v>
      </c>
      <c r="E184" s="402" t="str">
        <f>IF(VLOOKUP(A184,'Charriage - Geschiebehaushalt'!$A$4:$AC$275,17,FALSE)="","",VLOOKUP(A184,'Charriage - Geschiebehaushalt'!$A$4:$AC$275,17,FALSE))</f>
        <v>non pertinent / nicht relevant</v>
      </c>
      <c r="F184" s="403" t="str">
        <f>IF(VLOOKUP(A184,'Charriage - Geschiebehaushalt'!$A$4:$AC$275,18,FALSE)="","",VLOOKUP(A184,'Charriage - Geschiebehaushalt'!$A$4:$AC$275,18,FALSE))</f>
        <v>a</v>
      </c>
      <c r="G184" s="330" t="str">
        <f>IF(VLOOKUP(A184,'Débit - Abfluss'!$A$4:$AD$275,8,FALSE)="","",VLOOKUP(A184,'Débit - Abfluss'!$A$4:$AD$275,8,FALSE))</f>
        <v>non pertinent / nicht relevant</v>
      </c>
      <c r="H184" s="404" t="str">
        <f>IF(VLOOKUP(A184,'Eclusée - Schwall-Sunk'!$A$2:$F$273,6,FALSE)="","",VLOOKUP(A184,'Eclusée - Schwall-Sunk'!$A$2:$F$273,6,FALSE))</f>
        <v>Non affecté / nicht betroffen</v>
      </c>
      <c r="I184" s="405" t="str">
        <f>IF(VLOOKUP(A184,'Revitalisation-Revitalisierung'!$A$4:$Z$275,13,FALSE)="","",VLOOKUP(A184,'Revitalisation-Revitalisierung'!$A$4:$Z$275,13,FALSE))</f>
        <v>non pertinent / nicht relevant</v>
      </c>
      <c r="J184" s="406" t="str">
        <f>IF(VLOOKUP(A184,'Revitalisation-Revitalisierung'!$A$4:$Z$275,14,FALSE)="","",VLOOKUP(A184,'Revitalisation-Revitalisierung'!$A$4:$Z$275,14,FALSE))</f>
        <v>a</v>
      </c>
      <c r="K184" s="407"/>
    </row>
    <row r="185" spans="1:11" ht="20.100000000000001" customHeight="1" x14ac:dyDescent="0.25">
      <c r="A185" s="399">
        <v>201</v>
      </c>
      <c r="B185" s="400" t="s">
        <v>603</v>
      </c>
      <c r="C185" s="400" t="s">
        <v>217</v>
      </c>
      <c r="D185" s="401" t="s">
        <v>573</v>
      </c>
      <c r="E185" s="402" t="str">
        <f>IF(VLOOKUP(A185,'Charriage - Geschiebehaushalt'!$A$4:$AC$275,17,FALSE)="","",VLOOKUP(A185,'Charriage - Geschiebehaushalt'!$A$4:$AC$275,17,FALSE))</f>
        <v>non pertinent / nicht relevant</v>
      </c>
      <c r="F185" s="403" t="str">
        <f>IF(VLOOKUP(A185,'Charriage - Geschiebehaushalt'!$A$4:$AC$275,18,FALSE)="","",VLOOKUP(A185,'Charriage - Geschiebehaushalt'!$A$4:$AC$275,18,FALSE))</f>
        <v>a</v>
      </c>
      <c r="G185" s="330" t="str">
        <f>IF(VLOOKUP(A185,'Débit - Abfluss'!$A$4:$AD$275,8,FALSE)="","",VLOOKUP(A185,'Débit - Abfluss'!$A$4:$AD$275,8,FALSE))</f>
        <v>non pertinent / nicht relevant</v>
      </c>
      <c r="H185" s="404" t="str">
        <f>IF(VLOOKUP(A185,'Eclusée - Schwall-Sunk'!$A$2:$F$273,6,FALSE)="","",VLOOKUP(A185,'Eclusée - Schwall-Sunk'!$A$2:$F$273,6,FALSE))</f>
        <v>Non affecté / nicht betroffen</v>
      </c>
      <c r="I185" s="405" t="str">
        <f>IF(VLOOKUP(A185,'Revitalisation-Revitalisierung'!$A$4:$Z$275,13,FALSE)="","",VLOOKUP(A185,'Revitalisation-Revitalisierung'!$A$4:$Z$275,13,FALSE))</f>
        <v>non pertinent / nicht relevant</v>
      </c>
      <c r="J185" s="406" t="str">
        <f>IF(VLOOKUP(A185,'Revitalisation-Revitalisierung'!$A$4:$Z$275,14,FALSE)="","",VLOOKUP(A185,'Revitalisation-Revitalisierung'!$A$4:$Z$275,14,FALSE))</f>
        <v>a</v>
      </c>
      <c r="K185" s="407"/>
    </row>
    <row r="186" spans="1:11" ht="20.100000000000001" customHeight="1" x14ac:dyDescent="0.25">
      <c r="A186" s="399">
        <v>202</v>
      </c>
      <c r="B186" s="400" t="s">
        <v>604</v>
      </c>
      <c r="C186" s="400" t="s">
        <v>217</v>
      </c>
      <c r="D186" s="401" t="s">
        <v>573</v>
      </c>
      <c r="E186" s="402" t="str">
        <f>IF(VLOOKUP(A186,'Charriage - Geschiebehaushalt'!$A$4:$AC$275,17,FALSE)="","",VLOOKUP(A186,'Charriage - Geschiebehaushalt'!$A$4:$AC$275,17,FALSE))</f>
        <v>non pertinent / nicht relevant</v>
      </c>
      <c r="F186" s="403" t="str">
        <f>IF(VLOOKUP(A186,'Charriage - Geschiebehaushalt'!$A$4:$AC$275,18,FALSE)="","",VLOOKUP(A186,'Charriage - Geschiebehaushalt'!$A$4:$AC$275,18,FALSE))</f>
        <v>a</v>
      </c>
      <c r="G186" s="330" t="str">
        <f>IF(VLOOKUP(A186,'Débit - Abfluss'!$A$4:$AD$275,8,FALSE)="","",VLOOKUP(A186,'Débit - Abfluss'!$A$4:$AD$275,8,FALSE))</f>
        <v>non pertinent / nicht relevant</v>
      </c>
      <c r="H186" s="404" t="str">
        <f>IF(VLOOKUP(A186,'Eclusée - Schwall-Sunk'!$A$2:$F$273,6,FALSE)="","",VLOOKUP(A186,'Eclusée - Schwall-Sunk'!$A$2:$F$273,6,FALSE))</f>
        <v>Non affecté / nicht betroffen</v>
      </c>
      <c r="I186" s="405" t="str">
        <f>IF(VLOOKUP(A186,'Revitalisation-Revitalisierung'!$A$4:$Z$275,13,FALSE)="","",VLOOKUP(A186,'Revitalisation-Revitalisierung'!$A$4:$Z$275,13,FALSE))</f>
        <v>non pertinent / nicht relevant</v>
      </c>
      <c r="J186" s="406" t="str">
        <f>IF(VLOOKUP(A186,'Revitalisation-Revitalisierung'!$A$4:$Z$275,14,FALSE)="","",VLOOKUP(A186,'Revitalisation-Revitalisierung'!$A$4:$Z$275,14,FALSE))</f>
        <v>a</v>
      </c>
      <c r="K186" s="407"/>
    </row>
    <row r="187" spans="1:11" ht="20.100000000000001" customHeight="1" x14ac:dyDescent="0.25">
      <c r="A187" s="399">
        <v>203</v>
      </c>
      <c r="B187" s="400" t="s">
        <v>237</v>
      </c>
      <c r="C187" s="400" t="s">
        <v>217</v>
      </c>
      <c r="D187" s="401" t="s">
        <v>233</v>
      </c>
      <c r="E187" s="402" t="str">
        <f>IF(VLOOKUP(A187,'Charriage - Geschiebehaushalt'!$A$4:$AC$275,17,FALSE)="","",VLOOKUP(A187,'Charriage - Geschiebehaushalt'!$A$4:$AC$275,17,FALSE))</f>
        <v>non pertinent / nicht relevant</v>
      </c>
      <c r="F187" s="403" t="str">
        <f>IF(VLOOKUP(A187,'Charriage - Geschiebehaushalt'!$A$4:$AC$275,18,FALSE)="","",VLOOKUP(A187,'Charriage - Geschiebehaushalt'!$A$4:$AC$275,18,FALSE))</f>
        <v>a</v>
      </c>
      <c r="G187" s="330" t="str">
        <f>IF(VLOOKUP(A187,'Débit - Abfluss'!$A$4:$AD$275,8,FALSE)="","",VLOOKUP(A187,'Débit - Abfluss'!$A$4:$AD$275,8,FALSE))</f>
        <v>non pertinent / nicht relevant</v>
      </c>
      <c r="H187" s="404" t="str">
        <f>IF(VLOOKUP(A187,'Eclusée - Schwall-Sunk'!$A$2:$F$273,6,FALSE)="","",VLOOKUP(A187,'Eclusée - Schwall-Sunk'!$A$2:$F$273,6,FALSE))</f>
        <v>Non affecté / nicht betroffen</v>
      </c>
      <c r="I187" s="405" t="str">
        <f>IF(VLOOKUP(A187,'Revitalisation-Revitalisierung'!$A$4:$Z$275,13,FALSE)="","",VLOOKUP(A187,'Revitalisation-Revitalisierung'!$A$4:$Z$275,13,FALSE))</f>
        <v>non pertinent / nicht relevant</v>
      </c>
      <c r="J187" s="406" t="str">
        <f>IF(VLOOKUP(A187,'Revitalisation-Revitalisierung'!$A$4:$Z$275,14,FALSE)="","",VLOOKUP(A187,'Revitalisation-Revitalisierung'!$A$4:$Z$275,14,FALSE))</f>
        <v>a</v>
      </c>
      <c r="K187" s="407"/>
    </row>
    <row r="188" spans="1:11" ht="20.100000000000001" customHeight="1" x14ac:dyDescent="0.25">
      <c r="A188" s="399">
        <v>204</v>
      </c>
      <c r="B188" s="400" t="s">
        <v>216</v>
      </c>
      <c r="C188" s="400" t="s">
        <v>217</v>
      </c>
      <c r="D188" s="401" t="s">
        <v>197</v>
      </c>
      <c r="E188" s="402" t="str">
        <f>IF(VLOOKUP(A188,'Charriage - Geschiebehaushalt'!$A$4:$AC$275,17,FALSE)="","",VLOOKUP(A188,'Charriage - Geschiebehaushalt'!$A$4:$AC$275,17,FALSE))</f>
        <v>non pertinent / nicht relevant</v>
      </c>
      <c r="F188" s="403" t="str">
        <f>IF(VLOOKUP(A188,'Charriage - Geschiebehaushalt'!$A$4:$AC$275,18,FALSE)="","",VLOOKUP(A188,'Charriage - Geschiebehaushalt'!$A$4:$AC$275,18,FALSE))</f>
        <v>a</v>
      </c>
      <c r="G188" s="330" t="str">
        <f>IF(VLOOKUP(A188,'Débit - Abfluss'!$A$4:$AD$275,8,FALSE)="","",VLOOKUP(A188,'Débit - Abfluss'!$A$4:$AD$275,8,FALSE))</f>
        <v>non pertinent / nicht relevant</v>
      </c>
      <c r="H188" s="404" t="str">
        <f>IF(VLOOKUP(A188,'Eclusée - Schwall-Sunk'!$A$2:$F$273,6,FALSE)="","",VLOOKUP(A188,'Eclusée - Schwall-Sunk'!$A$2:$F$273,6,FALSE))</f>
        <v>Non affecté / nicht betroffen</v>
      </c>
      <c r="I188" s="405" t="str">
        <f>IF(VLOOKUP(A188,'Revitalisation-Revitalisierung'!$A$4:$Z$275,13,FALSE)="","",VLOOKUP(A188,'Revitalisation-Revitalisierung'!$A$4:$Z$275,13,FALSE))</f>
        <v>non pertinent / nicht relevant</v>
      </c>
      <c r="J188" s="406" t="str">
        <f>IF(VLOOKUP(A188,'Revitalisation-Revitalisierung'!$A$4:$Z$275,14,FALSE)="","",VLOOKUP(A188,'Revitalisation-Revitalisierung'!$A$4:$Z$275,14,FALSE))</f>
        <v>a</v>
      </c>
      <c r="K188" s="407"/>
    </row>
    <row r="189" spans="1:11" ht="20.100000000000001" customHeight="1" x14ac:dyDescent="0.25">
      <c r="A189" s="399">
        <v>205</v>
      </c>
      <c r="B189" s="400" t="s">
        <v>238</v>
      </c>
      <c r="C189" s="400" t="s">
        <v>217</v>
      </c>
      <c r="D189" s="401" t="s">
        <v>233</v>
      </c>
      <c r="E189" s="402" t="str">
        <f>IF(VLOOKUP(A189,'Charriage - Geschiebehaushalt'!$A$4:$AC$275,17,FALSE)="","",VLOOKUP(A189,'Charriage - Geschiebehaushalt'!$A$4:$AC$275,17,FALSE))</f>
        <v>non pertinent / nicht relevant</v>
      </c>
      <c r="F189" s="403" t="str">
        <f>IF(VLOOKUP(A189,'Charriage - Geschiebehaushalt'!$A$4:$AC$275,18,FALSE)="","",VLOOKUP(A189,'Charriage - Geschiebehaushalt'!$A$4:$AC$275,18,FALSE))</f>
        <v>a</v>
      </c>
      <c r="G189" s="330" t="str">
        <f>IF(VLOOKUP(A189,'Débit - Abfluss'!$A$4:$AD$275,8,FALSE)="","",VLOOKUP(A189,'Débit - Abfluss'!$A$4:$AD$275,8,FALSE))</f>
        <v>non pertinent / nicht relevant</v>
      </c>
      <c r="H189" s="404" t="str">
        <f>IF(VLOOKUP(A189,'Eclusée - Schwall-Sunk'!$A$2:$F$273,6,FALSE)="","",VLOOKUP(A189,'Eclusée - Schwall-Sunk'!$A$2:$F$273,6,FALSE))</f>
        <v>Non affecté / nicht betroffen</v>
      </c>
      <c r="I189" s="405" t="str">
        <f>IF(VLOOKUP(A189,'Revitalisation-Revitalisierung'!$A$4:$Z$275,13,FALSE)="","",VLOOKUP(A189,'Revitalisation-Revitalisierung'!$A$4:$Z$275,13,FALSE))</f>
        <v>non pertinent / nicht relevant</v>
      </c>
      <c r="J189" s="406" t="str">
        <f>IF(VLOOKUP(A189,'Revitalisation-Revitalisierung'!$A$4:$Z$275,14,FALSE)="","",VLOOKUP(A189,'Revitalisation-Revitalisierung'!$A$4:$Z$275,14,FALSE))</f>
        <v>a</v>
      </c>
      <c r="K189" s="407"/>
    </row>
    <row r="190" spans="1:11" ht="20.100000000000001" customHeight="1" x14ac:dyDescent="0.25">
      <c r="A190" s="399">
        <v>206</v>
      </c>
      <c r="B190" s="400" t="s">
        <v>239</v>
      </c>
      <c r="C190" s="400" t="s">
        <v>217</v>
      </c>
      <c r="D190" s="401" t="s">
        <v>233</v>
      </c>
      <c r="E190" s="402" t="str">
        <f>IF(VLOOKUP(A190,'Charriage - Geschiebehaushalt'!$A$4:$AC$275,17,FALSE)="","",VLOOKUP(A190,'Charriage - Geschiebehaushalt'!$A$4:$AC$275,17,FALSE))</f>
        <v>non pertinent / nicht relevant</v>
      </c>
      <c r="F190" s="403" t="str">
        <f>IF(VLOOKUP(A190,'Charriage - Geschiebehaushalt'!$A$4:$AC$275,18,FALSE)="","",VLOOKUP(A190,'Charriage - Geschiebehaushalt'!$A$4:$AC$275,18,FALSE))</f>
        <v>a</v>
      </c>
      <c r="G190" s="330" t="str">
        <f>IF(VLOOKUP(A190,'Débit - Abfluss'!$A$4:$AD$275,8,FALSE)="","",VLOOKUP(A190,'Débit - Abfluss'!$A$4:$AD$275,8,FALSE))</f>
        <v>non pertinent / nicht relevant</v>
      </c>
      <c r="H190" s="404" t="str">
        <f>IF(VLOOKUP(A190,'Eclusée - Schwall-Sunk'!$A$2:$F$273,6,FALSE)="","",VLOOKUP(A190,'Eclusée - Schwall-Sunk'!$A$2:$F$273,6,FALSE))</f>
        <v>Non affecté / nicht betroffen</v>
      </c>
      <c r="I190" s="405" t="str">
        <f>IF(VLOOKUP(A190,'Revitalisation-Revitalisierung'!$A$4:$Z$275,13,FALSE)="","",VLOOKUP(A190,'Revitalisation-Revitalisierung'!$A$4:$Z$275,13,FALSE))</f>
        <v>non pertinent / nicht relevant</v>
      </c>
      <c r="J190" s="406" t="str">
        <f>IF(VLOOKUP(A190,'Revitalisation-Revitalisierung'!$A$4:$Z$275,14,FALSE)="","",VLOOKUP(A190,'Revitalisation-Revitalisierung'!$A$4:$Z$275,14,FALSE))</f>
        <v>a</v>
      </c>
      <c r="K190" s="407"/>
    </row>
    <row r="191" spans="1:11" ht="20.100000000000001" customHeight="1" x14ac:dyDescent="0.25">
      <c r="A191" s="399">
        <v>207</v>
      </c>
      <c r="B191" s="400" t="s">
        <v>240</v>
      </c>
      <c r="C191" s="400" t="s">
        <v>217</v>
      </c>
      <c r="D191" s="401" t="s">
        <v>233</v>
      </c>
      <c r="E191" s="402" t="str">
        <f>IF(VLOOKUP(A191,'Charriage - Geschiebehaushalt'!$A$4:$AC$275,17,FALSE)="","",VLOOKUP(A191,'Charriage - Geschiebehaushalt'!$A$4:$AC$275,17,FALSE))</f>
        <v>non pertinent / nicht relevant</v>
      </c>
      <c r="F191" s="403" t="str">
        <f>IF(VLOOKUP(A191,'Charriage - Geschiebehaushalt'!$A$4:$AC$275,18,FALSE)="","",VLOOKUP(A191,'Charriage - Geschiebehaushalt'!$A$4:$AC$275,18,FALSE))</f>
        <v>a</v>
      </c>
      <c r="G191" s="330" t="str">
        <f>IF(VLOOKUP(A191,'Débit - Abfluss'!$A$4:$AD$275,8,FALSE)="","",VLOOKUP(A191,'Débit - Abfluss'!$A$4:$AD$275,8,FALSE))</f>
        <v>non pertinent / nicht relevant</v>
      </c>
      <c r="H191" s="404" t="str">
        <f>IF(VLOOKUP(A191,'Eclusée - Schwall-Sunk'!$A$2:$F$273,6,FALSE)="","",VLOOKUP(A191,'Eclusée - Schwall-Sunk'!$A$2:$F$273,6,FALSE))</f>
        <v>Non affecté / nicht betroffen</v>
      </c>
      <c r="I191" s="405" t="str">
        <f>IF(VLOOKUP(A191,'Revitalisation-Revitalisierung'!$A$4:$Z$275,13,FALSE)="","",VLOOKUP(A191,'Revitalisation-Revitalisierung'!$A$4:$Z$275,13,FALSE))</f>
        <v>non pertinent / nicht relevant</v>
      </c>
      <c r="J191" s="406" t="str">
        <f>IF(VLOOKUP(A191,'Revitalisation-Revitalisierung'!$A$4:$Z$275,14,FALSE)="","",VLOOKUP(A191,'Revitalisation-Revitalisierung'!$A$4:$Z$275,14,FALSE))</f>
        <v>a</v>
      </c>
      <c r="K191" s="407"/>
    </row>
    <row r="192" spans="1:11" ht="20.100000000000001" customHeight="1" x14ac:dyDescent="0.25">
      <c r="A192" s="399">
        <v>208</v>
      </c>
      <c r="B192" s="400" t="s">
        <v>605</v>
      </c>
      <c r="C192" s="400" t="s">
        <v>606</v>
      </c>
      <c r="D192" s="401" t="s">
        <v>573</v>
      </c>
      <c r="E192" s="402" t="str">
        <f>IF(VLOOKUP(A192,'Charriage - Geschiebehaushalt'!$A$4:$AC$275,17,FALSE)="","",VLOOKUP(A192,'Charriage - Geschiebehaushalt'!$A$4:$AC$275,17,FALSE))</f>
        <v>non pertinent / nicht relevant</v>
      </c>
      <c r="F192" s="403" t="str">
        <f>IF(VLOOKUP(A192,'Charriage - Geschiebehaushalt'!$A$4:$AC$275,18,FALSE)="","",VLOOKUP(A192,'Charriage - Geschiebehaushalt'!$A$4:$AC$275,18,FALSE))</f>
        <v>a</v>
      </c>
      <c r="G192" s="330" t="str">
        <f>IF(VLOOKUP(A192,'Débit - Abfluss'!$A$4:$AD$275,8,FALSE)="","",VLOOKUP(A192,'Débit - Abfluss'!$A$4:$AD$275,8,FALSE))</f>
        <v>non pertinent / nicht relevant</v>
      </c>
      <c r="H192" s="404" t="str">
        <f>IF(VLOOKUP(A192,'Eclusée - Schwall-Sunk'!$A$2:$F$273,6,FALSE)="","",VLOOKUP(A192,'Eclusée - Schwall-Sunk'!$A$2:$F$273,6,FALSE))</f>
        <v>Non affecté / nicht betroffen</v>
      </c>
      <c r="I192" s="405" t="str">
        <f>IF(VLOOKUP(A192,'Revitalisation-Revitalisierung'!$A$4:$Z$275,13,FALSE)="","",VLOOKUP(A192,'Revitalisation-Revitalisierung'!$A$4:$Z$275,13,FALSE))</f>
        <v>non pertinent / nicht relevant</v>
      </c>
      <c r="J192" s="406" t="str">
        <f>IF(VLOOKUP(A192,'Revitalisation-Revitalisierung'!$A$4:$Z$275,14,FALSE)="","",VLOOKUP(A192,'Revitalisation-Revitalisierung'!$A$4:$Z$275,14,FALSE))</f>
        <v>a</v>
      </c>
      <c r="K192" s="407"/>
    </row>
    <row r="193" spans="1:11" ht="20.100000000000001" customHeight="1" x14ac:dyDescent="0.25">
      <c r="A193" s="399">
        <v>209</v>
      </c>
      <c r="B193" s="400" t="s">
        <v>190</v>
      </c>
      <c r="C193" s="400" t="s">
        <v>191</v>
      </c>
      <c r="D193" s="401" t="s">
        <v>189</v>
      </c>
      <c r="E193" s="402" t="str">
        <f>IF(VLOOKUP(A193,'Charriage - Geschiebehaushalt'!$A$4:$AC$275,17,FALSE)="","",VLOOKUP(A193,'Charriage - Geschiebehaushalt'!$A$4:$AC$275,17,FALSE))</f>
        <v>non pertinent / nicht relevant</v>
      </c>
      <c r="F193" s="403" t="str">
        <f>IF(VLOOKUP(A193,'Charriage - Geschiebehaushalt'!$A$4:$AC$275,18,FALSE)="","",VLOOKUP(A193,'Charriage - Geschiebehaushalt'!$A$4:$AC$275,18,FALSE))</f>
        <v>a</v>
      </c>
      <c r="G193" s="330" t="str">
        <f>IF(VLOOKUP(A193,'Débit - Abfluss'!$A$4:$AD$275,8,FALSE)="","",VLOOKUP(A193,'Débit - Abfluss'!$A$4:$AD$275,8,FALSE))</f>
        <v>non pertinent / nicht relevant</v>
      </c>
      <c r="H193" s="404" t="str">
        <f>IF(VLOOKUP(A193,'Eclusée - Schwall-Sunk'!$A$2:$F$273,6,FALSE)="","",VLOOKUP(A193,'Eclusée - Schwall-Sunk'!$A$2:$F$273,6,FALSE))</f>
        <v>Non affecté / nicht betroffen</v>
      </c>
      <c r="I193" s="405" t="str">
        <f>IF(VLOOKUP(A193,'Revitalisation-Revitalisierung'!$A$4:$Z$275,13,FALSE)="","",VLOOKUP(A193,'Revitalisation-Revitalisierung'!$A$4:$Z$275,13,FALSE))</f>
        <v>non pertinent / nicht relevant</v>
      </c>
      <c r="J193" s="406" t="str">
        <f>IF(VLOOKUP(A193,'Revitalisation-Revitalisierung'!$A$4:$Z$275,14,FALSE)="","",VLOOKUP(A193,'Revitalisation-Revitalisierung'!$A$4:$Z$275,14,FALSE))</f>
        <v>a</v>
      </c>
      <c r="K193" s="407"/>
    </row>
    <row r="194" spans="1:11" ht="20.100000000000001" customHeight="1" x14ac:dyDescent="0.25">
      <c r="A194" s="399">
        <v>211</v>
      </c>
      <c r="B194" s="400" t="s">
        <v>607</v>
      </c>
      <c r="C194" s="400" t="s">
        <v>608</v>
      </c>
      <c r="D194" s="401" t="s">
        <v>573</v>
      </c>
      <c r="E194" s="402" t="str">
        <f>IF(VLOOKUP(A194,'Charriage - Geschiebehaushalt'!$A$4:$AC$275,17,FALSE)="","",VLOOKUP(A194,'Charriage - Geschiebehaushalt'!$A$4:$AC$275,17,FALSE))</f>
        <v>Déficit non apparent en charriage ou en remobilisation des sédiments / kein sichtbares Defizit beim Geschiebehaushalt bzw. bei der Mobilisierung von Geschiebe</v>
      </c>
      <c r="F194" s="403" t="str">
        <f>IF(VLOOKUP(A194,'Charriage - Geschiebehaushalt'!$A$4:$AC$275,18,FALSE)="","",VLOOKUP(A194,'Charriage - Geschiebehaushalt'!$A$4:$AC$275,18,FALSE))</f>
        <v>b</v>
      </c>
      <c r="G194" s="330" t="str">
        <f>IF(VLOOKUP(A194,'Débit - Abfluss'!$A$4:$AD$275,8,FALSE)="","",VLOOKUP(A194,'Débit - Abfluss'!$A$4:$AD$275,8,FALSE))</f>
        <v>100%</v>
      </c>
      <c r="H194" s="404" t="str">
        <f>IF(VLOOKUP(A194,'Eclusée - Schwall-Sunk'!$A$2:$F$273,6,FALSE)="","",VLOOKUP(A194,'Eclusée - Schwall-Sunk'!$A$2:$F$273,6,FALSE))</f>
        <v>Non affecté / nicht betroffen</v>
      </c>
      <c r="I194" s="405" t="str">
        <f>IF(VLOOKUP(A194,'Revitalisation-Revitalisierung'!$A$4:$Z$275,13,FALSE)="","",VLOOKUP(A194,'Revitalisation-Revitalisierung'!$A$4:$Z$275,13,FALSE))</f>
        <v>Non nécessaire / nicht nötig</v>
      </c>
      <c r="J194" s="406" t="str">
        <f>IF(VLOOKUP(A194,'Revitalisation-Revitalisierung'!$A$4:$Z$275,14,FALSE)="","",VLOOKUP(A194,'Revitalisation-Revitalisierung'!$A$4:$Z$275,14,FALSE))</f>
        <v>a</v>
      </c>
      <c r="K194" s="407"/>
    </row>
    <row r="195" spans="1:11" ht="20.100000000000001" customHeight="1" x14ac:dyDescent="0.25">
      <c r="A195" s="399">
        <v>216</v>
      </c>
      <c r="B195" s="400" t="s">
        <v>266</v>
      </c>
      <c r="C195" s="400" t="s">
        <v>267</v>
      </c>
      <c r="D195" s="401" t="s">
        <v>259</v>
      </c>
      <c r="E195" s="402" t="str">
        <f>IF(VLOOKUP(A195,'Charriage - Geschiebehaushalt'!$A$4:$AC$275,17,FALSE)="","",VLOOKUP(A195,'Charriage - Geschiebehaushalt'!$A$4:$AC$275,17,FALSE))</f>
        <v>Charriage présumé naturel / Geschiebehaushalt vermutlich natürlich</v>
      </c>
      <c r="F195" s="403" t="str">
        <f>IF(VLOOKUP(A195,'Charriage - Geschiebehaushalt'!$A$4:$AC$275,18,FALSE)="","",VLOOKUP(A195,'Charriage - Geschiebehaushalt'!$A$4:$AC$275,18,FALSE))</f>
        <v>b</v>
      </c>
      <c r="G195" s="330" t="str">
        <f>IF(VLOOKUP(A195,'Débit - Abfluss'!$A$4:$AD$275,8,FALSE)="","",VLOOKUP(A195,'Débit - Abfluss'!$A$4:$AD$275,8,FALSE))</f>
        <v>100%</v>
      </c>
      <c r="H195" s="404" t="str">
        <f>IF(VLOOKUP(A195,'Eclusée - Schwall-Sunk'!$A$2:$F$273,6,FALSE)="","",VLOOKUP(A195,'Eclusée - Schwall-Sunk'!$A$2:$F$273,6,FALSE))</f>
        <v>Non affecté / nicht betroffen</v>
      </c>
      <c r="I195" s="405" t="str">
        <f>IF(VLOOKUP(A195,'Revitalisation-Revitalisierung'!$A$4:$Z$275,13,FALSE)="","",VLOOKUP(A195,'Revitalisation-Revitalisierung'!$A$4:$Z$275,13,FALSE))</f>
        <v>Non nécessaire / nicht nötig</v>
      </c>
      <c r="J195" s="406" t="str">
        <f>IF(VLOOKUP(A195,'Revitalisation-Revitalisierung'!$A$4:$Z$275,14,FALSE)="","",VLOOKUP(A195,'Revitalisation-Revitalisierung'!$A$4:$Z$275,14,FALSE))</f>
        <v>b</v>
      </c>
      <c r="K195" s="407"/>
    </row>
    <row r="196" spans="1:11" ht="20.100000000000001" customHeight="1" x14ac:dyDescent="0.25">
      <c r="A196" s="399">
        <v>217</v>
      </c>
      <c r="B196" s="400" t="s">
        <v>218</v>
      </c>
      <c r="C196" s="400" t="s">
        <v>219</v>
      </c>
      <c r="D196" s="401" t="s">
        <v>197</v>
      </c>
      <c r="E196" s="402" t="str">
        <f>IF(VLOOKUP(A196,'Charriage - Geschiebehaushalt'!$A$4:$AC$275,17,FALSE)="","",VLOOKUP(A196,'Charriage - Geschiebehaushalt'!$A$4:$AC$275,17,FALSE))</f>
        <v>Charriage présumé naturel / Geschiebehaushalt vermutlich natürlich</v>
      </c>
      <c r="F196" s="403" t="str">
        <f>IF(VLOOKUP(A196,'Charriage - Geschiebehaushalt'!$A$4:$AC$275,18,FALSE)="","",VLOOKUP(A196,'Charriage - Geschiebehaushalt'!$A$4:$AC$275,18,FALSE))</f>
        <v>b</v>
      </c>
      <c r="G196" s="330" t="str">
        <f>IF(VLOOKUP(A196,'Débit - Abfluss'!$A$4:$AD$275,8,FALSE)="","",VLOOKUP(A196,'Débit - Abfluss'!$A$4:$AD$275,8,FALSE))</f>
        <v>100%</v>
      </c>
      <c r="H196" s="404" t="str">
        <f>IF(VLOOKUP(A196,'Eclusée - Schwall-Sunk'!$A$2:$F$273,6,FALSE)="","",VLOOKUP(A196,'Eclusée - Schwall-Sunk'!$A$2:$F$273,6,FALSE))</f>
        <v>Non affecté / nicht betroffen</v>
      </c>
      <c r="I196" s="405" t="str">
        <f>IF(VLOOKUP(A196,'Revitalisation-Revitalisierung'!$A$4:$Z$275,13,FALSE)="","",VLOOKUP(A196,'Revitalisation-Revitalisierung'!$A$4:$Z$275,13,FALSE))</f>
        <v>Non nécessaire / nicht nötig</v>
      </c>
      <c r="J196" s="406" t="str">
        <f>IF(VLOOKUP(A196,'Revitalisation-Revitalisierung'!$A$4:$Z$275,14,FALSE)="","",VLOOKUP(A196,'Revitalisation-Revitalisierung'!$A$4:$Z$275,14,FALSE))</f>
        <v>a</v>
      </c>
      <c r="K196" s="407"/>
    </row>
    <row r="197" spans="1:11" ht="20.100000000000001" customHeight="1" x14ac:dyDescent="0.25">
      <c r="A197" s="399">
        <v>218</v>
      </c>
      <c r="B197" s="400" t="s">
        <v>258</v>
      </c>
      <c r="C197" s="400" t="s">
        <v>250</v>
      </c>
      <c r="D197" s="401" t="s">
        <v>241</v>
      </c>
      <c r="E197" s="402" t="str">
        <f>IF(VLOOKUP(A197,'Charriage - Geschiebehaushalt'!$A$4:$AC$275,17,FALSE)="","",VLOOKUP(A197,'Charriage - Geschiebehaushalt'!$A$4:$AC$275,17,FALSE))</f>
        <v>81 -100%</v>
      </c>
      <c r="F197" s="403" t="str">
        <f>IF(VLOOKUP(A197,'Charriage - Geschiebehaushalt'!$A$4:$AC$275,18,FALSE)="","",VLOOKUP(A197,'Charriage - Geschiebehaushalt'!$A$4:$AC$275,18,FALSE))</f>
        <v>a</v>
      </c>
      <c r="G197" s="330" t="str">
        <f>IF(VLOOKUP(A197,'Débit - Abfluss'!$A$4:$AD$275,8,FALSE)="","",VLOOKUP(A197,'Débit - Abfluss'!$A$4:$AD$275,8,FALSE))</f>
        <v>81-100%</v>
      </c>
      <c r="H197" s="404" t="str">
        <f>IF(VLOOKUP(A197,'Eclusée - Schwall-Sunk'!$A$2:$F$273,6,FALSE)="","",VLOOKUP(A197,'Eclusée - Schwall-Sunk'!$A$2:$F$273,6,FALSE))</f>
        <v>Potentiellement affecté / möglicherweise betroffen</v>
      </c>
      <c r="I197" s="405" t="str">
        <f>IF(VLOOKUP(A197,'Revitalisation-Revitalisierung'!$A$4:$Z$275,13,FALSE)="","",VLOOKUP(A197,'Revitalisation-Revitalisierung'!$A$4:$Z$275,13,FALSE))</f>
        <v>Très nécessaire, facile / unbedingt nötig, einfach</v>
      </c>
      <c r="J197" s="406" t="str">
        <f>IF(VLOOKUP(A197,'Revitalisation-Revitalisierung'!$A$4:$Z$275,14,FALSE)="","",VLOOKUP(A197,'Revitalisation-Revitalisierung'!$A$4:$Z$275,14,FALSE))</f>
        <v>b</v>
      </c>
      <c r="K197" s="407"/>
    </row>
    <row r="198" spans="1:11" ht="20.100000000000001" customHeight="1" x14ac:dyDescent="0.25">
      <c r="A198" s="399">
        <v>219</v>
      </c>
      <c r="B198" s="400" t="s">
        <v>422</v>
      </c>
      <c r="C198" s="400" t="s">
        <v>423</v>
      </c>
      <c r="D198" s="401" t="s">
        <v>410</v>
      </c>
      <c r="E198" s="402" t="str">
        <f>IF(VLOOKUP(A198,'Charriage - Geschiebehaushalt'!$A$4:$AC$275,17,FALSE)="","",VLOOKUP(A198,'Charriage - Geschiebehaushalt'!$A$4:$AC$275,17,FALSE))</f>
        <v>non pertinent / nicht relevant</v>
      </c>
      <c r="F198" s="403" t="str">
        <f>IF(VLOOKUP(A198,'Charriage - Geschiebehaushalt'!$A$4:$AC$275,18,FALSE)="","",VLOOKUP(A198,'Charriage - Geschiebehaushalt'!$A$4:$AC$275,18,FALSE))</f>
        <v>a</v>
      </c>
      <c r="G198" s="330" t="str">
        <f>IF(VLOOKUP(A198,'Débit - Abfluss'!$A$4:$AD$275,8,FALSE)="","",VLOOKUP(A198,'Débit - Abfluss'!$A$4:$AD$275,8,FALSE))</f>
        <v>non pertinent / nicht relevant</v>
      </c>
      <c r="H198" s="404" t="str">
        <f>IF(VLOOKUP(A198,'Eclusée - Schwall-Sunk'!$A$2:$F$273,6,FALSE)="","",VLOOKUP(A198,'Eclusée - Schwall-Sunk'!$A$2:$F$273,6,FALSE))</f>
        <v>Non affecté / nicht betroffen</v>
      </c>
      <c r="I198" s="405" t="str">
        <f>IF(VLOOKUP(A198,'Revitalisation-Revitalisierung'!$A$4:$Z$275,13,FALSE)="","",VLOOKUP(A198,'Revitalisation-Revitalisierung'!$A$4:$Z$275,13,FALSE))</f>
        <v>Non nécessaire / nicht nötig</v>
      </c>
      <c r="J198" s="406" t="str">
        <f>IF(VLOOKUP(A198,'Revitalisation-Revitalisierung'!$A$4:$Z$275,14,FALSE)="","",VLOOKUP(A198,'Revitalisation-Revitalisierung'!$A$4:$Z$275,14,FALSE))</f>
        <v>b</v>
      </c>
      <c r="K198" s="407"/>
    </row>
    <row r="199" spans="1:11" ht="20.100000000000001" customHeight="1" x14ac:dyDescent="0.25">
      <c r="A199" s="399">
        <v>220</v>
      </c>
      <c r="B199" s="400" t="s">
        <v>68</v>
      </c>
      <c r="C199" s="400" t="s">
        <v>37</v>
      </c>
      <c r="D199" s="401" t="s">
        <v>35</v>
      </c>
      <c r="E199" s="402" t="str">
        <f>IF(VLOOKUP(A199,'Charriage - Geschiebehaushalt'!$A$4:$AC$275,17,FALSE)="","",VLOOKUP(A199,'Charriage - Geschiebehaushalt'!$A$4:$AC$275,17,FALSE))</f>
        <v>81 -100%</v>
      </c>
      <c r="F199" s="403" t="str">
        <f>IF(VLOOKUP(A199,'Charriage - Geschiebehaushalt'!$A$4:$AC$275,18,FALSE)="","",VLOOKUP(A199,'Charriage - Geschiebehaushalt'!$A$4:$AC$275,18,FALSE))</f>
        <v>a</v>
      </c>
      <c r="G199" s="330" t="str">
        <f>IF(VLOOKUP(A199,'Débit - Abfluss'!$A$4:$AD$275,8,FALSE)="","",VLOOKUP(A199,'Débit - Abfluss'!$A$4:$AD$275,8,FALSE))</f>
        <v>0-20%</v>
      </c>
      <c r="H199" s="404" t="str">
        <f>IF(VLOOKUP(A199,'Eclusée - Schwall-Sunk'!$A$2:$F$273,6,FALSE)="","",VLOOKUP(A199,'Eclusée - Schwall-Sunk'!$A$2:$F$273,6,FALSE))</f>
        <v>Potentiellement affecté mais non plausible / möglicherweise betroffen aber nicht nachweisbar</v>
      </c>
      <c r="I199" s="405" t="str">
        <f>IF(VLOOKUP(A199,'Revitalisation-Revitalisierung'!$A$4:$Z$275,13,FALSE)="","",VLOOKUP(A199,'Revitalisation-Revitalisierung'!$A$4:$Z$275,13,FALSE))</f>
        <v>Très nécessaire, facile / unbedingt nötig, einfach</v>
      </c>
      <c r="J199" s="406" t="str">
        <f>IF(VLOOKUP(A199,'Revitalisation-Revitalisierung'!$A$4:$Z$275,14,FALSE)="","",VLOOKUP(A199,'Revitalisation-Revitalisierung'!$A$4:$Z$275,14,FALSE))</f>
        <v>a</v>
      </c>
      <c r="K199" s="407"/>
    </row>
    <row r="200" spans="1:11" ht="20.100000000000001" customHeight="1" x14ac:dyDescent="0.25">
      <c r="A200" s="412">
        <v>221</v>
      </c>
      <c r="B200" s="400" t="s">
        <v>193</v>
      </c>
      <c r="C200" s="400" t="s">
        <v>50</v>
      </c>
      <c r="D200" s="401" t="s">
        <v>192</v>
      </c>
      <c r="E200" s="402" t="str">
        <f>IF(VLOOKUP(A200,'Charriage - Geschiebehaushalt'!$A$4:$AC$275,17,FALSE)="","",VLOOKUP(A200,'Charriage - Geschiebehaushalt'!$A$4:$AC$275,17,FALSE))</f>
        <v>Charriage présumé perturbé / Geschiebehaushalt vermutlich beeinträchtigt</v>
      </c>
      <c r="F200" s="403" t="str">
        <f>IF(VLOOKUP(A200,'Charriage - Geschiebehaushalt'!$A$4:$AC$275,18,FALSE)="","",VLOOKUP(A200,'Charriage - Geschiebehaushalt'!$A$4:$AC$275,18,FALSE))</f>
        <v>b</v>
      </c>
      <c r="G200" s="330" t="str">
        <f>IF(VLOOKUP(A200,'Débit - Abfluss'!$A$4:$AD$275,8,FALSE)="","",VLOOKUP(A200,'Débit - Abfluss'!$A$4:$AD$275,8,FALSE))</f>
        <v>81-100%</v>
      </c>
      <c r="H200" s="404" t="str">
        <f>IF(VLOOKUP(A200,'Eclusée - Schwall-Sunk'!$A$2:$F$273,6,FALSE)="","",VLOOKUP(A200,'Eclusée - Schwall-Sunk'!$A$2:$F$273,6,FALSE))</f>
        <v>Non affecté / nicht betroffen</v>
      </c>
      <c r="I200" s="405" t="str">
        <f>IF(VLOOKUP(A200,'Revitalisation-Revitalisierung'!$A$4:$Z$275,13,FALSE)="","",VLOOKUP(A200,'Revitalisation-Revitalisierung'!$A$4:$Z$275,13,FALSE))</f>
        <v>Très nécessaire, difficile / unbedingt nötig, schwierig</v>
      </c>
      <c r="J200" s="406" t="str">
        <f>IF(VLOOKUP(A200,'Revitalisation-Revitalisierung'!$A$4:$Z$275,14,FALSE)="","",VLOOKUP(A200,'Revitalisation-Revitalisierung'!$A$4:$Z$275,14,FALSE))</f>
        <v>b</v>
      </c>
      <c r="K200" s="407"/>
    </row>
    <row r="201" spans="1:11" ht="20.100000000000001" customHeight="1" x14ac:dyDescent="0.25">
      <c r="A201" s="399">
        <v>222</v>
      </c>
      <c r="B201" s="400" t="s">
        <v>146</v>
      </c>
      <c r="C201" s="400" t="s">
        <v>147</v>
      </c>
      <c r="D201" s="401" t="s">
        <v>92</v>
      </c>
      <c r="E201" s="402" t="str">
        <f>IF(VLOOKUP(A201,'Charriage - Geschiebehaushalt'!$A$4:$AC$275,17,FALSE)="","",VLOOKUP(A201,'Charriage - Geschiebehaushalt'!$A$4:$AC$275,17,FALSE))</f>
        <v>non pertinent / nicht relevant</v>
      </c>
      <c r="F201" s="403" t="str">
        <f>IF(VLOOKUP(A201,'Charriage - Geschiebehaushalt'!$A$4:$AC$275,18,FALSE)="","",VLOOKUP(A201,'Charriage - Geschiebehaushalt'!$A$4:$AC$275,18,FALSE))</f>
        <v>a</v>
      </c>
      <c r="G201" s="330" t="str">
        <f>IF(VLOOKUP(A201,'Débit - Abfluss'!$A$4:$AD$275,8,FALSE)="","",VLOOKUP(A201,'Débit - Abfluss'!$A$4:$AD$275,8,FALSE))</f>
        <v>non pertinent / nicht relevant</v>
      </c>
      <c r="H201" s="404" t="str">
        <f>IF(VLOOKUP(A201,'Eclusée - Schwall-Sunk'!$A$2:$F$273,6,FALSE)="","",VLOOKUP(A201,'Eclusée - Schwall-Sunk'!$A$2:$F$273,6,FALSE))</f>
        <v>Non affecté / nicht betroffen</v>
      </c>
      <c r="I201" s="405" t="str">
        <f>IF(VLOOKUP(A201,'Revitalisation-Revitalisierung'!$A$4:$Z$275,13,FALSE)="","",VLOOKUP(A201,'Revitalisation-Revitalisierung'!$A$4:$Z$275,13,FALSE))</f>
        <v>non pertinent / nicht relevant</v>
      </c>
      <c r="J201" s="406" t="str">
        <f>IF(VLOOKUP(A201,'Revitalisation-Revitalisierung'!$A$4:$Z$275,14,FALSE)="","",VLOOKUP(A201,'Revitalisation-Revitalisierung'!$A$4:$Z$275,14,FALSE))</f>
        <v>a</v>
      </c>
      <c r="K201" s="407"/>
    </row>
    <row r="202" spans="1:11" ht="20.100000000000001" customHeight="1" x14ac:dyDescent="0.25">
      <c r="A202" s="412">
        <v>223.1</v>
      </c>
      <c r="B202" s="400" t="s">
        <v>148</v>
      </c>
      <c r="C202" s="400" t="s">
        <v>149</v>
      </c>
      <c r="D202" s="401" t="s">
        <v>92</v>
      </c>
      <c r="E202" s="402" t="str">
        <f>IF(VLOOKUP(A202,'Charriage - Geschiebehaushalt'!$A$4:$AC$275,17,FALSE)="","",VLOOKUP(A202,'Charriage - Geschiebehaushalt'!$A$4:$AC$275,17,FALSE))</f>
        <v>81 -100%</v>
      </c>
      <c r="F202" s="403" t="str">
        <f>IF(VLOOKUP(A202,'Charriage - Geschiebehaushalt'!$A$4:$AC$275,18,FALSE)="","",VLOOKUP(A202,'Charriage - Geschiebehaushalt'!$A$4:$AC$275,18,FALSE))</f>
        <v>a</v>
      </c>
      <c r="G202" s="330" t="str">
        <f>IF(VLOOKUP(A202,'Débit - Abfluss'!$A$4:$AD$275,8,FALSE)="","",VLOOKUP(A202,'Débit - Abfluss'!$A$4:$AD$275,8,FALSE))</f>
        <v>61-80%</v>
      </c>
      <c r="H202" s="404" t="str">
        <f>IF(VLOOKUP(A202,'Eclusée - Schwall-Sunk'!$A$2:$F$273,6,FALSE)="","",VLOOKUP(A202,'Eclusée - Schwall-Sunk'!$A$2:$F$273,6,FALSE))</f>
        <v>Potentiellement affecté / möglicherweise betroffen</v>
      </c>
      <c r="I202" s="405" t="str">
        <f>IF(VLOOKUP(A202,'Revitalisation-Revitalisierung'!$A$4:$Z$275,13,FALSE)="","",VLOOKUP(A202,'Revitalisation-Revitalisierung'!$A$4:$Z$275,13,FALSE))</f>
        <v>Non nécessaire / nicht nötig</v>
      </c>
      <c r="J202" s="406" t="str">
        <f>IF(VLOOKUP(A202,'Revitalisation-Revitalisierung'!$A$4:$Z$275,14,FALSE)="","",VLOOKUP(A202,'Revitalisation-Revitalisierung'!$A$4:$Z$275,14,FALSE))</f>
        <v>a</v>
      </c>
      <c r="K202" s="407"/>
    </row>
    <row r="203" spans="1:11" ht="20.100000000000001" customHeight="1" x14ac:dyDescent="0.25">
      <c r="A203" s="412">
        <v>223.2</v>
      </c>
      <c r="B203" s="400" t="s">
        <v>148</v>
      </c>
      <c r="C203" s="400" t="s">
        <v>149</v>
      </c>
      <c r="D203" s="401" t="s">
        <v>92</v>
      </c>
      <c r="E203" s="402" t="str">
        <f>IF(VLOOKUP(A203,'Charriage - Geschiebehaushalt'!$A$4:$AC$275,17,FALSE)="","",VLOOKUP(A203,'Charriage - Geschiebehaushalt'!$A$4:$AC$275,17,FALSE))</f>
        <v>non pertinent / nicht relevant</v>
      </c>
      <c r="F203" s="403" t="str">
        <f>IF(VLOOKUP(A203,'Charriage - Geschiebehaushalt'!$A$4:$AC$275,18,FALSE)="","",VLOOKUP(A203,'Charriage - Geschiebehaushalt'!$A$4:$AC$275,18,FALSE))</f>
        <v>a</v>
      </c>
      <c r="G203" s="330" t="str">
        <f>IF(VLOOKUP(A203,'Débit - Abfluss'!$A$4:$AD$275,8,FALSE)="","",VLOOKUP(A203,'Débit - Abfluss'!$A$4:$AD$275,8,FALSE))</f>
        <v>non pertinent / nicht relevant</v>
      </c>
      <c r="H203" s="404" t="str">
        <f>IF(VLOOKUP(A203,'Eclusée - Schwall-Sunk'!$A$2:$F$273,6,FALSE)="","",VLOOKUP(A203,'Eclusée - Schwall-Sunk'!$A$2:$F$273,6,FALSE))</f>
        <v>Non affecté / nicht betroffen</v>
      </c>
      <c r="I203" s="405" t="str">
        <f>IF(VLOOKUP(A203,'Revitalisation-Revitalisierung'!$A$4:$Z$275,13,FALSE)="","",VLOOKUP(A203,'Revitalisation-Revitalisierung'!$A$4:$Z$275,13,FALSE))</f>
        <v>non pertinent / nicht relevant</v>
      </c>
      <c r="J203" s="406" t="str">
        <f>IF(VLOOKUP(A203,'Revitalisation-Revitalisierung'!$A$4:$Z$275,14,FALSE)="","",VLOOKUP(A203,'Revitalisation-Revitalisierung'!$A$4:$Z$275,14,FALSE))</f>
        <v>a</v>
      </c>
      <c r="K203" s="407"/>
    </row>
    <row r="204" spans="1:11" ht="20.100000000000001" customHeight="1" x14ac:dyDescent="0.25">
      <c r="A204" s="399">
        <v>224</v>
      </c>
      <c r="B204" s="400" t="s">
        <v>151</v>
      </c>
      <c r="C204" s="400" t="s">
        <v>152</v>
      </c>
      <c r="D204" s="401" t="s">
        <v>92</v>
      </c>
      <c r="E204" s="402" t="str">
        <f>IF(VLOOKUP(A204,'Charriage - Geschiebehaushalt'!$A$4:$AC$275,17,FALSE)="","",VLOOKUP(A204,'Charriage - Geschiebehaushalt'!$A$4:$AC$275,17,FALSE))</f>
        <v>La remobilisation des sédiments est perturbée / Mobilisierung von Geschiebe beeinträchtigt</v>
      </c>
      <c r="F204" s="403" t="str">
        <f>IF(VLOOKUP(A204,'Charriage - Geschiebehaushalt'!$A$4:$AC$275,18,FALSE)="","",VLOOKUP(A204,'Charriage - Geschiebehaushalt'!$A$4:$AC$275,18,FALSE))</f>
        <v>b</v>
      </c>
      <c r="G204" s="330" t="str">
        <f>IF(VLOOKUP(A204,'Débit - Abfluss'!$A$4:$AD$275,8,FALSE)="","",VLOOKUP(A204,'Débit - Abfluss'!$A$4:$AD$275,8,FALSE))</f>
        <v>100%</v>
      </c>
      <c r="H204" s="404" t="str">
        <f>IF(VLOOKUP(A204,'Eclusée - Schwall-Sunk'!$A$2:$F$273,6,FALSE)="","",VLOOKUP(A204,'Eclusée - Schwall-Sunk'!$A$2:$F$273,6,FALSE))</f>
        <v>Non affecté / nicht betroffen</v>
      </c>
      <c r="I204" s="405" t="str">
        <f>IF(VLOOKUP(A204,'Revitalisation-Revitalisierung'!$A$4:$Z$275,13,FALSE)="","",VLOOKUP(A204,'Revitalisation-Revitalisierung'!$A$4:$Z$275,13,FALSE))</f>
        <v>Très nécessaire, facile / unbedingt nötig, einfach</v>
      </c>
      <c r="J204" s="406" t="str">
        <f>IF(VLOOKUP(A204,'Revitalisation-Revitalisierung'!$A$4:$Z$275,14,FALSE)="","",VLOOKUP(A204,'Revitalisation-Revitalisierung'!$A$4:$Z$275,14,FALSE))</f>
        <v>a</v>
      </c>
      <c r="K204" s="407"/>
    </row>
    <row r="205" spans="1:11" ht="20.100000000000001" customHeight="1" x14ac:dyDescent="0.25">
      <c r="A205" s="399">
        <v>225</v>
      </c>
      <c r="B205" s="400" t="s">
        <v>464</v>
      </c>
      <c r="C205" s="400" t="s">
        <v>465</v>
      </c>
      <c r="D205" s="401" t="s">
        <v>460</v>
      </c>
      <c r="E205" s="402" t="str">
        <f>IF(VLOOKUP(A205,'Charriage - Geschiebehaushalt'!$A$4:$AC$275,17,FALSE)="","",VLOOKUP(A205,'Charriage - Geschiebehaushalt'!$A$4:$AC$275,17,FALSE))</f>
        <v>La remobilisation des sédiments est perturbée / Mobilisierung von Geschiebe beeinträchtigt</v>
      </c>
      <c r="F205" s="403" t="str">
        <f>IF(VLOOKUP(A205,'Charriage - Geschiebehaushalt'!$A$4:$AC$275,18,FALSE)="","",VLOOKUP(A205,'Charriage - Geschiebehaushalt'!$A$4:$AC$275,18,FALSE))</f>
        <v>b</v>
      </c>
      <c r="G205" s="330" t="str">
        <f>IF(VLOOKUP(A205,'Débit - Abfluss'!$A$4:$AD$275,8,FALSE)="","",VLOOKUP(A205,'Débit - Abfluss'!$A$4:$AD$275,8,FALSE))</f>
        <v>81-100%</v>
      </c>
      <c r="H205" s="404" t="str">
        <f>IF(VLOOKUP(A205,'Eclusée - Schwall-Sunk'!$A$2:$F$273,6,FALSE)="","",VLOOKUP(A205,'Eclusée - Schwall-Sunk'!$A$2:$F$273,6,FALSE))</f>
        <v>Potentiellement affecté / möglicherweise betroffen</v>
      </c>
      <c r="I205" s="405" t="str">
        <f>IF(VLOOKUP(A205,'Revitalisation-Revitalisierung'!$A$4:$Z$275,13,FALSE)="","",VLOOKUP(A205,'Revitalisation-Revitalisierung'!$A$4:$Z$275,13,FALSE))</f>
        <v>Très nécessaire, facile / unbedingt nötig, einfach</v>
      </c>
      <c r="J205" s="406" t="str">
        <f>IF(VLOOKUP(A205,'Revitalisation-Revitalisierung'!$A$4:$Z$275,14,FALSE)="","",VLOOKUP(A205,'Revitalisation-Revitalisierung'!$A$4:$Z$275,14,FALSE))</f>
        <v>b</v>
      </c>
      <c r="K205" s="407"/>
    </row>
    <row r="206" spans="1:11" ht="20.100000000000001" customHeight="1" x14ac:dyDescent="0.25">
      <c r="A206" s="399">
        <v>226</v>
      </c>
      <c r="B206" s="400" t="s">
        <v>609</v>
      </c>
      <c r="C206" s="400" t="s">
        <v>610</v>
      </c>
      <c r="D206" s="401" t="s">
        <v>573</v>
      </c>
      <c r="E206" s="402" t="str">
        <f>IF(VLOOKUP(A206,'Charriage - Geschiebehaushalt'!$A$4:$AC$275,17,FALSE)="","",VLOOKUP(A206,'Charriage - Geschiebehaushalt'!$A$4:$AC$275,17,FALSE))</f>
        <v>Charriage présumé naturel / Geschiebehaushalt vermutlich natürlich</v>
      </c>
      <c r="F206" s="403" t="str">
        <f>IF(VLOOKUP(A206,'Charriage - Geschiebehaushalt'!$A$4:$AC$275,18,FALSE)="","",VLOOKUP(A206,'Charriage - Geschiebehaushalt'!$A$4:$AC$275,18,FALSE))</f>
        <v>a</v>
      </c>
      <c r="G206" s="330" t="str">
        <f>IF(VLOOKUP(A206,'Débit - Abfluss'!$A$4:$AD$275,8,FALSE)="","",VLOOKUP(A206,'Débit - Abfluss'!$A$4:$AD$275,8,FALSE))</f>
        <v>41-60%</v>
      </c>
      <c r="H206" s="404" t="str">
        <f>IF(VLOOKUP(A206,'Eclusée - Schwall-Sunk'!$A$2:$F$273,6,FALSE)="","",VLOOKUP(A206,'Eclusée - Schwall-Sunk'!$A$2:$F$273,6,FALSE))</f>
        <v>Non affecté / nicht betroffen</v>
      </c>
      <c r="I206" s="405" t="str">
        <f>IF(VLOOKUP(A206,'Revitalisation-Revitalisierung'!$A$4:$Z$275,13,FALSE)="","",VLOOKUP(A206,'Revitalisation-Revitalisierung'!$A$4:$Z$275,13,FALSE))</f>
        <v>Très nécessaire, facile / unbedingt nötig, einfach</v>
      </c>
      <c r="J206" s="406" t="str">
        <f>IF(VLOOKUP(A206,'Revitalisation-Revitalisierung'!$A$4:$Z$275,14,FALSE)="","",VLOOKUP(A206,'Revitalisation-Revitalisierung'!$A$4:$Z$275,14,FALSE))</f>
        <v>b</v>
      </c>
      <c r="K206" s="407"/>
    </row>
    <row r="207" spans="1:11" ht="20.100000000000001" customHeight="1" x14ac:dyDescent="0.25">
      <c r="A207" s="399">
        <v>227</v>
      </c>
      <c r="B207" s="400" t="s">
        <v>513</v>
      </c>
      <c r="C207" s="400" t="s">
        <v>514</v>
      </c>
      <c r="D207" s="401" t="s">
        <v>482</v>
      </c>
      <c r="E207" s="402" t="str">
        <f>IF(VLOOKUP(A207,'Charriage - Geschiebehaushalt'!$A$4:$AC$275,17,FALSE)="","",VLOOKUP(A207,'Charriage - Geschiebehaushalt'!$A$4:$AC$275,17,FALSE))</f>
        <v>Charriage présumé perturbé / Geschiebehaushalt vermutlich beeinträchtigt</v>
      </c>
      <c r="F207" s="403" t="str">
        <f>IF(VLOOKUP(A207,'Charriage - Geschiebehaushalt'!$A$4:$AC$275,18,FALSE)="","",VLOOKUP(A207,'Charriage - Geschiebehaushalt'!$A$4:$AC$275,18,FALSE))</f>
        <v>b</v>
      </c>
      <c r="G207" s="330" t="str">
        <f>IF(VLOOKUP(A207,'Débit - Abfluss'!$A$4:$AD$275,8,FALSE)="","",VLOOKUP(A207,'Débit - Abfluss'!$A$4:$AD$275,8,FALSE))</f>
        <v>21-40%</v>
      </c>
      <c r="H207" s="404" t="str">
        <f>IF(VLOOKUP(A207,'Eclusée - Schwall-Sunk'!$A$2:$F$273,6,FALSE)="","",VLOOKUP(A207,'Eclusée - Schwall-Sunk'!$A$2:$F$273,6,FALSE))</f>
        <v>Non affecté / nicht betroffen</v>
      </c>
      <c r="I207" s="405" t="str">
        <f>IF(VLOOKUP(A207,'Revitalisation-Revitalisierung'!$A$4:$Z$275,13,FALSE)="","",VLOOKUP(A207,'Revitalisation-Revitalisierung'!$A$4:$Z$275,13,FALSE))</f>
        <v>Non nécessaire / nicht nötig</v>
      </c>
      <c r="J207" s="406" t="str">
        <f>IF(VLOOKUP(A207,'Revitalisation-Revitalisierung'!$A$4:$Z$275,14,FALSE)="","",VLOOKUP(A207,'Revitalisation-Revitalisierung'!$A$4:$Z$275,14,FALSE))</f>
        <v>a</v>
      </c>
      <c r="K207" s="407"/>
    </row>
    <row r="208" spans="1:11" ht="20.100000000000001" customHeight="1" x14ac:dyDescent="0.25">
      <c r="A208" s="399">
        <v>228</v>
      </c>
      <c r="B208" s="400" t="s">
        <v>518</v>
      </c>
      <c r="C208" s="400" t="s">
        <v>519</v>
      </c>
      <c r="D208" s="401" t="s">
        <v>482</v>
      </c>
      <c r="E208" s="402" t="str">
        <f>IF(VLOOKUP(A208,'Charriage - Geschiebehaushalt'!$A$4:$AC$275,17,FALSE)="","",VLOOKUP(A208,'Charriage - Geschiebehaushalt'!$A$4:$AC$275,17,FALSE))</f>
        <v>Déficit non apparent en charriage ou en remobilisation des sédiments / kein sichtbares Defizit beim Geschiebehaushalt bzw. bei der Mobilisierung von Geschiebe</v>
      </c>
      <c r="F208" s="403" t="str">
        <f>IF(VLOOKUP(A208,'Charriage - Geschiebehaushalt'!$A$4:$AC$275,18,FALSE)="","",VLOOKUP(A208,'Charriage - Geschiebehaushalt'!$A$4:$AC$275,18,FALSE))</f>
        <v>b</v>
      </c>
      <c r="G208" s="330" t="str">
        <f>IF(VLOOKUP(A208,'Débit - Abfluss'!$A$4:$AD$275,8,FALSE)="","",VLOOKUP(A208,'Débit - Abfluss'!$A$4:$AD$275,8,FALSE))</f>
        <v>21-40%</v>
      </c>
      <c r="H208" s="404" t="str">
        <f>IF(VLOOKUP(A208,'Eclusée - Schwall-Sunk'!$A$2:$F$273,6,FALSE)="","",VLOOKUP(A208,'Eclusée - Schwall-Sunk'!$A$2:$F$273,6,FALSE))</f>
        <v>Non affecté / nicht betroffen</v>
      </c>
      <c r="I208" s="405" t="str">
        <f>IF(VLOOKUP(A208,'Revitalisation-Revitalisierung'!$A$4:$Z$275,13,FALSE)="","",VLOOKUP(A208,'Revitalisation-Revitalisierung'!$A$4:$Z$275,13,FALSE))</f>
        <v>Très nécessaire, facile / unbedingt nötig, einfach</v>
      </c>
      <c r="J208" s="406" t="str">
        <f>IF(VLOOKUP(A208,'Revitalisation-Revitalisierung'!$A$4:$Z$275,14,FALSE)="","",VLOOKUP(A208,'Revitalisation-Revitalisierung'!$A$4:$Z$275,14,FALSE))</f>
        <v>b</v>
      </c>
      <c r="K208" s="407"/>
    </row>
    <row r="209" spans="1:11" ht="20.100000000000001" customHeight="1" x14ac:dyDescent="0.25">
      <c r="A209" s="399">
        <v>229</v>
      </c>
      <c r="B209" s="400" t="s">
        <v>520</v>
      </c>
      <c r="C209" s="400" t="s">
        <v>521</v>
      </c>
      <c r="D209" s="401" t="s">
        <v>482</v>
      </c>
      <c r="E209" s="402" t="str">
        <f>IF(VLOOKUP(A209,'Charriage - Geschiebehaushalt'!$A$4:$AC$275,17,FALSE)="","",VLOOKUP(A209,'Charriage - Geschiebehaushalt'!$A$4:$AC$275,17,FALSE))</f>
        <v>Charriage présumé naturel / Geschiebehaushalt vermutlich natürlich</v>
      </c>
      <c r="F209" s="403" t="str">
        <f>IF(VLOOKUP(A209,'Charriage - Geschiebehaushalt'!$A$4:$AC$275,18,FALSE)="","",VLOOKUP(A209,'Charriage - Geschiebehaushalt'!$A$4:$AC$275,18,FALSE))</f>
        <v>b</v>
      </c>
      <c r="G209" s="330" t="str">
        <f>IF(VLOOKUP(A209,'Débit - Abfluss'!$A$4:$AD$275,8,FALSE)="","",VLOOKUP(A209,'Débit - Abfluss'!$A$4:$AD$275,8,FALSE))</f>
        <v>100%</v>
      </c>
      <c r="H209" s="404" t="str">
        <f>IF(VLOOKUP(A209,'Eclusée - Schwall-Sunk'!$A$2:$F$273,6,FALSE)="","",VLOOKUP(A209,'Eclusée - Schwall-Sunk'!$A$2:$F$273,6,FALSE))</f>
        <v>Non affecté / nicht betroffen</v>
      </c>
      <c r="I209" s="405" t="str">
        <f>IF(VLOOKUP(A209,'Revitalisation-Revitalisierung'!$A$4:$Z$275,13,FALSE)="","",VLOOKUP(A209,'Revitalisation-Revitalisierung'!$A$4:$Z$275,13,FALSE))</f>
        <v>Non nécessaire / nicht nötig</v>
      </c>
      <c r="J209" s="406" t="str">
        <f>IF(VLOOKUP(A209,'Revitalisation-Revitalisierung'!$A$4:$Z$275,14,FALSE)="","",VLOOKUP(A209,'Revitalisation-Revitalisierung'!$A$4:$Z$275,14,FALSE))</f>
        <v>a</v>
      </c>
      <c r="K209" s="407"/>
    </row>
    <row r="210" spans="1:11" ht="20.100000000000001" customHeight="1" x14ac:dyDescent="0.25">
      <c r="A210" s="399">
        <v>301</v>
      </c>
      <c r="B210" s="400" t="s">
        <v>612</v>
      </c>
      <c r="C210" s="400" t="s">
        <v>254</v>
      </c>
      <c r="D210" s="401" t="s">
        <v>573</v>
      </c>
      <c r="E210" s="402" t="str">
        <f>IF(VLOOKUP(A210,'Charriage - Geschiebehaushalt'!$A$4:$AC$275,17,FALSE)="","",VLOOKUP(A210,'Charriage - Geschiebehaushalt'!$A$4:$AC$275,17,FALSE))</f>
        <v>Charriage présumé naturel / Geschiebehaushalt vermutlich natürlich</v>
      </c>
      <c r="F210" s="403" t="str">
        <f>IF(VLOOKUP(A210,'Charriage - Geschiebehaushalt'!$A$4:$AC$275,18,FALSE)="","",VLOOKUP(A210,'Charriage - Geschiebehaushalt'!$A$4:$AC$275,18,FALSE))</f>
        <v>b</v>
      </c>
      <c r="G210" s="330" t="str">
        <f>IF(VLOOKUP(A210,'Débit - Abfluss'!$A$4:$AD$275,8,FALSE)="","",VLOOKUP(A210,'Débit - Abfluss'!$A$4:$AD$275,8,FALSE))</f>
        <v>100%</v>
      </c>
      <c r="H210" s="404" t="str">
        <f>IF(VLOOKUP(A210,'Eclusée - Schwall-Sunk'!$A$2:$F$273,6,FALSE)="","",VLOOKUP(A210,'Eclusée - Schwall-Sunk'!$A$2:$F$273,6,FALSE))</f>
        <v>Non affecté / nicht betroffen</v>
      </c>
      <c r="I210" s="405" t="str">
        <f>IF(VLOOKUP(A210,'Revitalisation-Revitalisierung'!$A$4:$Z$275,13,FALSE)="","",VLOOKUP(A210,'Revitalisation-Revitalisierung'!$A$4:$Z$275,13,FALSE))</f>
        <v>Non nécessaire / nicht nötig</v>
      </c>
      <c r="J210" s="406" t="str">
        <f>IF(VLOOKUP(A210,'Revitalisation-Revitalisierung'!$A$4:$Z$275,14,FALSE)="","",VLOOKUP(A210,'Revitalisation-Revitalisierung'!$A$4:$Z$275,14,FALSE))</f>
        <v>a</v>
      </c>
      <c r="K210" s="407"/>
    </row>
    <row r="211" spans="1:11" ht="20.100000000000001" customHeight="1" x14ac:dyDescent="0.25">
      <c r="A211" s="408">
        <v>302</v>
      </c>
      <c r="B211" s="409" t="s">
        <v>613</v>
      </c>
      <c r="C211" s="410" t="s">
        <v>589</v>
      </c>
      <c r="D211" s="411" t="s">
        <v>573</v>
      </c>
      <c r="E211" s="402" t="str">
        <f>IF(VLOOKUP(A211,'Charriage - Geschiebehaushalt'!$A$4:$AC$275,17,FALSE)="","",VLOOKUP(A211,'Charriage - Geschiebehaushalt'!$A$4:$AC$275,17,FALSE))</f>
        <v>Charriage présumé naturel / Geschiebehaushalt vermutlich natürlich</v>
      </c>
      <c r="F211" s="403" t="str">
        <f>IF(VLOOKUP(A211,'Charriage - Geschiebehaushalt'!$A$4:$AC$275,18,FALSE)="","",VLOOKUP(A211,'Charriage - Geschiebehaushalt'!$A$4:$AC$275,18,FALSE))</f>
        <v>b</v>
      </c>
      <c r="G211" s="330" t="str">
        <f>IF(VLOOKUP(A211,'Débit - Abfluss'!$A$4:$AD$275,8,FALSE)="","",VLOOKUP(A211,'Débit - Abfluss'!$A$4:$AD$275,8,FALSE))</f>
        <v>81-100%</v>
      </c>
      <c r="H211" s="404" t="str">
        <f>IF(VLOOKUP(A211,'Eclusée - Schwall-Sunk'!$A$2:$F$273,6,FALSE)="","",VLOOKUP(A211,'Eclusée - Schwall-Sunk'!$A$2:$F$273,6,FALSE))</f>
        <v>Non affecté / nicht betroffen</v>
      </c>
      <c r="I211" s="405" t="str">
        <f>IF(VLOOKUP(A211,'Revitalisation-Revitalisierung'!$A$4:$Z$275,13,FALSE)="","",VLOOKUP(A211,'Revitalisation-Revitalisierung'!$A$4:$Z$275,13,FALSE))</f>
        <v>Partiellement nécessaire, facile / teilweise nötig, einfach</v>
      </c>
      <c r="J211" s="406" t="str">
        <f>IF(VLOOKUP(A211,'Revitalisation-Revitalisierung'!$A$4:$Z$275,14,FALSE)="","",VLOOKUP(A211,'Revitalisation-Revitalisierung'!$A$4:$Z$275,14,FALSE))</f>
        <v>a</v>
      </c>
      <c r="K211" s="407"/>
    </row>
    <row r="212" spans="1:11" ht="20.100000000000001" customHeight="1" x14ac:dyDescent="0.25">
      <c r="A212" s="399">
        <v>303</v>
      </c>
      <c r="B212" s="400" t="s">
        <v>615</v>
      </c>
      <c r="C212" s="400" t="s">
        <v>616</v>
      </c>
      <c r="D212" s="401" t="s">
        <v>573</v>
      </c>
      <c r="E212" s="402" t="str">
        <f>IF(VLOOKUP(A212,'Charriage - Geschiebehaushalt'!$A$4:$AC$275,17,FALSE)="","",VLOOKUP(A212,'Charriage - Geschiebehaushalt'!$A$4:$AC$275,17,FALSE))</f>
        <v>Charriage présumé naturel / Geschiebehaushalt vermutlich natürlich</v>
      </c>
      <c r="F212" s="403" t="str">
        <f>IF(VLOOKUP(A212,'Charriage - Geschiebehaushalt'!$A$4:$AC$275,18,FALSE)="","",VLOOKUP(A212,'Charriage - Geschiebehaushalt'!$A$4:$AC$275,18,FALSE))</f>
        <v>a</v>
      </c>
      <c r="G212" s="330" t="str">
        <f>IF(VLOOKUP(A212,'Débit - Abfluss'!$A$4:$AD$275,8,FALSE)="","",VLOOKUP(A212,'Débit - Abfluss'!$A$4:$AD$275,8,FALSE))</f>
        <v>100%</v>
      </c>
      <c r="H212" s="404" t="str">
        <f>IF(VLOOKUP(A212,'Eclusée - Schwall-Sunk'!$A$2:$F$273,6,FALSE)="","",VLOOKUP(A212,'Eclusée - Schwall-Sunk'!$A$2:$F$273,6,FALSE))</f>
        <v>Non affecté / nicht betroffen</v>
      </c>
      <c r="I212" s="405" t="str">
        <f>IF(VLOOKUP(A212,'Revitalisation-Revitalisierung'!$A$4:$Z$275,13,FALSE)="","",VLOOKUP(A212,'Revitalisation-Revitalisierung'!$A$4:$Z$275,13,FALSE))</f>
        <v>Très nécessaire, facile / unbedingt nötig, einfach</v>
      </c>
      <c r="J212" s="406" t="str">
        <f>IF(VLOOKUP(A212,'Revitalisation-Revitalisierung'!$A$4:$Z$275,14,FALSE)="","",VLOOKUP(A212,'Revitalisation-Revitalisierung'!$A$4:$Z$275,14,FALSE))</f>
        <v>b</v>
      </c>
      <c r="K212" s="407"/>
    </row>
    <row r="213" spans="1:11" ht="20.100000000000001" customHeight="1" x14ac:dyDescent="0.25">
      <c r="A213" s="399">
        <v>304</v>
      </c>
      <c r="B213" s="400" t="s">
        <v>620</v>
      </c>
      <c r="C213" s="400" t="s">
        <v>621</v>
      </c>
      <c r="D213" s="401" t="s">
        <v>573</v>
      </c>
      <c r="E213" s="402" t="str">
        <f>IF(VLOOKUP(A213,'Charriage - Geschiebehaushalt'!$A$4:$AC$275,17,FALSE)="","",VLOOKUP(A213,'Charriage - Geschiebehaushalt'!$A$4:$AC$275,17,FALSE))</f>
        <v>Déficit non apparent en charriage ou en remobilisation des sédiments / kein sichtbares Defizit beim Geschiebehaushalt bzw. bei der Mobilisierung von Geschiebe</v>
      </c>
      <c r="F213" s="403" t="str">
        <f>IF(VLOOKUP(A213,'Charriage - Geschiebehaushalt'!$A$4:$AC$275,18,FALSE)="","",VLOOKUP(A213,'Charriage - Geschiebehaushalt'!$A$4:$AC$275,18,FALSE))</f>
        <v>b</v>
      </c>
      <c r="G213" s="330" t="str">
        <f>IF(VLOOKUP(A213,'Débit - Abfluss'!$A$4:$AD$275,8,FALSE)="","",VLOOKUP(A213,'Débit - Abfluss'!$A$4:$AD$275,8,FALSE))</f>
        <v>100%</v>
      </c>
      <c r="H213" s="404" t="str">
        <f>IF(VLOOKUP(A213,'Eclusée - Schwall-Sunk'!$A$2:$F$273,6,FALSE)="","",VLOOKUP(A213,'Eclusée - Schwall-Sunk'!$A$2:$F$273,6,FALSE))</f>
        <v>Non affecté / nicht betroffen</v>
      </c>
      <c r="I213" s="405" t="str">
        <f>IF(VLOOKUP(A213,'Revitalisation-Revitalisierung'!$A$4:$Z$275,13,FALSE)="","",VLOOKUP(A213,'Revitalisation-Revitalisierung'!$A$4:$Z$275,13,FALSE))</f>
        <v>Très nécessaire, facile / unbedingt nötig, einfach</v>
      </c>
      <c r="J213" s="406" t="str">
        <f>IF(VLOOKUP(A213,'Revitalisation-Revitalisierung'!$A$4:$Z$275,14,FALSE)="","",VLOOKUP(A213,'Revitalisation-Revitalisierung'!$A$4:$Z$275,14,FALSE))</f>
        <v>a</v>
      </c>
      <c r="K213" s="407"/>
    </row>
    <row r="214" spans="1:11" ht="20.100000000000001" customHeight="1" x14ac:dyDescent="0.25">
      <c r="A214" s="399">
        <v>305</v>
      </c>
      <c r="B214" s="400" t="s">
        <v>622</v>
      </c>
      <c r="C214" s="400" t="s">
        <v>623</v>
      </c>
      <c r="D214" s="401" t="s">
        <v>573</v>
      </c>
      <c r="E214" s="402" t="str">
        <f>IF(VLOOKUP(A214,'Charriage - Geschiebehaushalt'!$A$4:$AC$275,17,FALSE)="","",VLOOKUP(A214,'Charriage - Geschiebehaushalt'!$A$4:$AC$275,17,FALSE))</f>
        <v>Charriage présumé naturel / Geschiebehaushalt vermutlich natürlich</v>
      </c>
      <c r="F214" s="403" t="str">
        <f>IF(VLOOKUP(A214,'Charriage - Geschiebehaushalt'!$A$4:$AC$275,18,FALSE)="","",VLOOKUP(A214,'Charriage - Geschiebehaushalt'!$A$4:$AC$275,18,FALSE))</f>
        <v>b</v>
      </c>
      <c r="G214" s="330" t="str">
        <f>IF(VLOOKUP(A214,'Débit - Abfluss'!$A$4:$AD$275,8,FALSE)="","",VLOOKUP(A214,'Débit - Abfluss'!$A$4:$AD$275,8,FALSE))</f>
        <v>100%</v>
      </c>
      <c r="H214" s="404" t="str">
        <f>IF(VLOOKUP(A214,'Eclusée - Schwall-Sunk'!$A$2:$F$273,6,FALSE)="","",VLOOKUP(A214,'Eclusée - Schwall-Sunk'!$A$2:$F$273,6,FALSE))</f>
        <v>Non affecté / nicht betroffen</v>
      </c>
      <c r="I214" s="405" t="str">
        <f>IF(VLOOKUP(A214,'Revitalisation-Revitalisierung'!$A$4:$Z$275,13,FALSE)="","",VLOOKUP(A214,'Revitalisation-Revitalisierung'!$A$4:$Z$275,13,FALSE))</f>
        <v>Non nécessaire / nicht nötig</v>
      </c>
      <c r="J214" s="406" t="str">
        <f>IF(VLOOKUP(A214,'Revitalisation-Revitalisierung'!$A$4:$Z$275,14,FALSE)="","",VLOOKUP(A214,'Revitalisation-Revitalisierung'!$A$4:$Z$275,14,FALSE))</f>
        <v>b</v>
      </c>
      <c r="K214" s="407"/>
    </row>
    <row r="215" spans="1:11" ht="20.100000000000001" customHeight="1" x14ac:dyDescent="0.25">
      <c r="A215" s="408">
        <v>306</v>
      </c>
      <c r="B215" s="409" t="s">
        <v>394</v>
      </c>
      <c r="C215" s="410" t="s">
        <v>217</v>
      </c>
      <c r="D215" s="411" t="s">
        <v>393</v>
      </c>
      <c r="E215" s="402" t="str">
        <f>IF(VLOOKUP(A215,'Charriage - Geschiebehaushalt'!$A$4:$AC$275,17,FALSE)="","",VLOOKUP(A215,'Charriage - Geschiebehaushalt'!$A$4:$AC$275,17,FALSE))</f>
        <v>non pertinent / nicht relevant</v>
      </c>
      <c r="F215" s="403" t="str">
        <f>IF(VLOOKUP(A215,'Charriage - Geschiebehaushalt'!$A$4:$AC$275,18,FALSE)="","",VLOOKUP(A215,'Charriage - Geschiebehaushalt'!$A$4:$AC$275,18,FALSE))</f>
        <v>a</v>
      </c>
      <c r="G215" s="330" t="str">
        <f>IF(VLOOKUP(A215,'Débit - Abfluss'!$A$4:$AD$275,8,FALSE)="","",VLOOKUP(A215,'Débit - Abfluss'!$A$4:$AD$275,8,FALSE))</f>
        <v>non pertinent / nicht relevant</v>
      </c>
      <c r="H215" s="404" t="str">
        <f>IF(VLOOKUP(A215,'Eclusée - Schwall-Sunk'!$A$2:$F$273,6,FALSE)="","",VLOOKUP(A215,'Eclusée - Schwall-Sunk'!$A$2:$F$273,6,FALSE))</f>
        <v>Non affecté / nicht betroffen</v>
      </c>
      <c r="I215" s="405" t="str">
        <f>IF(VLOOKUP(A215,'Revitalisation-Revitalisierung'!$A$4:$Z$275,13,FALSE)="","",VLOOKUP(A215,'Revitalisation-Revitalisierung'!$A$4:$Z$275,13,FALSE))</f>
        <v>non pertinent / nicht relevant</v>
      </c>
      <c r="J215" s="406" t="str">
        <f>IF(VLOOKUP(A215,'Revitalisation-Revitalisierung'!$A$4:$Z$275,14,FALSE)="","",VLOOKUP(A215,'Revitalisation-Revitalisierung'!$A$4:$Z$275,14,FALSE))</f>
        <v>a</v>
      </c>
      <c r="K215" s="407"/>
    </row>
    <row r="216" spans="1:11" ht="20.100000000000001" customHeight="1" x14ac:dyDescent="0.25">
      <c r="A216" s="399">
        <v>307</v>
      </c>
      <c r="B216" s="400" t="s">
        <v>221</v>
      </c>
      <c r="C216" s="400" t="s">
        <v>222</v>
      </c>
      <c r="D216" s="401" t="s">
        <v>197</v>
      </c>
      <c r="E216" s="402" t="str">
        <f>IF(VLOOKUP(A216,'Charriage - Geschiebehaushalt'!$A$4:$AC$275,17,FALSE)="","",VLOOKUP(A216,'Charriage - Geschiebehaushalt'!$A$4:$AC$275,17,FALSE))</f>
        <v>non pertinent / nicht relevant</v>
      </c>
      <c r="F216" s="403" t="str">
        <f>IF(VLOOKUP(A216,'Charriage - Geschiebehaushalt'!$A$4:$AC$275,18,FALSE)="","",VLOOKUP(A216,'Charriage - Geschiebehaushalt'!$A$4:$AC$275,18,FALSE))</f>
        <v>a</v>
      </c>
      <c r="G216" s="330" t="str">
        <f>IF(VLOOKUP(A216,'Débit - Abfluss'!$A$4:$AD$275,8,FALSE)="","",VLOOKUP(A216,'Débit - Abfluss'!$A$4:$AD$275,8,FALSE))</f>
        <v>non pertinent / nicht relevant</v>
      </c>
      <c r="H216" s="404" t="str">
        <f>IF(VLOOKUP(A216,'Eclusée - Schwall-Sunk'!$A$2:$F$273,6,FALSE)="","",VLOOKUP(A216,'Eclusée - Schwall-Sunk'!$A$2:$F$273,6,FALSE))</f>
        <v>Non affecté / nicht betroffen</v>
      </c>
      <c r="I216" s="405" t="str">
        <f>IF(VLOOKUP(A216,'Revitalisation-Revitalisierung'!$A$4:$Z$275,13,FALSE)="","",VLOOKUP(A216,'Revitalisation-Revitalisierung'!$A$4:$Z$275,13,FALSE))</f>
        <v>Non nécessaire / nicht nötig</v>
      </c>
      <c r="J216" s="406" t="str">
        <f>IF(VLOOKUP(A216,'Revitalisation-Revitalisierung'!$A$4:$Z$275,14,FALSE)="","",VLOOKUP(A216,'Revitalisation-Revitalisierung'!$A$4:$Z$275,14,FALSE))</f>
        <v>a</v>
      </c>
      <c r="K216" s="407"/>
    </row>
    <row r="217" spans="1:11" ht="20.100000000000001" customHeight="1" x14ac:dyDescent="0.25">
      <c r="A217" s="399">
        <v>310</v>
      </c>
      <c r="B217" s="400" t="s">
        <v>223</v>
      </c>
      <c r="C217" s="400" t="s">
        <v>224</v>
      </c>
      <c r="D217" s="401" t="s">
        <v>197</v>
      </c>
      <c r="E217" s="402" t="str">
        <f>IF(VLOOKUP(A217,'Charriage - Geschiebehaushalt'!$A$4:$AC$275,17,FALSE)="","",VLOOKUP(A217,'Charriage - Geschiebehaushalt'!$A$4:$AC$275,17,FALSE))</f>
        <v>Charriage présumé perturbé / Geschiebehaushalt vermutlich beeinträchtigt</v>
      </c>
      <c r="F217" s="403" t="str">
        <f>IF(VLOOKUP(A217,'Charriage - Geschiebehaushalt'!$A$4:$AC$275,18,FALSE)="","",VLOOKUP(A217,'Charriage - Geschiebehaushalt'!$A$4:$AC$275,18,FALSE))</f>
        <v>a</v>
      </c>
      <c r="G217" s="330" t="str">
        <f>IF(VLOOKUP(A217,'Débit - Abfluss'!$A$4:$AD$275,8,FALSE)="","",VLOOKUP(A217,'Débit - Abfluss'!$A$4:$AD$275,8,FALSE))</f>
        <v>non pertinent / nicht relevant</v>
      </c>
      <c r="H217" s="404" t="str">
        <f>IF(VLOOKUP(A217,'Eclusée - Schwall-Sunk'!$A$2:$F$273,6,FALSE)="","",VLOOKUP(A217,'Eclusée - Schwall-Sunk'!$A$2:$F$273,6,FALSE))</f>
        <v>Non affecté / nicht betroffen</v>
      </c>
      <c r="I217" s="405" t="str">
        <f>IF(VLOOKUP(A217,'Revitalisation-Revitalisierung'!$A$4:$Z$275,13,FALSE)="","",VLOOKUP(A217,'Revitalisation-Revitalisierung'!$A$4:$Z$275,13,FALSE))</f>
        <v>Très nécessaire, difficile / unbedingt nötig, schwierig</v>
      </c>
      <c r="J217" s="406" t="str">
        <f>IF(VLOOKUP(A217,'Revitalisation-Revitalisierung'!$A$4:$Z$275,14,FALSE)="","",VLOOKUP(A217,'Revitalisation-Revitalisierung'!$A$4:$Z$275,14,FALSE))</f>
        <v>b</v>
      </c>
      <c r="K217" s="407"/>
    </row>
    <row r="218" spans="1:11" ht="20.100000000000001" customHeight="1" x14ac:dyDescent="0.25">
      <c r="A218" s="408">
        <v>311</v>
      </c>
      <c r="B218" s="409" t="s">
        <v>226</v>
      </c>
      <c r="C218" s="410" t="s">
        <v>227</v>
      </c>
      <c r="D218" s="411" t="s">
        <v>197</v>
      </c>
      <c r="E218" s="402" t="str">
        <f>IF(VLOOKUP(A218,'Charriage - Geschiebehaushalt'!$A$4:$AC$275,17,FALSE)="","",VLOOKUP(A218,'Charriage - Geschiebehaushalt'!$A$4:$AC$275,17,FALSE))</f>
        <v>Charriage présumé naturel / Geschiebehaushalt vermutlich natürlich</v>
      </c>
      <c r="F218" s="403" t="str">
        <f>IF(VLOOKUP(A218,'Charriage - Geschiebehaushalt'!$A$4:$AC$275,18,FALSE)="","",VLOOKUP(A218,'Charriage - Geschiebehaushalt'!$A$4:$AC$275,18,FALSE))</f>
        <v>a</v>
      </c>
      <c r="G218" s="330" t="str">
        <f>IF(VLOOKUP(A218,'Débit - Abfluss'!$A$4:$AD$275,8,FALSE)="","",VLOOKUP(A218,'Débit - Abfluss'!$A$4:$AD$275,8,FALSE))</f>
        <v>Régime présumé naturel (100%) / Abfluss vermutlich natürlich</v>
      </c>
      <c r="H218" s="404" t="str">
        <f>IF(VLOOKUP(A218,'Eclusée - Schwall-Sunk'!$A$2:$F$273,6,FALSE)="","",VLOOKUP(A218,'Eclusée - Schwall-Sunk'!$A$2:$F$273,6,FALSE))</f>
        <v>Non affecté / nicht betroffen</v>
      </c>
      <c r="I218" s="405" t="str">
        <f>IF(VLOOKUP(A218,'Revitalisation-Revitalisierung'!$A$4:$Z$275,13,FALSE)="","",VLOOKUP(A218,'Revitalisation-Revitalisierung'!$A$4:$Z$275,13,FALSE))</f>
        <v>Non nécessaire / nicht nötig</v>
      </c>
      <c r="J218" s="406" t="str">
        <f>IF(VLOOKUP(A218,'Revitalisation-Revitalisierung'!$A$4:$Z$275,14,FALSE)="","",VLOOKUP(A218,'Revitalisation-Revitalisierung'!$A$4:$Z$275,14,FALSE))</f>
        <v>a</v>
      </c>
      <c r="K218" s="407"/>
    </row>
    <row r="219" spans="1:11" ht="20.100000000000001" customHeight="1" x14ac:dyDescent="0.25">
      <c r="A219" s="408">
        <v>312</v>
      </c>
      <c r="B219" s="409" t="s">
        <v>229</v>
      </c>
      <c r="C219" s="410" t="s">
        <v>230</v>
      </c>
      <c r="D219" s="411" t="s">
        <v>197</v>
      </c>
      <c r="E219" s="402" t="str">
        <f>IF(VLOOKUP(A219,'Charriage - Geschiebehaushalt'!$A$4:$AC$275,17,FALSE)="","",VLOOKUP(A219,'Charriage - Geschiebehaushalt'!$A$4:$AC$275,17,FALSE))</f>
        <v>Charriage présumé naturel / Geschiebehaushalt vermutlich natürlich</v>
      </c>
      <c r="F219" s="403" t="str">
        <f>IF(VLOOKUP(A219,'Charriage - Geschiebehaushalt'!$A$4:$AC$275,18,FALSE)="","",VLOOKUP(A219,'Charriage - Geschiebehaushalt'!$A$4:$AC$275,18,FALSE))</f>
        <v>b</v>
      </c>
      <c r="G219" s="330" t="str">
        <f>IF(VLOOKUP(A219,'Débit - Abfluss'!$A$4:$AD$275,8,FALSE)="","",VLOOKUP(A219,'Débit - Abfluss'!$A$4:$AD$275,8,FALSE))</f>
        <v>Régime présumé naturel (100%) / Abfluss vermutlich natürlich</v>
      </c>
      <c r="H219" s="404" t="str">
        <f>IF(VLOOKUP(A219,'Eclusée - Schwall-Sunk'!$A$2:$F$273,6,FALSE)="","",VLOOKUP(A219,'Eclusée - Schwall-Sunk'!$A$2:$F$273,6,FALSE))</f>
        <v>Non affecté / nicht betroffen</v>
      </c>
      <c r="I219" s="405" t="str">
        <f>IF(VLOOKUP(A219,'Revitalisation-Revitalisierung'!$A$4:$Z$275,13,FALSE)="","",VLOOKUP(A219,'Revitalisation-Revitalisierung'!$A$4:$Z$275,13,FALSE))</f>
        <v>Non nécessaire / nicht nötig</v>
      </c>
      <c r="J219" s="406" t="str">
        <f>IF(VLOOKUP(A219,'Revitalisation-Revitalisierung'!$A$4:$Z$275,14,FALSE)="","",VLOOKUP(A219,'Revitalisation-Revitalisierung'!$A$4:$Z$275,14,FALSE))</f>
        <v>a</v>
      </c>
      <c r="K219" s="407"/>
    </row>
    <row r="220" spans="1:11" ht="20.100000000000001" customHeight="1" x14ac:dyDescent="0.25">
      <c r="A220" s="399">
        <v>313</v>
      </c>
      <c r="B220" s="400" t="s">
        <v>231</v>
      </c>
      <c r="C220" s="400" t="s">
        <v>231</v>
      </c>
      <c r="D220" s="401" t="s">
        <v>197</v>
      </c>
      <c r="E220" s="402" t="str">
        <f>IF(VLOOKUP(A220,'Charriage - Geschiebehaushalt'!$A$4:$AC$275,17,FALSE)="","",VLOOKUP(A220,'Charriage - Geschiebehaushalt'!$A$4:$AC$275,17,FALSE))</f>
        <v>Charriage présumé naturel / Geschiebehaushalt vermutlich natürlich</v>
      </c>
      <c r="F220" s="403" t="str">
        <f>IF(VLOOKUP(A220,'Charriage - Geschiebehaushalt'!$A$4:$AC$275,18,FALSE)="","",VLOOKUP(A220,'Charriage - Geschiebehaushalt'!$A$4:$AC$275,18,FALSE))</f>
        <v>b</v>
      </c>
      <c r="G220" s="330" t="str">
        <f>IF(VLOOKUP(A220,'Débit - Abfluss'!$A$4:$AD$275,8,FALSE)="","",VLOOKUP(A220,'Débit - Abfluss'!$A$4:$AD$275,8,FALSE))</f>
        <v>100%</v>
      </c>
      <c r="H220" s="404" t="str">
        <f>IF(VLOOKUP(A220,'Eclusée - Schwall-Sunk'!$A$2:$F$273,6,FALSE)="","",VLOOKUP(A220,'Eclusée - Schwall-Sunk'!$A$2:$F$273,6,FALSE))</f>
        <v>Non affecté / nicht betroffen</v>
      </c>
      <c r="I220" s="405" t="str">
        <f>IF(VLOOKUP(A220,'Revitalisation-Revitalisierung'!$A$4:$Z$275,13,FALSE)="","",VLOOKUP(A220,'Revitalisation-Revitalisierung'!$A$4:$Z$275,13,FALSE))</f>
        <v>Non nécessaire / nicht nötig</v>
      </c>
      <c r="J220" s="406" t="str">
        <f>IF(VLOOKUP(A220,'Revitalisation-Revitalisierung'!$A$4:$Z$275,14,FALSE)="","",VLOOKUP(A220,'Revitalisation-Revitalisierung'!$A$4:$Z$275,14,FALSE))</f>
        <v>a</v>
      </c>
      <c r="K220" s="407"/>
    </row>
    <row r="221" spans="1:11" ht="20.100000000000001" customHeight="1" x14ac:dyDescent="0.25">
      <c r="A221" s="399">
        <v>314</v>
      </c>
      <c r="B221" s="400" t="s">
        <v>154</v>
      </c>
      <c r="C221" s="400" t="s">
        <v>154</v>
      </c>
      <c r="D221" s="401" t="s">
        <v>183</v>
      </c>
      <c r="E221" s="402" t="str">
        <f>IF(VLOOKUP(A221,'Charriage - Geschiebehaushalt'!$A$4:$AC$275,17,FALSE)="","",VLOOKUP(A221,'Charriage - Geschiebehaushalt'!$A$4:$AC$275,17,FALSE))</f>
        <v>0-20%</v>
      </c>
      <c r="F221" s="403" t="str">
        <f>IF(VLOOKUP(A221,'Charriage - Geschiebehaushalt'!$A$4:$AC$275,18,FALSE)="","",VLOOKUP(A221,'Charriage - Geschiebehaushalt'!$A$4:$AC$275,18,FALSE))</f>
        <v>a</v>
      </c>
      <c r="G221" s="330" t="str">
        <f>IF(VLOOKUP(A221,'Débit - Abfluss'!$A$4:$AD$275,8,FALSE)="","",VLOOKUP(A221,'Débit - Abfluss'!$A$4:$AD$275,8,FALSE))</f>
        <v>100%</v>
      </c>
      <c r="H221" s="404" t="str">
        <f>IF(VLOOKUP(A221,'Eclusée - Schwall-Sunk'!$A$2:$F$273,6,FALSE)="","",VLOOKUP(A221,'Eclusée - Schwall-Sunk'!$A$2:$F$273,6,FALSE))</f>
        <v>Non affecté / nicht betroffen</v>
      </c>
      <c r="I221" s="405" t="str">
        <f>IF(VLOOKUP(A221,'Revitalisation-Revitalisierung'!$A$4:$Z$275,13,FALSE)="","",VLOOKUP(A221,'Revitalisation-Revitalisierung'!$A$4:$Z$275,13,FALSE))</f>
        <v>Partiellement nécessaire, facile / teilweise nötig, einfach</v>
      </c>
      <c r="J221" s="406" t="str">
        <f>IF(VLOOKUP(A221,'Revitalisation-Revitalisierung'!$A$4:$Z$275,14,FALSE)="","",VLOOKUP(A221,'Revitalisation-Revitalisierung'!$A$4:$Z$275,14,FALSE))</f>
        <v>a</v>
      </c>
      <c r="K221" s="407"/>
    </row>
    <row r="222" spans="1:11" ht="20.100000000000001" customHeight="1" x14ac:dyDescent="0.25">
      <c r="A222" s="399">
        <v>315</v>
      </c>
      <c r="B222" s="400" t="s">
        <v>153</v>
      </c>
      <c r="C222" s="400" t="s">
        <v>154</v>
      </c>
      <c r="D222" s="401" t="s">
        <v>92</v>
      </c>
      <c r="E222" s="402" t="str">
        <f>IF(VLOOKUP(A222,'Charriage - Geschiebehaushalt'!$A$4:$AC$275,17,FALSE)="","",VLOOKUP(A222,'Charriage - Geschiebehaushalt'!$A$4:$AC$275,17,FALSE))</f>
        <v>21-50%</v>
      </c>
      <c r="F222" s="403" t="str">
        <f>IF(VLOOKUP(A222,'Charriage - Geschiebehaushalt'!$A$4:$AC$275,18,FALSE)="","",VLOOKUP(A222,'Charriage - Geschiebehaushalt'!$A$4:$AC$275,18,FALSE))</f>
        <v>a</v>
      </c>
      <c r="G222" s="330" t="str">
        <f>IF(VLOOKUP(A222,'Débit - Abfluss'!$A$4:$AD$275,8,FALSE)="","",VLOOKUP(A222,'Débit - Abfluss'!$A$4:$AD$275,8,FALSE))</f>
        <v>100%</v>
      </c>
      <c r="H222" s="404" t="str">
        <f>IF(VLOOKUP(A222,'Eclusée - Schwall-Sunk'!$A$2:$F$273,6,FALSE)="","",VLOOKUP(A222,'Eclusée - Schwall-Sunk'!$A$2:$F$273,6,FALSE))</f>
        <v>Non affecté / nicht betroffen</v>
      </c>
      <c r="I222" s="405" t="str">
        <f>IF(VLOOKUP(A222,'Revitalisation-Revitalisierung'!$A$4:$Z$275,13,FALSE)="","",VLOOKUP(A222,'Revitalisation-Revitalisierung'!$A$4:$Z$275,13,FALSE))</f>
        <v>Partiellement nécessaire, facile / teilweise nötig, einfach</v>
      </c>
      <c r="J222" s="406" t="str">
        <f>IF(VLOOKUP(A222,'Revitalisation-Revitalisierung'!$A$4:$Z$275,14,FALSE)="","",VLOOKUP(A222,'Revitalisation-Revitalisierung'!$A$4:$Z$275,14,FALSE))</f>
        <v>a</v>
      </c>
      <c r="K222" s="407"/>
    </row>
    <row r="223" spans="1:11" ht="20.100000000000001" customHeight="1" x14ac:dyDescent="0.25">
      <c r="A223" s="408">
        <v>316</v>
      </c>
      <c r="B223" s="409" t="s">
        <v>155</v>
      </c>
      <c r="C223" s="410" t="s">
        <v>112</v>
      </c>
      <c r="D223" s="411" t="s">
        <v>92</v>
      </c>
      <c r="E223" s="402" t="str">
        <f>IF(VLOOKUP(A223,'Charriage - Geschiebehaushalt'!$A$4:$AC$275,17,FALSE)="","",VLOOKUP(A223,'Charriage - Geschiebehaushalt'!$A$4:$AC$275,17,FALSE))</f>
        <v>0-20%</v>
      </c>
      <c r="F223" s="403" t="str">
        <f>IF(VLOOKUP(A223,'Charriage - Geschiebehaushalt'!$A$4:$AC$275,18,FALSE)="","",VLOOKUP(A223,'Charriage - Geschiebehaushalt'!$A$4:$AC$275,18,FALSE))</f>
        <v>a</v>
      </c>
      <c r="G223" s="330" t="str">
        <f>IF(VLOOKUP(A223,'Débit - Abfluss'!$A$4:$AD$275,8,FALSE)="","",VLOOKUP(A223,'Débit - Abfluss'!$A$4:$AD$275,8,FALSE))</f>
        <v>Régime présumé naturel (100%) / Abfluss vermutlich natürlich</v>
      </c>
      <c r="H223" s="404" t="str">
        <f>IF(VLOOKUP(A223,'Eclusée - Schwall-Sunk'!$A$2:$F$273,6,FALSE)="","",VLOOKUP(A223,'Eclusée - Schwall-Sunk'!$A$2:$F$273,6,FALSE))</f>
        <v>Non affecté / nicht betroffen</v>
      </c>
      <c r="I223" s="405" t="str">
        <f>IF(VLOOKUP(A223,'Revitalisation-Revitalisierung'!$A$4:$Z$275,13,FALSE)="","",VLOOKUP(A223,'Revitalisation-Revitalisierung'!$A$4:$Z$275,13,FALSE))</f>
        <v>Non nécessaire / nicht nötig</v>
      </c>
      <c r="J223" s="406" t="str">
        <f>IF(VLOOKUP(A223,'Revitalisation-Revitalisierung'!$A$4:$Z$275,14,FALSE)="","",VLOOKUP(A223,'Revitalisation-Revitalisierung'!$A$4:$Z$275,14,FALSE))</f>
        <v>b</v>
      </c>
      <c r="K223" s="407"/>
    </row>
    <row r="224" spans="1:11" ht="20.100000000000001" customHeight="1" x14ac:dyDescent="0.25">
      <c r="A224" s="408">
        <v>317</v>
      </c>
      <c r="B224" s="409" t="s">
        <v>156</v>
      </c>
      <c r="C224" s="410" t="s">
        <v>157</v>
      </c>
      <c r="D224" s="411" t="s">
        <v>92</v>
      </c>
      <c r="E224" s="402" t="str">
        <f>IF(VLOOKUP(A224,'Charriage - Geschiebehaushalt'!$A$4:$AC$275,17,FALSE)="","",VLOOKUP(A224,'Charriage - Geschiebehaushalt'!$A$4:$AC$275,17,FALSE))</f>
        <v>Charriage présumé naturel / Geschiebehaushalt vermutlich natürlich</v>
      </c>
      <c r="F224" s="403" t="str">
        <f>IF(VLOOKUP(A224,'Charriage - Geschiebehaushalt'!$A$4:$AC$275,18,FALSE)="","",VLOOKUP(A224,'Charriage - Geschiebehaushalt'!$A$4:$AC$275,18,FALSE))</f>
        <v>b</v>
      </c>
      <c r="G224" s="330" t="str">
        <f>IF(VLOOKUP(A224,'Débit - Abfluss'!$A$4:$AD$275,8,FALSE)="","",VLOOKUP(A224,'Débit - Abfluss'!$A$4:$AD$275,8,FALSE))</f>
        <v>Régime présumé naturel (100%) / Abfluss vermutlich natürlich</v>
      </c>
      <c r="H224" s="404" t="str">
        <f>IF(VLOOKUP(A224,'Eclusée - Schwall-Sunk'!$A$2:$F$273,6,FALSE)="","",VLOOKUP(A224,'Eclusée - Schwall-Sunk'!$A$2:$F$273,6,FALSE))</f>
        <v>Non affecté / nicht betroffen</v>
      </c>
      <c r="I224" s="405" t="str">
        <f>IF(VLOOKUP(A224,'Revitalisation-Revitalisierung'!$A$4:$Z$275,13,FALSE)="","",VLOOKUP(A224,'Revitalisation-Revitalisierung'!$A$4:$Z$275,13,FALSE))</f>
        <v>Non nécessaire / nicht nötig</v>
      </c>
      <c r="J224" s="406" t="str">
        <f>IF(VLOOKUP(A224,'Revitalisation-Revitalisierung'!$A$4:$Z$275,14,FALSE)="","",VLOOKUP(A224,'Revitalisation-Revitalisierung'!$A$4:$Z$275,14,FALSE))</f>
        <v>a</v>
      </c>
      <c r="K224" s="407"/>
    </row>
    <row r="225" spans="1:11" ht="20.100000000000001" customHeight="1" x14ac:dyDescent="0.25">
      <c r="A225" s="408">
        <v>318</v>
      </c>
      <c r="B225" s="409" t="s">
        <v>159</v>
      </c>
      <c r="C225" s="410" t="s">
        <v>160</v>
      </c>
      <c r="D225" s="411" t="s">
        <v>92</v>
      </c>
      <c r="E225" s="402" t="str">
        <f>IF(VLOOKUP(A225,'Charriage - Geschiebehaushalt'!$A$4:$AC$275,17,FALSE)="","",VLOOKUP(A225,'Charriage - Geschiebehaushalt'!$A$4:$AC$275,17,FALSE))</f>
        <v>51-80%</v>
      </c>
      <c r="F225" s="403" t="str">
        <f>IF(VLOOKUP(A225,'Charriage - Geschiebehaushalt'!$A$4:$AC$275,18,FALSE)="","",VLOOKUP(A225,'Charriage - Geschiebehaushalt'!$A$4:$AC$275,18,FALSE))</f>
        <v>a</v>
      </c>
      <c r="G225" s="330" t="str">
        <f>IF(VLOOKUP(A225,'Débit - Abfluss'!$A$4:$AD$275,8,FALSE)="","",VLOOKUP(A225,'Débit - Abfluss'!$A$4:$AD$275,8,FALSE))</f>
        <v>Régime présumé naturel (100%) / Abfluss vermutlich natürlich</v>
      </c>
      <c r="H225" s="404" t="str">
        <f>IF(VLOOKUP(A225,'Eclusée - Schwall-Sunk'!$A$2:$F$273,6,FALSE)="","",VLOOKUP(A225,'Eclusée - Schwall-Sunk'!$A$2:$F$273,6,FALSE))</f>
        <v>Non affecté / nicht betroffen</v>
      </c>
      <c r="I225" s="405" t="str">
        <f>IF(VLOOKUP(A225,'Revitalisation-Revitalisierung'!$A$4:$Z$275,13,FALSE)="","",VLOOKUP(A225,'Revitalisation-Revitalisierung'!$A$4:$Z$275,13,FALSE))</f>
        <v>Non nécessaire / nicht nötig</v>
      </c>
      <c r="J225" s="406" t="str">
        <f>IF(VLOOKUP(A225,'Revitalisation-Revitalisierung'!$A$4:$Z$275,14,FALSE)="","",VLOOKUP(A225,'Revitalisation-Revitalisierung'!$A$4:$Z$275,14,FALSE))</f>
        <v>a</v>
      </c>
      <c r="K225" s="407"/>
    </row>
    <row r="226" spans="1:11" ht="20.100000000000001" customHeight="1" x14ac:dyDescent="0.25">
      <c r="A226" s="399">
        <v>319</v>
      </c>
      <c r="B226" s="400" t="s">
        <v>161</v>
      </c>
      <c r="C226" s="400" t="s">
        <v>94</v>
      </c>
      <c r="D226" s="401" t="s">
        <v>92</v>
      </c>
      <c r="E226" s="402" t="str">
        <f>IF(VLOOKUP(A226,'Charriage - Geschiebehaushalt'!$A$4:$AC$275,17,FALSE)="","",VLOOKUP(A226,'Charriage - Geschiebehaushalt'!$A$4:$AC$275,17,FALSE))</f>
        <v>21-50%</v>
      </c>
      <c r="F226" s="403" t="str">
        <f>IF(VLOOKUP(A226,'Charriage - Geschiebehaushalt'!$A$4:$AC$275,18,FALSE)="","",VLOOKUP(A226,'Charriage - Geschiebehaushalt'!$A$4:$AC$275,18,FALSE))</f>
        <v>a</v>
      </c>
      <c r="G226" s="330" t="str">
        <f>IF(VLOOKUP(A226,'Débit - Abfluss'!$A$4:$AD$275,8,FALSE)="","",VLOOKUP(A226,'Débit - Abfluss'!$A$4:$AD$275,8,FALSE))</f>
        <v>81-100%</v>
      </c>
      <c r="H226" s="404" t="str">
        <f>IF(VLOOKUP(A226,'Eclusée - Schwall-Sunk'!$A$2:$F$273,6,FALSE)="","",VLOOKUP(A226,'Eclusée - Schwall-Sunk'!$A$2:$F$273,6,FALSE))</f>
        <v>Non affecté / nicht betroffen</v>
      </c>
      <c r="I226" s="405" t="str">
        <f>IF(VLOOKUP(A226,'Revitalisation-Revitalisierung'!$A$4:$Z$275,13,FALSE)="","",VLOOKUP(A226,'Revitalisation-Revitalisierung'!$A$4:$Z$275,13,FALSE))</f>
        <v>Non nécessaire / nicht nötig</v>
      </c>
      <c r="J226" s="406" t="str">
        <f>IF(VLOOKUP(A226,'Revitalisation-Revitalisierung'!$A$4:$Z$275,14,FALSE)="","",VLOOKUP(A226,'Revitalisation-Revitalisierung'!$A$4:$Z$275,14,FALSE))</f>
        <v>a</v>
      </c>
      <c r="K226" s="407"/>
    </row>
    <row r="227" spans="1:11" ht="20.100000000000001" customHeight="1" x14ac:dyDescent="0.25">
      <c r="A227" s="408">
        <v>320</v>
      </c>
      <c r="B227" s="409" t="s">
        <v>163</v>
      </c>
      <c r="C227" s="410" t="s">
        <v>164</v>
      </c>
      <c r="D227" s="411" t="s">
        <v>92</v>
      </c>
      <c r="E227" s="402" t="str">
        <f>IF(VLOOKUP(A227,'Charriage - Geschiebehaushalt'!$A$4:$AC$275,17,FALSE)="","",VLOOKUP(A227,'Charriage - Geschiebehaushalt'!$A$4:$AC$275,17,FALSE))</f>
        <v>21-50%</v>
      </c>
      <c r="F227" s="403" t="str">
        <f>IF(VLOOKUP(A227,'Charriage - Geschiebehaushalt'!$A$4:$AC$275,18,FALSE)="","",VLOOKUP(A227,'Charriage - Geschiebehaushalt'!$A$4:$AC$275,18,FALSE))</f>
        <v>a</v>
      </c>
      <c r="G227" s="330" t="str">
        <f>IF(VLOOKUP(A227,'Débit - Abfluss'!$A$4:$AD$275,8,FALSE)="","",VLOOKUP(A227,'Débit - Abfluss'!$A$4:$AD$275,8,FALSE))</f>
        <v>Régime présumé naturel (100%) / Abfluss vermutlich natürlich</v>
      </c>
      <c r="H227" s="404" t="str">
        <f>IF(VLOOKUP(A227,'Eclusée - Schwall-Sunk'!$A$2:$F$273,6,FALSE)="","",VLOOKUP(A227,'Eclusée - Schwall-Sunk'!$A$2:$F$273,6,FALSE))</f>
        <v>Non affecté / nicht betroffen</v>
      </c>
      <c r="I227" s="405" t="str">
        <f>IF(VLOOKUP(A227,'Revitalisation-Revitalisierung'!$A$4:$Z$275,13,FALSE)="","",VLOOKUP(A227,'Revitalisation-Revitalisierung'!$A$4:$Z$275,13,FALSE))</f>
        <v>Non nécessaire / nicht nötig</v>
      </c>
      <c r="J227" s="406" t="str">
        <f>IF(VLOOKUP(A227,'Revitalisation-Revitalisierung'!$A$4:$Z$275,14,FALSE)="","",VLOOKUP(A227,'Revitalisation-Revitalisierung'!$A$4:$Z$275,14,FALSE))</f>
        <v>a</v>
      </c>
      <c r="K227" s="407"/>
    </row>
    <row r="228" spans="1:11" ht="20.100000000000001" customHeight="1" x14ac:dyDescent="0.25">
      <c r="A228" s="399">
        <v>321</v>
      </c>
      <c r="B228" s="400" t="s">
        <v>165</v>
      </c>
      <c r="C228" s="400" t="s">
        <v>94</v>
      </c>
      <c r="D228" s="401" t="s">
        <v>92</v>
      </c>
      <c r="E228" s="402" t="str">
        <f>IF(VLOOKUP(A228,'Charriage - Geschiebehaushalt'!$A$4:$AC$275,17,FALSE)="","",VLOOKUP(A228,'Charriage - Geschiebehaushalt'!$A$4:$AC$275,17,FALSE))</f>
        <v>21-50%</v>
      </c>
      <c r="F228" s="403" t="str">
        <f>IF(VLOOKUP(A228,'Charriage - Geschiebehaushalt'!$A$4:$AC$275,18,FALSE)="","",VLOOKUP(A228,'Charriage - Geschiebehaushalt'!$A$4:$AC$275,18,FALSE))</f>
        <v>a</v>
      </c>
      <c r="G228" s="330" t="str">
        <f>IF(VLOOKUP(A228,'Débit - Abfluss'!$A$4:$AD$275,8,FALSE)="","",VLOOKUP(A228,'Débit - Abfluss'!$A$4:$AD$275,8,FALSE))</f>
        <v>100%</v>
      </c>
      <c r="H228" s="404" t="str">
        <f>IF(VLOOKUP(A228,'Eclusée - Schwall-Sunk'!$A$2:$F$273,6,FALSE)="","",VLOOKUP(A228,'Eclusée - Schwall-Sunk'!$A$2:$F$273,6,FALSE))</f>
        <v>Non affecté / nicht betroffen</v>
      </c>
      <c r="I228" s="405" t="str">
        <f>IF(VLOOKUP(A228,'Revitalisation-Revitalisierung'!$A$4:$Z$275,13,FALSE)="","",VLOOKUP(A228,'Revitalisation-Revitalisierung'!$A$4:$Z$275,13,FALSE))</f>
        <v>Non nécessaire / nicht nötig</v>
      </c>
      <c r="J228" s="406" t="str">
        <f>IF(VLOOKUP(A228,'Revitalisation-Revitalisierung'!$A$4:$Z$275,14,FALSE)="","",VLOOKUP(A228,'Revitalisation-Revitalisierung'!$A$4:$Z$275,14,FALSE))</f>
        <v>a</v>
      </c>
      <c r="K228" s="407"/>
    </row>
    <row r="229" spans="1:11" ht="20.100000000000001" customHeight="1" x14ac:dyDescent="0.25">
      <c r="A229" s="399">
        <v>322</v>
      </c>
      <c r="B229" s="400" t="s">
        <v>166</v>
      </c>
      <c r="C229" s="400" t="s">
        <v>167</v>
      </c>
      <c r="D229" s="401" t="s">
        <v>92</v>
      </c>
      <c r="E229" s="402" t="str">
        <f>IF(VLOOKUP(A229,'Charriage - Geschiebehaushalt'!$A$4:$AC$275,17,FALSE)="","",VLOOKUP(A229,'Charriage - Geschiebehaushalt'!$A$4:$AC$275,17,FALSE))</f>
        <v>0-20%</v>
      </c>
      <c r="F229" s="403" t="str">
        <f>IF(VLOOKUP(A229,'Charriage - Geschiebehaushalt'!$A$4:$AC$275,18,FALSE)="","",VLOOKUP(A229,'Charriage - Geschiebehaushalt'!$A$4:$AC$275,18,FALSE))</f>
        <v>a</v>
      </c>
      <c r="G229" s="330" t="str">
        <f>IF(VLOOKUP(A229,'Débit - Abfluss'!$A$4:$AD$275,8,FALSE)="","",VLOOKUP(A229,'Débit - Abfluss'!$A$4:$AD$275,8,FALSE))</f>
        <v>100%</v>
      </c>
      <c r="H229" s="404" t="str">
        <f>IF(VLOOKUP(A229,'Eclusée - Schwall-Sunk'!$A$2:$F$273,6,FALSE)="","",VLOOKUP(A229,'Eclusée - Schwall-Sunk'!$A$2:$F$273,6,FALSE))</f>
        <v>Non affecté / nicht betroffen</v>
      </c>
      <c r="I229" s="405" t="str">
        <f>IF(VLOOKUP(A229,'Revitalisation-Revitalisierung'!$A$4:$Z$275,13,FALSE)="","",VLOOKUP(A229,'Revitalisation-Revitalisierung'!$A$4:$Z$275,13,FALSE))</f>
        <v>Non nécessaire / nicht nötig</v>
      </c>
      <c r="J229" s="406" t="str">
        <f>IF(VLOOKUP(A229,'Revitalisation-Revitalisierung'!$A$4:$Z$275,14,FALSE)="","",VLOOKUP(A229,'Revitalisation-Revitalisierung'!$A$4:$Z$275,14,FALSE))</f>
        <v>b</v>
      </c>
      <c r="K229" s="407"/>
    </row>
    <row r="230" spans="1:11" ht="20.100000000000001" customHeight="1" x14ac:dyDescent="0.25">
      <c r="A230" s="399">
        <v>323</v>
      </c>
      <c r="B230" s="400" t="s">
        <v>168</v>
      </c>
      <c r="C230" s="400" t="s">
        <v>169</v>
      </c>
      <c r="D230" s="401" t="s">
        <v>92</v>
      </c>
      <c r="E230" s="402" t="str">
        <f>IF(VLOOKUP(A230,'Charriage - Geschiebehaushalt'!$A$4:$AC$275,17,FALSE)="","",VLOOKUP(A230,'Charriage - Geschiebehaushalt'!$A$4:$AC$275,17,FALSE))</f>
        <v>Charriage présumé naturel / Geschiebehaushalt vermutlich natürlich</v>
      </c>
      <c r="F230" s="403" t="str">
        <f>IF(VLOOKUP(A230,'Charriage - Geschiebehaushalt'!$A$4:$AC$275,18,FALSE)="","",VLOOKUP(A230,'Charriage - Geschiebehaushalt'!$A$4:$AC$275,18,FALSE))</f>
        <v>b</v>
      </c>
      <c r="G230" s="330" t="str">
        <f>IF(VLOOKUP(A230,'Débit - Abfluss'!$A$4:$AD$275,8,FALSE)="","",VLOOKUP(A230,'Débit - Abfluss'!$A$4:$AD$275,8,FALSE))</f>
        <v>100%</v>
      </c>
      <c r="H230" s="404" t="str">
        <f>IF(VLOOKUP(A230,'Eclusée - Schwall-Sunk'!$A$2:$F$273,6,FALSE)="","",VLOOKUP(A230,'Eclusée - Schwall-Sunk'!$A$2:$F$273,6,FALSE))</f>
        <v>Non affecté / nicht betroffen</v>
      </c>
      <c r="I230" s="405" t="str">
        <f>IF(VLOOKUP(A230,'Revitalisation-Revitalisierung'!$A$4:$Z$275,13,FALSE)="","",VLOOKUP(A230,'Revitalisation-Revitalisierung'!$A$4:$Z$275,13,FALSE))</f>
        <v>Partiellement nécessaire, facile / teilweise nötig, einfach</v>
      </c>
      <c r="J230" s="406" t="str">
        <f>IF(VLOOKUP(A230,'Revitalisation-Revitalisierung'!$A$4:$Z$275,14,FALSE)="","",VLOOKUP(A230,'Revitalisation-Revitalisierung'!$A$4:$Z$275,14,FALSE))</f>
        <v>a</v>
      </c>
      <c r="K230" s="407"/>
    </row>
    <row r="231" spans="1:11" ht="20.100000000000001" customHeight="1" x14ac:dyDescent="0.25">
      <c r="A231" s="399">
        <v>324</v>
      </c>
      <c r="B231" s="400" t="s">
        <v>171</v>
      </c>
      <c r="C231" s="400" t="s">
        <v>172</v>
      </c>
      <c r="D231" s="401" t="s">
        <v>92</v>
      </c>
      <c r="E231" s="402" t="str">
        <f>IF(VLOOKUP(A231,'Charriage - Geschiebehaushalt'!$A$4:$AC$275,17,FALSE)="","",VLOOKUP(A231,'Charriage - Geschiebehaushalt'!$A$4:$AC$275,17,FALSE))</f>
        <v>Charriage présumé naturel / Geschiebehaushalt vermutlich natürlich</v>
      </c>
      <c r="F231" s="403" t="str">
        <f>IF(VLOOKUP(A231,'Charriage - Geschiebehaushalt'!$A$4:$AC$275,18,FALSE)="","",VLOOKUP(A231,'Charriage - Geschiebehaushalt'!$A$4:$AC$275,18,FALSE))</f>
        <v>b</v>
      </c>
      <c r="G231" s="330" t="str">
        <f>IF(VLOOKUP(A231,'Débit - Abfluss'!$A$4:$AD$275,8,FALSE)="","",VLOOKUP(A231,'Débit - Abfluss'!$A$4:$AD$275,8,FALSE))</f>
        <v>100%</v>
      </c>
      <c r="H231" s="404" t="str">
        <f>IF(VLOOKUP(A231,'Eclusée - Schwall-Sunk'!$A$2:$F$273,6,FALSE)="","",VLOOKUP(A231,'Eclusée - Schwall-Sunk'!$A$2:$F$273,6,FALSE))</f>
        <v>Non affecté / nicht betroffen</v>
      </c>
      <c r="I231" s="405" t="str">
        <f>IF(VLOOKUP(A231,'Revitalisation-Revitalisierung'!$A$4:$Z$275,13,FALSE)="","",VLOOKUP(A231,'Revitalisation-Revitalisierung'!$A$4:$Z$275,13,FALSE))</f>
        <v>Partiellement nécessaire, facile / teilweise nötig, einfach</v>
      </c>
      <c r="J231" s="406" t="str">
        <f>IF(VLOOKUP(A231,'Revitalisation-Revitalisierung'!$A$4:$Z$275,14,FALSE)="","",VLOOKUP(A231,'Revitalisation-Revitalisierung'!$A$4:$Z$275,14,FALSE))</f>
        <v>a</v>
      </c>
      <c r="K231" s="407"/>
    </row>
    <row r="232" spans="1:11" ht="20.100000000000001" customHeight="1" x14ac:dyDescent="0.25">
      <c r="A232" s="399">
        <v>325</v>
      </c>
      <c r="B232" s="400" t="s">
        <v>174</v>
      </c>
      <c r="C232" s="400" t="s">
        <v>125</v>
      </c>
      <c r="D232" s="401" t="s">
        <v>92</v>
      </c>
      <c r="E232" s="402" t="str">
        <f>IF(VLOOKUP(A232,'Charriage - Geschiebehaushalt'!$A$4:$AC$275,17,FALSE)="","",VLOOKUP(A232,'Charriage - Geschiebehaushalt'!$A$4:$AC$275,17,FALSE))</f>
        <v>0-20%</v>
      </c>
      <c r="F232" s="403" t="str">
        <f>IF(VLOOKUP(A232,'Charriage - Geschiebehaushalt'!$A$4:$AC$275,18,FALSE)="","",VLOOKUP(A232,'Charriage - Geschiebehaushalt'!$A$4:$AC$275,18,FALSE))</f>
        <v>a</v>
      </c>
      <c r="G232" s="330" t="str">
        <f>IF(VLOOKUP(A232,'Débit - Abfluss'!$A$4:$AD$275,8,FALSE)="","",VLOOKUP(A232,'Débit - Abfluss'!$A$4:$AD$275,8,FALSE))</f>
        <v>81-100%</v>
      </c>
      <c r="H232" s="404" t="str">
        <f>IF(VLOOKUP(A232,'Eclusée - Schwall-Sunk'!$A$2:$F$273,6,FALSE)="","",VLOOKUP(A232,'Eclusée - Schwall-Sunk'!$A$2:$F$273,6,FALSE))</f>
        <v>Non affecté / nicht betroffen</v>
      </c>
      <c r="I232" s="405" t="str">
        <f>IF(VLOOKUP(A232,'Revitalisation-Revitalisierung'!$A$4:$Z$275,13,FALSE)="","",VLOOKUP(A232,'Revitalisation-Revitalisierung'!$A$4:$Z$275,13,FALSE))</f>
        <v>Non nécessaire / nicht nötig</v>
      </c>
      <c r="J232" s="406" t="str">
        <f>IF(VLOOKUP(A232,'Revitalisation-Revitalisierung'!$A$4:$Z$275,14,FALSE)="","",VLOOKUP(A232,'Revitalisation-Revitalisierung'!$A$4:$Z$275,14,FALSE))</f>
        <v>b</v>
      </c>
      <c r="K232" s="407"/>
    </row>
    <row r="233" spans="1:11" ht="20.100000000000001" customHeight="1" x14ac:dyDescent="0.25">
      <c r="A233" s="412">
        <v>326.10000000000002</v>
      </c>
      <c r="B233" s="400" t="s">
        <v>175</v>
      </c>
      <c r="C233" s="400" t="s">
        <v>176</v>
      </c>
      <c r="D233" s="401" t="s">
        <v>92</v>
      </c>
      <c r="E233" s="402" t="str">
        <f>IF(VLOOKUP(A233,'Charriage - Geschiebehaushalt'!$A$4:$AC$275,17,FALSE)="","",VLOOKUP(A233,'Charriage - Geschiebehaushalt'!$A$4:$AC$275,17,FALSE))</f>
        <v>Charriage présumé naturel / Geschiebehaushalt vermutlich natürlich</v>
      </c>
      <c r="F233" s="403" t="str">
        <f>IF(VLOOKUP(A233,'Charriage - Geschiebehaushalt'!$A$4:$AC$275,18,FALSE)="","",VLOOKUP(A233,'Charriage - Geschiebehaushalt'!$A$4:$AC$275,18,FALSE))</f>
        <v>b</v>
      </c>
      <c r="G233" s="330" t="str">
        <f>IF(VLOOKUP(A233,'Débit - Abfluss'!$A$4:$AD$275,8,FALSE)="","",VLOOKUP(A233,'Débit - Abfluss'!$A$4:$AD$275,8,FALSE))</f>
        <v>100%</v>
      </c>
      <c r="H233" s="404" t="str">
        <f>IF(VLOOKUP(A233,'Eclusée - Schwall-Sunk'!$A$2:$F$273,6,FALSE)="","",VLOOKUP(A233,'Eclusée - Schwall-Sunk'!$A$2:$F$273,6,FALSE))</f>
        <v>Non affecté / nicht betroffen</v>
      </c>
      <c r="I233" s="405" t="str">
        <f>IF(VLOOKUP(A233,'Revitalisation-Revitalisierung'!$A$4:$Z$275,13,FALSE)="","",VLOOKUP(A233,'Revitalisation-Revitalisierung'!$A$4:$Z$275,13,FALSE))</f>
        <v>Non nécessaire / nicht nötig</v>
      </c>
      <c r="J233" s="406" t="str">
        <f>IF(VLOOKUP(A233,'Revitalisation-Revitalisierung'!$A$4:$Z$275,14,FALSE)="","",VLOOKUP(A233,'Revitalisation-Revitalisierung'!$A$4:$Z$275,14,FALSE))</f>
        <v>b</v>
      </c>
      <c r="K233" s="407"/>
    </row>
    <row r="234" spans="1:11" ht="20.100000000000001" customHeight="1" x14ac:dyDescent="0.25">
      <c r="A234" s="412">
        <v>326.2</v>
      </c>
      <c r="B234" s="400" t="s">
        <v>175</v>
      </c>
      <c r="C234" s="400" t="s">
        <v>176</v>
      </c>
      <c r="D234" s="401" t="s">
        <v>92</v>
      </c>
      <c r="E234" s="402" t="str">
        <f>IF(VLOOKUP(A234,'Charriage - Geschiebehaushalt'!$A$4:$AC$275,17,FALSE)="","",VLOOKUP(A234,'Charriage - Geschiebehaushalt'!$A$4:$AC$275,17,FALSE))</f>
        <v>Charriage présumé naturel / Geschiebehaushalt vermutlich natürlich</v>
      </c>
      <c r="F234" s="403" t="str">
        <f>IF(VLOOKUP(A234,'Charriage - Geschiebehaushalt'!$A$4:$AC$275,18,FALSE)="","",VLOOKUP(A234,'Charriage - Geschiebehaushalt'!$A$4:$AC$275,18,FALSE))</f>
        <v>b</v>
      </c>
      <c r="G234" s="330" t="str">
        <f>IF(VLOOKUP(A234,'Débit - Abfluss'!$A$4:$AD$275,8,FALSE)="","",VLOOKUP(A234,'Débit - Abfluss'!$A$4:$AD$275,8,FALSE))</f>
        <v>100%</v>
      </c>
      <c r="H234" s="404" t="str">
        <f>IF(VLOOKUP(A234,'Eclusée - Schwall-Sunk'!$A$2:$F$273,6,FALSE)="","",VLOOKUP(A234,'Eclusée - Schwall-Sunk'!$A$2:$F$273,6,FALSE))</f>
        <v>Non affecté / nicht betroffen</v>
      </c>
      <c r="I234" s="405" t="str">
        <f>IF(VLOOKUP(A234,'Revitalisation-Revitalisierung'!$A$4:$Z$275,13,FALSE)="","",VLOOKUP(A234,'Revitalisation-Revitalisierung'!$A$4:$Z$275,13,FALSE))</f>
        <v>Non nécessaire / nicht nötig</v>
      </c>
      <c r="J234" s="406" t="str">
        <f>IF(VLOOKUP(A234,'Revitalisation-Revitalisierung'!$A$4:$Z$275,14,FALSE)="","",VLOOKUP(A234,'Revitalisation-Revitalisierung'!$A$4:$Z$275,14,FALSE))</f>
        <v>a</v>
      </c>
      <c r="K234" s="407"/>
    </row>
    <row r="235" spans="1:11" ht="20.100000000000001" customHeight="1" x14ac:dyDescent="0.25">
      <c r="A235" s="399">
        <v>327</v>
      </c>
      <c r="B235" s="400" t="s">
        <v>177</v>
      </c>
      <c r="C235" s="400" t="s">
        <v>178</v>
      </c>
      <c r="D235" s="401" t="s">
        <v>92</v>
      </c>
      <c r="E235" s="402" t="str">
        <f>IF(VLOOKUP(A235,'Charriage - Geschiebehaushalt'!$A$4:$AC$275,17,FALSE)="","",VLOOKUP(A235,'Charriage - Geschiebehaushalt'!$A$4:$AC$275,17,FALSE))</f>
        <v>Charriage présumé naturel / Geschiebehaushalt vermutlich natürlich</v>
      </c>
      <c r="F235" s="403" t="str">
        <f>IF(VLOOKUP(A235,'Charriage - Geschiebehaushalt'!$A$4:$AC$275,18,FALSE)="","",VLOOKUP(A235,'Charriage - Geschiebehaushalt'!$A$4:$AC$275,18,FALSE))</f>
        <v>b</v>
      </c>
      <c r="G235" s="330" t="str">
        <f>IF(VLOOKUP(A235,'Débit - Abfluss'!$A$4:$AD$275,8,FALSE)="","",VLOOKUP(A235,'Débit - Abfluss'!$A$4:$AD$275,8,FALSE))</f>
        <v>100%</v>
      </c>
      <c r="H235" s="404" t="str">
        <f>IF(VLOOKUP(A235,'Eclusée - Schwall-Sunk'!$A$2:$F$273,6,FALSE)="","",VLOOKUP(A235,'Eclusée - Schwall-Sunk'!$A$2:$F$273,6,FALSE))</f>
        <v>Non affecté / nicht betroffen</v>
      </c>
      <c r="I235" s="405" t="str">
        <f>IF(VLOOKUP(A235,'Revitalisation-Revitalisierung'!$A$4:$Z$275,13,FALSE)="","",VLOOKUP(A235,'Revitalisation-Revitalisierung'!$A$4:$Z$275,13,FALSE))</f>
        <v>Non nécessaire / nicht nötig</v>
      </c>
      <c r="J235" s="406" t="str">
        <f>IF(VLOOKUP(A235,'Revitalisation-Revitalisierung'!$A$4:$Z$275,14,FALSE)="","",VLOOKUP(A235,'Revitalisation-Revitalisierung'!$A$4:$Z$275,14,FALSE))</f>
        <v>a</v>
      </c>
      <c r="K235" s="407"/>
    </row>
    <row r="236" spans="1:11" ht="20.100000000000001" customHeight="1" x14ac:dyDescent="0.25">
      <c r="A236" s="408">
        <v>328</v>
      </c>
      <c r="B236" s="409" t="s">
        <v>180</v>
      </c>
      <c r="C236" s="410" t="s">
        <v>181</v>
      </c>
      <c r="D236" s="411" t="s">
        <v>92</v>
      </c>
      <c r="E236" s="402" t="str">
        <f>IF(VLOOKUP(A236,'Charriage - Geschiebehaushalt'!$A$4:$AC$275,17,FALSE)="","",VLOOKUP(A236,'Charriage - Geschiebehaushalt'!$A$4:$AC$275,17,FALSE))</f>
        <v>Charriage présumé naturel / Geschiebehaushalt vermutlich natürlich</v>
      </c>
      <c r="F236" s="403" t="str">
        <f>IF(VLOOKUP(A236,'Charriage - Geschiebehaushalt'!$A$4:$AC$275,18,FALSE)="","",VLOOKUP(A236,'Charriage - Geschiebehaushalt'!$A$4:$AC$275,18,FALSE))</f>
        <v>b</v>
      </c>
      <c r="G236" s="330" t="str">
        <f>IF(VLOOKUP(A236,'Débit - Abfluss'!$A$4:$AD$275,8,FALSE)="","",VLOOKUP(A236,'Débit - Abfluss'!$A$4:$AD$275,8,FALSE))</f>
        <v>Régime présumé naturel (100%) / Abfluss vermutlich natürlich</v>
      </c>
      <c r="H236" s="404" t="str">
        <f>IF(VLOOKUP(A236,'Eclusée - Schwall-Sunk'!$A$2:$F$273,6,FALSE)="","",VLOOKUP(A236,'Eclusée - Schwall-Sunk'!$A$2:$F$273,6,FALSE))</f>
        <v>Non affecté / nicht betroffen</v>
      </c>
      <c r="I236" s="405" t="str">
        <f>IF(VLOOKUP(A236,'Revitalisation-Revitalisierung'!$A$4:$Z$275,13,FALSE)="","",VLOOKUP(A236,'Revitalisation-Revitalisierung'!$A$4:$Z$275,13,FALSE))</f>
        <v>Non nécessaire / nicht nötig</v>
      </c>
      <c r="J236" s="406" t="str">
        <f>IF(VLOOKUP(A236,'Revitalisation-Revitalisierung'!$A$4:$Z$275,14,FALSE)="","",VLOOKUP(A236,'Revitalisation-Revitalisierung'!$A$4:$Z$275,14,FALSE))</f>
        <v>a</v>
      </c>
      <c r="K236" s="407"/>
    </row>
    <row r="237" spans="1:11" ht="20.100000000000001" customHeight="1" x14ac:dyDescent="0.25">
      <c r="A237" s="408">
        <v>329</v>
      </c>
      <c r="B237" s="409" t="s">
        <v>665</v>
      </c>
      <c r="C237" s="410" t="s">
        <v>666</v>
      </c>
      <c r="D237" s="411" t="s">
        <v>625</v>
      </c>
      <c r="E237" s="402" t="str">
        <f>IF(VLOOKUP(A237,'Charriage - Geschiebehaushalt'!$A$4:$AC$275,17,FALSE)="","",VLOOKUP(A237,'Charriage - Geschiebehaushalt'!$A$4:$AC$275,17,FALSE))</f>
        <v>Charriage présumé naturel / Geschiebehaushalt vermutlich natürlich</v>
      </c>
      <c r="F237" s="403" t="str">
        <f>IF(VLOOKUP(A237,'Charriage - Geschiebehaushalt'!$A$4:$AC$275,18,FALSE)="","",VLOOKUP(A237,'Charriage - Geschiebehaushalt'!$A$4:$AC$275,18,FALSE))</f>
        <v>a</v>
      </c>
      <c r="G237" s="330" t="str">
        <f>IF(VLOOKUP(A237,'Débit - Abfluss'!$A$4:$AD$275,8,FALSE)="","",VLOOKUP(A237,'Débit - Abfluss'!$A$4:$AD$275,8,FALSE))</f>
        <v>Régime présumé naturel (100%) / Abfluss vermutlich natürlich</v>
      </c>
      <c r="H237" s="404" t="str">
        <f>IF(VLOOKUP(A237,'Eclusée - Schwall-Sunk'!$A$2:$F$273,6,FALSE)="","",VLOOKUP(A237,'Eclusée - Schwall-Sunk'!$A$2:$F$273,6,FALSE))</f>
        <v>Non affecté / nicht betroffen</v>
      </c>
      <c r="I237" s="405" t="str">
        <f>IF(VLOOKUP(A237,'Revitalisation-Revitalisierung'!$A$4:$Z$275,13,FALSE)="","",VLOOKUP(A237,'Revitalisation-Revitalisierung'!$A$4:$Z$275,13,FALSE))</f>
        <v>Non nécessaire / nicht nötig</v>
      </c>
      <c r="J237" s="406" t="str">
        <f>IF(VLOOKUP(A237,'Revitalisation-Revitalisierung'!$A$4:$Z$275,14,FALSE)="","",VLOOKUP(A237,'Revitalisation-Revitalisierung'!$A$4:$Z$275,14,FALSE))</f>
        <v>a</v>
      </c>
      <c r="K237" s="407"/>
    </row>
    <row r="238" spans="1:11" ht="20.100000000000001" customHeight="1" x14ac:dyDescent="0.25">
      <c r="A238" s="408">
        <v>330</v>
      </c>
      <c r="B238" s="409" t="s">
        <v>668</v>
      </c>
      <c r="C238" s="410" t="s">
        <v>669</v>
      </c>
      <c r="D238" s="411" t="s">
        <v>625</v>
      </c>
      <c r="E238" s="402" t="str">
        <f>IF(VLOOKUP(A238,'Charriage - Geschiebehaushalt'!$A$4:$AC$275,17,FALSE)="","",VLOOKUP(A238,'Charriage - Geschiebehaushalt'!$A$4:$AC$275,17,FALSE))</f>
        <v>Charriage présumé naturel / Geschiebehaushalt vermutlich natürlich</v>
      </c>
      <c r="F238" s="403" t="str">
        <f>IF(VLOOKUP(A238,'Charriage - Geschiebehaushalt'!$A$4:$AC$275,18,FALSE)="","",VLOOKUP(A238,'Charriage - Geschiebehaushalt'!$A$4:$AC$275,18,FALSE))</f>
        <v>b</v>
      </c>
      <c r="G238" s="330" t="str">
        <f>IF(VLOOKUP(A238,'Débit - Abfluss'!$A$4:$AD$275,8,FALSE)="","",VLOOKUP(A238,'Débit - Abfluss'!$A$4:$AD$275,8,FALSE))</f>
        <v>Régime présumé naturel (100%) / Abfluss vermutlich natürlich</v>
      </c>
      <c r="H238" s="404" t="str">
        <f>IF(VLOOKUP(A238,'Eclusée - Schwall-Sunk'!$A$2:$F$273,6,FALSE)="","",VLOOKUP(A238,'Eclusée - Schwall-Sunk'!$A$2:$F$273,6,FALSE))</f>
        <v>Non affecté / nicht betroffen</v>
      </c>
      <c r="I238" s="405" t="str">
        <f>IF(VLOOKUP(A238,'Revitalisation-Revitalisierung'!$A$4:$Z$275,13,FALSE)="","",VLOOKUP(A238,'Revitalisation-Revitalisierung'!$A$4:$Z$275,13,FALSE))</f>
        <v>Non nécessaire / nicht nötig</v>
      </c>
      <c r="J238" s="406" t="str">
        <f>IF(VLOOKUP(A238,'Revitalisation-Revitalisierung'!$A$4:$Z$275,14,FALSE)="","",VLOOKUP(A238,'Revitalisation-Revitalisierung'!$A$4:$Z$275,14,FALSE))</f>
        <v>a</v>
      </c>
      <c r="K238" s="407"/>
    </row>
    <row r="239" spans="1:11" ht="20.100000000000001" customHeight="1" x14ac:dyDescent="0.25">
      <c r="A239" s="408">
        <v>331</v>
      </c>
      <c r="B239" s="409" t="s">
        <v>671</v>
      </c>
      <c r="C239" s="410" t="s">
        <v>672</v>
      </c>
      <c r="D239" s="411" t="s">
        <v>625</v>
      </c>
      <c r="E239" s="402" t="str">
        <f>IF(VLOOKUP(A239,'Charriage - Geschiebehaushalt'!$A$4:$AC$275,17,FALSE)="","",VLOOKUP(A239,'Charriage - Geschiebehaushalt'!$A$4:$AC$275,17,FALSE))</f>
        <v>Charriage présumé naturel / Geschiebehaushalt vermutlich natürlich</v>
      </c>
      <c r="F239" s="403" t="str">
        <f>IF(VLOOKUP(A239,'Charriage - Geschiebehaushalt'!$A$4:$AC$275,18,FALSE)="","",VLOOKUP(A239,'Charriage - Geschiebehaushalt'!$A$4:$AC$275,18,FALSE))</f>
        <v>b</v>
      </c>
      <c r="G239" s="330" t="str">
        <f>IF(VLOOKUP(A239,'Débit - Abfluss'!$A$4:$AD$275,8,FALSE)="","",VLOOKUP(A239,'Débit - Abfluss'!$A$4:$AD$275,8,FALSE))</f>
        <v>Régime présumé naturel (100%) / Abfluss vermutlich natürlich</v>
      </c>
      <c r="H239" s="404" t="str">
        <f>IF(VLOOKUP(A239,'Eclusée - Schwall-Sunk'!$A$2:$F$273,6,FALSE)="","",VLOOKUP(A239,'Eclusée - Schwall-Sunk'!$A$2:$F$273,6,FALSE))</f>
        <v>Non affecté / nicht betroffen</v>
      </c>
      <c r="I239" s="405" t="str">
        <f>IF(VLOOKUP(A239,'Revitalisation-Revitalisierung'!$A$4:$Z$275,13,FALSE)="","",VLOOKUP(A239,'Revitalisation-Revitalisierung'!$A$4:$Z$275,13,FALSE))</f>
        <v>Non nécessaire / nicht nötig</v>
      </c>
      <c r="J239" s="406" t="str">
        <f>IF(VLOOKUP(A239,'Revitalisation-Revitalisierung'!$A$4:$Z$275,14,FALSE)="","",VLOOKUP(A239,'Revitalisation-Revitalisierung'!$A$4:$Z$275,14,FALSE))</f>
        <v>a</v>
      </c>
      <c r="K239" s="407"/>
    </row>
    <row r="240" spans="1:11" ht="20.100000000000001" customHeight="1" x14ac:dyDescent="0.25">
      <c r="A240" s="408">
        <v>332</v>
      </c>
      <c r="B240" s="409" t="s">
        <v>674</v>
      </c>
      <c r="C240" s="410" t="s">
        <v>675</v>
      </c>
      <c r="D240" s="411" t="s">
        <v>625</v>
      </c>
      <c r="E240" s="402" t="str">
        <f>IF(VLOOKUP(A240,'Charriage - Geschiebehaushalt'!$A$4:$AC$275,17,FALSE)="","",VLOOKUP(A240,'Charriage - Geschiebehaushalt'!$A$4:$AC$275,17,FALSE))</f>
        <v>Charriage présumé naturel / Geschiebehaushalt vermutlich natürlich</v>
      </c>
      <c r="F240" s="403" t="str">
        <f>IF(VLOOKUP(A240,'Charriage - Geschiebehaushalt'!$A$4:$AC$275,18,FALSE)="","",VLOOKUP(A240,'Charriage - Geschiebehaushalt'!$A$4:$AC$275,18,FALSE))</f>
        <v>a</v>
      </c>
      <c r="G240" s="330" t="str">
        <f>IF(VLOOKUP(A240,'Débit - Abfluss'!$A$4:$AD$275,8,FALSE)="","",VLOOKUP(A240,'Débit - Abfluss'!$A$4:$AD$275,8,FALSE))</f>
        <v>0-20%</v>
      </c>
      <c r="H240" s="404" t="str">
        <f>IF(VLOOKUP(A240,'Eclusée - Schwall-Sunk'!$A$2:$F$273,6,FALSE)="","",VLOOKUP(A240,'Eclusée - Schwall-Sunk'!$A$2:$F$273,6,FALSE))</f>
        <v>Non affecté / nicht betroffen</v>
      </c>
      <c r="I240" s="405" t="str">
        <f>IF(VLOOKUP(A240,'Revitalisation-Revitalisierung'!$A$4:$Z$275,13,FALSE)="","",VLOOKUP(A240,'Revitalisation-Revitalisierung'!$A$4:$Z$275,13,FALSE))</f>
        <v>Très nécessaire, facile / unbedingt nötig, einfach</v>
      </c>
      <c r="J240" s="406" t="str">
        <f>IF(VLOOKUP(A240,'Revitalisation-Revitalisierung'!$A$4:$Z$275,14,FALSE)="","",VLOOKUP(A240,'Revitalisation-Revitalisierung'!$A$4:$Z$275,14,FALSE))</f>
        <v>b</v>
      </c>
      <c r="K240" s="407"/>
    </row>
    <row r="241" spans="1:11" ht="20.100000000000001" customHeight="1" x14ac:dyDescent="0.25">
      <c r="A241" s="408">
        <v>333</v>
      </c>
      <c r="B241" s="409" t="s">
        <v>677</v>
      </c>
      <c r="C241" s="410" t="s">
        <v>675</v>
      </c>
      <c r="D241" s="411" t="s">
        <v>625</v>
      </c>
      <c r="E241" s="402" t="str">
        <f>IF(VLOOKUP(A241,'Charriage - Geschiebehaushalt'!$A$4:$AC$275,17,FALSE)="","",VLOOKUP(A241,'Charriage - Geschiebehaushalt'!$A$4:$AC$275,17,FALSE))</f>
        <v>Charriage présumé naturel / Geschiebehaushalt vermutlich natürlich</v>
      </c>
      <c r="F241" s="403" t="str">
        <f>IF(VLOOKUP(A241,'Charriage - Geschiebehaushalt'!$A$4:$AC$275,18,FALSE)="","",VLOOKUP(A241,'Charriage - Geschiebehaushalt'!$A$4:$AC$275,18,FALSE))</f>
        <v>a</v>
      </c>
      <c r="G241" s="330" t="str">
        <f>IF(VLOOKUP(A241,'Débit - Abfluss'!$A$4:$AD$275,8,FALSE)="","",VLOOKUP(A241,'Débit - Abfluss'!$A$4:$AD$275,8,FALSE))</f>
        <v>0-20%</v>
      </c>
      <c r="H241" s="404" t="str">
        <f>IF(VLOOKUP(A241,'Eclusée - Schwall-Sunk'!$A$2:$F$273,6,FALSE)="","",VLOOKUP(A241,'Eclusée - Schwall-Sunk'!$A$2:$F$273,6,FALSE))</f>
        <v>Non affecté / nicht betroffen</v>
      </c>
      <c r="I241" s="405" t="str">
        <f>IF(VLOOKUP(A241,'Revitalisation-Revitalisierung'!$A$4:$Z$275,13,FALSE)="","",VLOOKUP(A241,'Revitalisation-Revitalisierung'!$A$4:$Z$275,13,FALSE))</f>
        <v>Très nécessaire, facile / unbedingt nötig, einfach</v>
      </c>
      <c r="J241" s="406" t="str">
        <f>IF(VLOOKUP(A241,'Revitalisation-Revitalisierung'!$A$4:$Z$275,14,FALSE)="","",VLOOKUP(A241,'Revitalisation-Revitalisierung'!$A$4:$Z$275,14,FALSE))</f>
        <v>b</v>
      </c>
      <c r="K241" s="407"/>
    </row>
    <row r="242" spans="1:11" ht="20.100000000000001" customHeight="1" x14ac:dyDescent="0.25">
      <c r="A242" s="408">
        <v>334</v>
      </c>
      <c r="B242" s="409" t="s">
        <v>679</v>
      </c>
      <c r="C242" s="410" t="s">
        <v>680</v>
      </c>
      <c r="D242" s="411" t="s">
        <v>625</v>
      </c>
      <c r="E242" s="402" t="str">
        <f>IF(VLOOKUP(A242,'Charriage - Geschiebehaushalt'!$A$4:$AC$275,17,FALSE)="","",VLOOKUP(A242,'Charriage - Geschiebehaushalt'!$A$4:$AC$275,17,FALSE))</f>
        <v>Charriage présumé naturel / Geschiebehaushalt vermutlich natürlich</v>
      </c>
      <c r="F242" s="403" t="str">
        <f>IF(VLOOKUP(A242,'Charriage - Geschiebehaushalt'!$A$4:$AC$275,18,FALSE)="","",VLOOKUP(A242,'Charriage - Geschiebehaushalt'!$A$4:$AC$275,18,FALSE))</f>
        <v>a</v>
      </c>
      <c r="G242" s="330" t="str">
        <f>IF(VLOOKUP(A242,'Débit - Abfluss'!$A$4:$AD$275,8,FALSE)="","",VLOOKUP(A242,'Débit - Abfluss'!$A$4:$AD$275,8,FALSE))</f>
        <v>Régime présumé naturel (100%) / Abfluss vermutlich natürlich</v>
      </c>
      <c r="H242" s="404" t="str">
        <f>IF(VLOOKUP(A242,'Eclusée - Schwall-Sunk'!$A$2:$F$273,6,FALSE)="","",VLOOKUP(A242,'Eclusée - Schwall-Sunk'!$A$2:$F$273,6,FALSE))</f>
        <v>Non affecté / nicht betroffen</v>
      </c>
      <c r="I242" s="405" t="str">
        <f>IF(VLOOKUP(A242,'Revitalisation-Revitalisierung'!$A$4:$Z$275,13,FALSE)="","",VLOOKUP(A242,'Revitalisation-Revitalisierung'!$A$4:$Z$275,13,FALSE))</f>
        <v>Très nécessaire, facile / unbedingt nötig, einfach</v>
      </c>
      <c r="J242" s="406" t="str">
        <f>IF(VLOOKUP(A242,'Revitalisation-Revitalisierung'!$A$4:$Z$275,14,FALSE)="","",VLOOKUP(A242,'Revitalisation-Revitalisierung'!$A$4:$Z$275,14,FALSE))</f>
        <v>a</v>
      </c>
      <c r="K242" s="407"/>
    </row>
    <row r="243" spans="1:11" ht="20.100000000000001" customHeight="1" x14ac:dyDescent="0.25">
      <c r="A243" s="408">
        <v>335</v>
      </c>
      <c r="B243" s="409" t="s">
        <v>682</v>
      </c>
      <c r="C243" s="410" t="s">
        <v>683</v>
      </c>
      <c r="D243" s="411" t="s">
        <v>625</v>
      </c>
      <c r="E243" s="402" t="str">
        <f>IF(VLOOKUP(A243,'Charriage - Geschiebehaushalt'!$A$4:$AC$275,17,FALSE)="","",VLOOKUP(A243,'Charriage - Geschiebehaushalt'!$A$4:$AC$275,17,FALSE))</f>
        <v>Charriage présumé naturel / Geschiebehaushalt vermutlich natürlich</v>
      </c>
      <c r="F243" s="403" t="str">
        <f>IF(VLOOKUP(A243,'Charriage - Geschiebehaushalt'!$A$4:$AC$275,18,FALSE)="","",VLOOKUP(A243,'Charriage - Geschiebehaushalt'!$A$4:$AC$275,18,FALSE))</f>
        <v>b</v>
      </c>
      <c r="G243" s="330" t="str">
        <f>IF(VLOOKUP(A243,'Débit - Abfluss'!$A$4:$AD$275,8,FALSE)="","",VLOOKUP(A243,'Débit - Abfluss'!$A$4:$AD$275,8,FALSE))</f>
        <v>0-20%</v>
      </c>
      <c r="H243" s="404" t="str">
        <f>IF(VLOOKUP(A243,'Eclusée - Schwall-Sunk'!$A$2:$F$273,6,FALSE)="","",VLOOKUP(A243,'Eclusée - Schwall-Sunk'!$A$2:$F$273,6,FALSE))</f>
        <v>Non affecté / nicht betroffen</v>
      </c>
      <c r="I243" s="405" t="str">
        <f>IF(VLOOKUP(A243,'Revitalisation-Revitalisierung'!$A$4:$Z$275,13,FALSE)="","",VLOOKUP(A243,'Revitalisation-Revitalisierung'!$A$4:$Z$275,13,FALSE))</f>
        <v>Non nécessaire / nicht nötig</v>
      </c>
      <c r="J243" s="406" t="str">
        <f>IF(VLOOKUP(A243,'Revitalisation-Revitalisierung'!$A$4:$Z$275,14,FALSE)="","",VLOOKUP(A243,'Revitalisation-Revitalisierung'!$A$4:$Z$275,14,FALSE))</f>
        <v>a</v>
      </c>
      <c r="K243" s="407"/>
    </row>
    <row r="244" spans="1:11" ht="20.100000000000001" customHeight="1" x14ac:dyDescent="0.25">
      <c r="A244" s="408">
        <v>336</v>
      </c>
      <c r="B244" s="409" t="s">
        <v>685</v>
      </c>
      <c r="C244" s="410" t="s">
        <v>686</v>
      </c>
      <c r="D244" s="411" t="s">
        <v>625</v>
      </c>
      <c r="E244" s="402" t="str">
        <f>IF(VLOOKUP(A244,'Charriage - Geschiebehaushalt'!$A$4:$AC$275,17,FALSE)="","",VLOOKUP(A244,'Charriage - Geschiebehaushalt'!$A$4:$AC$275,17,FALSE))</f>
        <v>Charriage présumé naturel / Geschiebehaushalt vermutlich natürlich</v>
      </c>
      <c r="F244" s="403" t="str">
        <f>IF(VLOOKUP(A244,'Charriage - Geschiebehaushalt'!$A$4:$AC$275,18,FALSE)="","",VLOOKUP(A244,'Charriage - Geschiebehaushalt'!$A$4:$AC$275,18,FALSE))</f>
        <v>b</v>
      </c>
      <c r="G244" s="330" t="str">
        <f>IF(VLOOKUP(A244,'Débit - Abfluss'!$A$4:$AD$275,8,FALSE)="","",VLOOKUP(A244,'Débit - Abfluss'!$A$4:$AD$275,8,FALSE))</f>
        <v>Régime présumé naturel (100%) / Abfluss vermutlich natürlich</v>
      </c>
      <c r="H244" s="404" t="str">
        <f>IF(VLOOKUP(A244,'Eclusée - Schwall-Sunk'!$A$2:$F$273,6,FALSE)="","",VLOOKUP(A244,'Eclusée - Schwall-Sunk'!$A$2:$F$273,6,FALSE))</f>
        <v>Non affecté / nicht betroffen</v>
      </c>
      <c r="I244" s="405" t="str">
        <f>IF(VLOOKUP(A244,'Revitalisation-Revitalisierung'!$A$4:$Z$275,13,FALSE)="","",VLOOKUP(A244,'Revitalisation-Revitalisierung'!$A$4:$Z$275,13,FALSE))</f>
        <v>Partiellement nécessaire, facile / teilweise nötig, einfach</v>
      </c>
      <c r="J244" s="406" t="str">
        <f>IF(VLOOKUP(A244,'Revitalisation-Revitalisierung'!$A$4:$Z$275,14,FALSE)="","",VLOOKUP(A244,'Revitalisation-Revitalisierung'!$A$4:$Z$275,14,FALSE))</f>
        <v>b</v>
      </c>
      <c r="K244" s="407"/>
    </row>
    <row r="245" spans="1:11" ht="20.100000000000001" customHeight="1" x14ac:dyDescent="0.25">
      <c r="A245" s="399">
        <v>337</v>
      </c>
      <c r="B245" s="400" t="s">
        <v>69</v>
      </c>
      <c r="C245" s="400" t="s">
        <v>70</v>
      </c>
      <c r="D245" s="401" t="s">
        <v>35</v>
      </c>
      <c r="E245" s="402" t="str">
        <f>IF(VLOOKUP(A245,'Charriage - Geschiebehaushalt'!$A$4:$AC$275,17,FALSE)="","",VLOOKUP(A245,'Charriage - Geschiebehaushalt'!$A$4:$AC$275,17,FALSE))</f>
        <v>La remobilisation des sédiments est perturbée / Mobilisierung von Geschiebe beeinträchtigt</v>
      </c>
      <c r="F245" s="403" t="str">
        <f>IF(VLOOKUP(A245,'Charriage - Geschiebehaushalt'!$A$4:$AC$275,18,FALSE)="","",VLOOKUP(A245,'Charriage - Geschiebehaushalt'!$A$4:$AC$275,18,FALSE))</f>
        <v>b</v>
      </c>
      <c r="G245" s="330" t="str">
        <f>IF(VLOOKUP(A245,'Débit - Abfluss'!$A$4:$AD$275,8,FALSE)="","",VLOOKUP(A245,'Débit - Abfluss'!$A$4:$AD$275,8,FALSE))</f>
        <v>100%</v>
      </c>
      <c r="H245" s="404" t="str">
        <f>IF(VLOOKUP(A245,'Eclusée - Schwall-Sunk'!$A$2:$F$273,6,FALSE)="","",VLOOKUP(A245,'Eclusée - Schwall-Sunk'!$A$2:$F$273,6,FALSE))</f>
        <v>Non affecté / nicht betroffen</v>
      </c>
      <c r="I245" s="405" t="str">
        <f>IF(VLOOKUP(A245,'Revitalisation-Revitalisierung'!$A$4:$Z$275,13,FALSE)="","",VLOOKUP(A245,'Revitalisation-Revitalisierung'!$A$4:$Z$275,13,FALSE))</f>
        <v>Très nécessaire, difficile / unbedingt nötig, schwierig</v>
      </c>
      <c r="J245" s="406" t="str">
        <f>IF(VLOOKUP(A245,'Revitalisation-Revitalisierung'!$A$4:$Z$275,14,FALSE)="","",VLOOKUP(A245,'Revitalisation-Revitalisierung'!$A$4:$Z$275,14,FALSE))</f>
        <v>a</v>
      </c>
      <c r="K245" s="407"/>
    </row>
    <row r="246" spans="1:11" ht="20.100000000000001" customHeight="1" x14ac:dyDescent="0.25">
      <c r="A246" s="399">
        <v>338</v>
      </c>
      <c r="B246" s="400" t="s">
        <v>380</v>
      </c>
      <c r="C246" s="400" t="s">
        <v>381</v>
      </c>
      <c r="D246" s="401" t="s">
        <v>376</v>
      </c>
      <c r="E246" s="402" t="str">
        <f>IF(VLOOKUP(A246,'Charriage - Geschiebehaushalt'!$A$4:$AC$275,17,FALSE)="","",VLOOKUP(A246,'Charriage - Geschiebehaushalt'!$A$4:$AC$275,17,FALSE))</f>
        <v>Charriage présumé naturel / Geschiebehaushalt vermutlich natürlich</v>
      </c>
      <c r="F246" s="403" t="str">
        <f>IF(VLOOKUP(A246,'Charriage - Geschiebehaushalt'!$A$4:$AC$275,18,FALSE)="","",VLOOKUP(A246,'Charriage - Geschiebehaushalt'!$A$4:$AC$275,18,FALSE))</f>
        <v>b</v>
      </c>
      <c r="G246" s="330" t="str">
        <f>IF(VLOOKUP(A246,'Débit - Abfluss'!$A$4:$AD$275,8,FALSE)="","",VLOOKUP(A246,'Débit - Abfluss'!$A$4:$AD$275,8,FALSE))</f>
        <v>100%</v>
      </c>
      <c r="H246" s="404" t="str">
        <f>IF(VLOOKUP(A246,'Eclusée - Schwall-Sunk'!$A$2:$F$273,6,FALSE)="","",VLOOKUP(A246,'Eclusée - Schwall-Sunk'!$A$2:$F$273,6,FALSE))</f>
        <v>Non affecté / nicht betroffen</v>
      </c>
      <c r="I246" s="405" t="str">
        <f>IF(VLOOKUP(A246,'Revitalisation-Revitalisierung'!$A$4:$Z$275,13,FALSE)="","",VLOOKUP(A246,'Revitalisation-Revitalisierung'!$A$4:$Z$275,13,FALSE))</f>
        <v>Très nécessaire, facile / unbedingt nötig, einfach</v>
      </c>
      <c r="J246" s="406" t="str">
        <f>IF(VLOOKUP(A246,'Revitalisation-Revitalisierung'!$A$4:$Z$275,14,FALSE)="","",VLOOKUP(A246,'Revitalisation-Revitalisierung'!$A$4:$Z$275,14,FALSE))</f>
        <v>b</v>
      </c>
      <c r="K246" s="407"/>
    </row>
    <row r="247" spans="1:11" ht="20.100000000000001" customHeight="1" x14ac:dyDescent="0.25">
      <c r="A247" s="399">
        <v>339</v>
      </c>
      <c r="B247" s="400" t="s">
        <v>383</v>
      </c>
      <c r="C247" s="400" t="s">
        <v>384</v>
      </c>
      <c r="D247" s="401" t="s">
        <v>376</v>
      </c>
      <c r="E247" s="402" t="str">
        <f>IF(VLOOKUP(A247,'Charriage - Geschiebehaushalt'!$A$4:$AC$275,17,FALSE)="","",VLOOKUP(A247,'Charriage - Geschiebehaushalt'!$A$4:$AC$275,17,FALSE))</f>
        <v>Charriage présumé naturel / Geschiebehaushalt vermutlich natürlich</v>
      </c>
      <c r="F247" s="403" t="str">
        <f>IF(VLOOKUP(A247,'Charriage - Geschiebehaushalt'!$A$4:$AC$275,18,FALSE)="","",VLOOKUP(A247,'Charriage - Geschiebehaushalt'!$A$4:$AC$275,18,FALSE))</f>
        <v>b</v>
      </c>
      <c r="G247" s="330" t="str">
        <f>IF(VLOOKUP(A247,'Débit - Abfluss'!$A$4:$AD$275,8,FALSE)="","",VLOOKUP(A247,'Débit - Abfluss'!$A$4:$AD$275,8,FALSE))</f>
        <v>100%</v>
      </c>
      <c r="H247" s="404" t="str">
        <f>IF(VLOOKUP(A247,'Eclusée - Schwall-Sunk'!$A$2:$F$273,6,FALSE)="","",VLOOKUP(A247,'Eclusée - Schwall-Sunk'!$A$2:$F$273,6,FALSE))</f>
        <v>Non affecté / nicht betroffen</v>
      </c>
      <c r="I247" s="405" t="str">
        <f>IF(VLOOKUP(A247,'Revitalisation-Revitalisierung'!$A$4:$Z$275,13,FALSE)="","",VLOOKUP(A247,'Revitalisation-Revitalisierung'!$A$4:$Z$275,13,FALSE))</f>
        <v>Partiellement nécessaire, facile / teilweise nötig, einfach</v>
      </c>
      <c r="J247" s="406" t="str">
        <f>IF(VLOOKUP(A247,'Revitalisation-Revitalisierung'!$A$4:$Z$275,14,FALSE)="","",VLOOKUP(A247,'Revitalisation-Revitalisierung'!$A$4:$Z$275,14,FALSE))</f>
        <v>b</v>
      </c>
      <c r="K247" s="407"/>
    </row>
    <row r="248" spans="1:11" ht="20.100000000000001" customHeight="1" x14ac:dyDescent="0.25">
      <c r="A248" s="399">
        <v>340</v>
      </c>
      <c r="B248" s="400" t="s">
        <v>386</v>
      </c>
      <c r="C248" s="400" t="s">
        <v>387</v>
      </c>
      <c r="D248" s="401" t="s">
        <v>376</v>
      </c>
      <c r="E248" s="402" t="str">
        <f>IF(VLOOKUP(A248,'Charriage - Geschiebehaushalt'!$A$4:$AC$275,17,FALSE)="","",VLOOKUP(A248,'Charriage - Geschiebehaushalt'!$A$4:$AC$275,17,FALSE))</f>
        <v>Charriage présumé naturel / Geschiebehaushalt vermutlich natürlich</v>
      </c>
      <c r="F248" s="403" t="str">
        <f>IF(VLOOKUP(A248,'Charriage - Geschiebehaushalt'!$A$4:$AC$275,18,FALSE)="","",VLOOKUP(A248,'Charriage - Geschiebehaushalt'!$A$4:$AC$275,18,FALSE))</f>
        <v>b</v>
      </c>
      <c r="G248" s="330" t="str">
        <f>IF(VLOOKUP(A248,'Débit - Abfluss'!$A$4:$AD$275,8,FALSE)="","",VLOOKUP(A248,'Débit - Abfluss'!$A$4:$AD$275,8,FALSE))</f>
        <v>100%</v>
      </c>
      <c r="H248" s="404" t="str">
        <f>IF(VLOOKUP(A248,'Eclusée - Schwall-Sunk'!$A$2:$F$273,6,FALSE)="","",VLOOKUP(A248,'Eclusée - Schwall-Sunk'!$A$2:$F$273,6,FALSE))</f>
        <v>Non affecté / nicht betroffen</v>
      </c>
      <c r="I248" s="405" t="str">
        <f>IF(VLOOKUP(A248,'Revitalisation-Revitalisierung'!$A$4:$Z$275,13,FALSE)="","",VLOOKUP(A248,'Revitalisation-Revitalisierung'!$A$4:$Z$275,13,FALSE))</f>
        <v>Non nécessaire / nicht nötig</v>
      </c>
      <c r="J248" s="406" t="str">
        <f>IF(VLOOKUP(A248,'Revitalisation-Revitalisierung'!$A$4:$Z$275,14,FALSE)="","",VLOOKUP(A248,'Revitalisation-Revitalisierung'!$A$4:$Z$275,14,FALSE))</f>
        <v>a</v>
      </c>
      <c r="K248" s="407"/>
    </row>
    <row r="249" spans="1:11" ht="20.100000000000001" customHeight="1" x14ac:dyDescent="0.25">
      <c r="A249" s="399">
        <v>341</v>
      </c>
      <c r="B249" s="400" t="s">
        <v>389</v>
      </c>
      <c r="C249" s="400" t="s">
        <v>390</v>
      </c>
      <c r="D249" s="401" t="s">
        <v>376</v>
      </c>
      <c r="E249" s="402" t="str">
        <f>IF(VLOOKUP(A249,'Charriage - Geschiebehaushalt'!$A$4:$AC$275,17,FALSE)="","",VLOOKUP(A249,'Charriage - Geschiebehaushalt'!$A$4:$AC$275,17,FALSE))</f>
        <v>La remobilisation des sédiments est perturbée / Mobilisierung von Geschiebe beeinträchtigt</v>
      </c>
      <c r="F249" s="403" t="str">
        <f>IF(VLOOKUP(A249,'Charriage - Geschiebehaushalt'!$A$4:$AC$275,18,FALSE)="","",VLOOKUP(A249,'Charriage - Geschiebehaushalt'!$A$4:$AC$275,18,FALSE))</f>
        <v>b</v>
      </c>
      <c r="G249" s="330" t="str">
        <f>IF(VLOOKUP(A249,'Débit - Abfluss'!$A$4:$AD$275,8,FALSE)="","",VLOOKUP(A249,'Débit - Abfluss'!$A$4:$AD$275,8,FALSE))</f>
        <v>100%</v>
      </c>
      <c r="H249" s="404" t="str">
        <f>IF(VLOOKUP(A249,'Eclusée - Schwall-Sunk'!$A$2:$F$273,6,FALSE)="","",VLOOKUP(A249,'Eclusée - Schwall-Sunk'!$A$2:$F$273,6,FALSE))</f>
        <v>Non affecté / nicht betroffen</v>
      </c>
      <c r="I249" s="405" t="str">
        <f>IF(VLOOKUP(A249,'Revitalisation-Revitalisierung'!$A$4:$Z$275,13,FALSE)="","",VLOOKUP(A249,'Revitalisation-Revitalisierung'!$A$4:$Z$275,13,FALSE))</f>
        <v>Très nécessaire, difficile / unbedingt nötig, schwierig</v>
      </c>
      <c r="J249" s="406" t="str">
        <f>IF(VLOOKUP(A249,'Revitalisation-Revitalisierung'!$A$4:$Z$275,14,FALSE)="","",VLOOKUP(A249,'Revitalisation-Revitalisierung'!$A$4:$Z$275,14,FALSE))</f>
        <v>a</v>
      </c>
      <c r="K249" s="407"/>
    </row>
    <row r="250" spans="1:11" ht="20.100000000000001" customHeight="1" x14ac:dyDescent="0.25">
      <c r="A250" s="399">
        <v>342</v>
      </c>
      <c r="B250" s="400" t="s">
        <v>445</v>
      </c>
      <c r="C250" s="400" t="s">
        <v>446</v>
      </c>
      <c r="D250" s="401" t="s">
        <v>439</v>
      </c>
      <c r="E250" s="402" t="str">
        <f>IF(VLOOKUP(A250,'Charriage - Geschiebehaushalt'!$A$4:$AC$275,17,FALSE)="","",VLOOKUP(A250,'Charriage - Geschiebehaushalt'!$A$4:$AC$275,17,FALSE))</f>
        <v>Déficit non apparent en charriage ou en remobilisation des sédiments / kein sichtbares Defizit beim Geschiebehaushalt bzw. bei der Mobilisierung von Geschiebe</v>
      </c>
      <c r="F250" s="403" t="str">
        <f>IF(VLOOKUP(A250,'Charriage - Geschiebehaushalt'!$A$4:$AC$275,18,FALSE)="","",VLOOKUP(A250,'Charriage - Geschiebehaushalt'!$A$4:$AC$275,18,FALSE))</f>
        <v>b</v>
      </c>
      <c r="G250" s="330" t="str">
        <f>IF(VLOOKUP(A250,'Débit - Abfluss'!$A$4:$AD$275,8,FALSE)="","",VLOOKUP(A250,'Débit - Abfluss'!$A$4:$AD$275,8,FALSE))</f>
        <v>100%</v>
      </c>
      <c r="H250" s="404" t="str">
        <f>IF(VLOOKUP(A250,'Eclusée - Schwall-Sunk'!$A$2:$F$273,6,FALSE)="","",VLOOKUP(A250,'Eclusée - Schwall-Sunk'!$A$2:$F$273,6,FALSE))</f>
        <v>Non affecté / nicht betroffen</v>
      </c>
      <c r="I250" s="405" t="str">
        <f>IF(VLOOKUP(A250,'Revitalisation-Revitalisierung'!$A$4:$Z$275,13,FALSE)="","",VLOOKUP(A250,'Revitalisation-Revitalisierung'!$A$4:$Z$275,13,FALSE))</f>
        <v>Partiellement nécessaire, facile / teilweise nötig, einfach</v>
      </c>
      <c r="J250" s="406" t="str">
        <f>IF(VLOOKUP(A250,'Revitalisation-Revitalisierung'!$A$4:$Z$275,14,FALSE)="","",VLOOKUP(A250,'Revitalisation-Revitalisierung'!$A$4:$Z$275,14,FALSE))</f>
        <v>a</v>
      </c>
      <c r="K250" s="407"/>
    </row>
    <row r="251" spans="1:11" ht="20.100000000000001" customHeight="1" x14ac:dyDescent="0.25">
      <c r="A251" s="399">
        <v>343</v>
      </c>
      <c r="B251" s="400" t="s">
        <v>694</v>
      </c>
      <c r="C251" s="400" t="s">
        <v>695</v>
      </c>
      <c r="D251" s="401" t="s">
        <v>693</v>
      </c>
      <c r="E251" s="402" t="str">
        <f>IF(VLOOKUP(A251,'Charriage - Geschiebehaushalt'!$A$4:$AC$275,17,FALSE)="","",VLOOKUP(A251,'Charriage - Geschiebehaushalt'!$A$4:$AC$275,17,FALSE))</f>
        <v>Charriage présumé faiblement perturbé / Geschiebe vermutlich leicht beeinträchtigt</v>
      </c>
      <c r="F251" s="403" t="str">
        <f>IF(VLOOKUP(A251,'Charriage - Geschiebehaushalt'!$A$4:$AC$275,18,FALSE)="","",VLOOKUP(A251,'Charriage - Geschiebehaushalt'!$A$4:$AC$275,18,FALSE))</f>
        <v>b</v>
      </c>
      <c r="G251" s="330" t="str">
        <f>IF(VLOOKUP(A251,'Débit - Abfluss'!$A$4:$AD$275,8,FALSE)="","",VLOOKUP(A251,'Débit - Abfluss'!$A$4:$AD$275,8,FALSE))</f>
        <v>100%</v>
      </c>
      <c r="H251" s="404" t="str">
        <f>IF(VLOOKUP(A251,'Eclusée - Schwall-Sunk'!$A$2:$F$273,6,FALSE)="","",VLOOKUP(A251,'Eclusée - Schwall-Sunk'!$A$2:$F$273,6,FALSE))</f>
        <v>Non affecté / nicht betroffen</v>
      </c>
      <c r="I251" s="405" t="str">
        <f>IF(VLOOKUP(A251,'Revitalisation-Revitalisierung'!$A$4:$Z$275,13,FALSE)="","",VLOOKUP(A251,'Revitalisation-Revitalisierung'!$A$4:$Z$275,13,FALSE))</f>
        <v>Partiellement nécessaire, facile / teilweise nötig, einfach</v>
      </c>
      <c r="J251" s="406" t="str">
        <f>IF(VLOOKUP(A251,'Revitalisation-Revitalisierung'!$A$4:$Z$275,14,FALSE)="","",VLOOKUP(A251,'Revitalisation-Revitalisierung'!$A$4:$Z$275,14,FALSE))</f>
        <v>a</v>
      </c>
      <c r="K251" s="407"/>
    </row>
    <row r="252" spans="1:11" ht="20.100000000000001" customHeight="1" x14ac:dyDescent="0.25">
      <c r="A252" s="399">
        <v>344</v>
      </c>
      <c r="B252" s="400" t="s">
        <v>698</v>
      </c>
      <c r="C252" s="400" t="s">
        <v>695</v>
      </c>
      <c r="D252" s="401" t="s">
        <v>693</v>
      </c>
      <c r="E252" s="402" t="str">
        <f>IF(VLOOKUP(A252,'Charriage - Geschiebehaushalt'!$A$4:$AC$275,17,FALSE)="","",VLOOKUP(A252,'Charriage - Geschiebehaushalt'!$A$4:$AC$275,17,FALSE))</f>
        <v>Charriage présumé faiblement perturbé / Geschiebe vermutlich leicht beeinträchtigt</v>
      </c>
      <c r="F252" s="403" t="str">
        <f>IF(VLOOKUP(A252,'Charriage - Geschiebehaushalt'!$A$4:$AC$275,18,FALSE)="","",VLOOKUP(A252,'Charriage - Geschiebehaushalt'!$A$4:$AC$275,18,FALSE))</f>
        <v>b</v>
      </c>
      <c r="G252" s="330" t="str">
        <f>IF(VLOOKUP(A252,'Débit - Abfluss'!$A$4:$AD$275,8,FALSE)="","",VLOOKUP(A252,'Débit - Abfluss'!$A$4:$AD$275,8,FALSE))</f>
        <v>100%</v>
      </c>
      <c r="H252" s="404" t="str">
        <f>IF(VLOOKUP(A252,'Eclusée - Schwall-Sunk'!$A$2:$F$273,6,FALSE)="","",VLOOKUP(A252,'Eclusée - Schwall-Sunk'!$A$2:$F$273,6,FALSE))</f>
        <v>Non affecté / nicht betroffen</v>
      </c>
      <c r="I252" s="405" t="str">
        <f>IF(VLOOKUP(A252,'Revitalisation-Revitalisierung'!$A$4:$Z$275,13,FALSE)="","",VLOOKUP(A252,'Revitalisation-Revitalisierung'!$A$4:$Z$275,13,FALSE))</f>
        <v>Non nécessaire / nicht nötig</v>
      </c>
      <c r="J252" s="406" t="str">
        <f>IF(VLOOKUP(A252,'Revitalisation-Revitalisierung'!$A$4:$Z$275,14,FALSE)="","",VLOOKUP(A252,'Revitalisation-Revitalisierung'!$A$4:$Z$275,14,FALSE))</f>
        <v>a</v>
      </c>
      <c r="K252" s="407"/>
    </row>
    <row r="253" spans="1:11" ht="20.100000000000001" customHeight="1" x14ac:dyDescent="0.25">
      <c r="A253" s="399">
        <v>345</v>
      </c>
      <c r="B253" s="400" t="s">
        <v>700</v>
      </c>
      <c r="C253" s="400" t="s">
        <v>412</v>
      </c>
      <c r="D253" s="401" t="s">
        <v>693</v>
      </c>
      <c r="E253" s="402" t="str">
        <f>IF(VLOOKUP(A253,'Charriage - Geschiebehaushalt'!$A$4:$AC$275,17,FALSE)="","",VLOOKUP(A253,'Charriage - Geschiebehaushalt'!$A$4:$AC$275,17,FALSE))</f>
        <v>La remobilisation des sédiments est perturbée / Mobilisierung von Geschiebe beeinträchtigt</v>
      </c>
      <c r="F253" s="403" t="str">
        <f>IF(VLOOKUP(A253,'Charriage - Geschiebehaushalt'!$A$4:$AC$275,18,FALSE)="","",VLOOKUP(A253,'Charriage - Geschiebehaushalt'!$A$4:$AC$275,18,FALSE))</f>
        <v>b</v>
      </c>
      <c r="G253" s="330" t="str">
        <f>IF(VLOOKUP(A253,'Débit - Abfluss'!$A$4:$AD$275,8,FALSE)="","",VLOOKUP(A253,'Débit - Abfluss'!$A$4:$AD$275,8,FALSE))</f>
        <v>100%</v>
      </c>
      <c r="H253" s="404" t="str">
        <f>IF(VLOOKUP(A253,'Eclusée - Schwall-Sunk'!$A$2:$F$273,6,FALSE)="","",VLOOKUP(A253,'Eclusée - Schwall-Sunk'!$A$2:$F$273,6,FALSE))</f>
        <v>Non affecté / nicht betroffen</v>
      </c>
      <c r="I253" s="405" t="str">
        <f>IF(VLOOKUP(A253,'Revitalisation-Revitalisierung'!$A$4:$Z$275,13,FALSE)="","",VLOOKUP(A253,'Revitalisation-Revitalisierung'!$A$4:$Z$275,13,FALSE))</f>
        <v>Très nécessaire, difficile / unbedingt nötig, schwierig</v>
      </c>
      <c r="J253" s="406" t="str">
        <f>IF(VLOOKUP(A253,'Revitalisation-Revitalisierung'!$A$4:$Z$275,14,FALSE)="","",VLOOKUP(A253,'Revitalisation-Revitalisierung'!$A$4:$Z$275,14,FALSE))</f>
        <v>b</v>
      </c>
      <c r="K253" s="407"/>
    </row>
    <row r="254" spans="1:11" ht="20.100000000000001" customHeight="1" x14ac:dyDescent="0.25">
      <c r="A254" s="413">
        <v>346</v>
      </c>
      <c r="B254" s="400" t="s">
        <v>467</v>
      </c>
      <c r="C254" s="400" t="s">
        <v>462</v>
      </c>
      <c r="D254" s="401" t="s">
        <v>460</v>
      </c>
      <c r="E254" s="402" t="str">
        <f>IF(VLOOKUP(A254,'Charriage - Geschiebehaushalt'!$A$4:$AC$275,17,FALSE)="","",VLOOKUP(A254,'Charriage - Geschiebehaushalt'!$A$4:$AC$275,17,FALSE))</f>
        <v>Charriage présumé perturbé / Geschiebehaushalt vermutlich beeinträchtigt</v>
      </c>
      <c r="F254" s="403" t="str">
        <f>IF(VLOOKUP(A254,'Charriage - Geschiebehaushalt'!$A$4:$AC$275,18,FALSE)="","",VLOOKUP(A254,'Charriage - Geschiebehaushalt'!$A$4:$AC$275,18,FALSE))</f>
        <v>b</v>
      </c>
      <c r="G254" s="330" t="str">
        <f>IF(VLOOKUP(A254,'Débit - Abfluss'!$A$4:$AD$275,8,FALSE)="","",VLOOKUP(A254,'Débit - Abfluss'!$A$4:$AD$275,8,FALSE))</f>
        <v>21-40%</v>
      </c>
      <c r="H254" s="404" t="str">
        <f>IF(VLOOKUP(A254,'Eclusée - Schwall-Sunk'!$A$2:$F$273,6,FALSE)="","",VLOOKUP(A254,'Eclusée - Schwall-Sunk'!$A$2:$F$273,6,FALSE))</f>
        <v>Potentiellement affecté / möglicherweise betroffen</v>
      </c>
      <c r="I254" s="405" t="str">
        <f>IF(VLOOKUP(A254,'Revitalisation-Revitalisierung'!$A$4:$Z$275,13,FALSE)="","",VLOOKUP(A254,'Revitalisation-Revitalisierung'!$A$4:$Z$275,13,FALSE))</f>
        <v>Très nécessaire, difficile / unbedingt nötig, schwierig</v>
      </c>
      <c r="J254" s="406" t="str">
        <f>IF(VLOOKUP(A254,'Revitalisation-Revitalisierung'!$A$4:$Z$275,14,FALSE)="","",VLOOKUP(A254,'Revitalisation-Revitalisierung'!$A$4:$Z$275,14,FALSE))</f>
        <v>b</v>
      </c>
      <c r="K254" s="407"/>
    </row>
    <row r="255" spans="1:11" ht="20.100000000000001" customHeight="1" x14ac:dyDescent="0.25">
      <c r="A255" s="413">
        <v>347</v>
      </c>
      <c r="B255" s="400" t="s">
        <v>269</v>
      </c>
      <c r="C255" s="400" t="s">
        <v>270</v>
      </c>
      <c r="D255" s="401" t="s">
        <v>259</v>
      </c>
      <c r="E255" s="402" t="str">
        <f>IF(VLOOKUP(A255,'Charriage - Geschiebehaushalt'!$A$4:$AC$275,17,FALSE)="","",VLOOKUP(A255,'Charriage - Geschiebehaushalt'!$A$4:$AC$275,17,FALSE))</f>
        <v>Charriage présumé naturel / Geschiebehaushalt vermutlich natürlich</v>
      </c>
      <c r="F255" s="403" t="str">
        <f>IF(VLOOKUP(A255,'Charriage - Geschiebehaushalt'!$A$4:$AC$275,18,FALSE)="","",VLOOKUP(A255,'Charriage - Geschiebehaushalt'!$A$4:$AC$275,18,FALSE))</f>
        <v>b</v>
      </c>
      <c r="G255" s="330" t="str">
        <f>IF(VLOOKUP(A255,'Débit - Abfluss'!$A$4:$AD$275,8,FALSE)="","",VLOOKUP(A255,'Débit - Abfluss'!$A$4:$AD$275,8,FALSE))</f>
        <v>Régime présumé naturel (100%) / Abfluss vermutlich natürlich</v>
      </c>
      <c r="H255" s="404" t="str">
        <f>IF(VLOOKUP(A255,'Eclusée - Schwall-Sunk'!$A$2:$F$273,6,FALSE)="","",VLOOKUP(A255,'Eclusée - Schwall-Sunk'!$A$2:$F$273,6,FALSE))</f>
        <v>Non affecté / nicht betroffen</v>
      </c>
      <c r="I255" s="405" t="str">
        <f>IF(VLOOKUP(A255,'Revitalisation-Revitalisierung'!$A$4:$Z$275,13,FALSE)="","",VLOOKUP(A255,'Revitalisation-Revitalisierung'!$A$4:$Z$275,13,FALSE))</f>
        <v>Non nécessaire / nicht nötig</v>
      </c>
      <c r="J255" s="406" t="str">
        <f>IF(VLOOKUP(A255,'Revitalisation-Revitalisierung'!$A$4:$Z$275,14,FALSE)="","",VLOOKUP(A255,'Revitalisation-Revitalisierung'!$A$4:$Z$275,14,FALSE))</f>
        <v>b</v>
      </c>
      <c r="K255" s="407"/>
    </row>
    <row r="256" spans="1:11" ht="20.100000000000001" customHeight="1" x14ac:dyDescent="0.25">
      <c r="A256" s="408">
        <v>348</v>
      </c>
      <c r="B256" s="409" t="s">
        <v>272</v>
      </c>
      <c r="C256" s="410" t="s">
        <v>273</v>
      </c>
      <c r="D256" s="411" t="s">
        <v>259</v>
      </c>
      <c r="E256" s="402" t="str">
        <f>IF(VLOOKUP(A256,'Charriage - Geschiebehaushalt'!$A$4:$AC$275,17,FALSE)="","",VLOOKUP(A256,'Charriage - Geschiebehaushalt'!$A$4:$AC$275,17,FALSE))</f>
        <v>21-50%</v>
      </c>
      <c r="F256" s="403" t="str">
        <f>IF(VLOOKUP(A256,'Charriage - Geschiebehaushalt'!$A$4:$AC$275,18,FALSE)="","",VLOOKUP(A256,'Charriage - Geschiebehaushalt'!$A$4:$AC$275,18,FALSE))</f>
        <v>a</v>
      </c>
      <c r="G256" s="330" t="str">
        <f>IF(VLOOKUP(A256,'Débit - Abfluss'!$A$4:$AD$275,8,FALSE)="","",VLOOKUP(A256,'Débit - Abfluss'!$A$4:$AD$275,8,FALSE))</f>
        <v>81-100%</v>
      </c>
      <c r="H256" s="404" t="str">
        <f>IF(VLOOKUP(A256,'Eclusée - Schwall-Sunk'!$A$2:$F$273,6,FALSE)="","",VLOOKUP(A256,'Eclusée - Schwall-Sunk'!$A$2:$F$273,6,FALSE))</f>
        <v>Potentiellement affecté / möglicherweise betroffen</v>
      </c>
      <c r="I256" s="405" t="str">
        <f>IF(VLOOKUP(A256,'Revitalisation-Revitalisierung'!$A$4:$Z$275,13,FALSE)="","",VLOOKUP(A256,'Revitalisation-Revitalisierung'!$A$4:$Z$275,13,FALSE))</f>
        <v>Très nécessaire, difficile / unbedingt nötig, schwierig</v>
      </c>
      <c r="J256" s="406" t="str">
        <f>IF(VLOOKUP(A256,'Revitalisation-Revitalisierung'!$A$4:$Z$275,14,FALSE)="","",VLOOKUP(A256,'Revitalisation-Revitalisierung'!$A$4:$Z$275,14,FALSE))</f>
        <v>a</v>
      </c>
      <c r="K256" s="407"/>
    </row>
    <row r="257" spans="1:11" ht="20.100000000000001" customHeight="1" x14ac:dyDescent="0.25">
      <c r="A257" s="399">
        <v>349</v>
      </c>
      <c r="B257" s="400" t="s">
        <v>558</v>
      </c>
      <c r="C257" s="400" t="s">
        <v>559</v>
      </c>
      <c r="D257" s="401" t="s">
        <v>551</v>
      </c>
      <c r="E257" s="402" t="str">
        <f>IF(VLOOKUP(A257,'Charriage - Geschiebehaushalt'!$A$4:$AC$275,17,FALSE)="","",VLOOKUP(A257,'Charriage - Geschiebehaushalt'!$A$4:$AC$275,17,FALSE))</f>
        <v>Charriage présumé naturel / Geschiebehaushalt vermutlich natürlich</v>
      </c>
      <c r="F257" s="403" t="str">
        <f>IF(VLOOKUP(A257,'Charriage - Geschiebehaushalt'!$A$4:$AC$275,18,FALSE)="","",VLOOKUP(A257,'Charriage - Geschiebehaushalt'!$A$4:$AC$275,18,FALSE))</f>
        <v>b</v>
      </c>
      <c r="G257" s="330" t="str">
        <f>IF(VLOOKUP(A257,'Débit - Abfluss'!$A$4:$AD$275,8,FALSE)="","",VLOOKUP(A257,'Débit - Abfluss'!$A$4:$AD$275,8,FALSE))</f>
        <v>100%</v>
      </c>
      <c r="H257" s="404" t="str">
        <f>IF(VLOOKUP(A257,'Eclusée - Schwall-Sunk'!$A$2:$F$273,6,FALSE)="","",VLOOKUP(A257,'Eclusée - Schwall-Sunk'!$A$2:$F$273,6,FALSE))</f>
        <v>Non affecté / nicht betroffen</v>
      </c>
      <c r="I257" s="405" t="str">
        <f>IF(VLOOKUP(A257,'Revitalisation-Revitalisierung'!$A$4:$Z$275,13,FALSE)="","",VLOOKUP(A257,'Revitalisation-Revitalisierung'!$A$4:$Z$275,13,FALSE))</f>
        <v>Partiellement nécessaire, facile / teilweise nötig, einfach</v>
      </c>
      <c r="J257" s="406" t="str">
        <f>IF(VLOOKUP(A257,'Revitalisation-Revitalisierung'!$A$4:$Z$275,14,FALSE)="","",VLOOKUP(A257,'Revitalisation-Revitalisierung'!$A$4:$Z$275,14,FALSE))</f>
        <v>a</v>
      </c>
      <c r="K257" s="407"/>
    </row>
    <row r="258" spans="1:11" ht="20.100000000000001" customHeight="1" x14ac:dyDescent="0.25">
      <c r="A258" s="408">
        <v>350</v>
      </c>
      <c r="B258" s="409" t="s">
        <v>561</v>
      </c>
      <c r="C258" s="410" t="s">
        <v>562</v>
      </c>
      <c r="D258" s="411" t="s">
        <v>551</v>
      </c>
      <c r="E258" s="402" t="str">
        <f>IF(VLOOKUP(A258,'Charriage - Geschiebehaushalt'!$A$4:$AC$275,17,FALSE)="","",VLOOKUP(A258,'Charriage - Geschiebehaushalt'!$A$4:$AC$275,17,FALSE))</f>
        <v>La remobilisation des sédiments est perturbée / Mobilisierung von Geschiebe beeinträchtigt</v>
      </c>
      <c r="F258" s="403" t="str">
        <f>IF(VLOOKUP(A258,'Charriage - Geschiebehaushalt'!$A$4:$AC$275,18,FALSE)="","",VLOOKUP(A258,'Charriage - Geschiebehaushalt'!$A$4:$AC$275,18,FALSE))</f>
        <v>b</v>
      </c>
      <c r="G258" s="330" t="str">
        <f>IF(VLOOKUP(A258,'Débit - Abfluss'!$A$4:$AD$275,8,FALSE)="","",VLOOKUP(A258,'Débit - Abfluss'!$A$4:$AD$275,8,FALSE))</f>
        <v>Régime présumé naturel (100%) / Abfluss vermutlich natürlich</v>
      </c>
      <c r="H258" s="404" t="str">
        <f>IF(VLOOKUP(A258,'Eclusée - Schwall-Sunk'!$A$2:$F$273,6,FALSE)="","",VLOOKUP(A258,'Eclusée - Schwall-Sunk'!$A$2:$F$273,6,FALSE))</f>
        <v>Non affecté / nicht betroffen</v>
      </c>
      <c r="I258" s="405" t="str">
        <f>IF(VLOOKUP(A258,'Revitalisation-Revitalisierung'!$A$4:$Z$275,13,FALSE)="","",VLOOKUP(A258,'Revitalisation-Revitalisierung'!$A$4:$Z$275,13,FALSE))</f>
        <v>Très nécessaire, facile / unbedingt nötig, einfach</v>
      </c>
      <c r="J258" s="406" t="str">
        <f>IF(VLOOKUP(A258,'Revitalisation-Revitalisierung'!$A$4:$Z$275,14,FALSE)="","",VLOOKUP(A258,'Revitalisation-Revitalisierung'!$A$4:$Z$275,14,FALSE))</f>
        <v>a</v>
      </c>
      <c r="K258" s="407"/>
    </row>
    <row r="259" spans="1:11" ht="20.100000000000001" customHeight="1" x14ac:dyDescent="0.25">
      <c r="A259" s="399">
        <v>351</v>
      </c>
      <c r="B259" s="400" t="s">
        <v>563</v>
      </c>
      <c r="C259" s="400" t="s">
        <v>564</v>
      </c>
      <c r="D259" s="401" t="s">
        <v>551</v>
      </c>
      <c r="E259" s="402" t="str">
        <f>IF(VLOOKUP(A259,'Charriage - Geschiebehaushalt'!$A$4:$AC$275,17,FALSE)="","",VLOOKUP(A259,'Charriage - Geschiebehaushalt'!$A$4:$AC$275,17,FALSE))</f>
        <v>21-50%</v>
      </c>
      <c r="F259" s="403" t="str">
        <f>IF(VLOOKUP(A259,'Charriage - Geschiebehaushalt'!$A$4:$AC$275,18,FALSE)="","",VLOOKUP(A259,'Charriage - Geschiebehaushalt'!$A$4:$AC$275,18,FALSE))</f>
        <v>a</v>
      </c>
      <c r="G259" s="330" t="str">
        <f>IF(VLOOKUP(A259,'Débit - Abfluss'!$A$4:$AD$275,8,FALSE)="","",VLOOKUP(A259,'Débit - Abfluss'!$A$4:$AD$275,8,FALSE))</f>
        <v>21-40%</v>
      </c>
      <c r="H259" s="404" t="str">
        <f>IF(VLOOKUP(A259,'Eclusée - Schwall-Sunk'!$A$2:$F$273,6,FALSE)="","",VLOOKUP(A259,'Eclusée - Schwall-Sunk'!$A$2:$F$273,6,FALSE))</f>
        <v>Non affecté / nicht betroffen</v>
      </c>
      <c r="I259" s="405" t="str">
        <f>IF(VLOOKUP(A259,'Revitalisation-Revitalisierung'!$A$4:$Z$275,13,FALSE)="","",VLOOKUP(A259,'Revitalisation-Revitalisierung'!$A$4:$Z$275,13,FALSE))</f>
        <v>Partiellement nécessaire, facile / teilweise nötig, einfach</v>
      </c>
      <c r="J259" s="406" t="str">
        <f>IF(VLOOKUP(A259,'Revitalisation-Revitalisierung'!$A$4:$Z$275,14,FALSE)="","",VLOOKUP(A259,'Revitalisation-Revitalisierung'!$A$4:$Z$275,14,FALSE))</f>
        <v>a</v>
      </c>
      <c r="K259" s="407"/>
    </row>
    <row r="260" spans="1:11" ht="20.100000000000001" customHeight="1" x14ac:dyDescent="0.25">
      <c r="A260" s="399">
        <v>352</v>
      </c>
      <c r="B260" s="400" t="s">
        <v>408</v>
      </c>
      <c r="C260" s="400" t="s">
        <v>409</v>
      </c>
      <c r="D260" s="401" t="s">
        <v>407</v>
      </c>
      <c r="E260" s="402" t="str">
        <f>IF(VLOOKUP(A260,'Charriage - Geschiebehaushalt'!$A$4:$AC$275,17,FALSE)="","",VLOOKUP(A260,'Charriage - Geschiebehaushalt'!$A$4:$AC$275,17,FALSE))</f>
        <v>Déficit non apparent en charriage ou en remobilisation des sédiments / kein sichtbares Defizit beim Geschiebehaushalt bzw. bei der Mobilisierung von Geschiebe</v>
      </c>
      <c r="F260" s="403" t="str">
        <f>IF(VLOOKUP(A260,'Charriage - Geschiebehaushalt'!$A$4:$AC$275,18,FALSE)="","",VLOOKUP(A260,'Charriage - Geschiebehaushalt'!$A$4:$AC$275,18,FALSE))</f>
        <v>b</v>
      </c>
      <c r="G260" s="330" t="str">
        <f>IF(VLOOKUP(A260,'Débit - Abfluss'!$A$4:$AD$275,8,FALSE)="","",VLOOKUP(A260,'Débit - Abfluss'!$A$4:$AD$275,8,FALSE))</f>
        <v>100%</v>
      </c>
      <c r="H260" s="404" t="str">
        <f>IF(VLOOKUP(A260,'Eclusée - Schwall-Sunk'!$A$2:$F$273,6,FALSE)="","",VLOOKUP(A260,'Eclusée - Schwall-Sunk'!$A$2:$F$273,6,FALSE))</f>
        <v>Non affecté / nicht betroffen</v>
      </c>
      <c r="I260" s="405" t="str">
        <f>IF(VLOOKUP(A260,'Revitalisation-Revitalisierung'!$A$4:$Z$275,13,FALSE)="","",VLOOKUP(A260,'Revitalisation-Revitalisierung'!$A$4:$Z$275,13,FALSE))</f>
        <v>Partiellement nécessaire, facile / teilweise nötig, einfach</v>
      </c>
      <c r="J260" s="406" t="str">
        <f>IF(VLOOKUP(A260,'Revitalisation-Revitalisierung'!$A$4:$Z$275,14,FALSE)="","",VLOOKUP(A260,'Revitalisation-Revitalisierung'!$A$4:$Z$275,14,FALSE))</f>
        <v>b</v>
      </c>
      <c r="K260" s="407"/>
    </row>
    <row r="261" spans="1:11" ht="20.100000000000001" customHeight="1" x14ac:dyDescent="0.25">
      <c r="A261" s="399">
        <v>353</v>
      </c>
      <c r="B261" s="400" t="s">
        <v>565</v>
      </c>
      <c r="C261" s="400" t="s">
        <v>566</v>
      </c>
      <c r="D261" s="401" t="s">
        <v>551</v>
      </c>
      <c r="E261" s="402" t="str">
        <f>IF(VLOOKUP(A261,'Charriage - Geschiebehaushalt'!$A$4:$AC$275,17,FALSE)="","",VLOOKUP(A261,'Charriage - Geschiebehaushalt'!$A$4:$AC$275,17,FALSE))</f>
        <v>Charriage présumé naturel / Geschiebehaushalt vermutlich natürlich</v>
      </c>
      <c r="F261" s="403" t="str">
        <f>IF(VLOOKUP(A261,'Charriage - Geschiebehaushalt'!$A$4:$AC$275,18,FALSE)="","",VLOOKUP(A261,'Charriage - Geschiebehaushalt'!$A$4:$AC$275,18,FALSE))</f>
        <v>b</v>
      </c>
      <c r="G261" s="330" t="str">
        <f>IF(VLOOKUP(A261,'Débit - Abfluss'!$A$4:$AD$275,8,FALSE)="","",VLOOKUP(A261,'Débit - Abfluss'!$A$4:$AD$275,8,FALSE))</f>
        <v>100%</v>
      </c>
      <c r="H261" s="404" t="str">
        <f>IF(VLOOKUP(A261,'Eclusée - Schwall-Sunk'!$A$2:$F$273,6,FALSE)="","",VLOOKUP(A261,'Eclusée - Schwall-Sunk'!$A$2:$F$273,6,FALSE))</f>
        <v>Non affecté / nicht betroffen</v>
      </c>
      <c r="I261" s="405" t="str">
        <f>IF(VLOOKUP(A261,'Revitalisation-Revitalisierung'!$A$4:$Z$275,13,FALSE)="","",VLOOKUP(A261,'Revitalisation-Revitalisierung'!$A$4:$Z$275,13,FALSE))</f>
        <v>Non nécessaire / nicht nötig</v>
      </c>
      <c r="J261" s="406" t="str">
        <f>IF(VLOOKUP(A261,'Revitalisation-Revitalisierung'!$A$4:$Z$275,14,FALSE)="","",VLOOKUP(A261,'Revitalisation-Revitalisierung'!$A$4:$Z$275,14,FALSE))</f>
        <v>a</v>
      </c>
      <c r="K261" s="407"/>
    </row>
    <row r="262" spans="1:11" ht="20.100000000000001" customHeight="1" x14ac:dyDescent="0.25">
      <c r="A262" s="399">
        <v>354</v>
      </c>
      <c r="B262" s="400" t="s">
        <v>568</v>
      </c>
      <c r="C262" s="400" t="s">
        <v>569</v>
      </c>
      <c r="D262" s="401" t="s">
        <v>551</v>
      </c>
      <c r="E262" s="402" t="str">
        <f>IF(VLOOKUP(A262,'Charriage - Geschiebehaushalt'!$A$4:$AC$275,17,FALSE)="","",VLOOKUP(A262,'Charriage - Geschiebehaushalt'!$A$4:$AC$275,17,FALSE))</f>
        <v>Charriage présumé naturel / Geschiebehaushalt vermutlich natürlich</v>
      </c>
      <c r="F262" s="403" t="str">
        <f>IF(VLOOKUP(A262,'Charriage - Geschiebehaushalt'!$A$4:$AC$275,18,FALSE)="","",VLOOKUP(A262,'Charriage - Geschiebehaushalt'!$A$4:$AC$275,18,FALSE))</f>
        <v>b</v>
      </c>
      <c r="G262" s="330" t="str">
        <f>IF(VLOOKUP(A262,'Débit - Abfluss'!$A$4:$AD$275,8,FALSE)="","",VLOOKUP(A262,'Débit - Abfluss'!$A$4:$AD$275,8,FALSE))</f>
        <v>100%</v>
      </c>
      <c r="H262" s="404" t="str">
        <f>IF(VLOOKUP(A262,'Eclusée - Schwall-Sunk'!$A$2:$F$273,6,FALSE)="","",VLOOKUP(A262,'Eclusée - Schwall-Sunk'!$A$2:$F$273,6,FALSE))</f>
        <v>Non affecté / nicht betroffen</v>
      </c>
      <c r="I262" s="405" t="str">
        <f>IF(VLOOKUP(A262,'Revitalisation-Revitalisierung'!$A$4:$Z$275,13,FALSE)="","",VLOOKUP(A262,'Revitalisation-Revitalisierung'!$A$4:$Z$275,13,FALSE))</f>
        <v>Partiellement nécessaire, facile / teilweise nötig, einfach</v>
      </c>
      <c r="J262" s="406" t="str">
        <f>IF(VLOOKUP(A262,'Revitalisation-Revitalisierung'!$A$4:$Z$275,14,FALSE)="","",VLOOKUP(A262,'Revitalisation-Revitalisierung'!$A$4:$Z$275,14,FALSE))</f>
        <v>a</v>
      </c>
      <c r="K262" s="407"/>
    </row>
    <row r="263" spans="1:11" ht="20.100000000000001" customHeight="1" x14ac:dyDescent="0.25">
      <c r="A263" s="399">
        <v>355</v>
      </c>
      <c r="B263" s="400" t="s">
        <v>570</v>
      </c>
      <c r="C263" s="400" t="s">
        <v>555</v>
      </c>
      <c r="D263" s="401" t="s">
        <v>551</v>
      </c>
      <c r="E263" s="402" t="str">
        <f>IF(VLOOKUP(A263,'Charriage - Geschiebehaushalt'!$A$4:$AC$275,17,FALSE)="","",VLOOKUP(A263,'Charriage - Geschiebehaushalt'!$A$4:$AC$275,17,FALSE))</f>
        <v>0-20%</v>
      </c>
      <c r="F263" s="403" t="str">
        <f>IF(VLOOKUP(A263,'Charriage - Geschiebehaushalt'!$A$4:$AC$275,18,FALSE)="","",VLOOKUP(A263,'Charriage - Geschiebehaushalt'!$A$4:$AC$275,18,FALSE))</f>
        <v>a</v>
      </c>
      <c r="G263" s="330" t="str">
        <f>IF(VLOOKUP(A263,'Débit - Abfluss'!$A$4:$AD$275,8,FALSE)="","",VLOOKUP(A263,'Débit - Abfluss'!$A$4:$AD$275,8,FALSE))</f>
        <v>100%</v>
      </c>
      <c r="H263" s="404" t="str">
        <f>IF(VLOOKUP(A263,'Eclusée - Schwall-Sunk'!$A$2:$F$273,6,FALSE)="","",VLOOKUP(A263,'Eclusée - Schwall-Sunk'!$A$2:$F$273,6,FALSE))</f>
        <v>Non affecté / nicht betroffen</v>
      </c>
      <c r="I263" s="405" t="str">
        <f>IF(VLOOKUP(A263,'Revitalisation-Revitalisierung'!$A$4:$Z$275,13,FALSE)="","",VLOOKUP(A263,'Revitalisation-Revitalisierung'!$A$4:$Z$275,13,FALSE))</f>
        <v>Non nécessaire / nicht nötig</v>
      </c>
      <c r="J263" s="406" t="str">
        <f>IF(VLOOKUP(A263,'Revitalisation-Revitalisierung'!$A$4:$Z$275,14,FALSE)="","",VLOOKUP(A263,'Revitalisation-Revitalisierung'!$A$4:$Z$275,14,FALSE))</f>
        <v>a</v>
      </c>
      <c r="K263" s="407"/>
    </row>
    <row r="264" spans="1:11" ht="20.100000000000001" customHeight="1" x14ac:dyDescent="0.25">
      <c r="A264" s="399">
        <v>356</v>
      </c>
      <c r="B264" s="400" t="s">
        <v>571</v>
      </c>
      <c r="C264" s="400" t="s">
        <v>572</v>
      </c>
      <c r="D264" s="401" t="s">
        <v>551</v>
      </c>
      <c r="E264" s="402" t="str">
        <f>IF(VLOOKUP(A264,'Charriage - Geschiebehaushalt'!$A$4:$AC$275,17,FALSE)="","",VLOOKUP(A264,'Charriage - Geschiebehaushalt'!$A$4:$AC$275,17,FALSE))</f>
        <v>La remobilisation des sédiments est perturbée / Mobilisierung von Geschiebe beeinträchtigt</v>
      </c>
      <c r="F264" s="403" t="str">
        <f>IF(VLOOKUP(A264,'Charriage - Geschiebehaushalt'!$A$4:$AC$275,18,FALSE)="","",VLOOKUP(A264,'Charriage - Geschiebehaushalt'!$A$4:$AC$275,18,FALSE))</f>
        <v>b</v>
      </c>
      <c r="G264" s="330" t="str">
        <f>IF(VLOOKUP(A264,'Débit - Abfluss'!$A$4:$AD$275,8,FALSE)="","",VLOOKUP(A264,'Débit - Abfluss'!$A$4:$AD$275,8,FALSE))</f>
        <v>41-60%</v>
      </c>
      <c r="H264" s="404" t="str">
        <f>IF(VLOOKUP(A264,'Eclusée - Schwall-Sunk'!$A$2:$F$273,6,FALSE)="","",VLOOKUP(A264,'Eclusée - Schwall-Sunk'!$A$2:$F$273,6,FALSE))</f>
        <v>Potentiellement affecté / möglicherweise betroffen</v>
      </c>
      <c r="I264" s="405" t="str">
        <f>IF(VLOOKUP(A264,'Revitalisation-Revitalisierung'!$A$4:$Z$275,13,FALSE)="","",VLOOKUP(A264,'Revitalisation-Revitalisierung'!$A$4:$Z$275,13,FALSE))</f>
        <v>Très nécessaire, facile / unbedingt nötig, einfach</v>
      </c>
      <c r="J264" s="406" t="str">
        <f>IF(VLOOKUP(A264,'Revitalisation-Revitalisierung'!$A$4:$Z$275,14,FALSE)="","",VLOOKUP(A264,'Revitalisation-Revitalisierung'!$A$4:$Z$275,14,FALSE))</f>
        <v>a</v>
      </c>
      <c r="K264" s="407"/>
    </row>
    <row r="265" spans="1:11" ht="20.100000000000001" customHeight="1" x14ac:dyDescent="0.25">
      <c r="A265" s="399">
        <v>357</v>
      </c>
      <c r="B265" s="400" t="s">
        <v>524</v>
      </c>
      <c r="C265" s="400" t="s">
        <v>525</v>
      </c>
      <c r="D265" s="401" t="s">
        <v>482</v>
      </c>
      <c r="E265" s="402" t="str">
        <f>IF(VLOOKUP(A265,'Charriage - Geschiebehaushalt'!$A$4:$AC$275,17,FALSE)="","",VLOOKUP(A265,'Charriage - Geschiebehaushalt'!$A$4:$AC$275,17,FALSE))</f>
        <v>La remobilisation des sédiments est perturbée / Mobilisierung von Geschiebe beeinträchtigt</v>
      </c>
      <c r="F265" s="403" t="str">
        <f>IF(VLOOKUP(A265,'Charriage - Geschiebehaushalt'!$A$4:$AC$275,18,FALSE)="","",VLOOKUP(A265,'Charriage - Geschiebehaushalt'!$A$4:$AC$275,18,FALSE))</f>
        <v>b</v>
      </c>
      <c r="G265" s="330" t="str">
        <f>IF(VLOOKUP(A265,'Débit - Abfluss'!$A$4:$AD$275,8,FALSE)="","",VLOOKUP(A265,'Débit - Abfluss'!$A$4:$AD$275,8,FALSE))</f>
        <v>21-40%</v>
      </c>
      <c r="H265" s="404" t="str">
        <f>IF(VLOOKUP(A265,'Eclusée - Schwall-Sunk'!$A$2:$F$273,6,FALSE)="","",VLOOKUP(A265,'Eclusée - Schwall-Sunk'!$A$2:$F$273,6,FALSE))</f>
        <v>Non affecté / nicht betroffen</v>
      </c>
      <c r="I265" s="405" t="str">
        <f>IF(VLOOKUP(A265,'Revitalisation-Revitalisierung'!$A$4:$Z$275,13,FALSE)="","",VLOOKUP(A265,'Revitalisation-Revitalisierung'!$A$4:$Z$275,13,FALSE))</f>
        <v>Très nécessaire, facile / unbedingt nötig, einfach</v>
      </c>
      <c r="J265" s="406" t="str">
        <f>IF(VLOOKUP(A265,'Revitalisation-Revitalisierung'!$A$4:$Z$275,14,FALSE)="","",VLOOKUP(A265,'Revitalisation-Revitalisierung'!$A$4:$Z$275,14,FALSE))</f>
        <v>b</v>
      </c>
      <c r="K265" s="407"/>
    </row>
    <row r="266" spans="1:11" ht="20.100000000000001" customHeight="1" x14ac:dyDescent="0.25">
      <c r="A266" s="399">
        <v>358</v>
      </c>
      <c r="B266" s="400" t="s">
        <v>526</v>
      </c>
      <c r="C266" s="400" t="s">
        <v>484</v>
      </c>
      <c r="D266" s="401" t="s">
        <v>482</v>
      </c>
      <c r="E266" s="402" t="str">
        <f>IF(VLOOKUP(A266,'Charriage - Geschiebehaushalt'!$A$4:$AC$275,17,FALSE)="","",VLOOKUP(A266,'Charriage - Geschiebehaushalt'!$A$4:$AC$275,17,FALSE))</f>
        <v>Charriage présumé perturbé / Geschiebehaushalt vermutlich beeinträchtigt</v>
      </c>
      <c r="F266" s="403" t="str">
        <f>IF(VLOOKUP(A266,'Charriage - Geschiebehaushalt'!$A$4:$AC$275,18,FALSE)="","",VLOOKUP(A266,'Charriage - Geschiebehaushalt'!$A$4:$AC$275,18,FALSE))</f>
        <v>b</v>
      </c>
      <c r="G266" s="330" t="str">
        <f>IF(VLOOKUP(A266,'Débit - Abfluss'!$A$4:$AD$275,8,FALSE)="","",VLOOKUP(A266,'Débit - Abfluss'!$A$4:$AD$275,8,FALSE))</f>
        <v>0-20%</v>
      </c>
      <c r="H266" s="404" t="str">
        <f>IF(VLOOKUP(A266,'Eclusée - Schwall-Sunk'!$A$2:$F$273,6,FALSE)="","",VLOOKUP(A266,'Eclusée - Schwall-Sunk'!$A$2:$F$273,6,FALSE))</f>
        <v>Potentiellement affecté / möglicherweise betroffen</v>
      </c>
      <c r="I266" s="405" t="str">
        <f>IF(VLOOKUP(A266,'Revitalisation-Revitalisierung'!$A$4:$Z$275,13,FALSE)="","",VLOOKUP(A266,'Revitalisation-Revitalisierung'!$A$4:$Z$275,13,FALSE))</f>
        <v>Partiellement nécessaire, difficile / teilweise nötig, schwierig</v>
      </c>
      <c r="J266" s="406" t="str">
        <f>IF(VLOOKUP(A266,'Revitalisation-Revitalisierung'!$A$4:$Z$275,14,FALSE)="","",VLOOKUP(A266,'Revitalisation-Revitalisierung'!$A$4:$Z$275,14,FALSE))</f>
        <v>a</v>
      </c>
      <c r="K266" s="407"/>
    </row>
    <row r="267" spans="1:11" ht="20.100000000000001" customHeight="1" x14ac:dyDescent="0.25">
      <c r="A267" s="399">
        <v>359</v>
      </c>
      <c r="B267" s="400" t="s">
        <v>528</v>
      </c>
      <c r="C267" s="400" t="s">
        <v>484</v>
      </c>
      <c r="D267" s="401" t="s">
        <v>482</v>
      </c>
      <c r="E267" s="402" t="str">
        <f>IF(VLOOKUP(A267,'Charriage - Geschiebehaushalt'!$A$4:$AC$275,17,FALSE)="","",VLOOKUP(A267,'Charriage - Geschiebehaushalt'!$A$4:$AC$275,17,FALSE))</f>
        <v>Charriage présumé perturbé / Geschiebehaushalt vermutlich beeinträchtigt</v>
      </c>
      <c r="F267" s="403" t="str">
        <f>IF(VLOOKUP(A267,'Charriage - Geschiebehaushalt'!$A$4:$AC$275,18,FALSE)="","",VLOOKUP(A267,'Charriage - Geschiebehaushalt'!$A$4:$AC$275,18,FALSE))</f>
        <v>b</v>
      </c>
      <c r="G267" s="330" t="str">
        <f>IF(VLOOKUP(A267,'Débit - Abfluss'!$A$4:$AD$275,8,FALSE)="","",VLOOKUP(A267,'Débit - Abfluss'!$A$4:$AD$275,8,FALSE))</f>
        <v>0-20%</v>
      </c>
      <c r="H267" s="404" t="str">
        <f>IF(VLOOKUP(A267,'Eclusée - Schwall-Sunk'!$A$2:$F$273,6,FALSE)="","",VLOOKUP(A267,'Eclusée - Schwall-Sunk'!$A$2:$F$273,6,FALSE))</f>
        <v>Potentiellement affecté / möglicherweise betroffen</v>
      </c>
      <c r="I267" s="405" t="str">
        <f>IF(VLOOKUP(A267,'Revitalisation-Revitalisierung'!$A$4:$Z$275,13,FALSE)="","",VLOOKUP(A267,'Revitalisation-Revitalisierung'!$A$4:$Z$275,13,FALSE))</f>
        <v>Partiellement nécessaire, facile / teilweise nötig, einfach</v>
      </c>
      <c r="J267" s="406" t="str">
        <f>IF(VLOOKUP(A267,'Revitalisation-Revitalisierung'!$A$4:$Z$275,14,FALSE)="","",VLOOKUP(A267,'Revitalisation-Revitalisierung'!$A$4:$Z$275,14,FALSE))</f>
        <v>a</v>
      </c>
      <c r="K267" s="407"/>
    </row>
    <row r="268" spans="1:11" ht="20.100000000000001" customHeight="1" x14ac:dyDescent="0.25">
      <c r="A268" s="399">
        <v>360</v>
      </c>
      <c r="B268" s="400" t="s">
        <v>530</v>
      </c>
      <c r="C268" s="400" t="s">
        <v>531</v>
      </c>
      <c r="D268" s="401" t="s">
        <v>482</v>
      </c>
      <c r="E268" s="402" t="str">
        <f>IF(VLOOKUP(A268,'Charriage - Geschiebehaushalt'!$A$4:$AC$275,17,FALSE)="","",VLOOKUP(A268,'Charriage - Geschiebehaushalt'!$A$4:$AC$275,17,FALSE))</f>
        <v>Charriage présumé naturel / Geschiebehaushalt vermutlich natürlich</v>
      </c>
      <c r="F268" s="403" t="str">
        <f>IF(VLOOKUP(A268,'Charriage - Geschiebehaushalt'!$A$4:$AC$275,18,FALSE)="","",VLOOKUP(A268,'Charriage - Geschiebehaushalt'!$A$4:$AC$275,18,FALSE))</f>
        <v>b</v>
      </c>
      <c r="G268" s="330" t="str">
        <f>IF(VLOOKUP(A268,'Débit - Abfluss'!$A$4:$AD$275,8,FALSE)="","",VLOOKUP(A268,'Débit - Abfluss'!$A$4:$AD$275,8,FALSE))</f>
        <v>81-100%</v>
      </c>
      <c r="H268" s="404" t="str">
        <f>IF(VLOOKUP(A268,'Eclusée - Schwall-Sunk'!$A$2:$F$273,6,FALSE)="","",VLOOKUP(A268,'Eclusée - Schwall-Sunk'!$A$2:$F$273,6,FALSE))</f>
        <v>Non affecté / nicht betroffen</v>
      </c>
      <c r="I268" s="405" t="str">
        <f>IF(VLOOKUP(A268,'Revitalisation-Revitalisierung'!$A$4:$Z$275,13,FALSE)="","",VLOOKUP(A268,'Revitalisation-Revitalisierung'!$A$4:$Z$275,13,FALSE))</f>
        <v>Non nécessaire / nicht nötig</v>
      </c>
      <c r="J268" s="406" t="str">
        <f>IF(VLOOKUP(A268,'Revitalisation-Revitalisierung'!$A$4:$Z$275,14,FALSE)="","",VLOOKUP(A268,'Revitalisation-Revitalisierung'!$A$4:$Z$275,14,FALSE))</f>
        <v>a</v>
      </c>
      <c r="K268" s="407"/>
    </row>
    <row r="269" spans="1:11" ht="20.100000000000001" customHeight="1" x14ac:dyDescent="0.25">
      <c r="A269" s="399">
        <v>361</v>
      </c>
      <c r="B269" s="400" t="s">
        <v>533</v>
      </c>
      <c r="C269" s="400" t="s">
        <v>531</v>
      </c>
      <c r="D269" s="401" t="s">
        <v>482</v>
      </c>
      <c r="E269" s="402" t="str">
        <f>IF(VLOOKUP(A269,'Charriage - Geschiebehaushalt'!$A$4:$AC$275,17,FALSE)="","",VLOOKUP(A269,'Charriage - Geschiebehaushalt'!$A$4:$AC$275,17,FALSE))</f>
        <v>Charriage présumé naturel / Geschiebehaushalt vermutlich natürlich</v>
      </c>
      <c r="F269" s="403" t="str">
        <f>IF(VLOOKUP(A269,'Charriage - Geschiebehaushalt'!$A$4:$AC$275,18,FALSE)="","",VLOOKUP(A269,'Charriage - Geschiebehaushalt'!$A$4:$AC$275,18,FALSE))</f>
        <v>b</v>
      </c>
      <c r="G269" s="330" t="str">
        <f>IF(VLOOKUP(A269,'Débit - Abfluss'!$A$4:$AD$275,8,FALSE)="","",VLOOKUP(A269,'Débit - Abfluss'!$A$4:$AD$275,8,FALSE))</f>
        <v>81-100%</v>
      </c>
      <c r="H269" s="404" t="str">
        <f>IF(VLOOKUP(A269,'Eclusée - Schwall-Sunk'!$A$2:$F$273,6,FALSE)="","",VLOOKUP(A269,'Eclusée - Schwall-Sunk'!$A$2:$F$273,6,FALSE))</f>
        <v>Non affecté / nicht betroffen</v>
      </c>
      <c r="I269" s="405" t="str">
        <f>IF(VLOOKUP(A269,'Revitalisation-Revitalisierung'!$A$4:$Z$275,13,FALSE)="","",VLOOKUP(A269,'Revitalisation-Revitalisierung'!$A$4:$Z$275,13,FALSE))</f>
        <v>Non nécessaire / nicht nötig</v>
      </c>
      <c r="J269" s="406" t="str">
        <f>IF(VLOOKUP(A269,'Revitalisation-Revitalisierung'!$A$4:$Z$275,14,FALSE)="","",VLOOKUP(A269,'Revitalisation-Revitalisierung'!$A$4:$Z$275,14,FALSE))</f>
        <v>a</v>
      </c>
      <c r="K269" s="407"/>
    </row>
    <row r="270" spans="1:11" ht="20.100000000000001" customHeight="1" x14ac:dyDescent="0.25">
      <c r="A270" s="399">
        <v>362</v>
      </c>
      <c r="B270" s="400" t="s">
        <v>534</v>
      </c>
      <c r="C270" s="400" t="s">
        <v>535</v>
      </c>
      <c r="D270" s="401" t="s">
        <v>482</v>
      </c>
      <c r="E270" s="402" t="str">
        <f>IF(VLOOKUP(A270,'Charriage - Geschiebehaushalt'!$A$4:$AC$275,17,FALSE)="","",VLOOKUP(A270,'Charriage - Geschiebehaushalt'!$A$4:$AC$275,17,FALSE))</f>
        <v>Charriage présumé naturel / Geschiebehaushalt vermutlich natürlich</v>
      </c>
      <c r="F270" s="403" t="str">
        <f>IF(VLOOKUP(A270,'Charriage - Geschiebehaushalt'!$A$4:$AC$275,18,FALSE)="","",VLOOKUP(A270,'Charriage - Geschiebehaushalt'!$A$4:$AC$275,18,FALSE))</f>
        <v>b</v>
      </c>
      <c r="G270" s="330" t="str">
        <f>IF(VLOOKUP(A270,'Débit - Abfluss'!$A$4:$AD$275,8,FALSE)="","",VLOOKUP(A270,'Débit - Abfluss'!$A$4:$AD$275,8,FALSE))</f>
        <v>100%</v>
      </c>
      <c r="H270" s="404" t="str">
        <f>IF(VLOOKUP(A270,'Eclusée - Schwall-Sunk'!$A$2:$F$273,6,FALSE)="","",VLOOKUP(A270,'Eclusée - Schwall-Sunk'!$A$2:$F$273,6,FALSE))</f>
        <v>Non affecté / nicht betroffen</v>
      </c>
      <c r="I270" s="405" t="str">
        <f>IF(VLOOKUP(A270,'Revitalisation-Revitalisierung'!$A$4:$Z$275,13,FALSE)="","",VLOOKUP(A270,'Revitalisation-Revitalisierung'!$A$4:$Z$275,13,FALSE))</f>
        <v>Non nécessaire / nicht nötig</v>
      </c>
      <c r="J270" s="406" t="str">
        <f>IF(VLOOKUP(A270,'Revitalisation-Revitalisierung'!$A$4:$Z$275,14,FALSE)="","",VLOOKUP(A270,'Revitalisation-Revitalisierung'!$A$4:$Z$275,14,FALSE))</f>
        <v>a</v>
      </c>
      <c r="K270" s="407"/>
    </row>
    <row r="271" spans="1:11" ht="20.100000000000001" customHeight="1" x14ac:dyDescent="0.25">
      <c r="A271" s="399">
        <v>363</v>
      </c>
      <c r="B271" s="400" t="s">
        <v>537</v>
      </c>
      <c r="C271" s="400" t="s">
        <v>538</v>
      </c>
      <c r="D271" s="401" t="s">
        <v>482</v>
      </c>
      <c r="E271" s="402" t="str">
        <f>IF(VLOOKUP(A271,'Charriage - Geschiebehaushalt'!$A$4:$AC$275,17,FALSE)="","",VLOOKUP(A271,'Charriage - Geschiebehaushalt'!$A$4:$AC$275,17,FALSE))</f>
        <v>Déficit non apparent en charriage ou en remobilisation des sédiments / kein sichtbares Defizit beim Geschiebehaushalt bzw. bei der Mobilisierung von Geschiebe</v>
      </c>
      <c r="F271" s="403" t="str">
        <f>IF(VLOOKUP(A271,'Charriage - Geschiebehaushalt'!$A$4:$AC$275,18,FALSE)="","",VLOOKUP(A271,'Charriage - Geschiebehaushalt'!$A$4:$AC$275,18,FALSE))</f>
        <v>b</v>
      </c>
      <c r="G271" s="330" t="str">
        <f>IF(VLOOKUP(A271,'Débit - Abfluss'!$A$4:$AD$275,8,FALSE)="","",VLOOKUP(A271,'Débit - Abfluss'!$A$4:$AD$275,8,FALSE))</f>
        <v>100%</v>
      </c>
      <c r="H271" s="404" t="str">
        <f>IF(VLOOKUP(A271,'Eclusée - Schwall-Sunk'!$A$2:$F$273,6,FALSE)="","",VLOOKUP(A271,'Eclusée - Schwall-Sunk'!$A$2:$F$273,6,FALSE))</f>
        <v>Non affecté / nicht betroffen</v>
      </c>
      <c r="I271" s="405" t="str">
        <f>IF(VLOOKUP(A271,'Revitalisation-Revitalisierung'!$A$4:$Z$275,13,FALSE)="","",VLOOKUP(A271,'Revitalisation-Revitalisierung'!$A$4:$Z$275,13,FALSE))</f>
        <v>Non nécessaire / nicht nötig</v>
      </c>
      <c r="J271" s="406" t="str">
        <f>IF(VLOOKUP(A271,'Revitalisation-Revitalisierung'!$A$4:$Z$275,14,FALSE)="","",VLOOKUP(A271,'Revitalisation-Revitalisierung'!$A$4:$Z$275,14,FALSE))</f>
        <v>b</v>
      </c>
      <c r="K271" s="407"/>
    </row>
    <row r="272" spans="1:11" ht="20.100000000000001" customHeight="1" x14ac:dyDescent="0.25">
      <c r="A272" s="399">
        <v>364</v>
      </c>
      <c r="B272" s="400" t="s">
        <v>539</v>
      </c>
      <c r="C272" s="400" t="s">
        <v>540</v>
      </c>
      <c r="D272" s="401" t="s">
        <v>482</v>
      </c>
      <c r="E272" s="402" t="str">
        <f>IF(VLOOKUP(A272,'Charriage - Geschiebehaushalt'!$A$4:$AC$275,17,FALSE)="","",VLOOKUP(A272,'Charriage - Geschiebehaushalt'!$A$4:$AC$275,17,FALSE))</f>
        <v>La remobilisation des sédiments est perturbée / Mobilisierung von Geschiebe beeinträchtigt</v>
      </c>
      <c r="F272" s="403" t="str">
        <f>IF(VLOOKUP(A272,'Charriage - Geschiebehaushalt'!$A$4:$AC$275,18,FALSE)="","",VLOOKUP(A272,'Charriage - Geschiebehaushalt'!$A$4:$AC$275,18,FALSE))</f>
        <v>b</v>
      </c>
      <c r="G272" s="330" t="str">
        <f>IF(VLOOKUP(A272,'Débit - Abfluss'!$A$4:$AD$275,8,FALSE)="","",VLOOKUP(A272,'Débit - Abfluss'!$A$4:$AD$275,8,FALSE))</f>
        <v>100%</v>
      </c>
      <c r="H272" s="404" t="str">
        <f>IF(VLOOKUP(A272,'Eclusée - Schwall-Sunk'!$A$2:$F$273,6,FALSE)="","",VLOOKUP(A272,'Eclusée - Schwall-Sunk'!$A$2:$F$273,6,FALSE))</f>
        <v>Non affecté / nicht betroffen</v>
      </c>
      <c r="I272" s="405" t="str">
        <f>IF(VLOOKUP(A272,'Revitalisation-Revitalisierung'!$A$4:$Z$275,13,FALSE)="","",VLOOKUP(A272,'Revitalisation-Revitalisierung'!$A$4:$Z$275,13,FALSE))</f>
        <v>Très nécessaire, facile / unbedingt nötig, einfach</v>
      </c>
      <c r="J272" s="406" t="str">
        <f>IF(VLOOKUP(A272,'Revitalisation-Revitalisierung'!$A$4:$Z$275,14,FALSE)="","",VLOOKUP(A272,'Revitalisation-Revitalisierung'!$A$4:$Z$275,14,FALSE))</f>
        <v>a</v>
      </c>
      <c r="K272" s="407"/>
    </row>
    <row r="273" spans="1:11" ht="20.100000000000001" customHeight="1" x14ac:dyDescent="0.25">
      <c r="A273" s="399">
        <v>365</v>
      </c>
      <c r="B273" s="400" t="s">
        <v>541</v>
      </c>
      <c r="C273" s="400" t="s">
        <v>542</v>
      </c>
      <c r="D273" s="401" t="s">
        <v>482</v>
      </c>
      <c r="E273" s="402" t="str">
        <f>IF(VLOOKUP(A273,'Charriage - Geschiebehaushalt'!$A$4:$AC$275,17,FALSE)="","",VLOOKUP(A273,'Charriage - Geschiebehaushalt'!$A$4:$AC$275,17,FALSE))</f>
        <v>Charriage présumé naturel / Geschiebehaushalt vermutlich natürlich</v>
      </c>
      <c r="F273" s="403" t="str">
        <f>IF(VLOOKUP(A273,'Charriage - Geschiebehaushalt'!$A$4:$AC$275,18,FALSE)="","",VLOOKUP(A273,'Charriage - Geschiebehaushalt'!$A$4:$AC$275,18,FALSE))</f>
        <v>b</v>
      </c>
      <c r="G273" s="330" t="str">
        <f>IF(VLOOKUP(A273,'Débit - Abfluss'!$A$4:$AD$275,8,FALSE)="","",VLOOKUP(A273,'Débit - Abfluss'!$A$4:$AD$275,8,FALSE))</f>
        <v>100%</v>
      </c>
      <c r="H273" s="404" t="str">
        <f>IF(VLOOKUP(A273,'Eclusée - Schwall-Sunk'!$A$2:$F$273,6,FALSE)="","",VLOOKUP(A273,'Eclusée - Schwall-Sunk'!$A$2:$F$273,6,FALSE))</f>
        <v>Non affecté / nicht betroffen</v>
      </c>
      <c r="I273" s="405" t="str">
        <f>IF(VLOOKUP(A273,'Revitalisation-Revitalisierung'!$A$4:$Z$275,13,FALSE)="","",VLOOKUP(A273,'Revitalisation-Revitalisierung'!$A$4:$Z$275,13,FALSE))</f>
        <v>Non nécessaire / nicht nötig</v>
      </c>
      <c r="J273" s="406" t="str">
        <f>IF(VLOOKUP(A273,'Revitalisation-Revitalisierung'!$A$4:$Z$275,14,FALSE)="","",VLOOKUP(A273,'Revitalisation-Revitalisierung'!$A$4:$Z$275,14,FALSE))</f>
        <v>a</v>
      </c>
      <c r="K273" s="407"/>
    </row>
    <row r="274" spans="1:11" ht="20.100000000000001" customHeight="1" x14ac:dyDescent="0.25">
      <c r="A274" s="399">
        <v>366</v>
      </c>
      <c r="B274" s="400" t="s">
        <v>543</v>
      </c>
      <c r="C274" s="400" t="s">
        <v>544</v>
      </c>
      <c r="D274" s="401" t="s">
        <v>482</v>
      </c>
      <c r="E274" s="402" t="str">
        <f>IF(VLOOKUP(A274,'Charriage - Geschiebehaushalt'!$A$4:$AC$275,17,FALSE)="","",VLOOKUP(A274,'Charriage - Geschiebehaushalt'!$A$4:$AC$275,17,FALSE))</f>
        <v>Charriage présumé naturel / Geschiebehaushalt vermutlich natürlich</v>
      </c>
      <c r="F274" s="403" t="str">
        <f>IF(VLOOKUP(A274,'Charriage - Geschiebehaushalt'!$A$4:$AC$275,18,FALSE)="","",VLOOKUP(A274,'Charriage - Geschiebehaushalt'!$A$4:$AC$275,18,FALSE))</f>
        <v>b</v>
      </c>
      <c r="G274" s="330" t="str">
        <f>IF(VLOOKUP(A274,'Débit - Abfluss'!$A$4:$AD$275,8,FALSE)="","",VLOOKUP(A274,'Débit - Abfluss'!$A$4:$AD$275,8,FALSE))</f>
        <v>100%</v>
      </c>
      <c r="H274" s="404" t="str">
        <f>IF(VLOOKUP(A274,'Eclusée - Schwall-Sunk'!$A$2:$F$273,6,FALSE)="","",VLOOKUP(A274,'Eclusée - Schwall-Sunk'!$A$2:$F$273,6,FALSE))</f>
        <v>Non affecté / nicht betroffen</v>
      </c>
      <c r="I274" s="405" t="str">
        <f>IF(VLOOKUP(A274,'Revitalisation-Revitalisierung'!$A$4:$Z$275,13,FALSE)="","",VLOOKUP(A274,'Revitalisation-Revitalisierung'!$A$4:$Z$275,13,FALSE))</f>
        <v>Non nécessaire / nicht nötig</v>
      </c>
      <c r="J274" s="406" t="str">
        <f>IF(VLOOKUP(A274,'Revitalisation-Revitalisierung'!$A$4:$Z$275,14,FALSE)="","",VLOOKUP(A274,'Revitalisation-Revitalisierung'!$A$4:$Z$275,14,FALSE))</f>
        <v>a</v>
      </c>
      <c r="K274" s="407"/>
    </row>
    <row r="275" spans="1:11" ht="20.100000000000001" customHeight="1" x14ac:dyDescent="0.25">
      <c r="A275" s="399">
        <v>367</v>
      </c>
      <c r="B275" s="400" t="s">
        <v>545</v>
      </c>
      <c r="C275" s="400" t="s">
        <v>546</v>
      </c>
      <c r="D275" s="401" t="s">
        <v>482</v>
      </c>
      <c r="E275" s="402" t="str">
        <f>IF(VLOOKUP(A275,'Charriage - Geschiebehaushalt'!$A$4:$AC$275,17,FALSE)="","",VLOOKUP(A275,'Charriage - Geschiebehaushalt'!$A$4:$AC$275,17,FALSE))</f>
        <v>La remobilisation des sédiments est perturbée / Mobilisierung von Geschiebe beeinträchtigt</v>
      </c>
      <c r="F275" s="403" t="str">
        <f>IF(VLOOKUP(A275,'Charriage - Geschiebehaushalt'!$A$4:$AC$275,18,FALSE)="","",VLOOKUP(A275,'Charriage - Geschiebehaushalt'!$A$4:$AC$275,18,FALSE))</f>
        <v>b</v>
      </c>
      <c r="G275" s="330" t="str">
        <f>IF(VLOOKUP(A275,'Débit - Abfluss'!$A$4:$AD$275,8,FALSE)="","",VLOOKUP(A275,'Débit - Abfluss'!$A$4:$AD$275,8,FALSE))</f>
        <v>100%</v>
      </c>
      <c r="H275" s="404" t="str">
        <f>IF(VLOOKUP(A275,'Eclusée - Schwall-Sunk'!$A$2:$F$273,6,FALSE)="","",VLOOKUP(A275,'Eclusée - Schwall-Sunk'!$A$2:$F$273,6,FALSE))</f>
        <v>Non affecté / nicht betroffen</v>
      </c>
      <c r="I275" s="405" t="str">
        <f>IF(VLOOKUP(A275,'Revitalisation-Revitalisierung'!$A$4:$Z$275,13,FALSE)="","",VLOOKUP(A275,'Revitalisation-Revitalisierung'!$A$4:$Z$275,13,FALSE))</f>
        <v>Très nécessaire, facile / unbedingt nötig, einfach</v>
      </c>
      <c r="J275" s="406" t="str">
        <f>IF(VLOOKUP(A275,'Revitalisation-Revitalisierung'!$A$4:$Z$275,14,FALSE)="","",VLOOKUP(A275,'Revitalisation-Revitalisierung'!$A$4:$Z$275,14,FALSE))</f>
        <v>b</v>
      </c>
      <c r="K275" s="407"/>
    </row>
    <row r="276" spans="1:11" ht="20.100000000000001" customHeight="1" x14ac:dyDescent="0.25">
      <c r="A276" s="413">
        <v>368</v>
      </c>
      <c r="B276" s="400" t="s">
        <v>547</v>
      </c>
      <c r="C276" s="400" t="s">
        <v>548</v>
      </c>
      <c r="D276" s="401" t="s">
        <v>482</v>
      </c>
      <c r="E276" s="402" t="str">
        <f>IF(VLOOKUP(A276,'Charriage - Geschiebehaushalt'!$A$4:$AC$275,17,FALSE)="","",VLOOKUP(A276,'Charriage - Geschiebehaushalt'!$A$4:$AC$275,17,FALSE))</f>
        <v>Charriage présumé naturel / Geschiebehaushalt vermutlich natürlich</v>
      </c>
      <c r="F276" s="403" t="str">
        <f>IF(VLOOKUP(A276,'Charriage - Geschiebehaushalt'!$A$4:$AC$275,18,FALSE)="","",VLOOKUP(A276,'Charriage - Geschiebehaushalt'!$A$4:$AC$275,18,FALSE))</f>
        <v>b</v>
      </c>
      <c r="G276" s="330" t="str">
        <f>IF(VLOOKUP(A276,'Débit - Abfluss'!$A$4:$AD$275,8,FALSE)="","",VLOOKUP(A276,'Débit - Abfluss'!$A$4:$AD$275,8,FALSE))</f>
        <v>Régime présumé naturel (100%) / Abfluss vermutlich natürlich</v>
      </c>
      <c r="H276" s="404" t="str">
        <f>IF(VLOOKUP(A276,'Eclusée - Schwall-Sunk'!$A$2:$F$273,6,FALSE)="","",VLOOKUP(A276,'Eclusée - Schwall-Sunk'!$A$2:$F$273,6,FALSE))</f>
        <v>Non affecté / nicht betroffen</v>
      </c>
      <c r="I276" s="405" t="str">
        <f>IF(VLOOKUP(A276,'Revitalisation-Revitalisierung'!$A$4:$Z$275,13,FALSE)="","",VLOOKUP(A276,'Revitalisation-Revitalisierung'!$A$4:$Z$275,13,FALSE))</f>
        <v>Très nécessaire, facile / unbedingt nötig, einfach</v>
      </c>
      <c r="J276" s="406" t="str">
        <f>IF(VLOOKUP(A276,'Revitalisation-Revitalisierung'!$A$4:$Z$275,14,FALSE)="","",VLOOKUP(A276,'Revitalisation-Revitalisierung'!$A$4:$Z$275,14,FALSE))</f>
        <v>a</v>
      </c>
      <c r="K276" s="407"/>
    </row>
    <row r="277" spans="1:11" ht="20.100000000000001" customHeight="1" x14ac:dyDescent="0.25">
      <c r="A277" s="399">
        <v>369</v>
      </c>
      <c r="B277" s="400" t="s">
        <v>424</v>
      </c>
      <c r="C277" s="400" t="s">
        <v>425</v>
      </c>
      <c r="D277" s="401" t="s">
        <v>410</v>
      </c>
      <c r="E277" s="402" t="str">
        <f>IF(VLOOKUP(A277,'Charriage - Geschiebehaushalt'!$A$4:$AC$275,17,FALSE)="","",VLOOKUP(A277,'Charriage - Geschiebehaushalt'!$A$4:$AC$275,17,FALSE))</f>
        <v>Charriage présumé naturel / Geschiebehaushalt vermutlich natürlich</v>
      </c>
      <c r="F277" s="403" t="str">
        <f>IF(VLOOKUP(A277,'Charriage - Geschiebehaushalt'!$A$4:$AC$275,18,FALSE)="","",VLOOKUP(A277,'Charriage - Geschiebehaushalt'!$A$4:$AC$275,18,FALSE))</f>
        <v>b</v>
      </c>
      <c r="G277" s="330" t="str">
        <f>IF(VLOOKUP(A277,'Débit - Abfluss'!$A$4:$AD$275,8,FALSE)="","",VLOOKUP(A277,'Débit - Abfluss'!$A$4:$AD$275,8,FALSE))</f>
        <v>41-60%</v>
      </c>
      <c r="H277" s="404" t="str">
        <f>IF(VLOOKUP(A277,'Eclusée - Schwall-Sunk'!$A$2:$F$273,6,FALSE)="","",VLOOKUP(A277,'Eclusée - Schwall-Sunk'!$A$2:$F$273,6,FALSE))</f>
        <v>Non affecté / nicht betroffen</v>
      </c>
      <c r="I277" s="405" t="str">
        <f>IF(VLOOKUP(A277,'Revitalisation-Revitalisierung'!$A$4:$Z$275,13,FALSE)="","",VLOOKUP(A277,'Revitalisation-Revitalisierung'!$A$4:$Z$275,13,FALSE))</f>
        <v>Partiellement nécessaire, difficile / teilweise nötig, schwierig</v>
      </c>
      <c r="J277" s="406" t="str">
        <f>IF(VLOOKUP(A277,'Revitalisation-Revitalisierung'!$A$4:$Z$275,14,FALSE)="","",VLOOKUP(A277,'Revitalisation-Revitalisierung'!$A$4:$Z$275,14,FALSE))</f>
        <v>b</v>
      </c>
      <c r="K277" s="407"/>
    </row>
    <row r="278" spans="1:11" ht="20.100000000000001" customHeight="1" x14ac:dyDescent="0.25">
      <c r="A278" s="399">
        <v>371</v>
      </c>
      <c r="B278" s="400" t="s">
        <v>90</v>
      </c>
      <c r="C278" s="400" t="s">
        <v>91</v>
      </c>
      <c r="D278" s="401" t="s">
        <v>89</v>
      </c>
      <c r="E278" s="402" t="str">
        <f>IF(VLOOKUP(A278,'Charriage - Geschiebehaushalt'!$A$4:$AC$275,17,FALSE)="","",VLOOKUP(A278,'Charriage - Geschiebehaushalt'!$A$4:$AC$275,17,FALSE))</f>
        <v>0-20%</v>
      </c>
      <c r="F278" s="403" t="str">
        <f>IF(VLOOKUP(A278,'Charriage - Geschiebehaushalt'!$A$4:$AC$275,18,FALSE)="","",VLOOKUP(A278,'Charriage - Geschiebehaushalt'!$A$4:$AC$275,18,FALSE))</f>
        <v>a</v>
      </c>
      <c r="G278" s="330" t="str">
        <f>IF(VLOOKUP(A278,'Débit - Abfluss'!$A$4:$AD$275,8,FALSE)="","",VLOOKUP(A278,'Débit - Abfluss'!$A$4:$AD$275,8,FALSE))</f>
        <v>100%</v>
      </c>
      <c r="H278" s="404" t="str">
        <f>IF(VLOOKUP(A278,'Eclusée - Schwall-Sunk'!$A$2:$F$273,6,FALSE)="","",VLOOKUP(A278,'Eclusée - Schwall-Sunk'!$A$2:$F$273,6,FALSE))</f>
        <v>Non affecté / nicht betroffen</v>
      </c>
      <c r="I278" s="405" t="str">
        <f>IF(VLOOKUP(A278,'Revitalisation-Revitalisierung'!$A$4:$Z$275,13,FALSE)="","",VLOOKUP(A278,'Revitalisation-Revitalisierung'!$A$4:$Z$275,13,FALSE))</f>
        <v>Non nécessaire / nicht nötig</v>
      </c>
      <c r="J278" s="406" t="str">
        <f>IF(VLOOKUP(A278,'Revitalisation-Revitalisierung'!$A$4:$Z$275,14,FALSE)="","",VLOOKUP(A278,'Revitalisation-Revitalisierung'!$A$4:$Z$275,14,FALSE))</f>
        <v>a</v>
      </c>
      <c r="K278" s="407"/>
    </row>
    <row r="279" spans="1:11" ht="20.100000000000001" customHeight="1" x14ac:dyDescent="0.25">
      <c r="A279" s="408">
        <v>372</v>
      </c>
      <c r="B279" s="409" t="s">
        <v>81</v>
      </c>
      <c r="C279" s="410" t="s">
        <v>82</v>
      </c>
      <c r="D279" s="411" t="s">
        <v>80</v>
      </c>
      <c r="E279" s="402" t="str">
        <f>IF(VLOOKUP(A279,'Charriage - Geschiebehaushalt'!$A$4:$AC$275,17,FALSE)="","",VLOOKUP(A279,'Charriage - Geschiebehaushalt'!$A$4:$AC$275,17,FALSE))</f>
        <v>Charriage présumé naturel / Geschiebehaushalt vermutlich natürlich</v>
      </c>
      <c r="F279" s="403" t="str">
        <f>IF(VLOOKUP(A279,'Charriage - Geschiebehaushalt'!$A$4:$AC$275,18,FALSE)="","",VLOOKUP(A279,'Charriage - Geschiebehaushalt'!$A$4:$AC$275,18,FALSE))</f>
        <v>a</v>
      </c>
      <c r="G279" s="330" t="str">
        <f>IF(VLOOKUP(A279,'Débit - Abfluss'!$A$4:$AD$275,8,FALSE)="","",VLOOKUP(A279,'Débit - Abfluss'!$A$4:$AD$275,8,FALSE))</f>
        <v>Régime présumé naturel (100%) / Abfluss vermutlich natürlich</v>
      </c>
      <c r="H279" s="404" t="str">
        <f>IF(VLOOKUP(A279,'Eclusée - Schwall-Sunk'!$A$2:$F$273,6,FALSE)="","",VLOOKUP(A279,'Eclusée - Schwall-Sunk'!$A$2:$F$273,6,FALSE))</f>
        <v>Non affecté / nicht betroffen</v>
      </c>
      <c r="I279" s="405" t="str">
        <f>IF(VLOOKUP(A279,'Revitalisation-Revitalisierung'!$A$4:$Z$275,13,FALSE)="","",VLOOKUP(A279,'Revitalisation-Revitalisierung'!$A$4:$Z$275,13,FALSE))</f>
        <v>Non nécessaire / nicht nötig</v>
      </c>
      <c r="J279" s="406" t="str">
        <f>IF(VLOOKUP(A279,'Revitalisation-Revitalisierung'!$A$4:$Z$275,14,FALSE)="","",VLOOKUP(A279,'Revitalisation-Revitalisierung'!$A$4:$Z$275,14,FALSE))</f>
        <v>a</v>
      </c>
      <c r="K279" s="407"/>
    </row>
    <row r="280" spans="1:11" ht="20.100000000000001" customHeight="1" x14ac:dyDescent="0.25">
      <c r="A280" s="399">
        <v>373</v>
      </c>
      <c r="B280" s="400" t="s">
        <v>427</v>
      </c>
      <c r="C280" s="400" t="s">
        <v>428</v>
      </c>
      <c r="D280" s="401" t="s">
        <v>410</v>
      </c>
      <c r="E280" s="402" t="str">
        <f>IF(VLOOKUP(A280,'Charriage - Geschiebehaushalt'!$A$4:$AC$275,17,FALSE)="","",VLOOKUP(A280,'Charriage - Geschiebehaushalt'!$A$4:$AC$275,17,FALSE))</f>
        <v>Déficit non apparent en charriage ou en remobilisation des sédiments / kein sichtbares Defizit beim Geschiebehaushalt bzw. bei der Mobilisierung von Geschiebe</v>
      </c>
      <c r="F280" s="403" t="str">
        <f>IF(VLOOKUP(A280,'Charriage - Geschiebehaushalt'!$A$4:$AC$275,18,FALSE)="","",VLOOKUP(A280,'Charriage - Geschiebehaushalt'!$A$4:$AC$275,18,FALSE))</f>
        <v>b</v>
      </c>
      <c r="G280" s="330" t="str">
        <f>IF(VLOOKUP(A280,'Débit - Abfluss'!$A$4:$AD$275,8,FALSE)="","",VLOOKUP(A280,'Débit - Abfluss'!$A$4:$AD$275,8,FALSE))</f>
        <v>100%</v>
      </c>
      <c r="H280" s="404" t="str">
        <f>IF(VLOOKUP(A280,'Eclusée - Schwall-Sunk'!$A$2:$F$273,6,FALSE)="","",VLOOKUP(A280,'Eclusée - Schwall-Sunk'!$A$2:$F$273,6,FALSE))</f>
        <v>Non affecté / nicht betroffen</v>
      </c>
      <c r="I280" s="405" t="str">
        <f>IF(VLOOKUP(A280,'Revitalisation-Revitalisierung'!$A$4:$Z$275,13,FALSE)="","",VLOOKUP(A280,'Revitalisation-Revitalisierung'!$A$4:$Z$275,13,FALSE))</f>
        <v>Non nécessaire / nicht nötig</v>
      </c>
      <c r="J280" s="406" t="str">
        <f>IF(VLOOKUP(A280,'Revitalisation-Revitalisierung'!$A$4:$Z$275,14,FALSE)="","",VLOOKUP(A280,'Revitalisation-Revitalisierung'!$A$4:$Z$275,14,FALSE))</f>
        <v>b</v>
      </c>
      <c r="K280" s="407"/>
    </row>
    <row r="281" spans="1:11" ht="20.100000000000001" customHeight="1" x14ac:dyDescent="0.25">
      <c r="A281" s="399">
        <v>374</v>
      </c>
      <c r="B281" s="400" t="s">
        <v>429</v>
      </c>
      <c r="C281" s="400" t="s">
        <v>430</v>
      </c>
      <c r="D281" s="401" t="s">
        <v>410</v>
      </c>
      <c r="E281" s="402" t="str">
        <f>IF(VLOOKUP(A281,'Charriage - Geschiebehaushalt'!$A$4:$AC$275,17,FALSE)="","",VLOOKUP(A281,'Charriage - Geschiebehaushalt'!$A$4:$AC$275,17,FALSE))</f>
        <v>21-50%</v>
      </c>
      <c r="F281" s="403" t="str">
        <f>IF(VLOOKUP(A281,'Charriage - Geschiebehaushalt'!$A$4:$AC$275,18,FALSE)="","",VLOOKUP(A281,'Charriage - Geschiebehaushalt'!$A$4:$AC$275,18,FALSE))</f>
        <v>a</v>
      </c>
      <c r="G281" s="330" t="str">
        <f>IF(VLOOKUP(A281,'Débit - Abfluss'!$A$4:$AD$275,8,FALSE)="","",VLOOKUP(A281,'Débit - Abfluss'!$A$4:$AD$275,8,FALSE))</f>
        <v>81-100%</v>
      </c>
      <c r="H281" s="404" t="str">
        <f>IF(VLOOKUP(A281,'Eclusée - Schwall-Sunk'!$A$2:$F$273,6,FALSE)="","",VLOOKUP(A281,'Eclusée - Schwall-Sunk'!$A$2:$F$273,6,FALSE))</f>
        <v>Potentiellement affecté / möglicherweise betroffen</v>
      </c>
      <c r="I281" s="405" t="str">
        <f>IF(VLOOKUP(A281,'Revitalisation-Revitalisierung'!$A$4:$Z$275,13,FALSE)="","",VLOOKUP(A281,'Revitalisation-Revitalisierung'!$A$4:$Z$275,13,FALSE))</f>
        <v>Très nécessaire, facile / unbedingt nötig, einfach</v>
      </c>
      <c r="J281" s="406" t="str">
        <f>IF(VLOOKUP(A281,'Revitalisation-Revitalisierung'!$A$4:$Z$275,14,FALSE)="","",VLOOKUP(A281,'Revitalisation-Revitalisierung'!$A$4:$Z$275,14,FALSE))</f>
        <v>b</v>
      </c>
      <c r="K281" s="407"/>
    </row>
    <row r="282" spans="1:11" ht="20.100000000000001" customHeight="1" x14ac:dyDescent="0.25">
      <c r="A282" s="408">
        <v>375</v>
      </c>
      <c r="B282" s="409" t="s">
        <v>324</v>
      </c>
      <c r="C282" s="410" t="s">
        <v>37</v>
      </c>
      <c r="D282" s="411" t="s">
        <v>274</v>
      </c>
      <c r="E282" s="402" t="str">
        <f>IF(VLOOKUP(A282,'Charriage - Geschiebehaushalt'!$A$4:$AC$275,17,FALSE)="","",VLOOKUP(A282,'Charriage - Geschiebehaushalt'!$A$4:$AC$275,17,FALSE))</f>
        <v>51-80%</v>
      </c>
      <c r="F282" s="403" t="str">
        <f>IF(VLOOKUP(A282,'Charriage - Geschiebehaushalt'!$A$4:$AC$275,18,FALSE)="","",VLOOKUP(A282,'Charriage - Geschiebehaushalt'!$A$4:$AC$275,18,FALSE))</f>
        <v>a</v>
      </c>
      <c r="G282" s="330" t="str">
        <f>IF(VLOOKUP(A282,'Débit - Abfluss'!$A$4:$AD$275,8,FALSE)="","",VLOOKUP(A282,'Débit - Abfluss'!$A$4:$AD$275,8,FALSE))</f>
        <v>81-100%</v>
      </c>
      <c r="H282" s="404" t="str">
        <f>IF(VLOOKUP(A282,'Eclusée - Schwall-Sunk'!$A$2:$F$273,6,FALSE)="","",VLOOKUP(A282,'Eclusée - Schwall-Sunk'!$A$2:$F$273,6,FALSE))</f>
        <v>Potentiellement affecté / möglicherweise betroffen</v>
      </c>
      <c r="I282" s="405" t="str">
        <f>IF(VLOOKUP(A282,'Revitalisation-Revitalisierung'!$A$4:$Z$275,13,FALSE)="","",VLOOKUP(A282,'Revitalisation-Revitalisierung'!$A$4:$Z$275,13,FALSE))</f>
        <v>Très nécessaire, facile / unbedingt nötig, einfach</v>
      </c>
      <c r="J282" s="406" t="str">
        <f>IF(VLOOKUP(A282,'Revitalisation-Revitalisierung'!$A$4:$Z$275,14,FALSE)="","",VLOOKUP(A282,'Revitalisation-Revitalisierung'!$A$4:$Z$275,14,FALSE))</f>
        <v>a</v>
      </c>
      <c r="K282" s="407"/>
    </row>
    <row r="283" spans="1:11" ht="20.100000000000001" customHeight="1" x14ac:dyDescent="0.25">
      <c r="A283" s="399">
        <v>376</v>
      </c>
      <c r="B283" s="400" t="s">
        <v>433</v>
      </c>
      <c r="C283" s="400" t="s">
        <v>37</v>
      </c>
      <c r="D283" s="401" t="s">
        <v>410</v>
      </c>
      <c r="E283" s="402" t="str">
        <f>IF(VLOOKUP(A283,'Charriage - Geschiebehaushalt'!$A$4:$AC$275,17,FALSE)="","",VLOOKUP(A283,'Charriage - Geschiebehaushalt'!$A$4:$AC$275,17,FALSE))</f>
        <v>51-80%</v>
      </c>
      <c r="F283" s="403" t="str">
        <f>IF(VLOOKUP(A283,'Charriage - Geschiebehaushalt'!$A$4:$AC$275,18,FALSE)="","",VLOOKUP(A283,'Charriage - Geschiebehaushalt'!$A$4:$AC$275,18,FALSE))</f>
        <v>a</v>
      </c>
      <c r="G283" s="330" t="str">
        <f>IF(VLOOKUP(A283,'Débit - Abfluss'!$A$4:$AD$275,8,FALSE)="","",VLOOKUP(A283,'Débit - Abfluss'!$A$4:$AD$275,8,FALSE))</f>
        <v>81-100%</v>
      </c>
      <c r="H283" s="404" t="str">
        <f>IF(VLOOKUP(A283,'Eclusée - Schwall-Sunk'!$A$2:$F$273,6,FALSE)="","",VLOOKUP(A283,'Eclusée - Schwall-Sunk'!$A$2:$F$273,6,FALSE))</f>
        <v>Potentiellement affecté / möglicherweise betroffen</v>
      </c>
      <c r="I283" s="405" t="str">
        <f>IF(VLOOKUP(A283,'Revitalisation-Revitalisierung'!$A$4:$Z$275,13,FALSE)="","",VLOOKUP(A283,'Revitalisation-Revitalisierung'!$A$4:$Z$275,13,FALSE))</f>
        <v>Très nécessaire, facile / unbedingt nötig, einfach</v>
      </c>
      <c r="J283" s="406" t="str">
        <f>IF(VLOOKUP(A283,'Revitalisation-Revitalisierung'!$A$4:$Z$275,14,FALSE)="","",VLOOKUP(A283,'Revitalisation-Revitalisierung'!$A$4:$Z$275,14,FALSE))</f>
        <v>a</v>
      </c>
      <c r="K283" s="407"/>
    </row>
    <row r="284" spans="1:11" ht="20.100000000000001" customHeight="1" x14ac:dyDescent="0.25">
      <c r="A284" s="408">
        <v>379</v>
      </c>
      <c r="B284" s="409" t="s">
        <v>325</v>
      </c>
      <c r="C284" s="410" t="s">
        <v>326</v>
      </c>
      <c r="D284" s="411" t="s">
        <v>274</v>
      </c>
      <c r="E284" s="402" t="str">
        <f>IF(VLOOKUP(A284,'Charriage - Geschiebehaushalt'!$A$4:$AC$275,17,FALSE)="","",VLOOKUP(A284,'Charriage - Geschiebehaushalt'!$A$4:$AC$275,17,FALSE))</f>
        <v>Charriage présumé naturel / Geschiebehaushalt vermutlich natürlich</v>
      </c>
      <c r="F284" s="403" t="str">
        <f>IF(VLOOKUP(A284,'Charriage - Geschiebehaushalt'!$A$4:$AC$275,18,FALSE)="","",VLOOKUP(A284,'Charriage - Geschiebehaushalt'!$A$4:$AC$275,18,FALSE))</f>
        <v>a</v>
      </c>
      <c r="G284" s="330" t="str">
        <f>IF(VLOOKUP(A284,'Débit - Abfluss'!$A$4:$AD$275,8,FALSE)="","",VLOOKUP(A284,'Débit - Abfluss'!$A$4:$AD$275,8,FALSE))</f>
        <v>21-40%</v>
      </c>
      <c r="H284" s="404" t="str">
        <f>IF(VLOOKUP(A284,'Eclusée - Schwall-Sunk'!$A$2:$F$273,6,FALSE)="","",VLOOKUP(A284,'Eclusée - Schwall-Sunk'!$A$2:$F$273,6,FALSE))</f>
        <v>Non affecté / nicht betroffen</v>
      </c>
      <c r="I284" s="405" t="str">
        <f>IF(VLOOKUP(A284,'Revitalisation-Revitalisierung'!$A$4:$Z$275,13,FALSE)="","",VLOOKUP(A284,'Revitalisation-Revitalisierung'!$A$4:$Z$275,13,FALSE))</f>
        <v>Non nécessaire / nicht nötig</v>
      </c>
      <c r="J284" s="406" t="str">
        <f>IF(VLOOKUP(A284,'Revitalisation-Revitalisierung'!$A$4:$Z$275,14,FALSE)="","",VLOOKUP(A284,'Revitalisation-Revitalisierung'!$A$4:$Z$275,14,FALSE))</f>
        <v>a</v>
      </c>
      <c r="K284" s="407"/>
    </row>
    <row r="285" spans="1:11" ht="20.100000000000001" customHeight="1" x14ac:dyDescent="0.25">
      <c r="A285" s="399">
        <v>380</v>
      </c>
      <c r="B285" s="400" t="s">
        <v>327</v>
      </c>
      <c r="C285" s="400" t="s">
        <v>328</v>
      </c>
      <c r="D285" s="401" t="s">
        <v>274</v>
      </c>
      <c r="E285" s="402" t="str">
        <f>IF(VLOOKUP(A285,'Charriage - Geschiebehaushalt'!$A$4:$AC$275,17,FALSE)="","",VLOOKUP(A285,'Charriage - Geschiebehaushalt'!$A$4:$AC$275,17,FALSE))</f>
        <v>0-20%</v>
      </c>
      <c r="F285" s="403" t="str">
        <f>IF(VLOOKUP(A285,'Charriage - Geschiebehaushalt'!$A$4:$AC$275,18,FALSE)="","",VLOOKUP(A285,'Charriage - Geschiebehaushalt'!$A$4:$AC$275,18,FALSE))</f>
        <v>a</v>
      </c>
      <c r="G285" s="330" t="str">
        <f>IF(VLOOKUP(A285,'Débit - Abfluss'!$A$4:$AD$275,8,FALSE)="","",VLOOKUP(A285,'Débit - Abfluss'!$A$4:$AD$275,8,FALSE))</f>
        <v>100%</v>
      </c>
      <c r="H285" s="404" t="str">
        <f>IF(VLOOKUP(A285,'Eclusée - Schwall-Sunk'!$A$2:$F$273,6,FALSE)="","",VLOOKUP(A285,'Eclusée - Schwall-Sunk'!$A$2:$F$273,6,FALSE))</f>
        <v>Non affecté / nicht betroffen</v>
      </c>
      <c r="I285" s="405" t="str">
        <f>IF(VLOOKUP(A285,'Revitalisation-Revitalisierung'!$A$4:$Z$275,13,FALSE)="","",VLOOKUP(A285,'Revitalisation-Revitalisierung'!$A$4:$Z$275,13,FALSE))</f>
        <v>Non nécessaire / nicht nötig</v>
      </c>
      <c r="J285" s="406" t="str">
        <f>IF(VLOOKUP(A285,'Revitalisation-Revitalisierung'!$A$4:$Z$275,14,FALSE)="","",VLOOKUP(A285,'Revitalisation-Revitalisierung'!$A$4:$Z$275,14,FALSE))</f>
        <v>a</v>
      </c>
      <c r="K285" s="407"/>
    </row>
    <row r="286" spans="1:11" ht="20.100000000000001" customHeight="1" x14ac:dyDescent="0.25">
      <c r="A286" s="408">
        <v>381</v>
      </c>
      <c r="B286" s="409" t="s">
        <v>329</v>
      </c>
      <c r="C286" s="410" t="s">
        <v>284</v>
      </c>
      <c r="D286" s="411" t="s">
        <v>274</v>
      </c>
      <c r="E286" s="402" t="str">
        <f>IF(VLOOKUP(A286,'Charriage - Geschiebehaushalt'!$A$4:$AC$275,17,FALSE)="","",VLOOKUP(A286,'Charriage - Geschiebehaushalt'!$A$4:$AC$275,17,FALSE))</f>
        <v>21-50%</v>
      </c>
      <c r="F286" s="403" t="str">
        <f>IF(VLOOKUP(A286,'Charriage - Geschiebehaushalt'!$A$4:$AC$275,18,FALSE)="","",VLOOKUP(A286,'Charriage - Geschiebehaushalt'!$A$4:$AC$275,18,FALSE))</f>
        <v>a</v>
      </c>
      <c r="G286" s="330" t="str">
        <f>IF(VLOOKUP(A286,'Débit - Abfluss'!$A$4:$AD$275,8,FALSE)="","",VLOOKUP(A286,'Débit - Abfluss'!$A$4:$AD$275,8,FALSE))</f>
        <v>21-40%</v>
      </c>
      <c r="H286" s="404" t="str">
        <f>IF(VLOOKUP(A286,'Eclusée - Schwall-Sunk'!$A$2:$F$273,6,FALSE)="","",VLOOKUP(A286,'Eclusée - Schwall-Sunk'!$A$2:$F$273,6,FALSE))</f>
        <v>Potentiellement affecté / möglicherweise betroffen</v>
      </c>
      <c r="I286" s="405" t="str">
        <f>IF(VLOOKUP(A286,'Revitalisation-Revitalisierung'!$A$4:$Z$275,13,FALSE)="","",VLOOKUP(A286,'Revitalisation-Revitalisierung'!$A$4:$Z$275,13,FALSE))</f>
        <v>Très nécessaire, difficile / unbedingt nötig, schwierig</v>
      </c>
      <c r="J286" s="406" t="str">
        <f>IF(VLOOKUP(A286,'Revitalisation-Revitalisierung'!$A$4:$Z$275,14,FALSE)="","",VLOOKUP(A286,'Revitalisation-Revitalisierung'!$A$4:$Z$275,14,FALSE))</f>
        <v>a</v>
      </c>
      <c r="K286" s="407"/>
    </row>
    <row r="287" spans="1:11" ht="20.100000000000001" customHeight="1" x14ac:dyDescent="0.25">
      <c r="A287" s="408">
        <v>382</v>
      </c>
      <c r="B287" s="409" t="s">
        <v>330</v>
      </c>
      <c r="C287" s="410" t="s">
        <v>331</v>
      </c>
      <c r="D287" s="411" t="s">
        <v>274</v>
      </c>
      <c r="E287" s="402" t="str">
        <f>IF(VLOOKUP(A287,'Charriage - Geschiebehaushalt'!$A$4:$AC$275,17,FALSE)="","",VLOOKUP(A287,'Charriage - Geschiebehaushalt'!$A$4:$AC$275,17,FALSE))</f>
        <v>0-20%</v>
      </c>
      <c r="F287" s="403" t="str">
        <f>IF(VLOOKUP(A287,'Charriage - Geschiebehaushalt'!$A$4:$AC$275,18,FALSE)="","",VLOOKUP(A287,'Charriage - Geschiebehaushalt'!$A$4:$AC$275,18,FALSE))</f>
        <v>a</v>
      </c>
      <c r="G287" s="330" t="str">
        <f>IF(VLOOKUP(A287,'Débit - Abfluss'!$A$4:$AD$275,8,FALSE)="","",VLOOKUP(A287,'Débit - Abfluss'!$A$4:$AD$275,8,FALSE))</f>
        <v>Régime présumé naturel (100%) / Abfluss vermutlich natürlich</v>
      </c>
      <c r="H287" s="404" t="str">
        <f>IF(VLOOKUP(A287,'Eclusée - Schwall-Sunk'!$A$2:$F$273,6,FALSE)="","",VLOOKUP(A287,'Eclusée - Schwall-Sunk'!$A$2:$F$273,6,FALSE))</f>
        <v>Non affecté / nicht betroffen</v>
      </c>
      <c r="I287" s="405" t="str">
        <f>IF(VLOOKUP(A287,'Revitalisation-Revitalisierung'!$A$4:$Z$275,13,FALSE)="","",VLOOKUP(A287,'Revitalisation-Revitalisierung'!$A$4:$Z$275,13,FALSE))</f>
        <v>Non nécessaire / nicht nötig</v>
      </c>
      <c r="J287" s="406" t="str">
        <f>IF(VLOOKUP(A287,'Revitalisation-Revitalisierung'!$A$4:$Z$275,14,FALSE)="","",VLOOKUP(A287,'Revitalisation-Revitalisierung'!$A$4:$Z$275,14,FALSE))</f>
        <v>a</v>
      </c>
      <c r="K287" s="407"/>
    </row>
    <row r="288" spans="1:11" ht="20.100000000000001" customHeight="1" x14ac:dyDescent="0.25">
      <c r="A288" s="408">
        <v>383</v>
      </c>
      <c r="B288" s="409" t="s">
        <v>332</v>
      </c>
      <c r="C288" s="410" t="s">
        <v>331</v>
      </c>
      <c r="D288" s="411" t="s">
        <v>274</v>
      </c>
      <c r="E288" s="402" t="str">
        <f>IF(VLOOKUP(A288,'Charriage - Geschiebehaushalt'!$A$4:$AC$275,17,FALSE)="","",VLOOKUP(A288,'Charriage - Geschiebehaushalt'!$A$4:$AC$275,17,FALSE))</f>
        <v>0-20%</v>
      </c>
      <c r="F288" s="403" t="str">
        <f>IF(VLOOKUP(A288,'Charriage - Geschiebehaushalt'!$A$4:$AC$275,18,FALSE)="","",VLOOKUP(A288,'Charriage - Geschiebehaushalt'!$A$4:$AC$275,18,FALSE))</f>
        <v>a</v>
      </c>
      <c r="G288" s="330" t="str">
        <f>IF(VLOOKUP(A288,'Débit - Abfluss'!$A$4:$AD$275,8,FALSE)="","",VLOOKUP(A288,'Débit - Abfluss'!$A$4:$AD$275,8,FALSE))</f>
        <v>41-60%</v>
      </c>
      <c r="H288" s="404" t="str">
        <f>IF(VLOOKUP(A288,'Eclusée - Schwall-Sunk'!$A$2:$F$273,6,FALSE)="","",VLOOKUP(A288,'Eclusée - Schwall-Sunk'!$A$2:$F$273,6,FALSE))</f>
        <v>Non affecté / nicht betroffen</v>
      </c>
      <c r="I288" s="405" t="str">
        <f>IF(VLOOKUP(A288,'Revitalisation-Revitalisierung'!$A$4:$Z$275,13,FALSE)="","",VLOOKUP(A288,'Revitalisation-Revitalisierung'!$A$4:$Z$275,13,FALSE))</f>
        <v>Non nécessaire / nicht nötig</v>
      </c>
      <c r="J288" s="406" t="str">
        <f>IF(VLOOKUP(A288,'Revitalisation-Revitalisierung'!$A$4:$Z$275,14,FALSE)="","",VLOOKUP(A288,'Revitalisation-Revitalisierung'!$A$4:$Z$275,14,FALSE))</f>
        <v>a</v>
      </c>
      <c r="K288" s="407"/>
    </row>
    <row r="289" spans="1:11" ht="20.100000000000001" customHeight="1" x14ac:dyDescent="0.25">
      <c r="A289" s="408">
        <v>384</v>
      </c>
      <c r="B289" s="409" t="s">
        <v>333</v>
      </c>
      <c r="C289" s="410" t="s">
        <v>331</v>
      </c>
      <c r="D289" s="411" t="s">
        <v>274</v>
      </c>
      <c r="E289" s="402" t="str">
        <f>IF(VLOOKUP(A289,'Charriage - Geschiebehaushalt'!$A$4:$AC$275,17,FALSE)="","",VLOOKUP(A289,'Charriage - Geschiebehaushalt'!$A$4:$AC$275,17,FALSE))</f>
        <v>0-20%</v>
      </c>
      <c r="F289" s="403" t="str">
        <f>IF(VLOOKUP(A289,'Charriage - Geschiebehaushalt'!$A$4:$AC$275,18,FALSE)="","",VLOOKUP(A289,'Charriage - Geschiebehaushalt'!$A$4:$AC$275,18,FALSE))</f>
        <v>a</v>
      </c>
      <c r="G289" s="330" t="str">
        <f>IF(VLOOKUP(A289,'Débit - Abfluss'!$A$4:$AD$275,8,FALSE)="","",VLOOKUP(A289,'Débit - Abfluss'!$A$4:$AD$275,8,FALSE))</f>
        <v>61-80%</v>
      </c>
      <c r="H289" s="404" t="str">
        <f>IF(VLOOKUP(A289,'Eclusée - Schwall-Sunk'!$A$2:$F$273,6,FALSE)="","",VLOOKUP(A289,'Eclusée - Schwall-Sunk'!$A$2:$F$273,6,FALSE))</f>
        <v>Non affecté / nicht betroffen</v>
      </c>
      <c r="I289" s="405" t="str">
        <f>IF(VLOOKUP(A289,'Revitalisation-Revitalisierung'!$A$4:$Z$275,13,FALSE)="","",VLOOKUP(A289,'Revitalisation-Revitalisierung'!$A$4:$Z$275,13,FALSE))</f>
        <v>Très nécessaire, difficile / unbedingt nötig, schwierig</v>
      </c>
      <c r="J289" s="406" t="str">
        <f>IF(VLOOKUP(A289,'Revitalisation-Revitalisierung'!$A$4:$Z$275,14,FALSE)="","",VLOOKUP(A289,'Revitalisation-Revitalisierung'!$A$4:$Z$275,14,FALSE))</f>
        <v>b</v>
      </c>
      <c r="K289" s="407"/>
    </row>
    <row r="290" spans="1:11" ht="20.100000000000001" customHeight="1" x14ac:dyDescent="0.25">
      <c r="A290" s="408">
        <v>385</v>
      </c>
      <c r="B290" s="409" t="s">
        <v>334</v>
      </c>
      <c r="C290" s="410" t="s">
        <v>335</v>
      </c>
      <c r="D290" s="411" t="s">
        <v>274</v>
      </c>
      <c r="E290" s="402" t="str">
        <f>IF(VLOOKUP(A290,'Charriage - Geschiebehaushalt'!$A$4:$AC$275,17,FALSE)="","",VLOOKUP(A290,'Charriage - Geschiebehaushalt'!$A$4:$AC$275,17,FALSE))</f>
        <v>0-20%</v>
      </c>
      <c r="F290" s="403" t="str">
        <f>IF(VLOOKUP(A290,'Charriage - Geschiebehaushalt'!$A$4:$AC$275,18,FALSE)="","",VLOOKUP(A290,'Charriage - Geschiebehaushalt'!$A$4:$AC$275,18,FALSE))</f>
        <v>a</v>
      </c>
      <c r="G290" s="330" t="str">
        <f>IF(VLOOKUP(A290,'Débit - Abfluss'!$A$4:$AD$275,8,FALSE)="","",VLOOKUP(A290,'Débit - Abfluss'!$A$4:$AD$275,8,FALSE))</f>
        <v>81-100%</v>
      </c>
      <c r="H290" s="404" t="str">
        <f>IF(VLOOKUP(A290,'Eclusée - Schwall-Sunk'!$A$2:$F$273,6,FALSE)="","",VLOOKUP(A290,'Eclusée - Schwall-Sunk'!$A$2:$F$273,6,FALSE))</f>
        <v>Potentiellement affecté / möglicherweise betroffen</v>
      </c>
      <c r="I290" s="405" t="str">
        <f>IF(VLOOKUP(A290,'Revitalisation-Revitalisierung'!$A$4:$Z$275,13,FALSE)="","",VLOOKUP(A290,'Revitalisation-Revitalisierung'!$A$4:$Z$275,13,FALSE))</f>
        <v>Partiellement nécessaire, difficile / teilweise nötig, schwierig</v>
      </c>
      <c r="J290" s="406" t="str">
        <f>IF(VLOOKUP(A290,'Revitalisation-Revitalisierung'!$A$4:$Z$275,14,FALSE)="","",VLOOKUP(A290,'Revitalisation-Revitalisierung'!$A$4:$Z$275,14,FALSE))</f>
        <v>b</v>
      </c>
      <c r="K290" s="407"/>
    </row>
    <row r="291" spans="1:11" ht="20.100000000000001" customHeight="1" x14ac:dyDescent="0.25">
      <c r="A291" s="408">
        <v>386</v>
      </c>
      <c r="B291" s="409" t="s">
        <v>336</v>
      </c>
      <c r="C291" s="410" t="s">
        <v>337</v>
      </c>
      <c r="D291" s="411" t="s">
        <v>274</v>
      </c>
      <c r="E291" s="402" t="str">
        <f>IF(VLOOKUP(A291,'Charriage - Geschiebehaushalt'!$A$4:$AC$275,17,FALSE)="","",VLOOKUP(A291,'Charriage - Geschiebehaushalt'!$A$4:$AC$275,17,FALSE))</f>
        <v>0-20%</v>
      </c>
      <c r="F291" s="403" t="str">
        <f>IF(VLOOKUP(A291,'Charriage - Geschiebehaushalt'!$A$4:$AC$275,18,FALSE)="","",VLOOKUP(A291,'Charriage - Geschiebehaushalt'!$A$4:$AC$275,18,FALSE))</f>
        <v>a</v>
      </c>
      <c r="G291" s="330" t="str">
        <f>IF(VLOOKUP(A291,'Débit - Abfluss'!$A$4:$AD$275,8,FALSE)="","",VLOOKUP(A291,'Débit - Abfluss'!$A$4:$AD$275,8,FALSE))</f>
        <v>0-20%</v>
      </c>
      <c r="H291" s="404" t="str">
        <f>IF(VLOOKUP(A291,'Eclusée - Schwall-Sunk'!$A$2:$F$273,6,FALSE)="","",VLOOKUP(A291,'Eclusée - Schwall-Sunk'!$A$2:$F$273,6,FALSE))</f>
        <v>Non affecté / nicht betroffen</v>
      </c>
      <c r="I291" s="405" t="str">
        <f>IF(VLOOKUP(A291,'Revitalisation-Revitalisierung'!$A$4:$Z$275,13,FALSE)="","",VLOOKUP(A291,'Revitalisation-Revitalisierung'!$A$4:$Z$275,13,FALSE))</f>
        <v>Non nécessaire / nicht nötig</v>
      </c>
      <c r="J291" s="406" t="str">
        <f>IF(VLOOKUP(A291,'Revitalisation-Revitalisierung'!$A$4:$Z$275,14,FALSE)="","",VLOOKUP(A291,'Revitalisation-Revitalisierung'!$A$4:$Z$275,14,FALSE))</f>
        <v>a</v>
      </c>
      <c r="K291" s="407"/>
    </row>
    <row r="292" spans="1:11" ht="20.100000000000001" customHeight="1" x14ac:dyDescent="0.25">
      <c r="A292" s="408">
        <v>387</v>
      </c>
      <c r="B292" s="409" t="s">
        <v>338</v>
      </c>
      <c r="C292" s="410" t="s">
        <v>337</v>
      </c>
      <c r="D292" s="411" t="s">
        <v>274</v>
      </c>
      <c r="E292" s="402" t="str">
        <f>IF(VLOOKUP(A292,'Charriage - Geschiebehaushalt'!$A$4:$AC$275,17,FALSE)="","",VLOOKUP(A292,'Charriage - Geschiebehaushalt'!$A$4:$AC$275,17,FALSE))</f>
        <v>0-20%</v>
      </c>
      <c r="F292" s="403" t="str">
        <f>IF(VLOOKUP(A292,'Charriage - Geschiebehaushalt'!$A$4:$AC$275,18,FALSE)="","",VLOOKUP(A292,'Charriage - Geschiebehaushalt'!$A$4:$AC$275,18,FALSE))</f>
        <v>a</v>
      </c>
      <c r="G292" s="330" t="str">
        <f>IF(VLOOKUP(A292,'Débit - Abfluss'!$A$4:$AD$275,8,FALSE)="","",VLOOKUP(A292,'Débit - Abfluss'!$A$4:$AD$275,8,FALSE))</f>
        <v>0-20%</v>
      </c>
      <c r="H292" s="404" t="str">
        <f>IF(VLOOKUP(A292,'Eclusée - Schwall-Sunk'!$A$2:$F$273,6,FALSE)="","",VLOOKUP(A292,'Eclusée - Schwall-Sunk'!$A$2:$F$273,6,FALSE))</f>
        <v>Non affecté / nicht betroffen</v>
      </c>
      <c r="I292" s="405" t="str">
        <f>IF(VLOOKUP(A292,'Revitalisation-Revitalisierung'!$A$4:$Z$275,13,FALSE)="","",VLOOKUP(A292,'Revitalisation-Revitalisierung'!$A$4:$Z$275,13,FALSE))</f>
        <v>Non nécessaire / nicht nötig</v>
      </c>
      <c r="J292" s="406" t="str">
        <f>IF(VLOOKUP(A292,'Revitalisation-Revitalisierung'!$A$4:$Z$275,14,FALSE)="","",VLOOKUP(A292,'Revitalisation-Revitalisierung'!$A$4:$Z$275,14,FALSE))</f>
        <v>a</v>
      </c>
      <c r="K292" s="407"/>
    </row>
    <row r="293" spans="1:11" ht="20.100000000000001" customHeight="1" x14ac:dyDescent="0.25">
      <c r="A293" s="408">
        <v>388</v>
      </c>
      <c r="B293" s="409" t="s">
        <v>339</v>
      </c>
      <c r="C293" s="410" t="s">
        <v>340</v>
      </c>
      <c r="D293" s="411" t="s">
        <v>274</v>
      </c>
      <c r="E293" s="402" t="str">
        <f>IF(VLOOKUP(A293,'Charriage - Geschiebehaushalt'!$A$4:$AC$275,17,FALSE)="","",VLOOKUP(A293,'Charriage - Geschiebehaushalt'!$A$4:$AC$275,17,FALSE))</f>
        <v>0-20%</v>
      </c>
      <c r="F293" s="403" t="str">
        <f>IF(VLOOKUP(A293,'Charriage - Geschiebehaushalt'!$A$4:$AC$275,18,FALSE)="","",VLOOKUP(A293,'Charriage - Geschiebehaushalt'!$A$4:$AC$275,18,FALSE))</f>
        <v>a</v>
      </c>
      <c r="G293" s="330" t="str">
        <f>IF(VLOOKUP(A293,'Débit - Abfluss'!$A$4:$AD$275,8,FALSE)="","",VLOOKUP(A293,'Débit - Abfluss'!$A$4:$AD$275,8,FALSE))</f>
        <v>21-40%</v>
      </c>
      <c r="H293" s="404" t="str">
        <f>IF(VLOOKUP(A293,'Eclusée - Schwall-Sunk'!$A$2:$F$273,6,FALSE)="","",VLOOKUP(A293,'Eclusée - Schwall-Sunk'!$A$2:$F$273,6,FALSE))</f>
        <v>Potentiellement affecté / möglicherweise betroffen</v>
      </c>
      <c r="I293" s="405" t="str">
        <f>IF(VLOOKUP(A293,'Revitalisation-Revitalisierung'!$A$4:$Z$275,13,FALSE)="","",VLOOKUP(A293,'Revitalisation-Revitalisierung'!$A$4:$Z$275,13,FALSE))</f>
        <v>Non nécessaire / nicht nötig</v>
      </c>
      <c r="J293" s="406" t="str">
        <f>IF(VLOOKUP(A293,'Revitalisation-Revitalisierung'!$A$4:$Z$275,14,FALSE)="","",VLOOKUP(A293,'Revitalisation-Revitalisierung'!$A$4:$Z$275,14,FALSE))</f>
        <v>a</v>
      </c>
      <c r="K293" s="407"/>
    </row>
    <row r="294" spans="1:11" ht="20.100000000000001" customHeight="1" x14ac:dyDescent="0.25">
      <c r="A294" s="408">
        <v>389</v>
      </c>
      <c r="B294" s="409" t="s">
        <v>341</v>
      </c>
      <c r="C294" s="410" t="s">
        <v>342</v>
      </c>
      <c r="D294" s="411" t="s">
        <v>274</v>
      </c>
      <c r="E294" s="402" t="str">
        <f>IF(VLOOKUP(A294,'Charriage - Geschiebehaushalt'!$A$4:$AC$275,17,FALSE)="","",VLOOKUP(A294,'Charriage - Geschiebehaushalt'!$A$4:$AC$275,17,FALSE))</f>
        <v>0-20%</v>
      </c>
      <c r="F294" s="403" t="str">
        <f>IF(VLOOKUP(A294,'Charriage - Geschiebehaushalt'!$A$4:$AC$275,18,FALSE)="","",VLOOKUP(A294,'Charriage - Geschiebehaushalt'!$A$4:$AC$275,18,FALSE))</f>
        <v>a</v>
      </c>
      <c r="G294" s="330" t="str">
        <f>IF(VLOOKUP(A294,'Débit - Abfluss'!$A$4:$AD$275,8,FALSE)="","",VLOOKUP(A294,'Débit - Abfluss'!$A$4:$AD$275,8,FALSE))</f>
        <v>41-60%</v>
      </c>
      <c r="H294" s="404" t="str">
        <f>IF(VLOOKUP(A294,'Eclusée - Schwall-Sunk'!$A$2:$F$273,6,FALSE)="","",VLOOKUP(A294,'Eclusée - Schwall-Sunk'!$A$2:$F$273,6,FALSE))</f>
        <v>Potentiellement affecté / möglicherweise betroffen</v>
      </c>
      <c r="I294" s="405" t="str">
        <f>IF(VLOOKUP(A294,'Revitalisation-Revitalisierung'!$A$4:$Z$275,13,FALSE)="","",VLOOKUP(A294,'Revitalisation-Revitalisierung'!$A$4:$Z$275,13,FALSE))</f>
        <v>Partiellement nécessaire, facile / teilweise nötig, einfach</v>
      </c>
      <c r="J294" s="406" t="str">
        <f>IF(VLOOKUP(A294,'Revitalisation-Revitalisierung'!$A$4:$Z$275,14,FALSE)="","",VLOOKUP(A294,'Revitalisation-Revitalisierung'!$A$4:$Z$275,14,FALSE))</f>
        <v>b</v>
      </c>
      <c r="K294" s="407"/>
    </row>
    <row r="295" spans="1:11" ht="20.100000000000001" customHeight="1" x14ac:dyDescent="0.25">
      <c r="A295" s="408">
        <v>390</v>
      </c>
      <c r="B295" s="409" t="s">
        <v>343</v>
      </c>
      <c r="C295" s="410" t="s">
        <v>344</v>
      </c>
      <c r="D295" s="411" t="s">
        <v>274</v>
      </c>
      <c r="E295" s="402" t="str">
        <f>IF(VLOOKUP(A295,'Charriage - Geschiebehaushalt'!$A$4:$AC$275,17,FALSE)="","",VLOOKUP(A295,'Charriage - Geschiebehaushalt'!$A$4:$AC$275,17,FALSE))</f>
        <v>Déficit non apparent en charriage ou en remobilisation des sédiments / kein sichtbares Defizit beim Geschiebehaushalt bzw. bei der Mobilisierung von Geschiebe</v>
      </c>
      <c r="F295" s="403" t="str">
        <f>IF(VLOOKUP(A295,'Charriage - Geschiebehaushalt'!$A$4:$AC$275,18,FALSE)="","",VLOOKUP(A295,'Charriage - Geschiebehaushalt'!$A$4:$AC$275,18,FALSE))</f>
        <v>b</v>
      </c>
      <c r="G295" s="330" t="str">
        <f>IF(VLOOKUP(A295,'Débit - Abfluss'!$A$4:$AD$275,8,FALSE)="","",VLOOKUP(A295,'Débit - Abfluss'!$A$4:$AD$275,8,FALSE))</f>
        <v>Régime présumé naturel (100%) / Abfluss vermutlich natürlich</v>
      </c>
      <c r="H295" s="404" t="str">
        <f>IF(VLOOKUP(A295,'Eclusée - Schwall-Sunk'!$A$2:$F$273,6,FALSE)="","",VLOOKUP(A295,'Eclusée - Schwall-Sunk'!$A$2:$F$273,6,FALSE))</f>
        <v>Non affecté / nicht betroffen</v>
      </c>
      <c r="I295" s="405" t="str">
        <f>IF(VLOOKUP(A295,'Revitalisation-Revitalisierung'!$A$4:$Z$275,13,FALSE)="","",VLOOKUP(A295,'Revitalisation-Revitalisierung'!$A$4:$Z$275,13,FALSE))</f>
        <v>Non nécessaire / nicht nötig</v>
      </c>
      <c r="J295" s="406" t="str">
        <f>IF(VLOOKUP(A295,'Revitalisation-Revitalisierung'!$A$4:$Z$275,14,FALSE)="","",VLOOKUP(A295,'Revitalisation-Revitalisierung'!$A$4:$Z$275,14,FALSE))</f>
        <v>a</v>
      </c>
      <c r="K295" s="407"/>
    </row>
    <row r="296" spans="1:11" ht="20.100000000000001" customHeight="1" x14ac:dyDescent="0.25">
      <c r="A296" s="408">
        <v>391</v>
      </c>
      <c r="B296" s="409" t="s">
        <v>345</v>
      </c>
      <c r="C296" s="410" t="s">
        <v>346</v>
      </c>
      <c r="D296" s="411" t="s">
        <v>274</v>
      </c>
      <c r="E296" s="402" t="str">
        <f>IF(VLOOKUP(A296,'Charriage - Geschiebehaushalt'!$A$4:$AC$275,17,FALSE)="","",VLOOKUP(A296,'Charriage - Geschiebehaushalt'!$A$4:$AC$275,17,FALSE))</f>
        <v>La remobilisation des sédiments est perturbée / Mobilisierung von Geschiebe beeinträchtigt</v>
      </c>
      <c r="F296" s="403" t="str">
        <f>IF(VLOOKUP(A296,'Charriage - Geschiebehaushalt'!$A$4:$AC$275,18,FALSE)="","",VLOOKUP(A296,'Charriage - Geschiebehaushalt'!$A$4:$AC$275,18,FALSE))</f>
        <v>b</v>
      </c>
      <c r="G296" s="330" t="str">
        <f>IF(VLOOKUP(A296,'Débit - Abfluss'!$A$4:$AD$275,8,FALSE)="","",VLOOKUP(A296,'Débit - Abfluss'!$A$4:$AD$275,8,FALSE))</f>
        <v>21-40%</v>
      </c>
      <c r="H296" s="404" t="str">
        <f>IF(VLOOKUP(A296,'Eclusée - Schwall-Sunk'!$A$2:$F$273,6,FALSE)="","",VLOOKUP(A296,'Eclusée - Schwall-Sunk'!$A$2:$F$273,6,FALSE))</f>
        <v>Non affecté / nicht betroffen</v>
      </c>
      <c r="I296" s="405" t="str">
        <f>IF(VLOOKUP(A296,'Revitalisation-Revitalisierung'!$A$4:$Z$275,13,FALSE)="","",VLOOKUP(A296,'Revitalisation-Revitalisierung'!$A$4:$Z$275,13,FALSE))</f>
        <v>Partiellement nécessaire, difficile / teilweise nötig, schwierig</v>
      </c>
      <c r="J296" s="406" t="str">
        <f>IF(VLOOKUP(A296,'Revitalisation-Revitalisierung'!$A$4:$Z$275,14,FALSE)="","",VLOOKUP(A296,'Revitalisation-Revitalisierung'!$A$4:$Z$275,14,FALSE))</f>
        <v>b</v>
      </c>
      <c r="K296" s="407"/>
    </row>
    <row r="297" spans="1:11" ht="20.100000000000001" customHeight="1" x14ac:dyDescent="0.25">
      <c r="A297" s="408">
        <v>392</v>
      </c>
      <c r="B297" s="409" t="s">
        <v>347</v>
      </c>
      <c r="C297" s="410" t="s">
        <v>348</v>
      </c>
      <c r="D297" s="411" t="s">
        <v>274</v>
      </c>
      <c r="E297" s="402" t="str">
        <f>IF(VLOOKUP(A297,'Charriage - Geschiebehaushalt'!$A$4:$AC$275,17,FALSE)="","",VLOOKUP(A297,'Charriage - Geschiebehaushalt'!$A$4:$AC$275,17,FALSE))</f>
        <v>0-20%</v>
      </c>
      <c r="F297" s="403" t="str">
        <f>IF(VLOOKUP(A297,'Charriage - Geschiebehaushalt'!$A$4:$AC$275,18,FALSE)="","",VLOOKUP(A297,'Charriage - Geschiebehaushalt'!$A$4:$AC$275,18,FALSE))</f>
        <v>a</v>
      </c>
      <c r="G297" s="330" t="str">
        <f>IF(VLOOKUP(A297,'Débit - Abfluss'!$A$4:$AD$275,8,FALSE)="","",VLOOKUP(A297,'Débit - Abfluss'!$A$4:$AD$275,8,FALSE))</f>
        <v>0-20%</v>
      </c>
      <c r="H297" s="404" t="str">
        <f>IF(VLOOKUP(A297,'Eclusée - Schwall-Sunk'!$A$2:$F$273,6,FALSE)="","",VLOOKUP(A297,'Eclusée - Schwall-Sunk'!$A$2:$F$273,6,FALSE))</f>
        <v>Potentiellement affecté / möglicherweise betroffen</v>
      </c>
      <c r="I297" s="405" t="str">
        <f>IF(VLOOKUP(A297,'Revitalisation-Revitalisierung'!$A$4:$Z$275,13,FALSE)="","",VLOOKUP(A297,'Revitalisation-Revitalisierung'!$A$4:$Z$275,13,FALSE))</f>
        <v>Partiellement nécessaire, difficile / teilweise nötig, schwierig</v>
      </c>
      <c r="J297" s="406" t="str">
        <f>IF(VLOOKUP(A297,'Revitalisation-Revitalisierung'!$A$4:$Z$275,14,FALSE)="","",VLOOKUP(A297,'Revitalisation-Revitalisierung'!$A$4:$Z$275,14,FALSE))</f>
        <v>b</v>
      </c>
      <c r="K297" s="407"/>
    </row>
    <row r="298" spans="1:11" ht="20.100000000000001" customHeight="1" x14ac:dyDescent="0.25">
      <c r="A298" s="399">
        <v>393</v>
      </c>
      <c r="B298" s="400" t="s">
        <v>349</v>
      </c>
      <c r="C298" s="400" t="s">
        <v>350</v>
      </c>
      <c r="D298" s="401" t="s">
        <v>274</v>
      </c>
      <c r="E298" s="402" t="str">
        <f>IF(VLOOKUP(A298,'Charriage - Geschiebehaushalt'!$A$4:$AC$275,17,FALSE)="","",VLOOKUP(A298,'Charriage - Geschiebehaushalt'!$A$4:$AC$275,17,FALSE))</f>
        <v>Déficit non apparent en charriage ou en remobilisation des sédiments / kein sichtbares Defizit beim Geschiebehaushalt bzw. bei der Mobilisierung von Geschiebe</v>
      </c>
      <c r="F298" s="403" t="str">
        <f>IF(VLOOKUP(A298,'Charriage - Geschiebehaushalt'!$A$4:$AC$275,18,FALSE)="","",VLOOKUP(A298,'Charriage - Geschiebehaushalt'!$A$4:$AC$275,18,FALSE))</f>
        <v>b</v>
      </c>
      <c r="G298" s="330" t="str">
        <f>IF(VLOOKUP(A298,'Débit - Abfluss'!$A$4:$AD$275,8,FALSE)="","",VLOOKUP(A298,'Débit - Abfluss'!$A$4:$AD$275,8,FALSE))</f>
        <v>100%</v>
      </c>
      <c r="H298" s="404" t="str">
        <f>IF(VLOOKUP(A298,'Eclusée - Schwall-Sunk'!$A$2:$F$273,6,FALSE)="","",VLOOKUP(A298,'Eclusée - Schwall-Sunk'!$A$2:$F$273,6,FALSE))</f>
        <v>Non affecté / nicht betroffen</v>
      </c>
      <c r="I298" s="405" t="str">
        <f>IF(VLOOKUP(A298,'Revitalisation-Revitalisierung'!$A$4:$Z$275,13,FALSE)="","",VLOOKUP(A298,'Revitalisation-Revitalisierung'!$A$4:$Z$275,13,FALSE))</f>
        <v>Non nécessaire / nicht nötig</v>
      </c>
      <c r="J298" s="406" t="str">
        <f>IF(VLOOKUP(A298,'Revitalisation-Revitalisierung'!$A$4:$Z$275,14,FALSE)="","",VLOOKUP(A298,'Revitalisation-Revitalisierung'!$A$4:$Z$275,14,FALSE))</f>
        <v>a</v>
      </c>
      <c r="K298" s="407"/>
    </row>
    <row r="299" spans="1:11" ht="20.100000000000001" customHeight="1" x14ac:dyDescent="0.25">
      <c r="A299" s="399">
        <v>394</v>
      </c>
      <c r="B299" s="400" t="s">
        <v>351</v>
      </c>
      <c r="C299" s="400" t="s">
        <v>351</v>
      </c>
      <c r="D299" s="401" t="s">
        <v>274</v>
      </c>
      <c r="E299" s="402" t="str">
        <f>IF(VLOOKUP(A299,'Charriage - Geschiebehaushalt'!$A$4:$AC$275,17,FALSE)="","",VLOOKUP(A299,'Charriage - Geschiebehaushalt'!$A$4:$AC$275,17,FALSE))</f>
        <v>La remobilisation des sédiments est perturbée / Mobilisierung von Geschiebe beeinträchtigt</v>
      </c>
      <c r="F299" s="403" t="str">
        <f>IF(VLOOKUP(A299,'Charriage - Geschiebehaushalt'!$A$4:$AC$275,18,FALSE)="","",VLOOKUP(A299,'Charriage - Geschiebehaushalt'!$A$4:$AC$275,18,FALSE))</f>
        <v>b</v>
      </c>
      <c r="G299" s="330" t="str">
        <f>IF(VLOOKUP(A299,'Débit - Abfluss'!$A$4:$AD$275,8,FALSE)="","",VLOOKUP(A299,'Débit - Abfluss'!$A$4:$AD$275,8,FALSE))</f>
        <v>0-20%</v>
      </c>
      <c r="H299" s="404" t="str">
        <f>IF(VLOOKUP(A299,'Eclusée - Schwall-Sunk'!$A$2:$F$273,6,FALSE)="","",VLOOKUP(A299,'Eclusée - Schwall-Sunk'!$A$2:$F$273,6,FALSE))</f>
        <v>Non affecté / nicht betroffen</v>
      </c>
      <c r="I299" s="405" t="str">
        <f>IF(VLOOKUP(A299,'Revitalisation-Revitalisierung'!$A$4:$Z$275,13,FALSE)="","",VLOOKUP(A299,'Revitalisation-Revitalisierung'!$A$4:$Z$275,13,FALSE))</f>
        <v>Très nécessaire, facile / unbedingt nötig, einfach</v>
      </c>
      <c r="J299" s="406" t="str">
        <f>IF(VLOOKUP(A299,'Revitalisation-Revitalisierung'!$A$4:$Z$275,14,FALSE)="","",VLOOKUP(A299,'Revitalisation-Revitalisierung'!$A$4:$Z$275,14,FALSE))</f>
        <v>a</v>
      </c>
      <c r="K299" s="407"/>
    </row>
    <row r="300" spans="1:11" ht="20.100000000000001" customHeight="1" x14ac:dyDescent="0.25">
      <c r="A300" s="408">
        <v>395</v>
      </c>
      <c r="B300" s="409" t="s">
        <v>352</v>
      </c>
      <c r="C300" s="410" t="s">
        <v>353</v>
      </c>
      <c r="D300" s="411" t="s">
        <v>274</v>
      </c>
      <c r="E300" s="402" t="str">
        <f>IF(VLOOKUP(A300,'Charriage - Geschiebehaushalt'!$A$4:$AC$275,17,FALSE)="","",VLOOKUP(A300,'Charriage - Geschiebehaushalt'!$A$4:$AC$275,17,FALSE))</f>
        <v>Charriage présumé naturel / Geschiebehaushalt vermutlich natürlich</v>
      </c>
      <c r="F300" s="403" t="str">
        <f>IF(VLOOKUP(A300,'Charriage - Geschiebehaushalt'!$A$4:$AC$275,18,FALSE)="","",VLOOKUP(A300,'Charriage - Geschiebehaushalt'!$A$4:$AC$275,18,FALSE))</f>
        <v>b</v>
      </c>
      <c r="G300" s="330" t="str">
        <f>IF(VLOOKUP(A300,'Débit - Abfluss'!$A$4:$AD$275,8,FALSE)="","",VLOOKUP(A300,'Débit - Abfluss'!$A$4:$AD$275,8,FALSE))</f>
        <v>0-20%</v>
      </c>
      <c r="H300" s="404" t="str">
        <f>IF(VLOOKUP(A300,'Eclusée - Schwall-Sunk'!$A$2:$F$273,6,FALSE)="","",VLOOKUP(A300,'Eclusée - Schwall-Sunk'!$A$2:$F$273,6,FALSE))</f>
        <v>Non affecté / nicht betroffen</v>
      </c>
      <c r="I300" s="405" t="str">
        <f>IF(VLOOKUP(A300,'Revitalisation-Revitalisierung'!$A$4:$Z$275,13,FALSE)="","",VLOOKUP(A300,'Revitalisation-Revitalisierung'!$A$4:$Z$275,13,FALSE))</f>
        <v>Non nécessaire / nicht nötig</v>
      </c>
      <c r="J300" s="406" t="str">
        <f>IF(VLOOKUP(A300,'Revitalisation-Revitalisierung'!$A$4:$Z$275,14,FALSE)="","",VLOOKUP(A300,'Revitalisation-Revitalisierung'!$A$4:$Z$275,14,FALSE))</f>
        <v>a</v>
      </c>
      <c r="K300" s="407"/>
    </row>
    <row r="301" spans="1:11" ht="20.100000000000001" customHeight="1" x14ac:dyDescent="0.25">
      <c r="A301" s="399">
        <v>396</v>
      </c>
      <c r="B301" s="400" t="s">
        <v>354</v>
      </c>
      <c r="C301" s="400" t="s">
        <v>354</v>
      </c>
      <c r="D301" s="401" t="s">
        <v>274</v>
      </c>
      <c r="E301" s="402" t="str">
        <f>IF(VLOOKUP(A301,'Charriage - Geschiebehaushalt'!$A$4:$AC$275,17,FALSE)="","",VLOOKUP(A301,'Charriage - Geschiebehaushalt'!$A$4:$AC$275,17,FALSE))</f>
        <v>Charriage présumé naturel / Geschiebehaushalt vermutlich natürlich</v>
      </c>
      <c r="F301" s="403" t="str">
        <f>IF(VLOOKUP(A301,'Charriage - Geschiebehaushalt'!$A$4:$AC$275,18,FALSE)="","",VLOOKUP(A301,'Charriage - Geschiebehaushalt'!$A$4:$AC$275,18,FALSE))</f>
        <v>b</v>
      </c>
      <c r="G301" s="330" t="str">
        <f>IF(VLOOKUP(A301,'Débit - Abfluss'!$A$4:$AD$275,8,FALSE)="","",VLOOKUP(A301,'Débit - Abfluss'!$A$4:$AD$275,8,FALSE))</f>
        <v>100%</v>
      </c>
      <c r="H301" s="404" t="str">
        <f>IF(VLOOKUP(A301,'Eclusée - Schwall-Sunk'!$A$2:$F$273,6,FALSE)="","",VLOOKUP(A301,'Eclusée - Schwall-Sunk'!$A$2:$F$273,6,FALSE))</f>
        <v>Non affecté / nicht betroffen</v>
      </c>
      <c r="I301" s="405" t="str">
        <f>IF(VLOOKUP(A301,'Revitalisation-Revitalisierung'!$A$4:$Z$275,13,FALSE)="","",VLOOKUP(A301,'Revitalisation-Revitalisierung'!$A$4:$Z$275,13,FALSE))</f>
        <v>Non nécessaire / nicht nötig</v>
      </c>
      <c r="J301" s="406" t="str">
        <f>IF(VLOOKUP(A301,'Revitalisation-Revitalisierung'!$A$4:$Z$275,14,FALSE)="","",VLOOKUP(A301,'Revitalisation-Revitalisierung'!$A$4:$Z$275,14,FALSE))</f>
        <v>a</v>
      </c>
      <c r="K301" s="407"/>
    </row>
    <row r="302" spans="1:11" ht="20.100000000000001" customHeight="1" x14ac:dyDescent="0.25">
      <c r="A302" s="408">
        <v>397</v>
      </c>
      <c r="B302" s="409" t="s">
        <v>356</v>
      </c>
      <c r="C302" s="410" t="s">
        <v>357</v>
      </c>
      <c r="D302" s="411" t="s">
        <v>274</v>
      </c>
      <c r="E302" s="402" t="str">
        <f>IF(VLOOKUP(A302,'Charriage - Geschiebehaushalt'!$A$4:$AC$275,17,FALSE)="","",VLOOKUP(A302,'Charriage - Geschiebehaushalt'!$A$4:$AC$275,17,FALSE))</f>
        <v>Charriage présumé naturel / Geschiebehaushalt vermutlich natürlich</v>
      </c>
      <c r="F302" s="403" t="str">
        <f>IF(VLOOKUP(A302,'Charriage - Geschiebehaushalt'!$A$4:$AC$275,18,FALSE)="","",VLOOKUP(A302,'Charriage - Geschiebehaushalt'!$A$4:$AC$275,18,FALSE))</f>
        <v>b</v>
      </c>
      <c r="G302" s="330" t="str">
        <f>IF(VLOOKUP(A302,'Débit - Abfluss'!$A$4:$AD$275,8,FALSE)="","",VLOOKUP(A302,'Débit - Abfluss'!$A$4:$AD$275,8,FALSE))</f>
        <v>Régime présumé naturel (100%) / Abfluss vermutlich natürlich</v>
      </c>
      <c r="H302" s="404" t="str">
        <f>IF(VLOOKUP(A302,'Eclusée - Schwall-Sunk'!$A$2:$F$273,6,FALSE)="","",VLOOKUP(A302,'Eclusée - Schwall-Sunk'!$A$2:$F$273,6,FALSE))</f>
        <v>Non affecté / nicht betroffen</v>
      </c>
      <c r="I302" s="405" t="str">
        <f>IF(VLOOKUP(A302,'Revitalisation-Revitalisierung'!$A$4:$Z$275,13,FALSE)="","",VLOOKUP(A302,'Revitalisation-Revitalisierung'!$A$4:$Z$275,13,FALSE))</f>
        <v>Non nécessaire / nicht nötig</v>
      </c>
      <c r="J302" s="406" t="str">
        <f>IF(VLOOKUP(A302,'Revitalisation-Revitalisierung'!$A$4:$Z$275,14,FALSE)="","",VLOOKUP(A302,'Revitalisation-Revitalisierung'!$A$4:$Z$275,14,FALSE))</f>
        <v>b</v>
      </c>
      <c r="K302" s="407"/>
    </row>
    <row r="303" spans="1:11" ht="20.100000000000001" customHeight="1" x14ac:dyDescent="0.25">
      <c r="A303" s="408">
        <v>398</v>
      </c>
      <c r="B303" s="409" t="s">
        <v>550</v>
      </c>
      <c r="C303" s="410" t="s">
        <v>484</v>
      </c>
      <c r="D303" s="411" t="s">
        <v>482</v>
      </c>
      <c r="E303" s="402" t="str">
        <f>IF(VLOOKUP(A303,'Charriage - Geschiebehaushalt'!$A$4:$AC$275,17,FALSE)="","",VLOOKUP(A303,'Charriage - Geschiebehaushalt'!$A$4:$AC$275,17,FALSE))</f>
        <v>La remobilisation des sédiments est perturbée / Mobilisierung von Geschiebe beeinträchtigt</v>
      </c>
      <c r="F303" s="403" t="str">
        <f>IF(VLOOKUP(A303,'Charriage - Geschiebehaushalt'!$A$4:$AC$275,18,FALSE)="","",VLOOKUP(A303,'Charriage - Geschiebehaushalt'!$A$4:$AC$275,18,FALSE))</f>
        <v>b</v>
      </c>
      <c r="G303" s="330" t="str">
        <f>IF(VLOOKUP(A303,'Débit - Abfluss'!$A$4:$AD$275,8,FALSE)="","",VLOOKUP(A303,'Débit - Abfluss'!$A$4:$AD$275,8,FALSE))</f>
        <v>81-100%</v>
      </c>
      <c r="H303" s="404" t="str">
        <f>IF(VLOOKUP(A303,'Eclusée - Schwall-Sunk'!$A$2:$F$273,6,FALSE)="","",VLOOKUP(A303,'Eclusée - Schwall-Sunk'!$A$2:$F$273,6,FALSE))</f>
        <v>Potentiellement affecté / möglicherweise betroffen</v>
      </c>
      <c r="I303" s="405" t="str">
        <f>IF(VLOOKUP(A303,'Revitalisation-Revitalisierung'!$A$4:$Z$275,13,FALSE)="","",VLOOKUP(A303,'Revitalisation-Revitalisierung'!$A$4:$Z$275,13,FALSE))</f>
        <v>Très nécessaire, facile / unbedingt nötig, einfach</v>
      </c>
      <c r="J303" s="406" t="str">
        <f>IF(VLOOKUP(A303,'Revitalisation-Revitalisierung'!$A$4:$Z$275,14,FALSE)="","",VLOOKUP(A303,'Revitalisation-Revitalisierung'!$A$4:$Z$275,14,FALSE))</f>
        <v>a</v>
      </c>
      <c r="K303" s="407"/>
    </row>
    <row r="304" spans="1:11" ht="20.100000000000001" customHeight="1" x14ac:dyDescent="0.25">
      <c r="A304" s="414">
        <v>399</v>
      </c>
      <c r="B304" s="409" t="s">
        <v>372</v>
      </c>
      <c r="C304" s="410" t="s">
        <v>363</v>
      </c>
      <c r="D304" s="411" t="s">
        <v>361</v>
      </c>
      <c r="E304" s="402" t="str">
        <f>IF(VLOOKUP(A304,'Charriage - Geschiebehaushalt'!$A$4:$AC$275,17,FALSE)="","",VLOOKUP(A304,'Charriage - Geschiebehaushalt'!$A$4:$AC$275,17,FALSE))</f>
        <v>Charriage présumé perturbé / Geschiebehaushalt vermutlich beeinträchtigt</v>
      </c>
      <c r="F304" s="403" t="str">
        <f>IF(VLOOKUP(A304,'Charriage - Geschiebehaushalt'!$A$4:$AC$275,18,FALSE)="","",VLOOKUP(A304,'Charriage - Geschiebehaushalt'!$A$4:$AC$275,18,FALSE))</f>
        <v>b</v>
      </c>
      <c r="G304" s="330" t="str">
        <f>IF(VLOOKUP(A304,'Débit - Abfluss'!$A$4:$AD$275,8,FALSE)="","",VLOOKUP(A304,'Débit - Abfluss'!$A$4:$AD$275,8,FALSE))</f>
        <v>81-100%</v>
      </c>
      <c r="H304" s="404" t="str">
        <f>IF(VLOOKUP(A304,'Eclusée - Schwall-Sunk'!$A$2:$F$273,6,FALSE)="","",VLOOKUP(A304,'Eclusée - Schwall-Sunk'!$A$2:$F$273,6,FALSE))</f>
        <v>Potentiellement affecté / möglicherweise betroffen</v>
      </c>
      <c r="I304" s="405" t="str">
        <f>IF(VLOOKUP(A304,'Revitalisation-Revitalisierung'!$A$4:$Z$275,13,FALSE)="","",VLOOKUP(A304,'Revitalisation-Revitalisierung'!$A$4:$Z$275,13,FALSE))</f>
        <v>Très nécessaire, facile / unbedingt nötig, einfach</v>
      </c>
      <c r="J304" s="406" t="str">
        <f>IF(VLOOKUP(A304,'Revitalisation-Revitalisierung'!$A$4:$Z$275,14,FALSE)="","",VLOOKUP(A304,'Revitalisation-Revitalisierung'!$A$4:$Z$275,14,FALSE))</f>
        <v>b</v>
      </c>
      <c r="K304" s="407"/>
    </row>
  </sheetData>
  <autoFilter ref="A32:J32">
    <filterColumn colId="4" showButton="0"/>
    <filterColumn colId="8" showButton="0"/>
  </autoFilter>
  <mergeCells count="2">
    <mergeCell ref="E32:F32"/>
    <mergeCell ref="I32:J32"/>
  </mergeCells>
  <conditionalFormatting sqref="F33:F304">
    <cfRule type="cellIs" dxfId="1577" priority="43" stopIfTrue="1" operator="equal">
      <formula>"81 -100%"</formula>
    </cfRule>
    <cfRule type="cellIs" dxfId="1576" priority="44" stopIfTrue="1" operator="equal">
      <formula>"0-20%"</formula>
    </cfRule>
  </conditionalFormatting>
  <conditionalFormatting sqref="F33:F304">
    <cfRule type="cellIs" dxfId="1575" priority="40" stopIfTrue="1" operator="equal">
      <formula>"non pertinent "</formula>
    </cfRule>
    <cfRule type="cellIs" dxfId="1574" priority="41" stopIfTrue="1" operator="equal">
      <formula>"21-50%"</formula>
    </cfRule>
    <cfRule type="cellIs" dxfId="1573" priority="42" stopIfTrue="1" operator="equal">
      <formula>"51-80%"</formula>
    </cfRule>
  </conditionalFormatting>
  <conditionalFormatting sqref="E33:E304">
    <cfRule type="cellIs" dxfId="1572" priority="1" operator="equal">
      <formula>"Charriage présumé naturel"</formula>
    </cfRule>
    <cfRule type="cellIs" dxfId="1571" priority="2" operator="equal">
      <formula>"Problème lié à un manque de charriage ou à un manque de remobilisation des sédiments"</formula>
    </cfRule>
    <cfRule type="cellIs" dxfId="1570" priority="3" operator="equal">
      <formula>"Charriage présumé perturbé"</formula>
    </cfRule>
    <cfRule type="cellIs" dxfId="1569" priority="4" operator="equal">
      <formula>"La remobilisation des sédiments est perturbée"</formula>
    </cfRule>
    <cfRule type="cellIs" dxfId="1568" priority="5" operator="equal">
      <formula>"Déficit non apparent en charriage ou en remobilisation des sédiments"</formula>
    </cfRule>
    <cfRule type="cellIs" dxfId="1567" priority="11" stopIfTrue="1" operator="equal">
      <formula>"81 -100%"</formula>
    </cfRule>
    <cfRule type="cellIs" dxfId="1566" priority="38" stopIfTrue="1" operator="equal">
      <formula>"81-100%"</formula>
    </cfRule>
    <cfRule type="cellIs" dxfId="1565" priority="39" stopIfTrue="1" operator="equal">
      <formula>"0-20%"</formula>
    </cfRule>
  </conditionalFormatting>
  <conditionalFormatting sqref="E33:E304">
    <cfRule type="cellIs" dxfId="1564" priority="29" stopIfTrue="1" operator="equal">
      <formula>"Charriage présumé faiblement perturbé / Geschiebe vermutlich leicht beeinträchtigt"</formula>
    </cfRule>
    <cfRule type="cellIs" dxfId="1563" priority="30" stopIfTrue="1" operator="equal">
      <formula>"La remobilisation des sédiments est perturbée / Mobilisierung von Geschiebe beeinträchtigt"</formula>
    </cfRule>
    <cfRule type="cellIs" dxfId="1562" priority="31" stopIfTrue="1" operator="equal">
      <formula>"Problème lié à un manque de charriage ou à un manque de remobilisation des sédiments / Problem aufgrund Geschiebemangels bzw. mangelnder Mobilisierung von Geschiebe"</formula>
    </cfRule>
    <cfRule type="cellIs" dxfId="1561" priority="32" stopIfTrue="1" operator="equal">
      <formula>"Déficit non apparent en charriage ou en remobilisation des sédiments / kein sichtbares Defizit beim Geschiebehaushalt bzw. bei der Mobilisierung von Geschiebe"</formula>
    </cfRule>
    <cfRule type="cellIs" dxfId="1560" priority="33" stopIfTrue="1" operator="equal">
      <formula>"Charriage présumé perturbé / Geschiebehaushalt vermutlich beeinträchtigt"</formula>
    </cfRule>
    <cfRule type="cellIs" dxfId="1559" priority="34" stopIfTrue="1" operator="equal">
      <formula>"Charriage présumé naturel / Geschiebehaushalt vermutlich natürlich"</formula>
    </cfRule>
    <cfRule type="cellIs" dxfId="1558" priority="35" stopIfTrue="1" operator="equal">
      <formula>"non pertinent / nicht relevant"</formula>
    </cfRule>
    <cfRule type="cellIs" dxfId="1557" priority="36" stopIfTrue="1" operator="equal">
      <formula>"21-50%"</formula>
    </cfRule>
    <cfRule type="cellIs" dxfId="1556" priority="37" stopIfTrue="1" operator="equal">
      <formula>"51-80%"</formula>
    </cfRule>
  </conditionalFormatting>
  <conditionalFormatting sqref="G33:G304">
    <cfRule type="cellIs" dxfId="1555" priority="21" stopIfTrue="1" operator="equal">
      <formula>"Régime présumé naturel (100%) / Abfluss vermutlich natürlich"</formula>
    </cfRule>
    <cfRule type="cellIs" dxfId="1554" priority="22" stopIfTrue="1" operator="equal">
      <formula>"non pertinent / nicht relevant"</formula>
    </cfRule>
    <cfRule type="cellIs" dxfId="1553" priority="23" stopIfTrue="1" operator="equal">
      <formula>"61-80%"</formula>
    </cfRule>
    <cfRule type="cellIs" dxfId="1552" priority="24" stopIfTrue="1" operator="equal">
      <formula>"41-60%"</formula>
    </cfRule>
    <cfRule type="cellIs" dxfId="1551" priority="25" stopIfTrue="1" operator="equal">
      <formula>"21-40%"</formula>
    </cfRule>
    <cfRule type="cellIs" dxfId="1550" priority="26" stopIfTrue="1" operator="equal">
      <formula>"0-20%"</formula>
    </cfRule>
    <cfRule type="cellIs" dxfId="1549" priority="27" stopIfTrue="1" operator="equal">
      <formula>"81-100%"</formula>
    </cfRule>
    <cfRule type="cellIs" dxfId="1548" priority="28" stopIfTrue="1" operator="equal">
      <formula>"100%"</formula>
    </cfRule>
  </conditionalFormatting>
  <conditionalFormatting sqref="H33:H304">
    <cfRule type="cellIs" dxfId="1547" priority="18" stopIfTrue="1" operator="equal">
      <formula>"Non affecté / nicht betroffen"</formula>
    </cfRule>
    <cfRule type="cellIs" dxfId="1546" priority="19" stopIfTrue="1" operator="equal">
      <formula>"Potentiellement affecté mais non plausible / möglicherweise betroffen aber nicht nachweisbar"</formula>
    </cfRule>
    <cfRule type="cellIs" dxfId="1545" priority="20" stopIfTrue="1" operator="equal">
      <formula>"Potentiellement affecté / möglicherweise betroffen"</formula>
    </cfRule>
  </conditionalFormatting>
  <conditionalFormatting sqref="I33:I304">
    <cfRule type="cellIs" dxfId="1544" priority="6" operator="equal">
      <formula>"Très nécessaire, difficile"</formula>
    </cfRule>
    <cfRule type="cellIs" dxfId="1543" priority="7" operator="equal">
      <formula>"Partiellement nécessaire, facile"</formula>
    </cfRule>
    <cfRule type="cellIs" dxfId="1542" priority="8" operator="equal">
      <formula>"Non nécessaire"</formula>
    </cfRule>
    <cfRule type="cellIs" dxfId="1541" priority="9" operator="equal">
      <formula>"Très nécessaire, facile"</formula>
    </cfRule>
    <cfRule type="cellIs" dxfId="1540" priority="10" operator="equal">
      <formula>"Partiellement nécessaire, difficile"</formula>
    </cfRule>
    <cfRule type="cellIs" dxfId="1539" priority="12" stopIfTrue="1" operator="equal">
      <formula>"non pertinent / nicht relevant"</formula>
    </cfRule>
    <cfRule type="cellIs" dxfId="1538" priority="13" stopIfTrue="1" operator="equal">
      <formula>"Très nécessaire, difficile / unbedingt nötig, schwierig"</formula>
    </cfRule>
    <cfRule type="cellIs" dxfId="1537" priority="14" stopIfTrue="1" operator="equal">
      <formula>"Partiellement nécessaire, facile / teilweise nötig, einfach"</formula>
    </cfRule>
    <cfRule type="cellIs" dxfId="1536" priority="15" stopIfTrue="1" operator="equal">
      <formula>"Partiellement nécessaire, difficile / teilweise nötig, schwierig"</formula>
    </cfRule>
    <cfRule type="cellIs" dxfId="1535" priority="16" stopIfTrue="1" operator="equal">
      <formula>"Très nécessaire, facile / unbedingt nötig, einfach"</formula>
    </cfRule>
    <cfRule type="cellIs" dxfId="1534" priority="17" stopIfTrue="1" operator="equal">
      <formula>"Non nécessaire / nicht nötig"</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S311"/>
  <sheetViews>
    <sheetView topLeftCell="A25" zoomScale="85" zoomScaleNormal="85" workbookViewId="0">
      <selection activeCell="A33" sqref="A33:A304"/>
    </sheetView>
  </sheetViews>
  <sheetFormatPr baseColWidth="10" defaultRowHeight="15" x14ac:dyDescent="0.25"/>
  <cols>
    <col min="1" max="1" width="8.5703125" customWidth="1"/>
    <col min="2" max="2" width="23.140625" customWidth="1"/>
    <col min="3" max="3" width="20.5703125" customWidth="1"/>
    <col min="4" max="4" width="8.7109375" customWidth="1"/>
    <col min="5" max="5" width="6.42578125" customWidth="1"/>
    <col min="6" max="6" width="4.140625" customWidth="1"/>
    <col min="7" max="7" width="6.42578125" customWidth="1"/>
    <col min="8" max="8" width="4.140625" customWidth="1"/>
    <col min="9" max="9" width="6.42578125" customWidth="1"/>
    <col min="10" max="10" width="4.140625" customWidth="1"/>
    <col min="11" max="17" width="6.42578125" customWidth="1"/>
    <col min="18" max="18" width="4.140625" customWidth="1"/>
    <col min="19" max="19" width="6.42578125" customWidth="1"/>
    <col min="20" max="20" width="4.140625" customWidth="1"/>
    <col min="21" max="21" width="6.42578125" customWidth="1"/>
    <col min="22" max="22" width="4.140625" customWidth="1"/>
    <col min="23" max="24" width="11.42578125" customWidth="1"/>
    <col min="25" max="25" width="10.85546875" customWidth="1"/>
    <col min="26" max="26" width="4" customWidth="1"/>
    <col min="27" max="29" width="10.85546875" customWidth="1"/>
    <col min="30" max="30" width="4" customWidth="1"/>
    <col min="31" max="31" width="12.28515625" bestFit="1" customWidth="1"/>
  </cols>
  <sheetData>
    <row r="1" spans="1:10" ht="33.75" customHeight="1" thickBot="1" x14ac:dyDescent="0.3">
      <c r="A1" s="362" t="s">
        <v>1987</v>
      </c>
      <c r="B1" s="363"/>
      <c r="C1" s="364"/>
      <c r="D1" s="363"/>
      <c r="E1" s="363"/>
      <c r="F1" s="363"/>
      <c r="G1" s="363"/>
      <c r="H1" s="363"/>
      <c r="I1" s="363"/>
      <c r="J1" s="365"/>
    </row>
    <row r="2" spans="1:10" ht="20.100000000000001" customHeight="1" thickBot="1" x14ac:dyDescent="0.3">
      <c r="C2" s="1"/>
    </row>
    <row r="3" spans="1:10" ht="20.100000000000001" customHeight="1" x14ac:dyDescent="0.25">
      <c r="A3" s="366" t="s">
        <v>709</v>
      </c>
      <c r="B3" s="367"/>
      <c r="C3" s="368"/>
      <c r="D3" s="367"/>
      <c r="E3" s="367"/>
      <c r="F3" s="367"/>
      <c r="G3" s="367"/>
      <c r="H3" s="367"/>
      <c r="I3" s="367"/>
      <c r="J3" s="369"/>
    </row>
    <row r="4" spans="1:10" s="374" customFormat="1" ht="20.100000000000001" customHeight="1" x14ac:dyDescent="0.25">
      <c r="A4" s="370" t="s">
        <v>1586</v>
      </c>
      <c r="B4" s="371"/>
      <c r="C4" s="371"/>
      <c r="D4" s="371"/>
      <c r="E4" s="371"/>
      <c r="F4" s="371"/>
      <c r="G4" s="371"/>
      <c r="H4" s="371"/>
      <c r="I4" s="372"/>
      <c r="J4" s="373"/>
    </row>
    <row r="5" spans="1:10" s="374" customFormat="1" ht="20.100000000000001" customHeight="1" x14ac:dyDescent="0.25">
      <c r="A5" s="370" t="s">
        <v>1587</v>
      </c>
      <c r="B5" s="371"/>
      <c r="C5" s="371"/>
      <c r="D5" s="371"/>
      <c r="E5" s="371"/>
      <c r="F5" s="371"/>
      <c r="G5" s="371"/>
      <c r="H5" s="371"/>
      <c r="I5" s="375"/>
      <c r="J5" s="376"/>
    </row>
    <row r="6" spans="1:10" s="374" customFormat="1" ht="20.100000000000001" customHeight="1" x14ac:dyDescent="0.25">
      <c r="A6" s="370" t="s">
        <v>1588</v>
      </c>
      <c r="B6" s="371"/>
      <c r="C6" s="371"/>
      <c r="D6" s="371"/>
      <c r="E6" s="371"/>
      <c r="F6" s="371"/>
      <c r="G6" s="371"/>
      <c r="H6" s="371"/>
      <c r="I6" s="377"/>
      <c r="J6" s="378"/>
    </row>
    <row r="7" spans="1:10" s="374" customFormat="1" ht="20.100000000000001" customHeight="1" x14ac:dyDescent="0.25">
      <c r="A7" s="370" t="s">
        <v>1589</v>
      </c>
      <c r="B7" s="371"/>
      <c r="C7" s="371"/>
      <c r="D7" s="371"/>
      <c r="E7" s="371"/>
      <c r="F7" s="371"/>
      <c r="G7" s="371"/>
      <c r="H7" s="371"/>
      <c r="I7" s="379"/>
      <c r="J7" s="380"/>
    </row>
    <row r="8" spans="1:10" s="374" customFormat="1" ht="20.100000000000001" customHeight="1" thickBot="1" x14ac:dyDescent="0.3">
      <c r="A8" s="381" t="s">
        <v>1590</v>
      </c>
      <c r="B8" s="382"/>
      <c r="C8" s="382"/>
      <c r="D8" s="382"/>
      <c r="E8" s="382"/>
      <c r="F8" s="382"/>
      <c r="G8" s="382"/>
      <c r="H8" s="382"/>
      <c r="I8" s="383"/>
      <c r="J8" s="384"/>
    </row>
    <row r="9" spans="1:10" ht="20.100000000000001" customHeight="1" thickBot="1" x14ac:dyDescent="0.3">
      <c r="C9" s="1"/>
    </row>
    <row r="10" spans="1:10" ht="20.100000000000001" customHeight="1" x14ac:dyDescent="0.25">
      <c r="A10" s="366" t="s">
        <v>710</v>
      </c>
      <c r="B10" s="367"/>
      <c r="C10" s="368"/>
      <c r="D10" s="367"/>
      <c r="E10" s="367"/>
      <c r="F10" s="367"/>
      <c r="G10" s="367"/>
      <c r="H10" s="367"/>
      <c r="I10" s="367"/>
      <c r="J10" s="369"/>
    </row>
    <row r="11" spans="1:10" ht="20.100000000000001" customHeight="1" x14ac:dyDescent="0.25">
      <c r="A11" s="370" t="s">
        <v>1534</v>
      </c>
      <c r="B11" s="385"/>
      <c r="C11" s="386"/>
      <c r="D11" s="385"/>
      <c r="E11" s="385"/>
      <c r="F11" s="385"/>
      <c r="G11" s="385"/>
      <c r="H11" s="385"/>
      <c r="I11" s="372"/>
      <c r="J11" s="373"/>
    </row>
    <row r="12" spans="1:10" ht="20.100000000000001" customHeight="1" x14ac:dyDescent="0.25">
      <c r="A12" s="370" t="s">
        <v>1591</v>
      </c>
      <c r="B12" s="385"/>
      <c r="C12" s="386"/>
      <c r="D12" s="385"/>
      <c r="E12" s="385"/>
      <c r="F12" s="385"/>
      <c r="G12" s="385"/>
      <c r="H12" s="385"/>
      <c r="I12" s="375"/>
      <c r="J12" s="376"/>
    </row>
    <row r="13" spans="1:10" ht="20.100000000000001" customHeight="1" x14ac:dyDescent="0.25">
      <c r="A13" s="370" t="s">
        <v>1592</v>
      </c>
      <c r="B13" s="385"/>
      <c r="C13" s="386"/>
      <c r="D13" s="385"/>
      <c r="E13" s="385"/>
      <c r="F13" s="385"/>
      <c r="G13" s="385"/>
      <c r="H13" s="385"/>
      <c r="I13" s="377"/>
      <c r="J13" s="378"/>
    </row>
    <row r="14" spans="1:10" ht="20.100000000000001" customHeight="1" x14ac:dyDescent="0.25">
      <c r="A14" s="370" t="s">
        <v>1593</v>
      </c>
      <c r="B14" s="385"/>
      <c r="C14" s="386"/>
      <c r="D14" s="385"/>
      <c r="E14" s="385"/>
      <c r="F14" s="385"/>
      <c r="G14" s="385"/>
      <c r="H14" s="385"/>
      <c r="I14" s="379"/>
      <c r="J14" s="380"/>
    </row>
    <row r="15" spans="1:10" ht="20.100000000000001" customHeight="1" x14ac:dyDescent="0.25">
      <c r="A15" s="370" t="s">
        <v>1594</v>
      </c>
      <c r="B15" s="385"/>
      <c r="C15" s="386"/>
      <c r="D15" s="385"/>
      <c r="E15" s="385"/>
      <c r="F15" s="385"/>
      <c r="G15" s="385"/>
      <c r="H15" s="385"/>
      <c r="I15" s="387"/>
      <c r="J15" s="388"/>
    </row>
    <row r="16" spans="1:10" ht="20.100000000000001" customHeight="1" thickBot="1" x14ac:dyDescent="0.3">
      <c r="A16" s="381" t="s">
        <v>1595</v>
      </c>
      <c r="B16" s="389"/>
      <c r="C16" s="390"/>
      <c r="D16" s="389"/>
      <c r="E16" s="389"/>
      <c r="F16" s="389"/>
      <c r="G16" s="389"/>
      <c r="H16" s="389"/>
      <c r="I16" s="383"/>
      <c r="J16" s="384"/>
    </row>
    <row r="17" spans="1:33" ht="20.100000000000001" customHeight="1" thickBot="1" x14ac:dyDescent="0.3">
      <c r="C17" s="1"/>
    </row>
    <row r="18" spans="1:33" ht="20.100000000000001" customHeight="1" x14ac:dyDescent="0.25">
      <c r="A18" s="366" t="s">
        <v>711</v>
      </c>
      <c r="B18" s="367"/>
      <c r="C18" s="368"/>
      <c r="D18" s="367"/>
      <c r="E18" s="367"/>
      <c r="F18" s="367"/>
      <c r="G18" s="367"/>
      <c r="H18" s="367"/>
      <c r="I18" s="367"/>
      <c r="J18" s="369"/>
    </row>
    <row r="19" spans="1:33" ht="20.100000000000001" customHeight="1" x14ac:dyDescent="0.25">
      <c r="A19" s="370" t="s">
        <v>722</v>
      </c>
      <c r="B19" s="385"/>
      <c r="C19" s="386"/>
      <c r="D19" s="385"/>
      <c r="E19" s="385"/>
      <c r="F19" s="385"/>
      <c r="G19" s="385"/>
      <c r="H19" s="385"/>
      <c r="I19" s="375"/>
      <c r="J19" s="376"/>
    </row>
    <row r="20" spans="1:33" ht="20.100000000000001" customHeight="1" x14ac:dyDescent="0.25">
      <c r="A20" s="370" t="s">
        <v>719</v>
      </c>
      <c r="B20" s="385"/>
      <c r="C20" s="386"/>
      <c r="D20" s="385"/>
      <c r="E20" s="385"/>
      <c r="F20" s="385"/>
      <c r="G20" s="385"/>
      <c r="H20" s="385"/>
      <c r="I20" s="379"/>
      <c r="J20" s="380"/>
    </row>
    <row r="21" spans="1:33" ht="20.100000000000001" customHeight="1" thickBot="1" x14ac:dyDescent="0.3">
      <c r="A21" s="381" t="s">
        <v>767</v>
      </c>
      <c r="B21" s="389"/>
      <c r="C21" s="390"/>
      <c r="D21" s="389"/>
      <c r="E21" s="389"/>
      <c r="F21" s="389"/>
      <c r="G21" s="389"/>
      <c r="H21" s="389"/>
      <c r="I21" s="383"/>
      <c r="J21" s="384"/>
    </row>
    <row r="22" spans="1:33" ht="20.100000000000001" customHeight="1" thickBot="1" x14ac:dyDescent="0.3">
      <c r="C22" s="1"/>
    </row>
    <row r="23" spans="1:33" ht="20.100000000000001" customHeight="1" x14ac:dyDescent="0.25">
      <c r="A23" s="366" t="s">
        <v>712</v>
      </c>
      <c r="B23" s="391"/>
      <c r="C23" s="392"/>
      <c r="D23" s="391"/>
      <c r="E23" s="391"/>
      <c r="F23" s="391"/>
      <c r="G23" s="391"/>
      <c r="H23" s="391"/>
      <c r="I23" s="391"/>
      <c r="J23" s="393"/>
    </row>
    <row r="24" spans="1:33" ht="20.100000000000001" customHeight="1" x14ac:dyDescent="0.25">
      <c r="A24" s="370" t="s">
        <v>1534</v>
      </c>
      <c r="B24" s="385"/>
      <c r="C24" s="386"/>
      <c r="D24" s="385"/>
      <c r="E24" s="385"/>
      <c r="F24" s="385"/>
      <c r="G24" s="385"/>
      <c r="H24" s="385"/>
      <c r="I24" s="372"/>
      <c r="J24" s="373"/>
    </row>
    <row r="25" spans="1:33" ht="20.100000000000001" customHeight="1" x14ac:dyDescent="0.25">
      <c r="A25" s="370" t="s">
        <v>1596</v>
      </c>
      <c r="B25" s="385"/>
      <c r="C25" s="386"/>
      <c r="D25" s="385"/>
      <c r="E25" s="385"/>
      <c r="F25" s="385"/>
      <c r="G25" s="385"/>
      <c r="H25" s="385"/>
      <c r="I25" s="375"/>
      <c r="J25" s="376"/>
    </row>
    <row r="26" spans="1:33" ht="20.100000000000001" customHeight="1" x14ac:dyDescent="0.25">
      <c r="A26" s="370" t="s">
        <v>723</v>
      </c>
      <c r="B26" s="385"/>
      <c r="C26" s="386"/>
      <c r="D26" s="385"/>
      <c r="E26" s="385"/>
      <c r="F26" s="385"/>
      <c r="G26" s="385"/>
      <c r="H26" s="385"/>
      <c r="I26" s="377"/>
      <c r="J26" s="378"/>
    </row>
    <row r="27" spans="1:33" ht="20.100000000000001" customHeight="1" x14ac:dyDescent="0.25">
      <c r="A27" s="370" t="s">
        <v>720</v>
      </c>
      <c r="B27" s="385"/>
      <c r="C27" s="386"/>
      <c r="D27" s="385"/>
      <c r="E27" s="385"/>
      <c r="F27" s="385"/>
      <c r="G27" s="385"/>
      <c r="H27" s="385"/>
      <c r="I27" s="379"/>
      <c r="J27" s="380"/>
    </row>
    <row r="28" spans="1:33" ht="20.100000000000001" customHeight="1" x14ac:dyDescent="0.25">
      <c r="A28" s="370" t="s">
        <v>738</v>
      </c>
      <c r="B28" s="385"/>
      <c r="C28" s="386"/>
      <c r="D28" s="385"/>
      <c r="E28" s="385"/>
      <c r="F28" s="385"/>
      <c r="G28" s="385"/>
      <c r="H28" s="385"/>
      <c r="I28" s="387"/>
      <c r="J28" s="388"/>
    </row>
    <row r="29" spans="1:33" ht="20.100000000000001" customHeight="1" thickBot="1" x14ac:dyDescent="0.3">
      <c r="A29" s="381" t="s">
        <v>737</v>
      </c>
      <c r="B29" s="389"/>
      <c r="C29" s="390"/>
      <c r="D29" s="389"/>
      <c r="E29" s="389"/>
      <c r="F29" s="389"/>
      <c r="G29" s="389"/>
      <c r="H29" s="389"/>
      <c r="I29" s="383"/>
      <c r="J29" s="384"/>
    </row>
    <row r="30" spans="1:33" ht="15.75" thickBot="1" x14ac:dyDescent="0.3">
      <c r="C30" s="1"/>
    </row>
    <row r="31" spans="1:33" ht="20.100000000000001" customHeight="1" thickBot="1" x14ac:dyDescent="0.3">
      <c r="C31" s="1"/>
      <c r="E31" s="1404" t="s">
        <v>1838</v>
      </c>
      <c r="F31" s="1405"/>
      <c r="G31" s="1405"/>
      <c r="H31" s="1405"/>
      <c r="I31" s="1405"/>
      <c r="J31" s="1406"/>
      <c r="K31" s="1404" t="s">
        <v>710</v>
      </c>
      <c r="L31" s="1405"/>
      <c r="M31" s="1406"/>
      <c r="N31" s="1404" t="s">
        <v>711</v>
      </c>
      <c r="O31" s="1405"/>
      <c r="P31" s="1406"/>
      <c r="Q31" s="1404" t="s">
        <v>712</v>
      </c>
      <c r="R31" s="1405"/>
      <c r="S31" s="1405"/>
      <c r="T31" s="1405"/>
      <c r="U31" s="1405"/>
      <c r="V31" s="1406"/>
      <c r="Y31" s="1399" t="str">
        <f>I32</f>
        <v>Final</v>
      </c>
      <c r="Z31" s="1400"/>
      <c r="AA31" s="1400"/>
      <c r="AB31" s="1400"/>
      <c r="AC31" s="1400"/>
      <c r="AD31" s="1401"/>
    </row>
    <row r="32" spans="1:33" ht="38.25" customHeight="1" thickBot="1" x14ac:dyDescent="0.3">
      <c r="A32" s="394" t="s">
        <v>1053</v>
      </c>
      <c r="B32" s="395" t="s">
        <v>21</v>
      </c>
      <c r="C32" s="395" t="s">
        <v>22</v>
      </c>
      <c r="D32" s="396" t="s">
        <v>20</v>
      </c>
      <c r="E32" s="1407" t="s">
        <v>1839</v>
      </c>
      <c r="F32" s="1408"/>
      <c r="G32" s="1402" t="s">
        <v>1840</v>
      </c>
      <c r="H32" s="1408"/>
      <c r="I32" s="1402" t="s">
        <v>1841</v>
      </c>
      <c r="J32" s="1403"/>
      <c r="K32" s="552" t="s">
        <v>1839</v>
      </c>
      <c r="L32" s="553" t="s">
        <v>1840</v>
      </c>
      <c r="M32" s="554" t="s">
        <v>1841</v>
      </c>
      <c r="N32" s="552" t="s">
        <v>1839</v>
      </c>
      <c r="O32" s="553" t="s">
        <v>1840</v>
      </c>
      <c r="P32" s="554" t="s">
        <v>1841</v>
      </c>
      <c r="Q32" s="1407" t="s">
        <v>1839</v>
      </c>
      <c r="R32" s="1408"/>
      <c r="S32" s="1402" t="s">
        <v>1840</v>
      </c>
      <c r="T32" s="1408"/>
      <c r="U32" s="1402" t="s">
        <v>1841</v>
      </c>
      <c r="V32" s="1403"/>
      <c r="Y32" s="1398" t="str">
        <f>E31</f>
        <v>Charriage / Abfluss</v>
      </c>
      <c r="Z32" s="1398"/>
      <c r="AA32" s="556" t="str">
        <f>K31</f>
        <v>Débit / Abfluss</v>
      </c>
      <c r="AB32" s="563" t="str">
        <f>N31</f>
        <v>Eclusée / Schwall-Sunk</v>
      </c>
      <c r="AC32" s="1398" t="str">
        <f>Q31</f>
        <v>Revitalisation / Revitalisierung</v>
      </c>
      <c r="AD32" s="1398"/>
      <c r="AE32" t="s">
        <v>1899</v>
      </c>
      <c r="AG32" t="s">
        <v>1901</v>
      </c>
    </row>
    <row r="33" spans="1:45" ht="16.5" customHeight="1" x14ac:dyDescent="0.25">
      <c r="A33" s="926">
        <v>2</v>
      </c>
      <c r="B33" s="400" t="s">
        <v>36</v>
      </c>
      <c r="C33" s="400" t="s">
        <v>37</v>
      </c>
      <c r="D33" s="401" t="s">
        <v>35</v>
      </c>
      <c r="E33" s="529" t="str">
        <f>IF(VLOOKUP(A33,'Charriage - Geschiebehaushalt'!$A$4:$AC$275,17,FALSE)="","",VLOOKUP(A33,'Charriage - Geschiebehaushalt'!$A$4:$AC$275,17,FALSE))</f>
        <v>81 -100%</v>
      </c>
      <c r="F33" s="530" t="str">
        <f>IF(VLOOKUP(A33,'Charriage - Geschiebehaushalt'!$A$4:$AC$275,18,FALSE)="","",VLOOKUP(A33,'Charriage - Geschiebehaushalt'!$A$4:$AC$275,18,FALSE))</f>
        <v>a</v>
      </c>
      <c r="G33" s="531" t="str">
        <f>IF(VLOOKUP(A33,'Charriage - Geschiebehaushalt'!$A$4:$AC$275,22,FALSE)="","",VLOOKUP(A33,'Charriage - Geschiebehaushalt'!$A$4:$AC$275,22,FALSE))</f>
        <v>81-100%</v>
      </c>
      <c r="H33" s="530" t="str">
        <f>IF(VLOOKUP(A33,'Charriage - Geschiebehaushalt'!$A$4:$AC$275,23,FALSE)="","",VLOOKUP(A33,'Charriage - Geschiebehaushalt'!$A$4:$AC$275,23,FALSE))</f>
        <v>a</v>
      </c>
      <c r="I33" s="531" t="str">
        <f>IF(VLOOKUP(A33,'Charriage - Geschiebehaushalt'!$A$4:$AC$275,28,FALSE)="","",VLOOKUP(A33,'Charriage - Geschiebehaushalt'!$A$4:$AC$275,28,FALSE))</f>
        <v>81-100%</v>
      </c>
      <c r="J33" s="532" t="str">
        <f>IF(VLOOKUP(A33,'Charriage - Geschiebehaushalt'!$A$4:$AC$275,29,FALSE)="","",VLOOKUP(A33,'Charriage - Geschiebehaushalt'!$A$4:$AC$275,29,FALSE))</f>
        <v>a</v>
      </c>
      <c r="K33" s="340" t="str">
        <f>IF(VLOOKUP(A33,'Débit - Abfluss'!$A$4:$AD$275,8,FALSE)="","",VLOOKUP(A33,'Débit - Abfluss'!$A$4:$AD$275,8,FALSE))</f>
        <v>81-100%</v>
      </c>
      <c r="L33" s="466" t="str">
        <f>IF(VLOOKUP(A33,'Débit - Abfluss'!$A$4:$AD$275,10,FALSE)="","",VLOOKUP(A33,'Débit - Abfluss'!$A$4:$AD$275,10,FALSE))</f>
        <v>81-100%</v>
      </c>
      <c r="M33" s="546" t="str">
        <f>IF(VLOOKUP(A33,'Débit - Abfluss'!$A$4:$AD$275,17,FALSE)="","",VLOOKUP(A33,'Débit - Abfluss'!$A$4:$AD$275,17,FALSE))</f>
        <v>81-100%</v>
      </c>
      <c r="N33" s="340" t="str">
        <f>IF(VLOOKUP(A33,'Eclusée - Schwall-Sunk'!$A$2:$F$273,6,FALSE)="","",VLOOKUP(A33,'Eclusée - Schwall-Sunk'!$A$2:$F$273,6,FALSE))</f>
        <v>Potentiellement affecté mais non plausible / möglicherweise betroffen aber nicht nachweisbar</v>
      </c>
      <c r="O33" s="547"/>
      <c r="P33" s="548"/>
      <c r="Q33" s="276" t="str">
        <f>IF(VLOOKUP(A33,'Revitalisation-Revitalisierung'!$A$4:$Z$275,13,FALSE)="","",VLOOKUP(A33,'Revitalisation-Revitalisierung'!$A$4:$Z$275,13,FALSE))</f>
        <v>Partiellement nécessaire, facile / teilweise nötig, einfach</v>
      </c>
      <c r="R33" s="549" t="str">
        <f>IF(VLOOKUP(A33,'Revitalisation-Revitalisierung'!$A$4:$Z$275,14,FALSE)="","",VLOOKUP(A33,'Revitalisation-Revitalisierung'!$A$4:$Z$275,14,FALSE))</f>
        <v>b</v>
      </c>
      <c r="S33" s="550" t="str">
        <f>IF(VLOOKUP(A33,'Revitalisation-Revitalisierung'!$A$4:$Z$275,19,FALSE)="","",VLOOKUP(A33,'Revitalisation-Revitalisierung'!$A$4:$Z$275,19,FALSE))</f>
        <v>Partiellement nécessaire, facile / teilweise nötig, einfach</v>
      </c>
      <c r="T33" s="549" t="str">
        <f>IF(VLOOKUP(A33,'Revitalisation-Revitalisierung'!$A$4:$Z$275,20,FALSE)="","",VLOOKUP(A33,'Revitalisation-Revitalisierung'!$A$4:$Z$275,20,FALSE))</f>
        <v>d</v>
      </c>
      <c r="U33" s="550" t="str">
        <f>IF(VLOOKUP(A33,'Revitalisation-Revitalisierung'!$A$4:$Z$275,25,FALSE)="","",VLOOKUP(A33,'Revitalisation-Revitalisierung'!$A$4:$Z$275,25,FALSE))</f>
        <v>Non nécessaire / nicht nötig</v>
      </c>
      <c r="V33" s="551" t="str">
        <f>IF(VLOOKUP(A33,'Revitalisation-Revitalisierung'!$A$4:$Z$275,26,FALSE)="","",VLOOKUP(A33,'Revitalisation-Revitalisierung'!$A$4:$Z$275,26,FALSE))</f>
        <v>e</v>
      </c>
      <c r="Y33" s="557" t="str">
        <f>I33</f>
        <v>81-100%</v>
      </c>
      <c r="Z33" s="567" t="str">
        <f>J33</f>
        <v>a</v>
      </c>
      <c r="AA33" s="561" t="str">
        <f t="shared" ref="AA33:AA64" si="0">M33</f>
        <v>81-100%</v>
      </c>
      <c r="AB33" s="561" t="str">
        <f t="shared" ref="AB33:AB64" si="1">N33</f>
        <v>Potentiellement affecté mais non plausible / möglicherweise betroffen aber nicht nachweisbar</v>
      </c>
      <c r="AC33" s="559" t="str">
        <f>U33</f>
        <v>Non nécessaire / nicht nötig</v>
      </c>
      <c r="AD33" s="569" t="str">
        <f>V33</f>
        <v>e</v>
      </c>
      <c r="AE33">
        <v>3</v>
      </c>
      <c r="AF33">
        <v>1</v>
      </c>
      <c r="AJ33">
        <v>4</v>
      </c>
      <c r="AK33" t="s">
        <v>440</v>
      </c>
      <c r="AL33" t="s">
        <v>441</v>
      </c>
      <c r="AM33" t="s">
        <v>439</v>
      </c>
      <c r="AN33" t="s">
        <v>88</v>
      </c>
      <c r="AO33" t="s">
        <v>59</v>
      </c>
      <c r="AP33" t="s">
        <v>746</v>
      </c>
      <c r="AQ33" t="s">
        <v>722</v>
      </c>
      <c r="AR33" t="s">
        <v>752</v>
      </c>
      <c r="AS33" t="s">
        <v>59</v>
      </c>
    </row>
    <row r="34" spans="1:45" ht="16.5" customHeight="1" x14ac:dyDescent="0.25">
      <c r="A34" s="926">
        <v>3</v>
      </c>
      <c r="B34" s="400" t="s">
        <v>46</v>
      </c>
      <c r="C34" s="400" t="s">
        <v>37</v>
      </c>
      <c r="D34" s="401" t="s">
        <v>35</v>
      </c>
      <c r="E34" s="522" t="str">
        <f>IF(VLOOKUP(A34,'Charriage - Geschiebehaushalt'!$A$4:$AC$275,17,FALSE)="","",VLOOKUP(A34,'Charriage - Geschiebehaushalt'!$A$4:$AC$275,17,FALSE))</f>
        <v>81 -100%</v>
      </c>
      <c r="F34" s="523" t="str">
        <f>IF(VLOOKUP(A34,'Charriage - Geschiebehaushalt'!$A$4:$AC$275,18,FALSE)="","",VLOOKUP(A34,'Charriage - Geschiebehaushalt'!$A$4:$AC$275,18,FALSE))</f>
        <v>a</v>
      </c>
      <c r="G34" s="524" t="str">
        <f>IF(VLOOKUP(A34,'Charriage - Geschiebehaushalt'!$A$4:$AC$275,22,FALSE)="","",VLOOKUP(A34,'Charriage - Geschiebehaushalt'!$A$4:$AC$275,22,FALSE))</f>
        <v>81-100%</v>
      </c>
      <c r="H34" s="523" t="str">
        <f>IF(VLOOKUP(A34,'Charriage - Geschiebehaushalt'!$A$4:$AC$275,23,FALSE)="","",VLOOKUP(A34,'Charriage - Geschiebehaushalt'!$A$4:$AC$275,23,FALSE))</f>
        <v>a</v>
      </c>
      <c r="I34" s="524" t="str">
        <f>IF(VLOOKUP(A34,'Charriage - Geschiebehaushalt'!$A$4:$AC$275,28,FALSE)="","",VLOOKUP(A34,'Charriage - Geschiebehaushalt'!$A$4:$AC$275,28,FALSE))</f>
        <v>81-100%</v>
      </c>
      <c r="J34" s="403" t="str">
        <f>IF(VLOOKUP(A34,'Charriage - Geschiebehaushalt'!$A$4:$AC$275,29,FALSE)="","",VLOOKUP(A34,'Charriage - Geschiebehaushalt'!$A$4:$AC$275,29,FALSE))</f>
        <v>a</v>
      </c>
      <c r="K34" s="533" t="str">
        <f>IF(VLOOKUP(A34,'Débit - Abfluss'!$A$4:$AD$275,8,FALSE)="","",VLOOKUP(A34,'Débit - Abfluss'!$A$4:$AD$275,8,FALSE))</f>
        <v>81-100%</v>
      </c>
      <c r="L34" s="468" t="str">
        <f>IF(VLOOKUP(A34,'Débit - Abfluss'!$A$4:$AD$275,10,FALSE)="","",VLOOKUP(A34,'Débit - Abfluss'!$A$4:$AD$275,10,FALSE))</f>
        <v>81-100%</v>
      </c>
      <c r="M34" s="333" t="str">
        <f>IF(VLOOKUP(A34,'Débit - Abfluss'!$A$4:$AD$275,17,FALSE)="","",VLOOKUP(A34,'Débit - Abfluss'!$A$4:$AD$275,17,FALSE))</f>
        <v>81-100%</v>
      </c>
      <c r="N34" s="340" t="str">
        <f>IF(VLOOKUP(A34,'Eclusée - Schwall-Sunk'!$A$2:$F$273,6,FALSE)="","",VLOOKUP(A34,'Eclusée - Schwall-Sunk'!$A$2:$F$273,6,FALSE))</f>
        <v>Non affecté / nicht betroffen</v>
      </c>
      <c r="O34" s="537"/>
      <c r="P34" s="538"/>
      <c r="Q34" s="284" t="str">
        <f>IF(VLOOKUP(A34,'Revitalisation-Revitalisierung'!$A$4:$Z$275,13,FALSE)="","",VLOOKUP(A34,'Revitalisation-Revitalisierung'!$A$4:$Z$275,13,FALSE))</f>
        <v>Partiellement nécessaire, difficile / teilweise nötig, schwierig</v>
      </c>
      <c r="R34" s="541" t="str">
        <f>IF(VLOOKUP(A34,'Revitalisation-Revitalisierung'!$A$4:$Z$275,14,FALSE)="","",VLOOKUP(A34,'Revitalisation-Revitalisierung'!$A$4:$Z$275,14,FALSE))</f>
        <v>b</v>
      </c>
      <c r="S34" s="542" t="str">
        <f>IF(VLOOKUP(A34,'Revitalisation-Revitalisierung'!$A$4:$Z$275,19,FALSE)="","",VLOOKUP(A34,'Revitalisation-Revitalisierung'!$A$4:$Z$275,19,FALSE))</f>
        <v>Très nécessaire, difficile / unbedingt nötig, schwierig</v>
      </c>
      <c r="T34" s="541" t="str">
        <f>IF(VLOOKUP(A34,'Revitalisation-Revitalisierung'!$A$4:$Z$275,20,FALSE)="","",VLOOKUP(A34,'Revitalisation-Revitalisierung'!$A$4:$Z$275,20,FALSE))</f>
        <v>c</v>
      </c>
      <c r="U34" s="542" t="str">
        <f>IF(VLOOKUP(A34,'Revitalisation-Revitalisierung'!$A$4:$Z$275,25,FALSE)="","",VLOOKUP(A34,'Revitalisation-Revitalisierung'!$A$4:$Z$275,25,FALSE))</f>
        <v>Partiellement nécessaire, difficile / teilweise nötig, schwierig</v>
      </c>
      <c r="V34" s="406" t="str">
        <f>IF(VLOOKUP(A34,'Revitalisation-Revitalisierung'!$A$4:$Z$275,26,FALSE)="","",VLOOKUP(A34,'Revitalisation-Revitalisierung'!$A$4:$Z$275,26,FALSE))</f>
        <v>e</v>
      </c>
      <c r="Y34" s="529" t="str">
        <f t="shared" ref="Y34:Y97" si="2">I34</f>
        <v>81-100%</v>
      </c>
      <c r="Z34" s="568" t="str">
        <f t="shared" ref="Z34:Z97" si="3">J34</f>
        <v>a</v>
      </c>
      <c r="AA34" s="327" t="str">
        <f t="shared" si="0"/>
        <v>81-100%</v>
      </c>
      <c r="AB34" s="327" t="str">
        <f t="shared" si="1"/>
        <v>Non affecté / nicht betroffen</v>
      </c>
      <c r="AC34" s="276" t="str">
        <f t="shared" ref="AC34:AC97" si="4">U34</f>
        <v>Partiellement nécessaire, difficile / teilweise nötig, schwierig</v>
      </c>
      <c r="AD34" s="570" t="str">
        <f t="shared" ref="AD34:AD97" si="5">V34</f>
        <v>e</v>
      </c>
      <c r="AE34">
        <v>3</v>
      </c>
      <c r="AF34">
        <v>1</v>
      </c>
    </row>
    <row r="35" spans="1:45" ht="16.5" customHeight="1" x14ac:dyDescent="0.25">
      <c r="A35" s="926">
        <v>4</v>
      </c>
      <c r="B35" s="400" t="s">
        <v>440</v>
      </c>
      <c r="C35" s="400" t="s">
        <v>441</v>
      </c>
      <c r="D35" s="401" t="s">
        <v>439</v>
      </c>
      <c r="E35" s="522" t="str">
        <f>IF(VLOOKUP(A35,'Charriage - Geschiebehaushalt'!$A$4:$AC$275,17,FALSE)="","",VLOOKUP(A35,'Charriage - Geschiebehaushalt'!$A$4:$AC$275,17,FALSE))</f>
        <v>Charriage présumé naturel / Geschiebehaushalt vermutlich natürlich</v>
      </c>
      <c r="F35" s="523" t="str">
        <f>IF(VLOOKUP(A35,'Charriage - Geschiebehaushalt'!$A$4:$AC$275,18,FALSE)="","",VLOOKUP(A35,'Charriage - Geschiebehaushalt'!$A$4:$AC$275,18,FALSE))</f>
        <v>b</v>
      </c>
      <c r="G35" s="524" t="str">
        <f>IF(VLOOKUP(A35,'Charriage - Geschiebehaushalt'!$A$4:$AC$275,22,FALSE)="","",VLOOKUP(A35,'Charriage - Geschiebehaushalt'!$A$4:$AC$275,22,FALSE))</f>
        <v>0-20%</v>
      </c>
      <c r="H35" s="523" t="str">
        <f>IF(VLOOKUP(A35,'Charriage - Geschiebehaushalt'!$A$4:$AC$275,23,FALSE)="","",VLOOKUP(A35,'Charriage - Geschiebehaushalt'!$A$4:$AC$275,23,FALSE))</f>
        <v>d</v>
      </c>
      <c r="I35" s="524" t="str">
        <f>IF(VLOOKUP(A35,'Charriage - Geschiebehaushalt'!$A$4:$AC$275,28,FALSE)="","",VLOOKUP(A35,'Charriage - Geschiebehaushalt'!$A$4:$AC$275,28,FALSE))</f>
        <v>0-20%</v>
      </c>
      <c r="J35" s="403" t="str">
        <f>IF(VLOOKUP(A35,'Charriage - Geschiebehaushalt'!$A$4:$AC$275,29,FALSE)="","",VLOOKUP(A35,'Charriage - Geschiebehaushalt'!$A$4:$AC$275,29,FALSE))</f>
        <v>d</v>
      </c>
      <c r="K35" s="533" t="str">
        <f>IF(VLOOKUP(A35,'Débit - Abfluss'!$A$4:$AD$275,8,FALSE)="","",VLOOKUP(A35,'Débit - Abfluss'!$A$4:$AD$275,8,FALSE))</f>
        <v>100%</v>
      </c>
      <c r="L35" s="468" t="str">
        <f>IF(VLOOKUP(A35,'Débit - Abfluss'!$A$4:$AD$275,10,FALSE)="","",VLOOKUP(A35,'Débit - Abfluss'!$A$4:$AD$275,10,FALSE))</f>
        <v>100%</v>
      </c>
      <c r="M35" s="333" t="str">
        <f>IF(VLOOKUP(A35,'Débit - Abfluss'!$A$4:$AD$275,17,FALSE)="","",VLOOKUP(A35,'Débit - Abfluss'!$A$4:$AD$275,17,FALSE))</f>
        <v>100%</v>
      </c>
      <c r="N35" s="340" t="str">
        <f>IF(VLOOKUP(A35,'Eclusée - Schwall-Sunk'!$A$2:$F$273,6,FALSE)="","",VLOOKUP(A35,'Eclusée - Schwall-Sunk'!$A$2:$F$273,6,FALSE))</f>
        <v>Non affecté / nicht betroffen</v>
      </c>
      <c r="O35" s="537"/>
      <c r="P35" s="538"/>
      <c r="Q35" s="284" t="str">
        <f>IF(VLOOKUP(A35,'Revitalisation-Revitalisierung'!$A$4:$Z$275,13,FALSE)="","",VLOOKUP(A35,'Revitalisation-Revitalisierung'!$A$4:$Z$275,13,FALSE))</f>
        <v>Non nécessaire / nicht nötig</v>
      </c>
      <c r="R35" s="541" t="str">
        <f>IF(VLOOKUP(A35,'Revitalisation-Revitalisierung'!$A$4:$Z$275,14,FALSE)="","",VLOOKUP(A35,'Revitalisation-Revitalisierung'!$A$4:$Z$275,14,FALSE))</f>
        <v>a</v>
      </c>
      <c r="S35" s="542" t="str">
        <f>IF(VLOOKUP(A35,'Revitalisation-Revitalisierung'!$A$4:$Z$275,19,FALSE)="","",VLOOKUP(A35,'Revitalisation-Revitalisierung'!$A$4:$Z$275,19,FALSE))</f>
        <v>Non nécessaire / nicht nötig</v>
      </c>
      <c r="T35" s="541" t="str">
        <f>IF(VLOOKUP(A35,'Revitalisation-Revitalisierung'!$A$4:$Z$275,20,FALSE)="","",VLOOKUP(A35,'Revitalisation-Revitalisierung'!$A$4:$Z$275,20,FALSE))</f>
        <v>d</v>
      </c>
      <c r="U35" s="542" t="str">
        <f>IF(VLOOKUP(A35,'Revitalisation-Revitalisierung'!$A$4:$Z$275,25,FALSE)="","",VLOOKUP(A35,'Revitalisation-Revitalisierung'!$A$4:$Z$275,25,FALSE))</f>
        <v>Non nécessaire / nicht nötig</v>
      </c>
      <c r="V35" s="406" t="str">
        <f>IF(VLOOKUP(A35,'Revitalisation-Revitalisierung'!$A$4:$Z$275,26,FALSE)="","",VLOOKUP(A35,'Revitalisation-Revitalisierung'!$A$4:$Z$275,26,FALSE))</f>
        <v>d</v>
      </c>
      <c r="Y35" s="529" t="str">
        <f t="shared" si="2"/>
        <v>0-20%</v>
      </c>
      <c r="Z35" s="568" t="str">
        <f t="shared" si="3"/>
        <v>d</v>
      </c>
      <c r="AA35" s="327" t="str">
        <f t="shared" si="0"/>
        <v>100%</v>
      </c>
      <c r="AB35" s="327" t="str">
        <f t="shared" si="1"/>
        <v>Non affecté / nicht betroffen</v>
      </c>
      <c r="AC35" s="276" t="str">
        <f t="shared" si="4"/>
        <v>Non nécessaire / nicht nötig</v>
      </c>
      <c r="AD35" s="570" t="str">
        <f t="shared" si="5"/>
        <v>d</v>
      </c>
      <c r="AE35">
        <v>1</v>
      </c>
      <c r="AF35">
        <v>1</v>
      </c>
      <c r="AG35">
        <v>1</v>
      </c>
    </row>
    <row r="36" spans="1:45" ht="16.5" customHeight="1" x14ac:dyDescent="0.25">
      <c r="A36" s="926">
        <v>5</v>
      </c>
      <c r="B36" s="400" t="s">
        <v>449</v>
      </c>
      <c r="C36" s="400" t="s">
        <v>450</v>
      </c>
      <c r="D36" s="401" t="s">
        <v>448</v>
      </c>
      <c r="E36" s="522" t="str">
        <f>IF(VLOOKUP(A36,'Charriage - Geschiebehaushalt'!$A$4:$AC$275,17,FALSE)="","",VLOOKUP(A36,'Charriage - Geschiebehaushalt'!$A$4:$AC$275,17,FALSE))</f>
        <v>0-20%</v>
      </c>
      <c r="F36" s="523" t="str">
        <f>IF(VLOOKUP(A36,'Charriage - Geschiebehaushalt'!$A$4:$AC$275,18,FALSE)="","",VLOOKUP(A36,'Charriage - Geschiebehaushalt'!$A$4:$AC$275,18,FALSE))</f>
        <v>a</v>
      </c>
      <c r="G36" s="524" t="str">
        <f>IF(VLOOKUP(A36,'Charriage - Geschiebehaushalt'!$A$4:$AC$275,22,FALSE)="","",VLOOKUP(A36,'Charriage - Geschiebehaushalt'!$A$4:$AC$275,22,FALSE))</f>
        <v>21-50%</v>
      </c>
      <c r="H36" s="523" t="str">
        <f>IF(VLOOKUP(A36,'Charriage - Geschiebehaushalt'!$A$4:$AC$275,23,FALSE)="","",VLOOKUP(A36,'Charriage - Geschiebehaushalt'!$A$4:$AC$275,23,FALSE))</f>
        <v>c</v>
      </c>
      <c r="I36" s="524" t="str">
        <f>IF(VLOOKUP(A36,'Charriage - Geschiebehaushalt'!$A$4:$AC$275,28,FALSE)="","",VLOOKUP(A36,'Charriage - Geschiebehaushalt'!$A$4:$AC$275,28,FALSE))</f>
        <v>21-50%</v>
      </c>
      <c r="J36" s="403" t="str">
        <f>IF(VLOOKUP(A36,'Charriage - Geschiebehaushalt'!$A$4:$AC$275,29,FALSE)="","",VLOOKUP(A36,'Charriage - Geschiebehaushalt'!$A$4:$AC$275,29,FALSE))</f>
        <v>c</v>
      </c>
      <c r="K36" s="533" t="str">
        <f>IF(VLOOKUP(A36,'Débit - Abfluss'!$A$4:$AD$275,8,FALSE)="","",VLOOKUP(A36,'Débit - Abfluss'!$A$4:$AD$275,8,FALSE))</f>
        <v>81-100%</v>
      </c>
      <c r="L36" s="468" t="str">
        <f>IF(VLOOKUP(A36,'Débit - Abfluss'!$A$4:$AD$275,10,FALSE)="","",VLOOKUP(A36,'Débit - Abfluss'!$A$4:$AD$275,10,FALSE))</f>
        <v>81-100%</v>
      </c>
      <c r="M36" s="333" t="str">
        <f>IF(VLOOKUP(A36,'Débit - Abfluss'!$A$4:$AD$275,17,FALSE)="","",VLOOKUP(A36,'Débit - Abfluss'!$A$4:$AD$275,17,FALSE))</f>
        <v>81-100%</v>
      </c>
      <c r="N36" s="340" t="str">
        <f>IF(VLOOKUP(A36,'Eclusée - Schwall-Sunk'!$A$2:$F$273,6,FALSE)="","",VLOOKUP(A36,'Eclusée - Schwall-Sunk'!$A$2:$F$273,6,FALSE))</f>
        <v>Potentiellement affecté mais non plausible / möglicherweise betroffen aber nicht nachweisbar</v>
      </c>
      <c r="O36" s="537"/>
      <c r="P36" s="538"/>
      <c r="Q36" s="284" t="str">
        <f>IF(VLOOKUP(A36,'Revitalisation-Revitalisierung'!$A$4:$Z$275,13,FALSE)="","",VLOOKUP(A36,'Revitalisation-Revitalisierung'!$A$4:$Z$275,13,FALSE))</f>
        <v>Partiellement nécessaire, facile / teilweise nötig, einfach</v>
      </c>
      <c r="R36" s="541" t="str">
        <f>IF(VLOOKUP(A36,'Revitalisation-Revitalisierung'!$A$4:$Z$275,14,FALSE)="","",VLOOKUP(A36,'Revitalisation-Revitalisierung'!$A$4:$Z$275,14,FALSE))</f>
        <v>b</v>
      </c>
      <c r="S36" s="542" t="str">
        <f>IF(VLOOKUP(A36,'Revitalisation-Revitalisierung'!$A$4:$Z$275,19,FALSE)="","",VLOOKUP(A36,'Revitalisation-Revitalisierung'!$A$4:$Z$275,19,FALSE))</f>
        <v>Partiellement nécessaire, facile / teilweise nötig, einfach</v>
      </c>
      <c r="T36" s="541" t="str">
        <f>IF(VLOOKUP(A36,'Revitalisation-Revitalisierung'!$A$4:$Z$275,20,FALSE)="","",VLOOKUP(A36,'Revitalisation-Revitalisierung'!$A$4:$Z$275,20,FALSE))</f>
        <v>d</v>
      </c>
      <c r="U36" s="542" t="str">
        <f>IF(VLOOKUP(A36,'Revitalisation-Revitalisierung'!$A$4:$Z$275,25,FALSE)="","",VLOOKUP(A36,'Revitalisation-Revitalisierung'!$A$4:$Z$275,25,FALSE))</f>
        <v>Partiellement nécessaire, facile / teilweise nötig, einfach</v>
      </c>
      <c r="V36" s="406" t="str">
        <f>IF(VLOOKUP(A36,'Revitalisation-Revitalisierung'!$A$4:$Z$275,26,FALSE)="","",VLOOKUP(A36,'Revitalisation-Revitalisierung'!$A$4:$Z$275,26,FALSE))</f>
        <v>c</v>
      </c>
      <c r="Y36" s="529" t="str">
        <f t="shared" si="2"/>
        <v>21-50%</v>
      </c>
      <c r="Z36" s="568" t="str">
        <f t="shared" si="3"/>
        <v>c</v>
      </c>
      <c r="AA36" s="327" t="str">
        <f t="shared" si="0"/>
        <v>81-100%</v>
      </c>
      <c r="AB36" s="327" t="str">
        <f t="shared" si="1"/>
        <v>Potentiellement affecté mais non plausible / möglicherweise betroffen aber nicht nachweisbar</v>
      </c>
      <c r="AC36" s="276" t="str">
        <f t="shared" si="4"/>
        <v>Partiellement nécessaire, facile / teilweise nötig, einfach</v>
      </c>
      <c r="AD36" s="570" t="str">
        <f t="shared" si="5"/>
        <v>c</v>
      </c>
      <c r="AE36">
        <v>4</v>
      </c>
      <c r="AF36">
        <v>1</v>
      </c>
    </row>
    <row r="37" spans="1:45" ht="16.5" customHeight="1" x14ac:dyDescent="0.25">
      <c r="A37" s="926">
        <v>6</v>
      </c>
      <c r="B37" s="400" t="s">
        <v>473</v>
      </c>
      <c r="C37" s="400" t="s">
        <v>417</v>
      </c>
      <c r="D37" s="401" t="s">
        <v>472</v>
      </c>
      <c r="E37" s="522" t="str">
        <f>IF(VLOOKUP(A37,'Charriage - Geschiebehaushalt'!$A$4:$AC$275,17,FALSE)="","",VLOOKUP(A37,'Charriage - Geschiebehaushalt'!$A$4:$AC$275,17,FALSE))</f>
        <v>0-20%</v>
      </c>
      <c r="F37" s="523" t="str">
        <f>IF(VLOOKUP(A37,'Charriage - Geschiebehaushalt'!$A$4:$AC$275,18,FALSE)="","",VLOOKUP(A37,'Charriage - Geschiebehaushalt'!$A$4:$AC$275,18,FALSE))</f>
        <v>a</v>
      </c>
      <c r="G37" s="524" t="str">
        <f>IF(VLOOKUP(A37,'Charriage - Geschiebehaushalt'!$A$4:$AC$275,22,FALSE)="","",VLOOKUP(A37,'Charriage - Geschiebehaushalt'!$A$4:$AC$275,22,FALSE))</f>
        <v>0-20%</v>
      </c>
      <c r="H37" s="523" t="str">
        <f>IF(VLOOKUP(A37,'Charriage - Geschiebehaushalt'!$A$4:$AC$275,23,FALSE)="","",VLOOKUP(A37,'Charriage - Geschiebehaushalt'!$A$4:$AC$275,23,FALSE))</f>
        <v>d</v>
      </c>
      <c r="I37" s="524" t="str">
        <f>IF(VLOOKUP(A37,'Charriage - Geschiebehaushalt'!$A$4:$AC$275,28,FALSE)="","",VLOOKUP(A37,'Charriage - Geschiebehaushalt'!$A$4:$AC$275,28,FALSE))</f>
        <v>0-20%</v>
      </c>
      <c r="J37" s="403" t="str">
        <f>IF(VLOOKUP(A37,'Charriage - Geschiebehaushalt'!$A$4:$AC$275,29,FALSE)="","",VLOOKUP(A37,'Charriage - Geschiebehaushalt'!$A$4:$AC$275,29,FALSE))</f>
        <v>d</v>
      </c>
      <c r="K37" s="533" t="str">
        <f>IF(VLOOKUP(A37,'Débit - Abfluss'!$A$4:$AD$275,8,FALSE)="","",VLOOKUP(A37,'Débit - Abfluss'!$A$4:$AD$275,8,FALSE))</f>
        <v>100%</v>
      </c>
      <c r="L37" s="468" t="str">
        <f>IF(VLOOKUP(A37,'Débit - Abfluss'!$A$4:$AD$275,10,FALSE)="","",VLOOKUP(A37,'Débit - Abfluss'!$A$4:$AD$275,10,FALSE))</f>
        <v>100%</v>
      </c>
      <c r="M37" s="333" t="str">
        <f>IF(VLOOKUP(A37,'Débit - Abfluss'!$A$4:$AD$275,17,FALSE)="","",VLOOKUP(A37,'Débit - Abfluss'!$A$4:$AD$275,17,FALSE))</f>
        <v>100%</v>
      </c>
      <c r="N37" s="340" t="str">
        <f>IF(VLOOKUP(A37,'Eclusée - Schwall-Sunk'!$A$2:$F$273,6,FALSE)="","",VLOOKUP(A37,'Eclusée - Schwall-Sunk'!$A$2:$F$273,6,FALSE))</f>
        <v>Potentiellement affecté mais non plausible / möglicherweise betroffen aber nicht nachweisbar</v>
      </c>
      <c r="O37" s="537"/>
      <c r="P37" s="538"/>
      <c r="Q37" s="284" t="str">
        <f>IF(VLOOKUP(A37,'Revitalisation-Revitalisierung'!$A$4:$Z$275,13,FALSE)="","",VLOOKUP(A37,'Revitalisation-Revitalisierung'!$A$4:$Z$275,13,FALSE))</f>
        <v>Partiellement nécessaire, difficile / teilweise nötig, schwierig</v>
      </c>
      <c r="R37" s="541" t="str">
        <f>IF(VLOOKUP(A37,'Revitalisation-Revitalisierung'!$A$4:$Z$275,14,FALSE)="","",VLOOKUP(A37,'Revitalisation-Revitalisierung'!$A$4:$Z$275,14,FALSE))</f>
        <v>b</v>
      </c>
      <c r="S37" s="542" t="str">
        <f>IF(VLOOKUP(A37,'Revitalisation-Revitalisierung'!$A$4:$Z$275,19,FALSE)="","",VLOOKUP(A37,'Revitalisation-Revitalisierung'!$A$4:$Z$275,19,FALSE))</f>
        <v>Partiellement nécessaire, difficile / teilweise nötig, schwierig</v>
      </c>
      <c r="T37" s="541" t="str">
        <f>IF(VLOOKUP(A37,'Revitalisation-Revitalisierung'!$A$4:$Z$275,20,FALSE)="","",VLOOKUP(A37,'Revitalisation-Revitalisierung'!$A$4:$Z$275,20,FALSE))</f>
        <v>d</v>
      </c>
      <c r="U37" s="542" t="str">
        <f>IF(VLOOKUP(A37,'Revitalisation-Revitalisierung'!$A$4:$Z$275,25,FALSE)="","",VLOOKUP(A37,'Revitalisation-Revitalisierung'!$A$4:$Z$275,25,FALSE))</f>
        <v>Non nécessaire / nicht nötig</v>
      </c>
      <c r="V37" s="406" t="str">
        <f>IF(VLOOKUP(A37,'Revitalisation-Revitalisierung'!$A$4:$Z$275,26,FALSE)="","",VLOOKUP(A37,'Revitalisation-Revitalisierung'!$A$4:$Z$275,26,FALSE))</f>
        <v>e</v>
      </c>
      <c r="Y37" s="529" t="str">
        <f t="shared" si="2"/>
        <v>0-20%</v>
      </c>
      <c r="Z37" s="568" t="str">
        <f t="shared" si="3"/>
        <v>d</v>
      </c>
      <c r="AA37" s="327" t="str">
        <f t="shared" si="0"/>
        <v>100%</v>
      </c>
      <c r="AB37" s="327" t="str">
        <f t="shared" si="1"/>
        <v>Potentiellement affecté mais non plausible / möglicherweise betroffen aber nicht nachweisbar</v>
      </c>
      <c r="AC37" s="276" t="str">
        <f t="shared" si="4"/>
        <v>Non nécessaire / nicht nötig</v>
      </c>
      <c r="AD37" s="570" t="str">
        <f t="shared" si="5"/>
        <v>e</v>
      </c>
      <c r="AE37">
        <v>1</v>
      </c>
      <c r="AF37">
        <v>1</v>
      </c>
    </row>
    <row r="38" spans="1:45" ht="16.5" customHeight="1" x14ac:dyDescent="0.25">
      <c r="A38" s="926">
        <v>7</v>
      </c>
      <c r="B38" s="400" t="s">
        <v>476</v>
      </c>
      <c r="C38" s="400" t="s">
        <v>417</v>
      </c>
      <c r="D38" s="401" t="s">
        <v>472</v>
      </c>
      <c r="E38" s="522" t="str">
        <f>IF(VLOOKUP(A38,'Charriage - Geschiebehaushalt'!$A$4:$AC$275,17,FALSE)="","",VLOOKUP(A38,'Charriage - Geschiebehaushalt'!$A$4:$AC$275,17,FALSE))</f>
        <v>0-20%</v>
      </c>
      <c r="F38" s="523" t="str">
        <f>IF(VLOOKUP(A38,'Charriage - Geschiebehaushalt'!$A$4:$AC$275,18,FALSE)="","",VLOOKUP(A38,'Charriage - Geschiebehaushalt'!$A$4:$AC$275,18,FALSE))</f>
        <v>a</v>
      </c>
      <c r="G38" s="524" t="str">
        <f>IF(VLOOKUP(A38,'Charriage - Geschiebehaushalt'!$A$4:$AC$275,22,FALSE)="","",VLOOKUP(A38,'Charriage - Geschiebehaushalt'!$A$4:$AC$275,22,FALSE))</f>
        <v>21-50%</v>
      </c>
      <c r="H38" s="523" t="str">
        <f>IF(VLOOKUP(A38,'Charriage - Geschiebehaushalt'!$A$4:$AC$275,23,FALSE)="","",VLOOKUP(A38,'Charriage - Geschiebehaushalt'!$A$4:$AC$275,23,FALSE))</f>
        <v>c</v>
      </c>
      <c r="I38" s="524" t="str">
        <f>IF(VLOOKUP(A38,'Charriage - Geschiebehaushalt'!$A$4:$AC$275,28,FALSE)="","",VLOOKUP(A38,'Charriage - Geschiebehaushalt'!$A$4:$AC$275,28,FALSE))</f>
        <v>0-20%</v>
      </c>
      <c r="J38" s="403" t="str">
        <f>IF(VLOOKUP(A38,'Charriage - Geschiebehaushalt'!$A$4:$AC$275,29,FALSE)="","",VLOOKUP(A38,'Charriage - Geschiebehaushalt'!$A$4:$AC$275,29,FALSE))</f>
        <v>e</v>
      </c>
      <c r="K38" s="533" t="str">
        <f>IF(VLOOKUP(A38,'Débit - Abfluss'!$A$4:$AD$275,8,FALSE)="","",VLOOKUP(A38,'Débit - Abfluss'!$A$4:$AD$275,8,FALSE))</f>
        <v>100%</v>
      </c>
      <c r="L38" s="468" t="str">
        <f>IF(VLOOKUP(A38,'Débit - Abfluss'!$A$4:$AD$275,10,FALSE)="","",VLOOKUP(A38,'Débit - Abfluss'!$A$4:$AD$275,10,FALSE))</f>
        <v>100%</v>
      </c>
      <c r="M38" s="333" t="str">
        <f>IF(VLOOKUP(A38,'Débit - Abfluss'!$A$4:$AD$275,17,FALSE)="","",VLOOKUP(A38,'Débit - Abfluss'!$A$4:$AD$275,17,FALSE))</f>
        <v>100%</v>
      </c>
      <c r="N38" s="340" t="str">
        <f>IF(VLOOKUP(A38,'Eclusée - Schwall-Sunk'!$A$2:$F$273,6,FALSE)="","",VLOOKUP(A38,'Eclusée - Schwall-Sunk'!$A$2:$F$273,6,FALSE))</f>
        <v>Potentiellement affecté mais non plausible / möglicherweise betroffen aber nicht nachweisbar</v>
      </c>
      <c r="O38" s="537"/>
      <c r="P38" s="538"/>
      <c r="Q38" s="284" t="str">
        <f>IF(VLOOKUP(A38,'Revitalisation-Revitalisierung'!$A$4:$Z$275,13,FALSE)="","",VLOOKUP(A38,'Revitalisation-Revitalisierung'!$A$4:$Z$275,13,FALSE))</f>
        <v>Très nécessaire, facile / unbedingt nötig, einfach</v>
      </c>
      <c r="R38" s="541" t="str">
        <f>IF(VLOOKUP(A38,'Revitalisation-Revitalisierung'!$A$4:$Z$275,14,FALSE)="","",VLOOKUP(A38,'Revitalisation-Revitalisierung'!$A$4:$Z$275,14,FALSE))</f>
        <v>a</v>
      </c>
      <c r="S38" s="542" t="str">
        <f>IF(VLOOKUP(A38,'Revitalisation-Revitalisierung'!$A$4:$Z$275,19,FALSE)="","",VLOOKUP(A38,'Revitalisation-Revitalisierung'!$A$4:$Z$275,19,FALSE))</f>
        <v>Très nécessaire, facile / unbedingt nötig, einfach</v>
      </c>
      <c r="T38" s="541" t="str">
        <f>IF(VLOOKUP(A38,'Revitalisation-Revitalisierung'!$A$4:$Z$275,20,FALSE)="","",VLOOKUP(A38,'Revitalisation-Revitalisierung'!$A$4:$Z$275,20,FALSE))</f>
        <v>d</v>
      </c>
      <c r="U38" s="542" t="str">
        <f>IF(VLOOKUP(A38,'Revitalisation-Revitalisierung'!$A$4:$Z$275,25,FALSE)="","",VLOOKUP(A38,'Revitalisation-Revitalisierung'!$A$4:$Z$275,25,FALSE))</f>
        <v>Très nécessaire, facile / unbedingt nötig, einfach</v>
      </c>
      <c r="V38" s="406" t="str">
        <f>IF(VLOOKUP(A38,'Revitalisation-Revitalisierung'!$A$4:$Z$275,26,FALSE)="","",VLOOKUP(A38,'Revitalisation-Revitalisierung'!$A$4:$Z$275,26,FALSE))</f>
        <v>d</v>
      </c>
      <c r="Y38" s="529" t="str">
        <f t="shared" si="2"/>
        <v>0-20%</v>
      </c>
      <c r="Z38" s="568" t="str">
        <f t="shared" si="3"/>
        <v>e</v>
      </c>
      <c r="AA38" s="327" t="str">
        <f t="shared" si="0"/>
        <v>100%</v>
      </c>
      <c r="AB38" s="327" t="str">
        <f t="shared" si="1"/>
        <v>Potentiellement affecté mais non plausible / möglicherweise betroffen aber nicht nachweisbar</v>
      </c>
      <c r="AC38" s="276" t="str">
        <f t="shared" si="4"/>
        <v>Très nécessaire, facile / unbedingt nötig, einfach</v>
      </c>
      <c r="AD38" s="570" t="str">
        <f t="shared" si="5"/>
        <v>d</v>
      </c>
      <c r="AE38">
        <v>4</v>
      </c>
      <c r="AF38">
        <v>1</v>
      </c>
    </row>
    <row r="39" spans="1:45" ht="16.5" customHeight="1" x14ac:dyDescent="0.25">
      <c r="A39" s="926">
        <v>8</v>
      </c>
      <c r="B39" s="400" t="s">
        <v>478</v>
      </c>
      <c r="C39" s="400" t="s">
        <v>479</v>
      </c>
      <c r="D39" s="401" t="s">
        <v>472</v>
      </c>
      <c r="E39" s="522" t="str">
        <f>IF(VLOOKUP(A39,'Charriage - Geschiebehaushalt'!$A$4:$AC$275,17,FALSE)="","",VLOOKUP(A39,'Charriage - Geschiebehaushalt'!$A$4:$AC$275,17,FALSE))</f>
        <v>0-20%</v>
      </c>
      <c r="F39" s="523" t="str">
        <f>IF(VLOOKUP(A39,'Charriage - Geschiebehaushalt'!$A$4:$AC$275,18,FALSE)="","",VLOOKUP(A39,'Charriage - Geschiebehaushalt'!$A$4:$AC$275,18,FALSE))</f>
        <v>a</v>
      </c>
      <c r="G39" s="524" t="str">
        <f>IF(VLOOKUP(A39,'Charriage - Geschiebehaushalt'!$A$4:$AC$275,22,FALSE)="","",VLOOKUP(A39,'Charriage - Geschiebehaushalt'!$A$4:$AC$275,22,FALSE))</f>
        <v>51-80%</v>
      </c>
      <c r="H39" s="523" t="str">
        <f>IF(VLOOKUP(A39,'Charriage - Geschiebehaushalt'!$A$4:$AC$275,23,FALSE)="","",VLOOKUP(A39,'Charriage - Geschiebehaushalt'!$A$4:$AC$275,23,FALSE))</f>
        <v>c</v>
      </c>
      <c r="I39" s="524" t="str">
        <f>IF(VLOOKUP(A39,'Charriage - Geschiebehaushalt'!$A$4:$AC$275,28,FALSE)="","",VLOOKUP(A39,'Charriage - Geschiebehaushalt'!$A$4:$AC$275,28,FALSE))</f>
        <v>0-20%</v>
      </c>
      <c r="J39" s="403" t="str">
        <f>IF(VLOOKUP(A39,'Charriage - Geschiebehaushalt'!$A$4:$AC$275,29,FALSE)="","",VLOOKUP(A39,'Charriage - Geschiebehaushalt'!$A$4:$AC$275,29,FALSE))</f>
        <v>e</v>
      </c>
      <c r="K39" s="533" t="str">
        <f>IF(VLOOKUP(A39,'Débit - Abfluss'!$A$4:$AD$275,8,FALSE)="","",VLOOKUP(A39,'Débit - Abfluss'!$A$4:$AD$275,8,FALSE))</f>
        <v>100%</v>
      </c>
      <c r="L39" s="468" t="str">
        <f>IF(VLOOKUP(A39,'Débit - Abfluss'!$A$4:$AD$275,10,FALSE)="","",VLOOKUP(A39,'Débit - Abfluss'!$A$4:$AD$275,10,FALSE))</f>
        <v>100%</v>
      </c>
      <c r="M39" s="333" t="str">
        <f>IF(VLOOKUP(A39,'Débit - Abfluss'!$A$4:$AD$275,17,FALSE)="","",VLOOKUP(A39,'Débit - Abfluss'!$A$4:$AD$275,17,FALSE))</f>
        <v>100%</v>
      </c>
      <c r="N39" s="340" t="str">
        <f>IF(VLOOKUP(A39,'Eclusée - Schwall-Sunk'!$A$2:$F$273,6,FALSE)="","",VLOOKUP(A39,'Eclusée - Schwall-Sunk'!$A$2:$F$273,6,FALSE))</f>
        <v>Potentiellement affecté mais non plausible / möglicherweise betroffen aber nicht nachweisbar</v>
      </c>
      <c r="O39" s="537"/>
      <c r="P39" s="538"/>
      <c r="Q39" s="284" t="str">
        <f>IF(VLOOKUP(A39,'Revitalisation-Revitalisierung'!$A$4:$Z$275,13,FALSE)="","",VLOOKUP(A39,'Revitalisation-Revitalisierung'!$A$4:$Z$275,13,FALSE))</f>
        <v>Très nécessaire, facile / unbedingt nötig, einfach</v>
      </c>
      <c r="R39" s="541" t="str">
        <f>IF(VLOOKUP(A39,'Revitalisation-Revitalisierung'!$A$4:$Z$275,14,FALSE)="","",VLOOKUP(A39,'Revitalisation-Revitalisierung'!$A$4:$Z$275,14,FALSE))</f>
        <v>a</v>
      </c>
      <c r="S39" s="542" t="str">
        <f>IF(VLOOKUP(A39,'Revitalisation-Revitalisierung'!$A$4:$Z$275,19,FALSE)="","",VLOOKUP(A39,'Revitalisation-Revitalisierung'!$A$4:$Z$275,19,FALSE))</f>
        <v>Très nécessaire, facile / unbedingt nötig, einfach</v>
      </c>
      <c r="T39" s="541" t="str">
        <f>IF(VLOOKUP(A39,'Revitalisation-Revitalisierung'!$A$4:$Z$275,20,FALSE)="","",VLOOKUP(A39,'Revitalisation-Revitalisierung'!$A$4:$Z$275,20,FALSE))</f>
        <v>d</v>
      </c>
      <c r="U39" s="542" t="str">
        <f>IF(VLOOKUP(A39,'Revitalisation-Revitalisierung'!$A$4:$Z$275,25,FALSE)="","",VLOOKUP(A39,'Revitalisation-Revitalisierung'!$A$4:$Z$275,25,FALSE))</f>
        <v>Très nécessaire, facile / unbedingt nötig, einfach</v>
      </c>
      <c r="V39" s="406" t="str">
        <f>IF(VLOOKUP(A39,'Revitalisation-Revitalisierung'!$A$4:$Z$275,26,FALSE)="","",VLOOKUP(A39,'Revitalisation-Revitalisierung'!$A$4:$Z$275,26,FALSE))</f>
        <v>d</v>
      </c>
      <c r="Y39" s="529" t="str">
        <f t="shared" si="2"/>
        <v>0-20%</v>
      </c>
      <c r="Z39" s="568" t="str">
        <f t="shared" si="3"/>
        <v>e</v>
      </c>
      <c r="AA39" s="327" t="str">
        <f t="shared" si="0"/>
        <v>100%</v>
      </c>
      <c r="AB39" s="327" t="str">
        <f t="shared" si="1"/>
        <v>Potentiellement affecté mais non plausible / möglicherweise betroffen aber nicht nachweisbar</v>
      </c>
      <c r="AC39" s="276" t="str">
        <f t="shared" si="4"/>
        <v>Très nécessaire, facile / unbedingt nötig, einfach</v>
      </c>
      <c r="AD39" s="570" t="str">
        <f t="shared" si="5"/>
        <v>d</v>
      </c>
      <c r="AE39">
        <v>4</v>
      </c>
      <c r="AF39">
        <v>1</v>
      </c>
    </row>
    <row r="40" spans="1:45" ht="16.5" customHeight="1" x14ac:dyDescent="0.25">
      <c r="A40" s="926">
        <v>9</v>
      </c>
      <c r="B40" s="400" t="s">
        <v>480</v>
      </c>
      <c r="C40" s="400" t="s">
        <v>417</v>
      </c>
      <c r="D40" s="401">
        <v>0</v>
      </c>
      <c r="E40" s="522" t="str">
        <f>IF(VLOOKUP(A40,'Charriage - Geschiebehaushalt'!$A$4:$AC$275,17,FALSE)="","",VLOOKUP(A40,'Charriage - Geschiebehaushalt'!$A$4:$AC$275,17,FALSE))</f>
        <v>0-20%</v>
      </c>
      <c r="F40" s="523" t="str">
        <f>IF(VLOOKUP(A40,'Charriage - Geschiebehaushalt'!$A$4:$AC$275,18,FALSE)="","",VLOOKUP(A40,'Charriage - Geschiebehaushalt'!$A$4:$AC$275,18,FALSE))</f>
        <v>a</v>
      </c>
      <c r="G40" s="524" t="str">
        <f>IF(VLOOKUP(A40,'Charriage - Geschiebehaushalt'!$A$4:$AC$275,22,FALSE)="","",VLOOKUP(A40,'Charriage - Geschiebehaushalt'!$A$4:$AC$275,22,FALSE))</f>
        <v>21-50%</v>
      </c>
      <c r="H40" s="523" t="str">
        <f>IF(VLOOKUP(A40,'Charriage - Geschiebehaushalt'!$A$4:$AC$275,23,FALSE)="","",VLOOKUP(A40,'Charriage - Geschiebehaushalt'!$A$4:$AC$275,23,FALSE))</f>
        <v>c</v>
      </c>
      <c r="I40" s="524" t="str">
        <f>IF(VLOOKUP(A40,'Charriage - Geschiebehaushalt'!$A$4:$AC$275,28,FALSE)="","",VLOOKUP(A40,'Charriage - Geschiebehaushalt'!$A$4:$AC$275,28,FALSE))</f>
        <v>0-20%</v>
      </c>
      <c r="J40" s="403" t="str">
        <f>IF(VLOOKUP(A40,'Charriage - Geschiebehaushalt'!$A$4:$AC$275,29,FALSE)="","",VLOOKUP(A40,'Charriage - Geschiebehaushalt'!$A$4:$AC$275,29,FALSE))</f>
        <v>e</v>
      </c>
      <c r="K40" s="533" t="str">
        <f>IF(VLOOKUP(A40,'Débit - Abfluss'!$A$4:$AD$275,8,FALSE)="","",VLOOKUP(A40,'Débit - Abfluss'!$A$4:$AD$275,8,FALSE))</f>
        <v>0-20%</v>
      </c>
      <c r="L40" s="468" t="str">
        <f>IF(VLOOKUP(A40,'Débit - Abfluss'!$A$4:$AD$275,10,FALSE)="","",VLOOKUP(A40,'Débit - Abfluss'!$A$4:$AD$275,10,FALSE))</f>
        <v>0-20%</v>
      </c>
      <c r="M40" s="333" t="str">
        <f>IF(VLOOKUP(A40,'Débit - Abfluss'!$A$4:$AD$275,17,FALSE)="","",VLOOKUP(A40,'Débit - Abfluss'!$A$4:$AD$275,17,FALSE))</f>
        <v>81-100%</v>
      </c>
      <c r="N40" s="340" t="str">
        <f>IF(VLOOKUP(A40,'Eclusée - Schwall-Sunk'!$A$2:$F$273,6,FALSE)="","",VLOOKUP(A40,'Eclusée - Schwall-Sunk'!$A$2:$F$273,6,FALSE))</f>
        <v>Potentiellement affecté mais non plausible / möglicherweise betroffen aber nicht nachweisbar</v>
      </c>
      <c r="O40" s="537"/>
      <c r="P40" s="538"/>
      <c r="Q40" s="284" t="str">
        <f>IF(VLOOKUP(A40,'Revitalisation-Revitalisierung'!$A$4:$Z$275,13,FALSE)="","",VLOOKUP(A40,'Revitalisation-Revitalisierung'!$A$4:$Z$275,13,FALSE))</f>
        <v>Très nécessaire, facile / unbedingt nötig, einfach</v>
      </c>
      <c r="R40" s="541" t="str">
        <f>IF(VLOOKUP(A40,'Revitalisation-Revitalisierung'!$A$4:$Z$275,14,FALSE)="","",VLOOKUP(A40,'Revitalisation-Revitalisierung'!$A$4:$Z$275,14,FALSE))</f>
        <v>a</v>
      </c>
      <c r="S40" s="542" t="str">
        <f>IF(VLOOKUP(A40,'Revitalisation-Revitalisierung'!$A$4:$Z$275,19,FALSE)="","",VLOOKUP(A40,'Revitalisation-Revitalisierung'!$A$4:$Z$275,19,FALSE))</f>
        <v>Très nécessaire, facile / unbedingt nötig, einfach</v>
      </c>
      <c r="T40" s="541" t="str">
        <f>IF(VLOOKUP(A40,'Revitalisation-Revitalisierung'!$A$4:$Z$275,20,FALSE)="","",VLOOKUP(A40,'Revitalisation-Revitalisierung'!$A$4:$Z$275,20,FALSE))</f>
        <v>d</v>
      </c>
      <c r="U40" s="542" t="str">
        <f>IF(VLOOKUP(A40,'Revitalisation-Revitalisierung'!$A$4:$Z$275,25,FALSE)="","",VLOOKUP(A40,'Revitalisation-Revitalisierung'!$A$4:$Z$275,25,FALSE))</f>
        <v>Très nécessaire, facile / unbedingt nötig, einfach</v>
      </c>
      <c r="V40" s="406" t="str">
        <f>IF(VLOOKUP(A40,'Revitalisation-Revitalisierung'!$A$4:$Z$275,26,FALSE)="","",VLOOKUP(A40,'Revitalisation-Revitalisierung'!$A$4:$Z$275,26,FALSE))</f>
        <v>d</v>
      </c>
      <c r="Y40" s="529" t="str">
        <f t="shared" si="2"/>
        <v>0-20%</v>
      </c>
      <c r="Z40" s="568" t="str">
        <f t="shared" si="3"/>
        <v>e</v>
      </c>
      <c r="AA40" s="327" t="str">
        <f t="shared" si="0"/>
        <v>81-100%</v>
      </c>
      <c r="AB40" s="327" t="str">
        <f t="shared" si="1"/>
        <v>Potentiellement affecté mais non plausible / möglicherweise betroffen aber nicht nachweisbar</v>
      </c>
      <c r="AC40" s="276" t="str">
        <f t="shared" si="4"/>
        <v>Très nécessaire, facile / unbedingt nötig, einfach</v>
      </c>
      <c r="AD40" s="570" t="str">
        <f t="shared" si="5"/>
        <v>d</v>
      </c>
      <c r="AE40">
        <v>4</v>
      </c>
      <c r="AF40">
        <v>1</v>
      </c>
    </row>
    <row r="41" spans="1:45" ht="16.5" customHeight="1" x14ac:dyDescent="0.25">
      <c r="A41" s="926">
        <v>11</v>
      </c>
      <c r="B41" s="400" t="s">
        <v>481</v>
      </c>
      <c r="C41" s="400" t="s">
        <v>417</v>
      </c>
      <c r="D41" s="401" t="s">
        <v>472</v>
      </c>
      <c r="E41" s="522" t="str">
        <f>IF(VLOOKUP(A41,'Charriage - Geschiebehaushalt'!$A$4:$AC$275,17,FALSE)="","",VLOOKUP(A41,'Charriage - Geschiebehaushalt'!$A$4:$AC$275,17,FALSE))</f>
        <v>0-20%</v>
      </c>
      <c r="F41" s="523" t="str">
        <f>IF(VLOOKUP(A41,'Charriage - Geschiebehaushalt'!$A$4:$AC$275,18,FALSE)="","",VLOOKUP(A41,'Charriage - Geschiebehaushalt'!$A$4:$AC$275,18,FALSE))</f>
        <v>a</v>
      </c>
      <c r="G41" s="524" t="str">
        <f>IF(VLOOKUP(A41,'Charriage - Geschiebehaushalt'!$A$4:$AC$275,22,FALSE)="","",VLOOKUP(A41,'Charriage - Geschiebehaushalt'!$A$4:$AC$275,22,FALSE))</f>
        <v>21-50%</v>
      </c>
      <c r="H41" s="523" t="str">
        <f>IF(VLOOKUP(A41,'Charriage - Geschiebehaushalt'!$A$4:$AC$275,23,FALSE)="","",VLOOKUP(A41,'Charriage - Geschiebehaushalt'!$A$4:$AC$275,23,FALSE))</f>
        <v>c</v>
      </c>
      <c r="I41" s="524" t="str">
        <f>IF(VLOOKUP(A41,'Charriage - Geschiebehaushalt'!$A$4:$AC$275,28,FALSE)="","",VLOOKUP(A41,'Charriage - Geschiebehaushalt'!$A$4:$AC$275,28,FALSE))</f>
        <v>0-20%</v>
      </c>
      <c r="J41" s="403" t="str">
        <f>IF(VLOOKUP(A41,'Charriage - Geschiebehaushalt'!$A$4:$AC$275,29,FALSE)="","",VLOOKUP(A41,'Charriage - Geschiebehaushalt'!$A$4:$AC$275,29,FALSE))</f>
        <v>e</v>
      </c>
      <c r="K41" s="533" t="str">
        <f>IF(VLOOKUP(A41,'Débit - Abfluss'!$A$4:$AD$275,8,FALSE)="","",VLOOKUP(A41,'Débit - Abfluss'!$A$4:$AD$275,8,FALSE))</f>
        <v>41-60%</v>
      </c>
      <c r="L41" s="468" t="str">
        <f>IF(VLOOKUP(A41,'Débit - Abfluss'!$A$4:$AD$275,10,FALSE)="","",VLOOKUP(A41,'Débit - Abfluss'!$A$4:$AD$275,10,FALSE))</f>
        <v>41-60%</v>
      </c>
      <c r="M41" s="333" t="str">
        <f>IF(VLOOKUP(A41,'Débit - Abfluss'!$A$4:$AD$275,17,FALSE)="","",VLOOKUP(A41,'Débit - Abfluss'!$A$4:$AD$275,17,FALSE))</f>
        <v>41-60%</v>
      </c>
      <c r="N41" s="340" t="str">
        <f>IF(VLOOKUP(A41,'Eclusée - Schwall-Sunk'!$A$2:$F$273,6,FALSE)="","",VLOOKUP(A41,'Eclusée - Schwall-Sunk'!$A$2:$F$273,6,FALSE))</f>
        <v>Non affecté / nicht betroffen</v>
      </c>
      <c r="O41" s="537"/>
      <c r="P41" s="538"/>
      <c r="Q41" s="284" t="str">
        <f>IF(VLOOKUP(A41,'Revitalisation-Revitalisierung'!$A$4:$Z$275,13,FALSE)="","",VLOOKUP(A41,'Revitalisation-Revitalisierung'!$A$4:$Z$275,13,FALSE))</f>
        <v>Partiellement nécessaire, difficile</v>
      </c>
      <c r="R41" s="541" t="str">
        <f>IF(VLOOKUP(A41,'Revitalisation-Revitalisierung'!$A$4:$Z$275,14,FALSE)="","",VLOOKUP(A41,'Revitalisation-Revitalisierung'!$A$4:$Z$275,14,FALSE))</f>
        <v>b</v>
      </c>
      <c r="S41" s="542" t="str">
        <f>IF(VLOOKUP(A41,'Revitalisation-Revitalisierung'!$A$4:$Z$275,19,FALSE)="","",VLOOKUP(A41,'Revitalisation-Revitalisierung'!$A$4:$Z$275,19,FALSE))</f>
        <v>Partiellement nécessaire, difficile</v>
      </c>
      <c r="T41" s="541" t="str">
        <f>IF(VLOOKUP(A41,'Revitalisation-Revitalisierung'!$A$4:$Z$275,20,FALSE)="","",VLOOKUP(A41,'Revitalisation-Revitalisierung'!$A$4:$Z$275,20,FALSE))</f>
        <v>d</v>
      </c>
      <c r="U41" s="542" t="str">
        <f>IF(VLOOKUP(A41,'Revitalisation-Revitalisierung'!$A$4:$Z$275,25,FALSE)="","",VLOOKUP(A41,'Revitalisation-Revitalisierung'!$A$4:$Z$275,25,FALSE))</f>
        <v>Partiellement nécessaire, difficile</v>
      </c>
      <c r="V41" s="406" t="str">
        <f>IF(VLOOKUP(A41,'Revitalisation-Revitalisierung'!$A$4:$Z$275,26,FALSE)="","",VLOOKUP(A41,'Revitalisation-Revitalisierung'!$A$4:$Z$275,26,FALSE))</f>
        <v>d</v>
      </c>
      <c r="Y41" s="529" t="str">
        <f t="shared" si="2"/>
        <v>0-20%</v>
      </c>
      <c r="Z41" s="568" t="str">
        <f t="shared" si="3"/>
        <v>e</v>
      </c>
      <c r="AA41" s="327" t="str">
        <f t="shared" si="0"/>
        <v>41-60%</v>
      </c>
      <c r="AB41" s="327" t="str">
        <f t="shared" si="1"/>
        <v>Non affecté / nicht betroffen</v>
      </c>
      <c r="AC41" s="276" t="str">
        <f t="shared" si="4"/>
        <v>Partiellement nécessaire, difficile</v>
      </c>
      <c r="AD41" s="570" t="str">
        <f t="shared" si="5"/>
        <v>d</v>
      </c>
      <c r="AE41">
        <v>3</v>
      </c>
      <c r="AF41">
        <v>1</v>
      </c>
    </row>
    <row r="42" spans="1:45" ht="16.5" customHeight="1" x14ac:dyDescent="0.25">
      <c r="A42" s="926">
        <v>12</v>
      </c>
      <c r="B42" s="400" t="s">
        <v>436</v>
      </c>
      <c r="C42" s="400" t="s">
        <v>417</v>
      </c>
      <c r="D42" s="401" t="s">
        <v>435</v>
      </c>
      <c r="E42" s="522" t="str">
        <f>IF(VLOOKUP(A42,'Charriage - Geschiebehaushalt'!$A$4:$AC$275,17,FALSE)="","",VLOOKUP(A42,'Charriage - Geschiebehaushalt'!$A$4:$AC$275,17,FALSE))</f>
        <v>0-20%</v>
      </c>
      <c r="F42" s="523" t="str">
        <f>IF(VLOOKUP(A42,'Charriage - Geschiebehaushalt'!$A$4:$AC$275,18,FALSE)="","",VLOOKUP(A42,'Charriage - Geschiebehaushalt'!$A$4:$AC$275,18,FALSE))</f>
        <v>a</v>
      </c>
      <c r="G42" s="524" t="str">
        <f>IF(VLOOKUP(A42,'Charriage - Geschiebehaushalt'!$A$4:$AC$275,22,FALSE)="","",VLOOKUP(A42,'Charriage - Geschiebehaushalt'!$A$4:$AC$275,22,FALSE))</f>
        <v>0-20%</v>
      </c>
      <c r="H42" s="523" t="str">
        <f>IF(VLOOKUP(A42,'Charriage - Geschiebehaushalt'!$A$4:$AC$275,23,FALSE)="","",VLOOKUP(A42,'Charriage - Geschiebehaushalt'!$A$4:$AC$275,23,FALSE))</f>
        <v>a</v>
      </c>
      <c r="I42" s="524" t="str">
        <f>IF(VLOOKUP(A42,'Charriage - Geschiebehaushalt'!$A$4:$AC$275,28,FALSE)="","",VLOOKUP(A42,'Charriage - Geschiebehaushalt'!$A$4:$AC$275,28,FALSE))</f>
        <v>0-20%</v>
      </c>
      <c r="J42" s="403" t="str">
        <f>IF(VLOOKUP(A42,'Charriage - Geschiebehaushalt'!$A$4:$AC$275,29,FALSE)="","",VLOOKUP(A42,'Charriage - Geschiebehaushalt'!$A$4:$AC$275,29,FALSE))</f>
        <v>a</v>
      </c>
      <c r="K42" s="533" t="str">
        <f>IF(VLOOKUP(A42,'Débit - Abfluss'!$A$4:$AD$275,8,FALSE)="","",VLOOKUP(A42,'Débit - Abfluss'!$A$4:$AD$275,8,FALSE))</f>
        <v>100%</v>
      </c>
      <c r="L42" s="468" t="str">
        <f>IF(VLOOKUP(A42,'Débit - Abfluss'!$A$4:$AD$275,10,FALSE)="","",VLOOKUP(A42,'Débit - Abfluss'!$A$4:$AD$275,10,FALSE))</f>
        <v>100%</v>
      </c>
      <c r="M42" s="333" t="str">
        <f>IF(VLOOKUP(A42,'Débit - Abfluss'!$A$4:$AD$275,17,FALSE)="","",VLOOKUP(A42,'Débit - Abfluss'!$A$4:$AD$275,17,FALSE))</f>
        <v>100%</v>
      </c>
      <c r="N42" s="340" t="str">
        <f>IF(VLOOKUP(A42,'Eclusée - Schwall-Sunk'!$A$2:$F$273,6,FALSE)="","",VLOOKUP(A42,'Eclusée - Schwall-Sunk'!$A$2:$F$273,6,FALSE))</f>
        <v>Non affecté / nicht betroffen</v>
      </c>
      <c r="O42" s="537"/>
      <c r="P42" s="538"/>
      <c r="Q42" s="284" t="str">
        <f>IF(VLOOKUP(A42,'Revitalisation-Revitalisierung'!$A$4:$Z$275,13,FALSE)="","",VLOOKUP(A42,'Revitalisation-Revitalisierung'!$A$4:$Z$275,13,FALSE))</f>
        <v>Très nécessaire, facile / unbedingt nötig, einfach</v>
      </c>
      <c r="R42" s="541" t="str">
        <f>IF(VLOOKUP(A42,'Revitalisation-Revitalisierung'!$A$4:$Z$275,14,FALSE)="","",VLOOKUP(A42,'Revitalisation-Revitalisierung'!$A$4:$Z$275,14,FALSE))</f>
        <v>a</v>
      </c>
      <c r="S42" s="542" t="str">
        <f>IF(VLOOKUP(A42,'Revitalisation-Revitalisierung'!$A$4:$Z$275,19,FALSE)="","",VLOOKUP(A42,'Revitalisation-Revitalisierung'!$A$4:$Z$275,19,FALSE))</f>
        <v>Très nécessaire, facile / unbedingt nötig, einfach</v>
      </c>
      <c r="T42" s="541" t="str">
        <f>IF(VLOOKUP(A42,'Revitalisation-Revitalisierung'!$A$4:$Z$275,20,FALSE)="","",VLOOKUP(A42,'Revitalisation-Revitalisierung'!$A$4:$Z$275,20,FALSE))</f>
        <v>d</v>
      </c>
      <c r="U42" s="542" t="str">
        <f>IF(VLOOKUP(A42,'Revitalisation-Revitalisierung'!$A$4:$Z$275,25,FALSE)="","",VLOOKUP(A42,'Revitalisation-Revitalisierung'!$A$4:$Z$275,25,FALSE))</f>
        <v>Très nécessaire, facile / unbedingt nötig, einfach</v>
      </c>
      <c r="V42" s="406" t="str">
        <f>IF(VLOOKUP(A42,'Revitalisation-Revitalisierung'!$A$4:$Z$275,26,FALSE)="","",VLOOKUP(A42,'Revitalisation-Revitalisierung'!$A$4:$Z$275,26,FALSE))</f>
        <v>d</v>
      </c>
      <c r="Y42" s="529" t="str">
        <f t="shared" si="2"/>
        <v>0-20%</v>
      </c>
      <c r="Z42" s="568" t="str">
        <f t="shared" si="3"/>
        <v>a</v>
      </c>
      <c r="AA42" s="327" t="str">
        <f t="shared" si="0"/>
        <v>100%</v>
      </c>
      <c r="AB42" s="327" t="str">
        <f t="shared" si="1"/>
        <v>Non affecté / nicht betroffen</v>
      </c>
      <c r="AC42" s="276" t="str">
        <f t="shared" si="4"/>
        <v>Très nécessaire, facile / unbedingt nötig, einfach</v>
      </c>
      <c r="AD42" s="570" t="str">
        <f t="shared" si="5"/>
        <v>d</v>
      </c>
      <c r="AE42">
        <v>2</v>
      </c>
      <c r="AF42">
        <v>1</v>
      </c>
    </row>
    <row r="43" spans="1:45" ht="16.5" customHeight="1" x14ac:dyDescent="0.25">
      <c r="A43" s="926">
        <v>14</v>
      </c>
      <c r="B43" s="400" t="s">
        <v>411</v>
      </c>
      <c r="C43" s="400" t="s">
        <v>412</v>
      </c>
      <c r="D43" s="401" t="s">
        <v>410</v>
      </c>
      <c r="E43" s="522" t="str">
        <f>IF(VLOOKUP(A43,'Charriage - Geschiebehaushalt'!$A$4:$AC$275,17,FALSE)="","",VLOOKUP(A43,'Charriage - Geschiebehaushalt'!$A$4:$AC$275,17,FALSE))</f>
        <v>51-80%</v>
      </c>
      <c r="F43" s="523" t="str">
        <f>IF(VLOOKUP(A43,'Charriage - Geschiebehaushalt'!$A$4:$AC$275,18,FALSE)="","",VLOOKUP(A43,'Charriage - Geschiebehaushalt'!$A$4:$AC$275,18,FALSE))</f>
        <v>a</v>
      </c>
      <c r="G43" s="524" t="str">
        <f>IF(VLOOKUP(A43,'Charriage - Geschiebehaushalt'!$A$4:$AC$275,22,FALSE)="","",VLOOKUP(A43,'Charriage - Geschiebehaushalt'!$A$4:$AC$275,22,FALSE))</f>
        <v>51-80%</v>
      </c>
      <c r="H43" s="523" t="str">
        <f>IF(VLOOKUP(A43,'Charriage - Geschiebehaushalt'!$A$4:$AC$275,23,FALSE)="","",VLOOKUP(A43,'Charriage - Geschiebehaushalt'!$A$4:$AC$275,23,FALSE))</f>
        <v>d</v>
      </c>
      <c r="I43" s="524" t="str">
        <f>IF(VLOOKUP(A43,'Charriage - Geschiebehaushalt'!$A$4:$AC$275,28,FALSE)="","",VLOOKUP(A43,'Charriage - Geschiebehaushalt'!$A$4:$AC$275,28,FALSE))</f>
        <v>81-100%</v>
      </c>
      <c r="J43" s="403" t="str">
        <f>IF(VLOOKUP(A43,'Charriage - Geschiebehaushalt'!$A$4:$AC$275,29,FALSE)="","",VLOOKUP(A43,'Charriage - Geschiebehaushalt'!$A$4:$AC$275,29,FALSE))</f>
        <v>e</v>
      </c>
      <c r="K43" s="533" t="str">
        <f>IF(VLOOKUP(A43,'Débit - Abfluss'!$A$4:$AD$275,8,FALSE)="","",VLOOKUP(A43,'Débit - Abfluss'!$A$4:$AD$275,8,FALSE))</f>
        <v>100%</v>
      </c>
      <c r="L43" s="468" t="str">
        <f>IF(VLOOKUP(A43,'Débit - Abfluss'!$A$4:$AD$275,10,FALSE)="","",VLOOKUP(A43,'Débit - Abfluss'!$A$4:$AD$275,10,FALSE))</f>
        <v>100%</v>
      </c>
      <c r="M43" s="333" t="str">
        <f>IF(VLOOKUP(A43,'Débit - Abfluss'!$A$4:$AD$275,17,FALSE)="","",VLOOKUP(A43,'Débit - Abfluss'!$A$4:$AD$275,17,FALSE))</f>
        <v>0-20%</v>
      </c>
      <c r="N43" s="340" t="str">
        <f>IF(VLOOKUP(A43,'Eclusée - Schwall-Sunk'!$A$2:$F$273,6,FALSE)="","",VLOOKUP(A43,'Eclusée - Schwall-Sunk'!$A$2:$F$273,6,FALSE))</f>
        <v>Non affecté / nicht betroffen</v>
      </c>
      <c r="O43" s="537"/>
      <c r="P43" s="538"/>
      <c r="Q43" s="284" t="str">
        <f>IF(VLOOKUP(A43,'Revitalisation-Revitalisierung'!$A$4:$Z$275,13,FALSE)="","",VLOOKUP(A43,'Revitalisation-Revitalisierung'!$A$4:$Z$275,13,FALSE))</f>
        <v>Partiellement nécessaire, difficile / teilweise nötig, schwierig</v>
      </c>
      <c r="R43" s="541" t="str">
        <f>IF(VLOOKUP(A43,'Revitalisation-Revitalisierung'!$A$4:$Z$275,14,FALSE)="","",VLOOKUP(A43,'Revitalisation-Revitalisierung'!$A$4:$Z$275,14,FALSE))</f>
        <v>a</v>
      </c>
      <c r="S43" s="542" t="str">
        <f>IF(VLOOKUP(A43,'Revitalisation-Revitalisierung'!$A$4:$Z$275,19,FALSE)="","",VLOOKUP(A43,'Revitalisation-Revitalisierung'!$A$4:$Z$275,19,FALSE))</f>
        <v>Partiellement nécessaire, difficile / teilweise nötig, schwierig</v>
      </c>
      <c r="T43" s="541" t="str">
        <f>IF(VLOOKUP(A43,'Revitalisation-Revitalisierung'!$A$4:$Z$275,20,FALSE)="","",VLOOKUP(A43,'Revitalisation-Revitalisierung'!$A$4:$Z$275,20,FALSE))</f>
        <v>d</v>
      </c>
      <c r="U43" s="542" t="str">
        <f>IF(VLOOKUP(A43,'Revitalisation-Revitalisierung'!$A$4:$Z$275,25,FALSE)="","",VLOOKUP(A43,'Revitalisation-Revitalisierung'!$A$4:$Z$275,25,FALSE))</f>
        <v>Partiellement nécessaire, difficile / teilweise nötig, schwierig</v>
      </c>
      <c r="V43" s="406" t="str">
        <f>IF(VLOOKUP(A43,'Revitalisation-Revitalisierung'!$A$4:$Z$275,26,FALSE)="","",VLOOKUP(A43,'Revitalisation-Revitalisierung'!$A$4:$Z$275,26,FALSE))</f>
        <v>d</v>
      </c>
      <c r="Y43" s="529" t="str">
        <f t="shared" si="2"/>
        <v>81-100%</v>
      </c>
      <c r="Z43" s="568" t="str">
        <f t="shared" si="3"/>
        <v>e</v>
      </c>
      <c r="AA43" s="327" t="str">
        <f t="shared" si="0"/>
        <v>0-20%</v>
      </c>
      <c r="AB43" s="327" t="str">
        <f t="shared" si="1"/>
        <v>Non affecté / nicht betroffen</v>
      </c>
      <c r="AC43" s="276" t="str">
        <f t="shared" si="4"/>
        <v>Partiellement nécessaire, difficile / teilweise nötig, schwierig</v>
      </c>
      <c r="AD43" s="570" t="str">
        <f t="shared" si="5"/>
        <v>d</v>
      </c>
      <c r="AE43">
        <v>3</v>
      </c>
      <c r="AF43">
        <v>1</v>
      </c>
    </row>
    <row r="44" spans="1:45" ht="16.5" customHeight="1" x14ac:dyDescent="0.25">
      <c r="A44" s="926">
        <v>16</v>
      </c>
      <c r="B44" s="400" t="s">
        <v>416</v>
      </c>
      <c r="C44" s="400" t="s">
        <v>417</v>
      </c>
      <c r="D44" s="401" t="s">
        <v>410</v>
      </c>
      <c r="E44" s="522" t="str">
        <f>IF(VLOOKUP(A44,'Charriage - Geschiebehaushalt'!$A$4:$AC$275,17,FALSE)="","",VLOOKUP(A44,'Charriage - Geschiebehaushalt'!$A$4:$AC$275,17,FALSE))</f>
        <v>0-20%</v>
      </c>
      <c r="F44" s="523" t="str">
        <f>IF(VLOOKUP(A44,'Charriage - Geschiebehaushalt'!$A$4:$AC$275,18,FALSE)="","",VLOOKUP(A44,'Charriage - Geschiebehaushalt'!$A$4:$AC$275,18,FALSE))</f>
        <v>a</v>
      </c>
      <c r="G44" s="524" t="str">
        <f>IF(VLOOKUP(A44,'Charriage - Geschiebehaushalt'!$A$4:$AC$275,22,FALSE)="","",VLOOKUP(A44,'Charriage - Geschiebehaushalt'!$A$4:$AC$275,22,FALSE))</f>
        <v>0-20%</v>
      </c>
      <c r="H44" s="523" t="str">
        <f>IF(VLOOKUP(A44,'Charriage - Geschiebehaushalt'!$A$4:$AC$275,23,FALSE)="","",VLOOKUP(A44,'Charriage - Geschiebehaushalt'!$A$4:$AC$275,23,FALSE))</f>
        <v>a</v>
      </c>
      <c r="I44" s="524" t="str">
        <f>IF(VLOOKUP(A44,'Charriage - Geschiebehaushalt'!$A$4:$AC$275,28,FALSE)="","",VLOOKUP(A44,'Charriage - Geschiebehaushalt'!$A$4:$AC$275,28,FALSE))</f>
        <v>0-20%</v>
      </c>
      <c r="J44" s="403" t="str">
        <f>IF(VLOOKUP(A44,'Charriage - Geschiebehaushalt'!$A$4:$AC$275,29,FALSE)="","",VLOOKUP(A44,'Charriage - Geschiebehaushalt'!$A$4:$AC$275,29,FALSE))</f>
        <v>a</v>
      </c>
      <c r="K44" s="533" t="str">
        <f>IF(VLOOKUP(A44,'Débit - Abfluss'!$A$4:$AD$275,8,FALSE)="","",VLOOKUP(A44,'Débit - Abfluss'!$A$4:$AD$275,8,FALSE))</f>
        <v>100%</v>
      </c>
      <c r="L44" s="468" t="str">
        <f>IF(VLOOKUP(A44,'Débit - Abfluss'!$A$4:$AD$275,10,FALSE)="","",VLOOKUP(A44,'Débit - Abfluss'!$A$4:$AD$275,10,FALSE))</f>
        <v>100%</v>
      </c>
      <c r="M44" s="333" t="str">
        <f>IF(VLOOKUP(A44,'Débit - Abfluss'!$A$4:$AD$275,17,FALSE)="","",VLOOKUP(A44,'Débit - Abfluss'!$A$4:$AD$275,17,FALSE))</f>
        <v>100%</v>
      </c>
      <c r="N44" s="340" t="str">
        <f>IF(VLOOKUP(A44,'Eclusée - Schwall-Sunk'!$A$2:$F$273,6,FALSE)="","",VLOOKUP(A44,'Eclusée - Schwall-Sunk'!$A$2:$F$273,6,FALSE))</f>
        <v>Non affecté / nicht betroffen</v>
      </c>
      <c r="O44" s="537"/>
      <c r="P44" s="538"/>
      <c r="Q44" s="284" t="str">
        <f>IF(VLOOKUP(A44,'Revitalisation-Revitalisierung'!$A$4:$Z$275,13,FALSE)="","",VLOOKUP(A44,'Revitalisation-Revitalisierung'!$A$4:$Z$275,13,FALSE))</f>
        <v>Très nécessaire, facile / unbedingt nötig, einfach</v>
      </c>
      <c r="R44" s="541" t="str">
        <f>IF(VLOOKUP(A44,'Revitalisation-Revitalisierung'!$A$4:$Z$275,14,FALSE)="","",VLOOKUP(A44,'Revitalisation-Revitalisierung'!$A$4:$Z$275,14,FALSE))</f>
        <v>a</v>
      </c>
      <c r="S44" s="542" t="str">
        <f>IF(VLOOKUP(A44,'Revitalisation-Revitalisierung'!$A$4:$Z$275,19,FALSE)="","",VLOOKUP(A44,'Revitalisation-Revitalisierung'!$A$4:$Z$275,19,FALSE))</f>
        <v>Très nécessaire, facile / unbedingt nötig, einfach</v>
      </c>
      <c r="T44" s="541" t="str">
        <f>IF(VLOOKUP(A44,'Revitalisation-Revitalisierung'!$A$4:$Z$275,20,FALSE)="","",VLOOKUP(A44,'Revitalisation-Revitalisierung'!$A$4:$Z$275,20,FALSE))</f>
        <v>d</v>
      </c>
      <c r="U44" s="542" t="str">
        <f>IF(VLOOKUP(A44,'Revitalisation-Revitalisierung'!$A$4:$Z$275,25,FALSE)="","",VLOOKUP(A44,'Revitalisation-Revitalisierung'!$A$4:$Z$275,25,FALSE))</f>
        <v>Très nécessaire, facile / unbedingt nötig, einfach</v>
      </c>
      <c r="V44" s="406" t="str">
        <f>IF(VLOOKUP(A44,'Revitalisation-Revitalisierung'!$A$4:$Z$275,26,FALSE)="","",VLOOKUP(A44,'Revitalisation-Revitalisierung'!$A$4:$Z$275,26,FALSE))</f>
        <v>d</v>
      </c>
      <c r="Y44" s="529" t="str">
        <f t="shared" si="2"/>
        <v>0-20%</v>
      </c>
      <c r="Z44" s="568" t="str">
        <f t="shared" si="3"/>
        <v>a</v>
      </c>
      <c r="AA44" s="327" t="str">
        <f t="shared" si="0"/>
        <v>100%</v>
      </c>
      <c r="AB44" s="327" t="str">
        <f t="shared" si="1"/>
        <v>Non affecté / nicht betroffen</v>
      </c>
      <c r="AC44" s="276" t="str">
        <f t="shared" si="4"/>
        <v>Très nécessaire, facile / unbedingt nötig, einfach</v>
      </c>
      <c r="AD44" s="570" t="str">
        <f t="shared" si="5"/>
        <v>d</v>
      </c>
      <c r="AE44">
        <v>2</v>
      </c>
      <c r="AF44">
        <v>1</v>
      </c>
    </row>
    <row r="45" spans="1:45" ht="16.5" customHeight="1" x14ac:dyDescent="0.25">
      <c r="A45" s="926">
        <v>18</v>
      </c>
      <c r="B45" s="400" t="s">
        <v>419</v>
      </c>
      <c r="C45" s="400" t="s">
        <v>417</v>
      </c>
      <c r="D45" s="401" t="s">
        <v>410</v>
      </c>
      <c r="E45" s="522" t="str">
        <f>IF(VLOOKUP(A45,'Charriage - Geschiebehaushalt'!$A$4:$AC$275,17,FALSE)="","",VLOOKUP(A45,'Charriage - Geschiebehaushalt'!$A$4:$AC$275,17,FALSE))</f>
        <v>0-20%</v>
      </c>
      <c r="F45" s="523" t="str">
        <f>IF(VLOOKUP(A45,'Charriage - Geschiebehaushalt'!$A$4:$AC$275,18,FALSE)="","",VLOOKUP(A45,'Charriage - Geschiebehaushalt'!$A$4:$AC$275,18,FALSE))</f>
        <v>a</v>
      </c>
      <c r="G45" s="524" t="str">
        <f>IF(VLOOKUP(A45,'Charriage - Geschiebehaushalt'!$A$4:$AC$275,22,FALSE)="","",VLOOKUP(A45,'Charriage - Geschiebehaushalt'!$A$4:$AC$275,22,FALSE))</f>
        <v>0-20%</v>
      </c>
      <c r="H45" s="523" t="str">
        <f>IF(VLOOKUP(A45,'Charriage - Geschiebehaushalt'!$A$4:$AC$275,23,FALSE)="","",VLOOKUP(A45,'Charriage - Geschiebehaushalt'!$A$4:$AC$275,23,FALSE))</f>
        <v>a</v>
      </c>
      <c r="I45" s="524" t="str">
        <f>IF(VLOOKUP(A45,'Charriage - Geschiebehaushalt'!$A$4:$AC$275,28,FALSE)="","",VLOOKUP(A45,'Charriage - Geschiebehaushalt'!$A$4:$AC$275,28,FALSE))</f>
        <v>0-20%</v>
      </c>
      <c r="J45" s="403" t="str">
        <f>IF(VLOOKUP(A45,'Charriage - Geschiebehaushalt'!$A$4:$AC$275,29,FALSE)="","",VLOOKUP(A45,'Charriage - Geschiebehaushalt'!$A$4:$AC$275,29,FALSE))</f>
        <v>a</v>
      </c>
      <c r="K45" s="533" t="str">
        <f>IF(VLOOKUP(A45,'Débit - Abfluss'!$A$4:$AD$275,8,FALSE)="","",VLOOKUP(A45,'Débit - Abfluss'!$A$4:$AD$275,8,FALSE))</f>
        <v>100%</v>
      </c>
      <c r="L45" s="468" t="str">
        <f>IF(VLOOKUP(A45,'Débit - Abfluss'!$A$4:$AD$275,10,FALSE)="","",VLOOKUP(A45,'Débit - Abfluss'!$A$4:$AD$275,10,FALSE))</f>
        <v>100%</v>
      </c>
      <c r="M45" s="333" t="str">
        <f>IF(VLOOKUP(A45,'Débit - Abfluss'!$A$4:$AD$275,17,FALSE)="","",VLOOKUP(A45,'Débit - Abfluss'!$A$4:$AD$275,17,FALSE))</f>
        <v>100%</v>
      </c>
      <c r="N45" s="340" t="str">
        <f>IF(VLOOKUP(A45,'Eclusée - Schwall-Sunk'!$A$2:$F$273,6,FALSE)="","",VLOOKUP(A45,'Eclusée - Schwall-Sunk'!$A$2:$F$273,6,FALSE))</f>
        <v>Non affecté / nicht betroffen</v>
      </c>
      <c r="O45" s="537"/>
      <c r="P45" s="538"/>
      <c r="Q45" s="284" t="str">
        <f>IF(VLOOKUP(A45,'Revitalisation-Revitalisierung'!$A$4:$Z$275,13,FALSE)="","",VLOOKUP(A45,'Revitalisation-Revitalisierung'!$A$4:$Z$275,13,FALSE))</f>
        <v>Très nécessaire, facile</v>
      </c>
      <c r="R45" s="541" t="str">
        <f>IF(VLOOKUP(A45,'Revitalisation-Revitalisierung'!$A$4:$Z$275,14,FALSE)="","",VLOOKUP(A45,'Revitalisation-Revitalisierung'!$A$4:$Z$275,14,FALSE))</f>
        <v>b</v>
      </c>
      <c r="S45" s="542" t="str">
        <f>IF(VLOOKUP(A45,'Revitalisation-Revitalisierung'!$A$4:$Z$275,19,FALSE)="","",VLOOKUP(A45,'Revitalisation-Revitalisierung'!$A$4:$Z$275,19,FALSE))</f>
        <v>Très nécessaire, facile</v>
      </c>
      <c r="T45" s="541" t="str">
        <f>IF(VLOOKUP(A45,'Revitalisation-Revitalisierung'!$A$4:$Z$275,20,FALSE)="","",VLOOKUP(A45,'Revitalisation-Revitalisierung'!$A$4:$Z$275,20,FALSE))</f>
        <v>d</v>
      </c>
      <c r="U45" s="542" t="str">
        <f>IF(VLOOKUP(A45,'Revitalisation-Revitalisierung'!$A$4:$Z$275,25,FALSE)="","",VLOOKUP(A45,'Revitalisation-Revitalisierung'!$A$4:$Z$275,25,FALSE))</f>
        <v>Très nécessaire, facile</v>
      </c>
      <c r="V45" s="406" t="str">
        <f>IF(VLOOKUP(A45,'Revitalisation-Revitalisierung'!$A$4:$Z$275,26,FALSE)="","",VLOOKUP(A45,'Revitalisation-Revitalisierung'!$A$4:$Z$275,26,FALSE))</f>
        <v>d</v>
      </c>
      <c r="Y45" s="529" t="str">
        <f t="shared" si="2"/>
        <v>0-20%</v>
      </c>
      <c r="Z45" s="568" t="str">
        <f t="shared" si="3"/>
        <v>a</v>
      </c>
      <c r="AA45" s="327" t="str">
        <f t="shared" si="0"/>
        <v>100%</v>
      </c>
      <c r="AB45" s="327" t="str">
        <f t="shared" si="1"/>
        <v>Non affecté / nicht betroffen</v>
      </c>
      <c r="AC45" s="276" t="str">
        <f t="shared" si="4"/>
        <v>Très nécessaire, facile</v>
      </c>
      <c r="AD45" s="570" t="str">
        <f t="shared" si="5"/>
        <v>d</v>
      </c>
      <c r="AE45">
        <v>2</v>
      </c>
      <c r="AF45">
        <v>1</v>
      </c>
    </row>
    <row r="46" spans="1:45" ht="16.5" customHeight="1" x14ac:dyDescent="0.25">
      <c r="A46" s="926">
        <v>19</v>
      </c>
      <c r="B46" s="400" t="s">
        <v>420</v>
      </c>
      <c r="C46" s="400" t="s">
        <v>421</v>
      </c>
      <c r="D46" s="401" t="s">
        <v>410</v>
      </c>
      <c r="E46" s="522" t="str">
        <f>IF(VLOOKUP(A46,'Charriage - Geschiebehaushalt'!$A$4:$AC$275,17,FALSE)="","",VLOOKUP(A46,'Charriage - Geschiebehaushalt'!$A$4:$AC$275,17,FALSE))</f>
        <v>0-20%</v>
      </c>
      <c r="F46" s="523" t="str">
        <f>IF(VLOOKUP(A46,'Charriage - Geschiebehaushalt'!$A$4:$AC$275,18,FALSE)="","",VLOOKUP(A46,'Charriage - Geschiebehaushalt'!$A$4:$AC$275,18,FALSE))</f>
        <v>a</v>
      </c>
      <c r="G46" s="524" t="str">
        <f>IF(VLOOKUP(A46,'Charriage - Geschiebehaushalt'!$A$4:$AC$275,22,FALSE)="","",VLOOKUP(A46,'Charriage - Geschiebehaushalt'!$A$4:$AC$275,22,FALSE))</f>
        <v>0-20%</v>
      </c>
      <c r="H46" s="523" t="str">
        <f>IF(VLOOKUP(A46,'Charriage - Geschiebehaushalt'!$A$4:$AC$275,23,FALSE)="","",VLOOKUP(A46,'Charriage - Geschiebehaushalt'!$A$4:$AC$275,23,FALSE))</f>
        <v>a</v>
      </c>
      <c r="I46" s="524" t="str">
        <f>IF(VLOOKUP(A46,'Charriage - Geschiebehaushalt'!$A$4:$AC$275,28,FALSE)="","",VLOOKUP(A46,'Charriage - Geschiebehaushalt'!$A$4:$AC$275,28,FALSE))</f>
        <v>0-20%</v>
      </c>
      <c r="J46" s="403" t="str">
        <f>IF(VLOOKUP(A46,'Charriage - Geschiebehaushalt'!$A$4:$AC$275,29,FALSE)="","",VLOOKUP(A46,'Charriage - Geschiebehaushalt'!$A$4:$AC$275,29,FALSE))</f>
        <v>a</v>
      </c>
      <c r="K46" s="533" t="str">
        <f>IF(VLOOKUP(A46,'Débit - Abfluss'!$A$4:$AD$275,8,FALSE)="","",VLOOKUP(A46,'Débit - Abfluss'!$A$4:$AD$275,8,FALSE))</f>
        <v>100%</v>
      </c>
      <c r="L46" s="468" t="str">
        <f>IF(VLOOKUP(A46,'Débit - Abfluss'!$A$4:$AD$275,10,FALSE)="","",VLOOKUP(A46,'Débit - Abfluss'!$A$4:$AD$275,10,FALSE))</f>
        <v>100%</v>
      </c>
      <c r="M46" s="333" t="str">
        <f>IF(VLOOKUP(A46,'Débit - Abfluss'!$A$4:$AD$275,17,FALSE)="","",VLOOKUP(A46,'Débit - Abfluss'!$A$4:$AD$275,17,FALSE))</f>
        <v>100%</v>
      </c>
      <c r="N46" s="340" t="str">
        <f>IF(VLOOKUP(A46,'Eclusée - Schwall-Sunk'!$A$2:$F$273,6,FALSE)="","",VLOOKUP(A46,'Eclusée - Schwall-Sunk'!$A$2:$F$273,6,FALSE))</f>
        <v>Non affecté / nicht betroffen</v>
      </c>
      <c r="O46" s="537"/>
      <c r="P46" s="538"/>
      <c r="Q46" s="284" t="str">
        <f>IF(VLOOKUP(A46,'Revitalisation-Revitalisierung'!$A$4:$Z$275,13,FALSE)="","",VLOOKUP(A46,'Revitalisation-Revitalisierung'!$A$4:$Z$275,13,FALSE))</f>
        <v>Non nécessaire</v>
      </c>
      <c r="R46" s="541" t="str">
        <f>IF(VLOOKUP(A46,'Revitalisation-Revitalisierung'!$A$4:$Z$275,14,FALSE)="","",VLOOKUP(A46,'Revitalisation-Revitalisierung'!$A$4:$Z$275,14,FALSE))</f>
        <v>a</v>
      </c>
      <c r="S46" s="542" t="str">
        <f>IF(VLOOKUP(A46,'Revitalisation-Revitalisierung'!$A$4:$Z$275,19,FALSE)="","",VLOOKUP(A46,'Revitalisation-Revitalisierung'!$A$4:$Z$275,19,FALSE))</f>
        <v>Très nécessaire, difficile</v>
      </c>
      <c r="T46" s="541" t="str">
        <f>IF(VLOOKUP(A46,'Revitalisation-Revitalisierung'!$A$4:$Z$275,20,FALSE)="","",VLOOKUP(A46,'Revitalisation-Revitalisierung'!$A$4:$Z$275,20,FALSE))</f>
        <v>c</v>
      </c>
      <c r="U46" s="542" t="str">
        <f>IF(VLOOKUP(A46,'Revitalisation-Revitalisierung'!$A$4:$Z$275,25,FALSE)="","",VLOOKUP(A46,'Revitalisation-Revitalisierung'!$A$4:$Z$275,25,FALSE))</f>
        <v>Très nécessaire, difficile</v>
      </c>
      <c r="V46" s="406" t="str">
        <f>IF(VLOOKUP(A46,'Revitalisation-Revitalisierung'!$A$4:$Z$275,26,FALSE)="","",VLOOKUP(A46,'Revitalisation-Revitalisierung'!$A$4:$Z$275,26,FALSE))</f>
        <v>c</v>
      </c>
      <c r="Y46" s="529" t="str">
        <f t="shared" si="2"/>
        <v>0-20%</v>
      </c>
      <c r="Z46" s="568" t="str">
        <f t="shared" si="3"/>
        <v>a</v>
      </c>
      <c r="AA46" s="327" t="str">
        <f t="shared" si="0"/>
        <v>100%</v>
      </c>
      <c r="AB46" s="327" t="str">
        <f t="shared" si="1"/>
        <v>Non affecté / nicht betroffen</v>
      </c>
      <c r="AC46" s="276" t="str">
        <f t="shared" si="4"/>
        <v>Très nécessaire, difficile</v>
      </c>
      <c r="AD46" s="570" t="str">
        <f t="shared" si="5"/>
        <v>c</v>
      </c>
      <c r="AE46">
        <v>2</v>
      </c>
      <c r="AF46">
        <v>1</v>
      </c>
    </row>
    <row r="47" spans="1:45" ht="16.5" customHeight="1" x14ac:dyDescent="0.25">
      <c r="A47" s="1233">
        <v>22</v>
      </c>
      <c r="B47" s="409" t="s">
        <v>275</v>
      </c>
      <c r="C47" s="410" t="s">
        <v>37</v>
      </c>
      <c r="D47" s="411" t="s">
        <v>274</v>
      </c>
      <c r="E47" s="522" t="str">
        <f>IF(VLOOKUP(A47,'Charriage - Geschiebehaushalt'!$A$4:$AC$275,17,FALSE)="","",VLOOKUP(A47,'Charriage - Geschiebehaushalt'!$A$4:$AC$275,17,FALSE))</f>
        <v>51-80%</v>
      </c>
      <c r="F47" s="523" t="str">
        <f>IF(VLOOKUP(A47,'Charriage - Geschiebehaushalt'!$A$4:$AC$275,18,FALSE)="","",VLOOKUP(A47,'Charriage - Geschiebehaushalt'!$A$4:$AC$275,18,FALSE))</f>
        <v>a</v>
      </c>
      <c r="G47" s="524" t="str">
        <f>IF(VLOOKUP(A47,'Charriage - Geschiebehaushalt'!$A$4:$AC$275,22,FALSE)="","",VLOOKUP(A47,'Charriage - Geschiebehaushalt'!$A$4:$AC$275,22,FALSE))</f>
        <v>21-50%</v>
      </c>
      <c r="H47" s="523" t="str">
        <f>IF(VLOOKUP(A47,'Charriage - Geschiebehaushalt'!$A$4:$AC$275,23,FALSE)="","",VLOOKUP(A47,'Charriage - Geschiebehaushalt'!$A$4:$AC$275,23,FALSE))</f>
        <v>c</v>
      </c>
      <c r="I47" s="524" t="str">
        <f>IF(VLOOKUP(A47,'Charriage - Geschiebehaushalt'!$A$4:$AC$275,28,FALSE)="","",VLOOKUP(A47,'Charriage - Geschiebehaushalt'!$A$4:$AC$275,28,FALSE))</f>
        <v>21-50%</v>
      </c>
      <c r="J47" s="403" t="str">
        <f>IF(VLOOKUP(A47,'Charriage - Geschiebehaushalt'!$A$4:$AC$275,29,FALSE)="","",VLOOKUP(A47,'Charriage - Geschiebehaushalt'!$A$4:$AC$275,29,FALSE))</f>
        <v>c</v>
      </c>
      <c r="K47" s="533" t="str">
        <f>IF(VLOOKUP(A47,'Débit - Abfluss'!$A$4:$AD$275,8,FALSE)="","",VLOOKUP(A47,'Débit - Abfluss'!$A$4:$AD$275,8,FALSE))</f>
        <v>81-100%</v>
      </c>
      <c r="L47" s="468" t="str">
        <f>IF(VLOOKUP(A47,'Débit - Abfluss'!$A$4:$AD$275,10,FALSE)="","",VLOOKUP(A47,'Débit - Abfluss'!$A$4:$AD$275,10,FALSE))</f>
        <v>81-100%</v>
      </c>
      <c r="M47" s="333" t="str">
        <f>IF(VLOOKUP(A47,'Débit - Abfluss'!$A$4:$AD$275,17,FALSE)="","",VLOOKUP(A47,'Débit - Abfluss'!$A$4:$AD$275,17,FALSE))</f>
        <v>81-100%</v>
      </c>
      <c r="N47" s="340" t="str">
        <f>IF(VLOOKUP(A47,'Eclusée - Schwall-Sunk'!$A$2:$F$273,6,FALSE)="","",VLOOKUP(A47,'Eclusée - Schwall-Sunk'!$A$2:$F$273,6,FALSE))</f>
        <v>Potentiellement affecté / möglicherweise betroffen</v>
      </c>
      <c r="O47" s="537"/>
      <c r="P47" s="538"/>
      <c r="Q47" s="284" t="str">
        <f>IF(VLOOKUP(A47,'Revitalisation-Revitalisierung'!$A$4:$Z$275,13,FALSE)="","",VLOOKUP(A47,'Revitalisation-Revitalisierung'!$A$4:$Z$275,13,FALSE))</f>
        <v>Partiellement nécessaire, facile</v>
      </c>
      <c r="R47" s="541" t="str">
        <f>IF(VLOOKUP(A47,'Revitalisation-Revitalisierung'!$A$4:$Z$275,14,FALSE)="","",VLOOKUP(A47,'Revitalisation-Revitalisierung'!$A$4:$Z$275,14,FALSE))</f>
        <v>b</v>
      </c>
      <c r="S47" s="542" t="str">
        <f>IF(VLOOKUP(A47,'Revitalisation-Revitalisierung'!$A$4:$Z$275,19,FALSE)="","",VLOOKUP(A47,'Revitalisation-Revitalisierung'!$A$4:$Z$275,19,FALSE))</f>
        <v>Partiellement nécessaire, facile</v>
      </c>
      <c r="T47" s="541" t="str">
        <f>IF(VLOOKUP(A47,'Revitalisation-Revitalisierung'!$A$4:$Z$275,20,FALSE)="","",VLOOKUP(A47,'Revitalisation-Revitalisierung'!$A$4:$Z$275,20,FALSE))</f>
        <v>d</v>
      </c>
      <c r="U47" s="542" t="str">
        <f>IF(VLOOKUP(A47,'Revitalisation-Revitalisierung'!$A$4:$Z$275,25,FALSE)="","",VLOOKUP(A47,'Revitalisation-Revitalisierung'!$A$4:$Z$275,25,FALSE))</f>
        <v>Partiellement nécessaire, facile</v>
      </c>
      <c r="V47" s="406" t="str">
        <f>IF(VLOOKUP(A47,'Revitalisation-Revitalisierung'!$A$4:$Z$275,26,FALSE)="","",VLOOKUP(A47,'Revitalisation-Revitalisierung'!$A$4:$Z$275,26,FALSE))</f>
        <v>d</v>
      </c>
      <c r="Y47" s="529" t="str">
        <f t="shared" si="2"/>
        <v>21-50%</v>
      </c>
      <c r="Z47" s="568" t="str">
        <f t="shared" si="3"/>
        <v>c</v>
      </c>
      <c r="AA47" s="327" t="str">
        <f t="shared" si="0"/>
        <v>81-100%</v>
      </c>
      <c r="AB47" s="327" t="str">
        <f t="shared" si="1"/>
        <v>Potentiellement affecté / möglicherweise betroffen</v>
      </c>
      <c r="AC47" s="276" t="str">
        <f t="shared" si="4"/>
        <v>Partiellement nécessaire, facile</v>
      </c>
      <c r="AD47" s="570" t="str">
        <f t="shared" si="5"/>
        <v>d</v>
      </c>
      <c r="AE47">
        <v>4</v>
      </c>
      <c r="AF47">
        <v>1</v>
      </c>
    </row>
    <row r="48" spans="1:45" ht="16.5" customHeight="1" x14ac:dyDescent="0.25">
      <c r="A48" s="1233">
        <v>25</v>
      </c>
      <c r="B48" s="409" t="s">
        <v>277</v>
      </c>
      <c r="C48" s="410" t="s">
        <v>37</v>
      </c>
      <c r="D48" s="411" t="s">
        <v>274</v>
      </c>
      <c r="E48" s="522" t="str">
        <f>IF(VLOOKUP(A48,'Charriage - Geschiebehaushalt'!$A$4:$AC$275,17,FALSE)="","",VLOOKUP(A48,'Charriage - Geschiebehaushalt'!$A$4:$AC$275,17,FALSE))</f>
        <v>51-80%</v>
      </c>
      <c r="F48" s="523" t="str">
        <f>IF(VLOOKUP(A48,'Charriage - Geschiebehaushalt'!$A$4:$AC$275,18,FALSE)="","",VLOOKUP(A48,'Charriage - Geschiebehaushalt'!$A$4:$AC$275,18,FALSE))</f>
        <v>a</v>
      </c>
      <c r="G48" s="524" t="str">
        <f>IF(VLOOKUP(A48,'Charriage - Geschiebehaushalt'!$A$4:$AC$275,22,FALSE)="","",VLOOKUP(A48,'Charriage - Geschiebehaushalt'!$A$4:$AC$275,22,FALSE))</f>
        <v>21-50%</v>
      </c>
      <c r="H48" s="523" t="str">
        <f>IF(VLOOKUP(A48,'Charriage - Geschiebehaushalt'!$A$4:$AC$275,23,FALSE)="","",VLOOKUP(A48,'Charriage - Geschiebehaushalt'!$A$4:$AC$275,23,FALSE))</f>
        <v>c</v>
      </c>
      <c r="I48" s="524" t="str">
        <f>IF(VLOOKUP(A48,'Charriage - Geschiebehaushalt'!$A$4:$AC$275,28,FALSE)="","",VLOOKUP(A48,'Charriage - Geschiebehaushalt'!$A$4:$AC$275,28,FALSE))</f>
        <v>21-50%</v>
      </c>
      <c r="J48" s="403" t="str">
        <f>IF(VLOOKUP(A48,'Charriage - Geschiebehaushalt'!$A$4:$AC$275,29,FALSE)="","",VLOOKUP(A48,'Charriage - Geschiebehaushalt'!$A$4:$AC$275,29,FALSE))</f>
        <v>c</v>
      </c>
      <c r="K48" s="533" t="str">
        <f>IF(VLOOKUP(A48,'Débit - Abfluss'!$A$4:$AD$275,8,FALSE)="","",VLOOKUP(A48,'Débit - Abfluss'!$A$4:$AD$275,8,FALSE))</f>
        <v>81-100%</v>
      </c>
      <c r="L48" s="468" t="str">
        <f>IF(VLOOKUP(A48,'Débit - Abfluss'!$A$4:$AD$275,10,FALSE)="","",VLOOKUP(A48,'Débit - Abfluss'!$A$4:$AD$275,10,FALSE))</f>
        <v>81-100%</v>
      </c>
      <c r="M48" s="333" t="str">
        <f>IF(VLOOKUP(A48,'Débit - Abfluss'!$A$4:$AD$275,17,FALSE)="","",VLOOKUP(A48,'Débit - Abfluss'!$A$4:$AD$275,17,FALSE))</f>
        <v>81-100%</v>
      </c>
      <c r="N48" s="340" t="str">
        <f>IF(VLOOKUP(A48,'Eclusée - Schwall-Sunk'!$A$2:$F$273,6,FALSE)="","",VLOOKUP(A48,'Eclusée - Schwall-Sunk'!$A$2:$F$273,6,FALSE))</f>
        <v>Potentiellement affecté / möglicherweise betroffen</v>
      </c>
      <c r="O48" s="537"/>
      <c r="P48" s="538"/>
      <c r="Q48" s="284" t="str">
        <f>IF(VLOOKUP(A48,'Revitalisation-Revitalisierung'!$A$4:$Z$275,13,FALSE)="","",VLOOKUP(A48,'Revitalisation-Revitalisierung'!$A$4:$Z$275,13,FALSE))</f>
        <v>Très nécessaire, facile</v>
      </c>
      <c r="R48" s="541" t="str">
        <f>IF(VLOOKUP(A48,'Revitalisation-Revitalisierung'!$A$4:$Z$275,14,FALSE)="","",VLOOKUP(A48,'Revitalisation-Revitalisierung'!$A$4:$Z$275,14,FALSE))</f>
        <v>b</v>
      </c>
      <c r="S48" s="542" t="str">
        <f>IF(VLOOKUP(A48,'Revitalisation-Revitalisierung'!$A$4:$Z$275,19,FALSE)="","",VLOOKUP(A48,'Revitalisation-Revitalisierung'!$A$4:$Z$275,19,FALSE))</f>
        <v>Très nécessaire, facile</v>
      </c>
      <c r="T48" s="541" t="str">
        <f>IF(VLOOKUP(A48,'Revitalisation-Revitalisierung'!$A$4:$Z$275,20,FALSE)="","",VLOOKUP(A48,'Revitalisation-Revitalisierung'!$A$4:$Z$275,20,FALSE))</f>
        <v>d</v>
      </c>
      <c r="U48" s="542" t="str">
        <f>IF(VLOOKUP(A48,'Revitalisation-Revitalisierung'!$A$4:$Z$275,25,FALSE)="","",VLOOKUP(A48,'Revitalisation-Revitalisierung'!$A$4:$Z$275,25,FALSE))</f>
        <v>Très nécessaire, facile</v>
      </c>
      <c r="V48" s="406" t="str">
        <f>IF(VLOOKUP(A48,'Revitalisation-Revitalisierung'!$A$4:$Z$275,26,FALSE)="","",VLOOKUP(A48,'Revitalisation-Revitalisierung'!$A$4:$Z$275,26,FALSE))</f>
        <v>d</v>
      </c>
      <c r="Y48" s="529" t="str">
        <f t="shared" si="2"/>
        <v>21-50%</v>
      </c>
      <c r="Z48" s="568" t="str">
        <f t="shared" si="3"/>
        <v>c</v>
      </c>
      <c r="AA48" s="327" t="str">
        <f t="shared" si="0"/>
        <v>81-100%</v>
      </c>
      <c r="AB48" s="327" t="str">
        <f t="shared" si="1"/>
        <v>Potentiellement affecté / möglicherweise betroffen</v>
      </c>
      <c r="AC48" s="276" t="str">
        <f t="shared" si="4"/>
        <v>Très nécessaire, facile</v>
      </c>
      <c r="AD48" s="570" t="str">
        <f t="shared" si="5"/>
        <v>d</v>
      </c>
      <c r="AE48">
        <v>4</v>
      </c>
      <c r="AF48">
        <v>1</v>
      </c>
    </row>
    <row r="49" spans="1:32" ht="16.5" customHeight="1" x14ac:dyDescent="0.25">
      <c r="A49" s="928">
        <v>27</v>
      </c>
      <c r="B49" s="400" t="s">
        <v>278</v>
      </c>
      <c r="C49" s="400" t="s">
        <v>279</v>
      </c>
      <c r="D49" s="401" t="s">
        <v>274</v>
      </c>
      <c r="E49" s="522" t="str">
        <f>IF(VLOOKUP(A49,'Charriage - Geschiebehaushalt'!$A$4:$AC$275,17,FALSE)="","",VLOOKUP(A49,'Charriage - Geschiebehaushalt'!$A$4:$AC$275,17,FALSE))</f>
        <v>Charriage présumé perturbé / Geschiebehaushalt vermutlich beeinträchtigt</v>
      </c>
      <c r="F49" s="523" t="str">
        <f>IF(VLOOKUP(A49,'Charriage - Geschiebehaushalt'!$A$4:$AC$275,18,FALSE)="","",VLOOKUP(A49,'Charriage - Geschiebehaushalt'!$A$4:$AC$275,18,FALSE))</f>
        <v>b</v>
      </c>
      <c r="G49" s="524" t="str">
        <f>IF(VLOOKUP(A49,'Charriage - Geschiebehaushalt'!$A$4:$AC$275,22,FALSE)="","",VLOOKUP(A49,'Charriage - Geschiebehaushalt'!$A$4:$AC$275,22,FALSE))</f>
        <v>21-50%</v>
      </c>
      <c r="H49" s="523" t="str">
        <f>IF(VLOOKUP(A49,'Charriage - Geschiebehaushalt'!$A$4:$AC$275,23,FALSE)="","",VLOOKUP(A49,'Charriage - Geschiebehaushalt'!$A$4:$AC$275,23,FALSE))</f>
        <v>c</v>
      </c>
      <c r="I49" s="524" t="str">
        <f>IF(VLOOKUP(A49,'Charriage - Geschiebehaushalt'!$A$4:$AC$275,28,FALSE)="","",VLOOKUP(A49,'Charriage - Geschiebehaushalt'!$A$4:$AC$275,28,FALSE))</f>
        <v>21-50%</v>
      </c>
      <c r="J49" s="403" t="str">
        <f>IF(VLOOKUP(A49,'Charriage - Geschiebehaushalt'!$A$4:$AC$275,29,FALSE)="","",VLOOKUP(A49,'Charriage - Geschiebehaushalt'!$A$4:$AC$275,29,FALSE))</f>
        <v>c</v>
      </c>
      <c r="K49" s="533" t="str">
        <f>IF(VLOOKUP(A49,'Débit - Abfluss'!$A$4:$AD$275,8,FALSE)="","",VLOOKUP(A49,'Débit - Abfluss'!$A$4:$AD$275,8,FALSE))</f>
        <v>81-100%</v>
      </c>
      <c r="L49" s="468" t="str">
        <f>IF(VLOOKUP(A49,'Débit - Abfluss'!$A$4:$AD$275,10,FALSE)="","",VLOOKUP(A49,'Débit - Abfluss'!$A$4:$AD$275,10,FALSE))</f>
        <v>81-100%</v>
      </c>
      <c r="M49" s="333" t="str">
        <f>IF(VLOOKUP(A49,'Débit - Abfluss'!$A$4:$AD$275,17,FALSE)="","",VLOOKUP(A49,'Débit - Abfluss'!$A$4:$AD$275,17,FALSE))</f>
        <v>81-100%</v>
      </c>
      <c r="N49" s="340" t="str">
        <f>IF(VLOOKUP(A49,'Eclusée - Schwall-Sunk'!$A$2:$F$273,6,FALSE)="","",VLOOKUP(A49,'Eclusée - Schwall-Sunk'!$A$2:$F$273,6,FALSE))</f>
        <v>Potentiellement affecté / möglicherweise betroffen</v>
      </c>
      <c r="O49" s="537"/>
      <c r="P49" s="538"/>
      <c r="Q49" s="284" t="str">
        <f>IF(VLOOKUP(A49,'Revitalisation-Revitalisierung'!$A$4:$Z$275,13,FALSE)="","",VLOOKUP(A49,'Revitalisation-Revitalisierung'!$A$4:$Z$275,13,FALSE))</f>
        <v>Partiellement nécessaire, facile</v>
      </c>
      <c r="R49" s="541" t="str">
        <f>IF(VLOOKUP(A49,'Revitalisation-Revitalisierung'!$A$4:$Z$275,14,FALSE)="","",VLOOKUP(A49,'Revitalisation-Revitalisierung'!$A$4:$Z$275,14,FALSE))</f>
        <v>b</v>
      </c>
      <c r="S49" s="542" t="str">
        <f>IF(VLOOKUP(A49,'Revitalisation-Revitalisierung'!$A$4:$Z$275,19,FALSE)="","",VLOOKUP(A49,'Revitalisation-Revitalisierung'!$A$4:$Z$275,19,FALSE))</f>
        <v>Partiellement nécessaire, facile</v>
      </c>
      <c r="T49" s="541" t="str">
        <f>IF(VLOOKUP(A49,'Revitalisation-Revitalisierung'!$A$4:$Z$275,20,FALSE)="","",VLOOKUP(A49,'Revitalisation-Revitalisierung'!$A$4:$Z$275,20,FALSE))</f>
        <v>d</v>
      </c>
      <c r="U49" s="542" t="str">
        <f>IF(VLOOKUP(A49,'Revitalisation-Revitalisierung'!$A$4:$Z$275,25,FALSE)="","",VLOOKUP(A49,'Revitalisation-Revitalisierung'!$A$4:$Z$275,25,FALSE))</f>
        <v>Partiellement nécessaire, facile</v>
      </c>
      <c r="V49" s="406" t="str">
        <f>IF(VLOOKUP(A49,'Revitalisation-Revitalisierung'!$A$4:$Z$275,26,FALSE)="","",VLOOKUP(A49,'Revitalisation-Revitalisierung'!$A$4:$Z$275,26,FALSE))</f>
        <v>d</v>
      </c>
      <c r="Y49" s="529" t="str">
        <f t="shared" si="2"/>
        <v>21-50%</v>
      </c>
      <c r="Z49" s="568" t="str">
        <f t="shared" si="3"/>
        <v>c</v>
      </c>
      <c r="AA49" s="327" t="str">
        <f t="shared" si="0"/>
        <v>81-100%</v>
      </c>
      <c r="AB49" s="327" t="str">
        <f t="shared" si="1"/>
        <v>Potentiellement affecté / möglicherweise betroffen</v>
      </c>
      <c r="AC49" s="276" t="str">
        <f t="shared" si="4"/>
        <v>Partiellement nécessaire, facile</v>
      </c>
      <c r="AD49" s="570" t="str">
        <f t="shared" si="5"/>
        <v>d</v>
      </c>
      <c r="AE49">
        <v>4</v>
      </c>
      <c r="AF49">
        <v>1</v>
      </c>
    </row>
    <row r="50" spans="1:32" ht="16.5" customHeight="1" x14ac:dyDescent="0.25">
      <c r="A50" s="928">
        <v>28</v>
      </c>
      <c r="B50" s="400" t="s">
        <v>281</v>
      </c>
      <c r="C50" s="400" t="s">
        <v>282</v>
      </c>
      <c r="D50" s="401" t="s">
        <v>274</v>
      </c>
      <c r="E50" s="522" t="str">
        <f>IF(VLOOKUP(A50,'Charriage - Geschiebehaushalt'!$A$4:$AC$275,17,FALSE)="","",VLOOKUP(A50,'Charriage - Geschiebehaushalt'!$A$4:$AC$275,17,FALSE))</f>
        <v>81 -100%</v>
      </c>
      <c r="F50" s="523" t="str">
        <f>IF(VLOOKUP(A50,'Charriage - Geschiebehaushalt'!$A$4:$AC$275,18,FALSE)="","",VLOOKUP(A50,'Charriage - Geschiebehaushalt'!$A$4:$AC$275,18,FALSE))</f>
        <v>a</v>
      </c>
      <c r="G50" s="524" t="str">
        <f>IF(VLOOKUP(A50,'Charriage - Geschiebehaushalt'!$A$4:$AC$275,22,FALSE)="","",VLOOKUP(A50,'Charriage - Geschiebehaushalt'!$A$4:$AC$275,22,FALSE))</f>
        <v>21-50%</v>
      </c>
      <c r="H50" s="523" t="str">
        <f>IF(VLOOKUP(A50,'Charriage - Geschiebehaushalt'!$A$4:$AC$275,23,FALSE)="","",VLOOKUP(A50,'Charriage - Geschiebehaushalt'!$A$4:$AC$275,23,FALSE))</f>
        <v>c</v>
      </c>
      <c r="I50" s="524" t="str">
        <f>IF(VLOOKUP(A50,'Charriage - Geschiebehaushalt'!$A$4:$AC$275,28,FALSE)="","",VLOOKUP(A50,'Charriage - Geschiebehaushalt'!$A$4:$AC$275,28,FALSE))</f>
        <v>21-50%</v>
      </c>
      <c r="J50" s="403" t="str">
        <f>IF(VLOOKUP(A50,'Charriage - Geschiebehaushalt'!$A$4:$AC$275,29,FALSE)="","",VLOOKUP(A50,'Charriage - Geschiebehaushalt'!$A$4:$AC$275,29,FALSE))</f>
        <v>c</v>
      </c>
      <c r="K50" s="533" t="str">
        <f>IF(VLOOKUP(A50,'Débit - Abfluss'!$A$4:$AD$275,8,FALSE)="","",VLOOKUP(A50,'Débit - Abfluss'!$A$4:$AD$275,8,FALSE))</f>
        <v>0-20%</v>
      </c>
      <c r="L50" s="468" t="str">
        <f>IF(VLOOKUP(A50,'Débit - Abfluss'!$A$4:$AD$275,10,FALSE)="","",VLOOKUP(A50,'Débit - Abfluss'!$A$4:$AD$275,10,FALSE))</f>
        <v>0-20%</v>
      </c>
      <c r="M50" s="333" t="str">
        <f>IF(VLOOKUP(A50,'Débit - Abfluss'!$A$4:$AD$275,17,FALSE)="","",VLOOKUP(A50,'Débit - Abfluss'!$A$4:$AD$275,17,FALSE))</f>
        <v>0-20%</v>
      </c>
      <c r="N50" s="340" t="str">
        <f>IF(VLOOKUP(A50,'Eclusée - Schwall-Sunk'!$A$2:$F$273,6,FALSE)="","",VLOOKUP(A50,'Eclusée - Schwall-Sunk'!$A$2:$F$273,6,FALSE))</f>
        <v>Potentiellement affecté / möglicherweise betroffen</v>
      </c>
      <c r="O50" s="537"/>
      <c r="P50" s="538"/>
      <c r="Q50" s="284" t="str">
        <f>IF(VLOOKUP(A50,'Revitalisation-Revitalisierung'!$A$4:$Z$275,13,FALSE)="","",VLOOKUP(A50,'Revitalisation-Revitalisierung'!$A$4:$Z$275,13,FALSE))</f>
        <v>Très nécessaire, difficile / unbedingt nötig, schwierig</v>
      </c>
      <c r="R50" s="541" t="str">
        <f>IF(VLOOKUP(A50,'Revitalisation-Revitalisierung'!$A$4:$Z$275,14,FALSE)="","",VLOOKUP(A50,'Revitalisation-Revitalisierung'!$A$4:$Z$275,14,FALSE))</f>
        <v>b</v>
      </c>
      <c r="S50" s="542" t="str">
        <f>IF(VLOOKUP(A50,'Revitalisation-Revitalisierung'!$A$4:$Z$275,19,FALSE)="","",VLOOKUP(A50,'Revitalisation-Revitalisierung'!$A$4:$Z$275,19,FALSE))</f>
        <v>Très nécessaire, difficile / unbedingt nötig, schwierig</v>
      </c>
      <c r="T50" s="541" t="str">
        <f>IF(VLOOKUP(A50,'Revitalisation-Revitalisierung'!$A$4:$Z$275,20,FALSE)="","",VLOOKUP(A50,'Revitalisation-Revitalisierung'!$A$4:$Z$275,20,FALSE))</f>
        <v>d</v>
      </c>
      <c r="U50" s="542" t="str">
        <f>IF(VLOOKUP(A50,'Revitalisation-Revitalisierung'!$A$4:$Z$275,25,FALSE)="","",VLOOKUP(A50,'Revitalisation-Revitalisierung'!$A$4:$Z$275,25,FALSE))</f>
        <v>Très nécessaire, difficile / unbedingt nötig, schwierig</v>
      </c>
      <c r="V50" s="406" t="str">
        <f>IF(VLOOKUP(A50,'Revitalisation-Revitalisierung'!$A$4:$Z$275,26,FALSE)="","",VLOOKUP(A50,'Revitalisation-Revitalisierung'!$A$4:$Z$275,26,FALSE))</f>
        <v>d</v>
      </c>
      <c r="Y50" s="529" t="str">
        <f t="shared" si="2"/>
        <v>21-50%</v>
      </c>
      <c r="Z50" s="568" t="str">
        <f t="shared" si="3"/>
        <v>c</v>
      </c>
      <c r="AA50" s="327" t="str">
        <f t="shared" si="0"/>
        <v>0-20%</v>
      </c>
      <c r="AB50" s="327" t="str">
        <f t="shared" si="1"/>
        <v>Potentiellement affecté / möglicherweise betroffen</v>
      </c>
      <c r="AC50" s="276" t="str">
        <f t="shared" si="4"/>
        <v>Très nécessaire, difficile / unbedingt nötig, schwierig</v>
      </c>
      <c r="AD50" s="570" t="str">
        <f t="shared" si="5"/>
        <v>d</v>
      </c>
      <c r="AE50">
        <v>4</v>
      </c>
      <c r="AF50">
        <v>1</v>
      </c>
    </row>
    <row r="51" spans="1:32" ht="16.5" customHeight="1" x14ac:dyDescent="0.25">
      <c r="A51" s="926">
        <v>29</v>
      </c>
      <c r="B51" s="400" t="s">
        <v>283</v>
      </c>
      <c r="C51" s="400" t="s">
        <v>284</v>
      </c>
      <c r="D51" s="401" t="s">
        <v>274</v>
      </c>
      <c r="E51" s="522" t="str">
        <f>IF(VLOOKUP(A51,'Charriage - Geschiebehaushalt'!$A$4:$AC$275,17,FALSE)="","",VLOOKUP(A51,'Charriage - Geschiebehaushalt'!$A$4:$AC$275,17,FALSE))</f>
        <v>0-20%</v>
      </c>
      <c r="F51" s="523" t="str">
        <f>IF(VLOOKUP(A51,'Charriage - Geschiebehaushalt'!$A$4:$AC$275,18,FALSE)="","",VLOOKUP(A51,'Charriage - Geschiebehaushalt'!$A$4:$AC$275,18,FALSE))</f>
        <v>a</v>
      </c>
      <c r="G51" s="524" t="str">
        <f>IF(VLOOKUP(A51,'Charriage - Geschiebehaushalt'!$A$4:$AC$275,22,FALSE)="","",VLOOKUP(A51,'Charriage - Geschiebehaushalt'!$A$4:$AC$275,22,FALSE))</f>
        <v>21-50%</v>
      </c>
      <c r="H51" s="523" t="str">
        <f>IF(VLOOKUP(A51,'Charriage - Geschiebehaushalt'!$A$4:$AC$275,23,FALSE)="","",VLOOKUP(A51,'Charriage - Geschiebehaushalt'!$A$4:$AC$275,23,FALSE))</f>
        <v>c</v>
      </c>
      <c r="I51" s="524" t="str">
        <f>IF(VLOOKUP(A51,'Charriage - Geschiebehaushalt'!$A$4:$AC$275,28,FALSE)="","",VLOOKUP(A51,'Charriage - Geschiebehaushalt'!$A$4:$AC$275,28,FALSE))</f>
        <v>21-50%</v>
      </c>
      <c r="J51" s="403" t="str">
        <f>IF(VLOOKUP(A51,'Charriage - Geschiebehaushalt'!$A$4:$AC$275,29,FALSE)="","",VLOOKUP(A51,'Charriage - Geschiebehaushalt'!$A$4:$AC$275,29,FALSE))</f>
        <v>c</v>
      </c>
      <c r="K51" s="533" t="str">
        <f>IF(VLOOKUP(A51,'Débit - Abfluss'!$A$4:$AD$275,8,FALSE)="","",VLOOKUP(A51,'Débit - Abfluss'!$A$4:$AD$275,8,FALSE))</f>
        <v>81-100%</v>
      </c>
      <c r="L51" s="468" t="str">
        <f>IF(VLOOKUP(A51,'Débit - Abfluss'!$A$4:$AD$275,10,FALSE)="","",VLOOKUP(A51,'Débit - Abfluss'!$A$4:$AD$275,10,FALSE))</f>
        <v>81-100%</v>
      </c>
      <c r="M51" s="333" t="str">
        <f>IF(VLOOKUP(A51,'Débit - Abfluss'!$A$4:$AD$275,17,FALSE)="","",VLOOKUP(A51,'Débit - Abfluss'!$A$4:$AD$275,17,FALSE))</f>
        <v>81-100%</v>
      </c>
      <c r="N51" s="340" t="str">
        <f>IF(VLOOKUP(A51,'Eclusée - Schwall-Sunk'!$A$2:$F$273,6,FALSE)="","",VLOOKUP(A51,'Eclusée - Schwall-Sunk'!$A$2:$F$273,6,FALSE))</f>
        <v>Potentiellement affecté / möglicherweise betroffen</v>
      </c>
      <c r="O51" s="537"/>
      <c r="P51" s="538"/>
      <c r="Q51" s="284" t="str">
        <f>IF(VLOOKUP(A51,'Revitalisation-Revitalisierung'!$A$4:$Z$275,13,FALSE)="","",VLOOKUP(A51,'Revitalisation-Revitalisierung'!$A$4:$Z$275,13,FALSE))</f>
        <v>Non nécessaire / nicht nötig</v>
      </c>
      <c r="R51" s="541" t="str">
        <f>IF(VLOOKUP(A51,'Revitalisation-Revitalisierung'!$A$4:$Z$275,14,FALSE)="","",VLOOKUP(A51,'Revitalisation-Revitalisierung'!$A$4:$Z$275,14,FALSE))</f>
        <v>b</v>
      </c>
      <c r="S51" s="542" t="str">
        <f>IF(VLOOKUP(A51,'Revitalisation-Revitalisierung'!$A$4:$Z$275,19,FALSE)="","",VLOOKUP(A51,'Revitalisation-Revitalisierung'!$A$4:$Z$275,19,FALSE))</f>
        <v>Partiellement nécessaire, facile / teilweise nötig, einfach</v>
      </c>
      <c r="T51" s="541" t="str">
        <f>IF(VLOOKUP(A51,'Revitalisation-Revitalisierung'!$A$4:$Z$275,20,FALSE)="","",VLOOKUP(A51,'Revitalisation-Revitalisierung'!$A$4:$Z$275,20,FALSE))</f>
        <v>c</v>
      </c>
      <c r="U51" s="542" t="str">
        <f>IF(VLOOKUP(A51,'Revitalisation-Revitalisierung'!$A$4:$Z$275,25,FALSE)="","",VLOOKUP(A51,'Revitalisation-Revitalisierung'!$A$4:$Z$275,25,FALSE))</f>
        <v>Partiellement nécessaire, facile / teilweise nötig, einfach</v>
      </c>
      <c r="V51" s="406" t="str">
        <f>IF(VLOOKUP(A51,'Revitalisation-Revitalisierung'!$A$4:$Z$275,26,FALSE)="","",VLOOKUP(A51,'Revitalisation-Revitalisierung'!$A$4:$Z$275,26,FALSE))</f>
        <v>c</v>
      </c>
      <c r="Y51" s="529" t="str">
        <f t="shared" si="2"/>
        <v>21-50%</v>
      </c>
      <c r="Z51" s="568" t="str">
        <f t="shared" si="3"/>
        <v>c</v>
      </c>
      <c r="AA51" s="327" t="str">
        <f t="shared" si="0"/>
        <v>81-100%</v>
      </c>
      <c r="AB51" s="327" t="str">
        <f t="shared" si="1"/>
        <v>Potentiellement affecté / möglicherweise betroffen</v>
      </c>
      <c r="AC51" s="276" t="str">
        <f t="shared" si="4"/>
        <v>Partiellement nécessaire, facile / teilweise nötig, einfach</v>
      </c>
      <c r="AD51" s="570" t="str">
        <f t="shared" si="5"/>
        <v>c</v>
      </c>
      <c r="AE51">
        <v>4</v>
      </c>
      <c r="AF51">
        <v>1</v>
      </c>
    </row>
    <row r="52" spans="1:32" ht="16.5" customHeight="1" x14ac:dyDescent="0.25">
      <c r="A52" s="926">
        <v>30</v>
      </c>
      <c r="B52" s="400" t="s">
        <v>285</v>
      </c>
      <c r="C52" s="400" t="s">
        <v>284</v>
      </c>
      <c r="D52" s="401" t="s">
        <v>274</v>
      </c>
      <c r="E52" s="522" t="str">
        <f>IF(VLOOKUP(A52,'Charriage - Geschiebehaushalt'!$A$4:$AC$275,17,FALSE)="","",VLOOKUP(A52,'Charriage - Geschiebehaushalt'!$A$4:$AC$275,17,FALSE))</f>
        <v>21-50%</v>
      </c>
      <c r="F52" s="523" t="str">
        <f>IF(VLOOKUP(A52,'Charriage - Geschiebehaushalt'!$A$4:$AC$275,18,FALSE)="","",VLOOKUP(A52,'Charriage - Geschiebehaushalt'!$A$4:$AC$275,18,FALSE))</f>
        <v>a</v>
      </c>
      <c r="G52" s="524" t="str">
        <f>IF(VLOOKUP(A52,'Charriage - Geschiebehaushalt'!$A$4:$AC$275,22,FALSE)="","",VLOOKUP(A52,'Charriage - Geschiebehaushalt'!$A$4:$AC$275,22,FALSE))</f>
        <v>21-50%</v>
      </c>
      <c r="H52" s="523" t="str">
        <f>IF(VLOOKUP(A52,'Charriage - Geschiebehaushalt'!$A$4:$AC$275,23,FALSE)="","",VLOOKUP(A52,'Charriage - Geschiebehaushalt'!$A$4:$AC$275,23,FALSE))</f>
        <v>d</v>
      </c>
      <c r="I52" s="524" t="str">
        <f>IF(VLOOKUP(A52,'Charriage - Geschiebehaushalt'!$A$4:$AC$275,28,FALSE)="","",VLOOKUP(A52,'Charriage - Geschiebehaushalt'!$A$4:$AC$275,28,FALSE))</f>
        <v>21-50%</v>
      </c>
      <c r="J52" s="403" t="str">
        <f>IF(VLOOKUP(A52,'Charriage - Geschiebehaushalt'!$A$4:$AC$275,29,FALSE)="","",VLOOKUP(A52,'Charriage - Geschiebehaushalt'!$A$4:$AC$275,29,FALSE))</f>
        <v>d</v>
      </c>
      <c r="K52" s="533" t="str">
        <f>IF(VLOOKUP(A52,'Débit - Abfluss'!$A$4:$AD$275,8,FALSE)="","",VLOOKUP(A52,'Débit - Abfluss'!$A$4:$AD$275,8,FALSE))</f>
        <v>21-40%</v>
      </c>
      <c r="L52" s="468" t="str">
        <f>IF(VLOOKUP(A52,'Débit - Abfluss'!$A$4:$AD$275,10,FALSE)="","",VLOOKUP(A52,'Débit - Abfluss'!$A$4:$AD$275,10,FALSE))</f>
        <v>21-40%</v>
      </c>
      <c r="M52" s="333" t="str">
        <f>IF(VLOOKUP(A52,'Débit - Abfluss'!$A$4:$AD$275,17,FALSE)="","",VLOOKUP(A52,'Débit - Abfluss'!$A$4:$AD$275,17,FALSE))</f>
        <v>21-40%</v>
      </c>
      <c r="N52" s="340" t="str">
        <f>IF(VLOOKUP(A52,'Eclusée - Schwall-Sunk'!$A$2:$F$273,6,FALSE)="","",VLOOKUP(A52,'Eclusée - Schwall-Sunk'!$A$2:$F$273,6,FALSE))</f>
        <v>Non affecté / nicht betroffen</v>
      </c>
      <c r="O52" s="537"/>
      <c r="P52" s="538"/>
      <c r="Q52" s="284" t="str">
        <f>IF(VLOOKUP(A52,'Revitalisation-Revitalisierung'!$A$4:$Z$275,13,FALSE)="","",VLOOKUP(A52,'Revitalisation-Revitalisierung'!$A$4:$Z$275,13,FALSE))</f>
        <v>Très nécessaire, facile / unbedingt nötig, einfach</v>
      </c>
      <c r="R52" s="541" t="str">
        <f>IF(VLOOKUP(A52,'Revitalisation-Revitalisierung'!$A$4:$Z$275,14,FALSE)="","",VLOOKUP(A52,'Revitalisation-Revitalisierung'!$A$4:$Z$275,14,FALSE))</f>
        <v>a</v>
      </c>
      <c r="S52" s="542" t="str">
        <f>IF(VLOOKUP(A52,'Revitalisation-Revitalisierung'!$A$4:$Z$275,19,FALSE)="","",VLOOKUP(A52,'Revitalisation-Revitalisierung'!$A$4:$Z$275,19,FALSE))</f>
        <v>Très nécessaire, facile / unbedingt nötig, einfach</v>
      </c>
      <c r="T52" s="541" t="str">
        <f>IF(VLOOKUP(A52,'Revitalisation-Revitalisierung'!$A$4:$Z$275,20,FALSE)="","",VLOOKUP(A52,'Revitalisation-Revitalisierung'!$A$4:$Z$275,20,FALSE))</f>
        <v>d</v>
      </c>
      <c r="U52" s="542" t="str">
        <f>IF(VLOOKUP(A52,'Revitalisation-Revitalisierung'!$A$4:$Z$275,25,FALSE)="","",VLOOKUP(A52,'Revitalisation-Revitalisierung'!$A$4:$Z$275,25,FALSE))</f>
        <v>Très nécessaire, facile / unbedingt nötig, einfach</v>
      </c>
      <c r="V52" s="406" t="str">
        <f>IF(VLOOKUP(A52,'Revitalisation-Revitalisierung'!$A$4:$Z$275,26,FALSE)="","",VLOOKUP(A52,'Revitalisation-Revitalisierung'!$A$4:$Z$275,26,FALSE))</f>
        <v>d</v>
      </c>
      <c r="Y52" s="529" t="str">
        <f t="shared" si="2"/>
        <v>21-50%</v>
      </c>
      <c r="Z52" s="568" t="str">
        <f t="shared" si="3"/>
        <v>d</v>
      </c>
      <c r="AA52" s="327" t="str">
        <f t="shared" si="0"/>
        <v>21-40%</v>
      </c>
      <c r="AB52" s="327" t="str">
        <f t="shared" si="1"/>
        <v>Non affecté / nicht betroffen</v>
      </c>
      <c r="AC52" s="276" t="str">
        <f t="shared" si="4"/>
        <v>Très nécessaire, facile / unbedingt nötig, einfach</v>
      </c>
      <c r="AD52" s="570" t="str">
        <f t="shared" si="5"/>
        <v>d</v>
      </c>
      <c r="AE52">
        <v>4</v>
      </c>
      <c r="AF52">
        <v>1</v>
      </c>
    </row>
    <row r="53" spans="1:32" ht="16.5" customHeight="1" x14ac:dyDescent="0.25">
      <c r="A53" s="926">
        <v>31</v>
      </c>
      <c r="B53" s="400" t="s">
        <v>286</v>
      </c>
      <c r="C53" s="400" t="s">
        <v>284</v>
      </c>
      <c r="D53" s="401" t="s">
        <v>274</v>
      </c>
      <c r="E53" s="522" t="str">
        <f>IF(VLOOKUP(A53,'Charriage - Geschiebehaushalt'!$A$4:$AC$275,17,FALSE)="","",VLOOKUP(A53,'Charriage - Geschiebehaushalt'!$A$4:$AC$275,17,FALSE))</f>
        <v>21-50%</v>
      </c>
      <c r="F53" s="523" t="str">
        <f>IF(VLOOKUP(A53,'Charriage - Geschiebehaushalt'!$A$4:$AC$275,18,FALSE)="","",VLOOKUP(A53,'Charriage - Geschiebehaushalt'!$A$4:$AC$275,18,FALSE))</f>
        <v>a</v>
      </c>
      <c r="G53" s="524" t="str">
        <f>IF(VLOOKUP(A53,'Charriage - Geschiebehaushalt'!$A$4:$AC$275,22,FALSE)="","",VLOOKUP(A53,'Charriage - Geschiebehaushalt'!$A$4:$AC$275,22,FALSE))</f>
        <v>21-50%</v>
      </c>
      <c r="H53" s="523" t="str">
        <f>IF(VLOOKUP(A53,'Charriage - Geschiebehaushalt'!$A$4:$AC$275,23,FALSE)="","",VLOOKUP(A53,'Charriage - Geschiebehaushalt'!$A$4:$AC$275,23,FALSE))</f>
        <v>d</v>
      </c>
      <c r="I53" s="524" t="str">
        <f>IF(VLOOKUP(A53,'Charriage - Geschiebehaushalt'!$A$4:$AC$275,28,FALSE)="","",VLOOKUP(A53,'Charriage - Geschiebehaushalt'!$A$4:$AC$275,28,FALSE))</f>
        <v>21-50%</v>
      </c>
      <c r="J53" s="403" t="str">
        <f>IF(VLOOKUP(A53,'Charriage - Geschiebehaushalt'!$A$4:$AC$275,29,FALSE)="","",VLOOKUP(A53,'Charriage - Geschiebehaushalt'!$A$4:$AC$275,29,FALSE))</f>
        <v>d</v>
      </c>
      <c r="K53" s="533" t="str">
        <f>IF(VLOOKUP(A53,'Débit - Abfluss'!$A$4:$AD$275,8,FALSE)="","",VLOOKUP(A53,'Débit - Abfluss'!$A$4:$AD$275,8,FALSE))</f>
        <v>0-20%</v>
      </c>
      <c r="L53" s="468" t="str">
        <f>IF(VLOOKUP(A53,'Débit - Abfluss'!$A$4:$AD$275,10,FALSE)="","",VLOOKUP(A53,'Débit - Abfluss'!$A$4:$AD$275,10,FALSE))</f>
        <v>0-20%</v>
      </c>
      <c r="M53" s="333" t="str">
        <f>IF(VLOOKUP(A53,'Débit - Abfluss'!$A$4:$AD$275,17,FALSE)="","",VLOOKUP(A53,'Débit - Abfluss'!$A$4:$AD$275,17,FALSE))</f>
        <v>0-20%</v>
      </c>
      <c r="N53" s="340" t="str">
        <f>IF(VLOOKUP(A53,'Eclusée - Schwall-Sunk'!$A$2:$F$273,6,FALSE)="","",VLOOKUP(A53,'Eclusée - Schwall-Sunk'!$A$2:$F$273,6,FALSE))</f>
        <v>Non affecté / nicht betroffen</v>
      </c>
      <c r="O53" s="537"/>
      <c r="P53" s="538"/>
      <c r="Q53" s="284" t="str">
        <f>IF(VLOOKUP(A53,'Revitalisation-Revitalisierung'!$A$4:$Z$275,13,FALSE)="","",VLOOKUP(A53,'Revitalisation-Revitalisierung'!$A$4:$Z$275,13,FALSE))</f>
        <v>Partiellement nécessaire, facile / teilweise nötig, einfach</v>
      </c>
      <c r="R53" s="541" t="str">
        <f>IF(VLOOKUP(A53,'Revitalisation-Revitalisierung'!$A$4:$Z$275,14,FALSE)="","",VLOOKUP(A53,'Revitalisation-Revitalisierung'!$A$4:$Z$275,14,FALSE))</f>
        <v>a</v>
      </c>
      <c r="S53" s="542" t="str">
        <f>IF(VLOOKUP(A53,'Revitalisation-Revitalisierung'!$A$4:$Z$275,19,FALSE)="","",VLOOKUP(A53,'Revitalisation-Revitalisierung'!$A$4:$Z$275,19,FALSE))</f>
        <v>Partiellement nécessaire, facile / teilweise nötig, einfach</v>
      </c>
      <c r="T53" s="541" t="str">
        <f>IF(VLOOKUP(A53,'Revitalisation-Revitalisierung'!$A$4:$Z$275,20,FALSE)="","",VLOOKUP(A53,'Revitalisation-Revitalisierung'!$A$4:$Z$275,20,FALSE))</f>
        <v>d</v>
      </c>
      <c r="U53" s="542" t="str">
        <f>IF(VLOOKUP(A53,'Revitalisation-Revitalisierung'!$A$4:$Z$275,25,FALSE)="","",VLOOKUP(A53,'Revitalisation-Revitalisierung'!$A$4:$Z$275,25,FALSE))</f>
        <v>Partiellement nécessaire, facile / teilweise nötig, einfach</v>
      </c>
      <c r="V53" s="406" t="str">
        <f>IF(VLOOKUP(A53,'Revitalisation-Revitalisierung'!$A$4:$Z$275,26,FALSE)="","",VLOOKUP(A53,'Revitalisation-Revitalisierung'!$A$4:$Z$275,26,FALSE))</f>
        <v>d</v>
      </c>
      <c r="Y53" s="529" t="str">
        <f t="shared" si="2"/>
        <v>21-50%</v>
      </c>
      <c r="Z53" s="568" t="str">
        <f t="shared" si="3"/>
        <v>d</v>
      </c>
      <c r="AA53" s="327" t="str">
        <f t="shared" si="0"/>
        <v>0-20%</v>
      </c>
      <c r="AB53" s="327" t="str">
        <f t="shared" si="1"/>
        <v>Non affecté / nicht betroffen</v>
      </c>
      <c r="AC53" s="276" t="str">
        <f t="shared" si="4"/>
        <v>Partiellement nécessaire, facile / teilweise nötig, einfach</v>
      </c>
      <c r="AD53" s="570" t="str">
        <f t="shared" si="5"/>
        <v>d</v>
      </c>
      <c r="AE53">
        <v>4</v>
      </c>
      <c r="AF53">
        <v>1</v>
      </c>
    </row>
    <row r="54" spans="1:32" ht="16.5" customHeight="1" x14ac:dyDescent="0.25">
      <c r="A54" s="926">
        <v>32</v>
      </c>
      <c r="B54" s="400" t="s">
        <v>288</v>
      </c>
      <c r="C54" s="400" t="s">
        <v>284</v>
      </c>
      <c r="D54" s="401" t="s">
        <v>274</v>
      </c>
      <c r="E54" s="522" t="str">
        <f>IF(VLOOKUP(A54,'Charriage - Geschiebehaushalt'!$A$4:$AC$275,17,FALSE)="","",VLOOKUP(A54,'Charriage - Geschiebehaushalt'!$A$4:$AC$275,17,FALSE))</f>
        <v>21-50%</v>
      </c>
      <c r="F54" s="523" t="str">
        <f>IF(VLOOKUP(A54,'Charriage - Geschiebehaushalt'!$A$4:$AC$275,18,FALSE)="","",VLOOKUP(A54,'Charriage - Geschiebehaushalt'!$A$4:$AC$275,18,FALSE))</f>
        <v>a</v>
      </c>
      <c r="G54" s="524" t="str">
        <f>IF(VLOOKUP(A54,'Charriage - Geschiebehaushalt'!$A$4:$AC$275,22,FALSE)="","",VLOOKUP(A54,'Charriage - Geschiebehaushalt'!$A$4:$AC$275,22,FALSE))</f>
        <v>21-50%</v>
      </c>
      <c r="H54" s="523" t="str">
        <f>IF(VLOOKUP(A54,'Charriage - Geschiebehaushalt'!$A$4:$AC$275,23,FALSE)="","",VLOOKUP(A54,'Charriage - Geschiebehaushalt'!$A$4:$AC$275,23,FALSE))</f>
        <v>d</v>
      </c>
      <c r="I54" s="524" t="str">
        <f>IF(VLOOKUP(A54,'Charriage - Geschiebehaushalt'!$A$4:$AC$275,28,FALSE)="","",VLOOKUP(A54,'Charriage - Geschiebehaushalt'!$A$4:$AC$275,28,FALSE))</f>
        <v>21-50%</v>
      </c>
      <c r="J54" s="403" t="str">
        <f>IF(VLOOKUP(A54,'Charriage - Geschiebehaushalt'!$A$4:$AC$275,29,FALSE)="","",VLOOKUP(A54,'Charriage - Geschiebehaushalt'!$A$4:$AC$275,29,FALSE))</f>
        <v>d</v>
      </c>
      <c r="K54" s="533" t="str">
        <f>IF(VLOOKUP(A54,'Débit - Abfluss'!$A$4:$AD$275,8,FALSE)="","",VLOOKUP(A54,'Débit - Abfluss'!$A$4:$AD$275,8,FALSE))</f>
        <v>0-20%</v>
      </c>
      <c r="L54" s="468" t="str">
        <f>IF(VLOOKUP(A54,'Débit - Abfluss'!$A$4:$AD$275,10,FALSE)="","",VLOOKUP(A54,'Débit - Abfluss'!$A$4:$AD$275,10,FALSE))</f>
        <v>0-20%</v>
      </c>
      <c r="M54" s="333" t="str">
        <f>IF(VLOOKUP(A54,'Débit - Abfluss'!$A$4:$AD$275,17,FALSE)="","",VLOOKUP(A54,'Débit - Abfluss'!$A$4:$AD$275,17,FALSE))</f>
        <v>0-20%</v>
      </c>
      <c r="N54" s="340" t="str">
        <f>IF(VLOOKUP(A54,'Eclusée - Schwall-Sunk'!$A$2:$F$273,6,FALSE)="","",VLOOKUP(A54,'Eclusée - Schwall-Sunk'!$A$2:$F$273,6,FALSE))</f>
        <v>Non affecté / nicht betroffen</v>
      </c>
      <c r="O54" s="537"/>
      <c r="P54" s="538"/>
      <c r="Q54" s="284" t="str">
        <f>IF(VLOOKUP(A54,'Revitalisation-Revitalisierung'!$A$4:$Z$275,13,FALSE)="","",VLOOKUP(A54,'Revitalisation-Revitalisierung'!$A$4:$Z$275,13,FALSE))</f>
        <v>Non nécessaire / nicht nötig</v>
      </c>
      <c r="R54" s="541" t="str">
        <f>IF(VLOOKUP(A54,'Revitalisation-Revitalisierung'!$A$4:$Z$275,14,FALSE)="","",VLOOKUP(A54,'Revitalisation-Revitalisierung'!$A$4:$Z$275,14,FALSE))</f>
        <v>a</v>
      </c>
      <c r="S54" s="542" t="str">
        <f>IF(VLOOKUP(A54,'Revitalisation-Revitalisierung'!$A$4:$Z$275,19,FALSE)="","",VLOOKUP(A54,'Revitalisation-Revitalisierung'!$A$4:$Z$275,19,FALSE))</f>
        <v>Très nécessaire, difficile / unbedingt nötig, schwierig</v>
      </c>
      <c r="T54" s="541" t="str">
        <f>IF(VLOOKUP(A54,'Revitalisation-Revitalisierung'!$A$4:$Z$275,20,FALSE)="","",VLOOKUP(A54,'Revitalisation-Revitalisierung'!$A$4:$Z$275,20,FALSE))</f>
        <v>c</v>
      </c>
      <c r="U54" s="542" t="str">
        <f>IF(VLOOKUP(A54,'Revitalisation-Revitalisierung'!$A$4:$Z$275,25,FALSE)="","",VLOOKUP(A54,'Revitalisation-Revitalisierung'!$A$4:$Z$275,25,FALSE))</f>
        <v>Très nécessaire, difficile / unbedingt nötig, schwierig</v>
      </c>
      <c r="V54" s="406" t="str">
        <f>IF(VLOOKUP(A54,'Revitalisation-Revitalisierung'!$A$4:$Z$275,26,FALSE)="","",VLOOKUP(A54,'Revitalisation-Revitalisierung'!$A$4:$Z$275,26,FALSE))</f>
        <v>c</v>
      </c>
      <c r="Y54" s="529" t="str">
        <f t="shared" si="2"/>
        <v>21-50%</v>
      </c>
      <c r="Z54" s="568" t="str">
        <f t="shared" si="3"/>
        <v>d</v>
      </c>
      <c r="AA54" s="327" t="str">
        <f t="shared" si="0"/>
        <v>0-20%</v>
      </c>
      <c r="AB54" s="327" t="str">
        <f t="shared" si="1"/>
        <v>Non affecté / nicht betroffen</v>
      </c>
      <c r="AC54" s="276" t="str">
        <f t="shared" si="4"/>
        <v>Très nécessaire, difficile / unbedingt nötig, schwierig</v>
      </c>
      <c r="AD54" s="570" t="str">
        <f t="shared" si="5"/>
        <v>c</v>
      </c>
      <c r="AE54">
        <v>4</v>
      </c>
      <c r="AF54">
        <v>1</v>
      </c>
    </row>
    <row r="55" spans="1:32" ht="16.5" customHeight="1" x14ac:dyDescent="0.25">
      <c r="A55" s="926">
        <v>33</v>
      </c>
      <c r="B55" s="400" t="s">
        <v>290</v>
      </c>
      <c r="C55" s="400" t="s">
        <v>284</v>
      </c>
      <c r="D55" s="401" t="s">
        <v>274</v>
      </c>
      <c r="E55" s="522" t="str">
        <f>IF(VLOOKUP(A55,'Charriage - Geschiebehaushalt'!$A$4:$AC$275,17,FALSE)="","",VLOOKUP(A55,'Charriage - Geschiebehaushalt'!$A$4:$AC$275,17,FALSE))</f>
        <v>21-50%</v>
      </c>
      <c r="F55" s="523" t="str">
        <f>IF(VLOOKUP(A55,'Charriage - Geschiebehaushalt'!$A$4:$AC$275,18,FALSE)="","",VLOOKUP(A55,'Charriage - Geschiebehaushalt'!$A$4:$AC$275,18,FALSE))</f>
        <v>a</v>
      </c>
      <c r="G55" s="524" t="str">
        <f>IF(VLOOKUP(A55,'Charriage - Geschiebehaushalt'!$A$4:$AC$275,22,FALSE)="","",VLOOKUP(A55,'Charriage - Geschiebehaushalt'!$A$4:$AC$275,22,FALSE))</f>
        <v>21-50%</v>
      </c>
      <c r="H55" s="523" t="str">
        <f>IF(VLOOKUP(A55,'Charriage - Geschiebehaushalt'!$A$4:$AC$275,23,FALSE)="","",VLOOKUP(A55,'Charriage - Geschiebehaushalt'!$A$4:$AC$275,23,FALSE))</f>
        <v>d</v>
      </c>
      <c r="I55" s="524" t="str">
        <f>IF(VLOOKUP(A55,'Charriage - Geschiebehaushalt'!$A$4:$AC$275,28,FALSE)="","",VLOOKUP(A55,'Charriage - Geschiebehaushalt'!$A$4:$AC$275,28,FALSE))</f>
        <v>21-50%</v>
      </c>
      <c r="J55" s="403" t="str">
        <f>IF(VLOOKUP(A55,'Charriage - Geschiebehaushalt'!$A$4:$AC$275,29,FALSE)="","",VLOOKUP(A55,'Charriage - Geschiebehaushalt'!$A$4:$AC$275,29,FALSE))</f>
        <v>d</v>
      </c>
      <c r="K55" s="533" t="str">
        <f>IF(VLOOKUP(A55,'Débit - Abfluss'!$A$4:$AD$275,8,FALSE)="","",VLOOKUP(A55,'Débit - Abfluss'!$A$4:$AD$275,8,FALSE))</f>
        <v>0-20%</v>
      </c>
      <c r="L55" s="468" t="str">
        <f>IF(VLOOKUP(A55,'Débit - Abfluss'!$A$4:$AD$275,10,FALSE)="","",VLOOKUP(A55,'Débit - Abfluss'!$A$4:$AD$275,10,FALSE))</f>
        <v>0-20%</v>
      </c>
      <c r="M55" s="333" t="str">
        <f>IF(VLOOKUP(A55,'Débit - Abfluss'!$A$4:$AD$275,17,FALSE)="","",VLOOKUP(A55,'Débit - Abfluss'!$A$4:$AD$275,17,FALSE))</f>
        <v>0-20%</v>
      </c>
      <c r="N55" s="340" t="str">
        <f>IF(VLOOKUP(A55,'Eclusée - Schwall-Sunk'!$A$2:$F$273,6,FALSE)="","",VLOOKUP(A55,'Eclusée - Schwall-Sunk'!$A$2:$F$273,6,FALSE))</f>
        <v>Non affecté / nicht betroffen</v>
      </c>
      <c r="O55" s="537"/>
      <c r="P55" s="538"/>
      <c r="Q55" s="284" t="str">
        <f>IF(VLOOKUP(A55,'Revitalisation-Revitalisierung'!$A$4:$Z$275,13,FALSE)="","",VLOOKUP(A55,'Revitalisation-Revitalisierung'!$A$4:$Z$275,13,FALSE))</f>
        <v>Partiellement nécessaire, facile / teilweise nötig, einfach</v>
      </c>
      <c r="R55" s="541" t="str">
        <f>IF(VLOOKUP(A55,'Revitalisation-Revitalisierung'!$A$4:$Z$275,14,FALSE)="","",VLOOKUP(A55,'Revitalisation-Revitalisierung'!$A$4:$Z$275,14,FALSE))</f>
        <v>a</v>
      </c>
      <c r="S55" s="542" t="str">
        <f>IF(VLOOKUP(A55,'Revitalisation-Revitalisierung'!$A$4:$Z$275,19,FALSE)="","",VLOOKUP(A55,'Revitalisation-Revitalisierung'!$A$4:$Z$275,19,FALSE))</f>
        <v>Partiellement nécessaire, facile / teilweise nötig, einfach</v>
      </c>
      <c r="T55" s="541" t="str">
        <f>IF(VLOOKUP(A55,'Revitalisation-Revitalisierung'!$A$4:$Z$275,20,FALSE)="","",VLOOKUP(A55,'Revitalisation-Revitalisierung'!$A$4:$Z$275,20,FALSE))</f>
        <v>c</v>
      </c>
      <c r="U55" s="542" t="str">
        <f>IF(VLOOKUP(A55,'Revitalisation-Revitalisierung'!$A$4:$Z$275,25,FALSE)="","",VLOOKUP(A55,'Revitalisation-Revitalisierung'!$A$4:$Z$275,25,FALSE))</f>
        <v>Partiellement nécessaire, facile / teilweise nötig, einfach</v>
      </c>
      <c r="V55" s="406" t="str">
        <f>IF(VLOOKUP(A55,'Revitalisation-Revitalisierung'!$A$4:$Z$275,26,FALSE)="","",VLOOKUP(A55,'Revitalisation-Revitalisierung'!$A$4:$Z$275,26,FALSE))</f>
        <v>c</v>
      </c>
      <c r="Y55" s="529" t="str">
        <f t="shared" si="2"/>
        <v>21-50%</v>
      </c>
      <c r="Z55" s="568" t="str">
        <f t="shared" si="3"/>
        <v>d</v>
      </c>
      <c r="AA55" s="327" t="str">
        <f t="shared" si="0"/>
        <v>0-20%</v>
      </c>
      <c r="AB55" s="327" t="str">
        <f t="shared" si="1"/>
        <v>Non affecté / nicht betroffen</v>
      </c>
      <c r="AC55" s="276" t="str">
        <f t="shared" si="4"/>
        <v>Partiellement nécessaire, facile / teilweise nötig, einfach</v>
      </c>
      <c r="AD55" s="570" t="str">
        <f t="shared" si="5"/>
        <v>c</v>
      </c>
      <c r="AE55">
        <v>4</v>
      </c>
      <c r="AF55">
        <v>1</v>
      </c>
    </row>
    <row r="56" spans="1:32" ht="16.5" customHeight="1" x14ac:dyDescent="0.25">
      <c r="A56" s="926">
        <v>34</v>
      </c>
      <c r="B56" s="400" t="s">
        <v>291</v>
      </c>
      <c r="C56" s="400" t="s">
        <v>284</v>
      </c>
      <c r="D56" s="401" t="s">
        <v>274</v>
      </c>
      <c r="E56" s="522" t="str">
        <f>IF(VLOOKUP(A56,'Charriage - Geschiebehaushalt'!$A$4:$AC$275,17,FALSE)="","",VLOOKUP(A56,'Charriage - Geschiebehaushalt'!$A$4:$AC$275,17,FALSE))</f>
        <v>21-50%</v>
      </c>
      <c r="F56" s="523" t="str">
        <f>IF(VLOOKUP(A56,'Charriage - Geschiebehaushalt'!$A$4:$AC$275,18,FALSE)="","",VLOOKUP(A56,'Charriage - Geschiebehaushalt'!$A$4:$AC$275,18,FALSE))</f>
        <v>a</v>
      </c>
      <c r="G56" s="524" t="str">
        <f>IF(VLOOKUP(A56,'Charriage - Geschiebehaushalt'!$A$4:$AC$275,22,FALSE)="","",VLOOKUP(A56,'Charriage - Geschiebehaushalt'!$A$4:$AC$275,22,FALSE))</f>
        <v>21-50%</v>
      </c>
      <c r="H56" s="523" t="str">
        <f>IF(VLOOKUP(A56,'Charriage - Geschiebehaushalt'!$A$4:$AC$275,23,FALSE)="","",VLOOKUP(A56,'Charriage - Geschiebehaushalt'!$A$4:$AC$275,23,FALSE))</f>
        <v>d</v>
      </c>
      <c r="I56" s="524" t="str">
        <f>IF(VLOOKUP(A56,'Charriage - Geschiebehaushalt'!$A$4:$AC$275,28,FALSE)="","",VLOOKUP(A56,'Charriage - Geschiebehaushalt'!$A$4:$AC$275,28,FALSE))</f>
        <v>21-50%</v>
      </c>
      <c r="J56" s="403" t="str">
        <f>IF(VLOOKUP(A56,'Charriage - Geschiebehaushalt'!$A$4:$AC$275,29,FALSE)="","",VLOOKUP(A56,'Charriage - Geschiebehaushalt'!$A$4:$AC$275,29,FALSE))</f>
        <v>d</v>
      </c>
      <c r="K56" s="533" t="str">
        <f>IF(VLOOKUP(A56,'Débit - Abfluss'!$A$4:$AD$275,8,FALSE)="","",VLOOKUP(A56,'Débit - Abfluss'!$A$4:$AD$275,8,FALSE))</f>
        <v>0-20%</v>
      </c>
      <c r="L56" s="468" t="str">
        <f>IF(VLOOKUP(A56,'Débit - Abfluss'!$A$4:$AD$275,10,FALSE)="","",VLOOKUP(A56,'Débit - Abfluss'!$A$4:$AD$275,10,FALSE))</f>
        <v>0-20%</v>
      </c>
      <c r="M56" s="333" t="str">
        <f>IF(VLOOKUP(A56,'Débit - Abfluss'!$A$4:$AD$275,17,FALSE)="","",VLOOKUP(A56,'Débit - Abfluss'!$A$4:$AD$275,17,FALSE))</f>
        <v>0-20%</v>
      </c>
      <c r="N56" s="340" t="str">
        <f>IF(VLOOKUP(A56,'Eclusée - Schwall-Sunk'!$A$2:$F$273,6,FALSE)="","",VLOOKUP(A56,'Eclusée - Schwall-Sunk'!$A$2:$F$273,6,FALSE))</f>
        <v>Non affecté / nicht betroffen</v>
      </c>
      <c r="O56" s="537"/>
      <c r="P56" s="538"/>
      <c r="Q56" s="284" t="str">
        <f>IF(VLOOKUP(A56,'Revitalisation-Revitalisierung'!$A$4:$Z$275,13,FALSE)="","",VLOOKUP(A56,'Revitalisation-Revitalisierung'!$A$4:$Z$275,13,FALSE))</f>
        <v>Non nécessaire / nicht nötig</v>
      </c>
      <c r="R56" s="541" t="str">
        <f>IF(VLOOKUP(A56,'Revitalisation-Revitalisierung'!$A$4:$Z$275,14,FALSE)="","",VLOOKUP(A56,'Revitalisation-Revitalisierung'!$A$4:$Z$275,14,FALSE))</f>
        <v>a</v>
      </c>
      <c r="S56" s="542" t="str">
        <f>IF(VLOOKUP(A56,'Revitalisation-Revitalisierung'!$A$4:$Z$275,19,FALSE)="","",VLOOKUP(A56,'Revitalisation-Revitalisierung'!$A$4:$Z$275,19,FALSE))</f>
        <v>Non nécessaire / nicht nötig</v>
      </c>
      <c r="T56" s="541" t="str">
        <f>IF(VLOOKUP(A56,'Revitalisation-Revitalisierung'!$A$4:$Z$275,20,FALSE)="","",VLOOKUP(A56,'Revitalisation-Revitalisierung'!$A$4:$Z$275,20,FALSE))</f>
        <v>d</v>
      </c>
      <c r="U56" s="542" t="str">
        <f>IF(VLOOKUP(A56,'Revitalisation-Revitalisierung'!$A$4:$Z$275,25,FALSE)="","",VLOOKUP(A56,'Revitalisation-Revitalisierung'!$A$4:$Z$275,25,FALSE))</f>
        <v>Non nécessaire / nicht nötig</v>
      </c>
      <c r="V56" s="406" t="str">
        <f>IF(VLOOKUP(A56,'Revitalisation-Revitalisierung'!$A$4:$Z$275,26,FALSE)="","",VLOOKUP(A56,'Revitalisation-Revitalisierung'!$A$4:$Z$275,26,FALSE))</f>
        <v>d</v>
      </c>
      <c r="Y56" s="529" t="str">
        <f t="shared" si="2"/>
        <v>21-50%</v>
      </c>
      <c r="Z56" s="568" t="str">
        <f t="shared" si="3"/>
        <v>d</v>
      </c>
      <c r="AA56" s="327" t="str">
        <f t="shared" si="0"/>
        <v>0-20%</v>
      </c>
      <c r="AB56" s="327" t="str">
        <f t="shared" si="1"/>
        <v>Non affecté / nicht betroffen</v>
      </c>
      <c r="AC56" s="276" t="str">
        <f t="shared" si="4"/>
        <v>Non nécessaire / nicht nötig</v>
      </c>
      <c r="AD56" s="570" t="str">
        <f t="shared" si="5"/>
        <v>d</v>
      </c>
      <c r="AE56">
        <v>3</v>
      </c>
      <c r="AF56">
        <v>1</v>
      </c>
    </row>
    <row r="57" spans="1:32" ht="16.5" customHeight="1" x14ac:dyDescent="0.25">
      <c r="A57" s="926">
        <v>35</v>
      </c>
      <c r="B57" s="400" t="s">
        <v>292</v>
      </c>
      <c r="C57" s="400" t="s">
        <v>284</v>
      </c>
      <c r="D57" s="401" t="s">
        <v>274</v>
      </c>
      <c r="E57" s="522" t="str">
        <f>IF(VLOOKUP(A57,'Charriage - Geschiebehaushalt'!$A$4:$AC$275,17,FALSE)="","",VLOOKUP(A57,'Charriage - Geschiebehaushalt'!$A$4:$AC$275,17,FALSE))</f>
        <v>21-50%</v>
      </c>
      <c r="F57" s="523" t="str">
        <f>IF(VLOOKUP(A57,'Charriage - Geschiebehaushalt'!$A$4:$AC$275,18,FALSE)="","",VLOOKUP(A57,'Charriage - Geschiebehaushalt'!$A$4:$AC$275,18,FALSE))</f>
        <v>a</v>
      </c>
      <c r="G57" s="524" t="str">
        <f>IF(VLOOKUP(A57,'Charriage - Geschiebehaushalt'!$A$4:$AC$275,22,FALSE)="","",VLOOKUP(A57,'Charriage - Geschiebehaushalt'!$A$4:$AC$275,22,FALSE))</f>
        <v>21-50%</v>
      </c>
      <c r="H57" s="523" t="str">
        <f>IF(VLOOKUP(A57,'Charriage - Geschiebehaushalt'!$A$4:$AC$275,23,FALSE)="","",VLOOKUP(A57,'Charriage - Geschiebehaushalt'!$A$4:$AC$275,23,FALSE))</f>
        <v>d</v>
      </c>
      <c r="I57" s="524" t="str">
        <f>IF(VLOOKUP(A57,'Charriage - Geschiebehaushalt'!$A$4:$AC$275,28,FALSE)="","",VLOOKUP(A57,'Charriage - Geschiebehaushalt'!$A$4:$AC$275,28,FALSE))</f>
        <v>21-50%</v>
      </c>
      <c r="J57" s="403" t="str">
        <f>IF(VLOOKUP(A57,'Charriage - Geschiebehaushalt'!$A$4:$AC$275,29,FALSE)="","",VLOOKUP(A57,'Charriage - Geschiebehaushalt'!$A$4:$AC$275,29,FALSE))</f>
        <v>d</v>
      </c>
      <c r="K57" s="533" t="str">
        <f>IF(VLOOKUP(A57,'Débit - Abfluss'!$A$4:$AD$275,8,FALSE)="","",VLOOKUP(A57,'Débit - Abfluss'!$A$4:$AD$275,8,FALSE))</f>
        <v>21-40%</v>
      </c>
      <c r="L57" s="468" t="str">
        <f>IF(VLOOKUP(A57,'Débit - Abfluss'!$A$4:$AD$275,10,FALSE)="","",VLOOKUP(A57,'Débit - Abfluss'!$A$4:$AD$275,10,FALSE))</f>
        <v>21-40%</v>
      </c>
      <c r="M57" s="333" t="str">
        <f>IF(VLOOKUP(A57,'Débit - Abfluss'!$A$4:$AD$275,17,FALSE)="","",VLOOKUP(A57,'Débit - Abfluss'!$A$4:$AD$275,17,FALSE))</f>
        <v>21-40%</v>
      </c>
      <c r="N57" s="340" t="str">
        <f>IF(VLOOKUP(A57,'Eclusée - Schwall-Sunk'!$A$2:$F$273,6,FALSE)="","",VLOOKUP(A57,'Eclusée - Schwall-Sunk'!$A$2:$F$273,6,FALSE))</f>
        <v>Non affecté / nicht betroffen</v>
      </c>
      <c r="O57" s="537"/>
      <c r="P57" s="538"/>
      <c r="Q57" s="284" t="str">
        <f>IF(VLOOKUP(A57,'Revitalisation-Revitalisierung'!$A$4:$Z$275,13,FALSE)="","",VLOOKUP(A57,'Revitalisation-Revitalisierung'!$A$4:$Z$275,13,FALSE))</f>
        <v>Très nécessaire, difficile</v>
      </c>
      <c r="R57" s="541" t="str">
        <f>IF(VLOOKUP(A57,'Revitalisation-Revitalisierung'!$A$4:$Z$275,14,FALSE)="","",VLOOKUP(A57,'Revitalisation-Revitalisierung'!$A$4:$Z$275,14,FALSE))</f>
        <v>a</v>
      </c>
      <c r="S57" s="542" t="str">
        <f>IF(VLOOKUP(A57,'Revitalisation-Revitalisierung'!$A$4:$Z$275,19,FALSE)="","",VLOOKUP(A57,'Revitalisation-Revitalisierung'!$A$4:$Z$275,19,FALSE))</f>
        <v>Très nécessaire, difficile</v>
      </c>
      <c r="T57" s="541" t="str">
        <f>IF(VLOOKUP(A57,'Revitalisation-Revitalisierung'!$A$4:$Z$275,20,FALSE)="","",VLOOKUP(A57,'Revitalisation-Revitalisierung'!$A$4:$Z$275,20,FALSE))</f>
        <v>d</v>
      </c>
      <c r="U57" s="542" t="str">
        <f>IF(VLOOKUP(A57,'Revitalisation-Revitalisierung'!$A$4:$Z$275,25,FALSE)="","",VLOOKUP(A57,'Revitalisation-Revitalisierung'!$A$4:$Z$275,25,FALSE))</f>
        <v>Très nécessaire, difficile</v>
      </c>
      <c r="V57" s="406" t="str">
        <f>IF(VLOOKUP(A57,'Revitalisation-Revitalisierung'!$A$4:$Z$275,26,FALSE)="","",VLOOKUP(A57,'Revitalisation-Revitalisierung'!$A$4:$Z$275,26,FALSE))</f>
        <v>d</v>
      </c>
      <c r="Y57" s="529" t="str">
        <f t="shared" si="2"/>
        <v>21-50%</v>
      </c>
      <c r="Z57" s="568" t="str">
        <f t="shared" si="3"/>
        <v>d</v>
      </c>
      <c r="AA57" s="327" t="str">
        <f t="shared" si="0"/>
        <v>21-40%</v>
      </c>
      <c r="AB57" s="327" t="str">
        <f t="shared" si="1"/>
        <v>Non affecté / nicht betroffen</v>
      </c>
      <c r="AC57" s="276" t="str">
        <f t="shared" si="4"/>
        <v>Très nécessaire, difficile</v>
      </c>
      <c r="AD57" s="570" t="str">
        <f t="shared" si="5"/>
        <v>d</v>
      </c>
      <c r="AE57">
        <v>4</v>
      </c>
      <c r="AF57">
        <v>1</v>
      </c>
    </row>
    <row r="58" spans="1:32" ht="16.5" customHeight="1" x14ac:dyDescent="0.25">
      <c r="A58" s="926">
        <v>36</v>
      </c>
      <c r="B58" s="400" t="s">
        <v>49</v>
      </c>
      <c r="C58" s="400" t="s">
        <v>50</v>
      </c>
      <c r="D58" s="401" t="s">
        <v>35</v>
      </c>
      <c r="E58" s="522" t="str">
        <f>IF(VLOOKUP(A58,'Charriage - Geschiebehaushalt'!$A$4:$AC$275,17,FALSE)="","",VLOOKUP(A58,'Charriage - Geschiebehaushalt'!$A$4:$AC$275,17,FALSE))</f>
        <v>non pertinent / nicht relevant</v>
      </c>
      <c r="F58" s="523" t="str">
        <f>IF(VLOOKUP(A58,'Charriage - Geschiebehaushalt'!$A$4:$AC$275,18,FALSE)="","",VLOOKUP(A58,'Charriage - Geschiebehaushalt'!$A$4:$AC$275,18,FALSE))</f>
        <v>a</v>
      </c>
      <c r="G58" s="524" t="str">
        <f>IF(VLOOKUP(A58,'Charriage - Geschiebehaushalt'!$A$4:$AC$275,22,FALSE)="","",VLOOKUP(A58,'Charriage - Geschiebehaushalt'!$A$4:$AC$275,22,FALSE))</f>
        <v>non pertinent / nicht relevant</v>
      </c>
      <c r="H58" s="523" t="str">
        <f>IF(VLOOKUP(A58,'Charriage - Geschiebehaushalt'!$A$4:$AC$275,23,FALSE)="","",VLOOKUP(A58,'Charriage - Geschiebehaushalt'!$A$4:$AC$275,23,FALSE))</f>
        <v>a</v>
      </c>
      <c r="I58" s="524" t="str">
        <f>IF(VLOOKUP(A58,'Charriage - Geschiebehaushalt'!$A$4:$AC$275,28,FALSE)="","",VLOOKUP(A58,'Charriage - Geschiebehaushalt'!$A$4:$AC$275,28,FALSE))</f>
        <v>non pertinent / nicht relevant</v>
      </c>
      <c r="J58" s="403" t="str">
        <f>IF(VLOOKUP(A58,'Charriage - Geschiebehaushalt'!$A$4:$AC$275,29,FALSE)="","",VLOOKUP(A58,'Charriage - Geschiebehaushalt'!$A$4:$AC$275,29,FALSE))</f>
        <v>a</v>
      </c>
      <c r="K58" s="533" t="str">
        <f>IF(VLOOKUP(A58,'Débit - Abfluss'!$A$4:$AD$275,8,FALSE)="","",VLOOKUP(A58,'Débit - Abfluss'!$A$4:$AD$275,8,FALSE))</f>
        <v>non pertinent / nicht relevant</v>
      </c>
      <c r="L58" s="468" t="str">
        <f>IF(VLOOKUP(A58,'Débit - Abfluss'!$A$4:$AD$275,10,FALSE)="","",VLOOKUP(A58,'Débit - Abfluss'!$A$4:$AD$275,10,FALSE))</f>
        <v>non pertinent / nicht relevant</v>
      </c>
      <c r="M58" s="333" t="str">
        <f>IF(VLOOKUP(A58,'Débit - Abfluss'!$A$4:$AD$275,17,FALSE)="","",VLOOKUP(A58,'Débit - Abfluss'!$A$4:$AD$275,17,FALSE))</f>
        <v>non pertinent / nicht relevant</v>
      </c>
      <c r="N58" s="340" t="str">
        <f>IF(VLOOKUP(A58,'Eclusée - Schwall-Sunk'!$A$2:$F$273,6,FALSE)="","",VLOOKUP(A58,'Eclusée - Schwall-Sunk'!$A$2:$F$273,6,FALSE))</f>
        <v>Potentiellement affecté mais non plausible / möglicherweise betroffen aber nicht nachweisbar</v>
      </c>
      <c r="O58" s="537"/>
      <c r="P58" s="538"/>
      <c r="Q58" s="284" t="str">
        <f>IF(VLOOKUP(A58,'Revitalisation-Revitalisierung'!$A$4:$Z$275,13,FALSE)="","",VLOOKUP(A58,'Revitalisation-Revitalisierung'!$A$4:$Z$275,13,FALSE))</f>
        <v>Partiellement nécessaire, facile</v>
      </c>
      <c r="R58" s="541" t="str">
        <f>IF(VLOOKUP(A58,'Revitalisation-Revitalisierung'!$A$4:$Z$275,14,FALSE)="","",VLOOKUP(A58,'Revitalisation-Revitalisierung'!$A$4:$Z$275,14,FALSE))</f>
        <v>b</v>
      </c>
      <c r="S58" s="542" t="str">
        <f>IF(VLOOKUP(A58,'Revitalisation-Revitalisierung'!$A$4:$Z$275,19,FALSE)="","",VLOOKUP(A58,'Revitalisation-Revitalisierung'!$A$4:$Z$275,19,FALSE))</f>
        <v>Très nécessaire, facile</v>
      </c>
      <c r="T58" s="541" t="str">
        <f>IF(VLOOKUP(A58,'Revitalisation-Revitalisierung'!$A$4:$Z$275,20,FALSE)="","",VLOOKUP(A58,'Revitalisation-Revitalisierung'!$A$4:$Z$275,20,FALSE))</f>
        <v>d</v>
      </c>
      <c r="U58" s="542" t="str">
        <f>IF(VLOOKUP(A58,'Revitalisation-Revitalisierung'!$A$4:$Z$275,25,FALSE)="","",VLOOKUP(A58,'Revitalisation-Revitalisierung'!$A$4:$Z$275,25,FALSE))</f>
        <v>Partiellement nécessaire, facile</v>
      </c>
      <c r="V58" s="406" t="str">
        <f>IF(VLOOKUP(A58,'Revitalisation-Revitalisierung'!$A$4:$Z$275,26,FALSE)="","",VLOOKUP(A58,'Revitalisation-Revitalisierung'!$A$4:$Z$275,26,FALSE))</f>
        <v>e</v>
      </c>
      <c r="Y58" s="529" t="str">
        <f t="shared" si="2"/>
        <v>non pertinent / nicht relevant</v>
      </c>
      <c r="Z58" s="568" t="str">
        <f t="shared" si="3"/>
        <v>a</v>
      </c>
      <c r="AA58" s="327" t="str">
        <f t="shared" si="0"/>
        <v>non pertinent / nicht relevant</v>
      </c>
      <c r="AB58" s="327" t="str">
        <f t="shared" si="1"/>
        <v>Potentiellement affecté mais non plausible / möglicherweise betroffen aber nicht nachweisbar</v>
      </c>
      <c r="AC58" s="276" t="str">
        <f t="shared" si="4"/>
        <v>Partiellement nécessaire, facile</v>
      </c>
      <c r="AD58" s="570" t="str">
        <f t="shared" si="5"/>
        <v>e</v>
      </c>
      <c r="AE58">
        <v>4</v>
      </c>
      <c r="AF58">
        <v>1</v>
      </c>
    </row>
    <row r="59" spans="1:32" ht="16.5" customHeight="1" x14ac:dyDescent="0.25">
      <c r="A59" s="926">
        <v>37</v>
      </c>
      <c r="B59" s="400" t="s">
        <v>56</v>
      </c>
      <c r="C59" s="400" t="s">
        <v>57</v>
      </c>
      <c r="D59" s="401" t="s">
        <v>35</v>
      </c>
      <c r="E59" s="522" t="str">
        <f>IF(VLOOKUP(A59,'Charriage - Geschiebehaushalt'!$A$4:$AC$275,17,FALSE)="","",VLOOKUP(A59,'Charriage - Geschiebehaushalt'!$A$4:$AC$275,17,FALSE))</f>
        <v>81 -100%</v>
      </c>
      <c r="F59" s="523" t="str">
        <f>IF(VLOOKUP(A59,'Charriage - Geschiebehaushalt'!$A$4:$AC$275,18,FALSE)="","",VLOOKUP(A59,'Charriage - Geschiebehaushalt'!$A$4:$AC$275,18,FALSE))</f>
        <v>a</v>
      </c>
      <c r="G59" s="524" t="str">
        <f>IF(VLOOKUP(A59,'Charriage - Geschiebehaushalt'!$A$4:$AC$275,22,FALSE)="","",VLOOKUP(A59,'Charriage - Geschiebehaushalt'!$A$4:$AC$275,22,FALSE))</f>
        <v>81-100%</v>
      </c>
      <c r="H59" s="523" t="str">
        <f>IF(VLOOKUP(A59,'Charriage - Geschiebehaushalt'!$A$4:$AC$275,23,FALSE)="","",VLOOKUP(A59,'Charriage - Geschiebehaushalt'!$A$4:$AC$275,23,FALSE))</f>
        <v>d</v>
      </c>
      <c r="I59" s="524" t="str">
        <f>IF(VLOOKUP(A59,'Charriage - Geschiebehaushalt'!$A$4:$AC$275,28,FALSE)="","",VLOOKUP(A59,'Charriage - Geschiebehaushalt'!$A$4:$AC$275,28,FALSE))</f>
        <v>81-100%</v>
      </c>
      <c r="J59" s="403" t="str">
        <f>IF(VLOOKUP(A59,'Charriage - Geschiebehaushalt'!$A$4:$AC$275,29,FALSE)="","",VLOOKUP(A59,'Charriage - Geschiebehaushalt'!$A$4:$AC$275,29,FALSE))</f>
        <v>d</v>
      </c>
      <c r="K59" s="533" t="str">
        <f>IF(VLOOKUP(A59,'Débit - Abfluss'!$A$4:$AD$275,8,FALSE)="","",VLOOKUP(A59,'Débit - Abfluss'!$A$4:$AD$275,8,FALSE))</f>
        <v>41-60%</v>
      </c>
      <c r="L59" s="468" t="str">
        <f>IF(VLOOKUP(A59,'Débit - Abfluss'!$A$4:$AD$275,10,FALSE)="","",VLOOKUP(A59,'Débit - Abfluss'!$A$4:$AD$275,10,FALSE))</f>
        <v>41-60%</v>
      </c>
      <c r="M59" s="333" t="str">
        <f>IF(VLOOKUP(A59,'Débit - Abfluss'!$A$4:$AD$275,17,FALSE)="","",VLOOKUP(A59,'Débit - Abfluss'!$A$4:$AD$275,17,FALSE))</f>
        <v>41-60%</v>
      </c>
      <c r="N59" s="340" t="str">
        <f>IF(VLOOKUP(A59,'Eclusée - Schwall-Sunk'!$A$2:$F$273,6,FALSE)="","",VLOOKUP(A59,'Eclusée - Schwall-Sunk'!$A$2:$F$273,6,FALSE))</f>
        <v>Non affecté / nicht betroffen</v>
      </c>
      <c r="O59" s="537"/>
      <c r="P59" s="538"/>
      <c r="Q59" s="284" t="str">
        <f>IF(VLOOKUP(A59,'Revitalisation-Revitalisierung'!$A$4:$Z$275,13,FALSE)="","",VLOOKUP(A59,'Revitalisation-Revitalisierung'!$A$4:$Z$275,13,FALSE))</f>
        <v>Partiellement nécessaire, difficile</v>
      </c>
      <c r="R59" s="541" t="str">
        <f>IF(VLOOKUP(A59,'Revitalisation-Revitalisierung'!$A$4:$Z$275,14,FALSE)="","",VLOOKUP(A59,'Revitalisation-Revitalisierung'!$A$4:$Z$275,14,FALSE))</f>
        <v>b</v>
      </c>
      <c r="S59" s="542" t="str">
        <f>IF(VLOOKUP(A59,'Revitalisation-Revitalisierung'!$A$4:$Z$275,19,FALSE)="","",VLOOKUP(A59,'Revitalisation-Revitalisierung'!$A$4:$Z$275,19,FALSE))</f>
        <v>Non nécessaire</v>
      </c>
      <c r="T59" s="541" t="str">
        <f>IF(VLOOKUP(A59,'Revitalisation-Revitalisierung'!$A$4:$Z$275,20,FALSE)="","",VLOOKUP(A59,'Revitalisation-Revitalisierung'!$A$4:$Z$275,20,FALSE))</f>
        <v>c</v>
      </c>
      <c r="U59" s="542" t="str">
        <f>IF(VLOOKUP(A59,'Revitalisation-Revitalisierung'!$A$4:$Z$275,25,FALSE)="","",VLOOKUP(A59,'Revitalisation-Revitalisierung'!$A$4:$Z$275,25,FALSE))</f>
        <v>Partiellement nécessaire, difficile</v>
      </c>
      <c r="V59" s="406" t="str">
        <f>IF(VLOOKUP(A59,'Revitalisation-Revitalisierung'!$A$4:$Z$275,26,FALSE)="","",VLOOKUP(A59,'Revitalisation-Revitalisierung'!$A$4:$Z$275,26,FALSE))</f>
        <v>e</v>
      </c>
      <c r="Y59" s="529" t="str">
        <f t="shared" si="2"/>
        <v>81-100%</v>
      </c>
      <c r="Z59" s="568" t="str">
        <f t="shared" si="3"/>
        <v>d</v>
      </c>
      <c r="AA59" s="327" t="str">
        <f t="shared" si="0"/>
        <v>41-60%</v>
      </c>
      <c r="AB59" s="327" t="str">
        <f t="shared" si="1"/>
        <v>Non affecté / nicht betroffen</v>
      </c>
      <c r="AC59" s="276" t="str">
        <f t="shared" si="4"/>
        <v>Partiellement nécessaire, difficile</v>
      </c>
      <c r="AD59" s="570" t="str">
        <f t="shared" si="5"/>
        <v>e</v>
      </c>
      <c r="AE59">
        <v>3</v>
      </c>
      <c r="AF59">
        <v>1</v>
      </c>
    </row>
    <row r="60" spans="1:32" ht="16.5" customHeight="1" x14ac:dyDescent="0.25">
      <c r="A60" s="926">
        <v>40</v>
      </c>
      <c r="B60" s="400" t="s">
        <v>60</v>
      </c>
      <c r="C60" s="400" t="s">
        <v>50</v>
      </c>
      <c r="D60" s="401" t="s">
        <v>35</v>
      </c>
      <c r="E60" s="522" t="str">
        <f>IF(VLOOKUP(A60,'Charriage - Geschiebehaushalt'!$A$4:$AC$275,17,FALSE)="","",VLOOKUP(A60,'Charriage - Geschiebehaushalt'!$A$4:$AC$275,17,FALSE))</f>
        <v>81 -100%</v>
      </c>
      <c r="F60" s="523" t="str">
        <f>IF(VLOOKUP(A60,'Charriage - Geschiebehaushalt'!$A$4:$AC$275,18,FALSE)="","",VLOOKUP(A60,'Charriage - Geschiebehaushalt'!$A$4:$AC$275,18,FALSE))</f>
        <v>a</v>
      </c>
      <c r="G60" s="524" t="str">
        <f>IF(VLOOKUP(A60,'Charriage - Geschiebehaushalt'!$A$4:$AC$275,22,FALSE)="","",VLOOKUP(A60,'Charriage - Geschiebehaushalt'!$A$4:$AC$275,22,FALSE))</f>
        <v>81-100%</v>
      </c>
      <c r="H60" s="523" t="str">
        <f>IF(VLOOKUP(A60,'Charriage - Geschiebehaushalt'!$A$4:$AC$275,23,FALSE)="","",VLOOKUP(A60,'Charriage - Geschiebehaushalt'!$A$4:$AC$275,23,FALSE))</f>
        <v>d</v>
      </c>
      <c r="I60" s="524" t="str">
        <f>IF(VLOOKUP(A60,'Charriage - Geschiebehaushalt'!$A$4:$AC$275,28,FALSE)="","",VLOOKUP(A60,'Charriage - Geschiebehaushalt'!$A$4:$AC$275,28,FALSE))</f>
        <v>81-100%</v>
      </c>
      <c r="J60" s="403" t="str">
        <f>IF(VLOOKUP(A60,'Charriage - Geschiebehaushalt'!$A$4:$AC$275,29,FALSE)="","",VLOOKUP(A60,'Charriage - Geschiebehaushalt'!$A$4:$AC$275,29,FALSE))</f>
        <v>d</v>
      </c>
      <c r="K60" s="533" t="str">
        <f>IF(VLOOKUP(A60,'Débit - Abfluss'!$A$4:$AD$275,8,FALSE)="","",VLOOKUP(A60,'Débit - Abfluss'!$A$4:$AD$275,8,FALSE))</f>
        <v>0-20%</v>
      </c>
      <c r="L60" s="468" t="str">
        <f>IF(VLOOKUP(A60,'Débit - Abfluss'!$A$4:$AD$275,10,FALSE)="","",VLOOKUP(A60,'Débit - Abfluss'!$A$4:$AD$275,10,FALSE))</f>
        <v>0-20%</v>
      </c>
      <c r="M60" s="333" t="str">
        <f>IF(VLOOKUP(A60,'Débit - Abfluss'!$A$4:$AD$275,17,FALSE)="","",VLOOKUP(A60,'Débit - Abfluss'!$A$4:$AD$275,17,FALSE))</f>
        <v>0-20%</v>
      </c>
      <c r="N60" s="340" t="str">
        <f>IF(VLOOKUP(A60,'Eclusée - Schwall-Sunk'!$A$2:$F$273,6,FALSE)="","",VLOOKUP(A60,'Eclusée - Schwall-Sunk'!$A$2:$F$273,6,FALSE))</f>
        <v>Non affecté / nicht betroffen</v>
      </c>
      <c r="O60" s="537"/>
      <c r="P60" s="538"/>
      <c r="Q60" s="284" t="str">
        <f>IF(VLOOKUP(A60,'Revitalisation-Revitalisierung'!$A$4:$Z$275,13,FALSE)="","",VLOOKUP(A60,'Revitalisation-Revitalisierung'!$A$4:$Z$275,13,FALSE))</f>
        <v>Partiellement nécessaire, difficile / teilweise nötig, schwierig</v>
      </c>
      <c r="R60" s="541" t="str">
        <f>IF(VLOOKUP(A60,'Revitalisation-Revitalisierung'!$A$4:$Z$275,14,FALSE)="","",VLOOKUP(A60,'Revitalisation-Revitalisierung'!$A$4:$Z$275,14,FALSE))</f>
        <v>b</v>
      </c>
      <c r="S60" s="542" t="str">
        <f>IF(VLOOKUP(A60,'Revitalisation-Revitalisierung'!$A$4:$Z$275,19,FALSE)="","",VLOOKUP(A60,'Revitalisation-Revitalisierung'!$A$4:$Z$275,19,FALSE))</f>
        <v>Partiellement nécessaire, difficile / teilweise nötig, schwierig</v>
      </c>
      <c r="T60" s="541" t="str">
        <f>IF(VLOOKUP(A60,'Revitalisation-Revitalisierung'!$A$4:$Z$275,20,FALSE)="","",VLOOKUP(A60,'Revitalisation-Revitalisierung'!$A$4:$Z$275,20,FALSE))</f>
        <v>d</v>
      </c>
      <c r="U60" s="542" t="str">
        <f>IF(VLOOKUP(A60,'Revitalisation-Revitalisierung'!$A$4:$Z$275,25,FALSE)="","",VLOOKUP(A60,'Revitalisation-Revitalisierung'!$A$4:$Z$275,25,FALSE))</f>
        <v>Très nécessaire, facile / unbedingt nötig, einfach</v>
      </c>
      <c r="V60" s="406" t="str">
        <f>IF(VLOOKUP(A60,'Revitalisation-Revitalisierung'!$A$4:$Z$275,26,FALSE)="","",VLOOKUP(A60,'Revitalisation-Revitalisierung'!$A$4:$Z$275,26,FALSE))</f>
        <v>e</v>
      </c>
      <c r="Y60" s="529" t="str">
        <f t="shared" si="2"/>
        <v>81-100%</v>
      </c>
      <c r="Z60" s="568" t="str">
        <f t="shared" si="3"/>
        <v>d</v>
      </c>
      <c r="AA60" s="327" t="str">
        <f t="shared" si="0"/>
        <v>0-20%</v>
      </c>
      <c r="AB60" s="327" t="str">
        <f t="shared" si="1"/>
        <v>Non affecté / nicht betroffen</v>
      </c>
      <c r="AC60" s="276" t="str">
        <f t="shared" si="4"/>
        <v>Très nécessaire, facile / unbedingt nötig, einfach</v>
      </c>
      <c r="AD60" s="570" t="str">
        <f t="shared" si="5"/>
        <v>e</v>
      </c>
      <c r="AE60">
        <v>4</v>
      </c>
      <c r="AF60">
        <v>1</v>
      </c>
    </row>
    <row r="61" spans="1:32" ht="16.5" customHeight="1" x14ac:dyDescent="0.25">
      <c r="A61" s="926">
        <v>44</v>
      </c>
      <c r="B61" s="400" t="s">
        <v>93</v>
      </c>
      <c r="C61" s="400" t="s">
        <v>94</v>
      </c>
      <c r="D61" s="401" t="s">
        <v>92</v>
      </c>
      <c r="E61" s="522" t="str">
        <f>IF(VLOOKUP(A61,'Charriage - Geschiebehaushalt'!$A$4:$AC$275,17,FALSE)="","",VLOOKUP(A61,'Charriage - Geschiebehaushalt'!$A$4:$AC$275,17,FALSE))</f>
        <v>21-50%</v>
      </c>
      <c r="F61" s="523" t="str">
        <f>IF(VLOOKUP(A61,'Charriage - Geschiebehaushalt'!$A$4:$AC$275,18,FALSE)="","",VLOOKUP(A61,'Charriage - Geschiebehaushalt'!$A$4:$AC$275,18,FALSE))</f>
        <v>a</v>
      </c>
      <c r="G61" s="524" t="str">
        <f>IF(VLOOKUP(A61,'Charriage - Geschiebehaushalt'!$A$4:$AC$275,22,FALSE)="","",VLOOKUP(A61,'Charriage - Geschiebehaushalt'!$A$4:$AC$275,22,FALSE))</f>
        <v>21-50%</v>
      </c>
      <c r="H61" s="523" t="str">
        <f>IF(VLOOKUP(A61,'Charriage - Geschiebehaushalt'!$A$4:$AC$275,23,FALSE)="","",VLOOKUP(A61,'Charriage - Geschiebehaushalt'!$A$4:$AC$275,23,FALSE))</f>
        <v>d</v>
      </c>
      <c r="I61" s="524" t="str">
        <f>IF(VLOOKUP(A61,'Charriage - Geschiebehaushalt'!$A$4:$AC$275,28,FALSE)="","",VLOOKUP(A61,'Charriage - Geschiebehaushalt'!$A$4:$AC$275,28,FALSE))</f>
        <v>21-50%</v>
      </c>
      <c r="J61" s="403" t="str">
        <f>IF(VLOOKUP(A61,'Charriage - Geschiebehaushalt'!$A$4:$AC$275,29,FALSE)="","",VLOOKUP(A61,'Charriage - Geschiebehaushalt'!$A$4:$AC$275,29,FALSE))</f>
        <v>d</v>
      </c>
      <c r="K61" s="533" t="str">
        <f>IF(VLOOKUP(A61,'Débit - Abfluss'!$A$4:$AD$275,8,FALSE)="","",VLOOKUP(A61,'Débit - Abfluss'!$A$4:$AD$275,8,FALSE))</f>
        <v>100%</v>
      </c>
      <c r="L61" s="468" t="str">
        <f>IF(VLOOKUP(A61,'Débit - Abfluss'!$A$4:$AD$275,10,FALSE)="","",VLOOKUP(A61,'Débit - Abfluss'!$A$4:$AD$275,10,FALSE))</f>
        <v>100%</v>
      </c>
      <c r="M61" s="333" t="str">
        <f>IF(VLOOKUP(A61,'Débit - Abfluss'!$A$4:$AD$275,17,FALSE)="","",VLOOKUP(A61,'Débit - Abfluss'!$A$4:$AD$275,17,FALSE))</f>
        <v>100%</v>
      </c>
      <c r="N61" s="340" t="str">
        <f>IF(VLOOKUP(A61,'Eclusée - Schwall-Sunk'!$A$2:$F$273,6,FALSE)="","",VLOOKUP(A61,'Eclusée - Schwall-Sunk'!$A$2:$F$273,6,FALSE))</f>
        <v>Non affecté / nicht betroffen</v>
      </c>
      <c r="O61" s="537"/>
      <c r="P61" s="538"/>
      <c r="Q61" s="284" t="str">
        <f>IF(VLOOKUP(A61,'Revitalisation-Revitalisierung'!$A$4:$Z$275,13,FALSE)="","",VLOOKUP(A61,'Revitalisation-Revitalisierung'!$A$4:$Z$275,13,FALSE))</f>
        <v>Très nécessaire, facile / unbedingt nötig, einfach</v>
      </c>
      <c r="R61" s="541" t="str">
        <f>IF(VLOOKUP(A61,'Revitalisation-Revitalisierung'!$A$4:$Z$275,14,FALSE)="","",VLOOKUP(A61,'Revitalisation-Revitalisierung'!$A$4:$Z$275,14,FALSE))</f>
        <v>a</v>
      </c>
      <c r="S61" s="542" t="str">
        <f>IF(VLOOKUP(A61,'Revitalisation-Revitalisierung'!$A$4:$Z$275,19,FALSE)="","",VLOOKUP(A61,'Revitalisation-Revitalisierung'!$A$4:$Z$275,19,FALSE))</f>
        <v>Très nécessaire, facile / unbedingt nötig, einfach</v>
      </c>
      <c r="T61" s="541" t="str">
        <f>IF(VLOOKUP(A61,'Revitalisation-Revitalisierung'!$A$4:$Z$275,20,FALSE)="","",VLOOKUP(A61,'Revitalisation-Revitalisierung'!$A$4:$Z$275,20,FALSE))</f>
        <v>d</v>
      </c>
      <c r="U61" s="542" t="str">
        <f>IF(VLOOKUP(A61,'Revitalisation-Revitalisierung'!$A$4:$Z$275,25,FALSE)="","",VLOOKUP(A61,'Revitalisation-Revitalisierung'!$A$4:$Z$275,25,FALSE))</f>
        <v>Très nécessaire, difficile / unbedingt nötig, schwierig</v>
      </c>
      <c r="V61" s="406" t="str">
        <f>IF(VLOOKUP(A61,'Revitalisation-Revitalisierung'!$A$4:$Z$275,26,FALSE)="","",VLOOKUP(A61,'Revitalisation-Revitalisierung'!$A$4:$Z$275,26,FALSE))</f>
        <v>e</v>
      </c>
      <c r="Y61" s="529" t="str">
        <f t="shared" si="2"/>
        <v>21-50%</v>
      </c>
      <c r="Z61" s="568" t="str">
        <f t="shared" si="3"/>
        <v>d</v>
      </c>
      <c r="AA61" s="327" t="str">
        <f t="shared" si="0"/>
        <v>100%</v>
      </c>
      <c r="AB61" s="327" t="str">
        <f t="shared" si="1"/>
        <v>Non affecté / nicht betroffen</v>
      </c>
      <c r="AC61" s="276" t="str">
        <f t="shared" si="4"/>
        <v>Très nécessaire, difficile / unbedingt nötig, schwierig</v>
      </c>
      <c r="AD61" s="570" t="str">
        <f t="shared" si="5"/>
        <v>e</v>
      </c>
      <c r="AE61">
        <v>2</v>
      </c>
      <c r="AF61">
        <v>1</v>
      </c>
    </row>
    <row r="62" spans="1:32" ht="16.5" customHeight="1" x14ac:dyDescent="0.25">
      <c r="A62" s="926">
        <v>45</v>
      </c>
      <c r="B62" s="400" t="s">
        <v>455</v>
      </c>
      <c r="C62" s="400" t="s">
        <v>456</v>
      </c>
      <c r="D62" s="401" t="s">
        <v>454</v>
      </c>
      <c r="E62" s="522" t="str">
        <f>IF(VLOOKUP(A62,'Charriage - Geschiebehaushalt'!$A$4:$AC$275,17,FALSE)="","",VLOOKUP(A62,'Charriage - Geschiebehaushalt'!$A$4:$AC$275,17,FALSE))</f>
        <v>21-50%</v>
      </c>
      <c r="F62" s="523" t="str">
        <f>IF(VLOOKUP(A62,'Charriage - Geschiebehaushalt'!$A$4:$AC$275,18,FALSE)="","",VLOOKUP(A62,'Charriage - Geschiebehaushalt'!$A$4:$AC$275,18,FALSE))</f>
        <v>a</v>
      </c>
      <c r="G62" s="524" t="str">
        <f>IF(VLOOKUP(A62,'Charriage - Geschiebehaushalt'!$A$4:$AC$275,22,FALSE)="","",VLOOKUP(A62,'Charriage - Geschiebehaushalt'!$A$4:$AC$275,22,FALSE))</f>
        <v>51-80%</v>
      </c>
      <c r="H62" s="523" t="str">
        <f>IF(VLOOKUP(A62,'Charriage - Geschiebehaushalt'!$A$4:$AC$275,23,FALSE)="","",VLOOKUP(A62,'Charriage - Geschiebehaushalt'!$A$4:$AC$275,23,FALSE))</f>
        <v>c</v>
      </c>
      <c r="I62" s="524" t="str">
        <f>IF(VLOOKUP(A62,'Charriage - Geschiebehaushalt'!$A$4:$AC$275,28,FALSE)="","",VLOOKUP(A62,'Charriage - Geschiebehaushalt'!$A$4:$AC$275,28,FALSE))</f>
        <v>51-80%</v>
      </c>
      <c r="J62" s="403" t="str">
        <f>IF(VLOOKUP(A62,'Charriage - Geschiebehaushalt'!$A$4:$AC$275,29,FALSE)="","",VLOOKUP(A62,'Charriage - Geschiebehaushalt'!$A$4:$AC$275,29,FALSE))</f>
        <v>c</v>
      </c>
      <c r="K62" s="533" t="str">
        <f>IF(VLOOKUP(A62,'Débit - Abfluss'!$A$4:$AD$275,8,FALSE)="","",VLOOKUP(A62,'Débit - Abfluss'!$A$4:$AD$275,8,FALSE))</f>
        <v>61-80%</v>
      </c>
      <c r="L62" s="468" t="str">
        <f>IF(VLOOKUP(A62,'Débit - Abfluss'!$A$4:$AD$275,10,FALSE)="","",VLOOKUP(A62,'Débit - Abfluss'!$A$4:$AD$275,10,FALSE))</f>
        <v>61-80%</v>
      </c>
      <c r="M62" s="333" t="str">
        <f>IF(VLOOKUP(A62,'Débit - Abfluss'!$A$4:$AD$275,17,FALSE)="","",VLOOKUP(A62,'Débit - Abfluss'!$A$4:$AD$275,17,FALSE))</f>
        <v>61-80%</v>
      </c>
      <c r="N62" s="340" t="str">
        <f>IF(VLOOKUP(A62,'Eclusée - Schwall-Sunk'!$A$2:$F$273,6,FALSE)="","",VLOOKUP(A62,'Eclusée - Schwall-Sunk'!$A$2:$F$273,6,FALSE))</f>
        <v>Non affecté / nicht betroffen</v>
      </c>
      <c r="O62" s="537"/>
      <c r="P62" s="538"/>
      <c r="Q62" s="284" t="str">
        <f>IF(VLOOKUP(A62,'Revitalisation-Revitalisierung'!$A$4:$Z$275,13,FALSE)="","",VLOOKUP(A62,'Revitalisation-Revitalisierung'!$A$4:$Z$275,13,FALSE))</f>
        <v>Très nécessaire, facile / unbedingt nötig, einfach</v>
      </c>
      <c r="R62" s="541" t="str">
        <f>IF(VLOOKUP(A62,'Revitalisation-Revitalisierung'!$A$4:$Z$275,14,FALSE)="","",VLOOKUP(A62,'Revitalisation-Revitalisierung'!$A$4:$Z$275,14,FALSE))</f>
        <v>a</v>
      </c>
      <c r="S62" s="542" t="str">
        <f>IF(VLOOKUP(A62,'Revitalisation-Revitalisierung'!$A$4:$Z$275,19,FALSE)="","",VLOOKUP(A62,'Revitalisation-Revitalisierung'!$A$4:$Z$275,19,FALSE))</f>
        <v>Très nécessaire, facile / unbedingt nötig, einfach</v>
      </c>
      <c r="T62" s="541" t="str">
        <f>IF(VLOOKUP(A62,'Revitalisation-Revitalisierung'!$A$4:$Z$275,20,FALSE)="","",VLOOKUP(A62,'Revitalisation-Revitalisierung'!$A$4:$Z$275,20,FALSE))</f>
        <v>d</v>
      </c>
      <c r="U62" s="542" t="str">
        <f>IF(VLOOKUP(A62,'Revitalisation-Revitalisierung'!$A$4:$Z$275,25,FALSE)="","",VLOOKUP(A62,'Revitalisation-Revitalisierung'!$A$4:$Z$275,25,FALSE))</f>
        <v>Très nécessaire, facile / unbedingt nötig, einfach</v>
      </c>
      <c r="V62" s="406" t="str">
        <f>IF(VLOOKUP(A62,'Revitalisation-Revitalisierung'!$A$4:$Z$275,26,FALSE)="","",VLOOKUP(A62,'Revitalisation-Revitalisierung'!$A$4:$Z$275,26,FALSE))</f>
        <v>d</v>
      </c>
      <c r="Y62" s="529" t="str">
        <f t="shared" si="2"/>
        <v>51-80%</v>
      </c>
      <c r="Z62" s="568" t="str">
        <f t="shared" si="3"/>
        <v>c</v>
      </c>
      <c r="AA62" s="327" t="str">
        <f t="shared" si="0"/>
        <v>61-80%</v>
      </c>
      <c r="AB62" s="327" t="str">
        <f t="shared" si="1"/>
        <v>Non affecté / nicht betroffen</v>
      </c>
      <c r="AC62" s="276" t="str">
        <f t="shared" si="4"/>
        <v>Très nécessaire, facile / unbedingt nötig, einfach</v>
      </c>
      <c r="AD62" s="570" t="str">
        <f t="shared" si="5"/>
        <v>d</v>
      </c>
      <c r="AE62">
        <v>4</v>
      </c>
      <c r="AF62">
        <v>1</v>
      </c>
    </row>
    <row r="63" spans="1:32" ht="16.5" customHeight="1" x14ac:dyDescent="0.25">
      <c r="A63" s="926">
        <v>46</v>
      </c>
      <c r="B63" s="400" t="s">
        <v>97</v>
      </c>
      <c r="C63" s="400" t="s">
        <v>94</v>
      </c>
      <c r="D63" s="401" t="s">
        <v>92</v>
      </c>
      <c r="E63" s="522" t="str">
        <f>IF(VLOOKUP(A63,'Charriage - Geschiebehaushalt'!$A$4:$AC$275,17,FALSE)="","",VLOOKUP(A63,'Charriage - Geschiebehaushalt'!$A$4:$AC$275,17,FALSE))</f>
        <v>21-50%</v>
      </c>
      <c r="F63" s="523" t="str">
        <f>IF(VLOOKUP(A63,'Charriage - Geschiebehaushalt'!$A$4:$AC$275,18,FALSE)="","",VLOOKUP(A63,'Charriage - Geschiebehaushalt'!$A$4:$AC$275,18,FALSE))</f>
        <v>a</v>
      </c>
      <c r="G63" s="524" t="str">
        <f>IF(VLOOKUP(A63,'Charriage - Geschiebehaushalt'!$A$4:$AC$275,22,FALSE)="","",VLOOKUP(A63,'Charriage - Geschiebehaushalt'!$A$4:$AC$275,22,FALSE))</f>
        <v>21-50%</v>
      </c>
      <c r="H63" s="523" t="str">
        <f>IF(VLOOKUP(A63,'Charriage - Geschiebehaushalt'!$A$4:$AC$275,23,FALSE)="","",VLOOKUP(A63,'Charriage - Geschiebehaushalt'!$A$4:$AC$275,23,FALSE))</f>
        <v>d</v>
      </c>
      <c r="I63" s="524" t="str">
        <f>IF(VLOOKUP(A63,'Charriage - Geschiebehaushalt'!$A$4:$AC$275,28,FALSE)="","",VLOOKUP(A63,'Charriage - Geschiebehaushalt'!$A$4:$AC$275,28,FALSE))</f>
        <v>21-50%</v>
      </c>
      <c r="J63" s="403" t="str">
        <f>IF(VLOOKUP(A63,'Charriage - Geschiebehaushalt'!$A$4:$AC$275,29,FALSE)="","",VLOOKUP(A63,'Charriage - Geschiebehaushalt'!$A$4:$AC$275,29,FALSE))</f>
        <v>d</v>
      </c>
      <c r="K63" s="533" t="str">
        <f>IF(VLOOKUP(A63,'Débit - Abfluss'!$A$4:$AD$275,8,FALSE)="","",VLOOKUP(A63,'Débit - Abfluss'!$A$4:$AD$275,8,FALSE))</f>
        <v>41-60%</v>
      </c>
      <c r="L63" s="468" t="str">
        <f>IF(VLOOKUP(A63,'Débit - Abfluss'!$A$4:$AD$275,10,FALSE)="","",VLOOKUP(A63,'Débit - Abfluss'!$A$4:$AD$275,10,FALSE))</f>
        <v>41-60%</v>
      </c>
      <c r="M63" s="333" t="str">
        <f>IF(VLOOKUP(A63,'Débit - Abfluss'!$A$4:$AD$275,17,FALSE)="","",VLOOKUP(A63,'Débit - Abfluss'!$A$4:$AD$275,17,FALSE))</f>
        <v>41-60%</v>
      </c>
      <c r="N63" s="340" t="str">
        <f>IF(VLOOKUP(A63,'Eclusée - Schwall-Sunk'!$A$2:$F$273,6,FALSE)="","",VLOOKUP(A63,'Eclusée - Schwall-Sunk'!$A$2:$F$273,6,FALSE))</f>
        <v>Non affecté / nicht betroffen</v>
      </c>
      <c r="O63" s="537"/>
      <c r="P63" s="538"/>
      <c r="Q63" s="284" t="str">
        <f>IF(VLOOKUP(A63,'Revitalisation-Revitalisierung'!$A$4:$Z$275,13,FALSE)="","",VLOOKUP(A63,'Revitalisation-Revitalisierung'!$A$4:$Z$275,13,FALSE))</f>
        <v>Très nécessaire, facile / unbedingt nötig, einfach</v>
      </c>
      <c r="R63" s="541" t="str">
        <f>IF(VLOOKUP(A63,'Revitalisation-Revitalisierung'!$A$4:$Z$275,14,FALSE)="","",VLOOKUP(A63,'Revitalisation-Revitalisierung'!$A$4:$Z$275,14,FALSE))</f>
        <v>a</v>
      </c>
      <c r="S63" s="542" t="str">
        <f>IF(VLOOKUP(A63,'Revitalisation-Revitalisierung'!$A$4:$Z$275,19,FALSE)="","",VLOOKUP(A63,'Revitalisation-Revitalisierung'!$A$4:$Z$275,19,FALSE))</f>
        <v>Très nécessaire, facile / unbedingt nötig, einfach</v>
      </c>
      <c r="T63" s="541" t="str">
        <f>IF(VLOOKUP(A63,'Revitalisation-Revitalisierung'!$A$4:$Z$275,20,FALSE)="","",VLOOKUP(A63,'Revitalisation-Revitalisierung'!$A$4:$Z$275,20,FALSE))</f>
        <v>d</v>
      </c>
      <c r="U63" s="542" t="str">
        <f>IF(VLOOKUP(A63,'Revitalisation-Revitalisierung'!$A$4:$Z$275,25,FALSE)="","",VLOOKUP(A63,'Revitalisation-Revitalisierung'!$A$4:$Z$275,25,FALSE))</f>
        <v>Très nécessaire, difficile / unbedingt nötig, schwierig</v>
      </c>
      <c r="V63" s="406" t="str">
        <f>IF(VLOOKUP(A63,'Revitalisation-Revitalisierung'!$A$4:$Z$275,26,FALSE)="","",VLOOKUP(A63,'Revitalisation-Revitalisierung'!$A$4:$Z$275,26,FALSE))</f>
        <v>e</v>
      </c>
      <c r="Y63" s="529" t="str">
        <f t="shared" si="2"/>
        <v>21-50%</v>
      </c>
      <c r="Z63" s="568" t="str">
        <f t="shared" si="3"/>
        <v>d</v>
      </c>
      <c r="AA63" s="327" t="str">
        <f t="shared" si="0"/>
        <v>41-60%</v>
      </c>
      <c r="AB63" s="327" t="str">
        <f t="shared" si="1"/>
        <v>Non affecté / nicht betroffen</v>
      </c>
      <c r="AC63" s="276" t="str">
        <f t="shared" si="4"/>
        <v>Très nécessaire, difficile / unbedingt nötig, schwierig</v>
      </c>
      <c r="AD63" s="570" t="str">
        <f t="shared" si="5"/>
        <v>e</v>
      </c>
      <c r="AE63">
        <v>4</v>
      </c>
      <c r="AF63">
        <v>1</v>
      </c>
    </row>
    <row r="64" spans="1:32" ht="16.5" customHeight="1" x14ac:dyDescent="0.25">
      <c r="A64" s="927">
        <v>47.1</v>
      </c>
      <c r="B64" s="400" t="s">
        <v>98</v>
      </c>
      <c r="C64" s="400" t="s">
        <v>50</v>
      </c>
      <c r="D64" s="401" t="s">
        <v>92</v>
      </c>
      <c r="E64" s="522" t="str">
        <f>IF(VLOOKUP(A64,'Charriage - Geschiebehaushalt'!$A$4:$AC$275,17,FALSE)="","",VLOOKUP(A64,'Charriage - Geschiebehaushalt'!$A$4:$AC$275,17,FALSE))</f>
        <v>Déficit non apparent en charriage ou en remobilisation des sédiments</v>
      </c>
      <c r="F64" s="523" t="str">
        <f>IF(VLOOKUP(A64,'Charriage - Geschiebehaushalt'!$A$4:$AC$275,18,FALSE)="","",VLOOKUP(A64,'Charriage - Geschiebehaushalt'!$A$4:$AC$275,18,FALSE))</f>
        <v>a</v>
      </c>
      <c r="G64" s="524" t="str">
        <f>IF(VLOOKUP(A64,'Charriage - Geschiebehaushalt'!$A$4:$AC$275,22,FALSE)="","",VLOOKUP(A64,'Charriage - Geschiebehaushalt'!$A$4:$AC$275,22,FALSE))</f>
        <v>0-20%</v>
      </c>
      <c r="H64" s="523" t="str">
        <f>IF(VLOOKUP(A64,'Charriage - Geschiebehaushalt'!$A$4:$AC$275,23,FALSE)="","",VLOOKUP(A64,'Charriage - Geschiebehaushalt'!$A$4:$AC$275,23,FALSE))</f>
        <v>a</v>
      </c>
      <c r="I64" s="524" t="str">
        <f>IF(VLOOKUP(A64,'Charriage - Geschiebehaushalt'!$A$4:$AC$275,28,FALSE)="","",VLOOKUP(A64,'Charriage - Geschiebehaushalt'!$A$4:$AC$275,28,FALSE))</f>
        <v>0-20%</v>
      </c>
      <c r="J64" s="403" t="str">
        <f>IF(VLOOKUP(A64,'Charriage - Geschiebehaushalt'!$A$4:$AC$275,29,FALSE)="","",VLOOKUP(A64,'Charriage - Geschiebehaushalt'!$A$4:$AC$275,29,FALSE))</f>
        <v>a</v>
      </c>
      <c r="K64" s="533" t="str">
        <f>IF(VLOOKUP(A64,'Débit - Abfluss'!$A$4:$AD$275,8,FALSE)="","",VLOOKUP(A64,'Débit - Abfluss'!$A$4:$AD$275,8,FALSE))</f>
        <v>81-100%</v>
      </c>
      <c r="L64" s="468" t="str">
        <f>IF(VLOOKUP(A64,'Débit - Abfluss'!$A$4:$AD$275,10,FALSE)="","",VLOOKUP(A64,'Débit - Abfluss'!$A$4:$AD$275,10,FALSE))</f>
        <v>81-100%</v>
      </c>
      <c r="M64" s="333" t="str">
        <f>IF(VLOOKUP(A64,'Débit - Abfluss'!$A$4:$AD$275,17,FALSE)="","",VLOOKUP(A64,'Débit - Abfluss'!$A$4:$AD$275,17,FALSE))</f>
        <v>81-100%</v>
      </c>
      <c r="N64" s="340" t="str">
        <f>IF(VLOOKUP(A64,'Eclusée - Schwall-Sunk'!$A$2:$F$273,6,FALSE)="","",VLOOKUP(A64,'Eclusée - Schwall-Sunk'!$A$2:$F$273,6,FALSE))</f>
        <v>Non affecté / nicht betroffen</v>
      </c>
      <c r="O64" s="537"/>
      <c r="P64" s="538"/>
      <c r="Q64" s="284" t="str">
        <f>IF(VLOOKUP(A64,'Revitalisation-Revitalisierung'!$A$4:$Z$275,13,FALSE)="","",VLOOKUP(A64,'Revitalisation-Revitalisierung'!$A$4:$Z$275,13,FALSE))</f>
        <v>Très nécessaire, difficile / unbedingt nötig, schwierig</v>
      </c>
      <c r="R64" s="541" t="str">
        <f>IF(VLOOKUP(A64,'Revitalisation-Revitalisierung'!$A$4:$Z$275,14,FALSE)="","",VLOOKUP(A64,'Revitalisation-Revitalisierung'!$A$4:$Z$275,14,FALSE))</f>
        <v>b</v>
      </c>
      <c r="S64" s="542" t="str">
        <f>IF(VLOOKUP(A64,'Revitalisation-Revitalisierung'!$A$4:$Z$275,19,FALSE)="","",VLOOKUP(A64,'Revitalisation-Revitalisierung'!$A$4:$Z$275,19,FALSE))</f>
        <v>Très nécessaire, difficile / unbedingt nötig, schwierig</v>
      </c>
      <c r="T64" s="541" t="str">
        <f>IF(VLOOKUP(A64,'Revitalisation-Revitalisierung'!$A$4:$Z$275,20,FALSE)="","",VLOOKUP(A64,'Revitalisation-Revitalisierung'!$A$4:$Z$275,20,FALSE))</f>
        <v>b</v>
      </c>
      <c r="U64" s="542" t="str">
        <f>IF(VLOOKUP(A64,'Revitalisation-Revitalisierung'!$A$4:$Z$275,25,FALSE)="","",VLOOKUP(A64,'Revitalisation-Revitalisierung'!$A$4:$Z$275,25,FALSE))</f>
        <v>Très nécessaire, difficile / unbedingt nötig, schwierig</v>
      </c>
      <c r="V64" s="406" t="str">
        <f>IF(VLOOKUP(A64,'Revitalisation-Revitalisierung'!$A$4:$Z$275,26,FALSE)="","",VLOOKUP(A64,'Revitalisation-Revitalisierung'!$A$4:$Z$275,26,FALSE))</f>
        <v>b</v>
      </c>
      <c r="Y64" s="529" t="str">
        <f t="shared" si="2"/>
        <v>0-20%</v>
      </c>
      <c r="Z64" s="568" t="str">
        <f t="shared" si="3"/>
        <v>a</v>
      </c>
      <c r="AA64" s="327" t="str">
        <f t="shared" si="0"/>
        <v>81-100%</v>
      </c>
      <c r="AB64" s="327" t="str">
        <f t="shared" si="1"/>
        <v>Non affecté / nicht betroffen</v>
      </c>
      <c r="AC64" s="276" t="str">
        <f t="shared" si="4"/>
        <v>Très nécessaire, difficile / unbedingt nötig, schwierig</v>
      </c>
      <c r="AD64" s="570" t="str">
        <f t="shared" si="5"/>
        <v>b</v>
      </c>
      <c r="AE64">
        <v>2</v>
      </c>
      <c r="AF64">
        <v>1</v>
      </c>
    </row>
    <row r="65" spans="1:33" ht="16.5" customHeight="1" x14ac:dyDescent="0.25">
      <c r="A65" s="927">
        <v>47.2</v>
      </c>
      <c r="B65" s="400" t="s">
        <v>98</v>
      </c>
      <c r="C65" s="400" t="s">
        <v>50</v>
      </c>
      <c r="D65" s="401" t="s">
        <v>92</v>
      </c>
      <c r="E65" s="522" t="str">
        <f>IF(VLOOKUP(A65,'Charriage - Geschiebehaushalt'!$A$4:$AC$275,17,FALSE)="","",VLOOKUP(A65,'Charriage - Geschiebehaushalt'!$A$4:$AC$275,17,FALSE))</f>
        <v>La remobilisation des sédiments est perturbée</v>
      </c>
      <c r="F65" s="523" t="str">
        <f>IF(VLOOKUP(A65,'Charriage - Geschiebehaushalt'!$A$4:$AC$275,18,FALSE)="","",VLOOKUP(A65,'Charriage - Geschiebehaushalt'!$A$4:$AC$275,18,FALSE))</f>
        <v>b</v>
      </c>
      <c r="G65" s="524" t="str">
        <f>IF(VLOOKUP(A65,'Charriage - Geschiebehaushalt'!$A$4:$AC$275,22,FALSE)="","",VLOOKUP(A65,'Charriage - Geschiebehaushalt'!$A$4:$AC$275,22,FALSE))</f>
        <v>21-50%</v>
      </c>
      <c r="H65" s="523" t="str">
        <f>IF(VLOOKUP(A65,'Charriage - Geschiebehaushalt'!$A$4:$AC$275,23,FALSE)="","",VLOOKUP(A65,'Charriage - Geschiebehaushalt'!$A$4:$AC$275,23,FALSE))</f>
        <v>b</v>
      </c>
      <c r="I65" s="524" t="str">
        <f>IF(VLOOKUP(A65,'Charriage - Geschiebehaushalt'!$A$4:$AC$275,28,FALSE)="","",VLOOKUP(A65,'Charriage - Geschiebehaushalt'!$A$4:$AC$275,28,FALSE))</f>
        <v>21-50%</v>
      </c>
      <c r="J65" s="403" t="str">
        <f>IF(VLOOKUP(A65,'Charriage - Geschiebehaushalt'!$A$4:$AC$275,29,FALSE)="","",VLOOKUP(A65,'Charriage - Geschiebehaushalt'!$A$4:$AC$275,29,FALSE))</f>
        <v>b</v>
      </c>
      <c r="K65" s="533" t="str">
        <f>IF(VLOOKUP(A65,'Débit - Abfluss'!$A$4:$AD$275,8,FALSE)="","",VLOOKUP(A65,'Débit - Abfluss'!$A$4:$AD$275,8,FALSE))</f>
        <v>100%</v>
      </c>
      <c r="L65" s="468" t="str">
        <f>IF(VLOOKUP(A65,'Débit - Abfluss'!$A$4:$AD$275,10,FALSE)="","",VLOOKUP(A65,'Débit - Abfluss'!$A$4:$AD$275,10,FALSE))</f>
        <v>100%</v>
      </c>
      <c r="M65" s="333" t="str">
        <f>IF(VLOOKUP(A65,'Débit - Abfluss'!$A$4:$AD$275,17,FALSE)="","",VLOOKUP(A65,'Débit - Abfluss'!$A$4:$AD$275,17,FALSE))</f>
        <v>100%</v>
      </c>
      <c r="N65" s="340" t="str">
        <f>IF(VLOOKUP(A65,'Eclusée - Schwall-Sunk'!$A$2:$F$273,6,FALSE)="","",VLOOKUP(A65,'Eclusée - Schwall-Sunk'!$A$2:$F$273,6,FALSE))</f>
        <v>Non affecté / nicht betroffen</v>
      </c>
      <c r="O65" s="537"/>
      <c r="P65" s="538"/>
      <c r="Q65" s="284" t="str">
        <f>IF(VLOOKUP(A65,'Revitalisation-Revitalisierung'!$A$4:$Z$275,13,FALSE)="","",VLOOKUP(A65,'Revitalisation-Revitalisierung'!$A$4:$Z$275,13,FALSE))</f>
        <v>Non nécessaire / nicht nötig</v>
      </c>
      <c r="R65" s="541" t="str">
        <f>IF(VLOOKUP(A65,'Revitalisation-Revitalisierung'!$A$4:$Z$275,14,FALSE)="","",VLOOKUP(A65,'Revitalisation-Revitalisierung'!$A$4:$Z$275,14,FALSE))</f>
        <v>b</v>
      </c>
      <c r="S65" s="542" t="str">
        <f>IF(VLOOKUP(A65,'Revitalisation-Revitalisierung'!$A$4:$Z$275,19,FALSE)="","",VLOOKUP(A65,'Revitalisation-Revitalisierung'!$A$4:$Z$275,19,FALSE))</f>
        <v>Très nécessaire, difficile / unbedingt nötig, schwierig</v>
      </c>
      <c r="T65" s="541" t="str">
        <f>IF(VLOOKUP(A65,'Revitalisation-Revitalisierung'!$A$4:$Z$275,20,FALSE)="","",VLOOKUP(A65,'Revitalisation-Revitalisierung'!$A$4:$Z$275,20,FALSE))</f>
        <v>c</v>
      </c>
      <c r="U65" s="542" t="str">
        <f>IF(VLOOKUP(A65,'Revitalisation-Revitalisierung'!$A$4:$Z$275,25,FALSE)="","",VLOOKUP(A65,'Revitalisation-Revitalisierung'!$A$4:$Z$275,25,FALSE))</f>
        <v>Très nécessaire, difficile / unbedingt nötig, schwierig</v>
      </c>
      <c r="V65" s="406" t="str">
        <f>IF(VLOOKUP(A65,'Revitalisation-Revitalisierung'!$A$4:$Z$275,26,FALSE)="","",VLOOKUP(A65,'Revitalisation-Revitalisierung'!$A$4:$Z$275,26,FALSE))</f>
        <v>c</v>
      </c>
      <c r="Y65" s="529" t="str">
        <f t="shared" si="2"/>
        <v>21-50%</v>
      </c>
      <c r="Z65" s="568" t="str">
        <f t="shared" si="3"/>
        <v>b</v>
      </c>
      <c r="AA65" s="327" t="str">
        <f t="shared" ref="AA65:AA97" si="6">M65</f>
        <v>100%</v>
      </c>
      <c r="AB65" s="327" t="str">
        <f t="shared" ref="AB65:AB97" si="7">N65</f>
        <v>Non affecté / nicht betroffen</v>
      </c>
      <c r="AC65" s="276" t="str">
        <f t="shared" si="4"/>
        <v>Très nécessaire, difficile / unbedingt nötig, schwierig</v>
      </c>
      <c r="AD65" s="570" t="str">
        <f t="shared" si="5"/>
        <v>c</v>
      </c>
      <c r="AE65">
        <v>2</v>
      </c>
      <c r="AF65">
        <v>1</v>
      </c>
    </row>
    <row r="66" spans="1:33" ht="16.5" customHeight="1" x14ac:dyDescent="0.25">
      <c r="A66" s="926">
        <v>48</v>
      </c>
      <c r="B66" s="400" t="s">
        <v>100</v>
      </c>
      <c r="C66" s="400" t="s">
        <v>101</v>
      </c>
      <c r="D66" s="401" t="s">
        <v>92</v>
      </c>
      <c r="E66" s="522" t="str">
        <f>IF(VLOOKUP(A66,'Charriage - Geschiebehaushalt'!$A$4:$AC$275,17,FALSE)="","",VLOOKUP(A66,'Charriage - Geschiebehaushalt'!$A$4:$AC$275,17,FALSE))</f>
        <v>Charriage présumé perturbé</v>
      </c>
      <c r="F66" s="523" t="str">
        <f>IF(VLOOKUP(A66,'Charriage - Geschiebehaushalt'!$A$4:$AC$275,18,FALSE)="","",VLOOKUP(A66,'Charriage - Geschiebehaushalt'!$A$4:$AC$275,18,FALSE))</f>
        <v>b</v>
      </c>
      <c r="G66" s="524" t="str">
        <f>IF(VLOOKUP(A66,'Charriage - Geschiebehaushalt'!$A$4:$AC$275,22,FALSE)="","",VLOOKUP(A66,'Charriage - Geschiebehaushalt'!$A$4:$AC$275,22,FALSE))</f>
        <v>51-80%</v>
      </c>
      <c r="H66" s="523" t="str">
        <f>IF(VLOOKUP(A66,'Charriage - Geschiebehaushalt'!$A$4:$AC$275,23,FALSE)="","",VLOOKUP(A66,'Charriage - Geschiebehaushalt'!$A$4:$AC$275,23,FALSE))</f>
        <v>b</v>
      </c>
      <c r="I66" s="524" t="str">
        <f>IF(VLOOKUP(A66,'Charriage - Geschiebehaushalt'!$A$4:$AC$275,28,FALSE)="","",VLOOKUP(A66,'Charriage - Geschiebehaushalt'!$A$4:$AC$275,28,FALSE))</f>
        <v>51-80%</v>
      </c>
      <c r="J66" s="403" t="str">
        <f>IF(VLOOKUP(A66,'Charriage - Geschiebehaushalt'!$A$4:$AC$275,29,FALSE)="","",VLOOKUP(A66,'Charriage - Geschiebehaushalt'!$A$4:$AC$275,29,FALSE))</f>
        <v>b</v>
      </c>
      <c r="K66" s="533" t="str">
        <f>IF(VLOOKUP(A66,'Débit - Abfluss'!$A$4:$AD$275,8,FALSE)="","",VLOOKUP(A66,'Débit - Abfluss'!$A$4:$AD$275,8,FALSE))</f>
        <v>100%</v>
      </c>
      <c r="L66" s="468" t="str">
        <f>IF(VLOOKUP(A66,'Débit - Abfluss'!$A$4:$AD$275,10,FALSE)="","",VLOOKUP(A66,'Débit - Abfluss'!$A$4:$AD$275,10,FALSE))</f>
        <v>100%</v>
      </c>
      <c r="M66" s="333" t="str">
        <f>IF(VLOOKUP(A66,'Débit - Abfluss'!$A$4:$AD$275,17,FALSE)="","",VLOOKUP(A66,'Débit - Abfluss'!$A$4:$AD$275,17,FALSE))</f>
        <v>100%</v>
      </c>
      <c r="N66" s="340" t="str">
        <f>IF(VLOOKUP(A66,'Eclusée - Schwall-Sunk'!$A$2:$F$273,6,FALSE)="","",VLOOKUP(A66,'Eclusée - Schwall-Sunk'!$A$2:$F$273,6,FALSE))</f>
        <v>Non affecté / nicht betroffen</v>
      </c>
      <c r="O66" s="537"/>
      <c r="P66" s="538"/>
      <c r="Q66" s="284" t="str">
        <f>IF(VLOOKUP(A66,'Revitalisation-Revitalisierung'!$A$4:$Z$275,13,FALSE)="","",VLOOKUP(A66,'Revitalisation-Revitalisierung'!$A$4:$Z$275,13,FALSE))</f>
        <v>Partiellement nécessaire, facile / teilweise nötig, einfach</v>
      </c>
      <c r="R66" s="541" t="str">
        <f>IF(VLOOKUP(A66,'Revitalisation-Revitalisierung'!$A$4:$Z$275,14,FALSE)="","",VLOOKUP(A66,'Revitalisation-Revitalisierung'!$A$4:$Z$275,14,FALSE))</f>
        <v>b</v>
      </c>
      <c r="S66" s="542" t="str">
        <f>IF(VLOOKUP(A66,'Revitalisation-Revitalisierung'!$A$4:$Z$275,19,FALSE)="","",VLOOKUP(A66,'Revitalisation-Revitalisierung'!$A$4:$Z$275,19,FALSE))</f>
        <v>Très nécessaire, facile / unbedingt nötig, einfach</v>
      </c>
      <c r="T66" s="541" t="str">
        <f>IF(VLOOKUP(A66,'Revitalisation-Revitalisierung'!$A$4:$Z$275,20,FALSE)="","",VLOOKUP(A66,'Revitalisation-Revitalisierung'!$A$4:$Z$275,20,FALSE))</f>
        <v>c</v>
      </c>
      <c r="U66" s="542" t="str">
        <f>IF(VLOOKUP(A66,'Revitalisation-Revitalisierung'!$A$4:$Z$275,25,FALSE)="","",VLOOKUP(A66,'Revitalisation-Revitalisierung'!$A$4:$Z$275,25,FALSE))</f>
        <v>Très nécessaire, facile / unbedingt nötig, einfach</v>
      </c>
      <c r="V66" s="406" t="str">
        <f>IF(VLOOKUP(A66,'Revitalisation-Revitalisierung'!$A$4:$Z$275,26,FALSE)="","",VLOOKUP(A66,'Revitalisation-Revitalisierung'!$A$4:$Z$275,26,FALSE))</f>
        <v>c</v>
      </c>
      <c r="Y66" s="529" t="str">
        <f t="shared" si="2"/>
        <v>51-80%</v>
      </c>
      <c r="Z66" s="568" t="str">
        <f t="shared" si="3"/>
        <v>b</v>
      </c>
      <c r="AA66" s="327" t="str">
        <f t="shared" si="6"/>
        <v>100%</v>
      </c>
      <c r="AB66" s="327" t="str">
        <f t="shared" si="7"/>
        <v>Non affecté / nicht betroffen</v>
      </c>
      <c r="AC66" s="276" t="str">
        <f t="shared" si="4"/>
        <v>Très nécessaire, facile / unbedingt nötig, einfach</v>
      </c>
      <c r="AD66" s="570" t="str">
        <f t="shared" si="5"/>
        <v>c</v>
      </c>
      <c r="AE66">
        <v>4</v>
      </c>
      <c r="AF66">
        <v>1</v>
      </c>
    </row>
    <row r="67" spans="1:33" ht="16.5" customHeight="1" x14ac:dyDescent="0.25">
      <c r="A67" s="926">
        <v>49</v>
      </c>
      <c r="B67" s="400" t="s">
        <v>105</v>
      </c>
      <c r="C67" s="400" t="s">
        <v>101</v>
      </c>
      <c r="D67" s="401" t="s">
        <v>92</v>
      </c>
      <c r="E67" s="522" t="str">
        <f>IF(VLOOKUP(A67,'Charriage - Geschiebehaushalt'!$A$4:$AC$275,17,FALSE)="","",VLOOKUP(A67,'Charriage - Geschiebehaushalt'!$A$4:$AC$275,17,FALSE))</f>
        <v>Charriage présumé perturbé / Geschiebehaushalt vermutlich beeinträchtigt</v>
      </c>
      <c r="F67" s="523" t="str">
        <f>IF(VLOOKUP(A67,'Charriage - Geschiebehaushalt'!$A$4:$AC$275,18,FALSE)="","",VLOOKUP(A67,'Charriage - Geschiebehaushalt'!$A$4:$AC$275,18,FALSE))</f>
        <v>b</v>
      </c>
      <c r="G67" s="524" t="str">
        <f>IF(VLOOKUP(A67,'Charriage - Geschiebehaushalt'!$A$4:$AC$275,22,FALSE)="","",VLOOKUP(A67,'Charriage - Geschiebehaushalt'!$A$4:$AC$275,22,FALSE))</f>
        <v>51-80%</v>
      </c>
      <c r="H67" s="523" t="str">
        <f>IF(VLOOKUP(A67,'Charriage - Geschiebehaushalt'!$A$4:$AC$275,23,FALSE)="","",VLOOKUP(A67,'Charriage - Geschiebehaushalt'!$A$4:$AC$275,23,FALSE))</f>
        <v>b</v>
      </c>
      <c r="I67" s="524" t="str">
        <f>IF(VLOOKUP(A67,'Charriage - Geschiebehaushalt'!$A$4:$AC$275,28,FALSE)="","",VLOOKUP(A67,'Charriage - Geschiebehaushalt'!$A$4:$AC$275,28,FALSE))</f>
        <v>51-80%</v>
      </c>
      <c r="J67" s="403" t="str">
        <f>IF(VLOOKUP(A67,'Charriage - Geschiebehaushalt'!$A$4:$AC$275,29,FALSE)="","",VLOOKUP(A67,'Charriage - Geschiebehaushalt'!$A$4:$AC$275,29,FALSE))</f>
        <v>b</v>
      </c>
      <c r="K67" s="533" t="str">
        <f>IF(VLOOKUP(A67,'Débit - Abfluss'!$A$4:$AD$275,8,FALSE)="","",VLOOKUP(A67,'Débit - Abfluss'!$A$4:$AD$275,8,FALSE))</f>
        <v>100%</v>
      </c>
      <c r="L67" s="468" t="str">
        <f>IF(VLOOKUP(A67,'Débit - Abfluss'!$A$4:$AD$275,10,FALSE)="","",VLOOKUP(A67,'Débit - Abfluss'!$A$4:$AD$275,10,FALSE))</f>
        <v>100%</v>
      </c>
      <c r="M67" s="333" t="str">
        <f>IF(VLOOKUP(A67,'Débit - Abfluss'!$A$4:$AD$275,17,FALSE)="","",VLOOKUP(A67,'Débit - Abfluss'!$A$4:$AD$275,17,FALSE))</f>
        <v>100%</v>
      </c>
      <c r="N67" s="340" t="str">
        <f>IF(VLOOKUP(A67,'Eclusée - Schwall-Sunk'!$A$2:$F$273,6,FALSE)="","",VLOOKUP(A67,'Eclusée - Schwall-Sunk'!$A$2:$F$273,6,FALSE))</f>
        <v>Non affecté / nicht betroffen</v>
      </c>
      <c r="O67" s="537"/>
      <c r="P67" s="538"/>
      <c r="Q67" s="284" t="str">
        <f>IF(VLOOKUP(A67,'Revitalisation-Revitalisierung'!$A$4:$Z$275,13,FALSE)="","",VLOOKUP(A67,'Revitalisation-Revitalisierung'!$A$4:$Z$275,13,FALSE))</f>
        <v>Partiellement nécessaire, facile / teilweise nötig, einfach</v>
      </c>
      <c r="R67" s="541" t="str">
        <f>IF(VLOOKUP(A67,'Revitalisation-Revitalisierung'!$A$4:$Z$275,14,FALSE)="","",VLOOKUP(A67,'Revitalisation-Revitalisierung'!$A$4:$Z$275,14,FALSE))</f>
        <v>b</v>
      </c>
      <c r="S67" s="542" t="str">
        <f>IF(VLOOKUP(A67,'Revitalisation-Revitalisierung'!$A$4:$Z$275,19,FALSE)="","",VLOOKUP(A67,'Revitalisation-Revitalisierung'!$A$4:$Z$275,19,FALSE))</f>
        <v>Très nécessaire, facile / unbedingt nötig, einfach</v>
      </c>
      <c r="T67" s="541" t="str">
        <f>IF(VLOOKUP(A67,'Revitalisation-Revitalisierung'!$A$4:$Z$275,20,FALSE)="","",VLOOKUP(A67,'Revitalisation-Revitalisierung'!$A$4:$Z$275,20,FALSE))</f>
        <v>c</v>
      </c>
      <c r="U67" s="542" t="str">
        <f>IF(VLOOKUP(A67,'Revitalisation-Revitalisierung'!$A$4:$Z$275,25,FALSE)="","",VLOOKUP(A67,'Revitalisation-Revitalisierung'!$A$4:$Z$275,25,FALSE))</f>
        <v>Très nécessaire, facile / unbedingt nötig, einfach</v>
      </c>
      <c r="V67" s="406" t="str">
        <f>IF(VLOOKUP(A67,'Revitalisation-Revitalisierung'!$A$4:$Z$275,26,FALSE)="","",VLOOKUP(A67,'Revitalisation-Revitalisierung'!$A$4:$Z$275,26,FALSE))</f>
        <v>c</v>
      </c>
      <c r="Y67" s="529" t="str">
        <f t="shared" si="2"/>
        <v>51-80%</v>
      </c>
      <c r="Z67" s="568" t="str">
        <f t="shared" si="3"/>
        <v>b</v>
      </c>
      <c r="AA67" s="327" t="str">
        <f t="shared" si="6"/>
        <v>100%</v>
      </c>
      <c r="AB67" s="327" t="str">
        <f t="shared" si="7"/>
        <v>Non affecté / nicht betroffen</v>
      </c>
      <c r="AC67" s="276" t="str">
        <f t="shared" si="4"/>
        <v>Très nécessaire, facile / unbedingt nötig, einfach</v>
      </c>
      <c r="AD67" s="570" t="str">
        <f t="shared" si="5"/>
        <v>c</v>
      </c>
      <c r="AE67">
        <v>4</v>
      </c>
      <c r="AF67">
        <v>1</v>
      </c>
    </row>
    <row r="68" spans="1:33" ht="16.5" customHeight="1" x14ac:dyDescent="0.25">
      <c r="A68" s="926">
        <v>50</v>
      </c>
      <c r="B68" s="400" t="s">
        <v>574</v>
      </c>
      <c r="C68" s="400" t="s">
        <v>575</v>
      </c>
      <c r="D68" s="401" t="s">
        <v>573</v>
      </c>
      <c r="E68" s="522" t="str">
        <f>IF(VLOOKUP(A68,'Charriage - Geschiebehaushalt'!$A$4:$AC$275,17,FALSE)="","",VLOOKUP(A68,'Charriage - Geschiebehaushalt'!$A$4:$AC$275,17,FALSE))</f>
        <v>Déficit non apparent en charriage ou en remobilisation des sédiments / kein sichtbares Defizit beim Geschiebehaushalt bzw. bei der Mobilisierung von Geschiebe</v>
      </c>
      <c r="F68" s="523" t="str">
        <f>IF(VLOOKUP(A68,'Charriage - Geschiebehaushalt'!$A$4:$AC$275,18,FALSE)="","",VLOOKUP(A68,'Charriage - Geschiebehaushalt'!$A$4:$AC$275,18,FALSE))</f>
        <v>b</v>
      </c>
      <c r="G68" s="524" t="str">
        <f>IF(VLOOKUP(A68,'Charriage - Geschiebehaushalt'!$A$4:$AC$275,22,FALSE)="","",VLOOKUP(A68,'Charriage - Geschiebehaushalt'!$A$4:$AC$275,22,FALSE))</f>
        <v>0-20%</v>
      </c>
      <c r="H68" s="523" t="str">
        <f>IF(VLOOKUP(A68,'Charriage - Geschiebehaushalt'!$A$4:$AC$275,23,FALSE)="","",VLOOKUP(A68,'Charriage - Geschiebehaushalt'!$A$4:$AC$275,23,FALSE))</f>
        <v>b</v>
      </c>
      <c r="I68" s="524" t="str">
        <f>IF(VLOOKUP(A68,'Charriage - Geschiebehaushalt'!$A$4:$AC$275,28,FALSE)="","",VLOOKUP(A68,'Charriage - Geschiebehaushalt'!$A$4:$AC$275,28,FALSE))</f>
        <v>0-20%</v>
      </c>
      <c r="J68" s="403" t="str">
        <f>IF(VLOOKUP(A68,'Charriage - Geschiebehaushalt'!$A$4:$AC$275,29,FALSE)="","",VLOOKUP(A68,'Charriage - Geschiebehaushalt'!$A$4:$AC$275,29,FALSE))</f>
        <v>b</v>
      </c>
      <c r="K68" s="533" t="str">
        <f>IF(VLOOKUP(A68,'Débit - Abfluss'!$A$4:$AD$275,8,FALSE)="","",VLOOKUP(A68,'Débit - Abfluss'!$A$4:$AD$275,8,FALSE))</f>
        <v>100%</v>
      </c>
      <c r="L68" s="468" t="str">
        <f>IF(VLOOKUP(A68,'Débit - Abfluss'!$A$4:$AD$275,10,FALSE)="","",VLOOKUP(A68,'Débit - Abfluss'!$A$4:$AD$275,10,FALSE))</f>
        <v>100%</v>
      </c>
      <c r="M68" s="333" t="str">
        <f>IF(VLOOKUP(A68,'Débit - Abfluss'!$A$4:$AD$275,17,FALSE)="","",VLOOKUP(A68,'Débit - Abfluss'!$A$4:$AD$275,17,FALSE))</f>
        <v>100%</v>
      </c>
      <c r="N68" s="340" t="str">
        <f>IF(VLOOKUP(A68,'Eclusée - Schwall-Sunk'!$A$2:$F$273,6,FALSE)="","",VLOOKUP(A68,'Eclusée - Schwall-Sunk'!$A$2:$F$273,6,FALSE))</f>
        <v>Non affecté / nicht betroffen</v>
      </c>
      <c r="O68" s="537"/>
      <c r="P68" s="538"/>
      <c r="Q68" s="284" t="str">
        <f>IF(VLOOKUP(A68,'Revitalisation-Revitalisierung'!$A$4:$Z$275,13,FALSE)="","",VLOOKUP(A68,'Revitalisation-Revitalisierung'!$A$4:$Z$275,13,FALSE))</f>
        <v>Non nécessaire / nicht nötig</v>
      </c>
      <c r="R68" s="541" t="str">
        <f>IF(VLOOKUP(A68,'Revitalisation-Revitalisierung'!$A$4:$Z$275,14,FALSE)="","",VLOOKUP(A68,'Revitalisation-Revitalisierung'!$A$4:$Z$275,14,FALSE))</f>
        <v>a</v>
      </c>
      <c r="S68" s="542" t="str">
        <f>IF(VLOOKUP(A68,'Revitalisation-Revitalisierung'!$A$4:$Z$275,19,FALSE)="","",VLOOKUP(A68,'Revitalisation-Revitalisierung'!$A$4:$Z$275,19,FALSE))</f>
        <v>Non nécessaire / nicht nötig</v>
      </c>
      <c r="T68" s="541" t="str">
        <f>IF(VLOOKUP(A68,'Revitalisation-Revitalisierung'!$A$4:$Z$275,20,FALSE)="","",VLOOKUP(A68,'Revitalisation-Revitalisierung'!$A$4:$Z$275,20,FALSE))</f>
        <v>d</v>
      </c>
      <c r="U68" s="542" t="str">
        <f>IF(VLOOKUP(A68,'Revitalisation-Revitalisierung'!$A$4:$Z$275,25,FALSE)="","",VLOOKUP(A68,'Revitalisation-Revitalisierung'!$A$4:$Z$275,25,FALSE))</f>
        <v>Non nécessaire / nicht nötig</v>
      </c>
      <c r="V68" s="406" t="str">
        <f>IF(VLOOKUP(A68,'Revitalisation-Revitalisierung'!$A$4:$Z$275,26,FALSE)="","",VLOOKUP(A68,'Revitalisation-Revitalisierung'!$A$4:$Z$275,26,FALSE))</f>
        <v>d</v>
      </c>
      <c r="Y68" s="529" t="str">
        <f t="shared" si="2"/>
        <v>0-20%</v>
      </c>
      <c r="Z68" s="568" t="str">
        <f t="shared" si="3"/>
        <v>b</v>
      </c>
      <c r="AA68" s="327" t="str">
        <f t="shared" si="6"/>
        <v>100%</v>
      </c>
      <c r="AB68" s="327" t="str">
        <f t="shared" si="7"/>
        <v>Non affecté / nicht betroffen</v>
      </c>
      <c r="AC68" s="276" t="str">
        <f t="shared" si="4"/>
        <v>Non nécessaire / nicht nötig</v>
      </c>
      <c r="AD68" s="570" t="str">
        <f t="shared" si="5"/>
        <v>d</v>
      </c>
      <c r="AE68">
        <v>1</v>
      </c>
      <c r="AF68">
        <v>1</v>
      </c>
      <c r="AG68">
        <v>1</v>
      </c>
    </row>
    <row r="69" spans="1:33" ht="16.5" customHeight="1" x14ac:dyDescent="0.25">
      <c r="A69" s="926">
        <v>51</v>
      </c>
      <c r="B69" s="400" t="s">
        <v>62</v>
      </c>
      <c r="C69" s="400" t="s">
        <v>63</v>
      </c>
      <c r="D69" s="401" t="s">
        <v>35</v>
      </c>
      <c r="E69" s="522" t="str">
        <f>IF(VLOOKUP(A69,'Charriage - Geschiebehaushalt'!$A$4:$AC$275,17,FALSE)="","",VLOOKUP(A69,'Charriage - Geschiebehaushalt'!$A$4:$AC$275,17,FALSE))</f>
        <v>81 -100%</v>
      </c>
      <c r="F69" s="523" t="str">
        <f>IF(VLOOKUP(A69,'Charriage - Geschiebehaushalt'!$A$4:$AC$275,18,FALSE)="","",VLOOKUP(A69,'Charriage - Geschiebehaushalt'!$A$4:$AC$275,18,FALSE))</f>
        <v>a</v>
      </c>
      <c r="G69" s="524" t="str">
        <f>IF(VLOOKUP(A69,'Charriage - Geschiebehaushalt'!$A$4:$AC$275,22,FALSE)="","",VLOOKUP(A69,'Charriage - Geschiebehaushalt'!$A$4:$AC$275,22,FALSE))</f>
        <v>81-100%</v>
      </c>
      <c r="H69" s="523" t="str">
        <f>IF(VLOOKUP(A69,'Charriage - Geschiebehaushalt'!$A$4:$AC$275,23,FALSE)="","",VLOOKUP(A69,'Charriage - Geschiebehaushalt'!$A$4:$AC$275,23,FALSE))</f>
        <v>a</v>
      </c>
      <c r="I69" s="524" t="str">
        <f>IF(VLOOKUP(A69,'Charriage - Geschiebehaushalt'!$A$4:$AC$275,28,FALSE)="","",VLOOKUP(A69,'Charriage - Geschiebehaushalt'!$A$4:$AC$275,28,FALSE))</f>
        <v>81-100%</v>
      </c>
      <c r="J69" s="403" t="str">
        <f>IF(VLOOKUP(A69,'Charriage - Geschiebehaushalt'!$A$4:$AC$275,29,FALSE)="","",VLOOKUP(A69,'Charriage - Geschiebehaushalt'!$A$4:$AC$275,29,FALSE))</f>
        <v>a</v>
      </c>
      <c r="K69" s="533" t="str">
        <f>IF(VLOOKUP(A69,'Débit - Abfluss'!$A$4:$AD$275,8,FALSE)="","",VLOOKUP(A69,'Débit - Abfluss'!$A$4:$AD$275,8,FALSE))</f>
        <v>81-100%</v>
      </c>
      <c r="L69" s="468" t="str">
        <f>IF(VLOOKUP(A69,'Débit - Abfluss'!$A$4:$AD$275,10,FALSE)="","",VLOOKUP(A69,'Débit - Abfluss'!$A$4:$AD$275,10,FALSE))</f>
        <v>81-100%</v>
      </c>
      <c r="M69" s="333" t="str">
        <f>IF(VLOOKUP(A69,'Débit - Abfluss'!$A$4:$AD$275,17,FALSE)="","",VLOOKUP(A69,'Débit - Abfluss'!$A$4:$AD$275,17,FALSE))</f>
        <v>81-100%</v>
      </c>
      <c r="N69" s="340" t="str">
        <f>IF(VLOOKUP(A69,'Eclusée - Schwall-Sunk'!$A$2:$F$273,6,FALSE)="","",VLOOKUP(A69,'Eclusée - Schwall-Sunk'!$A$2:$F$273,6,FALSE))</f>
        <v>Non affecté / nicht betroffen</v>
      </c>
      <c r="O69" s="537"/>
      <c r="P69" s="538"/>
      <c r="Q69" s="284" t="str">
        <f>IF(VLOOKUP(A69,'Revitalisation-Revitalisierung'!$A$4:$Z$275,13,FALSE)="","",VLOOKUP(A69,'Revitalisation-Revitalisierung'!$A$4:$Z$275,13,FALSE))</f>
        <v>Partiellement nécessaire, facile / teilweise nötig, einfach</v>
      </c>
      <c r="R69" s="541" t="str">
        <f>IF(VLOOKUP(A69,'Revitalisation-Revitalisierung'!$A$4:$Z$275,14,FALSE)="","",VLOOKUP(A69,'Revitalisation-Revitalisierung'!$A$4:$Z$275,14,FALSE))</f>
        <v>b</v>
      </c>
      <c r="S69" s="542" t="str">
        <f>IF(VLOOKUP(A69,'Revitalisation-Revitalisierung'!$A$4:$Z$275,19,FALSE)="","",VLOOKUP(A69,'Revitalisation-Revitalisierung'!$A$4:$Z$275,19,FALSE))</f>
        <v>Non nécessaire / nicht nötig</v>
      </c>
      <c r="T69" s="541" t="str">
        <f>IF(VLOOKUP(A69,'Revitalisation-Revitalisierung'!$A$4:$Z$275,20,FALSE)="","",VLOOKUP(A69,'Revitalisation-Revitalisierung'!$A$4:$Z$275,20,FALSE))</f>
        <v>c</v>
      </c>
      <c r="U69" s="542" t="str">
        <f>IF(VLOOKUP(A69,'Revitalisation-Revitalisierung'!$A$4:$Z$275,25,FALSE)="","",VLOOKUP(A69,'Revitalisation-Revitalisierung'!$A$4:$Z$275,25,FALSE))</f>
        <v>Non nécessaire / nicht nötig</v>
      </c>
      <c r="V69" s="406" t="str">
        <f>IF(VLOOKUP(A69,'Revitalisation-Revitalisierung'!$A$4:$Z$275,26,FALSE)="","",VLOOKUP(A69,'Revitalisation-Revitalisierung'!$A$4:$Z$275,26,FALSE))</f>
        <v>c</v>
      </c>
      <c r="Y69" s="529" t="str">
        <f t="shared" si="2"/>
        <v>81-100%</v>
      </c>
      <c r="Z69" s="568" t="str">
        <f t="shared" si="3"/>
        <v>a</v>
      </c>
      <c r="AA69" s="327" t="str">
        <f t="shared" si="6"/>
        <v>81-100%</v>
      </c>
      <c r="AB69" s="327" t="str">
        <f t="shared" si="7"/>
        <v>Non affecté / nicht betroffen</v>
      </c>
      <c r="AC69" s="276" t="str">
        <f t="shared" si="4"/>
        <v>Non nécessaire / nicht nötig</v>
      </c>
      <c r="AD69" s="570" t="str">
        <f t="shared" si="5"/>
        <v>c</v>
      </c>
      <c r="AE69">
        <v>3</v>
      </c>
      <c r="AF69">
        <v>1</v>
      </c>
    </row>
    <row r="70" spans="1:33" ht="16.5" customHeight="1" x14ac:dyDescent="0.25">
      <c r="A70" s="926">
        <v>52</v>
      </c>
      <c r="B70" s="400" t="s">
        <v>234</v>
      </c>
      <c r="C70" s="400" t="s">
        <v>235</v>
      </c>
      <c r="D70" s="401" t="s">
        <v>233</v>
      </c>
      <c r="E70" s="522" t="str">
        <f>IF(VLOOKUP(A70,'Charriage - Geschiebehaushalt'!$A$4:$AC$275,17,FALSE)="","",VLOOKUP(A70,'Charriage - Geschiebehaushalt'!$A$4:$AC$275,17,FALSE))</f>
        <v>Problème lié à un manque de charriage ou à un manque de remobilisation des sédiments</v>
      </c>
      <c r="F70" s="523" t="str">
        <f>IF(VLOOKUP(A70,'Charriage - Geschiebehaushalt'!$A$4:$AC$275,18,FALSE)="","",VLOOKUP(A70,'Charriage - Geschiebehaushalt'!$A$4:$AC$275,18,FALSE))</f>
        <v>b</v>
      </c>
      <c r="G70" s="524" t="str">
        <f>IF(VLOOKUP(A70,'Charriage - Geschiebehaushalt'!$A$4:$AC$275,22,FALSE)="","",VLOOKUP(A70,'Charriage - Geschiebehaushalt'!$A$4:$AC$275,22,FALSE))</f>
        <v>51-80%</v>
      </c>
      <c r="H70" s="523" t="str">
        <f>IF(VLOOKUP(A70,'Charriage - Geschiebehaushalt'!$A$4:$AC$275,23,FALSE)="","",VLOOKUP(A70,'Charriage - Geschiebehaushalt'!$A$4:$AC$275,23,FALSE))</f>
        <v>c</v>
      </c>
      <c r="I70" s="524" t="str">
        <f>IF(VLOOKUP(A70,'Charriage - Geschiebehaushalt'!$A$4:$AC$275,28,FALSE)="","",VLOOKUP(A70,'Charriage - Geschiebehaushalt'!$A$4:$AC$275,28,FALSE))</f>
        <v>51-80%</v>
      </c>
      <c r="J70" s="403" t="str">
        <f>IF(VLOOKUP(A70,'Charriage - Geschiebehaushalt'!$A$4:$AC$275,29,FALSE)="","",VLOOKUP(A70,'Charriage - Geschiebehaushalt'!$A$4:$AC$275,29,FALSE))</f>
        <v>c</v>
      </c>
      <c r="K70" s="533" t="str">
        <f>IF(VLOOKUP(A70,'Débit - Abfluss'!$A$4:$AD$275,8,FALSE)="","",VLOOKUP(A70,'Débit - Abfluss'!$A$4:$AD$275,8,FALSE))</f>
        <v>100%</v>
      </c>
      <c r="L70" s="468" t="str">
        <f>IF(VLOOKUP(A70,'Débit - Abfluss'!$A$4:$AD$275,10,FALSE)="","",VLOOKUP(A70,'Débit - Abfluss'!$A$4:$AD$275,10,FALSE))</f>
        <v>100%</v>
      </c>
      <c r="M70" s="333" t="str">
        <f>IF(VLOOKUP(A70,'Débit - Abfluss'!$A$4:$AD$275,17,FALSE)="","",VLOOKUP(A70,'Débit - Abfluss'!$A$4:$AD$275,17,FALSE))</f>
        <v>100%</v>
      </c>
      <c r="N70" s="340" t="str">
        <f>IF(VLOOKUP(A70,'Eclusée - Schwall-Sunk'!$A$2:$F$273,6,FALSE)="","",VLOOKUP(A70,'Eclusée - Schwall-Sunk'!$A$2:$F$273,6,FALSE))</f>
        <v>Non affecté / nicht betroffen</v>
      </c>
      <c r="O70" s="537"/>
      <c r="P70" s="538"/>
      <c r="Q70" s="284" t="str">
        <f>IF(VLOOKUP(A70,'Revitalisation-Revitalisierung'!$A$4:$Z$275,13,FALSE)="","",VLOOKUP(A70,'Revitalisation-Revitalisierung'!$A$4:$Z$275,13,FALSE))</f>
        <v>Très nécessaire, facile / unbedingt nötig, einfach</v>
      </c>
      <c r="R70" s="541" t="str">
        <f>IF(VLOOKUP(A70,'Revitalisation-Revitalisierung'!$A$4:$Z$275,14,FALSE)="","",VLOOKUP(A70,'Revitalisation-Revitalisierung'!$A$4:$Z$275,14,FALSE))</f>
        <v>a</v>
      </c>
      <c r="S70" s="542" t="str">
        <f>IF(VLOOKUP(A70,'Revitalisation-Revitalisierung'!$A$4:$Z$275,19,FALSE)="","",VLOOKUP(A70,'Revitalisation-Revitalisierung'!$A$4:$Z$275,19,FALSE))</f>
        <v>Très nécessaire, facile / unbedingt nötig, einfach</v>
      </c>
      <c r="T70" s="541" t="str">
        <f>IF(VLOOKUP(A70,'Revitalisation-Revitalisierung'!$A$4:$Z$275,20,FALSE)="","",VLOOKUP(A70,'Revitalisation-Revitalisierung'!$A$4:$Z$275,20,FALSE))</f>
        <v>d</v>
      </c>
      <c r="U70" s="542" t="str">
        <f>IF(VLOOKUP(A70,'Revitalisation-Revitalisierung'!$A$4:$Z$275,25,FALSE)="","",VLOOKUP(A70,'Revitalisation-Revitalisierung'!$A$4:$Z$275,25,FALSE))</f>
        <v>Très nécessaire, facile / unbedingt nötig, einfach</v>
      </c>
      <c r="V70" s="406" t="str">
        <f>IF(VLOOKUP(A70,'Revitalisation-Revitalisierung'!$A$4:$Z$275,26,FALSE)="","",VLOOKUP(A70,'Revitalisation-Revitalisierung'!$A$4:$Z$275,26,FALSE))</f>
        <v>d</v>
      </c>
      <c r="Y70" s="529" t="str">
        <f t="shared" si="2"/>
        <v>51-80%</v>
      </c>
      <c r="Z70" s="568" t="str">
        <f t="shared" si="3"/>
        <v>c</v>
      </c>
      <c r="AA70" s="327" t="str">
        <f t="shared" si="6"/>
        <v>100%</v>
      </c>
      <c r="AB70" s="327" t="str">
        <f t="shared" si="7"/>
        <v>Non affecté / nicht betroffen</v>
      </c>
      <c r="AC70" s="276" t="str">
        <f t="shared" si="4"/>
        <v>Très nécessaire, facile / unbedingt nötig, einfach</v>
      </c>
      <c r="AD70" s="570" t="str">
        <f t="shared" si="5"/>
        <v>d</v>
      </c>
      <c r="AE70">
        <v>4</v>
      </c>
      <c r="AF70">
        <v>1</v>
      </c>
    </row>
    <row r="71" spans="1:33" ht="16.5" customHeight="1" x14ac:dyDescent="0.25">
      <c r="A71" s="926">
        <v>53</v>
      </c>
      <c r="B71" s="400" t="s">
        <v>107</v>
      </c>
      <c r="C71" s="400" t="s">
        <v>108</v>
      </c>
      <c r="D71" s="401" t="s">
        <v>92</v>
      </c>
      <c r="E71" s="522" t="str">
        <f>IF(VLOOKUP(A71,'Charriage - Geschiebehaushalt'!$A$4:$AC$275,17,FALSE)="","",VLOOKUP(A71,'Charriage - Geschiebehaushalt'!$A$4:$AC$275,17,FALSE))</f>
        <v>La remobilisation des sédiments est perturbée / Mobilisierung von Geschiebe beeinträchtigt</v>
      </c>
      <c r="F71" s="523" t="str">
        <f>IF(VLOOKUP(A71,'Charriage - Geschiebehaushalt'!$A$4:$AC$275,18,FALSE)="","",VLOOKUP(A71,'Charriage - Geschiebehaushalt'!$A$4:$AC$275,18,FALSE))</f>
        <v>b</v>
      </c>
      <c r="G71" s="524" t="str">
        <f>IF(VLOOKUP(A71,'Charriage - Geschiebehaushalt'!$A$4:$AC$275,22,FALSE)="","",VLOOKUP(A71,'Charriage - Geschiebehaushalt'!$A$4:$AC$275,22,FALSE))</f>
        <v>51-80%</v>
      </c>
      <c r="H71" s="523" t="str">
        <f>IF(VLOOKUP(A71,'Charriage - Geschiebehaushalt'!$A$4:$AC$275,23,FALSE)="","",VLOOKUP(A71,'Charriage - Geschiebehaushalt'!$A$4:$AC$275,23,FALSE))</f>
        <v>c</v>
      </c>
      <c r="I71" s="524" t="str">
        <f>IF(VLOOKUP(A71,'Charriage - Geschiebehaushalt'!$A$4:$AC$275,28,FALSE)="","",VLOOKUP(A71,'Charriage - Geschiebehaushalt'!$A$4:$AC$275,28,FALSE))</f>
        <v>51-80%</v>
      </c>
      <c r="J71" s="403" t="str">
        <f>IF(VLOOKUP(A71,'Charriage - Geschiebehaushalt'!$A$4:$AC$275,29,FALSE)="","",VLOOKUP(A71,'Charriage - Geschiebehaushalt'!$A$4:$AC$275,29,FALSE))</f>
        <v>c</v>
      </c>
      <c r="K71" s="533" t="str">
        <f>IF(VLOOKUP(A71,'Débit - Abfluss'!$A$4:$AD$275,8,FALSE)="","",VLOOKUP(A71,'Débit - Abfluss'!$A$4:$AD$275,8,FALSE))</f>
        <v>non pertinent / nicht relevant</v>
      </c>
      <c r="L71" s="468" t="str">
        <f>IF(VLOOKUP(A71,'Débit - Abfluss'!$A$4:$AD$275,10,FALSE)="","",VLOOKUP(A71,'Débit - Abfluss'!$A$4:$AD$275,10,FALSE))</f>
        <v>non pertinent / nicht relevant</v>
      </c>
      <c r="M71" s="333" t="str">
        <f>IF(VLOOKUP(A71,'Débit - Abfluss'!$A$4:$AD$275,17,FALSE)="","",VLOOKUP(A71,'Débit - Abfluss'!$A$4:$AD$275,17,FALSE))</f>
        <v>non pertinent / nicht relevant</v>
      </c>
      <c r="N71" s="340" t="str">
        <f>IF(VLOOKUP(A71,'Eclusée - Schwall-Sunk'!$A$2:$F$273,6,FALSE)="","",VLOOKUP(A71,'Eclusée - Schwall-Sunk'!$A$2:$F$273,6,FALSE))</f>
        <v>Potentiellement affecté / möglicherweise betroffen</v>
      </c>
      <c r="O71" s="537"/>
      <c r="P71" s="538"/>
      <c r="Q71" s="284" t="str">
        <f>IF(VLOOKUP(A71,'Revitalisation-Revitalisierung'!$A$4:$Z$275,13,FALSE)="","",VLOOKUP(A71,'Revitalisation-Revitalisierung'!$A$4:$Z$275,13,FALSE))</f>
        <v>Très nécessaire, facile / unbedingt nötig, einfach</v>
      </c>
      <c r="R71" s="541" t="str">
        <f>IF(VLOOKUP(A71,'Revitalisation-Revitalisierung'!$A$4:$Z$275,14,FALSE)="","",VLOOKUP(A71,'Revitalisation-Revitalisierung'!$A$4:$Z$275,14,FALSE))</f>
        <v>b</v>
      </c>
      <c r="S71" s="542" t="str">
        <f>IF(VLOOKUP(A71,'Revitalisation-Revitalisierung'!$A$4:$Z$275,19,FALSE)="","",VLOOKUP(A71,'Revitalisation-Revitalisierung'!$A$4:$Z$275,19,FALSE))</f>
        <v>Très nécessaire, facile / unbedingt nötig, einfach</v>
      </c>
      <c r="T71" s="541" t="str">
        <f>IF(VLOOKUP(A71,'Revitalisation-Revitalisierung'!$A$4:$Z$275,20,FALSE)="","",VLOOKUP(A71,'Revitalisation-Revitalisierung'!$A$4:$Z$275,20,FALSE))</f>
        <v>d</v>
      </c>
      <c r="U71" s="542" t="str">
        <f>IF(VLOOKUP(A71,'Revitalisation-Revitalisierung'!$A$4:$Z$275,25,FALSE)="","",VLOOKUP(A71,'Revitalisation-Revitalisierung'!$A$4:$Z$275,25,FALSE))</f>
        <v>Très nécessaire, facile / unbedingt nötig, einfach</v>
      </c>
      <c r="V71" s="406" t="str">
        <f>IF(VLOOKUP(A71,'Revitalisation-Revitalisierung'!$A$4:$Z$275,26,FALSE)="","",VLOOKUP(A71,'Revitalisation-Revitalisierung'!$A$4:$Z$275,26,FALSE))</f>
        <v>d</v>
      </c>
      <c r="Y71" s="529" t="str">
        <f t="shared" si="2"/>
        <v>51-80%</v>
      </c>
      <c r="Z71" s="568" t="str">
        <f t="shared" si="3"/>
        <v>c</v>
      </c>
      <c r="AA71" s="327" t="str">
        <f t="shared" si="6"/>
        <v>non pertinent / nicht relevant</v>
      </c>
      <c r="AB71" s="327" t="str">
        <f t="shared" si="7"/>
        <v>Potentiellement affecté / möglicherweise betroffen</v>
      </c>
      <c r="AC71" s="276" t="str">
        <f t="shared" si="4"/>
        <v>Très nécessaire, facile / unbedingt nötig, einfach</v>
      </c>
      <c r="AD71" s="570" t="str">
        <f t="shared" si="5"/>
        <v>d</v>
      </c>
      <c r="AE71">
        <v>4</v>
      </c>
      <c r="AF71">
        <v>1</v>
      </c>
    </row>
    <row r="72" spans="1:33" ht="16.5" customHeight="1" x14ac:dyDescent="0.25">
      <c r="A72" s="926">
        <v>55</v>
      </c>
      <c r="B72" s="400" t="s">
        <v>184</v>
      </c>
      <c r="C72" s="400" t="s">
        <v>185</v>
      </c>
      <c r="D72" s="401" t="s">
        <v>183</v>
      </c>
      <c r="E72" s="522" t="str">
        <f>IF(VLOOKUP(A72,'Charriage - Geschiebehaushalt'!$A$4:$AC$275,17,FALSE)="","",VLOOKUP(A72,'Charriage - Geschiebehaushalt'!$A$4:$AC$275,17,FALSE))</f>
        <v>0-20%</v>
      </c>
      <c r="F72" s="523" t="str">
        <f>IF(VLOOKUP(A72,'Charriage - Geschiebehaushalt'!$A$4:$AC$275,18,FALSE)="","",VLOOKUP(A72,'Charriage - Geschiebehaushalt'!$A$4:$AC$275,18,FALSE))</f>
        <v>a</v>
      </c>
      <c r="G72" s="524" t="str">
        <f>IF(VLOOKUP(A72,'Charriage - Geschiebehaushalt'!$A$4:$AC$275,22,FALSE)="","",VLOOKUP(A72,'Charriage - Geschiebehaushalt'!$A$4:$AC$275,22,FALSE))</f>
        <v>0-20%</v>
      </c>
      <c r="H72" s="523" t="str">
        <f>IF(VLOOKUP(A72,'Charriage - Geschiebehaushalt'!$A$4:$AC$275,23,FALSE)="","",VLOOKUP(A72,'Charriage - Geschiebehaushalt'!$A$4:$AC$275,23,FALSE))</f>
        <v>d</v>
      </c>
      <c r="I72" s="524" t="str">
        <f>IF(VLOOKUP(A72,'Charriage - Geschiebehaushalt'!$A$4:$AC$275,28,FALSE)="","",VLOOKUP(A72,'Charriage - Geschiebehaushalt'!$A$4:$AC$275,28,FALSE))</f>
        <v>0-20%</v>
      </c>
      <c r="J72" s="403" t="str">
        <f>IF(VLOOKUP(A72,'Charriage - Geschiebehaushalt'!$A$4:$AC$275,29,FALSE)="","",VLOOKUP(A72,'Charriage - Geschiebehaushalt'!$A$4:$AC$275,29,FALSE))</f>
        <v>d</v>
      </c>
      <c r="K72" s="533" t="str">
        <f>IF(VLOOKUP(A72,'Débit - Abfluss'!$A$4:$AD$275,8,FALSE)="","",VLOOKUP(A72,'Débit - Abfluss'!$A$4:$AD$275,8,FALSE))</f>
        <v>100%</v>
      </c>
      <c r="L72" s="468" t="str">
        <f>IF(VLOOKUP(A72,'Débit - Abfluss'!$A$4:$AD$275,10,FALSE)="","",VLOOKUP(A72,'Débit - Abfluss'!$A$4:$AD$275,10,FALSE))</f>
        <v>100%</v>
      </c>
      <c r="M72" s="333" t="str">
        <f>IF(VLOOKUP(A72,'Débit - Abfluss'!$A$4:$AD$275,17,FALSE)="","",VLOOKUP(A72,'Débit - Abfluss'!$A$4:$AD$275,17,FALSE))</f>
        <v>100%</v>
      </c>
      <c r="N72" s="340" t="str">
        <f>IF(VLOOKUP(A72,'Eclusée - Schwall-Sunk'!$A$2:$F$273,6,FALSE)="","",VLOOKUP(A72,'Eclusée - Schwall-Sunk'!$A$2:$F$273,6,FALSE))</f>
        <v>Non affecté / nicht betroffen</v>
      </c>
      <c r="O72" s="537"/>
      <c r="P72" s="538"/>
      <c r="Q72" s="284" t="str">
        <f>IF(VLOOKUP(A72,'Revitalisation-Revitalisierung'!$A$4:$Z$275,13,FALSE)="","",VLOOKUP(A72,'Revitalisation-Revitalisierung'!$A$4:$Z$275,13,FALSE))</f>
        <v>Non nécessaire / nicht nötig</v>
      </c>
      <c r="R72" s="541" t="str">
        <f>IF(VLOOKUP(A72,'Revitalisation-Revitalisierung'!$A$4:$Z$275,14,FALSE)="","",VLOOKUP(A72,'Revitalisation-Revitalisierung'!$A$4:$Z$275,14,FALSE))</f>
        <v>a</v>
      </c>
      <c r="S72" s="542" t="str">
        <f>IF(VLOOKUP(A72,'Revitalisation-Revitalisierung'!$A$4:$Z$275,19,FALSE)="","",VLOOKUP(A72,'Revitalisation-Revitalisierung'!$A$4:$Z$275,19,FALSE))</f>
        <v>Non nécessaire / nicht nötig</v>
      </c>
      <c r="T72" s="541" t="str">
        <f>IF(VLOOKUP(A72,'Revitalisation-Revitalisierung'!$A$4:$Z$275,20,FALSE)="","",VLOOKUP(A72,'Revitalisation-Revitalisierung'!$A$4:$Z$275,20,FALSE))</f>
        <v>d</v>
      </c>
      <c r="U72" s="542" t="str">
        <f>IF(VLOOKUP(A72,'Revitalisation-Revitalisierung'!$A$4:$Z$275,25,FALSE)="","",VLOOKUP(A72,'Revitalisation-Revitalisierung'!$A$4:$Z$275,25,FALSE))</f>
        <v>Non nécessaire / nicht nötig</v>
      </c>
      <c r="V72" s="406" t="str">
        <f>IF(VLOOKUP(A72,'Revitalisation-Revitalisierung'!$A$4:$Z$275,26,FALSE)="","",VLOOKUP(A72,'Revitalisation-Revitalisierung'!$A$4:$Z$275,26,FALSE))</f>
        <v>d</v>
      </c>
      <c r="Y72" s="529" t="str">
        <f t="shared" si="2"/>
        <v>0-20%</v>
      </c>
      <c r="Z72" s="568" t="str">
        <f t="shared" si="3"/>
        <v>d</v>
      </c>
      <c r="AA72" s="327" t="str">
        <f t="shared" si="6"/>
        <v>100%</v>
      </c>
      <c r="AB72" s="327" t="str">
        <f t="shared" si="7"/>
        <v>Non affecté / nicht betroffen</v>
      </c>
      <c r="AC72" s="276" t="str">
        <f t="shared" si="4"/>
        <v>Non nécessaire / nicht nötig</v>
      </c>
      <c r="AD72" s="570" t="str">
        <f t="shared" si="5"/>
        <v>d</v>
      </c>
      <c r="AE72">
        <v>1</v>
      </c>
      <c r="AF72">
        <v>1</v>
      </c>
      <c r="AG72">
        <v>1</v>
      </c>
    </row>
    <row r="73" spans="1:33" ht="16.5" customHeight="1" x14ac:dyDescent="0.25">
      <c r="A73" s="926">
        <v>58</v>
      </c>
      <c r="B73" s="400" t="s">
        <v>111</v>
      </c>
      <c r="C73" s="400" t="s">
        <v>112</v>
      </c>
      <c r="D73" s="401" t="s">
        <v>92</v>
      </c>
      <c r="E73" s="522" t="str">
        <f>IF(VLOOKUP(A73,'Charriage - Geschiebehaushalt'!$A$4:$AC$275,17,FALSE)="","",VLOOKUP(A73,'Charriage - Geschiebehaushalt'!$A$4:$AC$275,17,FALSE))</f>
        <v>0-20%</v>
      </c>
      <c r="F73" s="523" t="str">
        <f>IF(VLOOKUP(A73,'Charriage - Geschiebehaushalt'!$A$4:$AC$275,18,FALSE)="","",VLOOKUP(A73,'Charriage - Geschiebehaushalt'!$A$4:$AC$275,18,FALSE))</f>
        <v>a</v>
      </c>
      <c r="G73" s="524" t="str">
        <f>IF(VLOOKUP(A73,'Charriage - Geschiebehaushalt'!$A$4:$AC$275,22,FALSE)="","",VLOOKUP(A73,'Charriage - Geschiebehaushalt'!$A$4:$AC$275,22,FALSE))</f>
        <v>51-80%</v>
      </c>
      <c r="H73" s="523" t="str">
        <f>IF(VLOOKUP(A73,'Charriage - Geschiebehaushalt'!$A$4:$AC$275,23,FALSE)="","",VLOOKUP(A73,'Charriage - Geschiebehaushalt'!$A$4:$AC$275,23,FALSE))</f>
        <v>c</v>
      </c>
      <c r="I73" s="524" t="str">
        <f>IF(VLOOKUP(A73,'Charriage - Geschiebehaushalt'!$A$4:$AC$275,28,FALSE)="","",VLOOKUP(A73,'Charriage - Geschiebehaushalt'!$A$4:$AC$275,28,FALSE))</f>
        <v>51-80%</v>
      </c>
      <c r="J73" s="403" t="str">
        <f>IF(VLOOKUP(A73,'Charriage - Geschiebehaushalt'!$A$4:$AC$275,29,FALSE)="","",VLOOKUP(A73,'Charriage - Geschiebehaushalt'!$A$4:$AC$275,29,FALSE))</f>
        <v>c</v>
      </c>
      <c r="K73" s="533" t="str">
        <f>IF(VLOOKUP(A73,'Débit - Abfluss'!$A$4:$AD$275,8,FALSE)="","",VLOOKUP(A73,'Débit - Abfluss'!$A$4:$AD$275,8,FALSE))</f>
        <v>100%</v>
      </c>
      <c r="L73" s="468" t="str">
        <f>IF(VLOOKUP(A73,'Débit - Abfluss'!$A$4:$AD$275,10,FALSE)="","",VLOOKUP(A73,'Débit - Abfluss'!$A$4:$AD$275,10,FALSE))</f>
        <v>100%</v>
      </c>
      <c r="M73" s="333" t="str">
        <f>IF(VLOOKUP(A73,'Débit - Abfluss'!$A$4:$AD$275,17,FALSE)="","",VLOOKUP(A73,'Débit - Abfluss'!$A$4:$AD$275,17,FALSE))</f>
        <v>100%</v>
      </c>
      <c r="N73" s="340" t="str">
        <f>IF(VLOOKUP(A73,'Eclusée - Schwall-Sunk'!$A$2:$F$273,6,FALSE)="","",VLOOKUP(A73,'Eclusée - Schwall-Sunk'!$A$2:$F$273,6,FALSE))</f>
        <v>Non affecté / nicht betroffen</v>
      </c>
      <c r="O73" s="537"/>
      <c r="P73" s="538"/>
      <c r="Q73" s="284" t="str">
        <f>IF(VLOOKUP(A73,'Revitalisation-Revitalisierung'!$A$4:$Z$275,13,FALSE)="","",VLOOKUP(A73,'Revitalisation-Revitalisierung'!$A$4:$Z$275,13,FALSE))</f>
        <v>Partiellement nécessaire, difficile / teilweise nötig, schwierig</v>
      </c>
      <c r="R73" s="541" t="str">
        <f>IF(VLOOKUP(A73,'Revitalisation-Revitalisierung'!$A$4:$Z$275,14,FALSE)="","",VLOOKUP(A73,'Revitalisation-Revitalisierung'!$A$4:$Z$275,14,FALSE))</f>
        <v>a</v>
      </c>
      <c r="S73" s="542" t="str">
        <f>IF(VLOOKUP(A73,'Revitalisation-Revitalisierung'!$A$4:$Z$275,19,FALSE)="","",VLOOKUP(A73,'Revitalisation-Revitalisierung'!$A$4:$Z$275,19,FALSE))</f>
        <v>Partiellement nécessaire, difficile / teilweise nötig, schwierig</v>
      </c>
      <c r="T73" s="541" t="str">
        <f>IF(VLOOKUP(A73,'Revitalisation-Revitalisierung'!$A$4:$Z$275,20,FALSE)="","",VLOOKUP(A73,'Revitalisation-Revitalisierung'!$A$4:$Z$275,20,FALSE))</f>
        <v>d</v>
      </c>
      <c r="U73" s="542" t="str">
        <f>IF(VLOOKUP(A73,'Revitalisation-Revitalisierung'!$A$4:$Z$275,25,FALSE)="","",VLOOKUP(A73,'Revitalisation-Revitalisierung'!$A$4:$Z$275,25,FALSE))</f>
        <v>Très nécessaire, difficile / unbedingt nötig, schwierig</v>
      </c>
      <c r="V73" s="406" t="str">
        <f>IF(VLOOKUP(A73,'Revitalisation-Revitalisierung'!$A$4:$Z$275,26,FALSE)="","",VLOOKUP(A73,'Revitalisation-Revitalisierung'!$A$4:$Z$275,26,FALSE))</f>
        <v>e</v>
      </c>
      <c r="Y73" s="529" t="str">
        <f t="shared" si="2"/>
        <v>51-80%</v>
      </c>
      <c r="Z73" s="568" t="str">
        <f t="shared" si="3"/>
        <v>c</v>
      </c>
      <c r="AA73" s="327" t="str">
        <f t="shared" si="6"/>
        <v>100%</v>
      </c>
      <c r="AB73" s="327" t="str">
        <f t="shared" si="7"/>
        <v>Non affecté / nicht betroffen</v>
      </c>
      <c r="AC73" s="276" t="str">
        <f t="shared" si="4"/>
        <v>Très nécessaire, difficile / unbedingt nötig, schwierig</v>
      </c>
      <c r="AD73" s="570" t="str">
        <f t="shared" si="5"/>
        <v>e</v>
      </c>
      <c r="AE73">
        <v>4</v>
      </c>
      <c r="AF73">
        <v>1</v>
      </c>
    </row>
    <row r="74" spans="1:33" ht="16.5" customHeight="1" x14ac:dyDescent="0.25">
      <c r="A74" s="926">
        <v>59</v>
      </c>
      <c r="B74" s="400" t="s">
        <v>115</v>
      </c>
      <c r="C74" s="400" t="s">
        <v>116</v>
      </c>
      <c r="D74" s="401" t="s">
        <v>92</v>
      </c>
      <c r="E74" s="522" t="str">
        <f>IF(VLOOKUP(A74,'Charriage - Geschiebehaushalt'!$A$4:$AC$275,17,FALSE)="","",VLOOKUP(A74,'Charriage - Geschiebehaushalt'!$A$4:$AC$275,17,FALSE))</f>
        <v>51-80%</v>
      </c>
      <c r="F74" s="523" t="str">
        <f>IF(VLOOKUP(A74,'Charriage - Geschiebehaushalt'!$A$4:$AC$275,18,FALSE)="","",VLOOKUP(A74,'Charriage - Geschiebehaushalt'!$A$4:$AC$275,18,FALSE))</f>
        <v>a</v>
      </c>
      <c r="G74" s="524" t="str">
        <f>IF(VLOOKUP(A74,'Charriage - Geschiebehaushalt'!$A$4:$AC$275,22,FALSE)="","",VLOOKUP(A74,'Charriage - Geschiebehaushalt'!$A$4:$AC$275,22,FALSE))</f>
        <v>51-80%</v>
      </c>
      <c r="H74" s="523" t="str">
        <f>IF(VLOOKUP(A74,'Charriage - Geschiebehaushalt'!$A$4:$AC$275,23,FALSE)="","",VLOOKUP(A74,'Charriage - Geschiebehaushalt'!$A$4:$AC$275,23,FALSE))</f>
        <v>d</v>
      </c>
      <c r="I74" s="524" t="str">
        <f>IF(VLOOKUP(A74,'Charriage - Geschiebehaushalt'!$A$4:$AC$275,28,FALSE)="","",VLOOKUP(A74,'Charriage - Geschiebehaushalt'!$A$4:$AC$275,28,FALSE))</f>
        <v>51-80%</v>
      </c>
      <c r="J74" s="403" t="str">
        <f>IF(VLOOKUP(A74,'Charriage - Geschiebehaushalt'!$A$4:$AC$275,29,FALSE)="","",VLOOKUP(A74,'Charriage - Geschiebehaushalt'!$A$4:$AC$275,29,FALSE))</f>
        <v>d</v>
      </c>
      <c r="K74" s="533" t="str">
        <f>IF(VLOOKUP(A74,'Débit - Abfluss'!$A$4:$AD$275,8,FALSE)="","",VLOOKUP(A74,'Débit - Abfluss'!$A$4:$AD$275,8,FALSE))</f>
        <v>81-100%</v>
      </c>
      <c r="L74" s="468" t="str">
        <f>IF(VLOOKUP(A74,'Débit - Abfluss'!$A$4:$AD$275,10,FALSE)="","",VLOOKUP(A74,'Débit - Abfluss'!$A$4:$AD$275,10,FALSE))</f>
        <v>81-100%</v>
      </c>
      <c r="M74" s="333" t="str">
        <f>IF(VLOOKUP(A74,'Débit - Abfluss'!$A$4:$AD$275,17,FALSE)="","",VLOOKUP(A74,'Débit - Abfluss'!$A$4:$AD$275,17,FALSE))</f>
        <v>100%</v>
      </c>
      <c r="N74" s="340" t="str">
        <f>IF(VLOOKUP(A74,'Eclusée - Schwall-Sunk'!$A$2:$F$273,6,FALSE)="","",VLOOKUP(A74,'Eclusée - Schwall-Sunk'!$A$2:$F$273,6,FALSE))</f>
        <v>Potentiellement affecté / möglicherweise betroffen</v>
      </c>
      <c r="O74" s="537"/>
      <c r="P74" s="538"/>
      <c r="Q74" s="284" t="str">
        <f>IF(VLOOKUP(A74,'Revitalisation-Revitalisierung'!$A$4:$Z$275,13,FALSE)="","",VLOOKUP(A74,'Revitalisation-Revitalisierung'!$A$4:$Z$275,13,FALSE))</f>
        <v>Très nécessaire, facile / unbedingt nötig, einfach</v>
      </c>
      <c r="R74" s="541" t="str">
        <f>IF(VLOOKUP(A74,'Revitalisation-Revitalisierung'!$A$4:$Z$275,14,FALSE)="","",VLOOKUP(A74,'Revitalisation-Revitalisierung'!$A$4:$Z$275,14,FALSE))</f>
        <v>a</v>
      </c>
      <c r="S74" s="542" t="str">
        <f>IF(VLOOKUP(A74,'Revitalisation-Revitalisierung'!$A$4:$Z$275,19,FALSE)="","",VLOOKUP(A74,'Revitalisation-Revitalisierung'!$A$4:$Z$275,19,FALSE))</f>
        <v>Très nécessaire, facile / unbedingt nötig, einfach</v>
      </c>
      <c r="T74" s="541" t="str">
        <f>IF(VLOOKUP(A74,'Revitalisation-Revitalisierung'!$A$4:$Z$275,20,FALSE)="","",VLOOKUP(A74,'Revitalisation-Revitalisierung'!$A$4:$Z$275,20,FALSE))</f>
        <v>d</v>
      </c>
      <c r="U74" s="542" t="str">
        <f>IF(VLOOKUP(A74,'Revitalisation-Revitalisierung'!$A$4:$Z$275,25,FALSE)="","",VLOOKUP(A74,'Revitalisation-Revitalisierung'!$A$4:$Z$275,25,FALSE))</f>
        <v>Très nécessaire, facile / unbedingt nötig, einfach</v>
      </c>
      <c r="V74" s="406" t="str">
        <f>IF(VLOOKUP(A74,'Revitalisation-Revitalisierung'!$A$4:$Z$275,26,FALSE)="","",VLOOKUP(A74,'Revitalisation-Revitalisierung'!$A$4:$Z$275,26,FALSE))</f>
        <v>d</v>
      </c>
      <c r="Y74" s="529" t="str">
        <f t="shared" si="2"/>
        <v>51-80%</v>
      </c>
      <c r="Z74" s="568" t="str">
        <f t="shared" si="3"/>
        <v>d</v>
      </c>
      <c r="AA74" s="327" t="str">
        <f t="shared" si="6"/>
        <v>100%</v>
      </c>
      <c r="AB74" s="327" t="str">
        <f t="shared" si="7"/>
        <v>Potentiellement affecté / möglicherweise betroffen</v>
      </c>
      <c r="AC74" s="276" t="str">
        <f t="shared" si="4"/>
        <v>Très nécessaire, facile / unbedingt nötig, einfach</v>
      </c>
      <c r="AD74" s="570" t="str">
        <f t="shared" si="5"/>
        <v>d</v>
      </c>
      <c r="AE74">
        <v>4</v>
      </c>
      <c r="AF74">
        <v>1</v>
      </c>
    </row>
    <row r="75" spans="1:33" ht="16.5" customHeight="1" x14ac:dyDescent="0.25">
      <c r="A75" s="926">
        <v>60</v>
      </c>
      <c r="B75" s="400" t="s">
        <v>198</v>
      </c>
      <c r="C75" s="400" t="s">
        <v>199</v>
      </c>
      <c r="D75" s="401" t="s">
        <v>197</v>
      </c>
      <c r="E75" s="522" t="str">
        <f>IF(VLOOKUP(A75,'Charriage - Geschiebehaushalt'!$A$4:$AC$275,17,FALSE)="","",VLOOKUP(A75,'Charriage - Geschiebehaushalt'!$A$4:$AC$275,17,FALSE))</f>
        <v>Charriage présumé faiblement perturbé / Geschiebe vermutlich leicht beeinträchtigt</v>
      </c>
      <c r="F75" s="523" t="str">
        <f>IF(VLOOKUP(A75,'Charriage - Geschiebehaushalt'!$A$4:$AC$275,18,FALSE)="","",VLOOKUP(A75,'Charriage - Geschiebehaushalt'!$A$4:$AC$275,18,FALSE))</f>
        <v>b</v>
      </c>
      <c r="G75" s="524" t="str">
        <f>IF(VLOOKUP(A75,'Charriage - Geschiebehaushalt'!$A$4:$AC$275,22,FALSE)="","",VLOOKUP(A75,'Charriage - Geschiebehaushalt'!$A$4:$AC$275,22,FALSE))</f>
        <v>0-20%</v>
      </c>
      <c r="H75" s="523" t="str">
        <f>IF(VLOOKUP(A75,'Charriage - Geschiebehaushalt'!$A$4:$AC$275,23,FALSE)="","",VLOOKUP(A75,'Charriage - Geschiebehaushalt'!$A$4:$AC$275,23,FALSE))</f>
        <v>c</v>
      </c>
      <c r="I75" s="524" t="str">
        <f>IF(VLOOKUP(A75,'Charriage - Geschiebehaushalt'!$A$4:$AC$275,28,FALSE)="","",VLOOKUP(A75,'Charriage - Geschiebehaushalt'!$A$4:$AC$275,28,FALSE))</f>
        <v>0-20%</v>
      </c>
      <c r="J75" s="403" t="str">
        <f>IF(VLOOKUP(A75,'Charriage - Geschiebehaushalt'!$A$4:$AC$275,29,FALSE)="","",VLOOKUP(A75,'Charriage - Geschiebehaushalt'!$A$4:$AC$275,29,FALSE))</f>
        <v>c</v>
      </c>
      <c r="K75" s="533" t="str">
        <f>IF(VLOOKUP(A75,'Débit - Abfluss'!$A$4:$AD$275,8,FALSE)="","",VLOOKUP(A75,'Débit - Abfluss'!$A$4:$AD$275,8,FALSE))</f>
        <v>100%</v>
      </c>
      <c r="L75" s="468" t="str">
        <f>IF(VLOOKUP(A75,'Débit - Abfluss'!$A$4:$AD$275,10,FALSE)="","",VLOOKUP(A75,'Débit - Abfluss'!$A$4:$AD$275,10,FALSE))</f>
        <v>100%</v>
      </c>
      <c r="M75" s="333" t="str">
        <f>IF(VLOOKUP(A75,'Débit - Abfluss'!$A$4:$AD$275,17,FALSE)="","",VLOOKUP(A75,'Débit - Abfluss'!$A$4:$AD$275,17,FALSE))</f>
        <v>100%</v>
      </c>
      <c r="N75" s="340" t="str">
        <f>IF(VLOOKUP(A75,'Eclusée - Schwall-Sunk'!$A$2:$F$273,6,FALSE)="","",VLOOKUP(A75,'Eclusée - Schwall-Sunk'!$A$2:$F$273,6,FALSE))</f>
        <v>Non affecté / nicht betroffen</v>
      </c>
      <c r="O75" s="537"/>
      <c r="P75" s="538"/>
      <c r="Q75" s="284" t="str">
        <f>IF(VLOOKUP(A75,'Revitalisation-Revitalisierung'!$A$4:$Z$275,13,FALSE)="","",VLOOKUP(A75,'Revitalisation-Revitalisierung'!$A$4:$Z$275,13,FALSE))</f>
        <v>Non nécessaire / nicht nötig</v>
      </c>
      <c r="R75" s="541" t="str">
        <f>IF(VLOOKUP(A75,'Revitalisation-Revitalisierung'!$A$4:$Z$275,14,FALSE)="","",VLOOKUP(A75,'Revitalisation-Revitalisierung'!$A$4:$Z$275,14,FALSE))</f>
        <v>b</v>
      </c>
      <c r="S75" s="542" t="str">
        <f>IF(VLOOKUP(A75,'Revitalisation-Revitalisierung'!$A$4:$Z$275,19,FALSE)="","",VLOOKUP(A75,'Revitalisation-Revitalisierung'!$A$4:$Z$275,19,FALSE))</f>
        <v>Très nécessaire, facile / unbedingt nötig, einfach</v>
      </c>
      <c r="T75" s="541" t="str">
        <f>IF(VLOOKUP(A75,'Revitalisation-Revitalisierung'!$A$4:$Z$275,20,FALSE)="","",VLOOKUP(A75,'Revitalisation-Revitalisierung'!$A$4:$Z$275,20,FALSE))</f>
        <v>c</v>
      </c>
      <c r="U75" s="542" t="str">
        <f>IF(VLOOKUP(A75,'Revitalisation-Revitalisierung'!$A$4:$Z$275,25,FALSE)="","",VLOOKUP(A75,'Revitalisation-Revitalisierung'!$A$4:$Z$275,25,FALSE))</f>
        <v>Partiellement nécessaire, facile / teilweise nötig, einfach</v>
      </c>
      <c r="V75" s="406" t="str">
        <f>IF(VLOOKUP(A75,'Revitalisation-Revitalisierung'!$A$4:$Z$275,26,FALSE)="","",VLOOKUP(A75,'Revitalisation-Revitalisierung'!$A$4:$Z$275,26,FALSE))</f>
        <v>e</v>
      </c>
      <c r="Y75" s="529" t="str">
        <f t="shared" si="2"/>
        <v>0-20%</v>
      </c>
      <c r="Z75" s="568" t="str">
        <f t="shared" si="3"/>
        <v>c</v>
      </c>
      <c r="AA75" s="327" t="str">
        <f t="shared" si="6"/>
        <v>100%</v>
      </c>
      <c r="AB75" s="327" t="str">
        <f t="shared" si="7"/>
        <v>Non affecté / nicht betroffen</v>
      </c>
      <c r="AC75" s="276" t="str">
        <f t="shared" si="4"/>
        <v>Partiellement nécessaire, facile / teilweise nötig, einfach</v>
      </c>
      <c r="AD75" s="570" t="str">
        <f t="shared" si="5"/>
        <v>e</v>
      </c>
      <c r="AE75">
        <v>2</v>
      </c>
      <c r="AF75">
        <v>1</v>
      </c>
    </row>
    <row r="76" spans="1:33" ht="16.5" customHeight="1" x14ac:dyDescent="0.25">
      <c r="A76" s="926">
        <v>61</v>
      </c>
      <c r="B76" s="400" t="s">
        <v>204</v>
      </c>
      <c r="C76" s="400" t="s">
        <v>205</v>
      </c>
      <c r="D76" s="401" t="s">
        <v>197</v>
      </c>
      <c r="E76" s="522" t="str">
        <f>IF(VLOOKUP(A76,'Charriage - Geschiebehaushalt'!$A$4:$AC$275,17,FALSE)="","",VLOOKUP(A76,'Charriage - Geschiebehaushalt'!$A$4:$AC$275,17,FALSE))</f>
        <v>Charriage présumé naturel</v>
      </c>
      <c r="F76" s="523" t="str">
        <f>IF(VLOOKUP(A76,'Charriage - Geschiebehaushalt'!$A$4:$AC$275,18,FALSE)="","",VLOOKUP(A76,'Charriage - Geschiebehaushalt'!$A$4:$AC$275,18,FALSE))</f>
        <v>b</v>
      </c>
      <c r="G76" s="524" t="str">
        <f>IF(VLOOKUP(A76,'Charriage - Geschiebehaushalt'!$A$4:$AC$275,22,FALSE)="","",VLOOKUP(A76,'Charriage - Geschiebehaushalt'!$A$4:$AC$275,22,FALSE))</f>
        <v>0-20%</v>
      </c>
      <c r="H76" s="523" t="str">
        <f>IF(VLOOKUP(A76,'Charriage - Geschiebehaushalt'!$A$4:$AC$275,23,FALSE)="","",VLOOKUP(A76,'Charriage - Geschiebehaushalt'!$A$4:$AC$275,23,FALSE))</f>
        <v>d</v>
      </c>
      <c r="I76" s="524" t="str">
        <f>IF(VLOOKUP(A76,'Charriage - Geschiebehaushalt'!$A$4:$AC$275,28,FALSE)="","",VLOOKUP(A76,'Charriage - Geschiebehaushalt'!$A$4:$AC$275,28,FALSE))</f>
        <v>0-20%</v>
      </c>
      <c r="J76" s="403" t="str">
        <f>IF(VLOOKUP(A76,'Charriage - Geschiebehaushalt'!$A$4:$AC$275,29,FALSE)="","",VLOOKUP(A76,'Charriage - Geschiebehaushalt'!$A$4:$AC$275,29,FALSE))</f>
        <v>d</v>
      </c>
      <c r="K76" s="533" t="str">
        <f>IF(VLOOKUP(A76,'Débit - Abfluss'!$A$4:$AD$275,8,FALSE)="","",VLOOKUP(A76,'Débit - Abfluss'!$A$4:$AD$275,8,FALSE))</f>
        <v>100%</v>
      </c>
      <c r="L76" s="468" t="str">
        <f>IF(VLOOKUP(A76,'Débit - Abfluss'!$A$4:$AD$275,10,FALSE)="","",VLOOKUP(A76,'Débit - Abfluss'!$A$4:$AD$275,10,FALSE))</f>
        <v>100%</v>
      </c>
      <c r="M76" s="333" t="str">
        <f>IF(VLOOKUP(A76,'Débit - Abfluss'!$A$4:$AD$275,17,FALSE)="","",VLOOKUP(A76,'Débit - Abfluss'!$A$4:$AD$275,17,FALSE))</f>
        <v>100%</v>
      </c>
      <c r="N76" s="340" t="str">
        <f>IF(VLOOKUP(A76,'Eclusée - Schwall-Sunk'!$A$2:$F$273,6,FALSE)="","",VLOOKUP(A76,'Eclusée - Schwall-Sunk'!$A$2:$F$273,6,FALSE))</f>
        <v>Non affecté / nicht betroffen</v>
      </c>
      <c r="O76" s="537"/>
      <c r="P76" s="538"/>
      <c r="Q76" s="284" t="str">
        <f>IF(VLOOKUP(A76,'Revitalisation-Revitalisierung'!$A$4:$Z$275,13,FALSE)="","",VLOOKUP(A76,'Revitalisation-Revitalisierung'!$A$4:$Z$275,13,FALSE))</f>
        <v>Partiellement nécessaire, facile / teilweise nötig, einfach</v>
      </c>
      <c r="R76" s="541" t="str">
        <f>IF(VLOOKUP(A76,'Revitalisation-Revitalisierung'!$A$4:$Z$275,14,FALSE)="","",VLOOKUP(A76,'Revitalisation-Revitalisierung'!$A$4:$Z$275,14,FALSE))</f>
        <v>a</v>
      </c>
      <c r="S76" s="542" t="str">
        <f>IF(VLOOKUP(A76,'Revitalisation-Revitalisierung'!$A$4:$Z$275,19,FALSE)="","",VLOOKUP(A76,'Revitalisation-Revitalisierung'!$A$4:$Z$275,19,FALSE))</f>
        <v>Partiellement nécessaire, facile / teilweise nötig, einfach</v>
      </c>
      <c r="T76" s="541" t="str">
        <f>IF(VLOOKUP(A76,'Revitalisation-Revitalisierung'!$A$4:$Z$275,20,FALSE)="","",VLOOKUP(A76,'Revitalisation-Revitalisierung'!$A$4:$Z$275,20,FALSE))</f>
        <v>a</v>
      </c>
      <c r="U76" s="542" t="str">
        <f>IF(VLOOKUP(A76,'Revitalisation-Revitalisierung'!$A$4:$Z$275,25,FALSE)="","",VLOOKUP(A76,'Revitalisation-Revitalisierung'!$A$4:$Z$275,25,FALSE))</f>
        <v>Partiellement nécessaire, facile / teilweise nötig, einfach</v>
      </c>
      <c r="V76" s="406" t="str">
        <f>IF(VLOOKUP(A76,'Revitalisation-Revitalisierung'!$A$4:$Z$275,26,FALSE)="","",VLOOKUP(A76,'Revitalisation-Revitalisierung'!$A$4:$Z$275,26,FALSE))</f>
        <v>e</v>
      </c>
      <c r="Y76" s="529" t="str">
        <f t="shared" si="2"/>
        <v>0-20%</v>
      </c>
      <c r="Z76" s="568" t="str">
        <f t="shared" si="3"/>
        <v>d</v>
      </c>
      <c r="AA76" s="327" t="str">
        <f t="shared" si="6"/>
        <v>100%</v>
      </c>
      <c r="AB76" s="327" t="str">
        <f t="shared" si="7"/>
        <v>Non affecté / nicht betroffen</v>
      </c>
      <c r="AC76" s="276" t="str">
        <f t="shared" si="4"/>
        <v>Partiellement nécessaire, facile / teilweise nötig, einfach</v>
      </c>
      <c r="AD76" s="570" t="str">
        <f t="shared" si="5"/>
        <v>e</v>
      </c>
      <c r="AE76">
        <v>2</v>
      </c>
      <c r="AF76">
        <v>1</v>
      </c>
    </row>
    <row r="77" spans="1:33" ht="16.5" customHeight="1" x14ac:dyDescent="0.25">
      <c r="A77" s="927">
        <v>62.1</v>
      </c>
      <c r="B77" s="400" t="s">
        <v>207</v>
      </c>
      <c r="C77" s="400" t="s">
        <v>208</v>
      </c>
      <c r="D77" s="401" t="s">
        <v>197</v>
      </c>
      <c r="E77" s="522" t="str">
        <f>IF(VLOOKUP(A77,'Charriage - Geschiebehaushalt'!$A$4:$AC$275,17,FALSE)="","",VLOOKUP(A77,'Charriage - Geschiebehaushalt'!$A$4:$AC$275,17,FALSE))</f>
        <v>81 -100%</v>
      </c>
      <c r="F77" s="523" t="str">
        <f>IF(VLOOKUP(A77,'Charriage - Geschiebehaushalt'!$A$4:$AC$275,18,FALSE)="","",VLOOKUP(A77,'Charriage - Geschiebehaushalt'!$A$4:$AC$275,18,FALSE))</f>
        <v>a</v>
      </c>
      <c r="G77" s="524" t="str">
        <f>IF(VLOOKUP(A77,'Charriage - Geschiebehaushalt'!$A$4:$AC$275,22,FALSE)="","",VLOOKUP(A77,'Charriage - Geschiebehaushalt'!$A$4:$AC$275,22,FALSE))</f>
        <v>81-100%</v>
      </c>
      <c r="H77" s="523" t="str">
        <f>IF(VLOOKUP(A77,'Charriage - Geschiebehaushalt'!$A$4:$AC$275,23,FALSE)="","",VLOOKUP(A77,'Charriage - Geschiebehaushalt'!$A$4:$AC$275,23,FALSE))</f>
        <v>a</v>
      </c>
      <c r="I77" s="524" t="str">
        <f>IF(VLOOKUP(A77,'Charriage - Geschiebehaushalt'!$A$4:$AC$275,28,FALSE)="","",VLOOKUP(A77,'Charriage - Geschiebehaushalt'!$A$4:$AC$275,28,FALSE))</f>
        <v>81-100%</v>
      </c>
      <c r="J77" s="403" t="str">
        <f>IF(VLOOKUP(A77,'Charriage - Geschiebehaushalt'!$A$4:$AC$275,29,FALSE)="","",VLOOKUP(A77,'Charriage - Geschiebehaushalt'!$A$4:$AC$275,29,FALSE))</f>
        <v>a</v>
      </c>
      <c r="K77" s="533" t="str">
        <f>IF(VLOOKUP(A77,'Débit - Abfluss'!$A$4:$AD$275,8,FALSE)="","",VLOOKUP(A77,'Débit - Abfluss'!$A$4:$AD$275,8,FALSE))</f>
        <v>0-20%</v>
      </c>
      <c r="L77" s="468" t="str">
        <f>IF(VLOOKUP(A77,'Débit - Abfluss'!$A$4:$AD$275,10,FALSE)="","",VLOOKUP(A77,'Débit - Abfluss'!$A$4:$AD$275,10,FALSE))</f>
        <v>0-20%</v>
      </c>
      <c r="M77" s="333" t="str">
        <f>IF(VLOOKUP(A77,'Débit - Abfluss'!$A$4:$AD$275,17,FALSE)="","",VLOOKUP(A77,'Débit - Abfluss'!$A$4:$AD$275,17,FALSE))</f>
        <v>0-20%</v>
      </c>
      <c r="N77" s="340" t="str">
        <f>IF(VLOOKUP(A77,'Eclusée - Schwall-Sunk'!$A$2:$F$273,6,FALSE)="","",VLOOKUP(A77,'Eclusée - Schwall-Sunk'!$A$2:$F$273,6,FALSE))</f>
        <v>Non affecté / nicht betroffen</v>
      </c>
      <c r="O77" s="537"/>
      <c r="P77" s="538"/>
      <c r="Q77" s="284" t="str">
        <f>IF(VLOOKUP(A77,'Revitalisation-Revitalisierung'!$A$4:$Z$275,13,FALSE)="","",VLOOKUP(A77,'Revitalisation-Revitalisierung'!$A$4:$Z$275,13,FALSE))</f>
        <v>Non nécessaire / nicht nötig</v>
      </c>
      <c r="R77" s="541" t="str">
        <f>IF(VLOOKUP(A77,'Revitalisation-Revitalisierung'!$A$4:$Z$275,14,FALSE)="","",VLOOKUP(A77,'Revitalisation-Revitalisierung'!$A$4:$Z$275,14,FALSE))</f>
        <v>a</v>
      </c>
      <c r="S77" s="542" t="str">
        <f>IF(VLOOKUP(A77,'Revitalisation-Revitalisierung'!$A$4:$Z$275,19,FALSE)="","",VLOOKUP(A77,'Revitalisation-Revitalisierung'!$A$4:$Z$275,19,FALSE))</f>
        <v>Non nécessaire / nicht nötig</v>
      </c>
      <c r="T77" s="541" t="str">
        <f>IF(VLOOKUP(A77,'Revitalisation-Revitalisierung'!$A$4:$Z$275,20,FALSE)="","",VLOOKUP(A77,'Revitalisation-Revitalisierung'!$A$4:$Z$275,20,FALSE))</f>
        <v>a</v>
      </c>
      <c r="U77" s="542" t="str">
        <f>IF(VLOOKUP(A77,'Revitalisation-Revitalisierung'!$A$4:$Z$275,25,FALSE)="","",VLOOKUP(A77,'Revitalisation-Revitalisierung'!$A$4:$Z$275,25,FALSE))</f>
        <v>Non nécessaire / nicht nötig</v>
      </c>
      <c r="V77" s="406" t="str">
        <f>IF(VLOOKUP(A77,'Revitalisation-Revitalisierung'!$A$4:$Z$275,26,FALSE)="","",VLOOKUP(A77,'Revitalisation-Revitalisierung'!$A$4:$Z$275,26,FALSE))</f>
        <v>a</v>
      </c>
      <c r="Y77" s="529" t="str">
        <f t="shared" si="2"/>
        <v>81-100%</v>
      </c>
      <c r="Z77" s="568" t="str">
        <f t="shared" si="3"/>
        <v>a</v>
      </c>
      <c r="AA77" s="327" t="str">
        <f t="shared" si="6"/>
        <v>0-20%</v>
      </c>
      <c r="AB77" s="327" t="str">
        <f t="shared" si="7"/>
        <v>Non affecté / nicht betroffen</v>
      </c>
      <c r="AC77" s="276" t="str">
        <f t="shared" si="4"/>
        <v>Non nécessaire / nicht nötig</v>
      </c>
      <c r="AD77" s="570" t="str">
        <f t="shared" si="5"/>
        <v>a</v>
      </c>
      <c r="AE77">
        <v>3</v>
      </c>
      <c r="AF77">
        <v>1</v>
      </c>
    </row>
    <row r="78" spans="1:33" ht="16.5" customHeight="1" x14ac:dyDescent="0.25">
      <c r="A78" s="927">
        <v>62.2</v>
      </c>
      <c r="B78" s="400" t="s">
        <v>207</v>
      </c>
      <c r="C78" s="400" t="s">
        <v>208</v>
      </c>
      <c r="D78" s="401" t="s">
        <v>197</v>
      </c>
      <c r="E78" s="522" t="str">
        <f>IF(VLOOKUP(A78,'Charriage - Geschiebehaushalt'!$A$4:$AC$275,17,FALSE)="","",VLOOKUP(A78,'Charriage - Geschiebehaushalt'!$A$4:$AC$275,17,FALSE))</f>
        <v>81 -100%</v>
      </c>
      <c r="F78" s="523" t="str">
        <f>IF(VLOOKUP(A78,'Charriage - Geschiebehaushalt'!$A$4:$AC$275,18,FALSE)="","",VLOOKUP(A78,'Charriage - Geschiebehaushalt'!$A$4:$AC$275,18,FALSE))</f>
        <v>a</v>
      </c>
      <c r="G78" s="524" t="str">
        <f>IF(VLOOKUP(A78,'Charriage - Geschiebehaushalt'!$A$4:$AC$275,22,FALSE)="","",VLOOKUP(A78,'Charriage - Geschiebehaushalt'!$A$4:$AC$275,22,FALSE))</f>
        <v>81-100%</v>
      </c>
      <c r="H78" s="523" t="str">
        <f>IF(VLOOKUP(A78,'Charriage - Geschiebehaushalt'!$A$4:$AC$275,23,FALSE)="","",VLOOKUP(A78,'Charriage - Geschiebehaushalt'!$A$4:$AC$275,23,FALSE))</f>
        <v>d</v>
      </c>
      <c r="I78" s="524" t="str">
        <f>IF(VLOOKUP(A78,'Charriage - Geschiebehaushalt'!$A$4:$AC$275,28,FALSE)="","",VLOOKUP(A78,'Charriage - Geschiebehaushalt'!$A$4:$AC$275,28,FALSE))</f>
        <v>81-100%</v>
      </c>
      <c r="J78" s="403" t="str">
        <f>IF(VLOOKUP(A78,'Charriage - Geschiebehaushalt'!$A$4:$AC$275,29,FALSE)="","",VLOOKUP(A78,'Charriage - Geschiebehaushalt'!$A$4:$AC$275,29,FALSE))</f>
        <v>d</v>
      </c>
      <c r="K78" s="533" t="str">
        <f>IF(VLOOKUP(A78,'Débit - Abfluss'!$A$4:$AD$275,8,FALSE)="","",VLOOKUP(A78,'Débit - Abfluss'!$A$4:$AD$275,8,FALSE))</f>
        <v>81-100%</v>
      </c>
      <c r="L78" s="468" t="str">
        <f>IF(VLOOKUP(A78,'Débit - Abfluss'!$A$4:$AD$275,10,FALSE)="","",VLOOKUP(A78,'Débit - Abfluss'!$A$4:$AD$275,10,FALSE))</f>
        <v>81-100%</v>
      </c>
      <c r="M78" s="333" t="str">
        <f>IF(VLOOKUP(A78,'Débit - Abfluss'!$A$4:$AD$275,17,FALSE)="","",VLOOKUP(A78,'Débit - Abfluss'!$A$4:$AD$275,17,FALSE))</f>
        <v>0-20%</v>
      </c>
      <c r="N78" s="340" t="str">
        <f>IF(VLOOKUP(A78,'Eclusée - Schwall-Sunk'!$A$2:$F$273,6,FALSE)="","",VLOOKUP(A78,'Eclusée - Schwall-Sunk'!$A$2:$F$273,6,FALSE))</f>
        <v>Potentiellement affecté / möglicherweise betroffen</v>
      </c>
      <c r="O78" s="537"/>
      <c r="P78" s="538"/>
      <c r="Q78" s="284" t="str">
        <f>IF(VLOOKUP(A78,'Revitalisation-Revitalisierung'!$A$4:$Z$275,13,FALSE)="","",VLOOKUP(A78,'Revitalisation-Revitalisierung'!$A$4:$Z$275,13,FALSE))</f>
        <v>Partiellement nécessaire, facile / teilweise nötig, einfach</v>
      </c>
      <c r="R78" s="541" t="str">
        <f>IF(VLOOKUP(A78,'Revitalisation-Revitalisierung'!$A$4:$Z$275,14,FALSE)="","",VLOOKUP(A78,'Revitalisation-Revitalisierung'!$A$4:$Z$275,14,FALSE))</f>
        <v>b</v>
      </c>
      <c r="S78" s="542" t="str">
        <f>IF(VLOOKUP(A78,'Revitalisation-Revitalisierung'!$A$4:$Z$275,19,FALSE)="","",VLOOKUP(A78,'Revitalisation-Revitalisierung'!$A$4:$Z$275,19,FALSE))</f>
        <v>Non nécessaire / nicht nötig</v>
      </c>
      <c r="T78" s="541" t="str">
        <f>IF(VLOOKUP(A78,'Revitalisation-Revitalisierung'!$A$4:$Z$275,20,FALSE)="","",VLOOKUP(A78,'Revitalisation-Revitalisierung'!$A$4:$Z$275,20,FALSE))</f>
        <v>c</v>
      </c>
      <c r="U78" s="542" t="str">
        <f>IF(VLOOKUP(A78,'Revitalisation-Revitalisierung'!$A$4:$Z$275,25,FALSE)="","",VLOOKUP(A78,'Revitalisation-Revitalisierung'!$A$4:$Z$275,25,FALSE))</f>
        <v>Partiellement nécessaire, facile / teilweise nötig, einfach</v>
      </c>
      <c r="V78" s="406" t="str">
        <f>IF(VLOOKUP(A78,'Revitalisation-Revitalisierung'!$A$4:$Z$275,26,FALSE)="","",VLOOKUP(A78,'Revitalisation-Revitalisierung'!$A$4:$Z$275,26,FALSE))</f>
        <v>e</v>
      </c>
      <c r="Y78" s="529" t="str">
        <f t="shared" si="2"/>
        <v>81-100%</v>
      </c>
      <c r="Z78" s="568" t="str">
        <f t="shared" si="3"/>
        <v>d</v>
      </c>
      <c r="AA78" s="327" t="str">
        <f t="shared" si="6"/>
        <v>0-20%</v>
      </c>
      <c r="AB78" s="327" t="str">
        <f t="shared" si="7"/>
        <v>Potentiellement affecté / möglicherweise betroffen</v>
      </c>
      <c r="AC78" s="276" t="str">
        <f t="shared" si="4"/>
        <v>Partiellement nécessaire, facile / teilweise nötig, einfach</v>
      </c>
      <c r="AD78" s="570" t="str">
        <f t="shared" si="5"/>
        <v>e</v>
      </c>
      <c r="AE78">
        <v>4</v>
      </c>
      <c r="AF78">
        <v>1</v>
      </c>
    </row>
    <row r="79" spans="1:33" ht="16.5" customHeight="1" x14ac:dyDescent="0.25">
      <c r="A79" s="926">
        <v>64</v>
      </c>
      <c r="B79" s="400" t="s">
        <v>210</v>
      </c>
      <c r="C79" s="400" t="s">
        <v>211</v>
      </c>
      <c r="D79" s="401" t="s">
        <v>197</v>
      </c>
      <c r="E79" s="522" t="str">
        <f>IF(VLOOKUP(A79,'Charriage - Geschiebehaushalt'!$A$4:$AC$275,17,FALSE)="","",VLOOKUP(A79,'Charriage - Geschiebehaushalt'!$A$4:$AC$275,17,FALSE))</f>
        <v>Charriage présumé perturbé / Geschiebehaushalt vermutlich beeinträchtigt</v>
      </c>
      <c r="F79" s="523" t="str">
        <f>IF(VLOOKUP(A79,'Charriage - Geschiebehaushalt'!$A$4:$AC$275,18,FALSE)="","",VLOOKUP(A79,'Charriage - Geschiebehaushalt'!$A$4:$AC$275,18,FALSE))</f>
        <v>b</v>
      </c>
      <c r="G79" s="524" t="str">
        <f>IF(VLOOKUP(A79,'Charriage - Geschiebehaushalt'!$A$4:$AC$275,22,FALSE)="","",VLOOKUP(A79,'Charriage - Geschiebehaushalt'!$A$4:$AC$275,22,FALSE))</f>
        <v>51-80%</v>
      </c>
      <c r="H79" s="523" t="str">
        <f>IF(VLOOKUP(A79,'Charriage - Geschiebehaushalt'!$A$4:$AC$275,23,FALSE)="","",VLOOKUP(A79,'Charriage - Geschiebehaushalt'!$A$4:$AC$275,23,FALSE))</f>
        <v>d</v>
      </c>
      <c r="I79" s="524" t="str">
        <f>IF(VLOOKUP(A79,'Charriage - Geschiebehaushalt'!$A$4:$AC$275,28,FALSE)="","",VLOOKUP(A79,'Charriage - Geschiebehaushalt'!$A$4:$AC$275,28,FALSE))</f>
        <v>51-80%</v>
      </c>
      <c r="J79" s="403" t="str">
        <f>IF(VLOOKUP(A79,'Charriage - Geschiebehaushalt'!$A$4:$AC$275,29,FALSE)="","",VLOOKUP(A79,'Charriage - Geschiebehaushalt'!$A$4:$AC$275,29,FALSE))</f>
        <v>d</v>
      </c>
      <c r="K79" s="533" t="str">
        <f>IF(VLOOKUP(A79,'Débit - Abfluss'!$A$4:$AD$275,8,FALSE)="","",VLOOKUP(A79,'Débit - Abfluss'!$A$4:$AD$275,8,FALSE))</f>
        <v>non pertinent / nicht relevant</v>
      </c>
      <c r="L79" s="468" t="str">
        <f>IF(VLOOKUP(A79,'Débit - Abfluss'!$A$4:$AD$275,10,FALSE)="","",VLOOKUP(A79,'Débit - Abfluss'!$A$4:$AD$275,10,FALSE))</f>
        <v>non pertinent / nicht relevant</v>
      </c>
      <c r="M79" s="333" t="str">
        <f>IF(VLOOKUP(A79,'Débit - Abfluss'!$A$4:$AD$275,17,FALSE)="","",VLOOKUP(A79,'Débit - Abfluss'!$A$4:$AD$275,17,FALSE))</f>
        <v>non pertinent / nicht relevant</v>
      </c>
      <c r="N79" s="340" t="str">
        <f>IF(VLOOKUP(A79,'Eclusée - Schwall-Sunk'!$A$2:$F$273,6,FALSE)="","",VLOOKUP(A79,'Eclusée - Schwall-Sunk'!$A$2:$F$273,6,FALSE))</f>
        <v>Potentiellement affecté / möglicherweise betroffen</v>
      </c>
      <c r="O79" s="537"/>
      <c r="P79" s="538"/>
      <c r="Q79" s="284" t="str">
        <f>IF(VLOOKUP(A79,'Revitalisation-Revitalisierung'!$A$4:$Z$275,13,FALSE)="","",VLOOKUP(A79,'Revitalisation-Revitalisierung'!$A$4:$Z$275,13,FALSE))</f>
        <v>Partiellement nécessaire, facile / teilweise nötig, einfach</v>
      </c>
      <c r="R79" s="541" t="str">
        <f>IF(VLOOKUP(A79,'Revitalisation-Revitalisierung'!$A$4:$Z$275,14,FALSE)="","",VLOOKUP(A79,'Revitalisation-Revitalisierung'!$A$4:$Z$275,14,FALSE))</f>
        <v>a</v>
      </c>
      <c r="S79" s="542" t="str">
        <f>IF(VLOOKUP(A79,'Revitalisation-Revitalisierung'!$A$4:$Z$275,19,FALSE)="","",VLOOKUP(A79,'Revitalisation-Revitalisierung'!$A$4:$Z$275,19,FALSE))</f>
        <v>Très nécessaire, facile / unbedingt nötig, einfach</v>
      </c>
      <c r="T79" s="541" t="str">
        <f>IF(VLOOKUP(A79,'Revitalisation-Revitalisierung'!$A$4:$Z$275,20,FALSE)="","",VLOOKUP(A79,'Revitalisation-Revitalisierung'!$A$4:$Z$275,20,FALSE))</f>
        <v>c</v>
      </c>
      <c r="U79" s="542" t="str">
        <f>IF(VLOOKUP(A79,'Revitalisation-Revitalisierung'!$A$4:$Z$275,25,FALSE)="","",VLOOKUP(A79,'Revitalisation-Revitalisierung'!$A$4:$Z$275,25,FALSE))</f>
        <v>Très nécessaire, facile / unbedingt nötig, einfach</v>
      </c>
      <c r="V79" s="406" t="str">
        <f>IF(VLOOKUP(A79,'Revitalisation-Revitalisierung'!$A$4:$Z$275,26,FALSE)="","",VLOOKUP(A79,'Revitalisation-Revitalisierung'!$A$4:$Z$275,26,FALSE))</f>
        <v>c</v>
      </c>
      <c r="Y79" s="529" t="str">
        <f t="shared" si="2"/>
        <v>51-80%</v>
      </c>
      <c r="Z79" s="568" t="str">
        <f t="shared" si="3"/>
        <v>d</v>
      </c>
      <c r="AA79" s="327" t="str">
        <f t="shared" si="6"/>
        <v>non pertinent / nicht relevant</v>
      </c>
      <c r="AB79" s="327" t="str">
        <f t="shared" si="7"/>
        <v>Potentiellement affecté / möglicherweise betroffen</v>
      </c>
      <c r="AC79" s="276" t="str">
        <f t="shared" si="4"/>
        <v>Très nécessaire, facile / unbedingt nötig, einfach</v>
      </c>
      <c r="AD79" s="570" t="str">
        <f t="shared" si="5"/>
        <v>c</v>
      </c>
      <c r="AE79">
        <v>4</v>
      </c>
      <c r="AF79">
        <v>1</v>
      </c>
    </row>
    <row r="80" spans="1:33" ht="16.5" customHeight="1" x14ac:dyDescent="0.25">
      <c r="A80" s="926">
        <v>65</v>
      </c>
      <c r="B80" s="400" t="s">
        <v>213</v>
      </c>
      <c r="C80" s="400" t="s">
        <v>208</v>
      </c>
      <c r="D80" s="401" t="s">
        <v>197</v>
      </c>
      <c r="E80" s="522" t="str">
        <f>IF(VLOOKUP(A80,'Charriage - Geschiebehaushalt'!$A$4:$AC$275,17,FALSE)="","",VLOOKUP(A80,'Charriage - Geschiebehaushalt'!$A$4:$AC$275,17,FALSE))</f>
        <v>Problème lié à un manque de charriage ou à un manque de remobilisation des sédiments</v>
      </c>
      <c r="F80" s="523" t="str">
        <f>IF(VLOOKUP(A80,'Charriage - Geschiebehaushalt'!$A$4:$AC$275,18,FALSE)="","",VLOOKUP(A80,'Charriage - Geschiebehaushalt'!$A$4:$AC$275,18,FALSE))</f>
        <v>a</v>
      </c>
      <c r="G80" s="524" t="str">
        <f>IF(VLOOKUP(A80,'Charriage - Geschiebehaushalt'!$A$4:$AC$275,22,FALSE)="","",VLOOKUP(A80,'Charriage - Geschiebehaushalt'!$A$4:$AC$275,22,FALSE))</f>
        <v>81-100%</v>
      </c>
      <c r="H80" s="523" t="str">
        <f>IF(VLOOKUP(A80,'Charriage - Geschiebehaushalt'!$A$4:$AC$275,23,FALSE)="","",VLOOKUP(A80,'Charriage - Geschiebehaushalt'!$A$4:$AC$275,23,FALSE))</f>
        <v>d</v>
      </c>
      <c r="I80" s="524" t="str">
        <f>IF(VLOOKUP(A80,'Charriage - Geschiebehaushalt'!$A$4:$AC$275,28,FALSE)="","",VLOOKUP(A80,'Charriage - Geschiebehaushalt'!$A$4:$AC$275,28,FALSE))</f>
        <v>81-100%</v>
      </c>
      <c r="J80" s="403" t="str">
        <f>IF(VLOOKUP(A80,'Charriage - Geschiebehaushalt'!$A$4:$AC$275,29,FALSE)="","",VLOOKUP(A80,'Charriage - Geschiebehaushalt'!$A$4:$AC$275,29,FALSE))</f>
        <v>d</v>
      </c>
      <c r="K80" s="533" t="str">
        <f>IF(VLOOKUP(A80,'Débit - Abfluss'!$A$4:$AD$275,8,FALSE)="","",VLOOKUP(A80,'Débit - Abfluss'!$A$4:$AD$275,8,FALSE))</f>
        <v>81-100%</v>
      </c>
      <c r="L80" s="468" t="str">
        <f>IF(VLOOKUP(A80,'Débit - Abfluss'!$A$4:$AD$275,10,FALSE)="","",VLOOKUP(A80,'Débit - Abfluss'!$A$4:$AD$275,10,FALSE))</f>
        <v>81-100%</v>
      </c>
      <c r="M80" s="333" t="str">
        <f>IF(VLOOKUP(A80,'Débit - Abfluss'!$A$4:$AD$275,17,FALSE)="","",VLOOKUP(A80,'Débit - Abfluss'!$A$4:$AD$275,17,FALSE))</f>
        <v>81-100%</v>
      </c>
      <c r="N80" s="340" t="str">
        <f>IF(VLOOKUP(A80,'Eclusée - Schwall-Sunk'!$A$2:$F$273,6,FALSE)="","",VLOOKUP(A80,'Eclusée - Schwall-Sunk'!$A$2:$F$273,6,FALSE))</f>
        <v>Potentiellement affecté / möglicherweise betroffen</v>
      </c>
      <c r="O80" s="537"/>
      <c r="P80" s="538"/>
      <c r="Q80" s="284" t="str">
        <f>IF(VLOOKUP(A80,'Revitalisation-Revitalisierung'!$A$4:$Z$275,13,FALSE)="","",VLOOKUP(A80,'Revitalisation-Revitalisierung'!$A$4:$Z$275,13,FALSE))</f>
        <v>Très nécessaire, facile / unbedingt nötig, einfach</v>
      </c>
      <c r="R80" s="541" t="str">
        <f>IF(VLOOKUP(A80,'Revitalisation-Revitalisierung'!$A$4:$Z$275,14,FALSE)="","",VLOOKUP(A80,'Revitalisation-Revitalisierung'!$A$4:$Z$275,14,FALSE))</f>
        <v>a</v>
      </c>
      <c r="S80" s="542" t="str">
        <f>IF(VLOOKUP(A80,'Revitalisation-Revitalisierung'!$A$4:$Z$275,19,FALSE)="","",VLOOKUP(A80,'Revitalisation-Revitalisierung'!$A$4:$Z$275,19,FALSE))</f>
        <v>Très nécessaire, facile / unbedingt nötig, einfach</v>
      </c>
      <c r="T80" s="541" t="str">
        <f>IF(VLOOKUP(A80,'Revitalisation-Revitalisierung'!$A$4:$Z$275,20,FALSE)="","",VLOOKUP(A80,'Revitalisation-Revitalisierung'!$A$4:$Z$275,20,FALSE))</f>
        <v>d</v>
      </c>
      <c r="U80" s="542" t="str">
        <f>IF(VLOOKUP(A80,'Revitalisation-Revitalisierung'!$A$4:$Z$275,25,FALSE)="","",VLOOKUP(A80,'Revitalisation-Revitalisierung'!$A$4:$Z$275,25,FALSE))</f>
        <v>Très nécessaire, facile / unbedingt nötig, einfach</v>
      </c>
      <c r="V80" s="406" t="str">
        <f>IF(VLOOKUP(A80,'Revitalisation-Revitalisierung'!$A$4:$Z$275,26,FALSE)="","",VLOOKUP(A80,'Revitalisation-Revitalisierung'!$A$4:$Z$275,26,FALSE))</f>
        <v>d</v>
      </c>
      <c r="Y80" s="529" t="str">
        <f t="shared" si="2"/>
        <v>81-100%</v>
      </c>
      <c r="Z80" s="568" t="str">
        <f t="shared" si="3"/>
        <v>d</v>
      </c>
      <c r="AA80" s="327" t="str">
        <f t="shared" si="6"/>
        <v>81-100%</v>
      </c>
      <c r="AB80" s="327" t="str">
        <f t="shared" si="7"/>
        <v>Potentiellement affecté / möglicherweise betroffen</v>
      </c>
      <c r="AC80" s="276" t="str">
        <f t="shared" si="4"/>
        <v>Très nécessaire, facile / unbedingt nötig, einfach</v>
      </c>
      <c r="AD80" s="570" t="str">
        <f t="shared" si="5"/>
        <v>d</v>
      </c>
      <c r="AE80">
        <v>4</v>
      </c>
      <c r="AF80">
        <v>1</v>
      </c>
    </row>
    <row r="81" spans="1:33" ht="16.5" customHeight="1" x14ac:dyDescent="0.25">
      <c r="A81" s="926">
        <v>66</v>
      </c>
      <c r="B81" s="400" t="s">
        <v>215</v>
      </c>
      <c r="C81" s="400" t="s">
        <v>208</v>
      </c>
      <c r="D81" s="401" t="s">
        <v>197</v>
      </c>
      <c r="E81" s="522" t="str">
        <f>IF(VLOOKUP(A81,'Charriage - Geschiebehaushalt'!$A$4:$AC$275,17,FALSE)="","",VLOOKUP(A81,'Charriage - Geschiebehaushalt'!$A$4:$AC$275,17,FALSE))</f>
        <v>Problème lié à un manque de charriage ou à un manque de remobilisation des sédiments</v>
      </c>
      <c r="F81" s="523" t="str">
        <f>IF(VLOOKUP(A81,'Charriage - Geschiebehaushalt'!$A$4:$AC$275,18,FALSE)="","",VLOOKUP(A81,'Charriage - Geschiebehaushalt'!$A$4:$AC$275,18,FALSE))</f>
        <v>a</v>
      </c>
      <c r="G81" s="524" t="str">
        <f>IF(VLOOKUP(A81,'Charriage - Geschiebehaushalt'!$A$4:$AC$275,22,FALSE)="","",VLOOKUP(A81,'Charriage - Geschiebehaushalt'!$A$4:$AC$275,22,FALSE))</f>
        <v>81-100%</v>
      </c>
      <c r="H81" s="523" t="str">
        <f>IF(VLOOKUP(A81,'Charriage - Geschiebehaushalt'!$A$4:$AC$275,23,FALSE)="","",VLOOKUP(A81,'Charriage - Geschiebehaushalt'!$A$4:$AC$275,23,FALSE))</f>
        <v>d</v>
      </c>
      <c r="I81" s="524" t="str">
        <f>IF(VLOOKUP(A81,'Charriage - Geschiebehaushalt'!$A$4:$AC$275,28,FALSE)="","",VLOOKUP(A81,'Charriage - Geschiebehaushalt'!$A$4:$AC$275,28,FALSE))</f>
        <v>81-100%</v>
      </c>
      <c r="J81" s="403" t="str">
        <f>IF(VLOOKUP(A81,'Charriage - Geschiebehaushalt'!$A$4:$AC$275,29,FALSE)="","",VLOOKUP(A81,'Charriage - Geschiebehaushalt'!$A$4:$AC$275,29,FALSE))</f>
        <v>d</v>
      </c>
      <c r="K81" s="533" t="str">
        <f>IF(VLOOKUP(A81,'Débit - Abfluss'!$A$4:$AD$275,8,FALSE)="","",VLOOKUP(A81,'Débit - Abfluss'!$A$4:$AD$275,8,FALSE))</f>
        <v>81-100%</v>
      </c>
      <c r="L81" s="468" t="str">
        <f>IF(VLOOKUP(A81,'Débit - Abfluss'!$A$4:$AD$275,10,FALSE)="","",VLOOKUP(A81,'Débit - Abfluss'!$A$4:$AD$275,10,FALSE))</f>
        <v>81-100%</v>
      </c>
      <c r="M81" s="333" t="str">
        <f>IF(VLOOKUP(A81,'Débit - Abfluss'!$A$4:$AD$275,17,FALSE)="","",VLOOKUP(A81,'Débit - Abfluss'!$A$4:$AD$275,17,FALSE))</f>
        <v>81-100%</v>
      </c>
      <c r="N81" s="340" t="str">
        <f>IF(VLOOKUP(A81,'Eclusée - Schwall-Sunk'!$A$2:$F$273,6,FALSE)="","",VLOOKUP(A81,'Eclusée - Schwall-Sunk'!$A$2:$F$273,6,FALSE))</f>
        <v>Potentiellement affecté / möglicherweise betroffen</v>
      </c>
      <c r="O81" s="537"/>
      <c r="P81" s="538"/>
      <c r="Q81" s="284" t="str">
        <f>IF(VLOOKUP(A81,'Revitalisation-Revitalisierung'!$A$4:$Z$275,13,FALSE)="","",VLOOKUP(A81,'Revitalisation-Revitalisierung'!$A$4:$Z$275,13,FALSE))</f>
        <v>Très nécessaire, facile / unbedingt nötig, einfach</v>
      </c>
      <c r="R81" s="541" t="str">
        <f>IF(VLOOKUP(A81,'Revitalisation-Revitalisierung'!$A$4:$Z$275,14,FALSE)="","",VLOOKUP(A81,'Revitalisation-Revitalisierung'!$A$4:$Z$275,14,FALSE))</f>
        <v>a</v>
      </c>
      <c r="S81" s="542" t="str">
        <f>IF(VLOOKUP(A81,'Revitalisation-Revitalisierung'!$A$4:$Z$275,19,FALSE)="","",VLOOKUP(A81,'Revitalisation-Revitalisierung'!$A$4:$Z$275,19,FALSE))</f>
        <v>Très nécessaire, facile / unbedingt nötig, einfach</v>
      </c>
      <c r="T81" s="541" t="str">
        <f>IF(VLOOKUP(A81,'Revitalisation-Revitalisierung'!$A$4:$Z$275,20,FALSE)="","",VLOOKUP(A81,'Revitalisation-Revitalisierung'!$A$4:$Z$275,20,FALSE))</f>
        <v>d</v>
      </c>
      <c r="U81" s="542" t="str">
        <f>IF(VLOOKUP(A81,'Revitalisation-Revitalisierung'!$A$4:$Z$275,25,FALSE)="","",VLOOKUP(A81,'Revitalisation-Revitalisierung'!$A$4:$Z$275,25,FALSE))</f>
        <v>Très nécessaire, facile / unbedingt nötig, einfach</v>
      </c>
      <c r="V81" s="406" t="str">
        <f>IF(VLOOKUP(A81,'Revitalisation-Revitalisierung'!$A$4:$Z$275,26,FALSE)="","",VLOOKUP(A81,'Revitalisation-Revitalisierung'!$A$4:$Z$275,26,FALSE))</f>
        <v>d</v>
      </c>
      <c r="Y81" s="529" t="str">
        <f t="shared" si="2"/>
        <v>81-100%</v>
      </c>
      <c r="Z81" s="568" t="str">
        <f t="shared" si="3"/>
        <v>d</v>
      </c>
      <c r="AA81" s="327" t="str">
        <f t="shared" si="6"/>
        <v>81-100%</v>
      </c>
      <c r="AB81" s="327" t="str">
        <f t="shared" si="7"/>
        <v>Potentiellement affecté / möglicherweise betroffen</v>
      </c>
      <c r="AC81" s="276" t="str">
        <f t="shared" si="4"/>
        <v>Très nécessaire, facile / unbedingt nötig, einfach</v>
      </c>
      <c r="AD81" s="570" t="str">
        <f t="shared" si="5"/>
        <v>d</v>
      </c>
      <c r="AE81">
        <v>4</v>
      </c>
      <c r="AF81">
        <v>1</v>
      </c>
    </row>
    <row r="82" spans="1:33" ht="16.5" customHeight="1" x14ac:dyDescent="0.25">
      <c r="A82" s="926">
        <v>68</v>
      </c>
      <c r="B82" s="400" t="s">
        <v>579</v>
      </c>
      <c r="C82" s="400" t="s">
        <v>208</v>
      </c>
      <c r="D82" s="401" t="s">
        <v>573</v>
      </c>
      <c r="E82" s="522" t="str">
        <f>IF(VLOOKUP(A82,'Charriage - Geschiebehaushalt'!$A$4:$AC$275,17,FALSE)="","",VLOOKUP(A82,'Charriage - Geschiebehaushalt'!$A$4:$AC$275,17,FALSE))</f>
        <v>Déficit non apparent en charriage ou en remobilisation des sédiments / kein sichtbares Defizit beim Geschiebehaushalt bzw. bei der Mobilisierung von Geschiebe</v>
      </c>
      <c r="F82" s="523" t="str">
        <f>IF(VLOOKUP(A82,'Charriage - Geschiebehaushalt'!$A$4:$AC$275,18,FALSE)="","",VLOOKUP(A82,'Charriage - Geschiebehaushalt'!$A$4:$AC$275,18,FALSE))</f>
        <v>b</v>
      </c>
      <c r="G82" s="524" t="str">
        <f>IF(VLOOKUP(A82,'Charriage - Geschiebehaushalt'!$A$4:$AC$275,22,FALSE)="","",VLOOKUP(A82,'Charriage - Geschiebehaushalt'!$A$4:$AC$275,22,FALSE))</f>
        <v>21-50%</v>
      </c>
      <c r="H82" s="523" t="str">
        <f>IF(VLOOKUP(A82,'Charriage - Geschiebehaushalt'!$A$4:$AC$275,23,FALSE)="","",VLOOKUP(A82,'Charriage - Geschiebehaushalt'!$A$4:$AC$275,23,FALSE))</f>
        <v>c</v>
      </c>
      <c r="I82" s="524" t="str">
        <f>IF(VLOOKUP(A82,'Charriage - Geschiebehaushalt'!$A$4:$AC$275,28,FALSE)="","",VLOOKUP(A82,'Charriage - Geschiebehaushalt'!$A$4:$AC$275,28,FALSE))</f>
        <v>21-50%</v>
      </c>
      <c r="J82" s="403" t="str">
        <f>IF(VLOOKUP(A82,'Charriage - Geschiebehaushalt'!$A$4:$AC$275,29,FALSE)="","",VLOOKUP(A82,'Charriage - Geschiebehaushalt'!$A$4:$AC$275,29,FALSE))</f>
        <v>c</v>
      </c>
      <c r="K82" s="533" t="str">
        <f>IF(VLOOKUP(A82,'Débit - Abfluss'!$A$4:$AD$275,8,FALSE)="","",VLOOKUP(A82,'Débit - Abfluss'!$A$4:$AD$275,8,FALSE))</f>
        <v>81-100%</v>
      </c>
      <c r="L82" s="468" t="str">
        <f>IF(VLOOKUP(A82,'Débit - Abfluss'!$A$4:$AD$275,10,FALSE)="","",VLOOKUP(A82,'Débit - Abfluss'!$A$4:$AD$275,10,FALSE))</f>
        <v>81-100%</v>
      </c>
      <c r="M82" s="333" t="str">
        <f>IF(VLOOKUP(A82,'Débit - Abfluss'!$A$4:$AD$275,17,FALSE)="","",VLOOKUP(A82,'Débit - Abfluss'!$A$4:$AD$275,17,FALSE))</f>
        <v>81-100%</v>
      </c>
      <c r="N82" s="340" t="str">
        <f>IF(VLOOKUP(A82,'Eclusée - Schwall-Sunk'!$A$2:$F$273,6,FALSE)="","",VLOOKUP(A82,'Eclusée - Schwall-Sunk'!$A$2:$F$273,6,FALSE))</f>
        <v>Potentiellement affecté / möglicherweise betroffen</v>
      </c>
      <c r="O82" s="537"/>
      <c r="P82" s="538"/>
      <c r="Q82" s="284" t="str">
        <f>IF(VLOOKUP(A82,'Revitalisation-Revitalisierung'!$A$4:$Z$275,13,FALSE)="","",VLOOKUP(A82,'Revitalisation-Revitalisierung'!$A$4:$Z$275,13,FALSE))</f>
        <v>Partiellement nécessaire, facile / teilweise nötig, einfach</v>
      </c>
      <c r="R82" s="541" t="str">
        <f>IF(VLOOKUP(A82,'Revitalisation-Revitalisierung'!$A$4:$Z$275,14,FALSE)="","",VLOOKUP(A82,'Revitalisation-Revitalisierung'!$A$4:$Z$275,14,FALSE))</f>
        <v>a</v>
      </c>
      <c r="S82" s="542" t="str">
        <f>IF(VLOOKUP(A82,'Revitalisation-Revitalisierung'!$A$4:$Z$275,19,FALSE)="","",VLOOKUP(A82,'Revitalisation-Revitalisierung'!$A$4:$Z$275,19,FALSE))</f>
        <v>Très nécessaire, facile / unbedingt nötig, einfach</v>
      </c>
      <c r="T82" s="541" t="str">
        <f>IF(VLOOKUP(A82,'Revitalisation-Revitalisierung'!$A$4:$Z$275,20,FALSE)="","",VLOOKUP(A82,'Revitalisation-Revitalisierung'!$A$4:$Z$275,20,FALSE))</f>
        <v>c</v>
      </c>
      <c r="U82" s="542" t="str">
        <f>IF(VLOOKUP(A82,'Revitalisation-Revitalisierung'!$A$4:$Z$275,25,FALSE)="","",VLOOKUP(A82,'Revitalisation-Revitalisierung'!$A$4:$Z$275,25,FALSE))</f>
        <v>Très nécessaire, facile / unbedingt nötig, einfach</v>
      </c>
      <c r="V82" s="406" t="str">
        <f>IF(VLOOKUP(A82,'Revitalisation-Revitalisierung'!$A$4:$Z$275,26,FALSE)="","",VLOOKUP(A82,'Revitalisation-Revitalisierung'!$A$4:$Z$275,26,FALSE))</f>
        <v>c</v>
      </c>
      <c r="Y82" s="529" t="str">
        <f t="shared" si="2"/>
        <v>21-50%</v>
      </c>
      <c r="Z82" s="568" t="str">
        <f t="shared" si="3"/>
        <v>c</v>
      </c>
      <c r="AA82" s="327" t="str">
        <f t="shared" si="6"/>
        <v>81-100%</v>
      </c>
      <c r="AB82" s="327" t="str">
        <f t="shared" si="7"/>
        <v>Potentiellement affecté / möglicherweise betroffen</v>
      </c>
      <c r="AC82" s="276" t="str">
        <f t="shared" si="4"/>
        <v>Très nécessaire, facile / unbedingt nötig, einfach</v>
      </c>
      <c r="AD82" s="570" t="str">
        <f t="shared" si="5"/>
        <v>c</v>
      </c>
      <c r="AE82">
        <v>4</v>
      </c>
      <c r="AF82">
        <v>1</v>
      </c>
    </row>
    <row r="83" spans="1:33" ht="16.5" customHeight="1" x14ac:dyDescent="0.25">
      <c r="A83" s="928">
        <v>69</v>
      </c>
      <c r="B83" s="400" t="s">
        <v>117</v>
      </c>
      <c r="C83" s="400" t="s">
        <v>50</v>
      </c>
      <c r="D83" s="401" t="s">
        <v>92</v>
      </c>
      <c r="E83" s="522" t="str">
        <f>IF(VLOOKUP(A83,'Charriage - Geschiebehaushalt'!$A$4:$AC$275,17,FALSE)="","",VLOOKUP(A83,'Charriage - Geschiebehaushalt'!$A$4:$AC$275,17,FALSE))</f>
        <v>21-50%</v>
      </c>
      <c r="F83" s="523" t="str">
        <f>IF(VLOOKUP(A83,'Charriage - Geschiebehaushalt'!$A$4:$AC$275,18,FALSE)="","",VLOOKUP(A83,'Charriage - Geschiebehaushalt'!$A$4:$AC$275,18,FALSE))</f>
        <v>a</v>
      </c>
      <c r="G83" s="524" t="str">
        <f>IF(VLOOKUP(A83,'Charriage - Geschiebehaushalt'!$A$4:$AC$275,22,FALSE)="","",VLOOKUP(A83,'Charriage - Geschiebehaushalt'!$A$4:$AC$275,22,FALSE))</f>
        <v>21-50%</v>
      </c>
      <c r="H83" s="523" t="str">
        <f>IF(VLOOKUP(A83,'Charriage - Geschiebehaushalt'!$A$4:$AC$275,23,FALSE)="","",VLOOKUP(A83,'Charriage - Geschiebehaushalt'!$A$4:$AC$275,23,FALSE))</f>
        <v>d</v>
      </c>
      <c r="I83" s="524" t="str">
        <f>IF(VLOOKUP(A83,'Charriage - Geschiebehaushalt'!$A$4:$AC$275,28,FALSE)="","",VLOOKUP(A83,'Charriage - Geschiebehaushalt'!$A$4:$AC$275,28,FALSE))</f>
        <v>21-50%</v>
      </c>
      <c r="J83" s="403" t="str">
        <f>IF(VLOOKUP(A83,'Charriage - Geschiebehaushalt'!$A$4:$AC$275,29,FALSE)="","",VLOOKUP(A83,'Charriage - Geschiebehaushalt'!$A$4:$AC$275,29,FALSE))</f>
        <v>d</v>
      </c>
      <c r="K83" s="533" t="str">
        <f>IF(VLOOKUP(A83,'Débit - Abfluss'!$A$4:$AD$275,8,FALSE)="","",VLOOKUP(A83,'Débit - Abfluss'!$A$4:$AD$275,8,FALSE))</f>
        <v>81-100%</v>
      </c>
      <c r="L83" s="468" t="str">
        <f>IF(VLOOKUP(A83,'Débit - Abfluss'!$A$4:$AD$275,10,FALSE)="","",VLOOKUP(A83,'Débit - Abfluss'!$A$4:$AD$275,10,FALSE))</f>
        <v>81-100%</v>
      </c>
      <c r="M83" s="333" t="str">
        <f>IF(VLOOKUP(A83,'Débit - Abfluss'!$A$4:$AD$275,17,FALSE)="","",VLOOKUP(A83,'Débit - Abfluss'!$A$4:$AD$275,17,FALSE))</f>
        <v>81-100%</v>
      </c>
      <c r="N83" s="340" t="str">
        <f>IF(VLOOKUP(A83,'Eclusée - Schwall-Sunk'!$A$2:$F$273,6,FALSE)="","",VLOOKUP(A83,'Eclusée - Schwall-Sunk'!$A$2:$F$273,6,FALSE))</f>
        <v>Non affecté / nicht betroffen</v>
      </c>
      <c r="O83" s="537"/>
      <c r="P83" s="538"/>
      <c r="Q83" s="284" t="str">
        <f>IF(VLOOKUP(A83,'Revitalisation-Revitalisierung'!$A$4:$Z$275,13,FALSE)="","",VLOOKUP(A83,'Revitalisation-Revitalisierung'!$A$4:$Z$275,13,FALSE))</f>
        <v>Très nécessaire, difficile / unbedingt nötig, schwierig</v>
      </c>
      <c r="R83" s="541" t="str">
        <f>IF(VLOOKUP(A83,'Revitalisation-Revitalisierung'!$A$4:$Z$275,14,FALSE)="","",VLOOKUP(A83,'Revitalisation-Revitalisierung'!$A$4:$Z$275,14,FALSE))</f>
        <v>a</v>
      </c>
      <c r="S83" s="542" t="str">
        <f>IF(VLOOKUP(A83,'Revitalisation-Revitalisierung'!$A$4:$Z$275,19,FALSE)="","",VLOOKUP(A83,'Revitalisation-Revitalisierung'!$A$4:$Z$275,19,FALSE))</f>
        <v>Très nécessaire, difficile / unbedingt nötig, schwierig</v>
      </c>
      <c r="T83" s="541" t="str">
        <f>IF(VLOOKUP(A83,'Revitalisation-Revitalisierung'!$A$4:$Z$275,20,FALSE)="","",VLOOKUP(A83,'Revitalisation-Revitalisierung'!$A$4:$Z$275,20,FALSE))</f>
        <v>d</v>
      </c>
      <c r="U83" s="542" t="str">
        <f>IF(VLOOKUP(A83,'Revitalisation-Revitalisierung'!$A$4:$Z$275,25,FALSE)="","",VLOOKUP(A83,'Revitalisation-Revitalisierung'!$A$4:$Z$275,25,FALSE))</f>
        <v>Très nécessaire, difficile / unbedingt nötig, schwierig</v>
      </c>
      <c r="V83" s="406" t="str">
        <f>IF(VLOOKUP(A83,'Revitalisation-Revitalisierung'!$A$4:$Z$275,26,FALSE)="","",VLOOKUP(A83,'Revitalisation-Revitalisierung'!$A$4:$Z$275,26,FALSE))</f>
        <v>d</v>
      </c>
      <c r="Y83" s="529" t="str">
        <f t="shared" si="2"/>
        <v>21-50%</v>
      </c>
      <c r="Z83" s="568" t="str">
        <f t="shared" si="3"/>
        <v>d</v>
      </c>
      <c r="AA83" s="327" t="str">
        <f t="shared" si="6"/>
        <v>81-100%</v>
      </c>
      <c r="AB83" s="327" t="str">
        <f t="shared" si="7"/>
        <v>Non affecté / nicht betroffen</v>
      </c>
      <c r="AC83" s="276" t="str">
        <f t="shared" si="4"/>
        <v>Très nécessaire, difficile / unbedingt nötig, schwierig</v>
      </c>
      <c r="AD83" s="570" t="str">
        <f t="shared" si="5"/>
        <v>d</v>
      </c>
      <c r="AE83">
        <v>2</v>
      </c>
      <c r="AF83">
        <v>1</v>
      </c>
    </row>
    <row r="84" spans="1:33" ht="16.5" customHeight="1" x14ac:dyDescent="0.25">
      <c r="A84" s="926">
        <v>70</v>
      </c>
      <c r="B84" s="400" t="s">
        <v>120</v>
      </c>
      <c r="C84" s="400" t="s">
        <v>121</v>
      </c>
      <c r="D84" s="401" t="s">
        <v>92</v>
      </c>
      <c r="E84" s="522" t="str">
        <f>IF(VLOOKUP(A84,'Charriage - Geschiebehaushalt'!$A$4:$AC$275,17,FALSE)="","",VLOOKUP(A84,'Charriage - Geschiebehaushalt'!$A$4:$AC$275,17,FALSE))</f>
        <v>51-80%</v>
      </c>
      <c r="F84" s="523" t="str">
        <f>IF(VLOOKUP(A84,'Charriage - Geschiebehaushalt'!$A$4:$AC$275,18,FALSE)="","",VLOOKUP(A84,'Charriage - Geschiebehaushalt'!$A$4:$AC$275,18,FALSE))</f>
        <v>a</v>
      </c>
      <c r="G84" s="524" t="str">
        <f>IF(VLOOKUP(A84,'Charriage - Geschiebehaushalt'!$A$4:$AC$275,22,FALSE)="","",VLOOKUP(A84,'Charriage - Geschiebehaushalt'!$A$4:$AC$275,22,FALSE))</f>
        <v>51-80%</v>
      </c>
      <c r="H84" s="523" t="str">
        <f>IF(VLOOKUP(A84,'Charriage - Geschiebehaushalt'!$A$4:$AC$275,23,FALSE)="","",VLOOKUP(A84,'Charriage - Geschiebehaushalt'!$A$4:$AC$275,23,FALSE))</f>
        <v>d</v>
      </c>
      <c r="I84" s="524" t="str">
        <f>IF(VLOOKUP(A84,'Charriage - Geschiebehaushalt'!$A$4:$AC$275,28,FALSE)="","",VLOOKUP(A84,'Charriage - Geschiebehaushalt'!$A$4:$AC$275,28,FALSE))</f>
        <v>51-80%</v>
      </c>
      <c r="J84" s="403" t="str">
        <f>IF(VLOOKUP(A84,'Charriage - Geschiebehaushalt'!$A$4:$AC$275,29,FALSE)="","",VLOOKUP(A84,'Charriage - Geschiebehaushalt'!$A$4:$AC$275,29,FALSE))</f>
        <v>d</v>
      </c>
      <c r="K84" s="533" t="str">
        <f>IF(VLOOKUP(A84,'Débit - Abfluss'!$A$4:$AD$275,8,FALSE)="","",VLOOKUP(A84,'Débit - Abfluss'!$A$4:$AD$275,8,FALSE))</f>
        <v>41-60%</v>
      </c>
      <c r="L84" s="468" t="str">
        <f>IF(VLOOKUP(A84,'Débit - Abfluss'!$A$4:$AD$275,10,FALSE)="","",VLOOKUP(A84,'Débit - Abfluss'!$A$4:$AD$275,10,FALSE))</f>
        <v>41-60%</v>
      </c>
      <c r="M84" s="333" t="str">
        <f>IF(VLOOKUP(A84,'Débit - Abfluss'!$A$4:$AD$275,17,FALSE)="","",VLOOKUP(A84,'Débit - Abfluss'!$A$4:$AD$275,17,FALSE))</f>
        <v>41-60%</v>
      </c>
      <c r="N84" s="340" t="str">
        <f>IF(VLOOKUP(A84,'Eclusée - Schwall-Sunk'!$A$2:$F$273,6,FALSE)="","",VLOOKUP(A84,'Eclusée - Schwall-Sunk'!$A$2:$F$273,6,FALSE))</f>
        <v>Non affecté / nicht betroffen</v>
      </c>
      <c r="O84" s="537"/>
      <c r="P84" s="538"/>
      <c r="Q84" s="284" t="str">
        <f>IF(VLOOKUP(A84,'Revitalisation-Revitalisierung'!$A$4:$Z$275,13,FALSE)="","",VLOOKUP(A84,'Revitalisation-Revitalisierung'!$A$4:$Z$275,13,FALSE))</f>
        <v>Très nécessaire, facile / unbedingt nötig, einfach</v>
      </c>
      <c r="R84" s="541" t="str">
        <f>IF(VLOOKUP(A84,'Revitalisation-Revitalisierung'!$A$4:$Z$275,14,FALSE)="","",VLOOKUP(A84,'Revitalisation-Revitalisierung'!$A$4:$Z$275,14,FALSE))</f>
        <v>b</v>
      </c>
      <c r="S84" s="542" t="str">
        <f>IF(VLOOKUP(A84,'Revitalisation-Revitalisierung'!$A$4:$Z$275,19,FALSE)="","",VLOOKUP(A84,'Revitalisation-Revitalisierung'!$A$4:$Z$275,19,FALSE))</f>
        <v>Non nécessaire / nicht nötig</v>
      </c>
      <c r="T84" s="541" t="str">
        <f>IF(VLOOKUP(A84,'Revitalisation-Revitalisierung'!$A$4:$Z$275,20,FALSE)="","",VLOOKUP(A84,'Revitalisation-Revitalisierung'!$A$4:$Z$275,20,FALSE))</f>
        <v>c</v>
      </c>
      <c r="U84" s="542" t="str">
        <f>IF(VLOOKUP(A84,'Revitalisation-Revitalisierung'!$A$4:$Z$275,25,FALSE)="","",VLOOKUP(A84,'Revitalisation-Revitalisierung'!$A$4:$Z$275,25,FALSE))</f>
        <v>Très nécessaire, difficile / unbedingt nötig, schwierig</v>
      </c>
      <c r="V84" s="406" t="str">
        <f>IF(VLOOKUP(A84,'Revitalisation-Revitalisierung'!$A$4:$Z$275,26,FALSE)="","",VLOOKUP(A84,'Revitalisation-Revitalisierung'!$A$4:$Z$275,26,FALSE))</f>
        <v>e</v>
      </c>
      <c r="Y84" s="529" t="str">
        <f t="shared" si="2"/>
        <v>51-80%</v>
      </c>
      <c r="Z84" s="568" t="str">
        <f t="shared" si="3"/>
        <v>d</v>
      </c>
      <c r="AA84" s="327" t="str">
        <f t="shared" si="6"/>
        <v>41-60%</v>
      </c>
      <c r="AB84" s="327" t="str">
        <f t="shared" si="7"/>
        <v>Non affecté / nicht betroffen</v>
      </c>
      <c r="AC84" s="276" t="str">
        <f t="shared" si="4"/>
        <v>Très nécessaire, difficile / unbedingt nötig, schwierig</v>
      </c>
      <c r="AD84" s="570" t="str">
        <f t="shared" si="5"/>
        <v>e</v>
      </c>
      <c r="AE84">
        <v>4</v>
      </c>
      <c r="AF84">
        <v>1</v>
      </c>
    </row>
    <row r="85" spans="1:33" ht="16.5" customHeight="1" x14ac:dyDescent="0.25">
      <c r="A85" s="926">
        <v>71</v>
      </c>
      <c r="B85" s="400" t="s">
        <v>122</v>
      </c>
      <c r="C85" s="400" t="s">
        <v>123</v>
      </c>
      <c r="D85" s="401" t="s">
        <v>92</v>
      </c>
      <c r="E85" s="522" t="str">
        <f>IF(VLOOKUP(A85,'Charriage - Geschiebehaushalt'!$A$4:$AC$275,17,FALSE)="","",VLOOKUP(A85,'Charriage - Geschiebehaushalt'!$A$4:$AC$275,17,FALSE))</f>
        <v>51-80%</v>
      </c>
      <c r="F85" s="523" t="str">
        <f>IF(VLOOKUP(A85,'Charriage - Geschiebehaushalt'!$A$4:$AC$275,18,FALSE)="","",VLOOKUP(A85,'Charriage - Geschiebehaushalt'!$A$4:$AC$275,18,FALSE))</f>
        <v>a</v>
      </c>
      <c r="G85" s="524" t="str">
        <f>IF(VLOOKUP(A85,'Charriage - Geschiebehaushalt'!$A$4:$AC$275,22,FALSE)="","",VLOOKUP(A85,'Charriage - Geschiebehaushalt'!$A$4:$AC$275,22,FALSE))</f>
        <v>51-80%</v>
      </c>
      <c r="H85" s="523" t="str">
        <f>IF(VLOOKUP(A85,'Charriage - Geschiebehaushalt'!$A$4:$AC$275,23,FALSE)="","",VLOOKUP(A85,'Charriage - Geschiebehaushalt'!$A$4:$AC$275,23,FALSE))</f>
        <v>d</v>
      </c>
      <c r="I85" s="524" t="str">
        <f>IF(VLOOKUP(A85,'Charriage - Geschiebehaushalt'!$A$4:$AC$275,28,FALSE)="","",VLOOKUP(A85,'Charriage - Geschiebehaushalt'!$A$4:$AC$275,28,FALSE))</f>
        <v>51-80%</v>
      </c>
      <c r="J85" s="403" t="str">
        <f>IF(VLOOKUP(A85,'Charriage - Geschiebehaushalt'!$A$4:$AC$275,29,FALSE)="","",VLOOKUP(A85,'Charriage - Geschiebehaushalt'!$A$4:$AC$275,29,FALSE))</f>
        <v>d</v>
      </c>
      <c r="K85" s="533" t="str">
        <f>IF(VLOOKUP(A85,'Débit - Abfluss'!$A$4:$AD$275,8,FALSE)="","",VLOOKUP(A85,'Débit - Abfluss'!$A$4:$AD$275,8,FALSE))</f>
        <v>41-60%</v>
      </c>
      <c r="L85" s="468" t="str">
        <f>IF(VLOOKUP(A85,'Débit - Abfluss'!$A$4:$AD$275,10,FALSE)="","",VLOOKUP(A85,'Débit - Abfluss'!$A$4:$AD$275,10,FALSE))</f>
        <v>41-60%</v>
      </c>
      <c r="M85" s="333" t="str">
        <f>IF(VLOOKUP(A85,'Débit - Abfluss'!$A$4:$AD$275,17,FALSE)="","",VLOOKUP(A85,'Débit - Abfluss'!$A$4:$AD$275,17,FALSE))</f>
        <v>41-60%</v>
      </c>
      <c r="N85" s="340" t="str">
        <f>IF(VLOOKUP(A85,'Eclusée - Schwall-Sunk'!$A$2:$F$273,6,FALSE)="","",VLOOKUP(A85,'Eclusée - Schwall-Sunk'!$A$2:$F$273,6,FALSE))</f>
        <v>Non affecté / nicht betroffen</v>
      </c>
      <c r="O85" s="537"/>
      <c r="P85" s="538"/>
      <c r="Q85" s="284" t="str">
        <f>IF(VLOOKUP(A85,'Revitalisation-Revitalisierung'!$A$4:$Z$275,13,FALSE)="","",VLOOKUP(A85,'Revitalisation-Revitalisierung'!$A$4:$Z$275,13,FALSE))</f>
        <v>Non nécessaire / nicht nötig</v>
      </c>
      <c r="R85" s="541" t="str">
        <f>IF(VLOOKUP(A85,'Revitalisation-Revitalisierung'!$A$4:$Z$275,14,FALSE)="","",VLOOKUP(A85,'Revitalisation-Revitalisierung'!$A$4:$Z$275,14,FALSE))</f>
        <v>b</v>
      </c>
      <c r="S85" s="542" t="str">
        <f>IF(VLOOKUP(A85,'Revitalisation-Revitalisierung'!$A$4:$Z$275,19,FALSE)="","",VLOOKUP(A85,'Revitalisation-Revitalisierung'!$A$4:$Z$275,19,FALSE))</f>
        <v>Non nécessaire / nicht nötig</v>
      </c>
      <c r="T85" s="541" t="str">
        <f>IF(VLOOKUP(A85,'Revitalisation-Revitalisierung'!$A$4:$Z$275,20,FALSE)="","",VLOOKUP(A85,'Revitalisation-Revitalisierung'!$A$4:$Z$275,20,FALSE))</f>
        <v>d</v>
      </c>
      <c r="U85" s="542" t="str">
        <f>IF(VLOOKUP(A85,'Revitalisation-Revitalisierung'!$A$4:$Z$275,25,FALSE)="","",VLOOKUP(A85,'Revitalisation-Revitalisierung'!$A$4:$Z$275,25,FALSE))</f>
        <v>Non nécessaire / nicht nötig</v>
      </c>
      <c r="V85" s="406" t="str">
        <f>IF(VLOOKUP(A85,'Revitalisation-Revitalisierung'!$A$4:$Z$275,26,FALSE)="","",VLOOKUP(A85,'Revitalisation-Revitalisierung'!$A$4:$Z$275,26,FALSE))</f>
        <v>d</v>
      </c>
      <c r="Y85" s="529" t="str">
        <f t="shared" si="2"/>
        <v>51-80%</v>
      </c>
      <c r="Z85" s="568" t="str">
        <f t="shared" si="3"/>
        <v>d</v>
      </c>
      <c r="AA85" s="327" t="str">
        <f t="shared" si="6"/>
        <v>41-60%</v>
      </c>
      <c r="AB85" s="327" t="str">
        <f t="shared" si="7"/>
        <v>Non affecté / nicht betroffen</v>
      </c>
      <c r="AC85" s="276" t="str">
        <f t="shared" si="4"/>
        <v>Non nécessaire / nicht nötig</v>
      </c>
      <c r="AD85" s="570" t="str">
        <f t="shared" si="5"/>
        <v>d</v>
      </c>
      <c r="AE85">
        <v>3</v>
      </c>
      <c r="AF85">
        <v>1</v>
      </c>
    </row>
    <row r="86" spans="1:33" ht="16.5" customHeight="1" x14ac:dyDescent="0.25">
      <c r="A86" s="926">
        <v>72</v>
      </c>
      <c r="B86" s="400" t="s">
        <v>124</v>
      </c>
      <c r="C86" s="400" t="s">
        <v>125</v>
      </c>
      <c r="D86" s="401" t="s">
        <v>92</v>
      </c>
      <c r="E86" s="522" t="str">
        <f>IF(VLOOKUP(A86,'Charriage - Geschiebehaushalt'!$A$4:$AC$275,17,FALSE)="","",VLOOKUP(A86,'Charriage - Geschiebehaushalt'!$A$4:$AC$275,17,FALSE))</f>
        <v>81 -100%</v>
      </c>
      <c r="F86" s="523" t="str">
        <f>IF(VLOOKUP(A86,'Charriage - Geschiebehaushalt'!$A$4:$AC$275,18,FALSE)="","",VLOOKUP(A86,'Charriage - Geschiebehaushalt'!$A$4:$AC$275,18,FALSE))</f>
        <v>a</v>
      </c>
      <c r="G86" s="524" t="str">
        <f>IF(VLOOKUP(A86,'Charriage - Geschiebehaushalt'!$A$4:$AC$275,22,FALSE)="","",VLOOKUP(A86,'Charriage - Geschiebehaushalt'!$A$4:$AC$275,22,FALSE))</f>
        <v>21-50%</v>
      </c>
      <c r="H86" s="523" t="str">
        <f>IF(VLOOKUP(A86,'Charriage - Geschiebehaushalt'!$A$4:$AC$275,23,FALSE)="","",VLOOKUP(A86,'Charriage - Geschiebehaushalt'!$A$4:$AC$275,23,FALSE))</f>
        <v>c</v>
      </c>
      <c r="I86" s="524" t="str">
        <f>IF(VLOOKUP(A86,'Charriage - Geschiebehaushalt'!$A$4:$AC$275,28,FALSE)="","",VLOOKUP(A86,'Charriage - Geschiebehaushalt'!$A$4:$AC$275,28,FALSE))</f>
        <v>21-50%</v>
      </c>
      <c r="J86" s="403" t="str">
        <f>IF(VLOOKUP(A86,'Charriage - Geschiebehaushalt'!$A$4:$AC$275,29,FALSE)="","",VLOOKUP(A86,'Charriage - Geschiebehaushalt'!$A$4:$AC$275,29,FALSE))</f>
        <v>c</v>
      </c>
      <c r="K86" s="533" t="str">
        <f>IF(VLOOKUP(A86,'Débit - Abfluss'!$A$4:$AD$275,8,FALSE)="","",VLOOKUP(A86,'Débit - Abfluss'!$A$4:$AD$275,8,FALSE))</f>
        <v>100%</v>
      </c>
      <c r="L86" s="468" t="str">
        <f>IF(VLOOKUP(A86,'Débit - Abfluss'!$A$4:$AD$275,10,FALSE)="","",VLOOKUP(A86,'Débit - Abfluss'!$A$4:$AD$275,10,FALSE))</f>
        <v>100%</v>
      </c>
      <c r="M86" s="333" t="str">
        <f>IF(VLOOKUP(A86,'Débit - Abfluss'!$A$4:$AD$275,17,FALSE)="","",VLOOKUP(A86,'Débit - Abfluss'!$A$4:$AD$275,17,FALSE))</f>
        <v>100%</v>
      </c>
      <c r="N86" s="340" t="str">
        <f>IF(VLOOKUP(A86,'Eclusée - Schwall-Sunk'!$A$2:$F$273,6,FALSE)="","",VLOOKUP(A86,'Eclusée - Schwall-Sunk'!$A$2:$F$273,6,FALSE))</f>
        <v>Non affecté / nicht betroffen</v>
      </c>
      <c r="O86" s="537"/>
      <c r="P86" s="538"/>
      <c r="Q86" s="284" t="str">
        <f>IF(VLOOKUP(A86,'Revitalisation-Revitalisierung'!$A$4:$Z$275,13,FALSE)="","",VLOOKUP(A86,'Revitalisation-Revitalisierung'!$A$4:$Z$275,13,FALSE))</f>
        <v>Très nécessaire, facile / unbedingt nötig, einfach</v>
      </c>
      <c r="R86" s="541" t="str">
        <f>IF(VLOOKUP(A86,'Revitalisation-Revitalisierung'!$A$4:$Z$275,14,FALSE)="","",VLOOKUP(A86,'Revitalisation-Revitalisierung'!$A$4:$Z$275,14,FALSE))</f>
        <v>b</v>
      </c>
      <c r="S86" s="542" t="str">
        <f>IF(VLOOKUP(A86,'Revitalisation-Revitalisierung'!$A$4:$Z$275,19,FALSE)="","",VLOOKUP(A86,'Revitalisation-Revitalisierung'!$A$4:$Z$275,19,FALSE))</f>
        <v>Très nécessaire, facile / unbedingt nötig, einfach</v>
      </c>
      <c r="T86" s="541" t="str">
        <f>IF(VLOOKUP(A86,'Revitalisation-Revitalisierung'!$A$4:$Z$275,20,FALSE)="","",VLOOKUP(A86,'Revitalisation-Revitalisierung'!$A$4:$Z$275,20,FALSE))</f>
        <v>d</v>
      </c>
      <c r="U86" s="542" t="str">
        <f>IF(VLOOKUP(A86,'Revitalisation-Revitalisierung'!$A$4:$Z$275,25,FALSE)="","",VLOOKUP(A86,'Revitalisation-Revitalisierung'!$A$4:$Z$275,25,FALSE))</f>
        <v>Très nécessaire, facile / unbedingt nötig, einfach</v>
      </c>
      <c r="V86" s="406" t="str">
        <f>IF(VLOOKUP(A86,'Revitalisation-Revitalisierung'!$A$4:$Z$275,26,FALSE)="","",VLOOKUP(A86,'Revitalisation-Revitalisierung'!$A$4:$Z$275,26,FALSE))</f>
        <v>d</v>
      </c>
      <c r="Y86" s="529" t="str">
        <f t="shared" si="2"/>
        <v>21-50%</v>
      </c>
      <c r="Z86" s="568" t="str">
        <f t="shared" si="3"/>
        <v>c</v>
      </c>
      <c r="AA86" s="327" t="str">
        <f t="shared" si="6"/>
        <v>100%</v>
      </c>
      <c r="AB86" s="327" t="str">
        <f t="shared" si="7"/>
        <v>Non affecté / nicht betroffen</v>
      </c>
      <c r="AC86" s="276" t="str">
        <f t="shared" si="4"/>
        <v>Très nécessaire, facile / unbedingt nötig, einfach</v>
      </c>
      <c r="AD86" s="570" t="str">
        <f t="shared" si="5"/>
        <v>d</v>
      </c>
      <c r="AE86">
        <v>2</v>
      </c>
      <c r="AF86">
        <v>1</v>
      </c>
    </row>
    <row r="87" spans="1:33" ht="16.5" customHeight="1" x14ac:dyDescent="0.25">
      <c r="A87" s="926">
        <v>74</v>
      </c>
      <c r="B87" s="400" t="s">
        <v>128</v>
      </c>
      <c r="C87" s="400" t="s">
        <v>125</v>
      </c>
      <c r="D87" s="401" t="s">
        <v>92</v>
      </c>
      <c r="E87" s="522" t="str">
        <f>IF(VLOOKUP(A87,'Charriage - Geschiebehaushalt'!$A$4:$AC$275,17,FALSE)="","",VLOOKUP(A87,'Charriage - Geschiebehaushalt'!$A$4:$AC$275,17,FALSE))</f>
        <v>0-20%</v>
      </c>
      <c r="F87" s="523" t="str">
        <f>IF(VLOOKUP(A87,'Charriage - Geschiebehaushalt'!$A$4:$AC$275,18,FALSE)="","",VLOOKUP(A87,'Charriage - Geschiebehaushalt'!$A$4:$AC$275,18,FALSE))</f>
        <v>a</v>
      </c>
      <c r="G87" s="524" t="str">
        <f>IF(VLOOKUP(A87,'Charriage - Geschiebehaushalt'!$A$4:$AC$275,22,FALSE)="","",VLOOKUP(A87,'Charriage - Geschiebehaushalt'!$A$4:$AC$275,22,FALSE))</f>
        <v>0-20%</v>
      </c>
      <c r="H87" s="523" t="str">
        <f>IF(VLOOKUP(A87,'Charriage - Geschiebehaushalt'!$A$4:$AC$275,23,FALSE)="","",VLOOKUP(A87,'Charriage - Geschiebehaushalt'!$A$4:$AC$275,23,FALSE))</f>
        <v>a</v>
      </c>
      <c r="I87" s="524" t="str">
        <f>IF(VLOOKUP(A87,'Charriage - Geschiebehaushalt'!$A$4:$AC$275,28,FALSE)="","",VLOOKUP(A87,'Charriage - Geschiebehaushalt'!$A$4:$AC$275,28,FALSE))</f>
        <v>0-20%</v>
      </c>
      <c r="J87" s="403" t="str">
        <f>IF(VLOOKUP(A87,'Charriage - Geschiebehaushalt'!$A$4:$AC$275,29,FALSE)="","",VLOOKUP(A87,'Charriage - Geschiebehaushalt'!$A$4:$AC$275,29,FALSE))</f>
        <v>a</v>
      </c>
      <c r="K87" s="533" t="str">
        <f>IF(VLOOKUP(A87,'Débit - Abfluss'!$A$4:$AD$275,8,FALSE)="","",VLOOKUP(A87,'Débit - Abfluss'!$A$4:$AD$275,8,FALSE))</f>
        <v>100%</v>
      </c>
      <c r="L87" s="468" t="str">
        <f>IF(VLOOKUP(A87,'Débit - Abfluss'!$A$4:$AD$275,10,FALSE)="","",VLOOKUP(A87,'Débit - Abfluss'!$A$4:$AD$275,10,FALSE))</f>
        <v>100%</v>
      </c>
      <c r="M87" s="333" t="str">
        <f>IF(VLOOKUP(A87,'Débit - Abfluss'!$A$4:$AD$275,17,FALSE)="","",VLOOKUP(A87,'Débit - Abfluss'!$A$4:$AD$275,17,FALSE))</f>
        <v>100%</v>
      </c>
      <c r="N87" s="340" t="str">
        <f>IF(VLOOKUP(A87,'Eclusée - Schwall-Sunk'!$A$2:$F$273,6,FALSE)="","",VLOOKUP(A87,'Eclusée - Schwall-Sunk'!$A$2:$F$273,6,FALSE))</f>
        <v>Non affecté / nicht betroffen</v>
      </c>
      <c r="O87" s="537"/>
      <c r="P87" s="538"/>
      <c r="Q87" s="284" t="str">
        <f>IF(VLOOKUP(A87,'Revitalisation-Revitalisierung'!$A$4:$Z$275,13,FALSE)="","",VLOOKUP(A87,'Revitalisation-Revitalisierung'!$A$4:$Z$275,13,FALSE))</f>
        <v>Non nécessaire / nicht nötig</v>
      </c>
      <c r="R87" s="541" t="str">
        <f>IF(VLOOKUP(A87,'Revitalisation-Revitalisierung'!$A$4:$Z$275,14,FALSE)="","",VLOOKUP(A87,'Revitalisation-Revitalisierung'!$A$4:$Z$275,14,FALSE))</f>
        <v>b</v>
      </c>
      <c r="S87" s="542" t="str">
        <f>IF(VLOOKUP(A87,'Revitalisation-Revitalisierung'!$A$4:$Z$275,19,FALSE)="","",VLOOKUP(A87,'Revitalisation-Revitalisierung'!$A$4:$Z$275,19,FALSE))</f>
        <v>Non nécessaire / nicht nötig</v>
      </c>
      <c r="T87" s="541" t="str">
        <f>IF(VLOOKUP(A87,'Revitalisation-Revitalisierung'!$A$4:$Z$275,20,FALSE)="","",VLOOKUP(A87,'Revitalisation-Revitalisierung'!$A$4:$Z$275,20,FALSE))</f>
        <v>d</v>
      </c>
      <c r="U87" s="542" t="str">
        <f>IF(VLOOKUP(A87,'Revitalisation-Revitalisierung'!$A$4:$Z$275,25,FALSE)="","",VLOOKUP(A87,'Revitalisation-Revitalisierung'!$A$4:$Z$275,25,FALSE))</f>
        <v>Non nécessaire / nicht nötig</v>
      </c>
      <c r="V87" s="406" t="str">
        <f>IF(VLOOKUP(A87,'Revitalisation-Revitalisierung'!$A$4:$Z$275,26,FALSE)="","",VLOOKUP(A87,'Revitalisation-Revitalisierung'!$A$4:$Z$275,26,FALSE))</f>
        <v>d</v>
      </c>
      <c r="Y87" s="529" t="str">
        <f t="shared" si="2"/>
        <v>0-20%</v>
      </c>
      <c r="Z87" s="568" t="str">
        <f t="shared" si="3"/>
        <v>a</v>
      </c>
      <c r="AA87" s="327" t="str">
        <f t="shared" si="6"/>
        <v>100%</v>
      </c>
      <c r="AB87" s="327" t="str">
        <f t="shared" si="7"/>
        <v>Non affecté / nicht betroffen</v>
      </c>
      <c r="AC87" s="276" t="str">
        <f t="shared" si="4"/>
        <v>Non nécessaire / nicht nötig</v>
      </c>
      <c r="AD87" s="570" t="str">
        <f t="shared" si="5"/>
        <v>d</v>
      </c>
      <c r="AE87">
        <v>1</v>
      </c>
      <c r="AF87">
        <v>1</v>
      </c>
      <c r="AG87">
        <v>1</v>
      </c>
    </row>
    <row r="88" spans="1:33" ht="16.5" customHeight="1" x14ac:dyDescent="0.25">
      <c r="A88" s="926">
        <v>75</v>
      </c>
      <c r="B88" s="400" t="s">
        <v>129</v>
      </c>
      <c r="C88" s="400" t="s">
        <v>130</v>
      </c>
      <c r="D88" s="401" t="s">
        <v>92</v>
      </c>
      <c r="E88" s="522" t="str">
        <f>IF(VLOOKUP(A88,'Charriage - Geschiebehaushalt'!$A$4:$AC$275,17,FALSE)="","",VLOOKUP(A88,'Charriage - Geschiebehaushalt'!$A$4:$AC$275,17,FALSE))</f>
        <v>21-50%</v>
      </c>
      <c r="F88" s="523" t="str">
        <f>IF(VLOOKUP(A88,'Charriage - Geschiebehaushalt'!$A$4:$AC$275,18,FALSE)="","",VLOOKUP(A88,'Charriage - Geschiebehaushalt'!$A$4:$AC$275,18,FALSE))</f>
        <v>a</v>
      </c>
      <c r="G88" s="524" t="str">
        <f>IF(VLOOKUP(A88,'Charriage - Geschiebehaushalt'!$A$4:$AC$275,22,FALSE)="","",VLOOKUP(A88,'Charriage - Geschiebehaushalt'!$A$4:$AC$275,22,FALSE))</f>
        <v>21-50%</v>
      </c>
      <c r="H88" s="523" t="str">
        <f>IF(VLOOKUP(A88,'Charriage - Geschiebehaushalt'!$A$4:$AC$275,23,FALSE)="","",VLOOKUP(A88,'Charriage - Geschiebehaushalt'!$A$4:$AC$275,23,FALSE))</f>
        <v>d</v>
      </c>
      <c r="I88" s="524" t="str">
        <f>IF(VLOOKUP(A88,'Charriage - Geschiebehaushalt'!$A$4:$AC$275,28,FALSE)="","",VLOOKUP(A88,'Charriage - Geschiebehaushalt'!$A$4:$AC$275,28,FALSE))</f>
        <v>21-50%</v>
      </c>
      <c r="J88" s="403" t="str">
        <f>IF(VLOOKUP(A88,'Charriage - Geschiebehaushalt'!$A$4:$AC$275,29,FALSE)="","",VLOOKUP(A88,'Charriage - Geschiebehaushalt'!$A$4:$AC$275,29,FALSE))</f>
        <v>d</v>
      </c>
      <c r="K88" s="533" t="str">
        <f>IF(VLOOKUP(A88,'Débit - Abfluss'!$A$4:$AD$275,8,FALSE)="","",VLOOKUP(A88,'Débit - Abfluss'!$A$4:$AD$275,8,FALSE))</f>
        <v>0-20%</v>
      </c>
      <c r="L88" s="468" t="str">
        <f>IF(VLOOKUP(A88,'Débit - Abfluss'!$A$4:$AD$275,10,FALSE)="","",VLOOKUP(A88,'Débit - Abfluss'!$A$4:$AD$275,10,FALSE))</f>
        <v>0-20%</v>
      </c>
      <c r="M88" s="333" t="str">
        <f>IF(VLOOKUP(A88,'Débit - Abfluss'!$A$4:$AD$275,17,FALSE)="","",VLOOKUP(A88,'Débit - Abfluss'!$A$4:$AD$275,17,FALSE))</f>
        <v>0-20%</v>
      </c>
      <c r="N88" s="340" t="str">
        <f>IF(VLOOKUP(A88,'Eclusée - Schwall-Sunk'!$A$2:$F$273,6,FALSE)="","",VLOOKUP(A88,'Eclusée - Schwall-Sunk'!$A$2:$F$273,6,FALSE))</f>
        <v>Non affecté / nicht betroffen</v>
      </c>
      <c r="O88" s="537"/>
      <c r="P88" s="538"/>
      <c r="Q88" s="284" t="str">
        <f>IF(VLOOKUP(A88,'Revitalisation-Revitalisierung'!$A$4:$Z$275,13,FALSE)="","",VLOOKUP(A88,'Revitalisation-Revitalisierung'!$A$4:$Z$275,13,FALSE))</f>
        <v>Très nécessaire, facile / unbedingt nötig, einfach</v>
      </c>
      <c r="R88" s="541" t="str">
        <f>IF(VLOOKUP(A88,'Revitalisation-Revitalisierung'!$A$4:$Z$275,14,FALSE)="","",VLOOKUP(A88,'Revitalisation-Revitalisierung'!$A$4:$Z$275,14,FALSE))</f>
        <v>a</v>
      </c>
      <c r="S88" s="542" t="str">
        <f>IF(VLOOKUP(A88,'Revitalisation-Revitalisierung'!$A$4:$Z$275,19,FALSE)="","",VLOOKUP(A88,'Revitalisation-Revitalisierung'!$A$4:$Z$275,19,FALSE))</f>
        <v>Très nécessaire, facile / unbedingt nötig, einfach</v>
      </c>
      <c r="T88" s="541" t="str">
        <f>IF(VLOOKUP(A88,'Revitalisation-Revitalisierung'!$A$4:$Z$275,20,FALSE)="","",VLOOKUP(A88,'Revitalisation-Revitalisierung'!$A$4:$Z$275,20,FALSE))</f>
        <v>d</v>
      </c>
      <c r="U88" s="542" t="str">
        <f>IF(VLOOKUP(A88,'Revitalisation-Revitalisierung'!$A$4:$Z$275,25,FALSE)="","",VLOOKUP(A88,'Revitalisation-Revitalisierung'!$A$4:$Z$275,25,FALSE))</f>
        <v>Très nécessaire, facile / unbedingt nötig, einfach</v>
      </c>
      <c r="V88" s="406" t="str">
        <f>IF(VLOOKUP(A88,'Revitalisation-Revitalisierung'!$A$4:$Z$275,26,FALSE)="","",VLOOKUP(A88,'Revitalisation-Revitalisierung'!$A$4:$Z$275,26,FALSE))</f>
        <v>d</v>
      </c>
      <c r="Y88" s="529" t="str">
        <f t="shared" si="2"/>
        <v>21-50%</v>
      </c>
      <c r="Z88" s="568" t="str">
        <f t="shared" si="3"/>
        <v>d</v>
      </c>
      <c r="AA88" s="327" t="str">
        <f t="shared" si="6"/>
        <v>0-20%</v>
      </c>
      <c r="AB88" s="327" t="str">
        <f t="shared" si="7"/>
        <v>Non affecté / nicht betroffen</v>
      </c>
      <c r="AC88" s="276" t="str">
        <f t="shared" si="4"/>
        <v>Très nécessaire, facile / unbedingt nötig, einfach</v>
      </c>
      <c r="AD88" s="570" t="str">
        <f t="shared" si="5"/>
        <v>d</v>
      </c>
      <c r="AE88">
        <v>4</v>
      </c>
      <c r="AF88">
        <v>1</v>
      </c>
    </row>
    <row r="89" spans="1:33" ht="16.5" customHeight="1" x14ac:dyDescent="0.25">
      <c r="A89" s="926">
        <v>76</v>
      </c>
      <c r="B89" s="400" t="s">
        <v>131</v>
      </c>
      <c r="C89" s="400" t="s">
        <v>130</v>
      </c>
      <c r="D89" s="401" t="s">
        <v>92</v>
      </c>
      <c r="E89" s="522" t="str">
        <f>IF(VLOOKUP(A89,'Charriage - Geschiebehaushalt'!$A$4:$AC$275,17,FALSE)="","",VLOOKUP(A89,'Charriage - Geschiebehaushalt'!$A$4:$AC$275,17,FALSE))</f>
        <v>21-50%</v>
      </c>
      <c r="F89" s="523" t="str">
        <f>IF(VLOOKUP(A89,'Charriage - Geschiebehaushalt'!$A$4:$AC$275,18,FALSE)="","",VLOOKUP(A89,'Charriage - Geschiebehaushalt'!$A$4:$AC$275,18,FALSE))</f>
        <v>a</v>
      </c>
      <c r="G89" s="524" t="str">
        <f>IF(VLOOKUP(A89,'Charriage - Geschiebehaushalt'!$A$4:$AC$275,22,FALSE)="","",VLOOKUP(A89,'Charriage - Geschiebehaushalt'!$A$4:$AC$275,22,FALSE))</f>
        <v>21-50%</v>
      </c>
      <c r="H89" s="523" t="str">
        <f>IF(VLOOKUP(A89,'Charriage - Geschiebehaushalt'!$A$4:$AC$275,23,FALSE)="","",VLOOKUP(A89,'Charriage - Geschiebehaushalt'!$A$4:$AC$275,23,FALSE))</f>
        <v>d</v>
      </c>
      <c r="I89" s="524" t="str">
        <f>IF(VLOOKUP(A89,'Charriage - Geschiebehaushalt'!$A$4:$AC$275,28,FALSE)="","",VLOOKUP(A89,'Charriage - Geschiebehaushalt'!$A$4:$AC$275,28,FALSE))</f>
        <v>21-50%</v>
      </c>
      <c r="J89" s="403" t="str">
        <f>IF(VLOOKUP(A89,'Charriage - Geschiebehaushalt'!$A$4:$AC$275,29,FALSE)="","",VLOOKUP(A89,'Charriage - Geschiebehaushalt'!$A$4:$AC$275,29,FALSE))</f>
        <v>d</v>
      </c>
      <c r="K89" s="533" t="str">
        <f>IF(VLOOKUP(A89,'Débit - Abfluss'!$A$4:$AD$275,8,FALSE)="","",VLOOKUP(A89,'Débit - Abfluss'!$A$4:$AD$275,8,FALSE))</f>
        <v>0-20%</v>
      </c>
      <c r="L89" s="468" t="str">
        <f>IF(VLOOKUP(A89,'Débit - Abfluss'!$A$4:$AD$275,10,FALSE)="","",VLOOKUP(A89,'Débit - Abfluss'!$A$4:$AD$275,10,FALSE))</f>
        <v>0-20%</v>
      </c>
      <c r="M89" s="333" t="str">
        <f>IF(VLOOKUP(A89,'Débit - Abfluss'!$A$4:$AD$275,17,FALSE)="","",VLOOKUP(A89,'Débit - Abfluss'!$A$4:$AD$275,17,FALSE))</f>
        <v>0-20%</v>
      </c>
      <c r="N89" s="340" t="str">
        <f>IF(VLOOKUP(A89,'Eclusée - Schwall-Sunk'!$A$2:$F$273,6,FALSE)="","",VLOOKUP(A89,'Eclusée - Schwall-Sunk'!$A$2:$F$273,6,FALSE))</f>
        <v>Non affecté / nicht betroffen</v>
      </c>
      <c r="O89" s="537"/>
      <c r="P89" s="538"/>
      <c r="Q89" s="284" t="str">
        <f>IF(VLOOKUP(A89,'Revitalisation-Revitalisierung'!$A$4:$Z$275,13,FALSE)="","",VLOOKUP(A89,'Revitalisation-Revitalisierung'!$A$4:$Z$275,13,FALSE))</f>
        <v>Très nécessaire, facile / unbedingt nötig, einfach</v>
      </c>
      <c r="R89" s="541" t="str">
        <f>IF(VLOOKUP(A89,'Revitalisation-Revitalisierung'!$A$4:$Z$275,14,FALSE)="","",VLOOKUP(A89,'Revitalisation-Revitalisierung'!$A$4:$Z$275,14,FALSE))</f>
        <v>a</v>
      </c>
      <c r="S89" s="542" t="str">
        <f>IF(VLOOKUP(A89,'Revitalisation-Revitalisierung'!$A$4:$Z$275,19,FALSE)="","",VLOOKUP(A89,'Revitalisation-Revitalisierung'!$A$4:$Z$275,19,FALSE))</f>
        <v>Très nécessaire, facile / unbedingt nötig, einfach</v>
      </c>
      <c r="T89" s="541" t="str">
        <f>IF(VLOOKUP(A89,'Revitalisation-Revitalisierung'!$A$4:$Z$275,20,FALSE)="","",VLOOKUP(A89,'Revitalisation-Revitalisierung'!$A$4:$Z$275,20,FALSE))</f>
        <v>d</v>
      </c>
      <c r="U89" s="542" t="str">
        <f>IF(VLOOKUP(A89,'Revitalisation-Revitalisierung'!$A$4:$Z$275,25,FALSE)="","",VLOOKUP(A89,'Revitalisation-Revitalisierung'!$A$4:$Z$275,25,FALSE))</f>
        <v>Très nécessaire, facile / unbedingt nötig, einfach</v>
      </c>
      <c r="V89" s="406" t="str">
        <f>IF(VLOOKUP(A89,'Revitalisation-Revitalisierung'!$A$4:$Z$275,26,FALSE)="","",VLOOKUP(A89,'Revitalisation-Revitalisierung'!$A$4:$Z$275,26,FALSE))</f>
        <v>d</v>
      </c>
      <c r="Y89" s="529" t="str">
        <f t="shared" si="2"/>
        <v>21-50%</v>
      </c>
      <c r="Z89" s="568" t="str">
        <f t="shared" si="3"/>
        <v>d</v>
      </c>
      <c r="AA89" s="327" t="str">
        <f t="shared" si="6"/>
        <v>0-20%</v>
      </c>
      <c r="AB89" s="327" t="str">
        <f t="shared" si="7"/>
        <v>Non affecté / nicht betroffen</v>
      </c>
      <c r="AC89" s="276" t="str">
        <f t="shared" si="4"/>
        <v>Très nécessaire, facile / unbedingt nötig, einfach</v>
      </c>
      <c r="AD89" s="570" t="str">
        <f t="shared" si="5"/>
        <v>d</v>
      </c>
      <c r="AE89">
        <v>4</v>
      </c>
      <c r="AF89">
        <v>1</v>
      </c>
    </row>
    <row r="90" spans="1:33" ht="16.5" customHeight="1" x14ac:dyDescent="0.25">
      <c r="A90" s="926">
        <v>77</v>
      </c>
      <c r="B90" s="400" t="s">
        <v>133</v>
      </c>
      <c r="C90" s="400" t="s">
        <v>130</v>
      </c>
      <c r="D90" s="401" t="s">
        <v>92</v>
      </c>
      <c r="E90" s="522" t="str">
        <f>IF(VLOOKUP(A90,'Charriage - Geschiebehaushalt'!$A$4:$AC$275,17,FALSE)="","",VLOOKUP(A90,'Charriage - Geschiebehaushalt'!$A$4:$AC$275,17,FALSE))</f>
        <v>21-50%</v>
      </c>
      <c r="F90" s="523" t="str">
        <f>IF(VLOOKUP(A90,'Charriage - Geschiebehaushalt'!$A$4:$AC$275,18,FALSE)="","",VLOOKUP(A90,'Charriage - Geschiebehaushalt'!$A$4:$AC$275,18,FALSE))</f>
        <v>a</v>
      </c>
      <c r="G90" s="524" t="str">
        <f>IF(VLOOKUP(A90,'Charriage - Geschiebehaushalt'!$A$4:$AC$275,22,FALSE)="","",VLOOKUP(A90,'Charriage - Geschiebehaushalt'!$A$4:$AC$275,22,FALSE))</f>
        <v>21-50%</v>
      </c>
      <c r="H90" s="523" t="str">
        <f>IF(VLOOKUP(A90,'Charriage - Geschiebehaushalt'!$A$4:$AC$275,23,FALSE)="","",VLOOKUP(A90,'Charriage - Geschiebehaushalt'!$A$4:$AC$275,23,FALSE))</f>
        <v>d</v>
      </c>
      <c r="I90" s="524" t="str">
        <f>IF(VLOOKUP(A90,'Charriage - Geschiebehaushalt'!$A$4:$AC$275,28,FALSE)="","",VLOOKUP(A90,'Charriage - Geschiebehaushalt'!$A$4:$AC$275,28,FALSE))</f>
        <v>21-50%</v>
      </c>
      <c r="J90" s="403" t="str">
        <f>IF(VLOOKUP(A90,'Charriage - Geschiebehaushalt'!$A$4:$AC$275,29,FALSE)="","",VLOOKUP(A90,'Charriage - Geschiebehaushalt'!$A$4:$AC$275,29,FALSE))</f>
        <v>d</v>
      </c>
      <c r="K90" s="533" t="str">
        <f>IF(VLOOKUP(A90,'Débit - Abfluss'!$A$4:$AD$275,8,FALSE)="","",VLOOKUP(A90,'Débit - Abfluss'!$A$4:$AD$275,8,FALSE))</f>
        <v>100%</v>
      </c>
      <c r="L90" s="468" t="str">
        <f>IF(VLOOKUP(A90,'Débit - Abfluss'!$A$4:$AD$275,10,FALSE)="","",VLOOKUP(A90,'Débit - Abfluss'!$A$4:$AD$275,10,FALSE))</f>
        <v>100%</v>
      </c>
      <c r="M90" s="333" t="str">
        <f>IF(VLOOKUP(A90,'Débit - Abfluss'!$A$4:$AD$275,17,FALSE)="","",VLOOKUP(A90,'Débit - Abfluss'!$A$4:$AD$275,17,FALSE))</f>
        <v>100%</v>
      </c>
      <c r="N90" s="340" t="str">
        <f>IF(VLOOKUP(A90,'Eclusée - Schwall-Sunk'!$A$2:$F$273,6,FALSE)="","",VLOOKUP(A90,'Eclusée - Schwall-Sunk'!$A$2:$F$273,6,FALSE))</f>
        <v>Non affecté / nicht betroffen</v>
      </c>
      <c r="O90" s="537"/>
      <c r="P90" s="538"/>
      <c r="Q90" s="284" t="str">
        <f>IF(VLOOKUP(A90,'Revitalisation-Revitalisierung'!$A$4:$Z$275,13,FALSE)="","",VLOOKUP(A90,'Revitalisation-Revitalisierung'!$A$4:$Z$275,13,FALSE))</f>
        <v>Partiellement nécessaire, facile / teilweise nötig, einfach</v>
      </c>
      <c r="R90" s="541" t="str">
        <f>IF(VLOOKUP(A90,'Revitalisation-Revitalisierung'!$A$4:$Z$275,14,FALSE)="","",VLOOKUP(A90,'Revitalisation-Revitalisierung'!$A$4:$Z$275,14,FALSE))</f>
        <v>a</v>
      </c>
      <c r="S90" s="542" t="str">
        <f>IF(VLOOKUP(A90,'Revitalisation-Revitalisierung'!$A$4:$Z$275,19,FALSE)="","",VLOOKUP(A90,'Revitalisation-Revitalisierung'!$A$4:$Z$275,19,FALSE))</f>
        <v>Partiellement nécessaire, facile / teilweise nötig, einfach</v>
      </c>
      <c r="T90" s="541" t="str">
        <f>IF(VLOOKUP(A90,'Revitalisation-Revitalisierung'!$A$4:$Z$275,20,FALSE)="","",VLOOKUP(A90,'Revitalisation-Revitalisierung'!$A$4:$Z$275,20,FALSE))</f>
        <v>d</v>
      </c>
      <c r="U90" s="542" t="str">
        <f>IF(VLOOKUP(A90,'Revitalisation-Revitalisierung'!$A$4:$Z$275,25,FALSE)="","",VLOOKUP(A90,'Revitalisation-Revitalisierung'!$A$4:$Z$275,25,FALSE))</f>
        <v>Partiellement nécessaire, facile / teilweise nötig, einfach</v>
      </c>
      <c r="V90" s="406" t="str">
        <f>IF(VLOOKUP(A90,'Revitalisation-Revitalisierung'!$A$4:$Z$275,26,FALSE)="","",VLOOKUP(A90,'Revitalisation-Revitalisierung'!$A$4:$Z$275,26,FALSE))</f>
        <v>d</v>
      </c>
      <c r="Y90" s="529" t="str">
        <f t="shared" si="2"/>
        <v>21-50%</v>
      </c>
      <c r="Z90" s="568" t="str">
        <f t="shared" si="3"/>
        <v>d</v>
      </c>
      <c r="AA90" s="327" t="str">
        <f t="shared" si="6"/>
        <v>100%</v>
      </c>
      <c r="AB90" s="327" t="str">
        <f t="shared" si="7"/>
        <v>Non affecté / nicht betroffen</v>
      </c>
      <c r="AC90" s="276" t="str">
        <f t="shared" si="4"/>
        <v>Partiellement nécessaire, facile / teilweise nötig, einfach</v>
      </c>
      <c r="AD90" s="570" t="str">
        <f t="shared" si="5"/>
        <v>d</v>
      </c>
      <c r="AE90">
        <v>2</v>
      </c>
      <c r="AF90">
        <v>1</v>
      </c>
    </row>
    <row r="91" spans="1:33" ht="16.5" customHeight="1" x14ac:dyDescent="0.25">
      <c r="A91" s="926">
        <v>78</v>
      </c>
      <c r="B91" s="400" t="s">
        <v>134</v>
      </c>
      <c r="C91" s="400" t="s">
        <v>135</v>
      </c>
      <c r="D91" s="401" t="s">
        <v>92</v>
      </c>
      <c r="E91" s="522" t="str">
        <f>IF(VLOOKUP(A91,'Charriage - Geschiebehaushalt'!$A$4:$AC$275,17,FALSE)="","",VLOOKUP(A91,'Charriage - Geschiebehaushalt'!$A$4:$AC$275,17,FALSE))</f>
        <v>0-20%</v>
      </c>
      <c r="F91" s="523" t="str">
        <f>IF(VLOOKUP(A91,'Charriage - Geschiebehaushalt'!$A$4:$AC$275,18,FALSE)="","",VLOOKUP(A91,'Charriage - Geschiebehaushalt'!$A$4:$AC$275,18,FALSE))</f>
        <v>a</v>
      </c>
      <c r="G91" s="524" t="str">
        <f>IF(VLOOKUP(A91,'Charriage - Geschiebehaushalt'!$A$4:$AC$275,22,FALSE)="","",VLOOKUP(A91,'Charriage - Geschiebehaushalt'!$A$4:$AC$275,22,FALSE))</f>
        <v>21-50%</v>
      </c>
      <c r="H91" s="523" t="str">
        <f>IF(VLOOKUP(A91,'Charriage - Geschiebehaushalt'!$A$4:$AC$275,23,FALSE)="","",VLOOKUP(A91,'Charriage - Geschiebehaushalt'!$A$4:$AC$275,23,FALSE))</f>
        <v>c</v>
      </c>
      <c r="I91" s="524" t="str">
        <f>IF(VLOOKUP(A91,'Charriage - Geschiebehaushalt'!$A$4:$AC$275,28,FALSE)="","",VLOOKUP(A91,'Charriage - Geschiebehaushalt'!$A$4:$AC$275,28,FALSE))</f>
        <v>21-50%</v>
      </c>
      <c r="J91" s="403" t="str">
        <f>IF(VLOOKUP(A91,'Charriage - Geschiebehaushalt'!$A$4:$AC$275,29,FALSE)="","",VLOOKUP(A91,'Charriage - Geschiebehaushalt'!$A$4:$AC$275,29,FALSE))</f>
        <v>c</v>
      </c>
      <c r="K91" s="533" t="str">
        <f>IF(VLOOKUP(A91,'Débit - Abfluss'!$A$4:$AD$275,8,FALSE)="","",VLOOKUP(A91,'Débit - Abfluss'!$A$4:$AD$275,8,FALSE))</f>
        <v>100%</v>
      </c>
      <c r="L91" s="468" t="str">
        <f>IF(VLOOKUP(A91,'Débit - Abfluss'!$A$4:$AD$275,10,FALSE)="","",VLOOKUP(A91,'Débit - Abfluss'!$A$4:$AD$275,10,FALSE))</f>
        <v>100%</v>
      </c>
      <c r="M91" s="333" t="str">
        <f>IF(VLOOKUP(A91,'Débit - Abfluss'!$A$4:$AD$275,17,FALSE)="","",VLOOKUP(A91,'Débit - Abfluss'!$A$4:$AD$275,17,FALSE))</f>
        <v>100%</v>
      </c>
      <c r="N91" s="340" t="str">
        <f>IF(VLOOKUP(A91,'Eclusée - Schwall-Sunk'!$A$2:$F$273,6,FALSE)="","",VLOOKUP(A91,'Eclusée - Schwall-Sunk'!$A$2:$F$273,6,FALSE))</f>
        <v>Non affecté / nicht betroffen</v>
      </c>
      <c r="O91" s="537"/>
      <c r="P91" s="538"/>
      <c r="Q91" s="284" t="str">
        <f>IF(VLOOKUP(A91,'Revitalisation-Revitalisierung'!$A$4:$Z$275,13,FALSE)="","",VLOOKUP(A91,'Revitalisation-Revitalisierung'!$A$4:$Z$275,13,FALSE))</f>
        <v>Partiellement nécessaire, facile / teilweise nötig, einfach</v>
      </c>
      <c r="R91" s="541" t="str">
        <f>IF(VLOOKUP(A91,'Revitalisation-Revitalisierung'!$A$4:$Z$275,14,FALSE)="","",VLOOKUP(A91,'Revitalisation-Revitalisierung'!$A$4:$Z$275,14,FALSE))</f>
        <v>a</v>
      </c>
      <c r="S91" s="542" t="str">
        <f>IF(VLOOKUP(A91,'Revitalisation-Revitalisierung'!$A$4:$Z$275,19,FALSE)="","",VLOOKUP(A91,'Revitalisation-Revitalisierung'!$A$4:$Z$275,19,FALSE))</f>
        <v>Non nécessaire / nicht nötig</v>
      </c>
      <c r="T91" s="541" t="str">
        <f>IF(VLOOKUP(A91,'Revitalisation-Revitalisierung'!$A$4:$Z$275,20,FALSE)="","",VLOOKUP(A91,'Revitalisation-Revitalisierung'!$A$4:$Z$275,20,FALSE))</f>
        <v>c</v>
      </c>
      <c r="U91" s="542" t="str">
        <f>IF(VLOOKUP(A91,'Revitalisation-Revitalisierung'!$A$4:$Z$275,25,FALSE)="","",VLOOKUP(A91,'Revitalisation-Revitalisierung'!$A$4:$Z$275,25,FALSE))</f>
        <v>Non nécessaire / nicht nötig</v>
      </c>
      <c r="V91" s="406" t="str">
        <f>IF(VLOOKUP(A91,'Revitalisation-Revitalisierung'!$A$4:$Z$275,26,FALSE)="","",VLOOKUP(A91,'Revitalisation-Revitalisierung'!$A$4:$Z$275,26,FALSE))</f>
        <v>d</v>
      </c>
      <c r="Y91" s="529" t="str">
        <f t="shared" si="2"/>
        <v>21-50%</v>
      </c>
      <c r="Z91" s="568" t="str">
        <f t="shared" si="3"/>
        <v>c</v>
      </c>
      <c r="AA91" s="327" t="str">
        <f t="shared" si="6"/>
        <v>100%</v>
      </c>
      <c r="AB91" s="327" t="str">
        <f t="shared" si="7"/>
        <v>Non affecté / nicht betroffen</v>
      </c>
      <c r="AC91" s="276" t="str">
        <f t="shared" si="4"/>
        <v>Non nécessaire / nicht nötig</v>
      </c>
      <c r="AD91" s="570" t="str">
        <f t="shared" si="5"/>
        <v>d</v>
      </c>
      <c r="AE91">
        <v>3</v>
      </c>
      <c r="AF91">
        <v>1</v>
      </c>
    </row>
    <row r="92" spans="1:33" ht="16.5" customHeight="1" x14ac:dyDescent="0.25">
      <c r="A92" s="927">
        <v>79.099999999999994</v>
      </c>
      <c r="B92" s="400" t="s">
        <v>136</v>
      </c>
      <c r="C92" s="400" t="s">
        <v>137</v>
      </c>
      <c r="D92" s="401" t="s">
        <v>92</v>
      </c>
      <c r="E92" s="522" t="str">
        <f>IF(VLOOKUP(A92,'Charriage - Geschiebehaushalt'!$A$4:$AC$275,17,FALSE)="","",VLOOKUP(A92,'Charriage - Geschiebehaushalt'!$A$4:$AC$275,17,FALSE))</f>
        <v>La remobilisation des sédiments est perturbée / Mobilisierung von Geschiebe beeinträchtigt</v>
      </c>
      <c r="F92" s="523" t="str">
        <f>IF(VLOOKUP(A92,'Charriage - Geschiebehaushalt'!$A$4:$AC$275,18,FALSE)="","",VLOOKUP(A92,'Charriage - Geschiebehaushalt'!$A$4:$AC$275,18,FALSE))</f>
        <v>b</v>
      </c>
      <c r="G92" s="524" t="str">
        <f>IF(VLOOKUP(A92,'Charriage - Geschiebehaushalt'!$A$4:$AC$275,22,FALSE)="","",VLOOKUP(A92,'Charriage - Geschiebehaushalt'!$A$4:$AC$275,22,FALSE))</f>
        <v>21-50%</v>
      </c>
      <c r="H92" s="523" t="str">
        <f>IF(VLOOKUP(A92,'Charriage - Geschiebehaushalt'!$A$4:$AC$275,23,FALSE)="","",VLOOKUP(A92,'Charriage - Geschiebehaushalt'!$A$4:$AC$275,23,FALSE))</f>
        <v>b</v>
      </c>
      <c r="I92" s="524" t="str">
        <f>IF(VLOOKUP(A92,'Charriage - Geschiebehaushalt'!$A$4:$AC$275,28,FALSE)="","",VLOOKUP(A92,'Charriage - Geschiebehaushalt'!$A$4:$AC$275,28,FALSE))</f>
        <v>21-50%</v>
      </c>
      <c r="J92" s="403" t="str">
        <f>IF(VLOOKUP(A92,'Charriage - Geschiebehaushalt'!$A$4:$AC$275,29,FALSE)="","",VLOOKUP(A92,'Charriage - Geschiebehaushalt'!$A$4:$AC$275,29,FALSE))</f>
        <v>b</v>
      </c>
      <c r="K92" s="533" t="str">
        <f>IF(VLOOKUP(A92,'Débit - Abfluss'!$A$4:$AD$275,8,FALSE)="","",VLOOKUP(A92,'Débit - Abfluss'!$A$4:$AD$275,8,FALSE))</f>
        <v>41-60%</v>
      </c>
      <c r="L92" s="468" t="str">
        <f>IF(VLOOKUP(A92,'Débit - Abfluss'!$A$4:$AD$275,10,FALSE)="","",VLOOKUP(A92,'Débit - Abfluss'!$A$4:$AD$275,10,FALSE))</f>
        <v>41-60%</v>
      </c>
      <c r="M92" s="333" t="str">
        <f>IF(VLOOKUP(A92,'Débit - Abfluss'!$A$4:$AD$275,17,FALSE)="","",VLOOKUP(A92,'Débit - Abfluss'!$A$4:$AD$275,17,FALSE))</f>
        <v>41-60%</v>
      </c>
      <c r="N92" s="340" t="str">
        <f>IF(VLOOKUP(A92,'Eclusée - Schwall-Sunk'!$A$2:$F$273,6,FALSE)="","",VLOOKUP(A92,'Eclusée - Schwall-Sunk'!$A$2:$F$273,6,FALSE))</f>
        <v>Non affecté / nicht betroffen</v>
      </c>
      <c r="O92" s="537"/>
      <c r="P92" s="538"/>
      <c r="Q92" s="284" t="str">
        <f>IF(VLOOKUP(A92,'Revitalisation-Revitalisierung'!$A$4:$Z$275,13,FALSE)="","",VLOOKUP(A92,'Revitalisation-Revitalisierung'!$A$4:$Z$275,13,FALSE))</f>
        <v>Très nécessaire, facile / unbedingt nötig, einfach</v>
      </c>
      <c r="R92" s="541" t="str">
        <f>IF(VLOOKUP(A92,'Revitalisation-Revitalisierung'!$A$4:$Z$275,14,FALSE)="","",VLOOKUP(A92,'Revitalisation-Revitalisierung'!$A$4:$Z$275,14,FALSE))</f>
        <v>a</v>
      </c>
      <c r="S92" s="542" t="str">
        <f>IF(VLOOKUP(A92,'Revitalisation-Revitalisierung'!$A$4:$Z$275,19,FALSE)="","",VLOOKUP(A92,'Revitalisation-Revitalisierung'!$A$4:$Z$275,19,FALSE))</f>
        <v>Très nécessaire, facile / unbedingt nötig, einfach</v>
      </c>
      <c r="T92" s="541" t="str">
        <f>IF(VLOOKUP(A92,'Revitalisation-Revitalisierung'!$A$4:$Z$275,20,FALSE)="","",VLOOKUP(A92,'Revitalisation-Revitalisierung'!$A$4:$Z$275,20,FALSE))</f>
        <v>c</v>
      </c>
      <c r="U92" s="542" t="str">
        <f>IF(VLOOKUP(A92,'Revitalisation-Revitalisierung'!$A$4:$Z$275,25,FALSE)="","",VLOOKUP(A92,'Revitalisation-Revitalisierung'!$A$4:$Z$275,25,FALSE))</f>
        <v>Très nécessaire, facile / unbedingt nötig, einfach</v>
      </c>
      <c r="V92" s="406" t="str">
        <f>IF(VLOOKUP(A92,'Revitalisation-Revitalisierung'!$A$4:$Z$275,26,FALSE)="","",VLOOKUP(A92,'Revitalisation-Revitalisierung'!$A$4:$Z$275,26,FALSE))</f>
        <v>c</v>
      </c>
      <c r="Y92" s="529" t="str">
        <f t="shared" si="2"/>
        <v>21-50%</v>
      </c>
      <c r="Z92" s="568" t="str">
        <f t="shared" si="3"/>
        <v>b</v>
      </c>
      <c r="AA92" s="327" t="str">
        <f t="shared" si="6"/>
        <v>41-60%</v>
      </c>
      <c r="AB92" s="327" t="str">
        <f t="shared" si="7"/>
        <v>Non affecté / nicht betroffen</v>
      </c>
      <c r="AC92" s="276" t="str">
        <f t="shared" si="4"/>
        <v>Très nécessaire, facile / unbedingt nötig, einfach</v>
      </c>
      <c r="AD92" s="570" t="str">
        <f t="shared" si="5"/>
        <v>c</v>
      </c>
      <c r="AE92">
        <v>4</v>
      </c>
      <c r="AF92">
        <v>1</v>
      </c>
    </row>
    <row r="93" spans="1:33" ht="16.5" customHeight="1" x14ac:dyDescent="0.25">
      <c r="A93" s="927">
        <v>79.2</v>
      </c>
      <c r="B93" s="400" t="s">
        <v>136</v>
      </c>
      <c r="C93" s="400" t="s">
        <v>137</v>
      </c>
      <c r="D93" s="401" t="s">
        <v>92</v>
      </c>
      <c r="E93" s="522" t="str">
        <f>IF(VLOOKUP(A93,'Charriage - Geschiebehaushalt'!$A$4:$AC$275,17,FALSE)="","",VLOOKUP(A93,'Charriage - Geschiebehaushalt'!$A$4:$AC$275,17,FALSE))</f>
        <v>non pertinent / nicht relevant</v>
      </c>
      <c r="F93" s="523" t="str">
        <f>IF(VLOOKUP(A93,'Charriage - Geschiebehaushalt'!$A$4:$AC$275,18,FALSE)="","",VLOOKUP(A93,'Charriage - Geschiebehaushalt'!$A$4:$AC$275,18,FALSE))</f>
        <v>a</v>
      </c>
      <c r="G93" s="524" t="str">
        <f>IF(VLOOKUP(A93,'Charriage - Geschiebehaushalt'!$A$4:$AC$275,22,FALSE)="","",VLOOKUP(A93,'Charriage - Geschiebehaushalt'!$A$4:$AC$275,22,FALSE))</f>
        <v>non pertinent / nicht relevant</v>
      </c>
      <c r="H93" s="523" t="str">
        <f>IF(VLOOKUP(A93,'Charriage - Geschiebehaushalt'!$A$4:$AC$275,23,FALSE)="","",VLOOKUP(A93,'Charriage - Geschiebehaushalt'!$A$4:$AC$275,23,FALSE))</f>
        <v>a</v>
      </c>
      <c r="I93" s="524" t="str">
        <f>IF(VLOOKUP(A93,'Charriage - Geschiebehaushalt'!$A$4:$AC$275,28,FALSE)="","",VLOOKUP(A93,'Charriage - Geschiebehaushalt'!$A$4:$AC$275,28,FALSE))</f>
        <v>non pertinent / nicht relevant</v>
      </c>
      <c r="J93" s="403" t="str">
        <f>IF(VLOOKUP(A93,'Charriage - Geschiebehaushalt'!$A$4:$AC$275,29,FALSE)="","",VLOOKUP(A93,'Charriage - Geschiebehaushalt'!$A$4:$AC$275,29,FALSE))</f>
        <v>a</v>
      </c>
      <c r="K93" s="533" t="str">
        <f>IF(VLOOKUP(A93,'Débit - Abfluss'!$A$4:$AD$275,8,FALSE)="","",VLOOKUP(A93,'Débit - Abfluss'!$A$4:$AD$275,8,FALSE))</f>
        <v>non pertinent / nicht relevant</v>
      </c>
      <c r="L93" s="468" t="str">
        <f>IF(VLOOKUP(A93,'Débit - Abfluss'!$A$4:$AD$275,10,FALSE)="","",VLOOKUP(A93,'Débit - Abfluss'!$A$4:$AD$275,10,FALSE))</f>
        <v>non pertinent / nicht relevant</v>
      </c>
      <c r="M93" s="333" t="str">
        <f>IF(VLOOKUP(A93,'Débit - Abfluss'!$A$4:$AD$275,17,FALSE)="","",VLOOKUP(A93,'Débit - Abfluss'!$A$4:$AD$275,17,FALSE))</f>
        <v>non pertinent / nicht relevant</v>
      </c>
      <c r="N93" s="340" t="str">
        <f>IF(VLOOKUP(A93,'Eclusée - Schwall-Sunk'!$A$2:$F$273,6,FALSE)="","",VLOOKUP(A93,'Eclusée - Schwall-Sunk'!$A$2:$F$273,6,FALSE))</f>
        <v>Non affecté / nicht betroffen</v>
      </c>
      <c r="O93" s="537"/>
      <c r="P93" s="538"/>
      <c r="Q93" s="284" t="str">
        <f>IF(VLOOKUP(A93,'Revitalisation-Revitalisierung'!$A$4:$Z$275,13,FALSE)="","",VLOOKUP(A93,'Revitalisation-Revitalisierung'!$A$4:$Z$275,13,FALSE))</f>
        <v>Non nécessaire / nicht nötig</v>
      </c>
      <c r="R93" s="541" t="str">
        <f>IF(VLOOKUP(A93,'Revitalisation-Revitalisierung'!$A$4:$Z$275,14,FALSE)="","",VLOOKUP(A93,'Revitalisation-Revitalisierung'!$A$4:$Z$275,14,FALSE))</f>
        <v>b</v>
      </c>
      <c r="S93" s="542" t="str">
        <f>IF(VLOOKUP(A93,'Revitalisation-Revitalisierung'!$A$4:$Z$275,19,FALSE)="","",VLOOKUP(A93,'Revitalisation-Revitalisierung'!$A$4:$Z$275,19,FALSE))</f>
        <v>Très nécessaire, facile / unbedingt nötig, einfach</v>
      </c>
      <c r="T93" s="541" t="str">
        <f>IF(VLOOKUP(A93,'Revitalisation-Revitalisierung'!$A$4:$Z$275,20,FALSE)="","",VLOOKUP(A93,'Revitalisation-Revitalisierung'!$A$4:$Z$275,20,FALSE))</f>
        <v>c</v>
      </c>
      <c r="U93" s="542" t="str">
        <f>IF(VLOOKUP(A93,'Revitalisation-Revitalisierung'!$A$4:$Z$275,25,FALSE)="","",VLOOKUP(A93,'Revitalisation-Revitalisierung'!$A$4:$Z$275,25,FALSE))</f>
        <v>Non nécessaire / nicht nötig</v>
      </c>
      <c r="V93" s="406" t="str">
        <f>IF(VLOOKUP(A93,'Revitalisation-Revitalisierung'!$A$4:$Z$275,26,FALSE)="","",VLOOKUP(A93,'Revitalisation-Revitalisierung'!$A$4:$Z$275,26,FALSE))</f>
        <v>e</v>
      </c>
      <c r="Y93" s="529" t="str">
        <f t="shared" si="2"/>
        <v>non pertinent / nicht relevant</v>
      </c>
      <c r="Z93" s="568" t="str">
        <f t="shared" si="3"/>
        <v>a</v>
      </c>
      <c r="AA93" s="327" t="str">
        <f t="shared" si="6"/>
        <v>non pertinent / nicht relevant</v>
      </c>
      <c r="AB93" s="327" t="str">
        <f t="shared" si="7"/>
        <v>Non affecté / nicht betroffen</v>
      </c>
      <c r="AC93" s="276" t="str">
        <f t="shared" si="4"/>
        <v>Non nécessaire / nicht nötig</v>
      </c>
      <c r="AD93" s="570" t="str">
        <f t="shared" si="5"/>
        <v>e</v>
      </c>
      <c r="AE93">
        <v>5</v>
      </c>
      <c r="AF93">
        <v>1</v>
      </c>
    </row>
    <row r="94" spans="1:33" ht="16.5" customHeight="1" x14ac:dyDescent="0.25">
      <c r="A94" s="926">
        <v>80</v>
      </c>
      <c r="B94" s="400" t="s">
        <v>138</v>
      </c>
      <c r="C94" s="400" t="s">
        <v>139</v>
      </c>
      <c r="D94" s="401" t="s">
        <v>92</v>
      </c>
      <c r="E94" s="522" t="str">
        <f>IF(VLOOKUP(A94,'Charriage - Geschiebehaushalt'!$A$4:$AC$275,17,FALSE)="","",VLOOKUP(A94,'Charriage - Geschiebehaushalt'!$A$4:$AC$275,17,FALSE))</f>
        <v>La remobilisation des sédiments est perturbée / Mobilisierung von Geschiebe beeinträchtigt</v>
      </c>
      <c r="F94" s="523" t="str">
        <f>IF(VLOOKUP(A94,'Charriage - Geschiebehaushalt'!$A$4:$AC$275,18,FALSE)="","",VLOOKUP(A94,'Charriage - Geschiebehaushalt'!$A$4:$AC$275,18,FALSE))</f>
        <v>b</v>
      </c>
      <c r="G94" s="524" t="str">
        <f>IF(VLOOKUP(A94,'Charriage - Geschiebehaushalt'!$A$4:$AC$275,22,FALSE)="","",VLOOKUP(A94,'Charriage - Geschiebehaushalt'!$A$4:$AC$275,22,FALSE))</f>
        <v>21-50%</v>
      </c>
      <c r="H94" s="523" t="str">
        <f>IF(VLOOKUP(A94,'Charriage - Geschiebehaushalt'!$A$4:$AC$275,23,FALSE)="","",VLOOKUP(A94,'Charriage - Geschiebehaushalt'!$A$4:$AC$275,23,FALSE))</f>
        <v>d</v>
      </c>
      <c r="I94" s="524" t="str">
        <f>IF(VLOOKUP(A94,'Charriage - Geschiebehaushalt'!$A$4:$AC$275,28,FALSE)="","",VLOOKUP(A94,'Charriage - Geschiebehaushalt'!$A$4:$AC$275,28,FALSE))</f>
        <v>21-50%</v>
      </c>
      <c r="J94" s="403" t="str">
        <f>IF(VLOOKUP(A94,'Charriage - Geschiebehaushalt'!$A$4:$AC$275,29,FALSE)="","",VLOOKUP(A94,'Charriage - Geschiebehaushalt'!$A$4:$AC$275,29,FALSE))</f>
        <v>d</v>
      </c>
      <c r="K94" s="533" t="str">
        <f>IF(VLOOKUP(A94,'Débit - Abfluss'!$A$4:$AD$275,8,FALSE)="","",VLOOKUP(A94,'Débit - Abfluss'!$A$4:$AD$275,8,FALSE))</f>
        <v>100%</v>
      </c>
      <c r="L94" s="468" t="str">
        <f>IF(VLOOKUP(A94,'Débit - Abfluss'!$A$4:$AD$275,10,FALSE)="","",VLOOKUP(A94,'Débit - Abfluss'!$A$4:$AD$275,10,FALSE))</f>
        <v>100%</v>
      </c>
      <c r="M94" s="333" t="str">
        <f>IF(VLOOKUP(A94,'Débit - Abfluss'!$A$4:$AD$275,17,FALSE)="","",VLOOKUP(A94,'Débit - Abfluss'!$A$4:$AD$275,17,FALSE))</f>
        <v>100%</v>
      </c>
      <c r="N94" s="340" t="str">
        <f>IF(VLOOKUP(A94,'Eclusée - Schwall-Sunk'!$A$2:$F$273,6,FALSE)="","",VLOOKUP(A94,'Eclusée - Schwall-Sunk'!$A$2:$F$273,6,FALSE))</f>
        <v>Non affecté / nicht betroffen</v>
      </c>
      <c r="O94" s="537"/>
      <c r="P94" s="538"/>
      <c r="Q94" s="284" t="str">
        <f>IF(VLOOKUP(A94,'Revitalisation-Revitalisierung'!$A$4:$Z$275,13,FALSE)="","",VLOOKUP(A94,'Revitalisation-Revitalisierung'!$A$4:$Z$275,13,FALSE))</f>
        <v>Très nécessaire, difficile / unbedingt nötig, schwierig</v>
      </c>
      <c r="R94" s="541" t="str">
        <f>IF(VLOOKUP(A94,'Revitalisation-Revitalisierung'!$A$4:$Z$275,14,FALSE)="","",VLOOKUP(A94,'Revitalisation-Revitalisierung'!$A$4:$Z$275,14,FALSE))</f>
        <v>b</v>
      </c>
      <c r="S94" s="542" t="str">
        <f>IF(VLOOKUP(A94,'Revitalisation-Revitalisierung'!$A$4:$Z$275,19,FALSE)="","",VLOOKUP(A94,'Revitalisation-Revitalisierung'!$A$4:$Z$275,19,FALSE))</f>
        <v>Très nécessaire, difficile / unbedingt nötig, schwierig</v>
      </c>
      <c r="T94" s="541" t="str">
        <f>IF(VLOOKUP(A94,'Revitalisation-Revitalisierung'!$A$4:$Z$275,20,FALSE)="","",VLOOKUP(A94,'Revitalisation-Revitalisierung'!$A$4:$Z$275,20,FALSE))</f>
        <v>d</v>
      </c>
      <c r="U94" s="542" t="str">
        <f>IF(VLOOKUP(A94,'Revitalisation-Revitalisierung'!$A$4:$Z$275,25,FALSE)="","",VLOOKUP(A94,'Revitalisation-Revitalisierung'!$A$4:$Z$275,25,FALSE))</f>
        <v>Très nécessaire, difficile / unbedingt nötig, schwierig</v>
      </c>
      <c r="V94" s="406" t="str">
        <f>IF(VLOOKUP(A94,'Revitalisation-Revitalisierung'!$A$4:$Z$275,26,FALSE)="","",VLOOKUP(A94,'Revitalisation-Revitalisierung'!$A$4:$Z$275,26,FALSE))</f>
        <v>d</v>
      </c>
      <c r="Y94" s="529" t="str">
        <f t="shared" si="2"/>
        <v>21-50%</v>
      </c>
      <c r="Z94" s="568" t="str">
        <f t="shared" si="3"/>
        <v>d</v>
      </c>
      <c r="AA94" s="327" t="str">
        <f t="shared" si="6"/>
        <v>100%</v>
      </c>
      <c r="AB94" s="327" t="str">
        <f t="shared" si="7"/>
        <v>Non affecté / nicht betroffen</v>
      </c>
      <c r="AC94" s="276" t="str">
        <f t="shared" si="4"/>
        <v>Très nécessaire, difficile / unbedingt nötig, schwierig</v>
      </c>
      <c r="AD94" s="570" t="str">
        <f t="shared" si="5"/>
        <v>d</v>
      </c>
      <c r="AE94">
        <v>2</v>
      </c>
      <c r="AF94">
        <v>1</v>
      </c>
    </row>
    <row r="95" spans="1:33" ht="16.5" customHeight="1" x14ac:dyDescent="0.25">
      <c r="A95" s="926">
        <v>81</v>
      </c>
      <c r="B95" s="400" t="s">
        <v>140</v>
      </c>
      <c r="C95" s="400" t="s">
        <v>141</v>
      </c>
      <c r="D95" s="401" t="s">
        <v>92</v>
      </c>
      <c r="E95" s="522" t="str">
        <f>IF(VLOOKUP(A95,'Charriage - Geschiebehaushalt'!$A$4:$AC$275,17,FALSE)="","",VLOOKUP(A95,'Charriage - Geschiebehaushalt'!$A$4:$AC$275,17,FALSE))</f>
        <v>51-80%</v>
      </c>
      <c r="F95" s="523" t="str">
        <f>IF(VLOOKUP(A95,'Charriage - Geschiebehaushalt'!$A$4:$AC$275,18,FALSE)="","",VLOOKUP(A95,'Charriage - Geschiebehaushalt'!$A$4:$AC$275,18,FALSE))</f>
        <v>a</v>
      </c>
      <c r="G95" s="524" t="str">
        <f>IF(VLOOKUP(A95,'Charriage - Geschiebehaushalt'!$A$4:$AC$275,22,FALSE)="","",VLOOKUP(A95,'Charriage - Geschiebehaushalt'!$A$4:$AC$275,22,FALSE))</f>
        <v>21-50%</v>
      </c>
      <c r="H95" s="523" t="str">
        <f>IF(VLOOKUP(A95,'Charriage - Geschiebehaushalt'!$A$4:$AC$275,23,FALSE)="","",VLOOKUP(A95,'Charriage - Geschiebehaushalt'!$A$4:$AC$275,23,FALSE))</f>
        <v>c</v>
      </c>
      <c r="I95" s="524" t="str">
        <f>IF(VLOOKUP(A95,'Charriage - Geschiebehaushalt'!$A$4:$AC$275,28,FALSE)="","",VLOOKUP(A95,'Charriage - Geschiebehaushalt'!$A$4:$AC$275,28,FALSE))</f>
        <v>21-50%</v>
      </c>
      <c r="J95" s="403" t="str">
        <f>IF(VLOOKUP(A95,'Charriage - Geschiebehaushalt'!$A$4:$AC$275,29,FALSE)="","",VLOOKUP(A95,'Charriage - Geschiebehaushalt'!$A$4:$AC$275,29,FALSE))</f>
        <v>c</v>
      </c>
      <c r="K95" s="533" t="str">
        <f>IF(VLOOKUP(A95,'Débit - Abfluss'!$A$4:$AD$275,8,FALSE)="","",VLOOKUP(A95,'Débit - Abfluss'!$A$4:$AD$275,8,FALSE))</f>
        <v>100%</v>
      </c>
      <c r="L95" s="468" t="str">
        <f>IF(VLOOKUP(A95,'Débit - Abfluss'!$A$4:$AD$275,10,FALSE)="","",VLOOKUP(A95,'Débit - Abfluss'!$A$4:$AD$275,10,FALSE))</f>
        <v>100%</v>
      </c>
      <c r="M95" s="333" t="str">
        <f>IF(VLOOKUP(A95,'Débit - Abfluss'!$A$4:$AD$275,17,FALSE)="","",VLOOKUP(A95,'Débit - Abfluss'!$A$4:$AD$275,17,FALSE))</f>
        <v>100%</v>
      </c>
      <c r="N95" s="340" t="str">
        <f>IF(VLOOKUP(A95,'Eclusée - Schwall-Sunk'!$A$2:$F$273,6,FALSE)="","",VLOOKUP(A95,'Eclusée - Schwall-Sunk'!$A$2:$F$273,6,FALSE))</f>
        <v>Non affecté / nicht betroffen</v>
      </c>
      <c r="O95" s="537"/>
      <c r="P95" s="538"/>
      <c r="Q95" s="284" t="str">
        <f>IF(VLOOKUP(A95,'Revitalisation-Revitalisierung'!$A$4:$Z$275,13,FALSE)="","",VLOOKUP(A95,'Revitalisation-Revitalisierung'!$A$4:$Z$275,13,FALSE))</f>
        <v>Très nécessaire, facile / unbedingt nötig, einfach</v>
      </c>
      <c r="R95" s="541" t="str">
        <f>IF(VLOOKUP(A95,'Revitalisation-Revitalisierung'!$A$4:$Z$275,14,FALSE)="","",VLOOKUP(A95,'Revitalisation-Revitalisierung'!$A$4:$Z$275,14,FALSE))</f>
        <v>a</v>
      </c>
      <c r="S95" s="542" t="str">
        <f>IF(VLOOKUP(A95,'Revitalisation-Revitalisierung'!$A$4:$Z$275,19,FALSE)="","",VLOOKUP(A95,'Revitalisation-Revitalisierung'!$A$4:$Z$275,19,FALSE))</f>
        <v>Très nécessaire, facile / unbedingt nötig, einfach</v>
      </c>
      <c r="T95" s="541" t="str">
        <f>IF(VLOOKUP(A95,'Revitalisation-Revitalisierung'!$A$4:$Z$275,20,FALSE)="","",VLOOKUP(A95,'Revitalisation-Revitalisierung'!$A$4:$Z$275,20,FALSE))</f>
        <v>d</v>
      </c>
      <c r="U95" s="542" t="str">
        <f>IF(VLOOKUP(A95,'Revitalisation-Revitalisierung'!$A$4:$Z$275,25,FALSE)="","",VLOOKUP(A95,'Revitalisation-Revitalisierung'!$A$4:$Z$275,25,FALSE))</f>
        <v>Très nécessaire, difficile / unbedingt nötig, schwierig</v>
      </c>
      <c r="V95" s="406" t="str">
        <f>IF(VLOOKUP(A95,'Revitalisation-Revitalisierung'!$A$4:$Z$275,26,FALSE)="","",VLOOKUP(A95,'Revitalisation-Revitalisierung'!$A$4:$Z$275,26,FALSE))</f>
        <v>e</v>
      </c>
      <c r="Y95" s="529" t="str">
        <f t="shared" si="2"/>
        <v>21-50%</v>
      </c>
      <c r="Z95" s="568" t="str">
        <f t="shared" si="3"/>
        <v>c</v>
      </c>
      <c r="AA95" s="327" t="str">
        <f t="shared" si="6"/>
        <v>100%</v>
      </c>
      <c r="AB95" s="327" t="str">
        <f t="shared" si="7"/>
        <v>Non affecté / nicht betroffen</v>
      </c>
      <c r="AC95" s="276" t="str">
        <f t="shared" si="4"/>
        <v>Très nécessaire, difficile / unbedingt nötig, schwierig</v>
      </c>
      <c r="AD95" s="570" t="str">
        <f t="shared" si="5"/>
        <v>e</v>
      </c>
      <c r="AE95">
        <v>2</v>
      </c>
      <c r="AF95">
        <v>1</v>
      </c>
    </row>
    <row r="96" spans="1:33" ht="16.5" customHeight="1" x14ac:dyDescent="0.25">
      <c r="A96" s="926">
        <v>83</v>
      </c>
      <c r="B96" s="400" t="s">
        <v>142</v>
      </c>
      <c r="C96" s="400" t="s">
        <v>50</v>
      </c>
      <c r="D96" s="401" t="s">
        <v>92</v>
      </c>
      <c r="E96" s="522" t="str">
        <f>IF(VLOOKUP(A96,'Charriage - Geschiebehaushalt'!$A$4:$AC$275,17,FALSE)="","",VLOOKUP(A96,'Charriage - Geschiebehaushalt'!$A$4:$AC$275,17,FALSE))</f>
        <v>non pertinent / nicht relevant</v>
      </c>
      <c r="F96" s="523" t="str">
        <f>IF(VLOOKUP(A96,'Charriage - Geschiebehaushalt'!$A$4:$AC$275,18,FALSE)="","",VLOOKUP(A96,'Charriage - Geschiebehaushalt'!$A$4:$AC$275,18,FALSE))</f>
        <v>a</v>
      </c>
      <c r="G96" s="524" t="str">
        <f>IF(VLOOKUP(A96,'Charriage - Geschiebehaushalt'!$A$4:$AC$275,22,FALSE)="","",VLOOKUP(A96,'Charriage - Geschiebehaushalt'!$A$4:$AC$275,22,FALSE))</f>
        <v>non pertinent / nicht relevant</v>
      </c>
      <c r="H96" s="523" t="str">
        <f>IF(VLOOKUP(A96,'Charriage - Geschiebehaushalt'!$A$4:$AC$275,23,FALSE)="","",VLOOKUP(A96,'Charriage - Geschiebehaushalt'!$A$4:$AC$275,23,FALSE))</f>
        <v>a</v>
      </c>
      <c r="I96" s="524" t="str">
        <f>IF(VLOOKUP(A96,'Charriage - Geschiebehaushalt'!$A$4:$AC$275,28,FALSE)="","",VLOOKUP(A96,'Charriage - Geschiebehaushalt'!$A$4:$AC$275,28,FALSE))</f>
        <v>non pertinent / nicht relevant</v>
      </c>
      <c r="J96" s="403" t="str">
        <f>IF(VLOOKUP(A96,'Charriage - Geschiebehaushalt'!$A$4:$AC$275,29,FALSE)="","",VLOOKUP(A96,'Charriage - Geschiebehaushalt'!$A$4:$AC$275,29,FALSE))</f>
        <v>a</v>
      </c>
      <c r="K96" s="533" t="str">
        <f>IF(VLOOKUP(A96,'Débit - Abfluss'!$A$4:$AD$275,8,FALSE)="","",VLOOKUP(A96,'Débit - Abfluss'!$A$4:$AD$275,8,FALSE))</f>
        <v>81-100%</v>
      </c>
      <c r="L96" s="468" t="str">
        <f>IF(VLOOKUP(A96,'Débit - Abfluss'!$A$4:$AD$275,10,FALSE)="","",VLOOKUP(A96,'Débit - Abfluss'!$A$4:$AD$275,10,FALSE))</f>
        <v>81-100%</v>
      </c>
      <c r="M96" s="333" t="str">
        <f>IF(VLOOKUP(A96,'Débit - Abfluss'!$A$4:$AD$275,17,FALSE)="","",VLOOKUP(A96,'Débit - Abfluss'!$A$4:$AD$275,17,FALSE))</f>
        <v>81-100%</v>
      </c>
      <c r="N96" s="340" t="str">
        <f>IF(VLOOKUP(A96,'Eclusée - Schwall-Sunk'!$A$2:$F$273,6,FALSE)="","",VLOOKUP(A96,'Eclusée - Schwall-Sunk'!$A$2:$F$273,6,FALSE))</f>
        <v>Potentiellement affecté / möglicherweise betroffen</v>
      </c>
      <c r="O96" s="537"/>
      <c r="P96" s="538"/>
      <c r="Q96" s="284" t="str">
        <f>IF(VLOOKUP(A96,'Revitalisation-Revitalisierung'!$A$4:$Z$275,13,FALSE)="","",VLOOKUP(A96,'Revitalisation-Revitalisierung'!$A$4:$Z$275,13,FALSE))</f>
        <v>Non nécessaire / nicht nötig</v>
      </c>
      <c r="R96" s="541" t="str">
        <f>IF(VLOOKUP(A96,'Revitalisation-Revitalisierung'!$A$4:$Z$275,14,FALSE)="","",VLOOKUP(A96,'Revitalisation-Revitalisierung'!$A$4:$Z$275,14,FALSE))</f>
        <v>a</v>
      </c>
      <c r="S96" s="542" t="str">
        <f>IF(VLOOKUP(A96,'Revitalisation-Revitalisierung'!$A$4:$Z$275,19,FALSE)="","",VLOOKUP(A96,'Revitalisation-Revitalisierung'!$A$4:$Z$275,19,FALSE))</f>
        <v>Très nécessaire, facile / unbedingt nötig, einfach</v>
      </c>
      <c r="T96" s="541" t="str">
        <f>IF(VLOOKUP(A96,'Revitalisation-Revitalisierung'!$A$4:$Z$275,20,FALSE)="","",VLOOKUP(A96,'Revitalisation-Revitalisierung'!$A$4:$Z$275,20,FALSE))</f>
        <v>c</v>
      </c>
      <c r="U96" s="542" t="str">
        <f>IF(VLOOKUP(A96,'Revitalisation-Revitalisierung'!$A$4:$Z$275,25,FALSE)="","",VLOOKUP(A96,'Revitalisation-Revitalisierung'!$A$4:$Z$275,25,FALSE))</f>
        <v>Partiellement nécessaire, difficile / teilweise nötig, schwierig</v>
      </c>
      <c r="V96" s="406" t="str">
        <f>IF(VLOOKUP(A96,'Revitalisation-Revitalisierung'!$A$4:$Z$275,26,FALSE)="","",VLOOKUP(A96,'Revitalisation-Revitalisierung'!$A$4:$Z$275,26,FALSE))</f>
        <v>e</v>
      </c>
      <c r="Y96" s="529" t="str">
        <f t="shared" si="2"/>
        <v>non pertinent / nicht relevant</v>
      </c>
      <c r="Z96" s="568" t="str">
        <f t="shared" si="3"/>
        <v>a</v>
      </c>
      <c r="AA96" s="327" t="str">
        <f t="shared" si="6"/>
        <v>81-100%</v>
      </c>
      <c r="AB96" s="327" t="str">
        <f t="shared" si="7"/>
        <v>Potentiellement affecté / möglicherweise betroffen</v>
      </c>
      <c r="AC96" s="276" t="str">
        <f t="shared" si="4"/>
        <v>Partiellement nécessaire, difficile / teilweise nötig, schwierig</v>
      </c>
      <c r="AD96" s="570" t="str">
        <f t="shared" si="5"/>
        <v>e</v>
      </c>
      <c r="AE96">
        <v>3</v>
      </c>
      <c r="AF96">
        <v>1</v>
      </c>
    </row>
    <row r="97" spans="1:32" ht="16.5" customHeight="1" x14ac:dyDescent="0.25">
      <c r="A97" s="926">
        <v>84</v>
      </c>
      <c r="B97" s="400" t="s">
        <v>143</v>
      </c>
      <c r="C97" s="400" t="s">
        <v>50</v>
      </c>
      <c r="D97" s="401" t="s">
        <v>92</v>
      </c>
      <c r="E97" s="522" t="str">
        <f>IF(VLOOKUP(A97,'Charriage - Geschiebehaushalt'!$A$4:$AC$275,17,FALSE)="","",VLOOKUP(A97,'Charriage - Geschiebehaushalt'!$A$4:$AC$275,17,FALSE))</f>
        <v>21-50%</v>
      </c>
      <c r="F97" s="523" t="str">
        <f>IF(VLOOKUP(A97,'Charriage - Geschiebehaushalt'!$A$4:$AC$275,18,FALSE)="","",VLOOKUP(A97,'Charriage - Geschiebehaushalt'!$A$4:$AC$275,18,FALSE))</f>
        <v>a</v>
      </c>
      <c r="G97" s="524" t="str">
        <f>IF(VLOOKUP(A97,'Charriage - Geschiebehaushalt'!$A$4:$AC$275,22,FALSE)="","",VLOOKUP(A97,'Charriage - Geschiebehaushalt'!$A$4:$AC$275,22,FALSE))</f>
        <v>21-50%</v>
      </c>
      <c r="H97" s="523" t="str">
        <f>IF(VLOOKUP(A97,'Charriage - Geschiebehaushalt'!$A$4:$AC$275,23,FALSE)="","",VLOOKUP(A97,'Charriage - Geschiebehaushalt'!$A$4:$AC$275,23,FALSE))</f>
        <v>a</v>
      </c>
      <c r="I97" s="524" t="str">
        <f>IF(VLOOKUP(A97,'Charriage - Geschiebehaushalt'!$A$4:$AC$275,28,FALSE)="","",VLOOKUP(A97,'Charriage - Geschiebehaushalt'!$A$4:$AC$275,28,FALSE))</f>
        <v>21-50%</v>
      </c>
      <c r="J97" s="403" t="str">
        <f>IF(VLOOKUP(A97,'Charriage - Geschiebehaushalt'!$A$4:$AC$275,29,FALSE)="","",VLOOKUP(A97,'Charriage - Geschiebehaushalt'!$A$4:$AC$275,29,FALSE))</f>
        <v>a</v>
      </c>
      <c r="K97" s="533" t="str">
        <f>IF(VLOOKUP(A97,'Débit - Abfluss'!$A$4:$AD$275,8,FALSE)="","",VLOOKUP(A97,'Débit - Abfluss'!$A$4:$AD$275,8,FALSE))</f>
        <v>81-100%</v>
      </c>
      <c r="L97" s="468" t="str">
        <f>IF(VLOOKUP(A97,'Débit - Abfluss'!$A$4:$AD$275,10,FALSE)="","",VLOOKUP(A97,'Débit - Abfluss'!$A$4:$AD$275,10,FALSE))</f>
        <v>81-100%</v>
      </c>
      <c r="M97" s="333" t="str">
        <f>IF(VLOOKUP(A97,'Débit - Abfluss'!$A$4:$AD$275,17,FALSE)="","",VLOOKUP(A97,'Débit - Abfluss'!$A$4:$AD$275,17,FALSE))</f>
        <v>81-100%</v>
      </c>
      <c r="N97" s="340" t="str">
        <f>IF(VLOOKUP(A97,'Eclusée - Schwall-Sunk'!$A$2:$F$273,6,FALSE)="","",VLOOKUP(A97,'Eclusée - Schwall-Sunk'!$A$2:$F$273,6,FALSE))</f>
        <v>Potentiellement affecté / möglicherweise betroffen</v>
      </c>
      <c r="O97" s="537"/>
      <c r="P97" s="538"/>
      <c r="Q97" s="284" t="str">
        <f>IF(VLOOKUP(A97,'Revitalisation-Revitalisierung'!$A$4:$Z$275,13,FALSE)="","",VLOOKUP(A97,'Revitalisation-Revitalisierung'!$A$4:$Z$275,13,FALSE))</f>
        <v>Très nécessaire, difficile / unbedingt nötig, schwierig</v>
      </c>
      <c r="R97" s="541" t="str">
        <f>IF(VLOOKUP(A97,'Revitalisation-Revitalisierung'!$A$4:$Z$275,14,FALSE)="","",VLOOKUP(A97,'Revitalisation-Revitalisierung'!$A$4:$Z$275,14,FALSE))</f>
        <v>b</v>
      </c>
      <c r="S97" s="542" t="str">
        <f>IF(VLOOKUP(A97,'Revitalisation-Revitalisierung'!$A$4:$Z$275,19,FALSE)="","",VLOOKUP(A97,'Revitalisation-Revitalisierung'!$A$4:$Z$275,19,FALSE))</f>
        <v>Très nécessaire, difficile / unbedingt nötig, schwierig</v>
      </c>
      <c r="T97" s="541" t="str">
        <f>IF(VLOOKUP(A97,'Revitalisation-Revitalisierung'!$A$4:$Z$275,20,FALSE)="","",VLOOKUP(A97,'Revitalisation-Revitalisierung'!$A$4:$Z$275,20,FALSE))</f>
        <v>d</v>
      </c>
      <c r="U97" s="542" t="str">
        <f>IF(VLOOKUP(A97,'Revitalisation-Revitalisierung'!$A$4:$Z$275,25,FALSE)="","",VLOOKUP(A97,'Revitalisation-Revitalisierung'!$A$4:$Z$275,25,FALSE))</f>
        <v>Très nécessaire, difficile / unbedingt nötig, schwierig</v>
      </c>
      <c r="V97" s="406" t="str">
        <f>IF(VLOOKUP(A97,'Revitalisation-Revitalisierung'!$A$4:$Z$275,26,FALSE)="","",VLOOKUP(A97,'Revitalisation-Revitalisierung'!$A$4:$Z$275,26,FALSE))</f>
        <v>d</v>
      </c>
      <c r="Y97" s="529" t="str">
        <f t="shared" si="2"/>
        <v>21-50%</v>
      </c>
      <c r="Z97" s="568" t="str">
        <f t="shared" si="3"/>
        <v>a</v>
      </c>
      <c r="AA97" s="327" t="str">
        <f t="shared" si="6"/>
        <v>81-100%</v>
      </c>
      <c r="AB97" s="327" t="str">
        <f t="shared" si="7"/>
        <v>Potentiellement affecté / möglicherweise betroffen</v>
      </c>
      <c r="AC97" s="276" t="str">
        <f t="shared" si="4"/>
        <v>Très nécessaire, difficile / unbedingt nötig, schwierig</v>
      </c>
      <c r="AD97" s="570" t="str">
        <f t="shared" si="5"/>
        <v>d</v>
      </c>
      <c r="AE97">
        <v>4</v>
      </c>
      <c r="AF97">
        <v>1</v>
      </c>
    </row>
    <row r="98" spans="1:32" ht="16.5" customHeight="1" x14ac:dyDescent="0.25">
      <c r="A98" s="926">
        <v>86</v>
      </c>
      <c r="B98" s="400" t="s">
        <v>144</v>
      </c>
      <c r="C98" s="400" t="s">
        <v>145</v>
      </c>
      <c r="D98" s="401" t="s">
        <v>92</v>
      </c>
      <c r="E98" s="522" t="str">
        <f>IF(VLOOKUP(A98,'Charriage - Geschiebehaushalt'!$A$4:$AC$275,17,FALSE)="","",VLOOKUP(A98,'Charriage - Geschiebehaushalt'!$A$4:$AC$275,17,FALSE))</f>
        <v>Déficit non apparent en charriage ou en remobilisation des sédiments / kein sichtbares Defizit beim Geschiebehaushalt bzw. bei der Mobilisierung von Geschiebe</v>
      </c>
      <c r="F98" s="523" t="str">
        <f>IF(VLOOKUP(A98,'Charriage - Geschiebehaushalt'!$A$4:$AC$275,18,FALSE)="","",VLOOKUP(A98,'Charriage - Geschiebehaushalt'!$A$4:$AC$275,18,FALSE))</f>
        <v>a</v>
      </c>
      <c r="G98" s="524" t="str">
        <f>IF(VLOOKUP(A98,'Charriage - Geschiebehaushalt'!$A$4:$AC$275,22,FALSE)="","",VLOOKUP(A98,'Charriage - Geschiebehaushalt'!$A$4:$AC$275,22,FALSE))</f>
        <v>0-20%</v>
      </c>
      <c r="H98" s="523" t="str">
        <f>IF(VLOOKUP(A98,'Charriage - Geschiebehaushalt'!$A$4:$AC$275,23,FALSE)="","",VLOOKUP(A98,'Charriage - Geschiebehaushalt'!$A$4:$AC$275,23,FALSE))</f>
        <v>a</v>
      </c>
      <c r="I98" s="524" t="str">
        <f>IF(VLOOKUP(A98,'Charriage - Geschiebehaushalt'!$A$4:$AC$275,28,FALSE)="","",VLOOKUP(A98,'Charriage - Geschiebehaushalt'!$A$4:$AC$275,28,FALSE))</f>
        <v>0-20%</v>
      </c>
      <c r="J98" s="403" t="str">
        <f>IF(VLOOKUP(A98,'Charriage - Geschiebehaushalt'!$A$4:$AC$275,29,FALSE)="","",VLOOKUP(A98,'Charriage - Geschiebehaushalt'!$A$4:$AC$275,29,FALSE))</f>
        <v>a</v>
      </c>
      <c r="K98" s="533" t="str">
        <f>IF(VLOOKUP(A98,'Débit - Abfluss'!$A$4:$AD$275,8,FALSE)="","",VLOOKUP(A98,'Débit - Abfluss'!$A$4:$AD$275,8,FALSE))</f>
        <v>21-40%</v>
      </c>
      <c r="L98" s="468" t="str">
        <f>IF(VLOOKUP(A98,'Débit - Abfluss'!$A$4:$AD$275,10,FALSE)="","",VLOOKUP(A98,'Débit - Abfluss'!$A$4:$AD$275,10,FALSE))</f>
        <v>21-40%</v>
      </c>
      <c r="M98" s="333" t="str">
        <f>IF(VLOOKUP(A98,'Débit - Abfluss'!$A$4:$AD$275,17,FALSE)="","",VLOOKUP(A98,'Débit - Abfluss'!$A$4:$AD$275,17,FALSE))</f>
        <v>21-40%</v>
      </c>
      <c r="N98" s="340" t="str">
        <f>IF(VLOOKUP(A98,'Eclusée - Schwall-Sunk'!$A$2:$F$273,6,FALSE)="","",VLOOKUP(A98,'Eclusée - Schwall-Sunk'!$A$2:$F$273,6,FALSE))</f>
        <v>Non affecté / nicht betroffen</v>
      </c>
      <c r="O98" s="537"/>
      <c r="P98" s="538"/>
      <c r="Q98" s="284" t="str">
        <f>IF(VLOOKUP(A98,'Revitalisation-Revitalisierung'!$A$4:$Z$275,13,FALSE)="","",VLOOKUP(A98,'Revitalisation-Revitalisierung'!$A$4:$Z$275,13,FALSE))</f>
        <v>Très nécessaire, facile / unbedingt nötig, einfach</v>
      </c>
      <c r="R98" s="541" t="str">
        <f>IF(VLOOKUP(A98,'Revitalisation-Revitalisierung'!$A$4:$Z$275,14,FALSE)="","",VLOOKUP(A98,'Revitalisation-Revitalisierung'!$A$4:$Z$275,14,FALSE))</f>
        <v>b</v>
      </c>
      <c r="S98" s="542" t="str">
        <f>IF(VLOOKUP(A98,'Revitalisation-Revitalisierung'!$A$4:$Z$275,19,FALSE)="","",VLOOKUP(A98,'Revitalisation-Revitalisierung'!$A$4:$Z$275,19,FALSE))</f>
        <v>Partiellement nécessaire, facile / teilweise nötig, einfach</v>
      </c>
      <c r="T98" s="541" t="str">
        <f>IF(VLOOKUP(A98,'Revitalisation-Revitalisierung'!$A$4:$Z$275,20,FALSE)="","",VLOOKUP(A98,'Revitalisation-Revitalisierung'!$A$4:$Z$275,20,FALSE))</f>
        <v>c</v>
      </c>
      <c r="U98" s="542" t="str">
        <f>IF(VLOOKUP(A98,'Revitalisation-Revitalisierung'!$A$4:$Z$275,25,FALSE)="","",VLOOKUP(A98,'Revitalisation-Revitalisierung'!$A$4:$Z$275,25,FALSE))</f>
        <v>Partiellement nécessaire, difficile / teilweise nötig, schwierig</v>
      </c>
      <c r="V98" s="406" t="str">
        <f>IF(VLOOKUP(A98,'Revitalisation-Revitalisierung'!$A$4:$Z$275,26,FALSE)="","",VLOOKUP(A98,'Revitalisation-Revitalisierung'!$A$4:$Z$275,26,FALSE))</f>
        <v>e</v>
      </c>
      <c r="Y98" s="529" t="str">
        <f t="shared" ref="Y98:Y161" si="8">I98</f>
        <v>0-20%</v>
      </c>
      <c r="Z98" s="568" t="str">
        <f t="shared" ref="Z98:Z161" si="9">J98</f>
        <v>a</v>
      </c>
      <c r="AA98" s="327" t="str">
        <f t="shared" ref="AA98:AA161" si="10">M98</f>
        <v>21-40%</v>
      </c>
      <c r="AB98" s="327" t="str">
        <f t="shared" ref="AB98:AB161" si="11">N98</f>
        <v>Non affecté / nicht betroffen</v>
      </c>
      <c r="AC98" s="276" t="str">
        <f t="shared" ref="AC98:AC161" si="12">U98</f>
        <v>Partiellement nécessaire, difficile / teilweise nötig, schwierig</v>
      </c>
      <c r="AD98" s="570" t="str">
        <f t="shared" ref="AD98:AD161" si="13">V98</f>
        <v>e</v>
      </c>
      <c r="AE98">
        <v>3</v>
      </c>
      <c r="AF98">
        <v>1</v>
      </c>
    </row>
    <row r="99" spans="1:32" ht="16.5" customHeight="1" x14ac:dyDescent="0.25">
      <c r="A99" s="926">
        <v>87</v>
      </c>
      <c r="B99" s="400" t="s">
        <v>64</v>
      </c>
      <c r="C99" s="400" t="s">
        <v>63</v>
      </c>
      <c r="D99" s="401" t="s">
        <v>35</v>
      </c>
      <c r="E99" s="522" t="str">
        <f>IF(VLOOKUP(A99,'Charriage - Geschiebehaushalt'!$A$4:$AC$275,17,FALSE)="","",VLOOKUP(A99,'Charriage - Geschiebehaushalt'!$A$4:$AC$275,17,FALSE))</f>
        <v>81 -100%</v>
      </c>
      <c r="F99" s="523" t="str">
        <f>IF(VLOOKUP(A99,'Charriage - Geschiebehaushalt'!$A$4:$AC$275,18,FALSE)="","",VLOOKUP(A99,'Charriage - Geschiebehaushalt'!$A$4:$AC$275,18,FALSE))</f>
        <v>a</v>
      </c>
      <c r="G99" s="524" t="str">
        <f>IF(VLOOKUP(A99,'Charriage - Geschiebehaushalt'!$A$4:$AC$275,22,FALSE)="","",VLOOKUP(A99,'Charriage - Geschiebehaushalt'!$A$4:$AC$275,22,FALSE))</f>
        <v>81-100%</v>
      </c>
      <c r="H99" s="523" t="str">
        <f>IF(VLOOKUP(A99,'Charriage - Geschiebehaushalt'!$A$4:$AC$275,23,FALSE)="","",VLOOKUP(A99,'Charriage - Geschiebehaushalt'!$A$4:$AC$275,23,FALSE))</f>
        <v>a</v>
      </c>
      <c r="I99" s="524" t="str">
        <f>IF(VLOOKUP(A99,'Charriage - Geschiebehaushalt'!$A$4:$AC$275,28,FALSE)="","",VLOOKUP(A99,'Charriage - Geschiebehaushalt'!$A$4:$AC$275,28,FALSE))</f>
        <v>81-100%</v>
      </c>
      <c r="J99" s="403" t="str">
        <f>IF(VLOOKUP(A99,'Charriage - Geschiebehaushalt'!$A$4:$AC$275,29,FALSE)="","",VLOOKUP(A99,'Charriage - Geschiebehaushalt'!$A$4:$AC$275,29,FALSE))</f>
        <v>a</v>
      </c>
      <c r="K99" s="533" t="str">
        <f>IF(VLOOKUP(A99,'Débit - Abfluss'!$A$4:$AD$275,8,FALSE)="","",VLOOKUP(A99,'Débit - Abfluss'!$A$4:$AD$275,8,FALSE))</f>
        <v>81-100%</v>
      </c>
      <c r="L99" s="468" t="str">
        <f>IF(VLOOKUP(A99,'Débit - Abfluss'!$A$4:$AD$275,10,FALSE)="","",VLOOKUP(A99,'Débit - Abfluss'!$A$4:$AD$275,10,FALSE))</f>
        <v>81-100%</v>
      </c>
      <c r="M99" s="333" t="str">
        <f>IF(VLOOKUP(A99,'Débit - Abfluss'!$A$4:$AD$275,17,FALSE)="","",VLOOKUP(A99,'Débit - Abfluss'!$A$4:$AD$275,17,FALSE))</f>
        <v>81-100%</v>
      </c>
      <c r="N99" s="340" t="str">
        <f>IF(VLOOKUP(A99,'Eclusée - Schwall-Sunk'!$A$2:$F$273,6,FALSE)="","",VLOOKUP(A99,'Eclusée - Schwall-Sunk'!$A$2:$F$273,6,FALSE))</f>
        <v>Potentiellement affecté mais non plausible / möglicherweise betroffen aber nicht nachweisbar</v>
      </c>
      <c r="O99" s="537"/>
      <c r="P99" s="538"/>
      <c r="Q99" s="284" t="str">
        <f>IF(VLOOKUP(A99,'Revitalisation-Revitalisierung'!$A$4:$Z$275,13,FALSE)="","",VLOOKUP(A99,'Revitalisation-Revitalisierung'!$A$4:$Z$275,13,FALSE))</f>
        <v>Très nécessaire, facile / unbedingt nötig, einfach</v>
      </c>
      <c r="R99" s="541" t="str">
        <f>IF(VLOOKUP(A99,'Revitalisation-Revitalisierung'!$A$4:$Z$275,14,FALSE)="","",VLOOKUP(A99,'Revitalisation-Revitalisierung'!$A$4:$Z$275,14,FALSE))</f>
        <v>b</v>
      </c>
      <c r="S99" s="542" t="str">
        <f>IF(VLOOKUP(A99,'Revitalisation-Revitalisierung'!$A$4:$Z$275,19,FALSE)="","",VLOOKUP(A99,'Revitalisation-Revitalisierung'!$A$4:$Z$275,19,FALSE))</f>
        <v>Non nécessaire / nicht nötig</v>
      </c>
      <c r="T99" s="541" t="str">
        <f>IF(VLOOKUP(A99,'Revitalisation-Revitalisierung'!$A$4:$Z$275,20,FALSE)="","",VLOOKUP(A99,'Revitalisation-Revitalisierung'!$A$4:$Z$275,20,FALSE))</f>
        <v>c</v>
      </c>
      <c r="U99" s="542" t="str">
        <f>IF(VLOOKUP(A99,'Revitalisation-Revitalisierung'!$A$4:$Z$275,25,FALSE)="","",VLOOKUP(A99,'Revitalisation-Revitalisierung'!$A$4:$Z$275,25,FALSE))</f>
        <v>Non nécessaire / nicht nötig</v>
      </c>
      <c r="V99" s="406" t="str">
        <f>IF(VLOOKUP(A99,'Revitalisation-Revitalisierung'!$A$4:$Z$275,26,FALSE)="","",VLOOKUP(A99,'Revitalisation-Revitalisierung'!$A$4:$Z$275,26,FALSE))</f>
        <v>c</v>
      </c>
      <c r="Y99" s="529" t="str">
        <f t="shared" si="8"/>
        <v>81-100%</v>
      </c>
      <c r="Z99" s="568" t="str">
        <f t="shared" si="9"/>
        <v>a</v>
      </c>
      <c r="AA99" s="327" t="str">
        <f t="shared" si="10"/>
        <v>81-100%</v>
      </c>
      <c r="AB99" s="327" t="str">
        <f t="shared" si="11"/>
        <v>Potentiellement affecté mais non plausible / möglicherweise betroffen aber nicht nachweisbar</v>
      </c>
      <c r="AC99" s="276" t="str">
        <f t="shared" si="12"/>
        <v>Non nécessaire / nicht nötig</v>
      </c>
      <c r="AD99" s="570" t="str">
        <f t="shared" si="13"/>
        <v>c</v>
      </c>
      <c r="AE99">
        <v>2</v>
      </c>
      <c r="AF99">
        <v>1</v>
      </c>
    </row>
    <row r="100" spans="1:32" ht="16.5" customHeight="1" x14ac:dyDescent="0.25">
      <c r="A100" s="926">
        <v>88</v>
      </c>
      <c r="B100" s="400" t="s">
        <v>65</v>
      </c>
      <c r="C100" s="400" t="s">
        <v>63</v>
      </c>
      <c r="D100" s="401" t="s">
        <v>35</v>
      </c>
      <c r="E100" s="522" t="str">
        <f>IF(VLOOKUP(A100,'Charriage - Geschiebehaushalt'!$A$4:$AC$275,17,FALSE)="","",VLOOKUP(A100,'Charriage - Geschiebehaushalt'!$A$4:$AC$275,17,FALSE))</f>
        <v>81 -100%</v>
      </c>
      <c r="F100" s="523" t="str">
        <f>IF(VLOOKUP(A100,'Charriage - Geschiebehaushalt'!$A$4:$AC$275,18,FALSE)="","",VLOOKUP(A100,'Charriage - Geschiebehaushalt'!$A$4:$AC$275,18,FALSE))</f>
        <v>a</v>
      </c>
      <c r="G100" s="524" t="str">
        <f>IF(VLOOKUP(A100,'Charriage - Geschiebehaushalt'!$A$4:$AC$275,22,FALSE)="","",VLOOKUP(A100,'Charriage - Geschiebehaushalt'!$A$4:$AC$275,22,FALSE))</f>
        <v>81-100%</v>
      </c>
      <c r="H100" s="523" t="str">
        <f>IF(VLOOKUP(A100,'Charriage - Geschiebehaushalt'!$A$4:$AC$275,23,FALSE)="","",VLOOKUP(A100,'Charriage - Geschiebehaushalt'!$A$4:$AC$275,23,FALSE))</f>
        <v>a</v>
      </c>
      <c r="I100" s="524" t="str">
        <f>IF(VLOOKUP(A100,'Charriage - Geschiebehaushalt'!$A$4:$AC$275,28,FALSE)="","",VLOOKUP(A100,'Charriage - Geschiebehaushalt'!$A$4:$AC$275,28,FALSE))</f>
        <v>81-100%</v>
      </c>
      <c r="J100" s="403" t="str">
        <f>IF(VLOOKUP(A100,'Charriage - Geschiebehaushalt'!$A$4:$AC$275,29,FALSE)="","",VLOOKUP(A100,'Charriage - Geschiebehaushalt'!$A$4:$AC$275,29,FALSE))</f>
        <v>a</v>
      </c>
      <c r="K100" s="533" t="str">
        <f>IF(VLOOKUP(A100,'Débit - Abfluss'!$A$4:$AD$275,8,FALSE)="","",VLOOKUP(A100,'Débit - Abfluss'!$A$4:$AD$275,8,FALSE))</f>
        <v>81-100%</v>
      </c>
      <c r="L100" s="468" t="str">
        <f>IF(VLOOKUP(A100,'Débit - Abfluss'!$A$4:$AD$275,10,FALSE)="","",VLOOKUP(A100,'Débit - Abfluss'!$A$4:$AD$275,10,FALSE))</f>
        <v>81-100%</v>
      </c>
      <c r="M100" s="333" t="str">
        <f>IF(VLOOKUP(A100,'Débit - Abfluss'!$A$4:$AD$275,17,FALSE)="","",VLOOKUP(A100,'Débit - Abfluss'!$A$4:$AD$275,17,FALSE))</f>
        <v>81-100%</v>
      </c>
      <c r="N100" s="340" t="str">
        <f>IF(VLOOKUP(A100,'Eclusée - Schwall-Sunk'!$A$2:$F$273,6,FALSE)="","",VLOOKUP(A100,'Eclusée - Schwall-Sunk'!$A$2:$F$273,6,FALSE))</f>
        <v>Potentiellement affecté mais non plausible / möglicherweise betroffen aber nicht nachweisbar</v>
      </c>
      <c r="O100" s="537"/>
      <c r="P100" s="538"/>
      <c r="Q100" s="284" t="str">
        <f>IF(VLOOKUP(A100,'Revitalisation-Revitalisierung'!$A$4:$Z$275,13,FALSE)="","",VLOOKUP(A100,'Revitalisation-Revitalisierung'!$A$4:$Z$275,13,FALSE))</f>
        <v>Très nécessaire, difficile / unbedingt nötig, schwierig</v>
      </c>
      <c r="R100" s="541" t="str">
        <f>IF(VLOOKUP(A100,'Revitalisation-Revitalisierung'!$A$4:$Z$275,14,FALSE)="","",VLOOKUP(A100,'Revitalisation-Revitalisierung'!$A$4:$Z$275,14,FALSE))</f>
        <v>b</v>
      </c>
      <c r="S100" s="542" t="str">
        <f>IF(VLOOKUP(A100,'Revitalisation-Revitalisierung'!$A$4:$Z$275,19,FALSE)="","",VLOOKUP(A100,'Revitalisation-Revitalisierung'!$A$4:$Z$275,19,FALSE))</f>
        <v>Très nécessaire, difficile / unbedingt nötig, schwierig</v>
      </c>
      <c r="T100" s="541" t="str">
        <f>IF(VLOOKUP(A100,'Revitalisation-Revitalisierung'!$A$4:$Z$275,20,FALSE)="","",VLOOKUP(A100,'Revitalisation-Revitalisierung'!$A$4:$Z$275,20,FALSE))</f>
        <v>d</v>
      </c>
      <c r="U100" s="542" t="str">
        <f>IF(VLOOKUP(A100,'Revitalisation-Revitalisierung'!$A$4:$Z$275,25,FALSE)="","",VLOOKUP(A100,'Revitalisation-Revitalisierung'!$A$4:$Z$275,25,FALSE))</f>
        <v>Partiellement nécessaire, facile / teilweise nötig, einfach</v>
      </c>
      <c r="V100" s="406" t="str">
        <f>IF(VLOOKUP(A100,'Revitalisation-Revitalisierung'!$A$4:$Z$275,26,FALSE)="","",VLOOKUP(A100,'Revitalisation-Revitalisierung'!$A$4:$Z$275,26,FALSE))</f>
        <v>e</v>
      </c>
      <c r="Y100" s="529" t="str">
        <f t="shared" si="8"/>
        <v>81-100%</v>
      </c>
      <c r="Z100" s="568" t="str">
        <f t="shared" si="9"/>
        <v>a</v>
      </c>
      <c r="AA100" s="327" t="str">
        <f t="shared" si="10"/>
        <v>81-100%</v>
      </c>
      <c r="AB100" s="327" t="str">
        <f t="shared" si="11"/>
        <v>Potentiellement affecté mais non plausible / möglicherweise betroffen aber nicht nachweisbar</v>
      </c>
      <c r="AC100" s="276" t="str">
        <f t="shared" si="12"/>
        <v>Partiellement nécessaire, facile / teilweise nötig, einfach</v>
      </c>
      <c r="AD100" s="570" t="str">
        <f t="shared" si="13"/>
        <v>e</v>
      </c>
      <c r="AE100">
        <v>4</v>
      </c>
      <c r="AF100">
        <v>1</v>
      </c>
    </row>
    <row r="101" spans="1:32" ht="16.5" customHeight="1" x14ac:dyDescent="0.25">
      <c r="A101" s="926">
        <v>91</v>
      </c>
      <c r="B101" s="400" t="s">
        <v>66</v>
      </c>
      <c r="C101" s="400" t="s">
        <v>63</v>
      </c>
      <c r="D101" s="401" t="s">
        <v>35</v>
      </c>
      <c r="E101" s="522" t="str">
        <f>IF(VLOOKUP(A101,'Charriage - Geschiebehaushalt'!$A$4:$AC$275,17,FALSE)="","",VLOOKUP(A101,'Charriage - Geschiebehaushalt'!$A$4:$AC$275,17,FALSE))</f>
        <v>51-80%</v>
      </c>
      <c r="F101" s="523" t="str">
        <f>IF(VLOOKUP(A101,'Charriage - Geschiebehaushalt'!$A$4:$AC$275,18,FALSE)="","",VLOOKUP(A101,'Charriage - Geschiebehaushalt'!$A$4:$AC$275,18,FALSE))</f>
        <v>a</v>
      </c>
      <c r="G101" s="524" t="str">
        <f>IF(VLOOKUP(A101,'Charriage - Geschiebehaushalt'!$A$4:$AC$275,22,FALSE)="","",VLOOKUP(A101,'Charriage - Geschiebehaushalt'!$A$4:$AC$275,22,FALSE))</f>
        <v>51-80%</v>
      </c>
      <c r="H101" s="523" t="str">
        <f>IF(VLOOKUP(A101,'Charriage - Geschiebehaushalt'!$A$4:$AC$275,23,FALSE)="","",VLOOKUP(A101,'Charriage - Geschiebehaushalt'!$A$4:$AC$275,23,FALSE))</f>
        <v>a</v>
      </c>
      <c r="I101" s="524" t="str">
        <f>IF(VLOOKUP(A101,'Charriage - Geschiebehaushalt'!$A$4:$AC$275,28,FALSE)="","",VLOOKUP(A101,'Charriage - Geschiebehaushalt'!$A$4:$AC$275,28,FALSE))</f>
        <v>51-80%</v>
      </c>
      <c r="J101" s="403" t="str">
        <f>IF(VLOOKUP(A101,'Charriage - Geschiebehaushalt'!$A$4:$AC$275,29,FALSE)="","",VLOOKUP(A101,'Charriage - Geschiebehaushalt'!$A$4:$AC$275,29,FALSE))</f>
        <v>a</v>
      </c>
      <c r="K101" s="533" t="str">
        <f>IF(VLOOKUP(A101,'Débit - Abfluss'!$A$4:$AD$275,8,FALSE)="","",VLOOKUP(A101,'Débit - Abfluss'!$A$4:$AD$275,8,FALSE))</f>
        <v>non pertinent / nicht relevant</v>
      </c>
      <c r="L101" s="468" t="str">
        <f>IF(VLOOKUP(A101,'Débit - Abfluss'!$A$4:$AD$275,10,FALSE)="","",VLOOKUP(A101,'Débit - Abfluss'!$A$4:$AD$275,10,FALSE))</f>
        <v>non pertinent / nicht relevant</v>
      </c>
      <c r="M101" s="333" t="str">
        <f>IF(VLOOKUP(A101,'Débit - Abfluss'!$A$4:$AD$275,17,FALSE)="","",VLOOKUP(A101,'Débit - Abfluss'!$A$4:$AD$275,17,FALSE))</f>
        <v>100%</v>
      </c>
      <c r="N101" s="340" t="str">
        <f>IF(VLOOKUP(A101,'Eclusée - Schwall-Sunk'!$A$2:$F$273,6,FALSE)="","",VLOOKUP(A101,'Eclusée - Schwall-Sunk'!$A$2:$F$273,6,FALSE))</f>
        <v>Non affecté / nicht betroffen</v>
      </c>
      <c r="O101" s="537"/>
      <c r="P101" s="538"/>
      <c r="Q101" s="284" t="str">
        <f>IF(VLOOKUP(A101,'Revitalisation-Revitalisierung'!$A$4:$Z$275,13,FALSE)="","",VLOOKUP(A101,'Revitalisation-Revitalisierung'!$A$4:$Z$275,13,FALSE))</f>
        <v>Très nécessaire, facile / unbedingt nötig, einfach</v>
      </c>
      <c r="R101" s="541" t="str">
        <f>IF(VLOOKUP(A101,'Revitalisation-Revitalisierung'!$A$4:$Z$275,14,FALSE)="","",VLOOKUP(A101,'Revitalisation-Revitalisierung'!$A$4:$Z$275,14,FALSE))</f>
        <v>a</v>
      </c>
      <c r="S101" s="542" t="str">
        <f>IF(VLOOKUP(A101,'Revitalisation-Revitalisierung'!$A$4:$Z$275,19,FALSE)="","",VLOOKUP(A101,'Revitalisation-Revitalisierung'!$A$4:$Z$275,19,FALSE))</f>
        <v>Très nécessaire, facile / unbedingt nötig, einfach</v>
      </c>
      <c r="T101" s="541" t="str">
        <f>IF(VLOOKUP(A101,'Revitalisation-Revitalisierung'!$A$4:$Z$275,20,FALSE)="","",VLOOKUP(A101,'Revitalisation-Revitalisierung'!$A$4:$Z$275,20,FALSE))</f>
        <v>a</v>
      </c>
      <c r="U101" s="542" t="str">
        <f>IF(VLOOKUP(A101,'Revitalisation-Revitalisierung'!$A$4:$Z$275,25,FALSE)="","",VLOOKUP(A101,'Revitalisation-Revitalisierung'!$A$4:$Z$275,25,FALSE))</f>
        <v>Partiellement nécessaire, difficile / teilweise nötig, schwierig</v>
      </c>
      <c r="V101" s="406" t="str">
        <f>IF(VLOOKUP(A101,'Revitalisation-Revitalisierung'!$A$4:$Z$275,26,FALSE)="","",VLOOKUP(A101,'Revitalisation-Revitalisierung'!$A$4:$Z$275,26,FALSE))</f>
        <v>e</v>
      </c>
      <c r="Y101" s="529" t="str">
        <f t="shared" si="8"/>
        <v>51-80%</v>
      </c>
      <c r="Z101" s="568" t="str">
        <f t="shared" si="9"/>
        <v>a</v>
      </c>
      <c r="AA101" s="327" t="str">
        <f t="shared" si="10"/>
        <v>100%</v>
      </c>
      <c r="AB101" s="327" t="str">
        <f t="shared" si="11"/>
        <v>Non affecté / nicht betroffen</v>
      </c>
      <c r="AC101" s="276" t="str">
        <f t="shared" si="12"/>
        <v>Partiellement nécessaire, difficile / teilweise nötig, schwierig</v>
      </c>
      <c r="AD101" s="570" t="str">
        <f t="shared" si="13"/>
        <v>e</v>
      </c>
      <c r="AE101">
        <v>3</v>
      </c>
      <c r="AF101">
        <v>1</v>
      </c>
    </row>
    <row r="102" spans="1:32" ht="16.5" customHeight="1" x14ac:dyDescent="0.25">
      <c r="A102" s="926">
        <v>92</v>
      </c>
      <c r="B102" s="400" t="s">
        <v>79</v>
      </c>
      <c r="C102" s="400" t="s">
        <v>63</v>
      </c>
      <c r="D102" s="401" t="s">
        <v>78</v>
      </c>
      <c r="E102" s="522" t="str">
        <f>IF(VLOOKUP(A102,'Charriage - Geschiebehaushalt'!$A$4:$AC$275,17,FALSE)="","",VLOOKUP(A102,'Charriage - Geschiebehaushalt'!$A$4:$AC$275,17,FALSE))</f>
        <v>51-80%</v>
      </c>
      <c r="F102" s="523" t="str">
        <f>IF(VLOOKUP(A102,'Charriage - Geschiebehaushalt'!$A$4:$AC$275,18,FALSE)="","",VLOOKUP(A102,'Charriage - Geschiebehaushalt'!$A$4:$AC$275,18,FALSE))</f>
        <v>a</v>
      </c>
      <c r="G102" s="524" t="str">
        <f>IF(VLOOKUP(A102,'Charriage - Geschiebehaushalt'!$A$4:$AC$275,22,FALSE)="","",VLOOKUP(A102,'Charriage - Geschiebehaushalt'!$A$4:$AC$275,22,FALSE))</f>
        <v>51-80%</v>
      </c>
      <c r="H102" s="523" t="str">
        <f>IF(VLOOKUP(A102,'Charriage - Geschiebehaushalt'!$A$4:$AC$275,23,FALSE)="","",VLOOKUP(A102,'Charriage - Geschiebehaushalt'!$A$4:$AC$275,23,FALSE))</f>
        <v>d</v>
      </c>
      <c r="I102" s="524" t="str">
        <f>IF(VLOOKUP(A102,'Charriage - Geschiebehaushalt'!$A$4:$AC$275,28,FALSE)="","",VLOOKUP(A102,'Charriage - Geschiebehaushalt'!$A$4:$AC$275,28,FALSE))</f>
        <v>51-80%</v>
      </c>
      <c r="J102" s="403" t="str">
        <f>IF(VLOOKUP(A102,'Charriage - Geschiebehaushalt'!$A$4:$AC$275,29,FALSE)="","",VLOOKUP(A102,'Charriage - Geschiebehaushalt'!$A$4:$AC$275,29,FALSE))</f>
        <v>d</v>
      </c>
      <c r="K102" s="533" t="str">
        <f>IF(VLOOKUP(A102,'Débit - Abfluss'!$A$4:$AD$275,8,FALSE)="","",VLOOKUP(A102,'Débit - Abfluss'!$A$4:$AD$275,8,FALSE))</f>
        <v>81-100%</v>
      </c>
      <c r="L102" s="468" t="str">
        <f>IF(VLOOKUP(A102,'Débit - Abfluss'!$A$4:$AD$275,10,FALSE)="","",VLOOKUP(A102,'Débit - Abfluss'!$A$4:$AD$275,10,FALSE))</f>
        <v>81-100%</v>
      </c>
      <c r="M102" s="333" t="str">
        <f>IF(VLOOKUP(A102,'Débit - Abfluss'!$A$4:$AD$275,17,FALSE)="","",VLOOKUP(A102,'Débit - Abfluss'!$A$4:$AD$275,17,FALSE))</f>
        <v>81-100%</v>
      </c>
      <c r="N102" s="340" t="str">
        <f>IF(VLOOKUP(A102,'Eclusée - Schwall-Sunk'!$A$2:$F$273,6,FALSE)="","",VLOOKUP(A102,'Eclusée - Schwall-Sunk'!$A$2:$F$273,6,FALSE))</f>
        <v>Non affecté / nicht betroffen</v>
      </c>
      <c r="O102" s="537"/>
      <c r="P102" s="538"/>
      <c r="Q102" s="284" t="str">
        <f>IF(VLOOKUP(A102,'Revitalisation-Revitalisierung'!$A$4:$Z$275,13,FALSE)="","",VLOOKUP(A102,'Revitalisation-Revitalisierung'!$A$4:$Z$275,13,FALSE))</f>
        <v>Très nécessaire, facile / unbedingt nötig, einfach</v>
      </c>
      <c r="R102" s="541" t="str">
        <f>IF(VLOOKUP(A102,'Revitalisation-Revitalisierung'!$A$4:$Z$275,14,FALSE)="","",VLOOKUP(A102,'Revitalisation-Revitalisierung'!$A$4:$Z$275,14,FALSE))</f>
        <v>b</v>
      </c>
      <c r="S102" s="542" t="str">
        <f>IF(VLOOKUP(A102,'Revitalisation-Revitalisierung'!$A$4:$Z$275,19,FALSE)="","",VLOOKUP(A102,'Revitalisation-Revitalisierung'!$A$4:$Z$275,19,FALSE))</f>
        <v>Très nécessaire, facile / unbedingt nötig, einfach</v>
      </c>
      <c r="T102" s="541" t="str">
        <f>IF(VLOOKUP(A102,'Revitalisation-Revitalisierung'!$A$4:$Z$275,20,FALSE)="","",VLOOKUP(A102,'Revitalisation-Revitalisierung'!$A$4:$Z$275,20,FALSE))</f>
        <v>d</v>
      </c>
      <c r="U102" s="542" t="str">
        <f>IF(VLOOKUP(A102,'Revitalisation-Revitalisierung'!$A$4:$Z$275,25,FALSE)="","",VLOOKUP(A102,'Revitalisation-Revitalisierung'!$A$4:$Z$275,25,FALSE))</f>
        <v>Partiellement nécessaire, difficile / teilweise nötig, schwierig</v>
      </c>
      <c r="V102" s="406" t="str">
        <f>IF(VLOOKUP(A102,'Revitalisation-Revitalisierung'!$A$4:$Z$275,26,FALSE)="","",VLOOKUP(A102,'Revitalisation-Revitalisierung'!$A$4:$Z$275,26,FALSE))</f>
        <v>e</v>
      </c>
      <c r="Y102" s="529" t="str">
        <f t="shared" si="8"/>
        <v>51-80%</v>
      </c>
      <c r="Z102" s="568" t="str">
        <f t="shared" si="9"/>
        <v>d</v>
      </c>
      <c r="AA102" s="327" t="str">
        <f t="shared" si="10"/>
        <v>81-100%</v>
      </c>
      <c r="AB102" s="327" t="str">
        <f t="shared" si="11"/>
        <v>Non affecté / nicht betroffen</v>
      </c>
      <c r="AC102" s="276" t="str">
        <f t="shared" si="12"/>
        <v>Partiellement nécessaire, difficile / teilweise nötig, schwierig</v>
      </c>
      <c r="AD102" s="570" t="str">
        <f t="shared" si="13"/>
        <v>e</v>
      </c>
      <c r="AE102">
        <v>3</v>
      </c>
      <c r="AF102">
        <v>1</v>
      </c>
    </row>
    <row r="103" spans="1:32" ht="16.5" customHeight="1" x14ac:dyDescent="0.25">
      <c r="A103" s="926">
        <v>95</v>
      </c>
      <c r="B103" s="400" t="s">
        <v>75</v>
      </c>
      <c r="C103" s="400" t="s">
        <v>63</v>
      </c>
      <c r="D103" s="401" t="s">
        <v>74</v>
      </c>
      <c r="E103" s="522" t="str">
        <f>IF(VLOOKUP(A103,'Charriage - Geschiebehaushalt'!$A$4:$AC$275,17,FALSE)="","",VLOOKUP(A103,'Charriage - Geschiebehaushalt'!$A$4:$AC$275,17,FALSE))</f>
        <v>51-80%</v>
      </c>
      <c r="F103" s="523" t="str">
        <f>IF(VLOOKUP(A103,'Charriage - Geschiebehaushalt'!$A$4:$AC$275,18,FALSE)="","",VLOOKUP(A103,'Charriage - Geschiebehaushalt'!$A$4:$AC$275,18,FALSE))</f>
        <v>a</v>
      </c>
      <c r="G103" s="524" t="str">
        <f>IF(VLOOKUP(A103,'Charriage - Geschiebehaushalt'!$A$4:$AC$275,22,FALSE)="","",VLOOKUP(A103,'Charriage - Geschiebehaushalt'!$A$4:$AC$275,22,FALSE))</f>
        <v>51-80%</v>
      </c>
      <c r="H103" s="523" t="str">
        <f>IF(VLOOKUP(A103,'Charriage - Geschiebehaushalt'!$A$4:$AC$275,23,FALSE)="","",VLOOKUP(A103,'Charriage - Geschiebehaushalt'!$A$4:$AC$275,23,FALSE))</f>
        <v>d</v>
      </c>
      <c r="I103" s="524" t="str">
        <f>IF(VLOOKUP(A103,'Charriage - Geschiebehaushalt'!$A$4:$AC$275,28,FALSE)="","",VLOOKUP(A103,'Charriage - Geschiebehaushalt'!$A$4:$AC$275,28,FALSE))</f>
        <v>51-80%</v>
      </c>
      <c r="J103" s="403" t="str">
        <f>IF(VLOOKUP(A103,'Charriage - Geschiebehaushalt'!$A$4:$AC$275,29,FALSE)="","",VLOOKUP(A103,'Charriage - Geschiebehaushalt'!$A$4:$AC$275,29,FALSE))</f>
        <v>d</v>
      </c>
      <c r="K103" s="533" t="str">
        <f>IF(VLOOKUP(A103,'Débit - Abfluss'!$A$4:$AD$275,8,FALSE)="","",VLOOKUP(A103,'Débit - Abfluss'!$A$4:$AD$275,8,FALSE))</f>
        <v>81-100%</v>
      </c>
      <c r="L103" s="468" t="str">
        <f>IF(VLOOKUP(A103,'Débit - Abfluss'!$A$4:$AD$275,10,FALSE)="","",VLOOKUP(A103,'Débit - Abfluss'!$A$4:$AD$275,10,FALSE))</f>
        <v>81-100%</v>
      </c>
      <c r="M103" s="333" t="str">
        <f>IF(VLOOKUP(A103,'Débit - Abfluss'!$A$4:$AD$275,17,FALSE)="","",VLOOKUP(A103,'Débit - Abfluss'!$A$4:$AD$275,17,FALSE))</f>
        <v>81-100%</v>
      </c>
      <c r="N103" s="340" t="str">
        <f>IF(VLOOKUP(A103,'Eclusée - Schwall-Sunk'!$A$2:$F$273,6,FALSE)="","",VLOOKUP(A103,'Eclusée - Schwall-Sunk'!$A$2:$F$273,6,FALSE))</f>
        <v>Non affecté / nicht betroffen</v>
      </c>
      <c r="O103" s="537"/>
      <c r="P103" s="538"/>
      <c r="Q103" s="284" t="str">
        <f>IF(VLOOKUP(A103,'Revitalisation-Revitalisierung'!$A$4:$Z$275,13,FALSE)="","",VLOOKUP(A103,'Revitalisation-Revitalisierung'!$A$4:$Z$275,13,FALSE))</f>
        <v>Très nécessaire, facile / unbedingt nötig, einfach</v>
      </c>
      <c r="R103" s="541" t="str">
        <f>IF(VLOOKUP(A103,'Revitalisation-Revitalisierung'!$A$4:$Z$275,14,FALSE)="","",VLOOKUP(A103,'Revitalisation-Revitalisierung'!$A$4:$Z$275,14,FALSE))</f>
        <v>b</v>
      </c>
      <c r="S103" s="542" t="str">
        <f>IF(VLOOKUP(A103,'Revitalisation-Revitalisierung'!$A$4:$Z$275,19,FALSE)="","",VLOOKUP(A103,'Revitalisation-Revitalisierung'!$A$4:$Z$275,19,FALSE))</f>
        <v>Très nécessaire, facile / unbedingt nötig, einfach</v>
      </c>
      <c r="T103" s="541" t="str">
        <f>IF(VLOOKUP(A103,'Revitalisation-Revitalisierung'!$A$4:$Z$275,20,FALSE)="","",VLOOKUP(A103,'Revitalisation-Revitalisierung'!$A$4:$Z$275,20,FALSE))</f>
        <v>d</v>
      </c>
      <c r="U103" s="542" t="str">
        <f>IF(VLOOKUP(A103,'Revitalisation-Revitalisierung'!$A$4:$Z$275,25,FALSE)="","",VLOOKUP(A103,'Revitalisation-Revitalisierung'!$A$4:$Z$275,25,FALSE))</f>
        <v>Partiellement nécessaire, difficile / teilweise nötig, schwierig</v>
      </c>
      <c r="V103" s="406" t="str">
        <f>IF(VLOOKUP(A103,'Revitalisation-Revitalisierung'!$A$4:$Z$275,26,FALSE)="","",VLOOKUP(A103,'Revitalisation-Revitalisierung'!$A$4:$Z$275,26,FALSE))</f>
        <v>e</v>
      </c>
      <c r="Y103" s="529" t="str">
        <f t="shared" si="8"/>
        <v>51-80%</v>
      </c>
      <c r="Z103" s="568" t="str">
        <f t="shared" si="9"/>
        <v>d</v>
      </c>
      <c r="AA103" s="327" t="str">
        <f t="shared" si="10"/>
        <v>81-100%</v>
      </c>
      <c r="AB103" s="327" t="str">
        <f t="shared" si="11"/>
        <v>Non affecté / nicht betroffen</v>
      </c>
      <c r="AC103" s="276" t="str">
        <f t="shared" si="12"/>
        <v>Partiellement nécessaire, difficile / teilweise nötig, schwierig</v>
      </c>
      <c r="AD103" s="570" t="str">
        <f t="shared" si="13"/>
        <v>e</v>
      </c>
      <c r="AE103">
        <v>3</v>
      </c>
      <c r="AF103">
        <v>1</v>
      </c>
    </row>
    <row r="104" spans="1:32" ht="16.5" customHeight="1" x14ac:dyDescent="0.25">
      <c r="A104" s="926">
        <v>97</v>
      </c>
      <c r="B104" s="400" t="s">
        <v>688</v>
      </c>
      <c r="C104" s="400" t="s">
        <v>689</v>
      </c>
      <c r="D104" s="401" t="s">
        <v>687</v>
      </c>
      <c r="E104" s="522" t="str">
        <f>IF(VLOOKUP(A104,'Charriage - Geschiebehaushalt'!$A$4:$AC$275,17,FALSE)="","",VLOOKUP(A104,'Charriage - Geschiebehaushalt'!$A$4:$AC$275,17,FALSE))</f>
        <v>Charriage présumé perturbé / Geschiebehaushalt vermutlich beeinträchtigt</v>
      </c>
      <c r="F104" s="523" t="str">
        <f>IF(VLOOKUP(A104,'Charriage - Geschiebehaushalt'!$A$4:$AC$275,18,FALSE)="","",VLOOKUP(A104,'Charriage - Geschiebehaushalt'!$A$4:$AC$275,18,FALSE))</f>
        <v>b</v>
      </c>
      <c r="G104" s="524" t="str">
        <f>IF(VLOOKUP(A104,'Charriage - Geschiebehaushalt'!$A$4:$AC$275,22,FALSE)="","",VLOOKUP(A104,'Charriage - Geschiebehaushalt'!$A$4:$AC$275,22,FALSE))</f>
        <v>51-80%</v>
      </c>
      <c r="H104" s="523" t="str">
        <f>IF(VLOOKUP(A104,'Charriage - Geschiebehaushalt'!$A$4:$AC$275,23,FALSE)="","",VLOOKUP(A104,'Charriage - Geschiebehaushalt'!$A$4:$AC$275,23,FALSE))</f>
        <v>b</v>
      </c>
      <c r="I104" s="524" t="str">
        <f>IF(VLOOKUP(A104,'Charriage - Geschiebehaushalt'!$A$4:$AC$275,28,FALSE)="","",VLOOKUP(A104,'Charriage - Geschiebehaushalt'!$A$4:$AC$275,28,FALSE))</f>
        <v>51-80%</v>
      </c>
      <c r="J104" s="403" t="str">
        <f>IF(VLOOKUP(A104,'Charriage - Geschiebehaushalt'!$A$4:$AC$275,29,FALSE)="","",VLOOKUP(A104,'Charriage - Geschiebehaushalt'!$A$4:$AC$275,29,FALSE))</f>
        <v>b</v>
      </c>
      <c r="K104" s="533" t="str">
        <f>IF(VLOOKUP(A104,'Débit - Abfluss'!$A$4:$AD$275,8,FALSE)="","",VLOOKUP(A104,'Débit - Abfluss'!$A$4:$AD$275,8,FALSE))</f>
        <v>81-100%</v>
      </c>
      <c r="L104" s="468" t="str">
        <f>IF(VLOOKUP(A104,'Débit - Abfluss'!$A$4:$AD$275,10,FALSE)="","",VLOOKUP(A104,'Débit - Abfluss'!$A$4:$AD$275,10,FALSE))</f>
        <v>81-100%</v>
      </c>
      <c r="M104" s="333" t="str">
        <f>IF(VLOOKUP(A104,'Débit - Abfluss'!$A$4:$AD$275,17,FALSE)="","",VLOOKUP(A104,'Débit - Abfluss'!$A$4:$AD$275,17,FALSE))</f>
        <v>81-100%</v>
      </c>
      <c r="N104" s="340" t="str">
        <f>IF(VLOOKUP(A104,'Eclusée - Schwall-Sunk'!$A$2:$F$273,6,FALSE)="","",VLOOKUP(A104,'Eclusée - Schwall-Sunk'!$A$2:$F$273,6,FALSE))</f>
        <v>Potentiellement affecté mais non plausible / möglicherweise betroffen aber nicht nachweisbar</v>
      </c>
      <c r="O104" s="537"/>
      <c r="P104" s="538"/>
      <c r="Q104" s="284" t="str">
        <f>IF(VLOOKUP(A104,'Revitalisation-Revitalisierung'!$A$4:$Z$275,13,FALSE)="","",VLOOKUP(A104,'Revitalisation-Revitalisierung'!$A$4:$Z$275,13,FALSE))</f>
        <v>Non nécessaire / nicht nötig</v>
      </c>
      <c r="R104" s="541" t="str">
        <f>IF(VLOOKUP(A104,'Revitalisation-Revitalisierung'!$A$4:$Z$275,14,FALSE)="","",VLOOKUP(A104,'Revitalisation-Revitalisierung'!$A$4:$Z$275,14,FALSE))</f>
        <v>a</v>
      </c>
      <c r="S104" s="542" t="str">
        <f>IF(VLOOKUP(A104,'Revitalisation-Revitalisierung'!$A$4:$Z$275,19,FALSE)="","",VLOOKUP(A104,'Revitalisation-Revitalisierung'!$A$4:$Z$275,19,FALSE))</f>
        <v>Non nécessaire / nicht nötig</v>
      </c>
      <c r="T104" s="541" t="str">
        <f>IF(VLOOKUP(A104,'Revitalisation-Revitalisierung'!$A$4:$Z$275,20,FALSE)="","",VLOOKUP(A104,'Revitalisation-Revitalisierung'!$A$4:$Z$275,20,FALSE))</f>
        <v>a</v>
      </c>
      <c r="U104" s="542" t="str">
        <f>IF(VLOOKUP(A104,'Revitalisation-Revitalisierung'!$A$4:$Z$275,25,FALSE)="","",VLOOKUP(A104,'Revitalisation-Revitalisierung'!$A$4:$Z$275,25,FALSE))</f>
        <v>Non nécessaire / nicht nötig</v>
      </c>
      <c r="V104" s="406" t="str">
        <f>IF(VLOOKUP(A104,'Revitalisation-Revitalisierung'!$A$4:$Z$275,26,FALSE)="","",VLOOKUP(A104,'Revitalisation-Revitalisierung'!$A$4:$Z$275,26,FALSE))</f>
        <v>a</v>
      </c>
      <c r="Y104" s="529" t="str">
        <f t="shared" si="8"/>
        <v>51-80%</v>
      </c>
      <c r="Z104" s="568" t="str">
        <f t="shared" si="9"/>
        <v>b</v>
      </c>
      <c r="AA104" s="327" t="str">
        <f t="shared" si="10"/>
        <v>81-100%</v>
      </c>
      <c r="AB104" s="327" t="str">
        <f t="shared" si="11"/>
        <v>Potentiellement affecté mais non plausible / möglicherweise betroffen aber nicht nachweisbar</v>
      </c>
      <c r="AC104" s="276" t="str">
        <f t="shared" si="12"/>
        <v>Non nécessaire / nicht nötig</v>
      </c>
      <c r="AD104" s="570" t="str">
        <f t="shared" si="13"/>
        <v>a</v>
      </c>
      <c r="AE104">
        <v>3</v>
      </c>
      <c r="AF104">
        <v>1</v>
      </c>
    </row>
    <row r="105" spans="1:32" ht="16.5" customHeight="1" x14ac:dyDescent="0.25">
      <c r="A105" s="926">
        <v>98</v>
      </c>
      <c r="B105" s="400" t="s">
        <v>377</v>
      </c>
      <c r="C105" s="400" t="s">
        <v>378</v>
      </c>
      <c r="D105" s="401" t="s">
        <v>376</v>
      </c>
      <c r="E105" s="522" t="str">
        <f>IF(VLOOKUP(A105,'Charriage - Geschiebehaushalt'!$A$4:$AC$275,17,FALSE)="","",VLOOKUP(A105,'Charriage - Geschiebehaushalt'!$A$4:$AC$275,17,FALSE))</f>
        <v>0-20%</v>
      </c>
      <c r="F105" s="523" t="str">
        <f>IF(VLOOKUP(A105,'Charriage - Geschiebehaushalt'!$A$4:$AC$275,18,FALSE)="","",VLOOKUP(A105,'Charriage - Geschiebehaushalt'!$A$4:$AC$275,18,FALSE))</f>
        <v>a</v>
      </c>
      <c r="G105" s="524" t="str">
        <f>IF(VLOOKUP(A105,'Charriage - Geschiebehaushalt'!$A$4:$AC$275,22,FALSE)="","",VLOOKUP(A105,'Charriage - Geschiebehaushalt'!$A$4:$AC$275,22,FALSE))</f>
        <v>21-50%</v>
      </c>
      <c r="H105" s="523" t="str">
        <f>IF(VLOOKUP(A105,'Charriage - Geschiebehaushalt'!$A$4:$AC$275,23,FALSE)="","",VLOOKUP(A105,'Charriage - Geschiebehaushalt'!$A$4:$AC$275,23,FALSE))</f>
        <v>c</v>
      </c>
      <c r="I105" s="524" t="str">
        <f>IF(VLOOKUP(A105,'Charriage - Geschiebehaushalt'!$A$4:$AC$275,28,FALSE)="","",VLOOKUP(A105,'Charriage - Geschiebehaushalt'!$A$4:$AC$275,28,FALSE))</f>
        <v>21-50%</v>
      </c>
      <c r="J105" s="403" t="str">
        <f>IF(VLOOKUP(A105,'Charriage - Geschiebehaushalt'!$A$4:$AC$275,29,FALSE)="","",VLOOKUP(A105,'Charriage - Geschiebehaushalt'!$A$4:$AC$275,29,FALSE))</f>
        <v>c</v>
      </c>
      <c r="K105" s="533" t="str">
        <f>IF(VLOOKUP(A105,'Débit - Abfluss'!$A$4:$AD$275,8,FALSE)="","",VLOOKUP(A105,'Débit - Abfluss'!$A$4:$AD$275,8,FALSE))</f>
        <v>100%</v>
      </c>
      <c r="L105" s="468" t="str">
        <f>IF(VLOOKUP(A105,'Débit - Abfluss'!$A$4:$AD$275,10,FALSE)="","",VLOOKUP(A105,'Débit - Abfluss'!$A$4:$AD$275,10,FALSE))</f>
        <v>100%</v>
      </c>
      <c r="M105" s="333" t="str">
        <f>IF(VLOOKUP(A105,'Débit - Abfluss'!$A$4:$AD$275,17,FALSE)="","",VLOOKUP(A105,'Débit - Abfluss'!$A$4:$AD$275,17,FALSE))</f>
        <v>100%</v>
      </c>
      <c r="N105" s="340" t="str">
        <f>IF(VLOOKUP(A105,'Eclusée - Schwall-Sunk'!$A$2:$F$273,6,FALSE)="","",VLOOKUP(A105,'Eclusée - Schwall-Sunk'!$A$2:$F$273,6,FALSE))</f>
        <v>Non affecté / nicht betroffen</v>
      </c>
      <c r="O105" s="537"/>
      <c r="P105" s="538"/>
      <c r="Q105" s="284" t="str">
        <f>IF(VLOOKUP(A105,'Revitalisation-Revitalisierung'!$A$4:$Z$275,13,FALSE)="","",VLOOKUP(A105,'Revitalisation-Revitalisierung'!$A$4:$Z$275,13,FALSE))</f>
        <v>Partiellement nécessaire, facile / teilweise nötig, einfach</v>
      </c>
      <c r="R105" s="541" t="str">
        <f>IF(VLOOKUP(A105,'Revitalisation-Revitalisierung'!$A$4:$Z$275,14,FALSE)="","",VLOOKUP(A105,'Revitalisation-Revitalisierung'!$A$4:$Z$275,14,FALSE))</f>
        <v>a</v>
      </c>
      <c r="S105" s="542" t="str">
        <f>IF(VLOOKUP(A105,'Revitalisation-Revitalisierung'!$A$4:$Z$275,19,FALSE)="","",VLOOKUP(A105,'Revitalisation-Revitalisierung'!$A$4:$Z$275,19,FALSE))</f>
        <v>Partiellement nécessaire, facile / teilweise nötig, einfach</v>
      </c>
      <c r="T105" s="541" t="str">
        <f>IF(VLOOKUP(A105,'Revitalisation-Revitalisierung'!$A$4:$Z$275,20,FALSE)="","",VLOOKUP(A105,'Revitalisation-Revitalisierung'!$A$4:$Z$275,20,FALSE))</f>
        <v>d</v>
      </c>
      <c r="U105" s="542" t="str">
        <f>IF(VLOOKUP(A105,'Revitalisation-Revitalisierung'!$A$4:$Z$275,25,FALSE)="","",VLOOKUP(A105,'Revitalisation-Revitalisierung'!$A$4:$Z$275,25,FALSE))</f>
        <v>Partiellement nécessaire, facile / teilweise nötig, einfach</v>
      </c>
      <c r="V105" s="406" t="str">
        <f>IF(VLOOKUP(A105,'Revitalisation-Revitalisierung'!$A$4:$Z$275,26,FALSE)="","",VLOOKUP(A105,'Revitalisation-Revitalisierung'!$A$4:$Z$275,26,FALSE))</f>
        <v>d</v>
      </c>
      <c r="Y105" s="529" t="str">
        <f t="shared" si="8"/>
        <v>21-50%</v>
      </c>
      <c r="Z105" s="568" t="str">
        <f t="shared" si="9"/>
        <v>c</v>
      </c>
      <c r="AA105" s="327" t="str">
        <f t="shared" si="10"/>
        <v>100%</v>
      </c>
      <c r="AB105" s="327" t="str">
        <f t="shared" si="11"/>
        <v>Non affecté / nicht betroffen</v>
      </c>
      <c r="AC105" s="276" t="str">
        <f t="shared" si="12"/>
        <v>Partiellement nécessaire, facile / teilweise nötig, einfach</v>
      </c>
      <c r="AD105" s="570" t="str">
        <f t="shared" si="13"/>
        <v>d</v>
      </c>
      <c r="AE105">
        <v>2</v>
      </c>
      <c r="AF105">
        <v>1</v>
      </c>
    </row>
    <row r="106" spans="1:32" ht="16.5" customHeight="1" x14ac:dyDescent="0.25">
      <c r="A106" s="926">
        <v>99</v>
      </c>
      <c r="B106" s="400" t="s">
        <v>396</v>
      </c>
      <c r="C106" s="400" t="s">
        <v>397</v>
      </c>
      <c r="D106" s="401" t="s">
        <v>395</v>
      </c>
      <c r="E106" s="522" t="str">
        <f>IF(VLOOKUP(A106,'Charriage - Geschiebehaushalt'!$A$4:$AC$275,17,FALSE)="","",VLOOKUP(A106,'Charriage - Geschiebehaushalt'!$A$4:$AC$275,17,FALSE))</f>
        <v>La remobilisation des sédiments est perturbée / Mobilisierung von Geschiebe beeinträchtigt</v>
      </c>
      <c r="F106" s="523" t="str">
        <f>IF(VLOOKUP(A106,'Charriage - Geschiebehaushalt'!$A$4:$AC$275,18,FALSE)="","",VLOOKUP(A106,'Charriage - Geschiebehaushalt'!$A$4:$AC$275,18,FALSE))</f>
        <v>b</v>
      </c>
      <c r="G106" s="524" t="str">
        <f>IF(VLOOKUP(A106,'Charriage - Geschiebehaushalt'!$A$4:$AC$275,22,FALSE)="","",VLOOKUP(A106,'Charriage - Geschiebehaushalt'!$A$4:$AC$275,22,FALSE))</f>
        <v>0-20%</v>
      </c>
      <c r="H106" s="523" t="str">
        <f>IF(VLOOKUP(A106,'Charriage - Geschiebehaushalt'!$A$4:$AC$275,23,FALSE)="","",VLOOKUP(A106,'Charriage - Geschiebehaushalt'!$A$4:$AC$275,23,FALSE))</f>
        <v>c</v>
      </c>
      <c r="I106" s="524" t="str">
        <f>IF(VLOOKUP(A106,'Charriage - Geschiebehaushalt'!$A$4:$AC$275,28,FALSE)="","",VLOOKUP(A106,'Charriage - Geschiebehaushalt'!$A$4:$AC$275,28,FALSE))</f>
        <v>0-20%</v>
      </c>
      <c r="J106" s="403" t="str">
        <f>IF(VLOOKUP(A106,'Charriage - Geschiebehaushalt'!$A$4:$AC$275,29,FALSE)="","",VLOOKUP(A106,'Charriage - Geschiebehaushalt'!$A$4:$AC$275,29,FALSE))</f>
        <v>c</v>
      </c>
      <c r="K106" s="533" t="str">
        <f>IF(VLOOKUP(A106,'Débit - Abfluss'!$A$4:$AD$275,8,FALSE)="","",VLOOKUP(A106,'Débit - Abfluss'!$A$4:$AD$275,8,FALSE))</f>
        <v>100%</v>
      </c>
      <c r="L106" s="468" t="str">
        <f>IF(VLOOKUP(A106,'Débit - Abfluss'!$A$4:$AD$275,10,FALSE)="","",VLOOKUP(A106,'Débit - Abfluss'!$A$4:$AD$275,10,FALSE))</f>
        <v>100%</v>
      </c>
      <c r="M106" s="333" t="str">
        <f>IF(VLOOKUP(A106,'Débit - Abfluss'!$A$4:$AD$275,17,FALSE)="","",VLOOKUP(A106,'Débit - Abfluss'!$A$4:$AD$275,17,FALSE))</f>
        <v>81-100%</v>
      </c>
      <c r="N106" s="340" t="str">
        <f>IF(VLOOKUP(A106,'Eclusée - Schwall-Sunk'!$A$2:$F$273,6,FALSE)="","",VLOOKUP(A106,'Eclusée - Schwall-Sunk'!$A$2:$F$273,6,FALSE))</f>
        <v>Non affecté / nicht betroffen</v>
      </c>
      <c r="O106" s="537"/>
      <c r="P106" s="538"/>
      <c r="Q106" s="284" t="str">
        <f>IF(VLOOKUP(A106,'Revitalisation-Revitalisierung'!$A$4:$Z$275,13,FALSE)="","",VLOOKUP(A106,'Revitalisation-Revitalisierung'!$A$4:$Z$275,13,FALSE))</f>
        <v>Partiellement nécessaire, facile / teilweise nötig, einfach</v>
      </c>
      <c r="R106" s="541" t="str">
        <f>IF(VLOOKUP(A106,'Revitalisation-Revitalisierung'!$A$4:$Z$275,14,FALSE)="","",VLOOKUP(A106,'Revitalisation-Revitalisierung'!$A$4:$Z$275,14,FALSE))</f>
        <v>a</v>
      </c>
      <c r="S106" s="542" t="str">
        <f>IF(VLOOKUP(A106,'Revitalisation-Revitalisierung'!$A$4:$Z$275,19,FALSE)="","",VLOOKUP(A106,'Revitalisation-Revitalisierung'!$A$4:$Z$275,19,FALSE))</f>
        <v>Partiellement nécessaire, facile / teilweise nötig, einfach</v>
      </c>
      <c r="T106" s="541" t="str">
        <f>IF(VLOOKUP(A106,'Revitalisation-Revitalisierung'!$A$4:$Z$275,20,FALSE)="","",VLOOKUP(A106,'Revitalisation-Revitalisierung'!$A$4:$Z$275,20,FALSE))</f>
        <v>d</v>
      </c>
      <c r="U106" s="542" t="str">
        <f>IF(VLOOKUP(A106,'Revitalisation-Revitalisierung'!$A$4:$Z$275,25,FALSE)="","",VLOOKUP(A106,'Revitalisation-Revitalisierung'!$A$4:$Z$275,25,FALSE))</f>
        <v>Partiellement nécessaire, difficile / teilweise nötig, schwierig</v>
      </c>
      <c r="V106" s="406" t="str">
        <f>IF(VLOOKUP(A106,'Revitalisation-Revitalisierung'!$A$4:$Z$275,26,FALSE)="","",VLOOKUP(A106,'Revitalisation-Revitalisierung'!$A$4:$Z$275,26,FALSE))</f>
        <v>d</v>
      </c>
      <c r="Y106" s="529" t="str">
        <f t="shared" si="8"/>
        <v>0-20%</v>
      </c>
      <c r="Z106" s="568" t="str">
        <f t="shared" si="9"/>
        <v>c</v>
      </c>
      <c r="AA106" s="327" t="str">
        <f t="shared" si="10"/>
        <v>81-100%</v>
      </c>
      <c r="AB106" s="327" t="str">
        <f t="shared" si="11"/>
        <v>Non affecté / nicht betroffen</v>
      </c>
      <c r="AC106" s="276" t="str">
        <f t="shared" si="12"/>
        <v>Partiellement nécessaire, difficile / teilweise nötig, schwierig</v>
      </c>
      <c r="AD106" s="570" t="str">
        <f t="shared" si="13"/>
        <v>d</v>
      </c>
      <c r="AE106" t="s">
        <v>1902</v>
      </c>
      <c r="AF106">
        <v>1</v>
      </c>
    </row>
    <row r="107" spans="1:32" ht="16.5" customHeight="1" x14ac:dyDescent="0.25">
      <c r="A107" s="926">
        <v>100</v>
      </c>
      <c r="B107" s="400" t="s">
        <v>398</v>
      </c>
      <c r="C107" s="400" t="s">
        <v>399</v>
      </c>
      <c r="D107" s="401" t="s">
        <v>395</v>
      </c>
      <c r="E107" s="522" t="str">
        <f>IF(VLOOKUP(A107,'Charriage - Geschiebehaushalt'!$A$4:$AC$275,17,FALSE)="","",VLOOKUP(A107,'Charriage - Geschiebehaushalt'!$A$4:$AC$275,17,FALSE))</f>
        <v>non pertinent / nicht relevant</v>
      </c>
      <c r="F107" s="523" t="str">
        <f>IF(VLOOKUP(A107,'Charriage - Geschiebehaushalt'!$A$4:$AC$275,18,FALSE)="","",VLOOKUP(A107,'Charriage - Geschiebehaushalt'!$A$4:$AC$275,18,FALSE))</f>
        <v>a</v>
      </c>
      <c r="G107" s="524" t="str">
        <f>IF(VLOOKUP(A107,'Charriage - Geschiebehaushalt'!$A$4:$AC$275,22,FALSE)="","",VLOOKUP(A107,'Charriage - Geschiebehaushalt'!$A$4:$AC$275,22,FALSE))</f>
        <v>non pertinent / nicht relevant</v>
      </c>
      <c r="H107" s="523" t="str">
        <f>IF(VLOOKUP(A107,'Charriage - Geschiebehaushalt'!$A$4:$AC$275,23,FALSE)="","",VLOOKUP(A107,'Charriage - Geschiebehaushalt'!$A$4:$AC$275,23,FALSE))</f>
        <v>a</v>
      </c>
      <c r="I107" s="524" t="str">
        <f>IF(VLOOKUP(A107,'Charriage - Geschiebehaushalt'!$A$4:$AC$275,28,FALSE)="","",VLOOKUP(A107,'Charriage - Geschiebehaushalt'!$A$4:$AC$275,28,FALSE))</f>
        <v>51-80%</v>
      </c>
      <c r="J107" s="403" t="str">
        <f>IF(VLOOKUP(A107,'Charriage - Geschiebehaushalt'!$A$4:$AC$275,29,FALSE)="","",VLOOKUP(A107,'Charriage - Geschiebehaushalt'!$A$4:$AC$275,29,FALSE))</f>
        <v>e</v>
      </c>
      <c r="K107" s="533" t="str">
        <f>IF(VLOOKUP(A107,'Débit - Abfluss'!$A$4:$AD$275,8,FALSE)="","",VLOOKUP(A107,'Débit - Abfluss'!$A$4:$AD$275,8,FALSE))</f>
        <v>81-100%</v>
      </c>
      <c r="L107" s="468" t="str">
        <f>IF(VLOOKUP(A107,'Débit - Abfluss'!$A$4:$AD$275,10,FALSE)="","",VLOOKUP(A107,'Débit - Abfluss'!$A$4:$AD$275,10,FALSE))</f>
        <v>81-100%</v>
      </c>
      <c r="M107" s="333" t="str">
        <f>IF(VLOOKUP(A107,'Débit - Abfluss'!$A$4:$AD$275,17,FALSE)="","",VLOOKUP(A107,'Débit - Abfluss'!$A$4:$AD$275,17,FALSE))</f>
        <v>100%</v>
      </c>
      <c r="N107" s="340" t="str">
        <f>IF(VLOOKUP(A107,'Eclusée - Schwall-Sunk'!$A$2:$F$273,6,FALSE)="","",VLOOKUP(A107,'Eclusée - Schwall-Sunk'!$A$2:$F$273,6,FALSE))</f>
        <v>Potentiellement affecté / möglicherweise betroffen</v>
      </c>
      <c r="O107" s="537"/>
      <c r="P107" s="538"/>
      <c r="Q107" s="284" t="str">
        <f>IF(VLOOKUP(A107,'Revitalisation-Revitalisierung'!$A$4:$Z$275,13,FALSE)="","",VLOOKUP(A107,'Revitalisation-Revitalisierung'!$A$4:$Z$275,13,FALSE))</f>
        <v>Très nécessaire, facile / unbedingt nötig, einfach</v>
      </c>
      <c r="R107" s="541" t="str">
        <f>IF(VLOOKUP(A107,'Revitalisation-Revitalisierung'!$A$4:$Z$275,14,FALSE)="","",VLOOKUP(A107,'Revitalisation-Revitalisierung'!$A$4:$Z$275,14,FALSE))</f>
        <v>b</v>
      </c>
      <c r="S107" s="542" t="str">
        <f>IF(VLOOKUP(A107,'Revitalisation-Revitalisierung'!$A$4:$Z$275,19,FALSE)="","",VLOOKUP(A107,'Revitalisation-Revitalisierung'!$A$4:$Z$275,19,FALSE))</f>
        <v>Très nécessaire, facile / unbedingt nötig, einfach</v>
      </c>
      <c r="T107" s="541" t="str">
        <f>IF(VLOOKUP(A107,'Revitalisation-Revitalisierung'!$A$4:$Z$275,20,FALSE)="","",VLOOKUP(A107,'Revitalisation-Revitalisierung'!$A$4:$Z$275,20,FALSE))</f>
        <v>d</v>
      </c>
      <c r="U107" s="542" t="str">
        <f>IF(VLOOKUP(A107,'Revitalisation-Revitalisierung'!$A$4:$Z$275,25,FALSE)="","",VLOOKUP(A107,'Revitalisation-Revitalisierung'!$A$4:$Z$275,25,FALSE))</f>
        <v>Très nécessaire, difficile / unbedingt nötig, schwierig</v>
      </c>
      <c r="V107" s="406" t="str">
        <f>IF(VLOOKUP(A107,'Revitalisation-Revitalisierung'!$A$4:$Z$275,26,FALSE)="","",VLOOKUP(A107,'Revitalisation-Revitalisierung'!$A$4:$Z$275,26,FALSE))</f>
        <v>e</v>
      </c>
      <c r="Y107" s="529" t="str">
        <f t="shared" si="8"/>
        <v>51-80%</v>
      </c>
      <c r="Z107" s="568" t="str">
        <f t="shared" si="9"/>
        <v>e</v>
      </c>
      <c r="AA107" s="327" t="str">
        <f t="shared" si="10"/>
        <v>100%</v>
      </c>
      <c r="AB107" s="327" t="str">
        <f t="shared" si="11"/>
        <v>Potentiellement affecté / möglicherweise betroffen</v>
      </c>
      <c r="AC107" s="276" t="str">
        <f t="shared" si="12"/>
        <v>Très nécessaire, difficile / unbedingt nötig, schwierig</v>
      </c>
      <c r="AD107" s="570" t="str">
        <f t="shared" si="13"/>
        <v>e</v>
      </c>
      <c r="AE107">
        <v>4</v>
      </c>
      <c r="AF107">
        <v>1</v>
      </c>
    </row>
    <row r="108" spans="1:32" ht="16.5" customHeight="1" x14ac:dyDescent="0.25">
      <c r="A108" s="926">
        <v>101</v>
      </c>
      <c r="B108" s="400" t="s">
        <v>400</v>
      </c>
      <c r="C108" s="400" t="s">
        <v>401</v>
      </c>
      <c r="D108" s="401" t="s">
        <v>395</v>
      </c>
      <c r="E108" s="522" t="str">
        <f>IF(VLOOKUP(A108,'Charriage - Geschiebehaushalt'!$A$4:$AC$275,17,FALSE)="","",VLOOKUP(A108,'Charriage - Geschiebehaushalt'!$A$4:$AC$275,17,FALSE))</f>
        <v>La remobilisation des sédiments est perturbée / Mobilisierung von Geschiebe beeinträchtigt</v>
      </c>
      <c r="F108" s="523" t="str">
        <f>IF(VLOOKUP(A108,'Charriage - Geschiebehaushalt'!$A$4:$AC$275,18,FALSE)="","",VLOOKUP(A108,'Charriage - Geschiebehaushalt'!$A$4:$AC$275,18,FALSE))</f>
        <v>a</v>
      </c>
      <c r="G108" s="524" t="str">
        <f>IF(VLOOKUP(A108,'Charriage - Geschiebehaushalt'!$A$4:$AC$275,22,FALSE)="","",VLOOKUP(A108,'Charriage - Geschiebehaushalt'!$A$4:$AC$275,22,FALSE))</f>
        <v>21-50%</v>
      </c>
      <c r="H108" s="523" t="str">
        <f>IF(VLOOKUP(A108,'Charriage - Geschiebehaushalt'!$A$4:$AC$275,23,FALSE)="","",VLOOKUP(A108,'Charriage - Geschiebehaushalt'!$A$4:$AC$275,23,FALSE))</f>
        <v>a</v>
      </c>
      <c r="I108" s="524" t="str">
        <f>IF(VLOOKUP(A108,'Charriage - Geschiebehaushalt'!$A$4:$AC$275,28,FALSE)="","",VLOOKUP(A108,'Charriage - Geschiebehaushalt'!$A$4:$AC$275,28,FALSE))</f>
        <v>21-50%</v>
      </c>
      <c r="J108" s="403" t="str">
        <f>IF(VLOOKUP(A108,'Charriage - Geschiebehaushalt'!$A$4:$AC$275,29,FALSE)="","",VLOOKUP(A108,'Charriage - Geschiebehaushalt'!$A$4:$AC$275,29,FALSE))</f>
        <v>a</v>
      </c>
      <c r="K108" s="533" t="str">
        <f>IF(VLOOKUP(A108,'Débit - Abfluss'!$A$4:$AD$275,8,FALSE)="","",VLOOKUP(A108,'Débit - Abfluss'!$A$4:$AD$275,8,FALSE))</f>
        <v>100%</v>
      </c>
      <c r="L108" s="468" t="str">
        <f>IF(VLOOKUP(A108,'Débit - Abfluss'!$A$4:$AD$275,10,FALSE)="","",VLOOKUP(A108,'Débit - Abfluss'!$A$4:$AD$275,10,FALSE))</f>
        <v>100%</v>
      </c>
      <c r="M108" s="333" t="str">
        <f>IF(VLOOKUP(A108,'Débit - Abfluss'!$A$4:$AD$275,17,FALSE)="","",VLOOKUP(A108,'Débit - Abfluss'!$A$4:$AD$275,17,FALSE))</f>
        <v>100%</v>
      </c>
      <c r="N108" s="340" t="str">
        <f>IF(VLOOKUP(A108,'Eclusée - Schwall-Sunk'!$A$2:$F$273,6,FALSE)="","",VLOOKUP(A108,'Eclusée - Schwall-Sunk'!$A$2:$F$273,6,FALSE))</f>
        <v>Non affecté / nicht betroffen</v>
      </c>
      <c r="O108" s="537"/>
      <c r="P108" s="538"/>
      <c r="Q108" s="284" t="str">
        <f>IF(VLOOKUP(A108,'Revitalisation-Revitalisierung'!$A$4:$Z$275,13,FALSE)="","",VLOOKUP(A108,'Revitalisation-Revitalisierung'!$A$4:$Z$275,13,FALSE))</f>
        <v>Très nécessaire, difficile / unbedingt nötig, schwierig</v>
      </c>
      <c r="R108" s="541" t="str">
        <f>IF(VLOOKUP(A108,'Revitalisation-Revitalisierung'!$A$4:$Z$275,14,FALSE)="","",VLOOKUP(A108,'Revitalisation-Revitalisierung'!$A$4:$Z$275,14,FALSE))</f>
        <v>b</v>
      </c>
      <c r="S108" s="542" t="str">
        <f>IF(VLOOKUP(A108,'Revitalisation-Revitalisierung'!$A$4:$Z$275,19,FALSE)="","",VLOOKUP(A108,'Revitalisation-Revitalisierung'!$A$4:$Z$275,19,FALSE))</f>
        <v>Partiellement nécessaire, difficile / teilweise nötig, schwierig</v>
      </c>
      <c r="T108" s="541" t="str">
        <f>IF(VLOOKUP(A108,'Revitalisation-Revitalisierung'!$A$4:$Z$275,20,FALSE)="","",VLOOKUP(A108,'Revitalisation-Revitalisierung'!$A$4:$Z$275,20,FALSE))</f>
        <v>c</v>
      </c>
      <c r="U108" s="542" t="str">
        <f>IF(VLOOKUP(A108,'Revitalisation-Revitalisierung'!$A$4:$Z$275,25,FALSE)="","",VLOOKUP(A108,'Revitalisation-Revitalisierung'!$A$4:$Z$275,25,FALSE))</f>
        <v>Partiellement nécessaire, difficile / teilweise nötig, schwierig</v>
      </c>
      <c r="V108" s="406" t="str">
        <f>IF(VLOOKUP(A108,'Revitalisation-Revitalisierung'!$A$4:$Z$275,26,FALSE)="","",VLOOKUP(A108,'Revitalisation-Revitalisierung'!$A$4:$Z$275,26,FALSE))</f>
        <v>c</v>
      </c>
      <c r="Y108" s="529" t="str">
        <f t="shared" si="8"/>
        <v>21-50%</v>
      </c>
      <c r="Z108" s="568" t="str">
        <f t="shared" si="9"/>
        <v>a</v>
      </c>
      <c r="AA108" s="327" t="str">
        <f t="shared" si="10"/>
        <v>100%</v>
      </c>
      <c r="AB108" s="327" t="str">
        <f t="shared" si="11"/>
        <v>Non affecté / nicht betroffen</v>
      </c>
      <c r="AC108" s="276" t="str">
        <f t="shared" si="12"/>
        <v>Partiellement nécessaire, difficile / teilweise nötig, schwierig</v>
      </c>
      <c r="AD108" s="570" t="str">
        <f t="shared" si="13"/>
        <v>c</v>
      </c>
      <c r="AE108" t="s">
        <v>1902</v>
      </c>
      <c r="AF108">
        <v>1</v>
      </c>
    </row>
    <row r="109" spans="1:32" ht="16.5" customHeight="1" x14ac:dyDescent="0.25">
      <c r="A109" s="926">
        <v>102</v>
      </c>
      <c r="B109" s="400" t="s">
        <v>404</v>
      </c>
      <c r="C109" s="400" t="s">
        <v>405</v>
      </c>
      <c r="D109" s="401" t="s">
        <v>395</v>
      </c>
      <c r="E109" s="522" t="str">
        <f>IF(VLOOKUP(A109,'Charriage - Geschiebehaushalt'!$A$4:$AC$275,17,FALSE)="","",VLOOKUP(A109,'Charriage - Geschiebehaushalt'!$A$4:$AC$275,17,FALSE))</f>
        <v>La remobilisation des sédiments est perturbée / Mobilisierung von Geschiebe beeinträchtigt</v>
      </c>
      <c r="F109" s="523" t="str">
        <f>IF(VLOOKUP(A109,'Charriage - Geschiebehaushalt'!$A$4:$AC$275,18,FALSE)="","",VLOOKUP(A109,'Charriage - Geschiebehaushalt'!$A$4:$AC$275,18,FALSE))</f>
        <v>a</v>
      </c>
      <c r="G109" s="524" t="str">
        <f>IF(VLOOKUP(A109,'Charriage - Geschiebehaushalt'!$A$4:$AC$275,22,FALSE)="","",VLOOKUP(A109,'Charriage - Geschiebehaushalt'!$A$4:$AC$275,22,FALSE))</f>
        <v>0-20%</v>
      </c>
      <c r="H109" s="523" t="str">
        <f>IF(VLOOKUP(A109,'Charriage - Geschiebehaushalt'!$A$4:$AC$275,23,FALSE)="","",VLOOKUP(A109,'Charriage - Geschiebehaushalt'!$A$4:$AC$275,23,FALSE))</f>
        <v>c</v>
      </c>
      <c r="I109" s="524" t="str">
        <f>IF(VLOOKUP(A109,'Charriage - Geschiebehaushalt'!$A$4:$AC$275,28,FALSE)="","",VLOOKUP(A109,'Charriage - Geschiebehaushalt'!$A$4:$AC$275,28,FALSE))</f>
        <v>0-20%</v>
      </c>
      <c r="J109" s="403" t="str">
        <f>IF(VLOOKUP(A109,'Charriage - Geschiebehaushalt'!$A$4:$AC$275,29,FALSE)="","",VLOOKUP(A109,'Charriage - Geschiebehaushalt'!$A$4:$AC$275,29,FALSE))</f>
        <v>c</v>
      </c>
      <c r="K109" s="533" t="str">
        <f>IF(VLOOKUP(A109,'Débit - Abfluss'!$A$4:$AD$275,8,FALSE)="","",VLOOKUP(A109,'Débit - Abfluss'!$A$4:$AD$275,8,FALSE))</f>
        <v>100%</v>
      </c>
      <c r="L109" s="468" t="str">
        <f>IF(VLOOKUP(A109,'Débit - Abfluss'!$A$4:$AD$275,10,FALSE)="","",VLOOKUP(A109,'Débit - Abfluss'!$A$4:$AD$275,10,FALSE))</f>
        <v>100%</v>
      </c>
      <c r="M109" s="333" t="str">
        <f>IF(VLOOKUP(A109,'Débit - Abfluss'!$A$4:$AD$275,17,FALSE)="","",VLOOKUP(A109,'Débit - Abfluss'!$A$4:$AD$275,17,FALSE))</f>
        <v>100%</v>
      </c>
      <c r="N109" s="340" t="str">
        <f>IF(VLOOKUP(A109,'Eclusée - Schwall-Sunk'!$A$2:$F$273,6,FALSE)="","",VLOOKUP(A109,'Eclusée - Schwall-Sunk'!$A$2:$F$273,6,FALSE))</f>
        <v>Non affecté / nicht betroffen</v>
      </c>
      <c r="O109" s="537"/>
      <c r="P109" s="538"/>
      <c r="Q109" s="284" t="str">
        <f>IF(VLOOKUP(A109,'Revitalisation-Revitalisierung'!$A$4:$Z$275,13,FALSE)="","",VLOOKUP(A109,'Revitalisation-Revitalisierung'!$A$4:$Z$275,13,FALSE))</f>
        <v>Très nécessaire, difficile / unbedingt nötig, schwierig</v>
      </c>
      <c r="R109" s="541" t="str">
        <f>IF(VLOOKUP(A109,'Revitalisation-Revitalisierung'!$A$4:$Z$275,14,FALSE)="","",VLOOKUP(A109,'Revitalisation-Revitalisierung'!$A$4:$Z$275,14,FALSE))</f>
        <v>b</v>
      </c>
      <c r="S109" s="542" t="str">
        <f>IF(VLOOKUP(A109,'Revitalisation-Revitalisierung'!$A$4:$Z$275,19,FALSE)="","",VLOOKUP(A109,'Revitalisation-Revitalisierung'!$A$4:$Z$275,19,FALSE))</f>
        <v>Non nécessaire / nicht nötig</v>
      </c>
      <c r="T109" s="541" t="str">
        <f>IF(VLOOKUP(A109,'Revitalisation-Revitalisierung'!$A$4:$Z$275,20,FALSE)="","",VLOOKUP(A109,'Revitalisation-Revitalisierung'!$A$4:$Z$275,20,FALSE))</f>
        <v>c</v>
      </c>
      <c r="U109" s="542" t="str">
        <f>IF(VLOOKUP(A109,'Revitalisation-Revitalisierung'!$A$4:$Z$275,25,FALSE)="","",VLOOKUP(A109,'Revitalisation-Revitalisierung'!$A$4:$Z$275,25,FALSE))</f>
        <v>Non nécessaire / nicht nötig</v>
      </c>
      <c r="V109" s="406" t="str">
        <f>IF(VLOOKUP(A109,'Revitalisation-Revitalisierung'!$A$4:$Z$275,26,FALSE)="","",VLOOKUP(A109,'Revitalisation-Revitalisierung'!$A$4:$Z$275,26,FALSE))</f>
        <v>c</v>
      </c>
      <c r="Y109" s="529" t="str">
        <f t="shared" si="8"/>
        <v>0-20%</v>
      </c>
      <c r="Z109" s="568" t="str">
        <f t="shared" si="9"/>
        <v>c</v>
      </c>
      <c r="AA109" s="327" t="str">
        <f t="shared" si="10"/>
        <v>100%</v>
      </c>
      <c r="AB109" s="327" t="str">
        <f t="shared" si="11"/>
        <v>Non affecté / nicht betroffen</v>
      </c>
      <c r="AC109" s="276" t="str">
        <f t="shared" si="12"/>
        <v>Non nécessaire / nicht nötig</v>
      </c>
      <c r="AD109" s="570" t="str">
        <f t="shared" si="13"/>
        <v>c</v>
      </c>
      <c r="AE109">
        <v>1</v>
      </c>
      <c r="AF109">
        <v>1</v>
      </c>
    </row>
    <row r="110" spans="1:32" ht="16.5" customHeight="1" x14ac:dyDescent="0.25">
      <c r="A110" s="926">
        <v>104</v>
      </c>
      <c r="B110" s="400" t="s">
        <v>461</v>
      </c>
      <c r="C110" s="400" t="s">
        <v>462</v>
      </c>
      <c r="D110" s="401" t="s">
        <v>460</v>
      </c>
      <c r="E110" s="522" t="str">
        <f>IF(VLOOKUP(A110,'Charriage - Geschiebehaushalt'!$A$4:$AC$275,17,FALSE)="","",VLOOKUP(A110,'Charriage - Geschiebehaushalt'!$A$4:$AC$275,17,FALSE))</f>
        <v>La remobilisation des sédiments est perturbée / Mobilisierung von Geschiebe beeinträchtigt</v>
      </c>
      <c r="F110" s="523" t="str">
        <f>IF(VLOOKUP(A110,'Charriage - Geschiebehaushalt'!$A$4:$AC$275,18,FALSE)="","",VLOOKUP(A110,'Charriage - Geschiebehaushalt'!$A$4:$AC$275,18,FALSE))</f>
        <v>b</v>
      </c>
      <c r="G110" s="524" t="str">
        <f>IF(VLOOKUP(A110,'Charriage - Geschiebehaushalt'!$A$4:$AC$275,22,FALSE)="","",VLOOKUP(A110,'Charriage - Geschiebehaushalt'!$A$4:$AC$275,22,FALSE))</f>
        <v>0-20%</v>
      </c>
      <c r="H110" s="523" t="str">
        <f>IF(VLOOKUP(A110,'Charriage - Geschiebehaushalt'!$A$4:$AC$275,23,FALSE)="","",VLOOKUP(A110,'Charriage - Geschiebehaushalt'!$A$4:$AC$275,23,FALSE))</f>
        <v>c</v>
      </c>
      <c r="I110" s="524" t="str">
        <f>IF(VLOOKUP(A110,'Charriage - Geschiebehaushalt'!$A$4:$AC$275,28,FALSE)="","",VLOOKUP(A110,'Charriage - Geschiebehaushalt'!$A$4:$AC$275,28,FALSE))</f>
        <v>0-20%</v>
      </c>
      <c r="J110" s="403" t="str">
        <f>IF(VLOOKUP(A110,'Charriage - Geschiebehaushalt'!$A$4:$AC$275,29,FALSE)="","",VLOOKUP(A110,'Charriage - Geschiebehaushalt'!$A$4:$AC$275,29,FALSE))</f>
        <v>c</v>
      </c>
      <c r="K110" s="533" t="str">
        <f>IF(VLOOKUP(A110,'Débit - Abfluss'!$A$4:$AD$275,8,FALSE)="","",VLOOKUP(A110,'Débit - Abfluss'!$A$4:$AD$275,8,FALSE))</f>
        <v>81-100%</v>
      </c>
      <c r="L110" s="468" t="str">
        <f>IF(VLOOKUP(A110,'Débit - Abfluss'!$A$4:$AD$275,10,FALSE)="","",VLOOKUP(A110,'Débit - Abfluss'!$A$4:$AD$275,10,FALSE))</f>
        <v>81-100%</v>
      </c>
      <c r="M110" s="333" t="str">
        <f>IF(VLOOKUP(A110,'Débit - Abfluss'!$A$4:$AD$275,17,FALSE)="","",VLOOKUP(A110,'Débit - Abfluss'!$A$4:$AD$275,17,FALSE))</f>
        <v>81-100%</v>
      </c>
      <c r="N110" s="340" t="str">
        <f>IF(VLOOKUP(A110,'Eclusée - Schwall-Sunk'!$A$2:$F$273,6,FALSE)="","",VLOOKUP(A110,'Eclusée - Schwall-Sunk'!$A$2:$F$273,6,FALSE))</f>
        <v>Potentiellement affecté / möglicherweise betroffen</v>
      </c>
      <c r="O110" s="537"/>
      <c r="P110" s="538"/>
      <c r="Q110" s="284" t="str">
        <f>IF(VLOOKUP(A110,'Revitalisation-Revitalisierung'!$A$4:$Z$275,13,FALSE)="","",VLOOKUP(A110,'Revitalisation-Revitalisierung'!$A$4:$Z$275,13,FALSE))</f>
        <v>Non nécessaire / nicht nötig</v>
      </c>
      <c r="R110" s="541" t="str">
        <f>IF(VLOOKUP(A110,'Revitalisation-Revitalisierung'!$A$4:$Z$275,14,FALSE)="","",VLOOKUP(A110,'Revitalisation-Revitalisierung'!$A$4:$Z$275,14,FALSE))</f>
        <v>b</v>
      </c>
      <c r="S110" s="542" t="str">
        <f>IF(VLOOKUP(A110,'Revitalisation-Revitalisierung'!$A$4:$Z$275,19,FALSE)="","",VLOOKUP(A110,'Revitalisation-Revitalisierung'!$A$4:$Z$275,19,FALSE))</f>
        <v>Très nécessaire, facile / unbedingt nötig, einfach</v>
      </c>
      <c r="T110" s="541" t="str">
        <f>IF(VLOOKUP(A110,'Revitalisation-Revitalisierung'!$A$4:$Z$275,20,FALSE)="","",VLOOKUP(A110,'Revitalisation-Revitalisierung'!$A$4:$Z$275,20,FALSE))</f>
        <v>c</v>
      </c>
      <c r="U110" s="542" t="str">
        <f>IF(VLOOKUP(A110,'Revitalisation-Revitalisierung'!$A$4:$Z$275,25,FALSE)="","",VLOOKUP(A110,'Revitalisation-Revitalisierung'!$A$4:$Z$275,25,FALSE))</f>
        <v>Très nécessaire, facile / unbedingt nötig, einfach</v>
      </c>
      <c r="V110" s="406" t="str">
        <f>IF(VLOOKUP(A110,'Revitalisation-Revitalisierung'!$A$4:$Z$275,26,FALSE)="","",VLOOKUP(A110,'Revitalisation-Revitalisierung'!$A$4:$Z$275,26,FALSE))</f>
        <v>c</v>
      </c>
      <c r="Y110" s="529" t="str">
        <f t="shared" si="8"/>
        <v>0-20%</v>
      </c>
      <c r="Z110" s="568" t="str">
        <f t="shared" si="9"/>
        <v>c</v>
      </c>
      <c r="AA110" s="327" t="str">
        <f t="shared" si="10"/>
        <v>81-100%</v>
      </c>
      <c r="AB110" s="327" t="str">
        <f t="shared" si="11"/>
        <v>Potentiellement affecté / möglicherweise betroffen</v>
      </c>
      <c r="AC110" s="276" t="str">
        <f t="shared" si="12"/>
        <v>Très nécessaire, facile / unbedingt nötig, einfach</v>
      </c>
      <c r="AD110" s="570" t="str">
        <f t="shared" si="13"/>
        <v>c</v>
      </c>
      <c r="AE110">
        <v>4</v>
      </c>
      <c r="AF110">
        <v>1</v>
      </c>
    </row>
    <row r="111" spans="1:32" ht="16.5" customHeight="1" x14ac:dyDescent="0.25">
      <c r="A111" s="927">
        <v>105.1</v>
      </c>
      <c r="B111" s="400" t="s">
        <v>552</v>
      </c>
      <c r="C111" s="400" t="s">
        <v>553</v>
      </c>
      <c r="D111" s="401" t="s">
        <v>551</v>
      </c>
      <c r="E111" s="522" t="str">
        <f>IF(VLOOKUP(A111,'Charriage - Geschiebehaushalt'!$A$4:$AC$275,17,FALSE)="","",VLOOKUP(A111,'Charriage - Geschiebehaushalt'!$A$4:$AC$275,17,FALSE))</f>
        <v>51-80%</v>
      </c>
      <c r="F111" s="523" t="str">
        <f>IF(VLOOKUP(A111,'Charriage - Geschiebehaushalt'!$A$4:$AC$275,18,FALSE)="","",VLOOKUP(A111,'Charriage - Geschiebehaushalt'!$A$4:$AC$275,18,FALSE))</f>
        <v>a</v>
      </c>
      <c r="G111" s="524" t="str">
        <f>IF(VLOOKUP(A111,'Charriage - Geschiebehaushalt'!$A$4:$AC$275,22,FALSE)="","",VLOOKUP(A111,'Charriage - Geschiebehaushalt'!$A$4:$AC$275,22,FALSE))</f>
        <v>51-80%</v>
      </c>
      <c r="H111" s="523" t="str">
        <f>IF(VLOOKUP(A111,'Charriage - Geschiebehaushalt'!$A$4:$AC$275,23,FALSE)="","",VLOOKUP(A111,'Charriage - Geschiebehaushalt'!$A$4:$AC$275,23,FALSE))</f>
        <v>a</v>
      </c>
      <c r="I111" s="524" t="str">
        <f>IF(VLOOKUP(A111,'Charriage - Geschiebehaushalt'!$A$4:$AC$275,28,FALSE)="","",VLOOKUP(A111,'Charriage - Geschiebehaushalt'!$A$4:$AC$275,28,FALSE))</f>
        <v>51-80%</v>
      </c>
      <c r="J111" s="403" t="str">
        <f>IF(VLOOKUP(A111,'Charriage - Geschiebehaushalt'!$A$4:$AC$275,29,FALSE)="","",VLOOKUP(A111,'Charriage - Geschiebehaushalt'!$A$4:$AC$275,29,FALSE))</f>
        <v>a</v>
      </c>
      <c r="K111" s="533" t="str">
        <f>IF(VLOOKUP(A111,'Débit - Abfluss'!$A$4:$AD$275,8,FALSE)="","",VLOOKUP(A111,'Débit - Abfluss'!$A$4:$AD$275,8,FALSE))</f>
        <v>81-100%</v>
      </c>
      <c r="L111" s="468" t="str">
        <f>IF(VLOOKUP(A111,'Débit - Abfluss'!$A$4:$AD$275,10,FALSE)="","",VLOOKUP(A111,'Débit - Abfluss'!$A$4:$AD$275,10,FALSE))</f>
        <v>81-100%</v>
      </c>
      <c r="M111" s="333" t="str">
        <f>IF(VLOOKUP(A111,'Débit - Abfluss'!$A$4:$AD$275,17,FALSE)="","",VLOOKUP(A111,'Débit - Abfluss'!$A$4:$AD$275,17,FALSE))</f>
        <v>81-100%</v>
      </c>
      <c r="N111" s="340" t="str">
        <f>IF(VLOOKUP(A111,'Eclusée - Schwall-Sunk'!$A$2:$F$273,6,FALSE)="","",VLOOKUP(A111,'Eclusée - Schwall-Sunk'!$A$2:$F$273,6,FALSE))</f>
        <v>Potentiellement affecté / möglicherweise betroffen</v>
      </c>
      <c r="O111" s="537"/>
      <c r="P111" s="538"/>
      <c r="Q111" s="284" t="str">
        <f>IF(VLOOKUP(A111,'Revitalisation-Revitalisierung'!$A$4:$Z$275,13,FALSE)="","",VLOOKUP(A111,'Revitalisation-Revitalisierung'!$A$4:$Z$275,13,FALSE))</f>
        <v>Non nécessaire / nicht nötig</v>
      </c>
      <c r="R111" s="541" t="str">
        <f>IF(VLOOKUP(A111,'Revitalisation-Revitalisierung'!$A$4:$Z$275,14,FALSE)="","",VLOOKUP(A111,'Revitalisation-Revitalisierung'!$A$4:$Z$275,14,FALSE))</f>
        <v>b</v>
      </c>
      <c r="S111" s="542" t="str">
        <f>IF(VLOOKUP(A111,'Revitalisation-Revitalisierung'!$A$4:$Z$275,19,FALSE)="","",VLOOKUP(A111,'Revitalisation-Revitalisierung'!$A$4:$Z$275,19,FALSE))</f>
        <v>Non nécessaire / nicht nötig</v>
      </c>
      <c r="T111" s="541" t="str">
        <f>IF(VLOOKUP(A111,'Revitalisation-Revitalisierung'!$A$4:$Z$275,20,FALSE)="","",VLOOKUP(A111,'Revitalisation-Revitalisierung'!$A$4:$Z$275,20,FALSE))</f>
        <v>b</v>
      </c>
      <c r="U111" s="542" t="str">
        <f>IF(VLOOKUP(A111,'Revitalisation-Revitalisierung'!$A$4:$Z$275,25,FALSE)="","",VLOOKUP(A111,'Revitalisation-Revitalisierung'!$A$4:$Z$275,25,FALSE))</f>
        <v>Non nécessaire / nicht nötig</v>
      </c>
      <c r="V111" s="406" t="str">
        <f>IF(VLOOKUP(A111,'Revitalisation-Revitalisierung'!$A$4:$Z$275,26,FALSE)="","",VLOOKUP(A111,'Revitalisation-Revitalisierung'!$A$4:$Z$275,26,FALSE))</f>
        <v>b</v>
      </c>
      <c r="Y111" s="529" t="str">
        <f t="shared" si="8"/>
        <v>51-80%</v>
      </c>
      <c r="Z111" s="568" t="str">
        <f t="shared" si="9"/>
        <v>a</v>
      </c>
      <c r="AA111" s="327" t="str">
        <f t="shared" si="10"/>
        <v>81-100%</v>
      </c>
      <c r="AB111" s="327" t="str">
        <f t="shared" si="11"/>
        <v>Potentiellement affecté / möglicherweise betroffen</v>
      </c>
      <c r="AC111" s="276" t="str">
        <f t="shared" si="12"/>
        <v>Non nécessaire / nicht nötig</v>
      </c>
      <c r="AD111" s="570" t="str">
        <f t="shared" si="13"/>
        <v>b</v>
      </c>
      <c r="AE111">
        <v>3</v>
      </c>
      <c r="AF111">
        <v>1</v>
      </c>
    </row>
    <row r="112" spans="1:32" ht="16.5" customHeight="1" x14ac:dyDescent="0.25">
      <c r="A112" s="927">
        <v>105.2</v>
      </c>
      <c r="B112" s="400" t="s">
        <v>552</v>
      </c>
      <c r="C112" s="400" t="s">
        <v>553</v>
      </c>
      <c r="D112" s="401" t="s">
        <v>551</v>
      </c>
      <c r="E112" s="522" t="str">
        <f>IF(VLOOKUP(A112,'Charriage - Geschiebehaushalt'!$A$4:$AC$275,17,FALSE)="","",VLOOKUP(A112,'Charriage - Geschiebehaushalt'!$A$4:$AC$275,17,FALSE))</f>
        <v>non pertinent / nicht relevant</v>
      </c>
      <c r="F112" s="523" t="str">
        <f>IF(VLOOKUP(A112,'Charriage - Geschiebehaushalt'!$A$4:$AC$275,18,FALSE)="","",VLOOKUP(A112,'Charriage - Geschiebehaushalt'!$A$4:$AC$275,18,FALSE))</f>
        <v>a</v>
      </c>
      <c r="G112" s="524" t="str">
        <f>IF(VLOOKUP(A112,'Charriage - Geschiebehaushalt'!$A$4:$AC$275,22,FALSE)="","",VLOOKUP(A112,'Charriage - Geschiebehaushalt'!$A$4:$AC$275,22,FALSE))</f>
        <v>non pertinent / nicht relevant</v>
      </c>
      <c r="H112" s="523" t="str">
        <f>IF(VLOOKUP(A112,'Charriage - Geschiebehaushalt'!$A$4:$AC$275,23,FALSE)="","",VLOOKUP(A112,'Charriage - Geschiebehaushalt'!$A$4:$AC$275,23,FALSE))</f>
        <v>a</v>
      </c>
      <c r="I112" s="524" t="str">
        <f>IF(VLOOKUP(A112,'Charriage - Geschiebehaushalt'!$A$4:$AC$275,28,FALSE)="","",VLOOKUP(A112,'Charriage - Geschiebehaushalt'!$A$4:$AC$275,28,FALSE))</f>
        <v>non pertinent / nicht relevant</v>
      </c>
      <c r="J112" s="403" t="str">
        <f>IF(VLOOKUP(A112,'Charriage - Geschiebehaushalt'!$A$4:$AC$275,29,FALSE)="","",VLOOKUP(A112,'Charriage - Geschiebehaushalt'!$A$4:$AC$275,29,FALSE))</f>
        <v>a</v>
      </c>
      <c r="K112" s="533" t="str">
        <f>IF(VLOOKUP(A112,'Débit - Abfluss'!$A$4:$AD$275,8,FALSE)="","",VLOOKUP(A112,'Débit - Abfluss'!$A$4:$AD$275,8,FALSE))</f>
        <v>non pertinent / nicht relevant</v>
      </c>
      <c r="L112" s="468" t="str">
        <f>IF(VLOOKUP(A112,'Débit - Abfluss'!$A$4:$AD$275,10,FALSE)="","",VLOOKUP(A112,'Débit - Abfluss'!$A$4:$AD$275,10,FALSE))</f>
        <v>non pertinent / nicht relevant</v>
      </c>
      <c r="M112" s="333" t="str">
        <f>IF(VLOOKUP(A112,'Débit - Abfluss'!$A$4:$AD$275,17,FALSE)="","",VLOOKUP(A112,'Débit - Abfluss'!$A$4:$AD$275,17,FALSE))</f>
        <v>non pertinent / nicht relevant</v>
      </c>
      <c r="N112" s="340" t="str">
        <f>IF(VLOOKUP(A112,'Eclusée - Schwall-Sunk'!$A$2:$F$273,6,FALSE)="","",VLOOKUP(A112,'Eclusée - Schwall-Sunk'!$A$2:$F$273,6,FALSE))</f>
        <v>Non affecté / nicht betroffen</v>
      </c>
      <c r="O112" s="537"/>
      <c r="P112" s="538"/>
      <c r="Q112" s="284" t="str">
        <f>IF(VLOOKUP(A112,'Revitalisation-Revitalisierung'!$A$4:$Z$275,13,FALSE)="","",VLOOKUP(A112,'Revitalisation-Revitalisierung'!$A$4:$Z$275,13,FALSE))</f>
        <v>Non nécessaire / nicht nötig</v>
      </c>
      <c r="R112" s="541" t="str">
        <f>IF(VLOOKUP(A112,'Revitalisation-Revitalisierung'!$A$4:$Z$275,14,FALSE)="","",VLOOKUP(A112,'Revitalisation-Revitalisierung'!$A$4:$Z$275,14,FALSE))</f>
        <v>b</v>
      </c>
      <c r="S112" s="542" t="str">
        <f>IF(VLOOKUP(A112,'Revitalisation-Revitalisierung'!$A$4:$Z$275,19,FALSE)="","",VLOOKUP(A112,'Revitalisation-Revitalisierung'!$A$4:$Z$275,19,FALSE))</f>
        <v>Non nécessaire / nicht nötig</v>
      </c>
      <c r="T112" s="541" t="str">
        <f>IF(VLOOKUP(A112,'Revitalisation-Revitalisierung'!$A$4:$Z$275,20,FALSE)="","",VLOOKUP(A112,'Revitalisation-Revitalisierung'!$A$4:$Z$275,20,FALSE))</f>
        <v>d</v>
      </c>
      <c r="U112" s="542" t="str">
        <f>IF(VLOOKUP(A112,'Revitalisation-Revitalisierung'!$A$4:$Z$275,25,FALSE)="","",VLOOKUP(A112,'Revitalisation-Revitalisierung'!$A$4:$Z$275,25,FALSE))</f>
        <v>Non nécessaire / nicht nötig</v>
      </c>
      <c r="V112" s="406" t="str">
        <f>IF(VLOOKUP(A112,'Revitalisation-Revitalisierung'!$A$4:$Z$275,26,FALSE)="","",VLOOKUP(A112,'Revitalisation-Revitalisierung'!$A$4:$Z$275,26,FALSE))</f>
        <v>d</v>
      </c>
      <c r="Y112" s="529" t="str">
        <f t="shared" si="8"/>
        <v>non pertinent / nicht relevant</v>
      </c>
      <c r="Z112" s="568" t="str">
        <f t="shared" si="9"/>
        <v>a</v>
      </c>
      <c r="AA112" s="327" t="str">
        <f t="shared" si="10"/>
        <v>non pertinent / nicht relevant</v>
      </c>
      <c r="AB112" s="327" t="str">
        <f t="shared" si="11"/>
        <v>Non affecté / nicht betroffen</v>
      </c>
      <c r="AC112" s="276" t="str">
        <f t="shared" si="12"/>
        <v>Non nécessaire / nicht nötig</v>
      </c>
      <c r="AD112" s="570" t="str">
        <f t="shared" si="13"/>
        <v>d</v>
      </c>
      <c r="AE112">
        <v>5</v>
      </c>
      <c r="AF112">
        <v>1</v>
      </c>
    </row>
    <row r="113" spans="1:33" ht="16.5" customHeight="1" x14ac:dyDescent="0.25">
      <c r="A113" s="926">
        <v>107</v>
      </c>
      <c r="B113" s="400" t="s">
        <v>554</v>
      </c>
      <c r="C113" s="400" t="s">
        <v>555</v>
      </c>
      <c r="D113" s="401" t="s">
        <v>551</v>
      </c>
      <c r="E113" s="522" t="str">
        <f>IF(VLOOKUP(A113,'Charriage - Geschiebehaushalt'!$A$4:$AC$275,17,FALSE)="","",VLOOKUP(A113,'Charriage - Geschiebehaushalt'!$A$4:$AC$275,17,FALSE))</f>
        <v>0-20%</v>
      </c>
      <c r="F113" s="523" t="str">
        <f>IF(VLOOKUP(A113,'Charriage - Geschiebehaushalt'!$A$4:$AC$275,18,FALSE)="","",VLOOKUP(A113,'Charriage - Geschiebehaushalt'!$A$4:$AC$275,18,FALSE))</f>
        <v>a</v>
      </c>
      <c r="G113" s="524" t="str">
        <f>IF(VLOOKUP(A113,'Charriage - Geschiebehaushalt'!$A$4:$AC$275,22,FALSE)="","",VLOOKUP(A113,'Charriage - Geschiebehaushalt'!$A$4:$AC$275,22,FALSE))</f>
        <v>0-20%</v>
      </c>
      <c r="H113" s="523" t="str">
        <f>IF(VLOOKUP(A113,'Charriage - Geschiebehaushalt'!$A$4:$AC$275,23,FALSE)="","",VLOOKUP(A113,'Charriage - Geschiebehaushalt'!$A$4:$AC$275,23,FALSE))</f>
        <v>a</v>
      </c>
      <c r="I113" s="524" t="str">
        <f>IF(VLOOKUP(A113,'Charriage - Geschiebehaushalt'!$A$4:$AC$275,28,FALSE)="","",VLOOKUP(A113,'Charriage - Geschiebehaushalt'!$A$4:$AC$275,28,FALSE))</f>
        <v>0-20%</v>
      </c>
      <c r="J113" s="403" t="str">
        <f>IF(VLOOKUP(A113,'Charriage - Geschiebehaushalt'!$A$4:$AC$275,29,FALSE)="","",VLOOKUP(A113,'Charriage - Geschiebehaushalt'!$A$4:$AC$275,29,FALSE))</f>
        <v>a</v>
      </c>
      <c r="K113" s="533" t="str">
        <f>IF(VLOOKUP(A113,'Débit - Abfluss'!$A$4:$AD$275,8,FALSE)="","",VLOOKUP(A113,'Débit - Abfluss'!$A$4:$AD$275,8,FALSE))</f>
        <v>100%</v>
      </c>
      <c r="L113" s="468" t="str">
        <f>IF(VLOOKUP(A113,'Débit - Abfluss'!$A$4:$AD$275,10,FALSE)="","",VLOOKUP(A113,'Débit - Abfluss'!$A$4:$AD$275,10,FALSE))</f>
        <v>100%</v>
      </c>
      <c r="M113" s="333" t="str">
        <f>IF(VLOOKUP(A113,'Débit - Abfluss'!$A$4:$AD$275,17,FALSE)="","",VLOOKUP(A113,'Débit - Abfluss'!$A$4:$AD$275,17,FALSE))</f>
        <v>100%</v>
      </c>
      <c r="N113" s="340" t="str">
        <f>IF(VLOOKUP(A113,'Eclusée - Schwall-Sunk'!$A$2:$F$273,6,FALSE)="","",VLOOKUP(A113,'Eclusée - Schwall-Sunk'!$A$2:$F$273,6,FALSE))</f>
        <v>Non affecté / nicht betroffen</v>
      </c>
      <c r="O113" s="537"/>
      <c r="P113" s="538"/>
      <c r="Q113" s="284" t="str">
        <f>IF(VLOOKUP(A113,'Revitalisation-Revitalisierung'!$A$4:$Z$275,13,FALSE)="","",VLOOKUP(A113,'Revitalisation-Revitalisierung'!$A$4:$Z$275,13,FALSE))</f>
        <v>Non nécessaire / nicht nötig</v>
      </c>
      <c r="R113" s="541" t="str">
        <f>IF(VLOOKUP(A113,'Revitalisation-Revitalisierung'!$A$4:$Z$275,14,FALSE)="","",VLOOKUP(A113,'Revitalisation-Revitalisierung'!$A$4:$Z$275,14,FALSE))</f>
        <v>a</v>
      </c>
      <c r="S113" s="542" t="str">
        <f>IF(VLOOKUP(A113,'Revitalisation-Revitalisierung'!$A$4:$Z$275,19,FALSE)="","",VLOOKUP(A113,'Revitalisation-Revitalisierung'!$A$4:$Z$275,19,FALSE))</f>
        <v>Non nécessaire / nicht nötig</v>
      </c>
      <c r="T113" s="541" t="str">
        <f>IF(VLOOKUP(A113,'Revitalisation-Revitalisierung'!$A$4:$Z$275,20,FALSE)="","",VLOOKUP(A113,'Revitalisation-Revitalisierung'!$A$4:$Z$275,20,FALSE))</f>
        <v>a</v>
      </c>
      <c r="U113" s="542" t="str">
        <f>IF(VLOOKUP(A113,'Revitalisation-Revitalisierung'!$A$4:$Z$275,25,FALSE)="","",VLOOKUP(A113,'Revitalisation-Revitalisierung'!$A$4:$Z$275,25,FALSE))</f>
        <v>Non nécessaire / nicht nötig</v>
      </c>
      <c r="V113" s="406" t="str">
        <f>IF(VLOOKUP(A113,'Revitalisation-Revitalisierung'!$A$4:$Z$275,26,FALSE)="","",VLOOKUP(A113,'Revitalisation-Revitalisierung'!$A$4:$Z$275,26,FALSE))</f>
        <v>a</v>
      </c>
      <c r="Y113" s="529" t="str">
        <f t="shared" si="8"/>
        <v>0-20%</v>
      </c>
      <c r="Z113" s="568" t="str">
        <f t="shared" si="9"/>
        <v>a</v>
      </c>
      <c r="AA113" s="327" t="str">
        <f t="shared" si="10"/>
        <v>100%</v>
      </c>
      <c r="AB113" s="327" t="str">
        <f t="shared" si="11"/>
        <v>Non affecté / nicht betroffen</v>
      </c>
      <c r="AC113" s="276" t="str">
        <f t="shared" si="12"/>
        <v>Non nécessaire / nicht nötig</v>
      </c>
      <c r="AD113" s="570" t="str">
        <f t="shared" si="13"/>
        <v>a</v>
      </c>
      <c r="AE113">
        <v>1</v>
      </c>
      <c r="AF113">
        <v>1</v>
      </c>
      <c r="AG113">
        <v>1</v>
      </c>
    </row>
    <row r="114" spans="1:33" ht="16.5" customHeight="1" x14ac:dyDescent="0.25">
      <c r="A114" s="926">
        <v>108</v>
      </c>
      <c r="B114" s="400" t="s">
        <v>556</v>
      </c>
      <c r="C114" s="400" t="s">
        <v>557</v>
      </c>
      <c r="D114" s="401" t="s">
        <v>551</v>
      </c>
      <c r="E114" s="522" t="str">
        <f>IF(VLOOKUP(A114,'Charriage - Geschiebehaushalt'!$A$4:$AC$275,17,FALSE)="","",VLOOKUP(A114,'Charriage - Geschiebehaushalt'!$A$4:$AC$275,17,FALSE))</f>
        <v>0-20%</v>
      </c>
      <c r="F114" s="523" t="str">
        <f>IF(VLOOKUP(A114,'Charriage - Geschiebehaushalt'!$A$4:$AC$275,18,FALSE)="","",VLOOKUP(A114,'Charriage - Geschiebehaushalt'!$A$4:$AC$275,18,FALSE))</f>
        <v>a</v>
      </c>
      <c r="G114" s="524" t="str">
        <f>IF(VLOOKUP(A114,'Charriage - Geschiebehaushalt'!$A$4:$AC$275,22,FALSE)="","",VLOOKUP(A114,'Charriage - Geschiebehaushalt'!$A$4:$AC$275,22,FALSE))</f>
        <v>0-20%</v>
      </c>
      <c r="H114" s="523" t="str">
        <f>IF(VLOOKUP(A114,'Charriage - Geschiebehaushalt'!$A$4:$AC$275,23,FALSE)="","",VLOOKUP(A114,'Charriage - Geschiebehaushalt'!$A$4:$AC$275,23,FALSE))</f>
        <v>a</v>
      </c>
      <c r="I114" s="524" t="str">
        <f>IF(VLOOKUP(A114,'Charriage - Geschiebehaushalt'!$A$4:$AC$275,28,FALSE)="","",VLOOKUP(A114,'Charriage - Geschiebehaushalt'!$A$4:$AC$275,28,FALSE))</f>
        <v>0-20%</v>
      </c>
      <c r="J114" s="403" t="str">
        <f>IF(VLOOKUP(A114,'Charriage - Geschiebehaushalt'!$A$4:$AC$275,29,FALSE)="","",VLOOKUP(A114,'Charriage - Geschiebehaushalt'!$A$4:$AC$275,29,FALSE))</f>
        <v>a</v>
      </c>
      <c r="K114" s="533" t="str">
        <f>IF(VLOOKUP(A114,'Débit - Abfluss'!$A$4:$AD$275,8,FALSE)="","",VLOOKUP(A114,'Débit - Abfluss'!$A$4:$AD$275,8,FALSE))</f>
        <v>61-80%</v>
      </c>
      <c r="L114" s="468" t="str">
        <f>IF(VLOOKUP(A114,'Débit - Abfluss'!$A$4:$AD$275,10,FALSE)="","",VLOOKUP(A114,'Débit - Abfluss'!$A$4:$AD$275,10,FALSE))</f>
        <v>61-80%</v>
      </c>
      <c r="M114" s="333" t="str">
        <f>IF(VLOOKUP(A114,'Débit - Abfluss'!$A$4:$AD$275,17,FALSE)="","",VLOOKUP(A114,'Débit - Abfluss'!$A$4:$AD$275,17,FALSE))</f>
        <v>61-80%</v>
      </c>
      <c r="N114" s="340" t="str">
        <f>IF(VLOOKUP(A114,'Eclusée - Schwall-Sunk'!$A$2:$F$273,6,FALSE)="","",VLOOKUP(A114,'Eclusée - Schwall-Sunk'!$A$2:$F$273,6,FALSE))</f>
        <v>Non affecté / nicht betroffen</v>
      </c>
      <c r="O114" s="537"/>
      <c r="P114" s="538"/>
      <c r="Q114" s="284" t="str">
        <f>IF(VLOOKUP(A114,'Revitalisation-Revitalisierung'!$A$4:$Z$275,13,FALSE)="","",VLOOKUP(A114,'Revitalisation-Revitalisierung'!$A$4:$Z$275,13,FALSE))</f>
        <v>Très nécessaire, facile / unbedingt nötig, einfach</v>
      </c>
      <c r="R114" s="541" t="str">
        <f>IF(VLOOKUP(A114,'Revitalisation-Revitalisierung'!$A$4:$Z$275,14,FALSE)="","",VLOOKUP(A114,'Revitalisation-Revitalisierung'!$A$4:$Z$275,14,FALSE))</f>
        <v>b</v>
      </c>
      <c r="S114" s="542" t="str">
        <f>IF(VLOOKUP(A114,'Revitalisation-Revitalisierung'!$A$4:$Z$275,19,FALSE)="","",VLOOKUP(A114,'Revitalisation-Revitalisierung'!$A$4:$Z$275,19,FALSE))</f>
        <v>Très nécessaire, facile / unbedingt nötig, einfach</v>
      </c>
      <c r="T114" s="541" t="str">
        <f>IF(VLOOKUP(A114,'Revitalisation-Revitalisierung'!$A$4:$Z$275,20,FALSE)="","",VLOOKUP(A114,'Revitalisation-Revitalisierung'!$A$4:$Z$275,20,FALSE))</f>
        <v>d</v>
      </c>
      <c r="U114" s="542" t="str">
        <f>IF(VLOOKUP(A114,'Revitalisation-Revitalisierung'!$A$4:$Z$275,25,FALSE)="","",VLOOKUP(A114,'Revitalisation-Revitalisierung'!$A$4:$Z$275,25,FALSE))</f>
        <v>Très nécessaire, facile / unbedingt nötig, einfach</v>
      </c>
      <c r="V114" s="406" t="str">
        <f>IF(VLOOKUP(A114,'Revitalisation-Revitalisierung'!$A$4:$Z$275,26,FALSE)="","",VLOOKUP(A114,'Revitalisation-Revitalisierung'!$A$4:$Z$275,26,FALSE))</f>
        <v>d</v>
      </c>
      <c r="Y114" s="529" t="str">
        <f t="shared" si="8"/>
        <v>0-20%</v>
      </c>
      <c r="Z114" s="568" t="str">
        <f t="shared" si="9"/>
        <v>a</v>
      </c>
      <c r="AA114" s="327" t="str">
        <f t="shared" si="10"/>
        <v>61-80%</v>
      </c>
      <c r="AB114" s="327" t="str">
        <f t="shared" si="11"/>
        <v>Non affecté / nicht betroffen</v>
      </c>
      <c r="AC114" s="276" t="str">
        <f t="shared" si="12"/>
        <v>Très nécessaire, facile / unbedingt nötig, einfach</v>
      </c>
      <c r="AD114" s="570" t="str">
        <f t="shared" si="13"/>
        <v>d</v>
      </c>
      <c r="AE114">
        <v>2</v>
      </c>
      <c r="AF114">
        <v>1</v>
      </c>
    </row>
    <row r="115" spans="1:33" ht="16.5" customHeight="1" x14ac:dyDescent="0.25">
      <c r="A115" s="927">
        <v>109.1</v>
      </c>
      <c r="B115" s="400" t="s">
        <v>260</v>
      </c>
      <c r="C115" s="400" t="s">
        <v>261</v>
      </c>
      <c r="D115" s="401" t="s">
        <v>259</v>
      </c>
      <c r="E115" s="522" t="str">
        <f>IF(VLOOKUP(A115,'Charriage - Geschiebehaushalt'!$A$4:$AC$275,17,FALSE)="","",VLOOKUP(A115,'Charriage - Geschiebehaushalt'!$A$4:$AC$275,17,FALSE))</f>
        <v>Déficit non apparent en charriage ou en remobilisation des sédiments / kein sichtbares Defizit beim Geschiebehaushalt bzw. bei der Mobilisierung von Geschiebe</v>
      </c>
      <c r="F115" s="523" t="str">
        <f>IF(VLOOKUP(A115,'Charriage - Geschiebehaushalt'!$A$4:$AC$275,18,FALSE)="","",VLOOKUP(A115,'Charriage - Geschiebehaushalt'!$A$4:$AC$275,18,FALSE))</f>
        <v>b</v>
      </c>
      <c r="G115" s="524" t="str">
        <f>IF(VLOOKUP(A115,'Charriage - Geschiebehaushalt'!$A$4:$AC$275,22,FALSE)="","",VLOOKUP(A115,'Charriage - Geschiebehaushalt'!$A$4:$AC$275,22,FALSE))</f>
        <v>0-20%</v>
      </c>
      <c r="H115" s="523" t="str">
        <f>IF(VLOOKUP(A115,'Charriage - Geschiebehaushalt'!$A$4:$AC$275,23,FALSE)="","",VLOOKUP(A115,'Charriage - Geschiebehaushalt'!$A$4:$AC$275,23,FALSE))</f>
        <v>b</v>
      </c>
      <c r="I115" s="524" t="str">
        <f>IF(VLOOKUP(A115,'Charriage - Geschiebehaushalt'!$A$4:$AC$275,28,FALSE)="","",VLOOKUP(A115,'Charriage - Geschiebehaushalt'!$A$4:$AC$275,28,FALSE))</f>
        <v>0-20%</v>
      </c>
      <c r="J115" s="403" t="str">
        <f>IF(VLOOKUP(A115,'Charriage - Geschiebehaushalt'!$A$4:$AC$275,29,FALSE)="","",VLOOKUP(A115,'Charriage - Geschiebehaushalt'!$A$4:$AC$275,29,FALSE))</f>
        <v>b</v>
      </c>
      <c r="K115" s="533" t="str">
        <f>IF(VLOOKUP(A115,'Débit - Abfluss'!$A$4:$AD$275,8,FALSE)="","",VLOOKUP(A115,'Débit - Abfluss'!$A$4:$AD$275,8,FALSE))</f>
        <v>100%</v>
      </c>
      <c r="L115" s="468" t="str">
        <f>IF(VLOOKUP(A115,'Débit - Abfluss'!$A$4:$AD$275,10,FALSE)="","",VLOOKUP(A115,'Débit - Abfluss'!$A$4:$AD$275,10,FALSE))</f>
        <v>100%</v>
      </c>
      <c r="M115" s="333" t="str">
        <f>IF(VLOOKUP(A115,'Débit - Abfluss'!$A$4:$AD$275,17,FALSE)="","",VLOOKUP(A115,'Débit - Abfluss'!$A$4:$AD$275,17,FALSE))</f>
        <v>100%</v>
      </c>
      <c r="N115" s="340" t="str">
        <f>IF(VLOOKUP(A115,'Eclusée - Schwall-Sunk'!$A$2:$F$273,6,FALSE)="","",VLOOKUP(A115,'Eclusée - Schwall-Sunk'!$A$2:$F$273,6,FALSE))</f>
        <v>Non affecté / nicht betroffen</v>
      </c>
      <c r="O115" s="537"/>
      <c r="P115" s="538"/>
      <c r="Q115" s="284" t="str">
        <f>IF(VLOOKUP(A115,'Revitalisation-Revitalisierung'!$A$4:$Z$275,13,FALSE)="","",VLOOKUP(A115,'Revitalisation-Revitalisierung'!$A$4:$Z$275,13,FALSE))</f>
        <v>Non nécessaire / nicht nötig</v>
      </c>
      <c r="R115" s="541" t="str">
        <f>IF(VLOOKUP(A115,'Revitalisation-Revitalisierung'!$A$4:$Z$275,14,FALSE)="","",VLOOKUP(A115,'Revitalisation-Revitalisierung'!$A$4:$Z$275,14,FALSE))</f>
        <v>a</v>
      </c>
      <c r="S115" s="542" t="str">
        <f>IF(VLOOKUP(A115,'Revitalisation-Revitalisierung'!$A$4:$Z$275,19,FALSE)="","",VLOOKUP(A115,'Revitalisation-Revitalisierung'!$A$4:$Z$275,19,FALSE))</f>
        <v>Non nécessaire / nicht nötig</v>
      </c>
      <c r="T115" s="541" t="str">
        <f>IF(VLOOKUP(A115,'Revitalisation-Revitalisierung'!$A$4:$Z$275,20,FALSE)="","",VLOOKUP(A115,'Revitalisation-Revitalisierung'!$A$4:$Z$275,20,FALSE))</f>
        <v>a</v>
      </c>
      <c r="U115" s="542" t="str">
        <f>IF(VLOOKUP(A115,'Revitalisation-Revitalisierung'!$A$4:$Z$275,25,FALSE)="","",VLOOKUP(A115,'Revitalisation-Revitalisierung'!$A$4:$Z$275,25,FALSE))</f>
        <v>Non nécessaire / nicht nötig</v>
      </c>
      <c r="V115" s="406" t="str">
        <f>IF(VLOOKUP(A115,'Revitalisation-Revitalisierung'!$A$4:$Z$275,26,FALSE)="","",VLOOKUP(A115,'Revitalisation-Revitalisierung'!$A$4:$Z$275,26,FALSE))</f>
        <v>a</v>
      </c>
      <c r="Y115" s="529" t="str">
        <f t="shared" si="8"/>
        <v>0-20%</v>
      </c>
      <c r="Z115" s="568" t="str">
        <f t="shared" si="9"/>
        <v>b</v>
      </c>
      <c r="AA115" s="327" t="str">
        <f t="shared" si="10"/>
        <v>100%</v>
      </c>
      <c r="AB115" s="327" t="str">
        <f t="shared" si="11"/>
        <v>Non affecté / nicht betroffen</v>
      </c>
      <c r="AC115" s="276" t="str">
        <f t="shared" si="12"/>
        <v>Non nécessaire / nicht nötig</v>
      </c>
      <c r="AD115" s="570" t="str">
        <f t="shared" si="13"/>
        <v>a</v>
      </c>
      <c r="AE115">
        <v>1</v>
      </c>
      <c r="AF115">
        <v>1</v>
      </c>
      <c r="AG115">
        <v>1</v>
      </c>
    </row>
    <row r="116" spans="1:33" ht="16.5" customHeight="1" x14ac:dyDescent="0.25">
      <c r="A116" s="927">
        <v>109.2</v>
      </c>
      <c r="B116" s="400" t="s">
        <v>260</v>
      </c>
      <c r="C116" s="400" t="s">
        <v>261</v>
      </c>
      <c r="D116" s="401" t="s">
        <v>259</v>
      </c>
      <c r="E116" s="522" t="str">
        <f>IF(VLOOKUP(A116,'Charriage - Geschiebehaushalt'!$A$4:$AC$275,17,FALSE)="","",VLOOKUP(A116,'Charriage - Geschiebehaushalt'!$A$4:$AC$275,17,FALSE))</f>
        <v>Déficit non apparent en charriage ou en remobilisation des sédiments / kein sichtbares Defizit beim Geschiebehaushalt bzw. bei der Mobilisierung von Geschiebe</v>
      </c>
      <c r="F116" s="523" t="str">
        <f>IF(VLOOKUP(A116,'Charriage - Geschiebehaushalt'!$A$4:$AC$275,18,FALSE)="","",VLOOKUP(A116,'Charriage - Geschiebehaushalt'!$A$4:$AC$275,18,FALSE))</f>
        <v>b</v>
      </c>
      <c r="G116" s="524" t="str">
        <f>IF(VLOOKUP(A116,'Charriage - Geschiebehaushalt'!$A$4:$AC$275,22,FALSE)="","",VLOOKUP(A116,'Charriage - Geschiebehaushalt'!$A$4:$AC$275,22,FALSE))</f>
        <v>0-20%</v>
      </c>
      <c r="H116" s="523" t="str">
        <f>IF(VLOOKUP(A116,'Charriage - Geschiebehaushalt'!$A$4:$AC$275,23,FALSE)="","",VLOOKUP(A116,'Charriage - Geschiebehaushalt'!$A$4:$AC$275,23,FALSE))</f>
        <v>b</v>
      </c>
      <c r="I116" s="524" t="str">
        <f>IF(VLOOKUP(A116,'Charriage - Geschiebehaushalt'!$A$4:$AC$275,28,FALSE)="","",VLOOKUP(A116,'Charriage - Geschiebehaushalt'!$A$4:$AC$275,28,FALSE))</f>
        <v>0-20%</v>
      </c>
      <c r="J116" s="403" t="str">
        <f>IF(VLOOKUP(A116,'Charriage - Geschiebehaushalt'!$A$4:$AC$275,29,FALSE)="","",VLOOKUP(A116,'Charriage - Geschiebehaushalt'!$A$4:$AC$275,29,FALSE))</f>
        <v>b</v>
      </c>
      <c r="K116" s="533" t="str">
        <f>IF(VLOOKUP(A116,'Débit - Abfluss'!$A$4:$AD$275,8,FALSE)="","",VLOOKUP(A116,'Débit - Abfluss'!$A$4:$AD$275,8,FALSE))</f>
        <v>100%</v>
      </c>
      <c r="L116" s="468" t="str">
        <f>IF(VLOOKUP(A116,'Débit - Abfluss'!$A$4:$AD$275,10,FALSE)="","",VLOOKUP(A116,'Débit - Abfluss'!$A$4:$AD$275,10,FALSE))</f>
        <v>100%</v>
      </c>
      <c r="M116" s="333" t="str">
        <f>IF(VLOOKUP(A116,'Débit - Abfluss'!$A$4:$AD$275,17,FALSE)="","",VLOOKUP(A116,'Débit - Abfluss'!$A$4:$AD$275,17,FALSE))</f>
        <v>100%</v>
      </c>
      <c r="N116" s="340" t="str">
        <f>IF(VLOOKUP(A116,'Eclusée - Schwall-Sunk'!$A$2:$F$273,6,FALSE)="","",VLOOKUP(A116,'Eclusée - Schwall-Sunk'!$A$2:$F$273,6,FALSE))</f>
        <v>Non affecté / nicht betroffen</v>
      </c>
      <c r="O116" s="537"/>
      <c r="P116" s="538"/>
      <c r="Q116" s="284" t="str">
        <f>IF(VLOOKUP(A116,'Revitalisation-Revitalisierung'!$A$4:$Z$275,13,FALSE)="","",VLOOKUP(A116,'Revitalisation-Revitalisierung'!$A$4:$Z$275,13,FALSE))</f>
        <v>Partiellement nécessaire, facile / teilweise nötig, einfach</v>
      </c>
      <c r="R116" s="541" t="str">
        <f>IF(VLOOKUP(A116,'Revitalisation-Revitalisierung'!$A$4:$Z$275,14,FALSE)="","",VLOOKUP(A116,'Revitalisation-Revitalisierung'!$A$4:$Z$275,14,FALSE))</f>
        <v>b</v>
      </c>
      <c r="S116" s="542" t="str">
        <f>IF(VLOOKUP(A116,'Revitalisation-Revitalisierung'!$A$4:$Z$275,19,FALSE)="","",VLOOKUP(A116,'Revitalisation-Revitalisierung'!$A$4:$Z$275,19,FALSE))</f>
        <v>Partiellement nécessaire, facile / teilweise nötig, einfach</v>
      </c>
      <c r="T116" s="541" t="str">
        <f>IF(VLOOKUP(A116,'Revitalisation-Revitalisierung'!$A$4:$Z$275,20,FALSE)="","",VLOOKUP(A116,'Revitalisation-Revitalisierung'!$A$4:$Z$275,20,FALSE))</f>
        <v>d</v>
      </c>
      <c r="U116" s="542" t="str">
        <f>IF(VLOOKUP(A116,'Revitalisation-Revitalisierung'!$A$4:$Z$275,25,FALSE)="","",VLOOKUP(A116,'Revitalisation-Revitalisierung'!$A$4:$Z$275,25,FALSE))</f>
        <v>Partiellement nécessaire, facile / teilweise nötig, einfach</v>
      </c>
      <c r="V116" s="406" t="str">
        <f>IF(VLOOKUP(A116,'Revitalisation-Revitalisierung'!$A$4:$Z$275,26,FALSE)="","",VLOOKUP(A116,'Revitalisation-Revitalisierung'!$A$4:$Z$275,26,FALSE))</f>
        <v>d</v>
      </c>
      <c r="Y116" s="529" t="str">
        <f t="shared" si="8"/>
        <v>0-20%</v>
      </c>
      <c r="Z116" s="568" t="str">
        <f t="shared" si="9"/>
        <v>b</v>
      </c>
      <c r="AA116" s="327" t="str">
        <f t="shared" si="10"/>
        <v>100%</v>
      </c>
      <c r="AB116" s="327" t="str">
        <f t="shared" si="11"/>
        <v>Non affecté / nicht betroffen</v>
      </c>
      <c r="AC116" s="276" t="str">
        <f t="shared" si="12"/>
        <v>Partiellement nécessaire, facile / teilweise nötig, einfach</v>
      </c>
      <c r="AD116" s="570" t="str">
        <f t="shared" si="13"/>
        <v>d</v>
      </c>
      <c r="AE116">
        <v>2</v>
      </c>
      <c r="AF116">
        <v>1</v>
      </c>
    </row>
    <row r="117" spans="1:33" ht="16.5" customHeight="1" x14ac:dyDescent="0.25">
      <c r="A117" s="926">
        <v>110</v>
      </c>
      <c r="B117" s="400" t="s">
        <v>471</v>
      </c>
      <c r="C117" s="400" t="s">
        <v>446</v>
      </c>
      <c r="D117" s="401" t="s">
        <v>470</v>
      </c>
      <c r="E117" s="522" t="str">
        <f>IF(VLOOKUP(A117,'Charriage - Geschiebehaushalt'!$A$4:$AC$275,17,FALSE)="","",VLOOKUP(A117,'Charriage - Geschiebehaushalt'!$A$4:$AC$275,17,FALSE))</f>
        <v>Déficit non apparent en charriage ou en remobilisation des sédiments / kein sichtbares Defizit beim Geschiebehaushalt bzw. bei der Mobilisierung von Geschiebe</v>
      </c>
      <c r="F117" s="523" t="str">
        <f>IF(VLOOKUP(A117,'Charriage - Geschiebehaushalt'!$A$4:$AC$275,18,FALSE)="","",VLOOKUP(A117,'Charriage - Geschiebehaushalt'!$A$4:$AC$275,18,FALSE))</f>
        <v>b</v>
      </c>
      <c r="G117" s="524" t="str">
        <f>IF(VLOOKUP(A117,'Charriage - Geschiebehaushalt'!$A$4:$AC$275,22,FALSE)="","",VLOOKUP(A117,'Charriage - Geschiebehaushalt'!$A$4:$AC$275,22,FALSE))</f>
        <v>0-20%</v>
      </c>
      <c r="H117" s="523" t="str">
        <f>IF(VLOOKUP(A117,'Charriage - Geschiebehaushalt'!$A$4:$AC$275,23,FALSE)="","",VLOOKUP(A117,'Charriage - Geschiebehaushalt'!$A$4:$AC$275,23,FALSE))</f>
        <v>b</v>
      </c>
      <c r="I117" s="524" t="str">
        <f>IF(VLOOKUP(A117,'Charriage - Geschiebehaushalt'!$A$4:$AC$275,28,FALSE)="","",VLOOKUP(A117,'Charriage - Geschiebehaushalt'!$A$4:$AC$275,28,FALSE))</f>
        <v>0-20%</v>
      </c>
      <c r="J117" s="403" t="str">
        <f>IF(VLOOKUP(A117,'Charriage - Geschiebehaushalt'!$A$4:$AC$275,29,FALSE)="","",VLOOKUP(A117,'Charriage - Geschiebehaushalt'!$A$4:$AC$275,29,FALSE))</f>
        <v>b</v>
      </c>
      <c r="K117" s="533" t="str">
        <f>IF(VLOOKUP(A117,'Débit - Abfluss'!$A$4:$AD$275,8,FALSE)="","",VLOOKUP(A117,'Débit - Abfluss'!$A$4:$AD$275,8,FALSE))</f>
        <v>100%</v>
      </c>
      <c r="L117" s="468" t="str">
        <f>IF(VLOOKUP(A117,'Débit - Abfluss'!$A$4:$AD$275,10,FALSE)="","",VLOOKUP(A117,'Débit - Abfluss'!$A$4:$AD$275,10,FALSE))</f>
        <v>100%</v>
      </c>
      <c r="M117" s="333" t="str">
        <f>IF(VLOOKUP(A117,'Débit - Abfluss'!$A$4:$AD$275,17,FALSE)="","",VLOOKUP(A117,'Débit - Abfluss'!$A$4:$AD$275,17,FALSE))</f>
        <v>100%</v>
      </c>
      <c r="N117" s="340" t="str">
        <f>IF(VLOOKUP(A117,'Eclusée - Schwall-Sunk'!$A$2:$F$273,6,FALSE)="","",VLOOKUP(A117,'Eclusée - Schwall-Sunk'!$A$2:$F$273,6,FALSE))</f>
        <v>Non affecté / nicht betroffen</v>
      </c>
      <c r="O117" s="537"/>
      <c r="P117" s="538"/>
      <c r="Q117" s="284" t="str">
        <f>IF(VLOOKUP(A117,'Revitalisation-Revitalisierung'!$A$4:$Z$275,13,FALSE)="","",VLOOKUP(A117,'Revitalisation-Revitalisierung'!$A$4:$Z$275,13,FALSE))</f>
        <v>Non nécessaire / nicht nötig</v>
      </c>
      <c r="R117" s="541" t="str">
        <f>IF(VLOOKUP(A117,'Revitalisation-Revitalisierung'!$A$4:$Z$275,14,FALSE)="","",VLOOKUP(A117,'Revitalisation-Revitalisierung'!$A$4:$Z$275,14,FALSE))</f>
        <v>a</v>
      </c>
      <c r="S117" s="542" t="str">
        <f>IF(VLOOKUP(A117,'Revitalisation-Revitalisierung'!$A$4:$Z$275,19,FALSE)="","",VLOOKUP(A117,'Revitalisation-Revitalisierung'!$A$4:$Z$275,19,FALSE))</f>
        <v>Non nécessaire / nicht nötig</v>
      </c>
      <c r="T117" s="541" t="str">
        <f>IF(VLOOKUP(A117,'Revitalisation-Revitalisierung'!$A$4:$Z$275,20,FALSE)="","",VLOOKUP(A117,'Revitalisation-Revitalisierung'!$A$4:$Z$275,20,FALSE))</f>
        <v>d</v>
      </c>
      <c r="U117" s="542" t="str">
        <f>IF(VLOOKUP(A117,'Revitalisation-Revitalisierung'!$A$4:$Z$275,25,FALSE)="","",VLOOKUP(A117,'Revitalisation-Revitalisierung'!$A$4:$Z$275,25,FALSE))</f>
        <v>Non nécessaire / nicht nötig</v>
      </c>
      <c r="V117" s="406" t="str">
        <f>IF(VLOOKUP(A117,'Revitalisation-Revitalisierung'!$A$4:$Z$275,26,FALSE)="","",VLOOKUP(A117,'Revitalisation-Revitalisierung'!$A$4:$Z$275,26,FALSE))</f>
        <v>d</v>
      </c>
      <c r="Y117" s="529" t="str">
        <f t="shared" si="8"/>
        <v>0-20%</v>
      </c>
      <c r="Z117" s="568" t="str">
        <f t="shared" si="9"/>
        <v>b</v>
      </c>
      <c r="AA117" s="327" t="str">
        <f t="shared" si="10"/>
        <v>100%</v>
      </c>
      <c r="AB117" s="327" t="str">
        <f t="shared" si="11"/>
        <v>Non affecté / nicht betroffen</v>
      </c>
      <c r="AC117" s="276" t="str">
        <f t="shared" si="12"/>
        <v>Non nécessaire / nicht nötig</v>
      </c>
      <c r="AD117" s="570" t="str">
        <f t="shared" si="13"/>
        <v>d</v>
      </c>
      <c r="AE117">
        <v>1</v>
      </c>
      <c r="AF117">
        <v>1</v>
      </c>
      <c r="AG117">
        <v>1</v>
      </c>
    </row>
    <row r="118" spans="1:33" ht="16.5" customHeight="1" x14ac:dyDescent="0.25">
      <c r="A118" s="926">
        <v>112</v>
      </c>
      <c r="B118" s="400" t="s">
        <v>242</v>
      </c>
      <c r="C118" s="400" t="s">
        <v>243</v>
      </c>
      <c r="D118" s="401" t="s">
        <v>241</v>
      </c>
      <c r="E118" s="522" t="str">
        <f>IF(VLOOKUP(A118,'Charriage - Geschiebehaushalt'!$A$4:$AC$275,17,FALSE)="","",VLOOKUP(A118,'Charriage - Geschiebehaushalt'!$A$4:$AC$275,17,FALSE))</f>
        <v>Charriage présumé faiblement perturbé / Geschiebe vermutlich leicht beeinträchtigt</v>
      </c>
      <c r="F118" s="523" t="str">
        <f>IF(VLOOKUP(A118,'Charriage - Geschiebehaushalt'!$A$4:$AC$275,18,FALSE)="","",VLOOKUP(A118,'Charriage - Geschiebehaushalt'!$A$4:$AC$275,18,FALSE))</f>
        <v>b</v>
      </c>
      <c r="G118" s="524" t="str">
        <f>IF(VLOOKUP(A118,'Charriage - Geschiebehaushalt'!$A$4:$AC$275,22,FALSE)="","",VLOOKUP(A118,'Charriage - Geschiebehaushalt'!$A$4:$AC$275,22,FALSE))</f>
        <v>21-50%</v>
      </c>
      <c r="H118" s="523" t="str">
        <f>IF(VLOOKUP(A118,'Charriage - Geschiebehaushalt'!$A$4:$AC$275,23,FALSE)="","",VLOOKUP(A118,'Charriage - Geschiebehaushalt'!$A$4:$AC$275,23,FALSE))</f>
        <v>d</v>
      </c>
      <c r="I118" s="524" t="str">
        <f>IF(VLOOKUP(A118,'Charriage - Geschiebehaushalt'!$A$4:$AC$275,28,FALSE)="","",VLOOKUP(A118,'Charriage - Geschiebehaushalt'!$A$4:$AC$275,28,FALSE))</f>
        <v>21-50%</v>
      </c>
      <c r="J118" s="403" t="str">
        <f>IF(VLOOKUP(A118,'Charriage - Geschiebehaushalt'!$A$4:$AC$275,29,FALSE)="","",VLOOKUP(A118,'Charriage - Geschiebehaushalt'!$A$4:$AC$275,29,FALSE))</f>
        <v>d</v>
      </c>
      <c r="K118" s="533" t="str">
        <f>IF(VLOOKUP(A118,'Débit - Abfluss'!$A$4:$AD$275,8,FALSE)="","",VLOOKUP(A118,'Débit - Abfluss'!$A$4:$AD$275,8,FALSE))</f>
        <v>100%</v>
      </c>
      <c r="L118" s="468" t="str">
        <f>IF(VLOOKUP(A118,'Débit - Abfluss'!$A$4:$AD$275,10,FALSE)="","",VLOOKUP(A118,'Débit - Abfluss'!$A$4:$AD$275,10,FALSE))</f>
        <v>100%</v>
      </c>
      <c r="M118" s="333" t="str">
        <f>IF(VLOOKUP(A118,'Débit - Abfluss'!$A$4:$AD$275,17,FALSE)="","",VLOOKUP(A118,'Débit - Abfluss'!$A$4:$AD$275,17,FALSE))</f>
        <v>100%</v>
      </c>
      <c r="N118" s="340" t="str">
        <f>IF(VLOOKUP(A118,'Eclusée - Schwall-Sunk'!$A$2:$F$273,6,FALSE)="","",VLOOKUP(A118,'Eclusée - Schwall-Sunk'!$A$2:$F$273,6,FALSE))</f>
        <v>Non affecté / nicht betroffen</v>
      </c>
      <c r="O118" s="537"/>
      <c r="P118" s="538"/>
      <c r="Q118" s="284" t="str">
        <f>IF(VLOOKUP(A118,'Revitalisation-Revitalisierung'!$A$4:$Z$275,13,FALSE)="","",VLOOKUP(A118,'Revitalisation-Revitalisierung'!$A$4:$Z$275,13,FALSE))</f>
        <v>Très nécessaire, facile / unbedingt nötig, einfach</v>
      </c>
      <c r="R118" s="541" t="str">
        <f>IF(VLOOKUP(A118,'Revitalisation-Revitalisierung'!$A$4:$Z$275,14,FALSE)="","",VLOOKUP(A118,'Revitalisation-Revitalisierung'!$A$4:$Z$275,14,FALSE))</f>
        <v>b</v>
      </c>
      <c r="S118" s="542" t="str">
        <f>IF(VLOOKUP(A118,'Revitalisation-Revitalisierung'!$A$4:$Z$275,19,FALSE)="","",VLOOKUP(A118,'Revitalisation-Revitalisierung'!$A$4:$Z$275,19,FALSE))</f>
        <v>Partiellement nécessaire, facile / teilweise nötig, einfach</v>
      </c>
      <c r="T118" s="541" t="str">
        <f>IF(VLOOKUP(A118,'Revitalisation-Revitalisierung'!$A$4:$Z$275,20,FALSE)="","",VLOOKUP(A118,'Revitalisation-Revitalisierung'!$A$4:$Z$275,20,FALSE))</f>
        <v>c</v>
      </c>
      <c r="U118" s="542" t="str">
        <f>IF(VLOOKUP(A118,'Revitalisation-Revitalisierung'!$A$4:$Z$275,25,FALSE)="","",VLOOKUP(A118,'Revitalisation-Revitalisierung'!$A$4:$Z$275,25,FALSE))</f>
        <v>Partiellement nécessaire, facile / teilweise nötig, einfach</v>
      </c>
      <c r="V118" s="406" t="str">
        <f>IF(VLOOKUP(A118,'Revitalisation-Revitalisierung'!$A$4:$Z$275,26,FALSE)="","",VLOOKUP(A118,'Revitalisation-Revitalisierung'!$A$4:$Z$275,26,FALSE))</f>
        <v>c</v>
      </c>
      <c r="Y118" s="529" t="str">
        <f t="shared" si="8"/>
        <v>21-50%</v>
      </c>
      <c r="Z118" s="568" t="str">
        <f t="shared" si="9"/>
        <v>d</v>
      </c>
      <c r="AA118" s="327" t="str">
        <f t="shared" si="10"/>
        <v>100%</v>
      </c>
      <c r="AB118" s="327" t="str">
        <f t="shared" si="11"/>
        <v>Non affecté / nicht betroffen</v>
      </c>
      <c r="AC118" s="276" t="str">
        <f t="shared" si="12"/>
        <v>Partiellement nécessaire, facile / teilweise nötig, einfach</v>
      </c>
      <c r="AD118" s="570" t="str">
        <f t="shared" si="13"/>
        <v>c</v>
      </c>
      <c r="AE118">
        <v>2</v>
      </c>
      <c r="AF118">
        <v>1</v>
      </c>
    </row>
    <row r="119" spans="1:33" ht="16.5" customHeight="1" x14ac:dyDescent="0.25">
      <c r="A119" s="926">
        <v>113</v>
      </c>
      <c r="B119" s="400" t="s">
        <v>247</v>
      </c>
      <c r="C119" s="400" t="s">
        <v>248</v>
      </c>
      <c r="D119" s="401" t="s">
        <v>241</v>
      </c>
      <c r="E119" s="522" t="str">
        <f>IF(VLOOKUP(A119,'Charriage - Geschiebehaushalt'!$A$4:$AC$275,17,FALSE)="","",VLOOKUP(A119,'Charriage - Geschiebehaushalt'!$A$4:$AC$275,17,FALSE))</f>
        <v>La remobilisation des sédiments est perturbée / Mobilisierung von Geschiebe beeinträchtigt</v>
      </c>
      <c r="F119" s="523" t="str">
        <f>IF(VLOOKUP(A119,'Charriage - Geschiebehaushalt'!$A$4:$AC$275,18,FALSE)="","",VLOOKUP(A119,'Charriage - Geschiebehaushalt'!$A$4:$AC$275,18,FALSE))</f>
        <v>b</v>
      </c>
      <c r="G119" s="524" t="str">
        <f>IF(VLOOKUP(A119,'Charriage - Geschiebehaushalt'!$A$4:$AC$275,22,FALSE)="","",VLOOKUP(A119,'Charriage - Geschiebehaushalt'!$A$4:$AC$275,22,FALSE))</f>
        <v>21-50%</v>
      </c>
      <c r="H119" s="523" t="str">
        <f>IF(VLOOKUP(A119,'Charriage - Geschiebehaushalt'!$A$4:$AC$275,23,FALSE)="","",VLOOKUP(A119,'Charriage - Geschiebehaushalt'!$A$4:$AC$275,23,FALSE))</f>
        <v>d</v>
      </c>
      <c r="I119" s="524" t="str">
        <f>IF(VLOOKUP(A119,'Charriage - Geschiebehaushalt'!$A$4:$AC$275,28,FALSE)="","",VLOOKUP(A119,'Charriage - Geschiebehaushalt'!$A$4:$AC$275,28,FALSE))</f>
        <v>21-50%</v>
      </c>
      <c r="J119" s="403" t="str">
        <f>IF(VLOOKUP(A119,'Charriage - Geschiebehaushalt'!$A$4:$AC$275,29,FALSE)="","",VLOOKUP(A119,'Charriage - Geschiebehaushalt'!$A$4:$AC$275,29,FALSE))</f>
        <v>d</v>
      </c>
      <c r="K119" s="533" t="str">
        <f>IF(VLOOKUP(A119,'Débit - Abfluss'!$A$4:$AD$275,8,FALSE)="","",VLOOKUP(A119,'Débit - Abfluss'!$A$4:$AD$275,8,FALSE))</f>
        <v>100%</v>
      </c>
      <c r="L119" s="468" t="str">
        <f>IF(VLOOKUP(A119,'Débit - Abfluss'!$A$4:$AD$275,10,FALSE)="","",VLOOKUP(A119,'Débit - Abfluss'!$A$4:$AD$275,10,FALSE))</f>
        <v>100%</v>
      </c>
      <c r="M119" s="333" t="str">
        <f>IF(VLOOKUP(A119,'Débit - Abfluss'!$A$4:$AD$275,17,FALSE)="","",VLOOKUP(A119,'Débit - Abfluss'!$A$4:$AD$275,17,FALSE))</f>
        <v>100%</v>
      </c>
      <c r="N119" s="340" t="str">
        <f>IF(VLOOKUP(A119,'Eclusée - Schwall-Sunk'!$A$2:$F$273,6,FALSE)="","",VLOOKUP(A119,'Eclusée - Schwall-Sunk'!$A$2:$F$273,6,FALSE))</f>
        <v>Non affecté / nicht betroffen</v>
      </c>
      <c r="O119" s="537"/>
      <c r="P119" s="538"/>
      <c r="Q119" s="284" t="str">
        <f>IF(VLOOKUP(A119,'Revitalisation-Revitalisierung'!$A$4:$Z$275,13,FALSE)="","",VLOOKUP(A119,'Revitalisation-Revitalisierung'!$A$4:$Z$275,13,FALSE))</f>
        <v>Non nécessaire / nicht nötig</v>
      </c>
      <c r="R119" s="541" t="str">
        <f>IF(VLOOKUP(A119,'Revitalisation-Revitalisierung'!$A$4:$Z$275,14,FALSE)="","",VLOOKUP(A119,'Revitalisation-Revitalisierung'!$A$4:$Z$275,14,FALSE))</f>
        <v>b</v>
      </c>
      <c r="S119" s="542" t="str">
        <f>IF(VLOOKUP(A119,'Revitalisation-Revitalisierung'!$A$4:$Z$275,19,FALSE)="","",VLOOKUP(A119,'Revitalisation-Revitalisierung'!$A$4:$Z$275,19,FALSE))</f>
        <v>Non nécessaire / nicht nötig</v>
      </c>
      <c r="T119" s="541" t="str">
        <f>IF(VLOOKUP(A119,'Revitalisation-Revitalisierung'!$A$4:$Z$275,20,FALSE)="","",VLOOKUP(A119,'Revitalisation-Revitalisierung'!$A$4:$Z$275,20,FALSE))</f>
        <v>d</v>
      </c>
      <c r="U119" s="542" t="str">
        <f>IF(VLOOKUP(A119,'Revitalisation-Revitalisierung'!$A$4:$Z$275,25,FALSE)="","",VLOOKUP(A119,'Revitalisation-Revitalisierung'!$A$4:$Z$275,25,FALSE))</f>
        <v>Non nécessaire / nicht nötig</v>
      </c>
      <c r="V119" s="406" t="str">
        <f>IF(VLOOKUP(A119,'Revitalisation-Revitalisierung'!$A$4:$Z$275,26,FALSE)="","",VLOOKUP(A119,'Revitalisation-Revitalisierung'!$A$4:$Z$275,26,FALSE))</f>
        <v>d</v>
      </c>
      <c r="Y119" s="529" t="str">
        <f t="shared" si="8"/>
        <v>21-50%</v>
      </c>
      <c r="Z119" s="568" t="str">
        <f t="shared" si="9"/>
        <v>d</v>
      </c>
      <c r="AA119" s="327" t="str">
        <f t="shared" si="10"/>
        <v>100%</v>
      </c>
      <c r="AB119" s="327" t="str">
        <f t="shared" si="11"/>
        <v>Non affecté / nicht betroffen</v>
      </c>
      <c r="AC119" s="276" t="str">
        <f t="shared" si="12"/>
        <v>Non nécessaire / nicht nötig</v>
      </c>
      <c r="AD119" s="570" t="str">
        <f t="shared" si="13"/>
        <v>d</v>
      </c>
      <c r="AE119" t="s">
        <v>1902</v>
      </c>
      <c r="AF119">
        <v>1</v>
      </c>
    </row>
    <row r="120" spans="1:33" ht="16.5" customHeight="1" x14ac:dyDescent="0.25">
      <c r="A120" s="926">
        <v>114</v>
      </c>
      <c r="B120" s="400" t="s">
        <v>249</v>
      </c>
      <c r="C120" s="400" t="s">
        <v>250</v>
      </c>
      <c r="D120" s="401" t="s">
        <v>241</v>
      </c>
      <c r="E120" s="522" t="str">
        <f>IF(VLOOKUP(A120,'Charriage - Geschiebehaushalt'!$A$4:$AC$275,17,FALSE)="","",VLOOKUP(A120,'Charriage - Geschiebehaushalt'!$A$4:$AC$275,17,FALSE))</f>
        <v>81 -100%</v>
      </c>
      <c r="F120" s="523" t="str">
        <f>IF(VLOOKUP(A120,'Charriage - Geschiebehaushalt'!$A$4:$AC$275,18,FALSE)="","",VLOOKUP(A120,'Charriage - Geschiebehaushalt'!$A$4:$AC$275,18,FALSE))</f>
        <v>a</v>
      </c>
      <c r="G120" s="524" t="str">
        <f>IF(VLOOKUP(A120,'Charriage - Geschiebehaushalt'!$A$4:$AC$275,22,FALSE)="","",VLOOKUP(A120,'Charriage - Geschiebehaushalt'!$A$4:$AC$275,22,FALSE))</f>
        <v>81-100%</v>
      </c>
      <c r="H120" s="523" t="str">
        <f>IF(VLOOKUP(A120,'Charriage - Geschiebehaushalt'!$A$4:$AC$275,23,FALSE)="","",VLOOKUP(A120,'Charriage - Geschiebehaushalt'!$A$4:$AC$275,23,FALSE))</f>
        <v>d</v>
      </c>
      <c r="I120" s="524" t="str">
        <f>IF(VLOOKUP(A120,'Charriage - Geschiebehaushalt'!$A$4:$AC$275,28,FALSE)="","",VLOOKUP(A120,'Charriage - Geschiebehaushalt'!$A$4:$AC$275,28,FALSE))</f>
        <v>81-100%</v>
      </c>
      <c r="J120" s="403" t="str">
        <f>IF(VLOOKUP(A120,'Charriage - Geschiebehaushalt'!$A$4:$AC$275,29,FALSE)="","",VLOOKUP(A120,'Charriage - Geschiebehaushalt'!$A$4:$AC$275,29,FALSE))</f>
        <v>d</v>
      </c>
      <c r="K120" s="533" t="str">
        <f>IF(VLOOKUP(A120,'Débit - Abfluss'!$A$4:$AD$275,8,FALSE)="","",VLOOKUP(A120,'Débit - Abfluss'!$A$4:$AD$275,8,FALSE))</f>
        <v>81-100%</v>
      </c>
      <c r="L120" s="468" t="str">
        <f>IF(VLOOKUP(A120,'Débit - Abfluss'!$A$4:$AD$275,10,FALSE)="","",VLOOKUP(A120,'Débit - Abfluss'!$A$4:$AD$275,10,FALSE))</f>
        <v>81-100%</v>
      </c>
      <c r="M120" s="333" t="str">
        <f>IF(VLOOKUP(A120,'Débit - Abfluss'!$A$4:$AD$275,17,FALSE)="","",VLOOKUP(A120,'Débit - Abfluss'!$A$4:$AD$275,17,FALSE))</f>
        <v>81-100%</v>
      </c>
      <c r="N120" s="340" t="str">
        <f>IF(VLOOKUP(A120,'Eclusée - Schwall-Sunk'!$A$2:$F$273,6,FALSE)="","",VLOOKUP(A120,'Eclusée - Schwall-Sunk'!$A$2:$F$273,6,FALSE))</f>
        <v>Potentiellement affecté / möglicherweise betroffen</v>
      </c>
      <c r="O120" s="537"/>
      <c r="P120" s="538"/>
      <c r="Q120" s="284" t="str">
        <f>IF(VLOOKUP(A120,'Revitalisation-Revitalisierung'!$A$4:$Z$275,13,FALSE)="","",VLOOKUP(A120,'Revitalisation-Revitalisierung'!$A$4:$Z$275,13,FALSE))</f>
        <v>Partiellement nécessaire, difficile / teilweise nötig, schwierig</v>
      </c>
      <c r="R120" s="541" t="str">
        <f>IF(VLOOKUP(A120,'Revitalisation-Revitalisierung'!$A$4:$Z$275,14,FALSE)="","",VLOOKUP(A120,'Revitalisation-Revitalisierung'!$A$4:$Z$275,14,FALSE))</f>
        <v>b</v>
      </c>
      <c r="S120" s="542" t="str">
        <f>IF(VLOOKUP(A120,'Revitalisation-Revitalisierung'!$A$4:$Z$275,19,FALSE)="","",VLOOKUP(A120,'Revitalisation-Revitalisierung'!$A$4:$Z$275,19,FALSE))</f>
        <v>Non nécessaire / nicht nötig</v>
      </c>
      <c r="T120" s="541" t="str">
        <f>IF(VLOOKUP(A120,'Revitalisation-Revitalisierung'!$A$4:$Z$275,20,FALSE)="","",VLOOKUP(A120,'Revitalisation-Revitalisierung'!$A$4:$Z$275,20,FALSE))</f>
        <v>c</v>
      </c>
      <c r="U120" s="542" t="str">
        <f>IF(VLOOKUP(A120,'Revitalisation-Revitalisierung'!$A$4:$Z$275,25,FALSE)="","",VLOOKUP(A120,'Revitalisation-Revitalisierung'!$A$4:$Z$275,25,FALSE))</f>
        <v>Non nécessaire / nicht nötig</v>
      </c>
      <c r="V120" s="406" t="str">
        <f>IF(VLOOKUP(A120,'Revitalisation-Revitalisierung'!$A$4:$Z$275,26,FALSE)="","",VLOOKUP(A120,'Revitalisation-Revitalisierung'!$A$4:$Z$275,26,FALSE))</f>
        <v>c</v>
      </c>
      <c r="Y120" s="529" t="str">
        <f t="shared" si="8"/>
        <v>81-100%</v>
      </c>
      <c r="Z120" s="568" t="str">
        <f t="shared" si="9"/>
        <v>d</v>
      </c>
      <c r="AA120" s="327" t="str">
        <f t="shared" si="10"/>
        <v>81-100%</v>
      </c>
      <c r="AB120" s="327" t="str">
        <f t="shared" si="11"/>
        <v>Potentiellement affecté / möglicherweise betroffen</v>
      </c>
      <c r="AC120" s="276" t="str">
        <f t="shared" si="12"/>
        <v>Non nécessaire / nicht nötig</v>
      </c>
      <c r="AD120" s="570" t="str">
        <f t="shared" si="13"/>
        <v>c</v>
      </c>
      <c r="AE120">
        <v>3</v>
      </c>
      <c r="AF120">
        <v>1</v>
      </c>
    </row>
    <row r="121" spans="1:33" ht="16.5" customHeight="1" x14ac:dyDescent="0.25">
      <c r="A121" s="926">
        <v>115</v>
      </c>
      <c r="B121" s="400" t="s">
        <v>253</v>
      </c>
      <c r="C121" s="400" t="s">
        <v>254</v>
      </c>
      <c r="D121" s="401" t="s">
        <v>241</v>
      </c>
      <c r="E121" s="522" t="str">
        <f>IF(VLOOKUP(A121,'Charriage - Geschiebehaushalt'!$A$4:$AC$275,17,FALSE)="","",VLOOKUP(A121,'Charriage - Geschiebehaushalt'!$A$4:$AC$275,17,FALSE))</f>
        <v>Charriage présumé naturel / Geschiebehaushalt vermutlich natürlich</v>
      </c>
      <c r="F121" s="523" t="str">
        <f>IF(VLOOKUP(A121,'Charriage - Geschiebehaushalt'!$A$4:$AC$275,18,FALSE)="","",VLOOKUP(A121,'Charriage - Geschiebehaushalt'!$A$4:$AC$275,18,FALSE))</f>
        <v>b</v>
      </c>
      <c r="G121" s="524" t="str">
        <f>IF(VLOOKUP(A121,'Charriage - Geschiebehaushalt'!$A$4:$AC$275,22,FALSE)="","",VLOOKUP(A121,'Charriage - Geschiebehaushalt'!$A$4:$AC$275,22,FALSE))</f>
        <v>21-50%</v>
      </c>
      <c r="H121" s="523" t="str">
        <f>IF(VLOOKUP(A121,'Charriage - Geschiebehaushalt'!$A$4:$AC$275,23,FALSE)="","",VLOOKUP(A121,'Charriage - Geschiebehaushalt'!$A$4:$AC$275,23,FALSE))</f>
        <v>c</v>
      </c>
      <c r="I121" s="524" t="str">
        <f>IF(VLOOKUP(A121,'Charriage - Geschiebehaushalt'!$A$4:$AC$275,28,FALSE)="","",VLOOKUP(A121,'Charriage - Geschiebehaushalt'!$A$4:$AC$275,28,FALSE))</f>
        <v>21-50%</v>
      </c>
      <c r="J121" s="403" t="str">
        <f>IF(VLOOKUP(A121,'Charriage - Geschiebehaushalt'!$A$4:$AC$275,29,FALSE)="","",VLOOKUP(A121,'Charriage - Geschiebehaushalt'!$A$4:$AC$275,29,FALSE))</f>
        <v>c</v>
      </c>
      <c r="K121" s="533" t="str">
        <f>IF(VLOOKUP(A121,'Débit - Abfluss'!$A$4:$AD$275,8,FALSE)="","",VLOOKUP(A121,'Débit - Abfluss'!$A$4:$AD$275,8,FALSE))</f>
        <v>0-20%</v>
      </c>
      <c r="L121" s="468" t="str">
        <f>IF(VLOOKUP(A121,'Débit - Abfluss'!$A$4:$AD$275,10,FALSE)="","",VLOOKUP(A121,'Débit - Abfluss'!$A$4:$AD$275,10,FALSE))</f>
        <v>0-20%</v>
      </c>
      <c r="M121" s="333" t="str">
        <f>IF(VLOOKUP(A121,'Débit - Abfluss'!$A$4:$AD$275,17,FALSE)="","",VLOOKUP(A121,'Débit - Abfluss'!$A$4:$AD$275,17,FALSE))</f>
        <v>100%</v>
      </c>
      <c r="N121" s="340" t="str">
        <f>IF(VLOOKUP(A121,'Eclusée - Schwall-Sunk'!$A$2:$F$273,6,FALSE)="","",VLOOKUP(A121,'Eclusée - Schwall-Sunk'!$A$2:$F$273,6,FALSE))</f>
        <v>Non affecté / nicht betroffen</v>
      </c>
      <c r="O121" s="537"/>
      <c r="P121" s="538"/>
      <c r="Q121" s="284" t="str">
        <f>IF(VLOOKUP(A121,'Revitalisation-Revitalisierung'!$A$4:$Z$275,13,FALSE)="","",VLOOKUP(A121,'Revitalisation-Revitalisierung'!$A$4:$Z$275,13,FALSE))</f>
        <v>Très nécessaire, facile / unbedingt nötig, einfach</v>
      </c>
      <c r="R121" s="541" t="str">
        <f>IF(VLOOKUP(A121,'Revitalisation-Revitalisierung'!$A$4:$Z$275,14,FALSE)="","",VLOOKUP(A121,'Revitalisation-Revitalisierung'!$A$4:$Z$275,14,FALSE))</f>
        <v>b</v>
      </c>
      <c r="S121" s="542" t="str">
        <f>IF(VLOOKUP(A121,'Revitalisation-Revitalisierung'!$A$4:$Z$275,19,FALSE)="","",VLOOKUP(A121,'Revitalisation-Revitalisierung'!$A$4:$Z$275,19,FALSE))</f>
        <v>Très nécessaire, facile / unbedingt nötig, einfach</v>
      </c>
      <c r="T121" s="541" t="str">
        <f>IF(VLOOKUP(A121,'Revitalisation-Revitalisierung'!$A$4:$Z$275,20,FALSE)="","",VLOOKUP(A121,'Revitalisation-Revitalisierung'!$A$4:$Z$275,20,FALSE))</f>
        <v>d</v>
      </c>
      <c r="U121" s="542" t="str">
        <f>IF(VLOOKUP(A121,'Revitalisation-Revitalisierung'!$A$4:$Z$275,25,FALSE)="","",VLOOKUP(A121,'Revitalisation-Revitalisierung'!$A$4:$Z$275,25,FALSE))</f>
        <v>Très nécessaire, facile / unbedingt nötig, einfach</v>
      </c>
      <c r="V121" s="406" t="str">
        <f>IF(VLOOKUP(A121,'Revitalisation-Revitalisierung'!$A$4:$Z$275,26,FALSE)="","",VLOOKUP(A121,'Revitalisation-Revitalisierung'!$A$4:$Z$275,26,FALSE))</f>
        <v>d</v>
      </c>
      <c r="Y121" s="529" t="str">
        <f t="shared" si="8"/>
        <v>21-50%</v>
      </c>
      <c r="Z121" s="568" t="str">
        <f t="shared" si="9"/>
        <v>c</v>
      </c>
      <c r="AA121" s="327" t="str">
        <f t="shared" si="10"/>
        <v>100%</v>
      </c>
      <c r="AB121" s="327" t="str">
        <f t="shared" si="11"/>
        <v>Non affecté / nicht betroffen</v>
      </c>
      <c r="AC121" s="276" t="str">
        <f t="shared" si="12"/>
        <v>Très nécessaire, facile / unbedingt nötig, einfach</v>
      </c>
      <c r="AD121" s="570" t="str">
        <f t="shared" si="13"/>
        <v>d</v>
      </c>
      <c r="AE121">
        <v>2</v>
      </c>
      <c r="AF121">
        <v>1</v>
      </c>
    </row>
    <row r="122" spans="1:33" ht="16.5" customHeight="1" x14ac:dyDescent="0.25">
      <c r="A122" s="926">
        <v>118</v>
      </c>
      <c r="B122" s="400" t="s">
        <v>582</v>
      </c>
      <c r="C122" s="400" t="s">
        <v>254</v>
      </c>
      <c r="D122" s="401" t="s">
        <v>573</v>
      </c>
      <c r="E122" s="522" t="str">
        <f>IF(VLOOKUP(A122,'Charriage - Geschiebehaushalt'!$A$4:$AC$275,17,FALSE)="","",VLOOKUP(A122,'Charriage - Geschiebehaushalt'!$A$4:$AC$275,17,FALSE))</f>
        <v>Déficit non apparent en charriage ou en remobilisation des sédiments / kein sichtbares Defizit beim Geschiebehaushalt bzw. bei der Mobilisierung von Geschiebe</v>
      </c>
      <c r="F122" s="523" t="str">
        <f>IF(VLOOKUP(A122,'Charriage - Geschiebehaushalt'!$A$4:$AC$275,18,FALSE)="","",VLOOKUP(A122,'Charriage - Geschiebehaushalt'!$A$4:$AC$275,18,FALSE))</f>
        <v>b</v>
      </c>
      <c r="G122" s="524" t="str">
        <f>IF(VLOOKUP(A122,'Charriage - Geschiebehaushalt'!$A$4:$AC$275,22,FALSE)="","",VLOOKUP(A122,'Charriage - Geschiebehaushalt'!$A$4:$AC$275,22,FALSE))</f>
        <v>0-20%</v>
      </c>
      <c r="H122" s="523" t="str">
        <f>IF(VLOOKUP(A122,'Charriage - Geschiebehaushalt'!$A$4:$AC$275,23,FALSE)="","",VLOOKUP(A122,'Charriage - Geschiebehaushalt'!$A$4:$AC$275,23,FALSE))</f>
        <v>b</v>
      </c>
      <c r="I122" s="524" t="str">
        <f>IF(VLOOKUP(A122,'Charriage - Geschiebehaushalt'!$A$4:$AC$275,28,FALSE)="","",VLOOKUP(A122,'Charriage - Geschiebehaushalt'!$A$4:$AC$275,28,FALSE))</f>
        <v>0-20%</v>
      </c>
      <c r="J122" s="403" t="str">
        <f>IF(VLOOKUP(A122,'Charriage - Geschiebehaushalt'!$A$4:$AC$275,29,FALSE)="","",VLOOKUP(A122,'Charriage - Geschiebehaushalt'!$A$4:$AC$275,29,FALSE))</f>
        <v>b</v>
      </c>
      <c r="K122" s="533" t="str">
        <f>IF(VLOOKUP(A122,'Débit - Abfluss'!$A$4:$AD$275,8,FALSE)="","",VLOOKUP(A122,'Débit - Abfluss'!$A$4:$AD$275,8,FALSE))</f>
        <v>100%</v>
      </c>
      <c r="L122" s="468" t="str">
        <f>IF(VLOOKUP(A122,'Débit - Abfluss'!$A$4:$AD$275,10,FALSE)="","",VLOOKUP(A122,'Débit - Abfluss'!$A$4:$AD$275,10,FALSE))</f>
        <v>100%</v>
      </c>
      <c r="M122" s="333" t="str">
        <f>IF(VLOOKUP(A122,'Débit - Abfluss'!$A$4:$AD$275,17,FALSE)="","",VLOOKUP(A122,'Débit - Abfluss'!$A$4:$AD$275,17,FALSE))</f>
        <v>100%</v>
      </c>
      <c r="N122" s="340" t="str">
        <f>IF(VLOOKUP(A122,'Eclusée - Schwall-Sunk'!$A$2:$F$273,6,FALSE)="","",VLOOKUP(A122,'Eclusée - Schwall-Sunk'!$A$2:$F$273,6,FALSE))</f>
        <v>Non affecté / nicht betroffen</v>
      </c>
      <c r="O122" s="537"/>
      <c r="P122" s="538"/>
      <c r="Q122" s="284" t="str">
        <f>IF(VLOOKUP(A122,'Revitalisation-Revitalisierung'!$A$4:$Z$275,13,FALSE)="","",VLOOKUP(A122,'Revitalisation-Revitalisierung'!$A$4:$Z$275,13,FALSE))</f>
        <v>Non nécessaire / nicht nötig</v>
      </c>
      <c r="R122" s="541" t="str">
        <f>IF(VLOOKUP(A122,'Revitalisation-Revitalisierung'!$A$4:$Z$275,14,FALSE)="","",VLOOKUP(A122,'Revitalisation-Revitalisierung'!$A$4:$Z$275,14,FALSE))</f>
        <v>a</v>
      </c>
      <c r="S122" s="542" t="str">
        <f>IF(VLOOKUP(A122,'Revitalisation-Revitalisierung'!$A$4:$Z$275,19,FALSE)="","",VLOOKUP(A122,'Revitalisation-Revitalisierung'!$A$4:$Z$275,19,FALSE))</f>
        <v>Non nécessaire / nicht nötig</v>
      </c>
      <c r="T122" s="541" t="str">
        <f>IF(VLOOKUP(A122,'Revitalisation-Revitalisierung'!$A$4:$Z$275,20,FALSE)="","",VLOOKUP(A122,'Revitalisation-Revitalisierung'!$A$4:$Z$275,20,FALSE))</f>
        <v>d</v>
      </c>
      <c r="U122" s="542" t="str">
        <f>IF(VLOOKUP(A122,'Revitalisation-Revitalisierung'!$A$4:$Z$275,25,FALSE)="","",VLOOKUP(A122,'Revitalisation-Revitalisierung'!$A$4:$Z$275,25,FALSE))</f>
        <v>Non nécessaire / nicht nötig</v>
      </c>
      <c r="V122" s="406" t="str">
        <f>IF(VLOOKUP(A122,'Revitalisation-Revitalisierung'!$A$4:$Z$275,26,FALSE)="","",VLOOKUP(A122,'Revitalisation-Revitalisierung'!$A$4:$Z$275,26,FALSE))</f>
        <v>d</v>
      </c>
      <c r="Y122" s="529" t="str">
        <f t="shared" si="8"/>
        <v>0-20%</v>
      </c>
      <c r="Z122" s="568" t="str">
        <f t="shared" si="9"/>
        <v>b</v>
      </c>
      <c r="AA122" s="327" t="str">
        <f t="shared" si="10"/>
        <v>100%</v>
      </c>
      <c r="AB122" s="327" t="str">
        <f t="shared" si="11"/>
        <v>Non affecté / nicht betroffen</v>
      </c>
      <c r="AC122" s="276" t="str">
        <f t="shared" si="12"/>
        <v>Non nécessaire / nicht nötig</v>
      </c>
      <c r="AD122" s="570" t="str">
        <f t="shared" si="13"/>
        <v>d</v>
      </c>
      <c r="AE122">
        <v>1</v>
      </c>
      <c r="AF122">
        <v>1</v>
      </c>
      <c r="AG122">
        <v>1</v>
      </c>
    </row>
    <row r="123" spans="1:33" ht="16.5" customHeight="1" x14ac:dyDescent="0.25">
      <c r="A123" s="927">
        <v>119.1</v>
      </c>
      <c r="B123" s="400" t="s">
        <v>584</v>
      </c>
      <c r="C123" s="400" t="s">
        <v>585</v>
      </c>
      <c r="D123" s="401" t="s">
        <v>573</v>
      </c>
      <c r="E123" s="522" t="str">
        <f>IF(VLOOKUP(A123,'Charriage - Geschiebehaushalt'!$A$4:$AC$275,17,FALSE)="","",VLOOKUP(A123,'Charriage - Geschiebehaushalt'!$A$4:$AC$275,17,FALSE))</f>
        <v>Problème lié à un manque de charriage ou à un manque de remobilisation des sédiments / Problem aufgrund Geschiebemangels bzw. mangelnder Mobilisierung von Geschiebe</v>
      </c>
      <c r="F123" s="523" t="str">
        <f>IF(VLOOKUP(A123,'Charriage - Geschiebehaushalt'!$A$4:$AC$275,18,FALSE)="","",VLOOKUP(A123,'Charriage - Geschiebehaushalt'!$A$4:$AC$275,18,FALSE))</f>
        <v>b</v>
      </c>
      <c r="G123" s="524" t="str">
        <f>IF(VLOOKUP(A123,'Charriage - Geschiebehaushalt'!$A$4:$AC$275,22,FALSE)="","",VLOOKUP(A123,'Charriage - Geschiebehaushalt'!$A$4:$AC$275,22,FALSE))</f>
        <v>81-100%</v>
      </c>
      <c r="H123" s="523" t="str">
        <f>IF(VLOOKUP(A123,'Charriage - Geschiebehaushalt'!$A$4:$AC$275,23,FALSE)="","",VLOOKUP(A123,'Charriage - Geschiebehaushalt'!$A$4:$AC$275,23,FALSE))</f>
        <v>b</v>
      </c>
      <c r="I123" s="524" t="str">
        <f>IF(VLOOKUP(A123,'Charriage - Geschiebehaushalt'!$A$4:$AC$275,28,FALSE)="","",VLOOKUP(A123,'Charriage - Geschiebehaushalt'!$A$4:$AC$275,28,FALSE))</f>
        <v>81-100%</v>
      </c>
      <c r="J123" s="403" t="str">
        <f>IF(VLOOKUP(A123,'Charriage - Geschiebehaushalt'!$A$4:$AC$275,29,FALSE)="","",VLOOKUP(A123,'Charriage - Geschiebehaushalt'!$A$4:$AC$275,29,FALSE))</f>
        <v>b</v>
      </c>
      <c r="K123" s="533" t="str">
        <f>IF(VLOOKUP(A123,'Débit - Abfluss'!$A$4:$AD$275,8,FALSE)="","",VLOOKUP(A123,'Débit - Abfluss'!$A$4:$AD$275,8,FALSE))</f>
        <v>100%</v>
      </c>
      <c r="L123" s="468" t="str">
        <f>IF(VLOOKUP(A123,'Débit - Abfluss'!$A$4:$AD$275,10,FALSE)="","",VLOOKUP(A123,'Débit - Abfluss'!$A$4:$AD$275,10,FALSE))</f>
        <v>100%</v>
      </c>
      <c r="M123" s="333" t="str">
        <f>IF(VLOOKUP(A123,'Débit - Abfluss'!$A$4:$AD$275,17,FALSE)="","",VLOOKUP(A123,'Débit - Abfluss'!$A$4:$AD$275,17,FALSE))</f>
        <v>100%</v>
      </c>
      <c r="N123" s="340" t="str">
        <f>IF(VLOOKUP(A123,'Eclusée - Schwall-Sunk'!$A$2:$F$273,6,FALSE)="","",VLOOKUP(A123,'Eclusée - Schwall-Sunk'!$A$2:$F$273,6,FALSE))</f>
        <v>Potentiellement affecté / möglicherweise betroffen</v>
      </c>
      <c r="O123" s="537"/>
      <c r="P123" s="538"/>
      <c r="Q123" s="284" t="str">
        <f>IF(VLOOKUP(A123,'Revitalisation-Revitalisierung'!$A$4:$Z$275,13,FALSE)="","",VLOOKUP(A123,'Revitalisation-Revitalisierung'!$A$4:$Z$275,13,FALSE))</f>
        <v>Très nécessaire, facile / unbedingt nötig, einfach</v>
      </c>
      <c r="R123" s="541" t="str">
        <f>IF(VLOOKUP(A123,'Revitalisation-Revitalisierung'!$A$4:$Z$275,14,FALSE)="","",VLOOKUP(A123,'Revitalisation-Revitalisierung'!$A$4:$Z$275,14,FALSE))</f>
        <v>a</v>
      </c>
      <c r="S123" s="542" t="str">
        <f>IF(VLOOKUP(A123,'Revitalisation-Revitalisierung'!$A$4:$Z$275,19,FALSE)="","",VLOOKUP(A123,'Revitalisation-Revitalisierung'!$A$4:$Z$275,19,FALSE))</f>
        <v>Très nécessaire, facile / unbedingt nötig, einfach</v>
      </c>
      <c r="T123" s="541" t="str">
        <f>IF(VLOOKUP(A123,'Revitalisation-Revitalisierung'!$A$4:$Z$275,20,FALSE)="","",VLOOKUP(A123,'Revitalisation-Revitalisierung'!$A$4:$Z$275,20,FALSE))</f>
        <v>a</v>
      </c>
      <c r="U123" s="542" t="str">
        <f>IF(VLOOKUP(A123,'Revitalisation-Revitalisierung'!$A$4:$Z$275,25,FALSE)="","",VLOOKUP(A123,'Revitalisation-Revitalisierung'!$A$4:$Z$275,25,FALSE))</f>
        <v>Très nécessaire, facile / unbedingt nötig, einfach</v>
      </c>
      <c r="V123" s="406" t="str">
        <f>IF(VLOOKUP(A123,'Revitalisation-Revitalisierung'!$A$4:$Z$275,26,FALSE)="","",VLOOKUP(A123,'Revitalisation-Revitalisierung'!$A$4:$Z$275,26,FALSE))</f>
        <v>a</v>
      </c>
      <c r="Y123" s="529" t="str">
        <f t="shared" si="8"/>
        <v>81-100%</v>
      </c>
      <c r="Z123" s="568" t="str">
        <f t="shared" si="9"/>
        <v>b</v>
      </c>
      <c r="AA123" s="327" t="str">
        <f t="shared" si="10"/>
        <v>100%</v>
      </c>
      <c r="AB123" s="327" t="str">
        <f t="shared" si="11"/>
        <v>Potentiellement affecté / möglicherweise betroffen</v>
      </c>
      <c r="AC123" s="276" t="str">
        <f t="shared" si="12"/>
        <v>Très nécessaire, facile / unbedingt nötig, einfach</v>
      </c>
      <c r="AD123" s="570" t="str">
        <f t="shared" si="13"/>
        <v>a</v>
      </c>
      <c r="AE123">
        <v>4</v>
      </c>
      <c r="AF123">
        <v>1</v>
      </c>
    </row>
    <row r="124" spans="1:33" ht="16.5" customHeight="1" x14ac:dyDescent="0.25">
      <c r="A124" s="927">
        <v>119.2</v>
      </c>
      <c r="B124" s="400" t="s">
        <v>584</v>
      </c>
      <c r="C124" s="400" t="s">
        <v>585</v>
      </c>
      <c r="D124" s="401" t="s">
        <v>573</v>
      </c>
      <c r="E124" s="522" t="str">
        <f>IF(VLOOKUP(A124,'Charriage - Geschiebehaushalt'!$A$4:$AC$275,17,FALSE)="","",VLOOKUP(A124,'Charriage - Geschiebehaushalt'!$A$4:$AC$275,17,FALSE))</f>
        <v>Charriage présumé faiblement perturbé / Geschiebe vermutlich leicht beeinträchtigt</v>
      </c>
      <c r="F124" s="523" t="str">
        <f>IF(VLOOKUP(A124,'Charriage - Geschiebehaushalt'!$A$4:$AC$275,18,FALSE)="","",VLOOKUP(A124,'Charriage - Geschiebehaushalt'!$A$4:$AC$275,18,FALSE))</f>
        <v>b</v>
      </c>
      <c r="G124" s="524" t="str">
        <f>IF(VLOOKUP(A124,'Charriage - Geschiebehaushalt'!$A$4:$AC$275,22,FALSE)="","",VLOOKUP(A124,'Charriage - Geschiebehaushalt'!$A$4:$AC$275,22,FALSE))</f>
        <v>0-20%</v>
      </c>
      <c r="H124" s="523" t="str">
        <f>IF(VLOOKUP(A124,'Charriage - Geschiebehaushalt'!$A$4:$AC$275,23,FALSE)="","",VLOOKUP(A124,'Charriage - Geschiebehaushalt'!$A$4:$AC$275,23,FALSE))</f>
        <v>c</v>
      </c>
      <c r="I124" s="524" t="str">
        <f>IF(VLOOKUP(A124,'Charriage - Geschiebehaushalt'!$A$4:$AC$275,28,FALSE)="","",VLOOKUP(A124,'Charriage - Geschiebehaushalt'!$A$4:$AC$275,28,FALSE))</f>
        <v>0-20%</v>
      </c>
      <c r="J124" s="403" t="str">
        <f>IF(VLOOKUP(A124,'Charriage - Geschiebehaushalt'!$A$4:$AC$275,29,FALSE)="","",VLOOKUP(A124,'Charriage - Geschiebehaushalt'!$A$4:$AC$275,29,FALSE))</f>
        <v>c</v>
      </c>
      <c r="K124" s="533" t="str">
        <f>IF(VLOOKUP(A124,'Débit - Abfluss'!$A$4:$AD$275,8,FALSE)="","",VLOOKUP(A124,'Débit - Abfluss'!$A$4:$AD$275,8,FALSE))</f>
        <v>100%</v>
      </c>
      <c r="L124" s="468" t="str">
        <f>IF(VLOOKUP(A124,'Débit - Abfluss'!$A$4:$AD$275,10,FALSE)="","",VLOOKUP(A124,'Débit - Abfluss'!$A$4:$AD$275,10,FALSE))</f>
        <v>100%</v>
      </c>
      <c r="M124" s="333" t="str">
        <f>IF(VLOOKUP(A124,'Débit - Abfluss'!$A$4:$AD$275,17,FALSE)="","",VLOOKUP(A124,'Débit - Abfluss'!$A$4:$AD$275,17,FALSE))</f>
        <v>100%</v>
      </c>
      <c r="N124" s="340" t="str">
        <f>IF(VLOOKUP(A124,'Eclusée - Schwall-Sunk'!$A$2:$F$273,6,FALSE)="","",VLOOKUP(A124,'Eclusée - Schwall-Sunk'!$A$2:$F$273,6,FALSE))</f>
        <v>Potentiellement affecté / möglicherweise betroffen</v>
      </c>
      <c r="O124" s="537"/>
      <c r="P124" s="538"/>
      <c r="Q124" s="284" t="str">
        <f>IF(VLOOKUP(A124,'Revitalisation-Revitalisierung'!$A$4:$Z$275,13,FALSE)="","",VLOOKUP(A124,'Revitalisation-Revitalisierung'!$A$4:$Z$275,13,FALSE))</f>
        <v>Partiellement nécessaire, facile / teilweise nötig, einfach</v>
      </c>
      <c r="R124" s="541" t="str">
        <f>IF(VLOOKUP(A124,'Revitalisation-Revitalisierung'!$A$4:$Z$275,14,FALSE)="","",VLOOKUP(A124,'Revitalisation-Revitalisierung'!$A$4:$Z$275,14,FALSE))</f>
        <v>a</v>
      </c>
      <c r="S124" s="542" t="str">
        <f>IF(VLOOKUP(A124,'Revitalisation-Revitalisierung'!$A$4:$Z$275,19,FALSE)="","",VLOOKUP(A124,'Revitalisation-Revitalisierung'!$A$4:$Z$275,19,FALSE))</f>
        <v>Très nécessaire, facile / unbedingt nötig, einfach</v>
      </c>
      <c r="T124" s="541" t="str">
        <f>IF(VLOOKUP(A124,'Revitalisation-Revitalisierung'!$A$4:$Z$275,20,FALSE)="","",VLOOKUP(A124,'Revitalisation-Revitalisierung'!$A$4:$Z$275,20,FALSE))</f>
        <v>c</v>
      </c>
      <c r="U124" s="542" t="str">
        <f>IF(VLOOKUP(A124,'Revitalisation-Revitalisierung'!$A$4:$Z$275,25,FALSE)="","",VLOOKUP(A124,'Revitalisation-Revitalisierung'!$A$4:$Z$275,25,FALSE))</f>
        <v>Très nécessaire, facile / unbedingt nötig, einfach</v>
      </c>
      <c r="V124" s="406" t="str">
        <f>IF(VLOOKUP(A124,'Revitalisation-Revitalisierung'!$A$4:$Z$275,26,FALSE)="","",VLOOKUP(A124,'Revitalisation-Revitalisierung'!$A$4:$Z$275,26,FALSE))</f>
        <v>c</v>
      </c>
      <c r="Y124" s="529" t="str">
        <f t="shared" si="8"/>
        <v>0-20%</v>
      </c>
      <c r="Z124" s="568" t="str">
        <f t="shared" si="9"/>
        <v>c</v>
      </c>
      <c r="AA124" s="327" t="str">
        <f t="shared" si="10"/>
        <v>100%</v>
      </c>
      <c r="AB124" s="327" t="str">
        <f t="shared" si="11"/>
        <v>Potentiellement affecté / möglicherweise betroffen</v>
      </c>
      <c r="AC124" s="276" t="str">
        <f t="shared" si="12"/>
        <v>Très nécessaire, facile / unbedingt nötig, einfach</v>
      </c>
      <c r="AD124" s="570" t="str">
        <f t="shared" si="13"/>
        <v>c</v>
      </c>
      <c r="AE124">
        <v>4</v>
      </c>
      <c r="AF124">
        <v>1</v>
      </c>
    </row>
    <row r="125" spans="1:33" ht="16.5" customHeight="1" x14ac:dyDescent="0.25">
      <c r="A125" s="927">
        <v>119.3</v>
      </c>
      <c r="B125" s="400" t="s">
        <v>584</v>
      </c>
      <c r="C125" s="400" t="s">
        <v>585</v>
      </c>
      <c r="D125" s="401" t="s">
        <v>573</v>
      </c>
      <c r="E125" s="522" t="str">
        <f>IF(VLOOKUP(A125,'Charriage - Geschiebehaushalt'!$A$4:$AC$275,17,FALSE)="","",VLOOKUP(A125,'Charriage - Geschiebehaushalt'!$A$4:$AC$275,17,FALSE))</f>
        <v>non pertinent / nicht relevant</v>
      </c>
      <c r="F125" s="523" t="str">
        <f>IF(VLOOKUP(A125,'Charriage - Geschiebehaushalt'!$A$4:$AC$275,18,FALSE)="","",VLOOKUP(A125,'Charriage - Geschiebehaushalt'!$A$4:$AC$275,18,FALSE))</f>
        <v>a</v>
      </c>
      <c r="G125" s="524" t="str">
        <f>IF(VLOOKUP(A125,'Charriage - Geschiebehaushalt'!$A$4:$AC$275,22,FALSE)="","",VLOOKUP(A125,'Charriage - Geschiebehaushalt'!$A$4:$AC$275,22,FALSE))</f>
        <v>non pertinent / nicht relevant</v>
      </c>
      <c r="H125" s="523" t="str">
        <f>IF(VLOOKUP(A125,'Charriage - Geschiebehaushalt'!$A$4:$AC$275,23,FALSE)="","",VLOOKUP(A125,'Charriage - Geschiebehaushalt'!$A$4:$AC$275,23,FALSE))</f>
        <v>a</v>
      </c>
      <c r="I125" s="524" t="str">
        <f>IF(VLOOKUP(A125,'Charriage - Geschiebehaushalt'!$A$4:$AC$275,28,FALSE)="","",VLOOKUP(A125,'Charriage - Geschiebehaushalt'!$A$4:$AC$275,28,FALSE))</f>
        <v>non pertinent / nicht relevant</v>
      </c>
      <c r="J125" s="403" t="str">
        <f>IF(VLOOKUP(A125,'Charriage - Geschiebehaushalt'!$A$4:$AC$275,29,FALSE)="","",VLOOKUP(A125,'Charriage - Geschiebehaushalt'!$A$4:$AC$275,29,FALSE))</f>
        <v>a</v>
      </c>
      <c r="K125" s="533" t="str">
        <f>IF(VLOOKUP(A125,'Débit - Abfluss'!$A$4:$AD$275,8,FALSE)="","",VLOOKUP(A125,'Débit - Abfluss'!$A$4:$AD$275,8,FALSE))</f>
        <v>non pertinent / nicht relevant</v>
      </c>
      <c r="L125" s="468" t="str">
        <f>IF(VLOOKUP(A125,'Débit - Abfluss'!$A$4:$AD$275,10,FALSE)="","",VLOOKUP(A125,'Débit - Abfluss'!$A$4:$AD$275,10,FALSE))</f>
        <v>non pertinent / nicht relevant</v>
      </c>
      <c r="M125" s="333" t="str">
        <f>IF(VLOOKUP(A125,'Débit - Abfluss'!$A$4:$AD$275,17,FALSE)="","",VLOOKUP(A125,'Débit - Abfluss'!$A$4:$AD$275,17,FALSE))</f>
        <v>non pertinent / nicht relevant</v>
      </c>
      <c r="N125" s="340" t="str">
        <f>IF(VLOOKUP(A125,'Eclusée - Schwall-Sunk'!$A$2:$F$273,6,FALSE)="","",VLOOKUP(A125,'Eclusée - Schwall-Sunk'!$A$2:$F$273,6,FALSE))</f>
        <v>Non affecté / nicht betroffen</v>
      </c>
      <c r="O125" s="537"/>
      <c r="P125" s="538"/>
      <c r="Q125" s="284" t="str">
        <f>IF(VLOOKUP(A125,'Revitalisation-Revitalisierung'!$A$4:$Z$275,13,FALSE)="","",VLOOKUP(A125,'Revitalisation-Revitalisierung'!$A$4:$Z$275,13,FALSE))</f>
        <v>Non nécessaire / nicht nötig</v>
      </c>
      <c r="R125" s="541" t="str">
        <f>IF(VLOOKUP(A125,'Revitalisation-Revitalisierung'!$A$4:$Z$275,14,FALSE)="","",VLOOKUP(A125,'Revitalisation-Revitalisierung'!$A$4:$Z$275,14,FALSE))</f>
        <v>b</v>
      </c>
      <c r="S125" s="542" t="str">
        <f>IF(VLOOKUP(A125,'Revitalisation-Revitalisierung'!$A$4:$Z$275,19,FALSE)="","",VLOOKUP(A125,'Revitalisation-Revitalisierung'!$A$4:$Z$275,19,FALSE))</f>
        <v>Non nécessaire / nicht nötig</v>
      </c>
      <c r="T125" s="541" t="str">
        <f>IF(VLOOKUP(A125,'Revitalisation-Revitalisierung'!$A$4:$Z$275,20,FALSE)="","",VLOOKUP(A125,'Revitalisation-Revitalisierung'!$A$4:$Z$275,20,FALSE))</f>
        <v>b</v>
      </c>
      <c r="U125" s="542" t="str">
        <f>IF(VLOOKUP(A125,'Revitalisation-Revitalisierung'!$A$4:$Z$275,25,FALSE)="","",VLOOKUP(A125,'Revitalisation-Revitalisierung'!$A$4:$Z$275,25,FALSE))</f>
        <v>Non nécessaire / nicht nötig</v>
      </c>
      <c r="V125" s="406" t="str">
        <f>IF(VLOOKUP(A125,'Revitalisation-Revitalisierung'!$A$4:$Z$275,26,FALSE)="","",VLOOKUP(A125,'Revitalisation-Revitalisierung'!$A$4:$Z$275,26,FALSE))</f>
        <v>b</v>
      </c>
      <c r="Y125" s="529" t="str">
        <f t="shared" si="8"/>
        <v>non pertinent / nicht relevant</v>
      </c>
      <c r="Z125" s="568" t="str">
        <f t="shared" si="9"/>
        <v>a</v>
      </c>
      <c r="AA125" s="327" t="str">
        <f t="shared" si="10"/>
        <v>non pertinent / nicht relevant</v>
      </c>
      <c r="AB125" s="327" t="str">
        <f t="shared" si="11"/>
        <v>Non affecté / nicht betroffen</v>
      </c>
      <c r="AC125" s="276" t="str">
        <f t="shared" si="12"/>
        <v>Non nécessaire / nicht nötig</v>
      </c>
      <c r="AD125" s="570" t="str">
        <f t="shared" si="13"/>
        <v>b</v>
      </c>
      <c r="AE125">
        <v>5</v>
      </c>
      <c r="AF125">
        <v>1</v>
      </c>
    </row>
    <row r="126" spans="1:33" ht="16.5" customHeight="1" x14ac:dyDescent="0.25">
      <c r="A126" s="926">
        <v>120</v>
      </c>
      <c r="B126" s="400" t="s">
        <v>588</v>
      </c>
      <c r="C126" s="400" t="s">
        <v>589</v>
      </c>
      <c r="D126" s="401" t="s">
        <v>573</v>
      </c>
      <c r="E126" s="522" t="str">
        <f>IF(VLOOKUP(A126,'Charriage - Geschiebehaushalt'!$A$4:$AC$275,17,FALSE)="","",VLOOKUP(A126,'Charriage - Geschiebehaushalt'!$A$4:$AC$275,17,FALSE))</f>
        <v>Charriage présumé naturel / Geschiebehaushalt vermutlich natürlich</v>
      </c>
      <c r="F126" s="523" t="str">
        <f>IF(VLOOKUP(A126,'Charriage - Geschiebehaushalt'!$A$4:$AC$275,18,FALSE)="","",VLOOKUP(A126,'Charriage - Geschiebehaushalt'!$A$4:$AC$275,18,FALSE))</f>
        <v>b</v>
      </c>
      <c r="G126" s="524" t="str">
        <f>IF(VLOOKUP(A126,'Charriage - Geschiebehaushalt'!$A$4:$AC$275,22,FALSE)="","",VLOOKUP(A126,'Charriage - Geschiebehaushalt'!$A$4:$AC$275,22,FALSE))</f>
        <v>0-20%</v>
      </c>
      <c r="H126" s="523" t="str">
        <f>IF(VLOOKUP(A126,'Charriage - Geschiebehaushalt'!$A$4:$AC$275,23,FALSE)="","",VLOOKUP(A126,'Charriage - Geschiebehaushalt'!$A$4:$AC$275,23,FALSE))</f>
        <v>d</v>
      </c>
      <c r="I126" s="524" t="str">
        <f>IF(VLOOKUP(A126,'Charriage - Geschiebehaushalt'!$A$4:$AC$275,28,FALSE)="","",VLOOKUP(A126,'Charriage - Geschiebehaushalt'!$A$4:$AC$275,28,FALSE))</f>
        <v>0-20%</v>
      </c>
      <c r="J126" s="403" t="str">
        <f>IF(VLOOKUP(A126,'Charriage - Geschiebehaushalt'!$A$4:$AC$275,29,FALSE)="","",VLOOKUP(A126,'Charriage - Geschiebehaushalt'!$A$4:$AC$275,29,FALSE))</f>
        <v>d</v>
      </c>
      <c r="K126" s="533" t="str">
        <f>IF(VLOOKUP(A126,'Débit - Abfluss'!$A$4:$AD$275,8,FALSE)="","",VLOOKUP(A126,'Débit - Abfluss'!$A$4:$AD$275,8,FALSE))</f>
        <v>100%</v>
      </c>
      <c r="L126" s="468" t="str">
        <f>IF(VLOOKUP(A126,'Débit - Abfluss'!$A$4:$AD$275,10,FALSE)="","",VLOOKUP(A126,'Débit - Abfluss'!$A$4:$AD$275,10,FALSE))</f>
        <v>100%</v>
      </c>
      <c r="M126" s="333" t="str">
        <f>IF(VLOOKUP(A126,'Débit - Abfluss'!$A$4:$AD$275,17,FALSE)="","",VLOOKUP(A126,'Débit - Abfluss'!$A$4:$AD$275,17,FALSE))</f>
        <v>100%</v>
      </c>
      <c r="N126" s="340" t="str">
        <f>IF(VLOOKUP(A126,'Eclusée - Schwall-Sunk'!$A$2:$F$273,6,FALSE)="","",VLOOKUP(A126,'Eclusée - Schwall-Sunk'!$A$2:$F$273,6,FALSE))</f>
        <v>Non affecté / nicht betroffen</v>
      </c>
      <c r="O126" s="537"/>
      <c r="P126" s="538"/>
      <c r="Q126" s="284" t="str">
        <f>IF(VLOOKUP(A126,'Revitalisation-Revitalisierung'!$A$4:$Z$275,13,FALSE)="","",VLOOKUP(A126,'Revitalisation-Revitalisierung'!$A$4:$Z$275,13,FALSE))</f>
        <v>Non nécessaire / nicht nötig</v>
      </c>
      <c r="R126" s="541" t="str">
        <f>IF(VLOOKUP(A126,'Revitalisation-Revitalisierung'!$A$4:$Z$275,14,FALSE)="","",VLOOKUP(A126,'Revitalisation-Revitalisierung'!$A$4:$Z$275,14,FALSE))</f>
        <v>a</v>
      </c>
      <c r="S126" s="542" t="str">
        <f>IF(VLOOKUP(A126,'Revitalisation-Revitalisierung'!$A$4:$Z$275,19,FALSE)="","",VLOOKUP(A126,'Revitalisation-Revitalisierung'!$A$4:$Z$275,19,FALSE))</f>
        <v>Partiellement nécessaire, facile / teilweise nötig, einfach</v>
      </c>
      <c r="T126" s="541" t="str">
        <f>IF(VLOOKUP(A126,'Revitalisation-Revitalisierung'!$A$4:$Z$275,20,FALSE)="","",VLOOKUP(A126,'Revitalisation-Revitalisierung'!$A$4:$Z$275,20,FALSE))</f>
        <v>c</v>
      </c>
      <c r="U126" s="542" t="str">
        <f>IF(VLOOKUP(A126,'Revitalisation-Revitalisierung'!$A$4:$Z$275,25,FALSE)="","",VLOOKUP(A126,'Revitalisation-Revitalisierung'!$A$4:$Z$275,25,FALSE))</f>
        <v>Partiellement nécessaire, facile / teilweise nötig, einfach</v>
      </c>
      <c r="V126" s="406" t="str">
        <f>IF(VLOOKUP(A126,'Revitalisation-Revitalisierung'!$A$4:$Z$275,26,FALSE)="","",VLOOKUP(A126,'Revitalisation-Revitalisierung'!$A$4:$Z$275,26,FALSE))</f>
        <v>c</v>
      </c>
      <c r="Y126" s="529" t="str">
        <f t="shared" si="8"/>
        <v>0-20%</v>
      </c>
      <c r="Z126" s="568" t="str">
        <f t="shared" si="9"/>
        <v>d</v>
      </c>
      <c r="AA126" s="327" t="str">
        <f t="shared" si="10"/>
        <v>100%</v>
      </c>
      <c r="AB126" s="327" t="str">
        <f t="shared" si="11"/>
        <v>Non affecté / nicht betroffen</v>
      </c>
      <c r="AC126" s="276" t="str">
        <f t="shared" si="12"/>
        <v>Partiellement nécessaire, facile / teilweise nötig, einfach</v>
      </c>
      <c r="AD126" s="570" t="str">
        <f t="shared" si="13"/>
        <v>c</v>
      </c>
      <c r="AE126">
        <v>2</v>
      </c>
      <c r="AF126">
        <v>1</v>
      </c>
    </row>
    <row r="127" spans="1:33" ht="16.5" customHeight="1" x14ac:dyDescent="0.25">
      <c r="A127" s="926">
        <v>121</v>
      </c>
      <c r="B127" s="400" t="s">
        <v>591</v>
      </c>
      <c r="C127" s="400" t="s">
        <v>589</v>
      </c>
      <c r="D127" s="401" t="s">
        <v>573</v>
      </c>
      <c r="E127" s="522" t="str">
        <f>IF(VLOOKUP(A127,'Charriage - Geschiebehaushalt'!$A$4:$AC$275,17,FALSE)="","",VLOOKUP(A127,'Charriage - Geschiebehaushalt'!$A$4:$AC$275,17,FALSE))</f>
        <v>Charriage présumé naturel / Geschiebehaushalt vermutlich natürlich</v>
      </c>
      <c r="F127" s="523" t="str">
        <f>IF(VLOOKUP(A127,'Charriage - Geschiebehaushalt'!$A$4:$AC$275,18,FALSE)="","",VLOOKUP(A127,'Charriage - Geschiebehaushalt'!$A$4:$AC$275,18,FALSE))</f>
        <v>b</v>
      </c>
      <c r="G127" s="524" t="str">
        <f>IF(VLOOKUP(A127,'Charriage - Geschiebehaushalt'!$A$4:$AC$275,22,FALSE)="","",VLOOKUP(A127,'Charriage - Geschiebehaushalt'!$A$4:$AC$275,22,FALSE))</f>
        <v>0-20%</v>
      </c>
      <c r="H127" s="523" t="str">
        <f>IF(VLOOKUP(A127,'Charriage - Geschiebehaushalt'!$A$4:$AC$275,23,FALSE)="","",VLOOKUP(A127,'Charriage - Geschiebehaushalt'!$A$4:$AC$275,23,FALSE))</f>
        <v>d</v>
      </c>
      <c r="I127" s="524" t="str">
        <f>IF(VLOOKUP(A127,'Charriage - Geschiebehaushalt'!$A$4:$AC$275,28,FALSE)="","",VLOOKUP(A127,'Charriage - Geschiebehaushalt'!$A$4:$AC$275,28,FALSE))</f>
        <v>0-20%</v>
      </c>
      <c r="J127" s="403" t="str">
        <f>IF(VLOOKUP(A127,'Charriage - Geschiebehaushalt'!$A$4:$AC$275,29,FALSE)="","",VLOOKUP(A127,'Charriage - Geschiebehaushalt'!$A$4:$AC$275,29,FALSE))</f>
        <v>d</v>
      </c>
      <c r="K127" s="533" t="str">
        <f>IF(VLOOKUP(A127,'Débit - Abfluss'!$A$4:$AD$275,8,FALSE)="","",VLOOKUP(A127,'Débit - Abfluss'!$A$4:$AD$275,8,FALSE))</f>
        <v>81-100%</v>
      </c>
      <c r="L127" s="468" t="str">
        <f>IF(VLOOKUP(A127,'Débit - Abfluss'!$A$4:$AD$275,10,FALSE)="","",VLOOKUP(A127,'Débit - Abfluss'!$A$4:$AD$275,10,FALSE))</f>
        <v>81-100%</v>
      </c>
      <c r="M127" s="333" t="str">
        <f>IF(VLOOKUP(A127,'Débit - Abfluss'!$A$4:$AD$275,17,FALSE)="","",VLOOKUP(A127,'Débit - Abfluss'!$A$4:$AD$275,17,FALSE))</f>
        <v>81-100%</v>
      </c>
      <c r="N127" s="340" t="str">
        <f>IF(VLOOKUP(A127,'Eclusée - Schwall-Sunk'!$A$2:$F$273,6,FALSE)="","",VLOOKUP(A127,'Eclusée - Schwall-Sunk'!$A$2:$F$273,6,FALSE))</f>
        <v>Non affecté / nicht betroffen</v>
      </c>
      <c r="O127" s="537"/>
      <c r="P127" s="538"/>
      <c r="Q127" s="284" t="str">
        <f>IF(VLOOKUP(A127,'Revitalisation-Revitalisierung'!$A$4:$Z$275,13,FALSE)="","",VLOOKUP(A127,'Revitalisation-Revitalisierung'!$A$4:$Z$275,13,FALSE))</f>
        <v>Partiellement nécessaire, facile / teilweise nötig, einfach</v>
      </c>
      <c r="R127" s="541" t="str">
        <f>IF(VLOOKUP(A127,'Revitalisation-Revitalisierung'!$A$4:$Z$275,14,FALSE)="","",VLOOKUP(A127,'Revitalisation-Revitalisierung'!$A$4:$Z$275,14,FALSE))</f>
        <v>b</v>
      </c>
      <c r="S127" s="542" t="str">
        <f>IF(VLOOKUP(A127,'Revitalisation-Revitalisierung'!$A$4:$Z$275,19,FALSE)="","",VLOOKUP(A127,'Revitalisation-Revitalisierung'!$A$4:$Z$275,19,FALSE))</f>
        <v>Très nécessaire, facile / unbedingt nötig, einfach</v>
      </c>
      <c r="T127" s="541" t="str">
        <f>IF(VLOOKUP(A127,'Revitalisation-Revitalisierung'!$A$4:$Z$275,20,FALSE)="","",VLOOKUP(A127,'Revitalisation-Revitalisierung'!$A$4:$Z$275,20,FALSE))</f>
        <v>c</v>
      </c>
      <c r="U127" s="542" t="str">
        <f>IF(VLOOKUP(A127,'Revitalisation-Revitalisierung'!$A$4:$Z$275,25,FALSE)="","",VLOOKUP(A127,'Revitalisation-Revitalisierung'!$A$4:$Z$275,25,FALSE))</f>
        <v>Partiellement nécessaire, difficile / teilweise nötig, schwierig</v>
      </c>
      <c r="V127" s="406" t="str">
        <f>IF(VLOOKUP(A127,'Revitalisation-Revitalisierung'!$A$4:$Z$275,26,FALSE)="","",VLOOKUP(A127,'Revitalisation-Revitalisierung'!$A$4:$Z$275,26,FALSE))</f>
        <v>e</v>
      </c>
      <c r="Y127" s="529" t="str">
        <f t="shared" si="8"/>
        <v>0-20%</v>
      </c>
      <c r="Z127" s="568" t="str">
        <f t="shared" si="9"/>
        <v>d</v>
      </c>
      <c r="AA127" s="327" t="str">
        <f t="shared" si="10"/>
        <v>81-100%</v>
      </c>
      <c r="AB127" s="327" t="str">
        <f t="shared" si="11"/>
        <v>Non affecté / nicht betroffen</v>
      </c>
      <c r="AC127" s="276" t="str">
        <f t="shared" si="12"/>
        <v>Partiellement nécessaire, difficile / teilweise nötig, schwierig</v>
      </c>
      <c r="AD127" s="570" t="str">
        <f t="shared" si="13"/>
        <v>e</v>
      </c>
      <c r="AE127" t="s">
        <v>1902</v>
      </c>
      <c r="AF127">
        <v>1</v>
      </c>
    </row>
    <row r="128" spans="1:33" ht="16.5" customHeight="1" x14ac:dyDescent="0.25">
      <c r="A128" s="926">
        <v>122</v>
      </c>
      <c r="B128" s="400" t="s">
        <v>593</v>
      </c>
      <c r="C128" s="400" t="s">
        <v>589</v>
      </c>
      <c r="D128" s="401" t="s">
        <v>573</v>
      </c>
      <c r="E128" s="522" t="str">
        <f>IF(VLOOKUP(A128,'Charriage - Geschiebehaushalt'!$A$4:$AC$275,17,FALSE)="","",VLOOKUP(A128,'Charriage - Geschiebehaushalt'!$A$4:$AC$275,17,FALSE))</f>
        <v>Charriage présumé perturbé / Geschiebehaushalt vermutlich beeinträchtigt</v>
      </c>
      <c r="F128" s="523" t="str">
        <f>IF(VLOOKUP(A128,'Charriage - Geschiebehaushalt'!$A$4:$AC$275,18,FALSE)="","",VLOOKUP(A128,'Charriage - Geschiebehaushalt'!$A$4:$AC$275,18,FALSE))</f>
        <v>b</v>
      </c>
      <c r="G128" s="524" t="str">
        <f>IF(VLOOKUP(A128,'Charriage - Geschiebehaushalt'!$A$4:$AC$275,22,FALSE)="","",VLOOKUP(A128,'Charriage - Geschiebehaushalt'!$A$4:$AC$275,22,FALSE))</f>
        <v>0-20%</v>
      </c>
      <c r="H128" s="523" t="str">
        <f>IF(VLOOKUP(A128,'Charriage - Geschiebehaushalt'!$A$4:$AC$275,23,FALSE)="","",VLOOKUP(A128,'Charriage - Geschiebehaushalt'!$A$4:$AC$275,23,FALSE))</f>
        <v>c</v>
      </c>
      <c r="I128" s="524" t="str">
        <f>IF(VLOOKUP(A128,'Charriage - Geschiebehaushalt'!$A$4:$AC$275,28,FALSE)="","",VLOOKUP(A128,'Charriage - Geschiebehaushalt'!$A$4:$AC$275,28,FALSE))</f>
        <v>0-20%</v>
      </c>
      <c r="J128" s="403" t="str">
        <f>IF(VLOOKUP(A128,'Charriage - Geschiebehaushalt'!$A$4:$AC$275,29,FALSE)="","",VLOOKUP(A128,'Charriage - Geschiebehaushalt'!$A$4:$AC$275,29,FALSE))</f>
        <v>c</v>
      </c>
      <c r="K128" s="533" t="str">
        <f>IF(VLOOKUP(A128,'Débit - Abfluss'!$A$4:$AD$275,8,FALSE)="","",VLOOKUP(A128,'Débit - Abfluss'!$A$4:$AD$275,8,FALSE))</f>
        <v>100%</v>
      </c>
      <c r="L128" s="468" t="str">
        <f>IF(VLOOKUP(A128,'Débit - Abfluss'!$A$4:$AD$275,10,FALSE)="","",VLOOKUP(A128,'Débit - Abfluss'!$A$4:$AD$275,10,FALSE))</f>
        <v>100%</v>
      </c>
      <c r="M128" s="333" t="str">
        <f>IF(VLOOKUP(A128,'Débit - Abfluss'!$A$4:$AD$275,17,FALSE)="","",VLOOKUP(A128,'Débit - Abfluss'!$A$4:$AD$275,17,FALSE))</f>
        <v>100%</v>
      </c>
      <c r="N128" s="340" t="str">
        <f>IF(VLOOKUP(A128,'Eclusée - Schwall-Sunk'!$A$2:$F$273,6,FALSE)="","",VLOOKUP(A128,'Eclusée - Schwall-Sunk'!$A$2:$F$273,6,FALSE))</f>
        <v>Non affecté / nicht betroffen</v>
      </c>
      <c r="O128" s="537"/>
      <c r="P128" s="538"/>
      <c r="Q128" s="284" t="str">
        <f>IF(VLOOKUP(A128,'Revitalisation-Revitalisierung'!$A$4:$Z$275,13,FALSE)="","",VLOOKUP(A128,'Revitalisation-Revitalisierung'!$A$4:$Z$275,13,FALSE))</f>
        <v>Très nécessaire, facile / unbedingt nötig, einfach</v>
      </c>
      <c r="R128" s="541" t="str">
        <f>IF(VLOOKUP(A128,'Revitalisation-Revitalisierung'!$A$4:$Z$275,14,FALSE)="","",VLOOKUP(A128,'Revitalisation-Revitalisierung'!$A$4:$Z$275,14,FALSE))</f>
        <v>b</v>
      </c>
      <c r="S128" s="542" t="str">
        <f>IF(VLOOKUP(A128,'Revitalisation-Revitalisierung'!$A$4:$Z$275,19,FALSE)="","",VLOOKUP(A128,'Revitalisation-Revitalisierung'!$A$4:$Z$275,19,FALSE))</f>
        <v>Très nécessaire, facile / unbedingt nötig, einfach</v>
      </c>
      <c r="T128" s="541" t="str">
        <f>IF(VLOOKUP(A128,'Revitalisation-Revitalisierung'!$A$4:$Z$275,20,FALSE)="","",VLOOKUP(A128,'Revitalisation-Revitalisierung'!$A$4:$Z$275,20,FALSE))</f>
        <v>d</v>
      </c>
      <c r="U128" s="542" t="str">
        <f>IF(VLOOKUP(A128,'Revitalisation-Revitalisierung'!$A$4:$Z$275,25,FALSE)="","",VLOOKUP(A128,'Revitalisation-Revitalisierung'!$A$4:$Z$275,25,FALSE))</f>
        <v>Très nécessaire, facile / unbedingt nötig, einfach</v>
      </c>
      <c r="V128" s="406" t="str">
        <f>IF(VLOOKUP(A128,'Revitalisation-Revitalisierung'!$A$4:$Z$275,26,FALSE)="","",VLOOKUP(A128,'Revitalisation-Revitalisierung'!$A$4:$Z$275,26,FALSE))</f>
        <v>d</v>
      </c>
      <c r="Y128" s="529" t="str">
        <f t="shared" si="8"/>
        <v>0-20%</v>
      </c>
      <c r="Z128" s="568" t="str">
        <f t="shared" si="9"/>
        <v>c</v>
      </c>
      <c r="AA128" s="327" t="str">
        <f t="shared" si="10"/>
        <v>100%</v>
      </c>
      <c r="AB128" s="327" t="str">
        <f t="shared" si="11"/>
        <v>Non affecté / nicht betroffen</v>
      </c>
      <c r="AC128" s="276" t="str">
        <f t="shared" si="12"/>
        <v>Très nécessaire, facile / unbedingt nötig, einfach</v>
      </c>
      <c r="AD128" s="570" t="str">
        <f t="shared" si="13"/>
        <v>d</v>
      </c>
      <c r="AE128">
        <v>2</v>
      </c>
      <c r="AF128">
        <v>1</v>
      </c>
    </row>
    <row r="129" spans="1:33" ht="16.5" customHeight="1" x14ac:dyDescent="0.25">
      <c r="A129" s="927">
        <v>123.1</v>
      </c>
      <c r="B129" s="400" t="s">
        <v>596</v>
      </c>
      <c r="C129" s="400" t="s">
        <v>597</v>
      </c>
      <c r="D129" s="401" t="s">
        <v>573</v>
      </c>
      <c r="E129" s="522" t="str">
        <f>IF(VLOOKUP(A129,'Charriage - Geschiebehaushalt'!$A$4:$AC$275,17,FALSE)="","",VLOOKUP(A129,'Charriage - Geschiebehaushalt'!$A$4:$AC$275,17,FALSE))</f>
        <v>21-50%</v>
      </c>
      <c r="F129" s="523" t="str">
        <f>IF(VLOOKUP(A129,'Charriage - Geschiebehaushalt'!$A$4:$AC$275,18,FALSE)="","",VLOOKUP(A129,'Charriage - Geschiebehaushalt'!$A$4:$AC$275,18,FALSE))</f>
        <v>a</v>
      </c>
      <c r="G129" s="524" t="str">
        <f>IF(VLOOKUP(A129,'Charriage - Geschiebehaushalt'!$A$4:$AC$275,22,FALSE)="","",VLOOKUP(A129,'Charriage - Geschiebehaushalt'!$A$4:$AC$275,22,FALSE))</f>
        <v>21-50%</v>
      </c>
      <c r="H129" s="523" t="str">
        <f>IF(VLOOKUP(A129,'Charriage - Geschiebehaushalt'!$A$4:$AC$275,23,FALSE)="","",VLOOKUP(A129,'Charriage - Geschiebehaushalt'!$A$4:$AC$275,23,FALSE))</f>
        <v>a</v>
      </c>
      <c r="I129" s="524" t="str">
        <f>IF(VLOOKUP(A129,'Charriage - Geschiebehaushalt'!$A$4:$AC$275,28,FALSE)="","",VLOOKUP(A129,'Charriage - Geschiebehaushalt'!$A$4:$AC$275,28,FALSE))</f>
        <v>21-50%</v>
      </c>
      <c r="J129" s="403" t="str">
        <f>IF(VLOOKUP(A129,'Charriage - Geschiebehaushalt'!$A$4:$AC$275,29,FALSE)="","",VLOOKUP(A129,'Charriage - Geschiebehaushalt'!$A$4:$AC$275,29,FALSE))</f>
        <v>a</v>
      </c>
      <c r="K129" s="533" t="str">
        <f>IF(VLOOKUP(A129,'Débit - Abfluss'!$A$4:$AD$275,8,FALSE)="","",VLOOKUP(A129,'Débit - Abfluss'!$A$4:$AD$275,8,FALSE))</f>
        <v>81-100%</v>
      </c>
      <c r="L129" s="468" t="str">
        <f>IF(VLOOKUP(A129,'Débit - Abfluss'!$A$4:$AD$275,10,FALSE)="","",VLOOKUP(A129,'Débit - Abfluss'!$A$4:$AD$275,10,FALSE))</f>
        <v>81-100%</v>
      </c>
      <c r="M129" s="333" t="str">
        <f>IF(VLOOKUP(A129,'Débit - Abfluss'!$A$4:$AD$275,17,FALSE)="","",VLOOKUP(A129,'Débit - Abfluss'!$A$4:$AD$275,17,FALSE))</f>
        <v>81-100%</v>
      </c>
      <c r="N129" s="340" t="str">
        <f>IF(VLOOKUP(A129,'Eclusée - Schwall-Sunk'!$A$2:$F$273,6,FALSE)="","",VLOOKUP(A129,'Eclusée - Schwall-Sunk'!$A$2:$F$273,6,FALSE))</f>
        <v>Potentiellement affecté / möglicherweise betroffen</v>
      </c>
      <c r="O129" s="537"/>
      <c r="P129" s="538"/>
      <c r="Q129" s="284" t="str">
        <f>IF(VLOOKUP(A129,'Revitalisation-Revitalisierung'!$A$4:$Z$275,13,FALSE)="","",VLOOKUP(A129,'Revitalisation-Revitalisierung'!$A$4:$Z$275,13,FALSE))</f>
        <v>Très nécessaire, facile / unbedingt nötig, einfach</v>
      </c>
      <c r="R129" s="541" t="str">
        <f>IF(VLOOKUP(A129,'Revitalisation-Revitalisierung'!$A$4:$Z$275,14,FALSE)="","",VLOOKUP(A129,'Revitalisation-Revitalisierung'!$A$4:$Z$275,14,FALSE))</f>
        <v>a</v>
      </c>
      <c r="S129" s="542" t="str">
        <f>IF(VLOOKUP(A129,'Revitalisation-Revitalisierung'!$A$4:$Z$275,19,FALSE)="","",VLOOKUP(A129,'Revitalisation-Revitalisierung'!$A$4:$Z$275,19,FALSE))</f>
        <v>Très nécessaire, facile / unbedingt nötig, einfach</v>
      </c>
      <c r="T129" s="541" t="str">
        <f>IF(VLOOKUP(A129,'Revitalisation-Revitalisierung'!$A$4:$Z$275,20,FALSE)="","",VLOOKUP(A129,'Revitalisation-Revitalisierung'!$A$4:$Z$275,20,FALSE))</f>
        <v>a</v>
      </c>
      <c r="U129" s="542" t="str">
        <f>IF(VLOOKUP(A129,'Revitalisation-Revitalisierung'!$A$4:$Z$275,25,FALSE)="","",VLOOKUP(A129,'Revitalisation-Revitalisierung'!$A$4:$Z$275,25,FALSE))</f>
        <v>Très nécessaire, facile / unbedingt nötig, einfach</v>
      </c>
      <c r="V129" s="406" t="str">
        <f>IF(VLOOKUP(A129,'Revitalisation-Revitalisierung'!$A$4:$Z$275,26,FALSE)="","",VLOOKUP(A129,'Revitalisation-Revitalisierung'!$A$4:$Z$275,26,FALSE))</f>
        <v>a</v>
      </c>
      <c r="Y129" s="529" t="str">
        <f t="shared" si="8"/>
        <v>21-50%</v>
      </c>
      <c r="Z129" s="568" t="str">
        <f t="shared" si="9"/>
        <v>a</v>
      </c>
      <c r="AA129" s="327" t="str">
        <f t="shared" si="10"/>
        <v>81-100%</v>
      </c>
      <c r="AB129" s="327" t="str">
        <f t="shared" si="11"/>
        <v>Potentiellement affecté / möglicherweise betroffen</v>
      </c>
      <c r="AC129" s="276" t="str">
        <f t="shared" si="12"/>
        <v>Très nécessaire, facile / unbedingt nötig, einfach</v>
      </c>
      <c r="AD129" s="570" t="str">
        <f t="shared" si="13"/>
        <v>a</v>
      </c>
      <c r="AE129">
        <v>4</v>
      </c>
      <c r="AF129">
        <v>1</v>
      </c>
    </row>
    <row r="130" spans="1:33" ht="16.5" customHeight="1" x14ac:dyDescent="0.25">
      <c r="A130" s="927">
        <v>123.2</v>
      </c>
      <c r="B130" s="400" t="s">
        <v>596</v>
      </c>
      <c r="C130" s="400" t="s">
        <v>597</v>
      </c>
      <c r="D130" s="401" t="s">
        <v>573</v>
      </c>
      <c r="E130" s="522" t="str">
        <f>IF(VLOOKUP(A130,'Charriage - Geschiebehaushalt'!$A$4:$AC$275,17,FALSE)="","",VLOOKUP(A130,'Charriage - Geschiebehaushalt'!$A$4:$AC$275,17,FALSE))</f>
        <v>21-50%</v>
      </c>
      <c r="F130" s="523" t="str">
        <f>IF(VLOOKUP(A130,'Charriage - Geschiebehaushalt'!$A$4:$AC$275,18,FALSE)="","",VLOOKUP(A130,'Charriage - Geschiebehaushalt'!$A$4:$AC$275,18,FALSE))</f>
        <v>a</v>
      </c>
      <c r="G130" s="524" t="str">
        <f>IF(VLOOKUP(A130,'Charriage - Geschiebehaushalt'!$A$4:$AC$275,22,FALSE)="","",VLOOKUP(A130,'Charriage - Geschiebehaushalt'!$A$4:$AC$275,22,FALSE))</f>
        <v>0-20%</v>
      </c>
      <c r="H130" s="523" t="str">
        <f>IF(VLOOKUP(A130,'Charriage - Geschiebehaushalt'!$A$4:$AC$275,23,FALSE)="","",VLOOKUP(A130,'Charriage - Geschiebehaushalt'!$A$4:$AC$275,23,FALSE))</f>
        <v>c</v>
      </c>
      <c r="I130" s="524" t="str">
        <f>IF(VLOOKUP(A130,'Charriage - Geschiebehaushalt'!$A$4:$AC$275,28,FALSE)="","",VLOOKUP(A130,'Charriage - Geschiebehaushalt'!$A$4:$AC$275,28,FALSE))</f>
        <v>0-20%</v>
      </c>
      <c r="J130" s="403" t="str">
        <f>IF(VLOOKUP(A130,'Charriage - Geschiebehaushalt'!$A$4:$AC$275,29,FALSE)="","",VLOOKUP(A130,'Charriage - Geschiebehaushalt'!$A$4:$AC$275,29,FALSE))</f>
        <v>c</v>
      </c>
      <c r="K130" s="533" t="str">
        <f>IF(VLOOKUP(A130,'Débit - Abfluss'!$A$4:$AD$275,8,FALSE)="","",VLOOKUP(A130,'Débit - Abfluss'!$A$4:$AD$275,8,FALSE))</f>
        <v>81-100%</v>
      </c>
      <c r="L130" s="468" t="str">
        <f>IF(VLOOKUP(A130,'Débit - Abfluss'!$A$4:$AD$275,10,FALSE)="","",VLOOKUP(A130,'Débit - Abfluss'!$A$4:$AD$275,10,FALSE))</f>
        <v>81-100%</v>
      </c>
      <c r="M130" s="333" t="str">
        <f>IF(VLOOKUP(A130,'Débit - Abfluss'!$A$4:$AD$275,17,FALSE)="","",VLOOKUP(A130,'Débit - Abfluss'!$A$4:$AD$275,17,FALSE))</f>
        <v>81-100%</v>
      </c>
      <c r="N130" s="340" t="str">
        <f>IF(VLOOKUP(A130,'Eclusée - Schwall-Sunk'!$A$2:$F$273,6,FALSE)="","",VLOOKUP(A130,'Eclusée - Schwall-Sunk'!$A$2:$F$273,6,FALSE))</f>
        <v>Potentiellement affecté / möglicherweise betroffen</v>
      </c>
      <c r="O130" s="537"/>
      <c r="P130" s="538"/>
      <c r="Q130" s="284" t="str">
        <f>IF(VLOOKUP(A130,'Revitalisation-Revitalisierung'!$A$4:$Z$275,13,FALSE)="","",VLOOKUP(A130,'Revitalisation-Revitalisierung'!$A$4:$Z$275,13,FALSE))</f>
        <v>Très nécessaire, facile / unbedingt nötig, einfach</v>
      </c>
      <c r="R130" s="541" t="str">
        <f>IF(VLOOKUP(A130,'Revitalisation-Revitalisierung'!$A$4:$Z$275,14,FALSE)="","",VLOOKUP(A130,'Revitalisation-Revitalisierung'!$A$4:$Z$275,14,FALSE))</f>
        <v>a</v>
      </c>
      <c r="S130" s="542" t="str">
        <f>IF(VLOOKUP(A130,'Revitalisation-Revitalisierung'!$A$4:$Z$275,19,FALSE)="","",VLOOKUP(A130,'Revitalisation-Revitalisierung'!$A$4:$Z$275,19,FALSE))</f>
        <v>Très nécessaire, facile / unbedingt nötig, einfach</v>
      </c>
      <c r="T130" s="541" t="str">
        <f>IF(VLOOKUP(A130,'Revitalisation-Revitalisierung'!$A$4:$Z$275,20,FALSE)="","",VLOOKUP(A130,'Revitalisation-Revitalisierung'!$A$4:$Z$275,20,FALSE))</f>
        <v>d</v>
      </c>
      <c r="U130" s="542" t="str">
        <f>IF(VLOOKUP(A130,'Revitalisation-Revitalisierung'!$A$4:$Z$275,25,FALSE)="","",VLOOKUP(A130,'Revitalisation-Revitalisierung'!$A$4:$Z$275,25,FALSE))</f>
        <v>Très nécessaire, facile / unbedingt nötig, einfach</v>
      </c>
      <c r="V130" s="406" t="str">
        <f>IF(VLOOKUP(A130,'Revitalisation-Revitalisierung'!$A$4:$Z$275,26,FALSE)="","",VLOOKUP(A130,'Revitalisation-Revitalisierung'!$A$4:$Z$275,26,FALSE))</f>
        <v>d</v>
      </c>
      <c r="Y130" s="529" t="str">
        <f t="shared" si="8"/>
        <v>0-20%</v>
      </c>
      <c r="Z130" s="568" t="str">
        <f t="shared" si="9"/>
        <v>c</v>
      </c>
      <c r="AA130" s="327" t="str">
        <f t="shared" si="10"/>
        <v>81-100%</v>
      </c>
      <c r="AB130" s="327" t="str">
        <f t="shared" si="11"/>
        <v>Potentiellement affecté / möglicherweise betroffen</v>
      </c>
      <c r="AC130" s="276" t="str">
        <f t="shared" si="12"/>
        <v>Très nécessaire, facile / unbedingt nötig, einfach</v>
      </c>
      <c r="AD130" s="570" t="str">
        <f t="shared" si="13"/>
        <v>d</v>
      </c>
      <c r="AE130">
        <v>4</v>
      </c>
      <c r="AF130">
        <v>1</v>
      </c>
    </row>
    <row r="131" spans="1:33" ht="16.5" customHeight="1" x14ac:dyDescent="0.25">
      <c r="A131" s="927">
        <v>123.3</v>
      </c>
      <c r="B131" s="400" t="s">
        <v>596</v>
      </c>
      <c r="C131" s="400" t="s">
        <v>597</v>
      </c>
      <c r="D131" s="401" t="s">
        <v>573</v>
      </c>
      <c r="E131" s="522" t="str">
        <f>IF(VLOOKUP(A131,'Charriage - Geschiebehaushalt'!$A$4:$AC$275,17,FALSE)="","",VLOOKUP(A131,'Charriage - Geschiebehaushalt'!$A$4:$AC$275,17,FALSE))</f>
        <v>non pertinent / nicht relevant</v>
      </c>
      <c r="F131" s="523" t="str">
        <f>IF(VLOOKUP(A131,'Charriage - Geschiebehaushalt'!$A$4:$AC$275,18,FALSE)="","",VLOOKUP(A131,'Charriage - Geschiebehaushalt'!$A$4:$AC$275,18,FALSE))</f>
        <v>a</v>
      </c>
      <c r="G131" s="524" t="str">
        <f>IF(VLOOKUP(A131,'Charriage - Geschiebehaushalt'!$A$4:$AC$275,22,FALSE)="","",VLOOKUP(A131,'Charriage - Geschiebehaushalt'!$A$4:$AC$275,22,FALSE))</f>
        <v>non pertinent / nicht relevant</v>
      </c>
      <c r="H131" s="523" t="str">
        <f>IF(VLOOKUP(A131,'Charriage - Geschiebehaushalt'!$A$4:$AC$275,23,FALSE)="","",VLOOKUP(A131,'Charriage - Geschiebehaushalt'!$A$4:$AC$275,23,FALSE))</f>
        <v>a</v>
      </c>
      <c r="I131" s="524" t="str">
        <f>IF(VLOOKUP(A131,'Charriage - Geschiebehaushalt'!$A$4:$AC$275,28,FALSE)="","",VLOOKUP(A131,'Charriage - Geschiebehaushalt'!$A$4:$AC$275,28,FALSE))</f>
        <v>non pertinent / nicht relevant</v>
      </c>
      <c r="J131" s="403" t="str">
        <f>IF(VLOOKUP(A131,'Charriage - Geschiebehaushalt'!$A$4:$AC$275,29,FALSE)="","",VLOOKUP(A131,'Charriage - Geschiebehaushalt'!$A$4:$AC$275,29,FALSE))</f>
        <v>a</v>
      </c>
      <c r="K131" s="533" t="str">
        <f>IF(VLOOKUP(A131,'Débit - Abfluss'!$A$4:$AD$275,8,FALSE)="","",VLOOKUP(A131,'Débit - Abfluss'!$A$4:$AD$275,8,FALSE))</f>
        <v>non pertinent / nicht relevant</v>
      </c>
      <c r="L131" s="468" t="str">
        <f>IF(VLOOKUP(A131,'Débit - Abfluss'!$A$4:$AD$275,10,FALSE)="","",VLOOKUP(A131,'Débit - Abfluss'!$A$4:$AD$275,10,FALSE))</f>
        <v>non pertinent / nicht relevant</v>
      </c>
      <c r="M131" s="333" t="str">
        <f>IF(VLOOKUP(A131,'Débit - Abfluss'!$A$4:$AD$275,17,FALSE)="","",VLOOKUP(A131,'Débit - Abfluss'!$A$4:$AD$275,17,FALSE))</f>
        <v>non pertinent / nicht relevant</v>
      </c>
      <c r="N131" s="340" t="str">
        <f>IF(VLOOKUP(A131,'Eclusée - Schwall-Sunk'!$A$2:$F$273,6,FALSE)="","",VLOOKUP(A131,'Eclusée - Schwall-Sunk'!$A$2:$F$273,6,FALSE))</f>
        <v>Non affecté / nicht betroffen</v>
      </c>
      <c r="O131" s="537"/>
      <c r="P131" s="538"/>
      <c r="Q131" s="284" t="str">
        <f>IF(VLOOKUP(A131,'Revitalisation-Revitalisierung'!$A$4:$Z$275,13,FALSE)="","",VLOOKUP(A131,'Revitalisation-Revitalisierung'!$A$4:$Z$275,13,FALSE))</f>
        <v>Non nécessaire / nicht nötig</v>
      </c>
      <c r="R131" s="541" t="str">
        <f>IF(VLOOKUP(A131,'Revitalisation-Revitalisierung'!$A$4:$Z$275,14,FALSE)="","",VLOOKUP(A131,'Revitalisation-Revitalisierung'!$A$4:$Z$275,14,FALSE))</f>
        <v>a</v>
      </c>
      <c r="S131" s="542" t="str">
        <f>IF(VLOOKUP(A131,'Revitalisation-Revitalisierung'!$A$4:$Z$275,19,FALSE)="","",VLOOKUP(A131,'Revitalisation-Revitalisierung'!$A$4:$Z$275,19,FALSE))</f>
        <v>Non nécessaire / nicht nötig</v>
      </c>
      <c r="T131" s="541" t="str">
        <f>IF(VLOOKUP(A131,'Revitalisation-Revitalisierung'!$A$4:$Z$275,20,FALSE)="","",VLOOKUP(A131,'Revitalisation-Revitalisierung'!$A$4:$Z$275,20,FALSE))</f>
        <v>a</v>
      </c>
      <c r="U131" s="542" t="str">
        <f>IF(VLOOKUP(A131,'Revitalisation-Revitalisierung'!$A$4:$Z$275,25,FALSE)="","",VLOOKUP(A131,'Revitalisation-Revitalisierung'!$A$4:$Z$275,25,FALSE))</f>
        <v>Non nécessaire / nicht nötig</v>
      </c>
      <c r="V131" s="406" t="str">
        <f>IF(VLOOKUP(A131,'Revitalisation-Revitalisierung'!$A$4:$Z$275,26,FALSE)="","",VLOOKUP(A131,'Revitalisation-Revitalisierung'!$A$4:$Z$275,26,FALSE))</f>
        <v>a</v>
      </c>
      <c r="Y131" s="529" t="str">
        <f t="shared" si="8"/>
        <v>non pertinent / nicht relevant</v>
      </c>
      <c r="Z131" s="568" t="str">
        <f t="shared" si="9"/>
        <v>a</v>
      </c>
      <c r="AA131" s="327" t="str">
        <f t="shared" si="10"/>
        <v>non pertinent / nicht relevant</v>
      </c>
      <c r="AB131" s="327" t="str">
        <f t="shared" si="11"/>
        <v>Non affecté / nicht betroffen</v>
      </c>
      <c r="AC131" s="276" t="str">
        <f t="shared" si="12"/>
        <v>Non nécessaire / nicht nötig</v>
      </c>
      <c r="AD131" s="570" t="str">
        <f t="shared" si="13"/>
        <v>a</v>
      </c>
      <c r="AE131">
        <v>5</v>
      </c>
      <c r="AF131">
        <v>1</v>
      </c>
    </row>
    <row r="132" spans="1:33" ht="16.5" customHeight="1" x14ac:dyDescent="0.25">
      <c r="A132" s="926">
        <v>124</v>
      </c>
      <c r="B132" s="400" t="s">
        <v>598</v>
      </c>
      <c r="C132" s="400" t="s">
        <v>599</v>
      </c>
      <c r="D132" s="401" t="s">
        <v>573</v>
      </c>
      <c r="E132" s="522" t="str">
        <f>IF(VLOOKUP(A132,'Charriage - Geschiebehaushalt'!$A$4:$AC$275,17,FALSE)="","",VLOOKUP(A132,'Charriage - Geschiebehaushalt'!$A$4:$AC$275,17,FALSE))</f>
        <v>21-50%</v>
      </c>
      <c r="F132" s="523" t="str">
        <f>IF(VLOOKUP(A132,'Charriage - Geschiebehaushalt'!$A$4:$AC$275,18,FALSE)="","",VLOOKUP(A132,'Charriage - Geschiebehaushalt'!$A$4:$AC$275,18,FALSE))</f>
        <v>a</v>
      </c>
      <c r="G132" s="524" t="str">
        <f>IF(VLOOKUP(A132,'Charriage - Geschiebehaushalt'!$A$4:$AC$275,22,FALSE)="","",VLOOKUP(A132,'Charriage - Geschiebehaushalt'!$A$4:$AC$275,22,FALSE))</f>
        <v>0-20%</v>
      </c>
      <c r="H132" s="523" t="str">
        <f>IF(VLOOKUP(A132,'Charriage - Geschiebehaushalt'!$A$4:$AC$275,23,FALSE)="","",VLOOKUP(A132,'Charriage - Geschiebehaushalt'!$A$4:$AC$275,23,FALSE))</f>
        <v>c</v>
      </c>
      <c r="I132" s="524" t="str">
        <f>IF(VLOOKUP(A132,'Charriage - Geschiebehaushalt'!$A$4:$AC$275,28,FALSE)="","",VLOOKUP(A132,'Charriage - Geschiebehaushalt'!$A$4:$AC$275,28,FALSE))</f>
        <v>0-20%</v>
      </c>
      <c r="J132" s="403" t="str">
        <f>IF(VLOOKUP(A132,'Charriage - Geschiebehaushalt'!$A$4:$AC$275,29,FALSE)="","",VLOOKUP(A132,'Charriage - Geschiebehaushalt'!$A$4:$AC$275,29,FALSE))</f>
        <v>c</v>
      </c>
      <c r="K132" s="533" t="str">
        <f>IF(VLOOKUP(A132,'Débit - Abfluss'!$A$4:$AD$275,8,FALSE)="","",VLOOKUP(A132,'Débit - Abfluss'!$A$4:$AD$275,8,FALSE))</f>
        <v>81-100%</v>
      </c>
      <c r="L132" s="468" t="str">
        <f>IF(VLOOKUP(A132,'Débit - Abfluss'!$A$4:$AD$275,10,FALSE)="","",VLOOKUP(A132,'Débit - Abfluss'!$A$4:$AD$275,10,FALSE))</f>
        <v>81-100%</v>
      </c>
      <c r="M132" s="333" t="str">
        <f>IF(VLOOKUP(A132,'Débit - Abfluss'!$A$4:$AD$275,17,FALSE)="","",VLOOKUP(A132,'Débit - Abfluss'!$A$4:$AD$275,17,FALSE))</f>
        <v>81-100%</v>
      </c>
      <c r="N132" s="340" t="str">
        <f>IF(VLOOKUP(A132,'Eclusée - Schwall-Sunk'!$A$2:$F$273,6,FALSE)="","",VLOOKUP(A132,'Eclusée - Schwall-Sunk'!$A$2:$F$273,6,FALSE))</f>
        <v>Potentiellement affecté / möglicherweise betroffen</v>
      </c>
      <c r="O132" s="537"/>
      <c r="P132" s="538"/>
      <c r="Q132" s="284" t="str">
        <f>IF(VLOOKUP(A132,'Revitalisation-Revitalisierung'!$A$4:$Z$275,13,FALSE)="","",VLOOKUP(A132,'Revitalisation-Revitalisierung'!$A$4:$Z$275,13,FALSE))</f>
        <v>Très nécessaire, facile / unbedingt nötig, einfach</v>
      </c>
      <c r="R132" s="541" t="str">
        <f>IF(VLOOKUP(A132,'Revitalisation-Revitalisierung'!$A$4:$Z$275,14,FALSE)="","",VLOOKUP(A132,'Revitalisation-Revitalisierung'!$A$4:$Z$275,14,FALSE))</f>
        <v>a</v>
      </c>
      <c r="S132" s="542" t="str">
        <f>IF(VLOOKUP(A132,'Revitalisation-Revitalisierung'!$A$4:$Z$275,19,FALSE)="","",VLOOKUP(A132,'Revitalisation-Revitalisierung'!$A$4:$Z$275,19,FALSE))</f>
        <v>Très nécessaire, facile / unbedingt nötig, einfach</v>
      </c>
      <c r="T132" s="541" t="str">
        <f>IF(VLOOKUP(A132,'Revitalisation-Revitalisierung'!$A$4:$Z$275,20,FALSE)="","",VLOOKUP(A132,'Revitalisation-Revitalisierung'!$A$4:$Z$275,20,FALSE))</f>
        <v>d</v>
      </c>
      <c r="U132" s="542" t="str">
        <f>IF(VLOOKUP(A132,'Revitalisation-Revitalisierung'!$A$4:$Z$275,25,FALSE)="","",VLOOKUP(A132,'Revitalisation-Revitalisierung'!$A$4:$Z$275,25,FALSE))</f>
        <v>Très nécessaire, facile / unbedingt nötig, einfach</v>
      </c>
      <c r="V132" s="406" t="str">
        <f>IF(VLOOKUP(A132,'Revitalisation-Revitalisierung'!$A$4:$Z$275,26,FALSE)="","",VLOOKUP(A132,'Revitalisation-Revitalisierung'!$A$4:$Z$275,26,FALSE))</f>
        <v>d</v>
      </c>
      <c r="Y132" s="529" t="str">
        <f t="shared" si="8"/>
        <v>0-20%</v>
      </c>
      <c r="Z132" s="568" t="str">
        <f t="shared" si="9"/>
        <v>c</v>
      </c>
      <c r="AA132" s="327" t="str">
        <f t="shared" si="10"/>
        <v>81-100%</v>
      </c>
      <c r="AB132" s="327" t="str">
        <f t="shared" si="11"/>
        <v>Potentiellement affecté / möglicherweise betroffen</v>
      </c>
      <c r="AC132" s="276" t="str">
        <f t="shared" si="12"/>
        <v>Très nécessaire, facile / unbedingt nötig, einfach</v>
      </c>
      <c r="AD132" s="570" t="str">
        <f t="shared" si="13"/>
        <v>d</v>
      </c>
      <c r="AE132">
        <v>4</v>
      </c>
      <c r="AF132">
        <v>1</v>
      </c>
    </row>
    <row r="133" spans="1:33" ht="16.5" customHeight="1" x14ac:dyDescent="0.25">
      <c r="A133" s="926">
        <v>125</v>
      </c>
      <c r="B133" s="400" t="s">
        <v>626</v>
      </c>
      <c r="C133" s="400" t="s">
        <v>627</v>
      </c>
      <c r="D133" s="401" t="s">
        <v>625</v>
      </c>
      <c r="E133" s="522" t="str">
        <f>IF(VLOOKUP(A133,'Charriage - Geschiebehaushalt'!$A$4:$AC$275,17,FALSE)="","",VLOOKUP(A133,'Charriage - Geschiebehaushalt'!$A$4:$AC$275,17,FALSE))</f>
        <v>Charriage présumé naturel / Geschiebehaushalt vermutlich natürlich</v>
      </c>
      <c r="F133" s="523" t="str">
        <f>IF(VLOOKUP(A133,'Charriage - Geschiebehaushalt'!$A$4:$AC$275,18,FALSE)="","",VLOOKUP(A133,'Charriage - Geschiebehaushalt'!$A$4:$AC$275,18,FALSE))</f>
        <v>b</v>
      </c>
      <c r="G133" s="524" t="str">
        <f>IF(VLOOKUP(A133,'Charriage - Geschiebehaushalt'!$A$4:$AC$275,22,FALSE)="","",VLOOKUP(A133,'Charriage - Geschiebehaushalt'!$A$4:$AC$275,22,FALSE))</f>
        <v>0-20%</v>
      </c>
      <c r="H133" s="523" t="str">
        <f>IF(VLOOKUP(A133,'Charriage - Geschiebehaushalt'!$A$4:$AC$275,23,FALSE)="","",VLOOKUP(A133,'Charriage - Geschiebehaushalt'!$A$4:$AC$275,23,FALSE))</f>
        <v>b</v>
      </c>
      <c r="I133" s="524" t="str">
        <f>IF(VLOOKUP(A133,'Charriage - Geschiebehaushalt'!$A$4:$AC$275,28,FALSE)="","",VLOOKUP(A133,'Charriage - Geschiebehaushalt'!$A$4:$AC$275,28,FALSE))</f>
        <v>0-20%</v>
      </c>
      <c r="J133" s="403" t="str">
        <f>IF(VLOOKUP(A133,'Charriage - Geschiebehaushalt'!$A$4:$AC$275,29,FALSE)="","",VLOOKUP(A133,'Charriage - Geschiebehaushalt'!$A$4:$AC$275,29,FALSE))</f>
        <v>b</v>
      </c>
      <c r="K133" s="533" t="str">
        <f>IF(VLOOKUP(A133,'Débit - Abfluss'!$A$4:$AD$275,8,FALSE)="","",VLOOKUP(A133,'Débit - Abfluss'!$A$4:$AD$275,8,FALSE))</f>
        <v>100%</v>
      </c>
      <c r="L133" s="468" t="str">
        <f>IF(VLOOKUP(A133,'Débit - Abfluss'!$A$4:$AD$275,10,FALSE)="","",VLOOKUP(A133,'Débit - Abfluss'!$A$4:$AD$275,10,FALSE))</f>
        <v>100%</v>
      </c>
      <c r="M133" s="333" t="str">
        <f>IF(VLOOKUP(A133,'Débit - Abfluss'!$A$4:$AD$275,17,FALSE)="","",VLOOKUP(A133,'Débit - Abfluss'!$A$4:$AD$275,17,FALSE))</f>
        <v>100%</v>
      </c>
      <c r="N133" s="340" t="str">
        <f>IF(VLOOKUP(A133,'Eclusée - Schwall-Sunk'!$A$2:$F$273,6,FALSE)="","",VLOOKUP(A133,'Eclusée - Schwall-Sunk'!$A$2:$F$273,6,FALSE))</f>
        <v>Non affecté / nicht betroffen</v>
      </c>
      <c r="O133" s="537"/>
      <c r="P133" s="538"/>
      <c r="Q133" s="284" t="str">
        <f>IF(VLOOKUP(A133,'Revitalisation-Revitalisierung'!$A$4:$Z$275,13,FALSE)="","",VLOOKUP(A133,'Revitalisation-Revitalisierung'!$A$4:$Z$275,13,FALSE))</f>
        <v>Non nécessaire / nicht nötig</v>
      </c>
      <c r="R133" s="541" t="str">
        <f>IF(VLOOKUP(A133,'Revitalisation-Revitalisierung'!$A$4:$Z$275,14,FALSE)="","",VLOOKUP(A133,'Revitalisation-Revitalisierung'!$A$4:$Z$275,14,FALSE))</f>
        <v>b</v>
      </c>
      <c r="S133" s="542" t="str">
        <f>IF(VLOOKUP(A133,'Revitalisation-Revitalisierung'!$A$4:$Z$275,19,FALSE)="","",VLOOKUP(A133,'Revitalisation-Revitalisierung'!$A$4:$Z$275,19,FALSE))</f>
        <v>Non nécessaire / nicht nötig</v>
      </c>
      <c r="T133" s="541" t="str">
        <f>IF(VLOOKUP(A133,'Revitalisation-Revitalisierung'!$A$4:$Z$275,20,FALSE)="","",VLOOKUP(A133,'Revitalisation-Revitalisierung'!$A$4:$Z$275,20,FALSE))</f>
        <v>d</v>
      </c>
      <c r="U133" s="542" t="str">
        <f>IF(VLOOKUP(A133,'Revitalisation-Revitalisierung'!$A$4:$Z$275,25,FALSE)="","",VLOOKUP(A133,'Revitalisation-Revitalisierung'!$A$4:$Z$275,25,FALSE))</f>
        <v>Non nécessaire / nicht nötig</v>
      </c>
      <c r="V133" s="406" t="str">
        <f>IF(VLOOKUP(A133,'Revitalisation-Revitalisierung'!$A$4:$Z$275,26,FALSE)="","",VLOOKUP(A133,'Revitalisation-Revitalisierung'!$A$4:$Z$275,26,FALSE))</f>
        <v>d</v>
      </c>
      <c r="Y133" s="529" t="str">
        <f t="shared" si="8"/>
        <v>0-20%</v>
      </c>
      <c r="Z133" s="568" t="str">
        <f t="shared" si="9"/>
        <v>b</v>
      </c>
      <c r="AA133" s="327" t="str">
        <f t="shared" si="10"/>
        <v>100%</v>
      </c>
      <c r="AB133" s="327" t="str">
        <f t="shared" si="11"/>
        <v>Non affecté / nicht betroffen</v>
      </c>
      <c r="AC133" s="276" t="str">
        <f t="shared" si="12"/>
        <v>Non nécessaire / nicht nötig</v>
      </c>
      <c r="AD133" s="570" t="str">
        <f t="shared" si="13"/>
        <v>d</v>
      </c>
      <c r="AE133">
        <v>1</v>
      </c>
      <c r="AF133">
        <v>1</v>
      </c>
      <c r="AG133">
        <v>1</v>
      </c>
    </row>
    <row r="134" spans="1:33" ht="16.5" customHeight="1" x14ac:dyDescent="0.25">
      <c r="A134" s="926">
        <v>127</v>
      </c>
      <c r="B134" s="400" t="s">
        <v>630</v>
      </c>
      <c r="C134" s="400" t="s">
        <v>631</v>
      </c>
      <c r="D134" s="401" t="s">
        <v>625</v>
      </c>
      <c r="E134" s="522" t="str">
        <f>IF(VLOOKUP(A134,'Charriage - Geschiebehaushalt'!$A$4:$AC$275,17,FALSE)="","",VLOOKUP(A134,'Charriage - Geschiebehaushalt'!$A$4:$AC$275,17,FALSE))</f>
        <v>La remobilisation des sédiments est perturbée / Mobilisierung von Geschiebe beeinträchtigt</v>
      </c>
      <c r="F134" s="523" t="str">
        <f>IF(VLOOKUP(A134,'Charriage - Geschiebehaushalt'!$A$4:$AC$275,18,FALSE)="","",VLOOKUP(A134,'Charriage - Geschiebehaushalt'!$A$4:$AC$275,18,FALSE))</f>
        <v>a</v>
      </c>
      <c r="G134" s="524" t="str">
        <f>IF(VLOOKUP(A134,'Charriage - Geschiebehaushalt'!$A$4:$AC$275,22,FALSE)="","",VLOOKUP(A134,'Charriage - Geschiebehaushalt'!$A$4:$AC$275,22,FALSE))</f>
        <v>21-50%</v>
      </c>
      <c r="H134" s="523" t="str">
        <f>IF(VLOOKUP(A134,'Charriage - Geschiebehaushalt'!$A$4:$AC$275,23,FALSE)="","",VLOOKUP(A134,'Charriage - Geschiebehaushalt'!$A$4:$AC$275,23,FALSE))</f>
        <v>d</v>
      </c>
      <c r="I134" s="524" t="str">
        <f>IF(VLOOKUP(A134,'Charriage - Geschiebehaushalt'!$A$4:$AC$275,28,FALSE)="","",VLOOKUP(A134,'Charriage - Geschiebehaushalt'!$A$4:$AC$275,28,FALSE))</f>
        <v>21-50%</v>
      </c>
      <c r="J134" s="403" t="str">
        <f>IF(VLOOKUP(A134,'Charriage - Geschiebehaushalt'!$A$4:$AC$275,29,FALSE)="","",VLOOKUP(A134,'Charriage - Geschiebehaushalt'!$A$4:$AC$275,29,FALSE))</f>
        <v>d</v>
      </c>
      <c r="K134" s="533" t="str">
        <f>IF(VLOOKUP(A134,'Débit - Abfluss'!$A$4:$AD$275,8,FALSE)="","",VLOOKUP(A134,'Débit - Abfluss'!$A$4:$AD$275,8,FALSE))</f>
        <v>21-40%</v>
      </c>
      <c r="L134" s="468" t="str">
        <f>IF(VLOOKUP(A134,'Débit - Abfluss'!$A$4:$AD$275,10,FALSE)="","",VLOOKUP(A134,'Débit - Abfluss'!$A$4:$AD$275,10,FALSE))</f>
        <v>21-40%</v>
      </c>
      <c r="M134" s="333" t="str">
        <f>IF(VLOOKUP(A134,'Débit - Abfluss'!$A$4:$AD$275,17,FALSE)="","",VLOOKUP(A134,'Débit - Abfluss'!$A$4:$AD$275,17,FALSE))</f>
        <v>21-40%</v>
      </c>
      <c r="N134" s="340" t="str">
        <f>IF(VLOOKUP(A134,'Eclusée - Schwall-Sunk'!$A$2:$F$273,6,FALSE)="","",VLOOKUP(A134,'Eclusée - Schwall-Sunk'!$A$2:$F$273,6,FALSE))</f>
        <v>Non affecté / nicht betroffen</v>
      </c>
      <c r="O134" s="537"/>
      <c r="P134" s="538"/>
      <c r="Q134" s="284" t="str">
        <f>IF(VLOOKUP(A134,'Revitalisation-Revitalisierung'!$A$4:$Z$275,13,FALSE)="","",VLOOKUP(A134,'Revitalisation-Revitalisierung'!$A$4:$Z$275,13,FALSE))</f>
        <v>Très nécessaire, facile / unbedingt nötig, einfach</v>
      </c>
      <c r="R134" s="541" t="str">
        <f>IF(VLOOKUP(A134,'Revitalisation-Revitalisierung'!$A$4:$Z$275,14,FALSE)="","",VLOOKUP(A134,'Revitalisation-Revitalisierung'!$A$4:$Z$275,14,FALSE))</f>
        <v>a</v>
      </c>
      <c r="S134" s="542" t="str">
        <f>IF(VLOOKUP(A134,'Revitalisation-Revitalisierung'!$A$4:$Z$275,19,FALSE)="","",VLOOKUP(A134,'Revitalisation-Revitalisierung'!$A$4:$Z$275,19,FALSE))</f>
        <v>Très nécessaire, facile / unbedingt nötig, einfach</v>
      </c>
      <c r="T134" s="541" t="str">
        <f>IF(VLOOKUP(A134,'Revitalisation-Revitalisierung'!$A$4:$Z$275,20,FALSE)="","",VLOOKUP(A134,'Revitalisation-Revitalisierung'!$A$4:$Z$275,20,FALSE))</f>
        <v>d</v>
      </c>
      <c r="U134" s="542" t="str">
        <f>IF(VLOOKUP(A134,'Revitalisation-Revitalisierung'!$A$4:$Z$275,25,FALSE)="","",VLOOKUP(A134,'Revitalisation-Revitalisierung'!$A$4:$Z$275,25,FALSE))</f>
        <v>Très nécessaire, facile / unbedingt nötig, einfach</v>
      </c>
      <c r="V134" s="406" t="str">
        <f>IF(VLOOKUP(A134,'Revitalisation-Revitalisierung'!$A$4:$Z$275,26,FALSE)="","",VLOOKUP(A134,'Revitalisation-Revitalisierung'!$A$4:$Z$275,26,FALSE))</f>
        <v>d</v>
      </c>
      <c r="Y134" s="529" t="str">
        <f t="shared" si="8"/>
        <v>21-50%</v>
      </c>
      <c r="Z134" s="568" t="str">
        <f t="shared" si="9"/>
        <v>d</v>
      </c>
      <c r="AA134" s="327" t="str">
        <f t="shared" si="10"/>
        <v>21-40%</v>
      </c>
      <c r="AB134" s="327" t="str">
        <f t="shared" si="11"/>
        <v>Non affecté / nicht betroffen</v>
      </c>
      <c r="AC134" s="276" t="str">
        <f t="shared" si="12"/>
        <v>Très nécessaire, facile / unbedingt nötig, einfach</v>
      </c>
      <c r="AD134" s="570" t="str">
        <f t="shared" si="13"/>
        <v>d</v>
      </c>
      <c r="AE134">
        <v>4</v>
      </c>
      <c r="AF134">
        <v>1</v>
      </c>
    </row>
    <row r="135" spans="1:33" ht="16.5" customHeight="1" x14ac:dyDescent="0.25">
      <c r="A135" s="926">
        <v>128</v>
      </c>
      <c r="B135" s="400" t="s">
        <v>635</v>
      </c>
      <c r="C135" s="400" t="s">
        <v>636</v>
      </c>
      <c r="D135" s="401" t="s">
        <v>625</v>
      </c>
      <c r="E135" s="522" t="str">
        <f>IF(VLOOKUP(A135,'Charriage - Geschiebehaushalt'!$A$4:$AC$275,17,FALSE)="","",VLOOKUP(A135,'Charriage - Geschiebehaushalt'!$A$4:$AC$275,17,FALSE))</f>
        <v>Charriage présumé naturel / Geschiebehaushalt vermutlich natürlich</v>
      </c>
      <c r="F135" s="523" t="str">
        <f>IF(VLOOKUP(A135,'Charriage - Geschiebehaushalt'!$A$4:$AC$275,18,FALSE)="","",VLOOKUP(A135,'Charriage - Geschiebehaushalt'!$A$4:$AC$275,18,FALSE))</f>
        <v>a</v>
      </c>
      <c r="G135" s="524" t="str">
        <f>IF(VLOOKUP(A135,'Charriage - Geschiebehaushalt'!$A$4:$AC$275,22,FALSE)="","",VLOOKUP(A135,'Charriage - Geschiebehaushalt'!$A$4:$AC$275,22,FALSE))</f>
        <v>0-20%</v>
      </c>
      <c r="H135" s="523" t="str">
        <f>IF(VLOOKUP(A135,'Charriage - Geschiebehaushalt'!$A$4:$AC$275,23,FALSE)="","",VLOOKUP(A135,'Charriage - Geschiebehaushalt'!$A$4:$AC$275,23,FALSE))</f>
        <v>d</v>
      </c>
      <c r="I135" s="524" t="str">
        <f>IF(VLOOKUP(A135,'Charriage - Geschiebehaushalt'!$A$4:$AC$275,28,FALSE)="","",VLOOKUP(A135,'Charriage - Geschiebehaushalt'!$A$4:$AC$275,28,FALSE))</f>
        <v>0-20%</v>
      </c>
      <c r="J135" s="403" t="str">
        <f>IF(VLOOKUP(A135,'Charriage - Geschiebehaushalt'!$A$4:$AC$275,29,FALSE)="","",VLOOKUP(A135,'Charriage - Geschiebehaushalt'!$A$4:$AC$275,29,FALSE))</f>
        <v>d</v>
      </c>
      <c r="K135" s="533" t="str">
        <f>IF(VLOOKUP(A135,'Débit - Abfluss'!$A$4:$AD$275,8,FALSE)="","",VLOOKUP(A135,'Débit - Abfluss'!$A$4:$AD$275,8,FALSE))</f>
        <v>21-40%</v>
      </c>
      <c r="L135" s="468" t="str">
        <f>IF(VLOOKUP(A135,'Débit - Abfluss'!$A$4:$AD$275,10,FALSE)="","",VLOOKUP(A135,'Débit - Abfluss'!$A$4:$AD$275,10,FALSE))</f>
        <v>21-40%</v>
      </c>
      <c r="M135" s="333" t="str">
        <f>IF(VLOOKUP(A135,'Débit - Abfluss'!$A$4:$AD$275,17,FALSE)="","",VLOOKUP(A135,'Débit - Abfluss'!$A$4:$AD$275,17,FALSE))</f>
        <v>21-40%</v>
      </c>
      <c r="N135" s="340" t="str">
        <f>IF(VLOOKUP(A135,'Eclusée - Schwall-Sunk'!$A$2:$F$273,6,FALSE)="","",VLOOKUP(A135,'Eclusée - Schwall-Sunk'!$A$2:$F$273,6,FALSE))</f>
        <v>Non affecté / nicht betroffen</v>
      </c>
      <c r="O135" s="537"/>
      <c r="P135" s="538"/>
      <c r="Q135" s="284" t="str">
        <f>IF(VLOOKUP(A135,'Revitalisation-Revitalisierung'!$A$4:$Z$275,13,FALSE)="","",VLOOKUP(A135,'Revitalisation-Revitalisierung'!$A$4:$Z$275,13,FALSE))</f>
        <v>Non nécessaire / nicht nötig</v>
      </c>
      <c r="R135" s="541" t="str">
        <f>IF(VLOOKUP(A135,'Revitalisation-Revitalisierung'!$A$4:$Z$275,14,FALSE)="","",VLOOKUP(A135,'Revitalisation-Revitalisierung'!$A$4:$Z$275,14,FALSE))</f>
        <v>a</v>
      </c>
      <c r="S135" s="542" t="str">
        <f>IF(VLOOKUP(A135,'Revitalisation-Revitalisierung'!$A$4:$Z$275,19,FALSE)="","",VLOOKUP(A135,'Revitalisation-Revitalisierung'!$A$4:$Z$275,19,FALSE))</f>
        <v>Non nécessaire / nicht nötig</v>
      </c>
      <c r="T135" s="541" t="str">
        <f>IF(VLOOKUP(A135,'Revitalisation-Revitalisierung'!$A$4:$Z$275,20,FALSE)="","",VLOOKUP(A135,'Revitalisation-Revitalisierung'!$A$4:$Z$275,20,FALSE))</f>
        <v>a</v>
      </c>
      <c r="U135" s="542" t="str">
        <f>IF(VLOOKUP(A135,'Revitalisation-Revitalisierung'!$A$4:$Z$275,25,FALSE)="","",VLOOKUP(A135,'Revitalisation-Revitalisierung'!$A$4:$Z$275,25,FALSE))</f>
        <v>Non nécessaire / nicht nötig</v>
      </c>
      <c r="V135" s="406" t="str">
        <f>IF(VLOOKUP(A135,'Revitalisation-Revitalisierung'!$A$4:$Z$275,26,FALSE)="","",VLOOKUP(A135,'Revitalisation-Revitalisierung'!$A$4:$Z$275,26,FALSE))</f>
        <v>a</v>
      </c>
      <c r="Y135" s="529" t="str">
        <f t="shared" si="8"/>
        <v>0-20%</v>
      </c>
      <c r="Z135" s="568" t="str">
        <f t="shared" si="9"/>
        <v>d</v>
      </c>
      <c r="AA135" s="327" t="str">
        <f t="shared" si="10"/>
        <v>21-40%</v>
      </c>
      <c r="AB135" s="327" t="str">
        <f t="shared" si="11"/>
        <v>Non affecté / nicht betroffen</v>
      </c>
      <c r="AC135" s="276" t="str">
        <f t="shared" si="12"/>
        <v>Non nécessaire / nicht nötig</v>
      </c>
      <c r="AD135" s="570" t="str">
        <f t="shared" si="13"/>
        <v>a</v>
      </c>
      <c r="AE135">
        <v>3</v>
      </c>
      <c r="AF135">
        <v>1</v>
      </c>
    </row>
    <row r="136" spans="1:33" ht="16.5" customHeight="1" x14ac:dyDescent="0.25">
      <c r="A136" s="926">
        <v>129</v>
      </c>
      <c r="B136" s="400" t="s">
        <v>639</v>
      </c>
      <c r="C136" s="400" t="s">
        <v>636</v>
      </c>
      <c r="D136" s="401" t="s">
        <v>625</v>
      </c>
      <c r="E136" s="522" t="str">
        <f>IF(VLOOKUP(A136,'Charriage - Geschiebehaushalt'!$A$4:$AC$275,17,FALSE)="","",VLOOKUP(A136,'Charriage - Geschiebehaushalt'!$A$4:$AC$275,17,FALSE))</f>
        <v>Charriage présumé naturel / Geschiebehaushalt vermutlich natürlich</v>
      </c>
      <c r="F136" s="523" t="str">
        <f>IF(VLOOKUP(A136,'Charriage - Geschiebehaushalt'!$A$4:$AC$275,18,FALSE)="","",VLOOKUP(A136,'Charriage - Geschiebehaushalt'!$A$4:$AC$275,18,FALSE))</f>
        <v>b</v>
      </c>
      <c r="G136" s="524" t="str">
        <f>IF(VLOOKUP(A136,'Charriage - Geschiebehaushalt'!$A$4:$AC$275,22,FALSE)="","",VLOOKUP(A136,'Charriage - Geschiebehaushalt'!$A$4:$AC$275,22,FALSE))</f>
        <v>21-50%</v>
      </c>
      <c r="H136" s="523" t="str">
        <f>IF(VLOOKUP(A136,'Charriage - Geschiebehaushalt'!$A$4:$AC$275,23,FALSE)="","",VLOOKUP(A136,'Charriage - Geschiebehaushalt'!$A$4:$AC$275,23,FALSE))</f>
        <v>c</v>
      </c>
      <c r="I136" s="524" t="str">
        <f>IF(VLOOKUP(A136,'Charriage - Geschiebehaushalt'!$A$4:$AC$275,28,FALSE)="","",VLOOKUP(A136,'Charriage - Geschiebehaushalt'!$A$4:$AC$275,28,FALSE))</f>
        <v>21-50%</v>
      </c>
      <c r="J136" s="403" t="str">
        <f>IF(VLOOKUP(A136,'Charriage - Geschiebehaushalt'!$A$4:$AC$275,29,FALSE)="","",VLOOKUP(A136,'Charriage - Geschiebehaushalt'!$A$4:$AC$275,29,FALSE))</f>
        <v>c</v>
      </c>
      <c r="K136" s="533" t="str">
        <f>IF(VLOOKUP(A136,'Débit - Abfluss'!$A$4:$AD$275,8,FALSE)="","",VLOOKUP(A136,'Débit - Abfluss'!$A$4:$AD$275,8,FALSE))</f>
        <v>0-20%</v>
      </c>
      <c r="L136" s="468" t="str">
        <f>IF(VLOOKUP(A136,'Débit - Abfluss'!$A$4:$AD$275,10,FALSE)="","",VLOOKUP(A136,'Débit - Abfluss'!$A$4:$AD$275,10,FALSE))</f>
        <v>0-20%</v>
      </c>
      <c r="M136" s="333" t="str">
        <f>IF(VLOOKUP(A136,'Débit - Abfluss'!$A$4:$AD$275,17,FALSE)="","",VLOOKUP(A136,'Débit - Abfluss'!$A$4:$AD$275,17,FALSE))</f>
        <v>0-20%</v>
      </c>
      <c r="N136" s="340" t="str">
        <f>IF(VLOOKUP(A136,'Eclusée - Schwall-Sunk'!$A$2:$F$273,6,FALSE)="","",VLOOKUP(A136,'Eclusée - Schwall-Sunk'!$A$2:$F$273,6,FALSE))</f>
        <v>Non affecté / nicht betroffen</v>
      </c>
      <c r="O136" s="537"/>
      <c r="P136" s="538"/>
      <c r="Q136" s="284" t="str">
        <f>IF(VLOOKUP(A136,'Revitalisation-Revitalisierung'!$A$4:$Z$275,13,FALSE)="","",VLOOKUP(A136,'Revitalisation-Revitalisierung'!$A$4:$Z$275,13,FALSE))</f>
        <v>Non nécessaire / nicht nötig</v>
      </c>
      <c r="R136" s="541" t="str">
        <f>IF(VLOOKUP(A136,'Revitalisation-Revitalisierung'!$A$4:$Z$275,14,FALSE)="","",VLOOKUP(A136,'Revitalisation-Revitalisierung'!$A$4:$Z$275,14,FALSE))</f>
        <v>b</v>
      </c>
      <c r="S136" s="542" t="str">
        <f>IF(VLOOKUP(A136,'Revitalisation-Revitalisierung'!$A$4:$Z$275,19,FALSE)="","",VLOOKUP(A136,'Revitalisation-Revitalisierung'!$A$4:$Z$275,19,FALSE))</f>
        <v>Partiellement nécessaire, facile / teilweise nötig, einfach</v>
      </c>
      <c r="T136" s="541" t="str">
        <f>IF(VLOOKUP(A136,'Revitalisation-Revitalisierung'!$A$4:$Z$275,20,FALSE)="","",VLOOKUP(A136,'Revitalisation-Revitalisierung'!$A$4:$Z$275,20,FALSE))</f>
        <v>c</v>
      </c>
      <c r="U136" s="542" t="str">
        <f>IF(VLOOKUP(A136,'Revitalisation-Revitalisierung'!$A$4:$Z$275,25,FALSE)="","",VLOOKUP(A136,'Revitalisation-Revitalisierung'!$A$4:$Z$275,25,FALSE))</f>
        <v>Partiellement nécessaire, facile / teilweise nötig, einfach</v>
      </c>
      <c r="V136" s="406" t="str">
        <f>IF(VLOOKUP(A136,'Revitalisation-Revitalisierung'!$A$4:$Z$275,26,FALSE)="","",VLOOKUP(A136,'Revitalisation-Revitalisierung'!$A$4:$Z$275,26,FALSE))</f>
        <v>c</v>
      </c>
      <c r="Y136" s="529" t="str">
        <f t="shared" si="8"/>
        <v>21-50%</v>
      </c>
      <c r="Z136" s="568" t="str">
        <f t="shared" si="9"/>
        <v>c</v>
      </c>
      <c r="AA136" s="327" t="str">
        <f t="shared" si="10"/>
        <v>0-20%</v>
      </c>
      <c r="AB136" s="327" t="str">
        <f t="shared" si="11"/>
        <v>Non affecté / nicht betroffen</v>
      </c>
      <c r="AC136" s="276" t="str">
        <f t="shared" si="12"/>
        <v>Partiellement nécessaire, facile / teilweise nötig, einfach</v>
      </c>
      <c r="AD136" s="570" t="str">
        <f t="shared" si="13"/>
        <v>c</v>
      </c>
      <c r="AE136">
        <v>4</v>
      </c>
      <c r="AF136">
        <v>1</v>
      </c>
    </row>
    <row r="137" spans="1:33" ht="16.5" customHeight="1" x14ac:dyDescent="0.25">
      <c r="A137" s="926">
        <v>130</v>
      </c>
      <c r="B137" s="400" t="s">
        <v>640</v>
      </c>
      <c r="C137" s="400" t="s">
        <v>641</v>
      </c>
      <c r="D137" s="401" t="s">
        <v>625</v>
      </c>
      <c r="E137" s="522" t="str">
        <f>IF(VLOOKUP(A137,'Charriage - Geschiebehaushalt'!$A$4:$AC$275,17,FALSE)="","",VLOOKUP(A137,'Charriage - Geschiebehaushalt'!$A$4:$AC$275,17,FALSE))</f>
        <v>Déficit non apparent en charriage ou en remobilisation des sédiments / kein sichtbares Defizit beim Geschiebehaushalt bzw. bei der Mobilisierung von Geschiebe</v>
      </c>
      <c r="F137" s="523" t="str">
        <f>IF(VLOOKUP(A137,'Charriage - Geschiebehaushalt'!$A$4:$AC$275,18,FALSE)="","",VLOOKUP(A137,'Charriage - Geschiebehaushalt'!$A$4:$AC$275,18,FALSE))</f>
        <v>b</v>
      </c>
      <c r="G137" s="524" t="str">
        <f>IF(VLOOKUP(A137,'Charriage - Geschiebehaushalt'!$A$4:$AC$275,22,FALSE)="","",VLOOKUP(A137,'Charriage - Geschiebehaushalt'!$A$4:$AC$275,22,FALSE))</f>
        <v>21-50%</v>
      </c>
      <c r="H137" s="523" t="str">
        <f>IF(VLOOKUP(A137,'Charriage - Geschiebehaushalt'!$A$4:$AC$275,23,FALSE)="","",VLOOKUP(A137,'Charriage - Geschiebehaushalt'!$A$4:$AC$275,23,FALSE))</f>
        <v>c</v>
      </c>
      <c r="I137" s="524" t="str">
        <f>IF(VLOOKUP(A137,'Charriage - Geschiebehaushalt'!$A$4:$AC$275,28,FALSE)="","",VLOOKUP(A137,'Charriage - Geschiebehaushalt'!$A$4:$AC$275,28,FALSE))</f>
        <v>21-50%</v>
      </c>
      <c r="J137" s="403" t="str">
        <f>IF(VLOOKUP(A137,'Charriage - Geschiebehaushalt'!$A$4:$AC$275,29,FALSE)="","",VLOOKUP(A137,'Charriage - Geschiebehaushalt'!$A$4:$AC$275,29,FALSE))</f>
        <v>c</v>
      </c>
      <c r="K137" s="533" t="str">
        <f>IF(VLOOKUP(A137,'Débit - Abfluss'!$A$4:$AD$275,8,FALSE)="","",VLOOKUP(A137,'Débit - Abfluss'!$A$4:$AD$275,8,FALSE))</f>
        <v>0-20%</v>
      </c>
      <c r="L137" s="468" t="str">
        <f>IF(VLOOKUP(A137,'Débit - Abfluss'!$A$4:$AD$275,10,FALSE)="","",VLOOKUP(A137,'Débit - Abfluss'!$A$4:$AD$275,10,FALSE))</f>
        <v>0-20%</v>
      </c>
      <c r="M137" s="333" t="str">
        <f>IF(VLOOKUP(A137,'Débit - Abfluss'!$A$4:$AD$275,17,FALSE)="","",VLOOKUP(A137,'Débit - Abfluss'!$A$4:$AD$275,17,FALSE))</f>
        <v>0-20%</v>
      </c>
      <c r="N137" s="340" t="str">
        <f>IF(VLOOKUP(A137,'Eclusée - Schwall-Sunk'!$A$2:$F$273,6,FALSE)="","",VLOOKUP(A137,'Eclusée - Schwall-Sunk'!$A$2:$F$273,6,FALSE))</f>
        <v>Non affecté / nicht betroffen</v>
      </c>
      <c r="O137" s="537"/>
      <c r="P137" s="538"/>
      <c r="Q137" s="284" t="str">
        <f>IF(VLOOKUP(A137,'Revitalisation-Revitalisierung'!$A$4:$Z$275,13,FALSE)="","",VLOOKUP(A137,'Revitalisation-Revitalisierung'!$A$4:$Z$275,13,FALSE))</f>
        <v>Non nécessaire / nicht nötig</v>
      </c>
      <c r="R137" s="541" t="str">
        <f>IF(VLOOKUP(A137,'Revitalisation-Revitalisierung'!$A$4:$Z$275,14,FALSE)="","",VLOOKUP(A137,'Revitalisation-Revitalisierung'!$A$4:$Z$275,14,FALSE))</f>
        <v>b</v>
      </c>
      <c r="S137" s="542" t="str">
        <f>IF(VLOOKUP(A137,'Revitalisation-Revitalisierung'!$A$4:$Z$275,19,FALSE)="","",VLOOKUP(A137,'Revitalisation-Revitalisierung'!$A$4:$Z$275,19,FALSE))</f>
        <v>Partiellement nécessaire, facile / teilweise nötig, einfach</v>
      </c>
      <c r="T137" s="541" t="str">
        <f>IF(VLOOKUP(A137,'Revitalisation-Revitalisierung'!$A$4:$Z$275,20,FALSE)="","",VLOOKUP(A137,'Revitalisation-Revitalisierung'!$A$4:$Z$275,20,FALSE))</f>
        <v>c</v>
      </c>
      <c r="U137" s="542" t="str">
        <f>IF(VLOOKUP(A137,'Revitalisation-Revitalisierung'!$A$4:$Z$275,25,FALSE)="","",VLOOKUP(A137,'Revitalisation-Revitalisierung'!$A$4:$Z$275,25,FALSE))</f>
        <v>Partiellement nécessaire, facile / teilweise nötig, einfach</v>
      </c>
      <c r="V137" s="406" t="str">
        <f>IF(VLOOKUP(A137,'Revitalisation-Revitalisierung'!$A$4:$Z$275,26,FALSE)="","",VLOOKUP(A137,'Revitalisation-Revitalisierung'!$A$4:$Z$275,26,FALSE))</f>
        <v>c</v>
      </c>
      <c r="Y137" s="529" t="str">
        <f t="shared" si="8"/>
        <v>21-50%</v>
      </c>
      <c r="Z137" s="568" t="str">
        <f t="shared" si="9"/>
        <v>c</v>
      </c>
      <c r="AA137" s="327" t="str">
        <f t="shared" si="10"/>
        <v>0-20%</v>
      </c>
      <c r="AB137" s="327" t="str">
        <f t="shared" si="11"/>
        <v>Non affecté / nicht betroffen</v>
      </c>
      <c r="AC137" s="276" t="str">
        <f t="shared" si="12"/>
        <v>Partiellement nécessaire, facile / teilweise nötig, einfach</v>
      </c>
      <c r="AD137" s="570" t="str">
        <f t="shared" si="13"/>
        <v>c</v>
      </c>
      <c r="AE137">
        <v>4</v>
      </c>
      <c r="AF137">
        <v>1</v>
      </c>
    </row>
    <row r="138" spans="1:33" ht="16.5" customHeight="1" x14ac:dyDescent="0.25">
      <c r="A138" s="926">
        <v>131</v>
      </c>
      <c r="B138" s="400" t="s">
        <v>642</v>
      </c>
      <c r="C138" s="400" t="s">
        <v>641</v>
      </c>
      <c r="D138" s="401" t="s">
        <v>625</v>
      </c>
      <c r="E138" s="522" t="str">
        <f>IF(VLOOKUP(A138,'Charriage - Geschiebehaushalt'!$A$4:$AC$275,17,FALSE)="","",VLOOKUP(A138,'Charriage - Geschiebehaushalt'!$A$4:$AC$275,17,FALSE))</f>
        <v>Déficit non apparent en charriage ou en remobilisation des sédiments / kein sichtbares Defizit beim Geschiebehaushalt bzw. bei der Mobilisierung von Geschiebe</v>
      </c>
      <c r="F138" s="523" t="str">
        <f>IF(VLOOKUP(A138,'Charriage - Geschiebehaushalt'!$A$4:$AC$275,18,FALSE)="","",VLOOKUP(A138,'Charriage - Geschiebehaushalt'!$A$4:$AC$275,18,FALSE))</f>
        <v>b</v>
      </c>
      <c r="G138" s="524" t="str">
        <f>IF(VLOOKUP(A138,'Charriage - Geschiebehaushalt'!$A$4:$AC$275,22,FALSE)="","",VLOOKUP(A138,'Charriage - Geschiebehaushalt'!$A$4:$AC$275,22,FALSE))</f>
        <v>21-50%</v>
      </c>
      <c r="H138" s="523" t="str">
        <f>IF(VLOOKUP(A138,'Charriage - Geschiebehaushalt'!$A$4:$AC$275,23,FALSE)="","",VLOOKUP(A138,'Charriage - Geschiebehaushalt'!$A$4:$AC$275,23,FALSE))</f>
        <v>c</v>
      </c>
      <c r="I138" s="524" t="str">
        <f>IF(VLOOKUP(A138,'Charriage - Geschiebehaushalt'!$A$4:$AC$275,28,FALSE)="","",VLOOKUP(A138,'Charriage - Geschiebehaushalt'!$A$4:$AC$275,28,FALSE))</f>
        <v>21-50%</v>
      </c>
      <c r="J138" s="403" t="str">
        <f>IF(VLOOKUP(A138,'Charriage - Geschiebehaushalt'!$A$4:$AC$275,29,FALSE)="","",VLOOKUP(A138,'Charriage - Geschiebehaushalt'!$A$4:$AC$275,29,FALSE))</f>
        <v>c</v>
      </c>
      <c r="K138" s="533" t="str">
        <f>IF(VLOOKUP(A138,'Débit - Abfluss'!$A$4:$AD$275,8,FALSE)="","",VLOOKUP(A138,'Débit - Abfluss'!$A$4:$AD$275,8,FALSE))</f>
        <v>0-20%</v>
      </c>
      <c r="L138" s="468" t="str">
        <f>IF(VLOOKUP(A138,'Débit - Abfluss'!$A$4:$AD$275,10,FALSE)="","",VLOOKUP(A138,'Débit - Abfluss'!$A$4:$AD$275,10,FALSE))</f>
        <v>0-20%</v>
      </c>
      <c r="M138" s="333" t="str">
        <f>IF(VLOOKUP(A138,'Débit - Abfluss'!$A$4:$AD$275,17,FALSE)="","",VLOOKUP(A138,'Débit - Abfluss'!$A$4:$AD$275,17,FALSE))</f>
        <v>0-20%</v>
      </c>
      <c r="N138" s="340" t="str">
        <f>IF(VLOOKUP(A138,'Eclusée - Schwall-Sunk'!$A$2:$F$273,6,FALSE)="","",VLOOKUP(A138,'Eclusée - Schwall-Sunk'!$A$2:$F$273,6,FALSE))</f>
        <v>Non affecté / nicht betroffen</v>
      </c>
      <c r="O138" s="537"/>
      <c r="P138" s="538"/>
      <c r="Q138" s="284" t="str">
        <f>IF(VLOOKUP(A138,'Revitalisation-Revitalisierung'!$A$4:$Z$275,13,FALSE)="","",VLOOKUP(A138,'Revitalisation-Revitalisierung'!$A$4:$Z$275,13,FALSE))</f>
        <v>Non nécessaire / nicht nötig</v>
      </c>
      <c r="R138" s="541" t="str">
        <f>IF(VLOOKUP(A138,'Revitalisation-Revitalisierung'!$A$4:$Z$275,14,FALSE)="","",VLOOKUP(A138,'Revitalisation-Revitalisierung'!$A$4:$Z$275,14,FALSE))</f>
        <v>b</v>
      </c>
      <c r="S138" s="542" t="str">
        <f>IF(VLOOKUP(A138,'Revitalisation-Revitalisierung'!$A$4:$Z$275,19,FALSE)="","",VLOOKUP(A138,'Revitalisation-Revitalisierung'!$A$4:$Z$275,19,FALSE))</f>
        <v>Partiellement nécessaire, facile / teilweise nötig, einfach</v>
      </c>
      <c r="T138" s="541" t="str">
        <f>IF(VLOOKUP(A138,'Revitalisation-Revitalisierung'!$A$4:$Z$275,20,FALSE)="","",VLOOKUP(A138,'Revitalisation-Revitalisierung'!$A$4:$Z$275,20,FALSE))</f>
        <v>c</v>
      </c>
      <c r="U138" s="542" t="str">
        <f>IF(VLOOKUP(A138,'Revitalisation-Revitalisierung'!$A$4:$Z$275,25,FALSE)="","",VLOOKUP(A138,'Revitalisation-Revitalisierung'!$A$4:$Z$275,25,FALSE))</f>
        <v>Partiellement nécessaire, facile / teilweise nötig, einfach</v>
      </c>
      <c r="V138" s="406" t="str">
        <f>IF(VLOOKUP(A138,'Revitalisation-Revitalisierung'!$A$4:$Z$275,26,FALSE)="","",VLOOKUP(A138,'Revitalisation-Revitalisierung'!$A$4:$Z$275,26,FALSE))</f>
        <v>c</v>
      </c>
      <c r="Y138" s="529" t="str">
        <f t="shared" si="8"/>
        <v>21-50%</v>
      </c>
      <c r="Z138" s="568" t="str">
        <f t="shared" si="9"/>
        <v>c</v>
      </c>
      <c r="AA138" s="327" t="str">
        <f t="shared" si="10"/>
        <v>0-20%</v>
      </c>
      <c r="AB138" s="327" t="str">
        <f t="shared" si="11"/>
        <v>Non affecté / nicht betroffen</v>
      </c>
      <c r="AC138" s="276" t="str">
        <f t="shared" si="12"/>
        <v>Partiellement nécessaire, facile / teilweise nötig, einfach</v>
      </c>
      <c r="AD138" s="570" t="str">
        <f t="shared" si="13"/>
        <v>c</v>
      </c>
      <c r="AE138">
        <v>4</v>
      </c>
      <c r="AF138">
        <v>1</v>
      </c>
    </row>
    <row r="139" spans="1:33" ht="16.5" customHeight="1" x14ac:dyDescent="0.25">
      <c r="A139" s="926">
        <v>132</v>
      </c>
      <c r="B139" s="400" t="s">
        <v>643</v>
      </c>
      <c r="C139" s="400" t="s">
        <v>644</v>
      </c>
      <c r="D139" s="401" t="s">
        <v>625</v>
      </c>
      <c r="E139" s="522" t="str">
        <f>IF(VLOOKUP(A139,'Charriage - Geschiebehaushalt'!$A$4:$AC$275,17,FALSE)="","",VLOOKUP(A139,'Charriage - Geschiebehaushalt'!$A$4:$AC$275,17,FALSE))</f>
        <v>Déficit non apparent en charriage ou en remobilisation des sédiments / kein sichtbares Defizit beim Geschiebehaushalt bzw. bei der Mobilisierung von Geschiebe</v>
      </c>
      <c r="F139" s="523" t="str">
        <f>IF(VLOOKUP(A139,'Charriage - Geschiebehaushalt'!$A$4:$AC$275,18,FALSE)="","",VLOOKUP(A139,'Charriage - Geschiebehaushalt'!$A$4:$AC$275,18,FALSE))</f>
        <v>a</v>
      </c>
      <c r="G139" s="524" t="str">
        <f>IF(VLOOKUP(A139,'Charriage - Geschiebehaushalt'!$A$4:$AC$275,22,FALSE)="","",VLOOKUP(A139,'Charriage - Geschiebehaushalt'!$A$4:$AC$275,22,FALSE))</f>
        <v>0-20%</v>
      </c>
      <c r="H139" s="523" t="str">
        <f>IF(VLOOKUP(A139,'Charriage - Geschiebehaushalt'!$A$4:$AC$275,23,FALSE)="","",VLOOKUP(A139,'Charriage - Geschiebehaushalt'!$A$4:$AC$275,23,FALSE))</f>
        <v>a</v>
      </c>
      <c r="I139" s="524" t="str">
        <f>IF(VLOOKUP(A139,'Charriage - Geschiebehaushalt'!$A$4:$AC$275,28,FALSE)="","",VLOOKUP(A139,'Charriage - Geschiebehaushalt'!$A$4:$AC$275,28,FALSE))</f>
        <v>0-20%</v>
      </c>
      <c r="J139" s="403" t="str">
        <f>IF(VLOOKUP(A139,'Charriage - Geschiebehaushalt'!$A$4:$AC$275,29,FALSE)="","",VLOOKUP(A139,'Charriage - Geschiebehaushalt'!$A$4:$AC$275,29,FALSE))</f>
        <v>a</v>
      </c>
      <c r="K139" s="533" t="str">
        <f>IF(VLOOKUP(A139,'Débit - Abfluss'!$A$4:$AD$275,8,FALSE)="","",VLOOKUP(A139,'Débit - Abfluss'!$A$4:$AD$275,8,FALSE))</f>
        <v>100%</v>
      </c>
      <c r="L139" s="468" t="str">
        <f>IF(VLOOKUP(A139,'Débit - Abfluss'!$A$4:$AD$275,10,FALSE)="","",VLOOKUP(A139,'Débit - Abfluss'!$A$4:$AD$275,10,FALSE))</f>
        <v>100%</v>
      </c>
      <c r="M139" s="333" t="str">
        <f>IF(VLOOKUP(A139,'Débit - Abfluss'!$A$4:$AD$275,17,FALSE)="","",VLOOKUP(A139,'Débit - Abfluss'!$A$4:$AD$275,17,FALSE))</f>
        <v>100%</v>
      </c>
      <c r="N139" s="340" t="str">
        <f>IF(VLOOKUP(A139,'Eclusée - Schwall-Sunk'!$A$2:$F$273,6,FALSE)="","",VLOOKUP(A139,'Eclusée - Schwall-Sunk'!$A$2:$F$273,6,FALSE))</f>
        <v>Non affecté / nicht betroffen</v>
      </c>
      <c r="O139" s="537"/>
      <c r="P139" s="538"/>
      <c r="Q139" s="284" t="str">
        <f>IF(VLOOKUP(A139,'Revitalisation-Revitalisierung'!$A$4:$Z$275,13,FALSE)="","",VLOOKUP(A139,'Revitalisation-Revitalisierung'!$A$4:$Z$275,13,FALSE))</f>
        <v>Non nécessaire / nicht nötig</v>
      </c>
      <c r="R139" s="541" t="str">
        <f>IF(VLOOKUP(A139,'Revitalisation-Revitalisierung'!$A$4:$Z$275,14,FALSE)="","",VLOOKUP(A139,'Revitalisation-Revitalisierung'!$A$4:$Z$275,14,FALSE))</f>
        <v>a</v>
      </c>
      <c r="S139" s="542" t="str">
        <f>IF(VLOOKUP(A139,'Revitalisation-Revitalisierung'!$A$4:$Z$275,19,FALSE)="","",VLOOKUP(A139,'Revitalisation-Revitalisierung'!$A$4:$Z$275,19,FALSE))</f>
        <v>Partiellement nécessaire, facile / teilweise nötig, einfach</v>
      </c>
      <c r="T139" s="541" t="str">
        <f>IF(VLOOKUP(A139,'Revitalisation-Revitalisierung'!$A$4:$Z$275,20,FALSE)="","",VLOOKUP(A139,'Revitalisation-Revitalisierung'!$A$4:$Z$275,20,FALSE))</f>
        <v>c</v>
      </c>
      <c r="U139" s="542" t="str">
        <f>IF(VLOOKUP(A139,'Revitalisation-Revitalisierung'!$A$4:$Z$275,25,FALSE)="","",VLOOKUP(A139,'Revitalisation-Revitalisierung'!$A$4:$Z$275,25,FALSE))</f>
        <v>Partiellement nécessaire, facile / teilweise nötig, einfach</v>
      </c>
      <c r="V139" s="406" t="str">
        <f>IF(VLOOKUP(A139,'Revitalisation-Revitalisierung'!$A$4:$Z$275,26,FALSE)="","",VLOOKUP(A139,'Revitalisation-Revitalisierung'!$A$4:$Z$275,26,FALSE))</f>
        <v>c</v>
      </c>
      <c r="Y139" s="529" t="str">
        <f t="shared" si="8"/>
        <v>0-20%</v>
      </c>
      <c r="Z139" s="568" t="str">
        <f t="shared" si="9"/>
        <v>a</v>
      </c>
      <c r="AA139" s="327" t="str">
        <f t="shared" si="10"/>
        <v>100%</v>
      </c>
      <c r="AB139" s="327" t="str">
        <f t="shared" si="11"/>
        <v>Non affecté / nicht betroffen</v>
      </c>
      <c r="AC139" s="276" t="str">
        <f t="shared" si="12"/>
        <v>Partiellement nécessaire, facile / teilweise nötig, einfach</v>
      </c>
      <c r="AD139" s="570" t="str">
        <f t="shared" si="13"/>
        <v>c</v>
      </c>
      <c r="AE139">
        <v>2</v>
      </c>
      <c r="AF139">
        <v>1</v>
      </c>
    </row>
    <row r="140" spans="1:33" ht="16.5" customHeight="1" x14ac:dyDescent="0.25">
      <c r="A140" s="926">
        <v>133</v>
      </c>
      <c r="B140" s="400" t="s">
        <v>646</v>
      </c>
      <c r="C140" s="400" t="s">
        <v>647</v>
      </c>
      <c r="D140" s="401" t="s">
        <v>625</v>
      </c>
      <c r="E140" s="522" t="str">
        <f>IF(VLOOKUP(A140,'Charriage - Geschiebehaushalt'!$A$4:$AC$275,17,FALSE)="","",VLOOKUP(A140,'Charriage - Geschiebehaushalt'!$A$4:$AC$275,17,FALSE))</f>
        <v>51-80%</v>
      </c>
      <c r="F140" s="523" t="str">
        <f>IF(VLOOKUP(A140,'Charriage - Geschiebehaushalt'!$A$4:$AC$275,18,FALSE)="","",VLOOKUP(A140,'Charriage - Geschiebehaushalt'!$A$4:$AC$275,18,FALSE))</f>
        <v>a</v>
      </c>
      <c r="G140" s="524" t="str">
        <f>IF(VLOOKUP(A140,'Charriage - Geschiebehaushalt'!$A$4:$AC$275,22,FALSE)="","",VLOOKUP(A140,'Charriage - Geschiebehaushalt'!$A$4:$AC$275,22,FALSE))</f>
        <v>21-50%</v>
      </c>
      <c r="H140" s="523" t="str">
        <f>IF(VLOOKUP(A140,'Charriage - Geschiebehaushalt'!$A$4:$AC$275,23,FALSE)="","",VLOOKUP(A140,'Charriage - Geschiebehaushalt'!$A$4:$AC$275,23,FALSE))</f>
        <v>c</v>
      </c>
      <c r="I140" s="524" t="str">
        <f>IF(VLOOKUP(A140,'Charriage - Geschiebehaushalt'!$A$4:$AC$275,28,FALSE)="","",VLOOKUP(A140,'Charriage - Geschiebehaushalt'!$A$4:$AC$275,28,FALSE))</f>
        <v>21-50%</v>
      </c>
      <c r="J140" s="403" t="str">
        <f>IF(VLOOKUP(A140,'Charriage - Geschiebehaushalt'!$A$4:$AC$275,29,FALSE)="","",VLOOKUP(A140,'Charriage - Geschiebehaushalt'!$A$4:$AC$275,29,FALSE))</f>
        <v>c</v>
      </c>
      <c r="K140" s="533" t="str">
        <f>IF(VLOOKUP(A140,'Débit - Abfluss'!$A$4:$AD$275,8,FALSE)="","",VLOOKUP(A140,'Débit - Abfluss'!$A$4:$AD$275,8,FALSE))</f>
        <v>21-40%</v>
      </c>
      <c r="L140" s="468" t="str">
        <f>IF(VLOOKUP(A140,'Débit - Abfluss'!$A$4:$AD$275,10,FALSE)="","",VLOOKUP(A140,'Débit - Abfluss'!$A$4:$AD$275,10,FALSE))</f>
        <v>21-40%</v>
      </c>
      <c r="M140" s="333" t="str">
        <f>IF(VLOOKUP(A140,'Débit - Abfluss'!$A$4:$AD$275,17,FALSE)="","",VLOOKUP(A140,'Débit - Abfluss'!$A$4:$AD$275,17,FALSE))</f>
        <v>21-40%</v>
      </c>
      <c r="N140" s="340" t="str">
        <f>IF(VLOOKUP(A140,'Eclusée - Schwall-Sunk'!$A$2:$F$273,6,FALSE)="","",VLOOKUP(A140,'Eclusée - Schwall-Sunk'!$A$2:$F$273,6,FALSE))</f>
        <v>Potentiellement affecté / möglicherweise betroffen</v>
      </c>
      <c r="O140" s="537"/>
      <c r="P140" s="538"/>
      <c r="Q140" s="284" t="str">
        <f>IF(VLOOKUP(A140,'Revitalisation-Revitalisierung'!$A$4:$Z$275,13,FALSE)="","",VLOOKUP(A140,'Revitalisation-Revitalisierung'!$A$4:$Z$275,13,FALSE))</f>
        <v>Très nécessaire, facile / unbedingt nötig, einfach</v>
      </c>
      <c r="R140" s="541" t="str">
        <f>IF(VLOOKUP(A140,'Revitalisation-Revitalisierung'!$A$4:$Z$275,14,FALSE)="","",VLOOKUP(A140,'Revitalisation-Revitalisierung'!$A$4:$Z$275,14,FALSE))</f>
        <v>b</v>
      </c>
      <c r="S140" s="542" t="str">
        <f>IF(VLOOKUP(A140,'Revitalisation-Revitalisierung'!$A$4:$Z$275,19,FALSE)="","",VLOOKUP(A140,'Revitalisation-Revitalisierung'!$A$4:$Z$275,19,FALSE))</f>
        <v>Très nécessaire, facile / unbedingt nötig, einfach</v>
      </c>
      <c r="T140" s="541" t="str">
        <f>IF(VLOOKUP(A140,'Revitalisation-Revitalisierung'!$A$4:$Z$275,20,FALSE)="","",VLOOKUP(A140,'Revitalisation-Revitalisierung'!$A$4:$Z$275,20,FALSE))</f>
        <v>d</v>
      </c>
      <c r="U140" s="542" t="str">
        <f>IF(VLOOKUP(A140,'Revitalisation-Revitalisierung'!$A$4:$Z$275,25,FALSE)="","",VLOOKUP(A140,'Revitalisation-Revitalisierung'!$A$4:$Z$275,25,FALSE))</f>
        <v>Très nécessaire, facile / unbedingt nötig, einfach</v>
      </c>
      <c r="V140" s="406" t="str">
        <f>IF(VLOOKUP(A140,'Revitalisation-Revitalisierung'!$A$4:$Z$275,26,FALSE)="","",VLOOKUP(A140,'Revitalisation-Revitalisierung'!$A$4:$Z$275,26,FALSE))</f>
        <v>d</v>
      </c>
      <c r="Y140" s="529" t="str">
        <f t="shared" si="8"/>
        <v>21-50%</v>
      </c>
      <c r="Z140" s="568" t="str">
        <f t="shared" si="9"/>
        <v>c</v>
      </c>
      <c r="AA140" s="327" t="str">
        <f t="shared" si="10"/>
        <v>21-40%</v>
      </c>
      <c r="AB140" s="327" t="str">
        <f t="shared" si="11"/>
        <v>Potentiellement affecté / möglicherweise betroffen</v>
      </c>
      <c r="AC140" s="276" t="str">
        <f t="shared" si="12"/>
        <v>Très nécessaire, facile / unbedingt nötig, einfach</v>
      </c>
      <c r="AD140" s="570" t="str">
        <f t="shared" si="13"/>
        <v>d</v>
      </c>
      <c r="AE140">
        <v>4</v>
      </c>
      <c r="AF140">
        <v>1</v>
      </c>
    </row>
    <row r="141" spans="1:33" ht="16.5" customHeight="1" x14ac:dyDescent="0.25">
      <c r="A141" s="926">
        <v>134</v>
      </c>
      <c r="B141" s="400" t="s">
        <v>649</v>
      </c>
      <c r="C141" s="400" t="s">
        <v>650</v>
      </c>
      <c r="D141" s="401" t="s">
        <v>625</v>
      </c>
      <c r="E141" s="522" t="str">
        <f>IF(VLOOKUP(A141,'Charriage - Geschiebehaushalt'!$A$4:$AC$275,17,FALSE)="","",VLOOKUP(A141,'Charriage - Geschiebehaushalt'!$A$4:$AC$275,17,FALSE))</f>
        <v>Charriage présumé naturel / Geschiebehaushalt vermutlich natürlich</v>
      </c>
      <c r="F141" s="523" t="str">
        <f>IF(VLOOKUP(A141,'Charriage - Geschiebehaushalt'!$A$4:$AC$275,18,FALSE)="","",VLOOKUP(A141,'Charriage - Geschiebehaushalt'!$A$4:$AC$275,18,FALSE))</f>
        <v>a</v>
      </c>
      <c r="G141" s="524" t="str">
        <f>IF(VLOOKUP(A141,'Charriage - Geschiebehaushalt'!$A$4:$AC$275,22,FALSE)="","",VLOOKUP(A141,'Charriage - Geschiebehaushalt'!$A$4:$AC$275,22,FALSE))</f>
        <v>0-20%</v>
      </c>
      <c r="H141" s="523" t="str">
        <f>IF(VLOOKUP(A141,'Charriage - Geschiebehaushalt'!$A$4:$AC$275,23,FALSE)="","",VLOOKUP(A141,'Charriage - Geschiebehaushalt'!$A$4:$AC$275,23,FALSE))</f>
        <v>d</v>
      </c>
      <c r="I141" s="524" t="str">
        <f>IF(VLOOKUP(A141,'Charriage - Geschiebehaushalt'!$A$4:$AC$275,28,FALSE)="","",VLOOKUP(A141,'Charriage - Geschiebehaushalt'!$A$4:$AC$275,28,FALSE))</f>
        <v>0-20%</v>
      </c>
      <c r="J141" s="403" t="str">
        <f>IF(VLOOKUP(A141,'Charriage - Geschiebehaushalt'!$A$4:$AC$275,29,FALSE)="","",VLOOKUP(A141,'Charriage - Geschiebehaushalt'!$A$4:$AC$275,29,FALSE))</f>
        <v>d</v>
      </c>
      <c r="K141" s="533" t="str">
        <f>IF(VLOOKUP(A141,'Débit - Abfluss'!$A$4:$AD$275,8,FALSE)="","",VLOOKUP(A141,'Débit - Abfluss'!$A$4:$AD$275,8,FALSE))</f>
        <v>100%</v>
      </c>
      <c r="L141" s="468" t="str">
        <f>IF(VLOOKUP(A141,'Débit - Abfluss'!$A$4:$AD$275,10,FALSE)="","",VLOOKUP(A141,'Débit - Abfluss'!$A$4:$AD$275,10,FALSE))</f>
        <v>100%</v>
      </c>
      <c r="M141" s="333" t="str">
        <f>IF(VLOOKUP(A141,'Débit - Abfluss'!$A$4:$AD$275,17,FALSE)="","",VLOOKUP(A141,'Débit - Abfluss'!$A$4:$AD$275,17,FALSE))</f>
        <v>100%</v>
      </c>
      <c r="N141" s="340" t="str">
        <f>IF(VLOOKUP(A141,'Eclusée - Schwall-Sunk'!$A$2:$F$273,6,FALSE)="","",VLOOKUP(A141,'Eclusée - Schwall-Sunk'!$A$2:$F$273,6,FALSE))</f>
        <v>Non affecté / nicht betroffen</v>
      </c>
      <c r="O141" s="537"/>
      <c r="P141" s="538"/>
      <c r="Q141" s="284" t="str">
        <f>IF(VLOOKUP(A141,'Revitalisation-Revitalisierung'!$A$4:$Z$275,13,FALSE)="","",VLOOKUP(A141,'Revitalisation-Revitalisierung'!$A$4:$Z$275,13,FALSE))</f>
        <v>Très nécessaire, facile / unbedingt nötig, einfach</v>
      </c>
      <c r="R141" s="541" t="str">
        <f>IF(VLOOKUP(A141,'Revitalisation-Revitalisierung'!$A$4:$Z$275,14,FALSE)="","",VLOOKUP(A141,'Revitalisation-Revitalisierung'!$A$4:$Z$275,14,FALSE))</f>
        <v>b</v>
      </c>
      <c r="S141" s="542" t="str">
        <f>IF(VLOOKUP(A141,'Revitalisation-Revitalisierung'!$A$4:$Z$275,19,FALSE)="","",VLOOKUP(A141,'Revitalisation-Revitalisierung'!$A$4:$Z$275,19,FALSE))</f>
        <v>Très nécessaire, facile / unbedingt nötig, einfach</v>
      </c>
      <c r="T141" s="541" t="str">
        <f>IF(VLOOKUP(A141,'Revitalisation-Revitalisierung'!$A$4:$Z$275,20,FALSE)="","",VLOOKUP(A141,'Revitalisation-Revitalisierung'!$A$4:$Z$275,20,FALSE))</f>
        <v>d</v>
      </c>
      <c r="U141" s="542" t="str">
        <f>IF(VLOOKUP(A141,'Revitalisation-Revitalisierung'!$A$4:$Z$275,25,FALSE)="","",VLOOKUP(A141,'Revitalisation-Revitalisierung'!$A$4:$Z$275,25,FALSE))</f>
        <v>Très nécessaire, facile / unbedingt nötig, einfach</v>
      </c>
      <c r="V141" s="406" t="str">
        <f>IF(VLOOKUP(A141,'Revitalisation-Revitalisierung'!$A$4:$Z$275,26,FALSE)="","",VLOOKUP(A141,'Revitalisation-Revitalisierung'!$A$4:$Z$275,26,FALSE))</f>
        <v>d</v>
      </c>
      <c r="Y141" s="529" t="str">
        <f t="shared" si="8"/>
        <v>0-20%</v>
      </c>
      <c r="Z141" s="568" t="str">
        <f t="shared" si="9"/>
        <v>d</v>
      </c>
      <c r="AA141" s="327" t="str">
        <f t="shared" si="10"/>
        <v>100%</v>
      </c>
      <c r="AB141" s="327" t="str">
        <f t="shared" si="11"/>
        <v>Non affecté / nicht betroffen</v>
      </c>
      <c r="AC141" s="276" t="str">
        <f t="shared" si="12"/>
        <v>Très nécessaire, facile / unbedingt nötig, einfach</v>
      </c>
      <c r="AD141" s="570" t="str">
        <f t="shared" si="13"/>
        <v>d</v>
      </c>
      <c r="AE141">
        <v>2</v>
      </c>
      <c r="AF141">
        <v>1</v>
      </c>
    </row>
    <row r="142" spans="1:33" ht="16.5" customHeight="1" x14ac:dyDescent="0.25">
      <c r="A142" s="926">
        <v>135</v>
      </c>
      <c r="B142" s="400" t="s">
        <v>652</v>
      </c>
      <c r="C142" s="400" t="s">
        <v>650</v>
      </c>
      <c r="D142" s="401" t="s">
        <v>625</v>
      </c>
      <c r="E142" s="522" t="str">
        <f>IF(VLOOKUP(A142,'Charriage - Geschiebehaushalt'!$A$4:$AC$275,17,FALSE)="","",VLOOKUP(A142,'Charriage - Geschiebehaushalt'!$A$4:$AC$275,17,FALSE))</f>
        <v>Charriage présumé naturel / Geschiebehaushalt vermutlich natürlich</v>
      </c>
      <c r="F142" s="523" t="str">
        <f>IF(VLOOKUP(A142,'Charriage - Geschiebehaushalt'!$A$4:$AC$275,18,FALSE)="","",VLOOKUP(A142,'Charriage - Geschiebehaushalt'!$A$4:$AC$275,18,FALSE))</f>
        <v>a</v>
      </c>
      <c r="G142" s="524" t="str">
        <f>IF(VLOOKUP(A142,'Charriage - Geschiebehaushalt'!$A$4:$AC$275,22,FALSE)="","",VLOOKUP(A142,'Charriage - Geschiebehaushalt'!$A$4:$AC$275,22,FALSE))</f>
        <v>0-20%</v>
      </c>
      <c r="H142" s="523" t="str">
        <f>IF(VLOOKUP(A142,'Charriage - Geschiebehaushalt'!$A$4:$AC$275,23,FALSE)="","",VLOOKUP(A142,'Charriage - Geschiebehaushalt'!$A$4:$AC$275,23,FALSE))</f>
        <v>d</v>
      </c>
      <c r="I142" s="524" t="str">
        <f>IF(VLOOKUP(A142,'Charriage - Geschiebehaushalt'!$A$4:$AC$275,28,FALSE)="","",VLOOKUP(A142,'Charriage - Geschiebehaushalt'!$A$4:$AC$275,28,FALSE))</f>
        <v>0-20%</v>
      </c>
      <c r="J142" s="403" t="str">
        <f>IF(VLOOKUP(A142,'Charriage - Geschiebehaushalt'!$A$4:$AC$275,29,FALSE)="","",VLOOKUP(A142,'Charriage - Geschiebehaushalt'!$A$4:$AC$275,29,FALSE))</f>
        <v>d</v>
      </c>
      <c r="K142" s="533" t="str">
        <f>IF(VLOOKUP(A142,'Débit - Abfluss'!$A$4:$AD$275,8,FALSE)="","",VLOOKUP(A142,'Débit - Abfluss'!$A$4:$AD$275,8,FALSE))</f>
        <v>100%</v>
      </c>
      <c r="L142" s="468" t="str">
        <f>IF(VLOOKUP(A142,'Débit - Abfluss'!$A$4:$AD$275,10,FALSE)="","",VLOOKUP(A142,'Débit - Abfluss'!$A$4:$AD$275,10,FALSE))</f>
        <v>100%</v>
      </c>
      <c r="M142" s="333" t="str">
        <f>IF(VLOOKUP(A142,'Débit - Abfluss'!$A$4:$AD$275,17,FALSE)="","",VLOOKUP(A142,'Débit - Abfluss'!$A$4:$AD$275,17,FALSE))</f>
        <v>100%</v>
      </c>
      <c r="N142" s="340" t="str">
        <f>IF(VLOOKUP(A142,'Eclusée - Schwall-Sunk'!$A$2:$F$273,6,FALSE)="","",VLOOKUP(A142,'Eclusée - Schwall-Sunk'!$A$2:$F$273,6,FALSE))</f>
        <v>Non affecté / nicht betroffen</v>
      </c>
      <c r="O142" s="537"/>
      <c r="P142" s="538"/>
      <c r="Q142" s="284" t="str">
        <f>IF(VLOOKUP(A142,'Revitalisation-Revitalisierung'!$A$4:$Z$275,13,FALSE)="","",VLOOKUP(A142,'Revitalisation-Revitalisierung'!$A$4:$Z$275,13,FALSE))</f>
        <v>Partiellement nécessaire, facile / teilweise nötig, einfach</v>
      </c>
      <c r="R142" s="541" t="str">
        <f>IF(VLOOKUP(A142,'Revitalisation-Revitalisierung'!$A$4:$Z$275,14,FALSE)="","",VLOOKUP(A142,'Revitalisation-Revitalisierung'!$A$4:$Z$275,14,FALSE))</f>
        <v>a</v>
      </c>
      <c r="S142" s="542" t="str">
        <f>IF(VLOOKUP(A142,'Revitalisation-Revitalisierung'!$A$4:$Z$275,19,FALSE)="","",VLOOKUP(A142,'Revitalisation-Revitalisierung'!$A$4:$Z$275,19,FALSE))</f>
        <v>Partiellement nécessaire, facile / teilweise nötig, einfach</v>
      </c>
      <c r="T142" s="541" t="str">
        <f>IF(VLOOKUP(A142,'Revitalisation-Revitalisierung'!$A$4:$Z$275,20,FALSE)="","",VLOOKUP(A142,'Revitalisation-Revitalisierung'!$A$4:$Z$275,20,FALSE))</f>
        <v>d</v>
      </c>
      <c r="U142" s="542" t="str">
        <f>IF(VLOOKUP(A142,'Revitalisation-Revitalisierung'!$A$4:$Z$275,25,FALSE)="","",VLOOKUP(A142,'Revitalisation-Revitalisierung'!$A$4:$Z$275,25,FALSE))</f>
        <v>Partiellement nécessaire, facile / teilweise nötig, einfach</v>
      </c>
      <c r="V142" s="406" t="str">
        <f>IF(VLOOKUP(A142,'Revitalisation-Revitalisierung'!$A$4:$Z$275,26,FALSE)="","",VLOOKUP(A142,'Revitalisation-Revitalisierung'!$A$4:$Z$275,26,FALSE))</f>
        <v>d</v>
      </c>
      <c r="Y142" s="529" t="str">
        <f t="shared" si="8"/>
        <v>0-20%</v>
      </c>
      <c r="Z142" s="568" t="str">
        <f t="shared" si="9"/>
        <v>d</v>
      </c>
      <c r="AA142" s="327" t="str">
        <f t="shared" si="10"/>
        <v>100%</v>
      </c>
      <c r="AB142" s="327" t="str">
        <f t="shared" si="11"/>
        <v>Non affecté / nicht betroffen</v>
      </c>
      <c r="AC142" s="276" t="str">
        <f t="shared" si="12"/>
        <v>Partiellement nécessaire, facile / teilweise nötig, einfach</v>
      </c>
      <c r="AD142" s="570" t="str">
        <f t="shared" si="13"/>
        <v>d</v>
      </c>
      <c r="AE142">
        <v>2</v>
      </c>
      <c r="AF142">
        <v>1</v>
      </c>
    </row>
    <row r="143" spans="1:33" ht="16.5" customHeight="1" x14ac:dyDescent="0.25">
      <c r="A143" s="926">
        <v>138</v>
      </c>
      <c r="B143" s="400" t="s">
        <v>653</v>
      </c>
      <c r="C143" s="400" t="s">
        <v>654</v>
      </c>
      <c r="D143" s="401" t="s">
        <v>625</v>
      </c>
      <c r="E143" s="522" t="str">
        <f>IF(VLOOKUP(A143,'Charriage - Geschiebehaushalt'!$A$4:$AC$275,17,FALSE)="","",VLOOKUP(A143,'Charriage - Geschiebehaushalt'!$A$4:$AC$275,17,FALSE))</f>
        <v>Charriage présumé naturel / Geschiebehaushalt vermutlich natürlich</v>
      </c>
      <c r="F143" s="523" t="str">
        <f>IF(VLOOKUP(A143,'Charriage - Geschiebehaushalt'!$A$4:$AC$275,18,FALSE)="","",VLOOKUP(A143,'Charriage - Geschiebehaushalt'!$A$4:$AC$275,18,FALSE))</f>
        <v>b</v>
      </c>
      <c r="G143" s="524" t="str">
        <f>IF(VLOOKUP(A143,'Charriage - Geschiebehaushalt'!$A$4:$AC$275,22,FALSE)="","",VLOOKUP(A143,'Charriage - Geschiebehaushalt'!$A$4:$AC$275,22,FALSE))</f>
        <v>0-20%</v>
      </c>
      <c r="H143" s="523" t="str">
        <f>IF(VLOOKUP(A143,'Charriage - Geschiebehaushalt'!$A$4:$AC$275,23,FALSE)="","",VLOOKUP(A143,'Charriage - Geschiebehaushalt'!$A$4:$AC$275,23,FALSE))</f>
        <v>d</v>
      </c>
      <c r="I143" s="524" t="str">
        <f>IF(VLOOKUP(A143,'Charriage - Geschiebehaushalt'!$A$4:$AC$275,28,FALSE)="","",VLOOKUP(A143,'Charriage - Geschiebehaushalt'!$A$4:$AC$275,28,FALSE))</f>
        <v>0-20%</v>
      </c>
      <c r="J143" s="403" t="str">
        <f>IF(VLOOKUP(A143,'Charriage - Geschiebehaushalt'!$A$4:$AC$275,29,FALSE)="","",VLOOKUP(A143,'Charriage - Geschiebehaushalt'!$A$4:$AC$275,29,FALSE))</f>
        <v>d</v>
      </c>
      <c r="K143" s="533" t="str">
        <f>IF(VLOOKUP(A143,'Débit - Abfluss'!$A$4:$AD$275,8,FALSE)="","",VLOOKUP(A143,'Débit - Abfluss'!$A$4:$AD$275,8,FALSE))</f>
        <v>0-20%</v>
      </c>
      <c r="L143" s="468" t="str">
        <f>IF(VLOOKUP(A143,'Débit - Abfluss'!$A$4:$AD$275,10,FALSE)="","",VLOOKUP(A143,'Débit - Abfluss'!$A$4:$AD$275,10,FALSE))</f>
        <v>0-20%</v>
      </c>
      <c r="M143" s="333" t="str">
        <f>IF(VLOOKUP(A143,'Débit - Abfluss'!$A$4:$AD$275,17,FALSE)="","",VLOOKUP(A143,'Débit - Abfluss'!$A$4:$AD$275,17,FALSE))</f>
        <v>0-20%</v>
      </c>
      <c r="N143" s="340" t="str">
        <f>IF(VLOOKUP(A143,'Eclusée - Schwall-Sunk'!$A$2:$F$273,6,FALSE)="","",VLOOKUP(A143,'Eclusée - Schwall-Sunk'!$A$2:$F$273,6,FALSE))</f>
        <v>Potentiellement affecté / möglicherweise betroffen</v>
      </c>
      <c r="O143" s="537"/>
      <c r="P143" s="538"/>
      <c r="Q143" s="284" t="str">
        <f>IF(VLOOKUP(A143,'Revitalisation-Revitalisierung'!$A$4:$Z$275,13,FALSE)="","",VLOOKUP(A143,'Revitalisation-Revitalisierung'!$A$4:$Z$275,13,FALSE))</f>
        <v>Non nécessaire / nicht nötig</v>
      </c>
      <c r="R143" s="541" t="str">
        <f>IF(VLOOKUP(A143,'Revitalisation-Revitalisierung'!$A$4:$Z$275,14,FALSE)="","",VLOOKUP(A143,'Revitalisation-Revitalisierung'!$A$4:$Z$275,14,FALSE))</f>
        <v>a</v>
      </c>
      <c r="S143" s="542" t="str">
        <f>IF(VLOOKUP(A143,'Revitalisation-Revitalisierung'!$A$4:$Z$275,19,FALSE)="","",VLOOKUP(A143,'Revitalisation-Revitalisierung'!$A$4:$Z$275,19,FALSE))</f>
        <v>Très nécessaire, facile / unbedingt nötig, einfach</v>
      </c>
      <c r="T143" s="541" t="str">
        <f>IF(VLOOKUP(A143,'Revitalisation-Revitalisierung'!$A$4:$Z$275,20,FALSE)="","",VLOOKUP(A143,'Revitalisation-Revitalisierung'!$A$4:$Z$275,20,FALSE))</f>
        <v>c</v>
      </c>
      <c r="U143" s="542" t="str">
        <f>IF(VLOOKUP(A143,'Revitalisation-Revitalisierung'!$A$4:$Z$275,25,FALSE)="","",VLOOKUP(A143,'Revitalisation-Revitalisierung'!$A$4:$Z$275,25,FALSE))</f>
        <v>Très nécessaire, facile / unbedingt nötig, einfach</v>
      </c>
      <c r="V143" s="406" t="str">
        <f>IF(VLOOKUP(A143,'Revitalisation-Revitalisierung'!$A$4:$Z$275,26,FALSE)="","",VLOOKUP(A143,'Revitalisation-Revitalisierung'!$A$4:$Z$275,26,FALSE))</f>
        <v>c</v>
      </c>
      <c r="Y143" s="529" t="str">
        <f t="shared" si="8"/>
        <v>0-20%</v>
      </c>
      <c r="Z143" s="568" t="str">
        <f t="shared" si="9"/>
        <v>d</v>
      </c>
      <c r="AA143" s="327" t="str">
        <f t="shared" si="10"/>
        <v>0-20%</v>
      </c>
      <c r="AB143" s="327" t="str">
        <f t="shared" si="11"/>
        <v>Potentiellement affecté / möglicherweise betroffen</v>
      </c>
      <c r="AC143" s="276" t="str">
        <f t="shared" si="12"/>
        <v>Très nécessaire, facile / unbedingt nötig, einfach</v>
      </c>
      <c r="AD143" s="570" t="str">
        <f t="shared" si="13"/>
        <v>c</v>
      </c>
      <c r="AE143">
        <v>4</v>
      </c>
      <c r="AF143">
        <v>1</v>
      </c>
    </row>
    <row r="144" spans="1:33" ht="16.5" customHeight="1" x14ac:dyDescent="0.25">
      <c r="A144" s="926">
        <v>139</v>
      </c>
      <c r="B144" s="400" t="s">
        <v>656</v>
      </c>
      <c r="C144" s="400" t="s">
        <v>657</v>
      </c>
      <c r="D144" s="401" t="s">
        <v>625</v>
      </c>
      <c r="E144" s="522" t="str">
        <f>IF(VLOOKUP(A144,'Charriage - Geschiebehaushalt'!$A$4:$AC$275,17,FALSE)="","",VLOOKUP(A144,'Charriage - Geschiebehaushalt'!$A$4:$AC$275,17,FALSE))</f>
        <v>51-80%</v>
      </c>
      <c r="F144" s="523" t="str">
        <f>IF(VLOOKUP(A144,'Charriage - Geschiebehaushalt'!$A$4:$AC$275,18,FALSE)="","",VLOOKUP(A144,'Charriage - Geschiebehaushalt'!$A$4:$AC$275,18,FALSE))</f>
        <v>a</v>
      </c>
      <c r="G144" s="524" t="str">
        <f>IF(VLOOKUP(A144,'Charriage - Geschiebehaushalt'!$A$4:$AC$275,22,FALSE)="","",VLOOKUP(A144,'Charriage - Geschiebehaushalt'!$A$4:$AC$275,22,FALSE))</f>
        <v>51-80%</v>
      </c>
      <c r="H144" s="523" t="str">
        <f>IF(VLOOKUP(A144,'Charriage - Geschiebehaushalt'!$A$4:$AC$275,23,FALSE)="","",VLOOKUP(A144,'Charriage - Geschiebehaushalt'!$A$4:$AC$275,23,FALSE))</f>
        <v>a</v>
      </c>
      <c r="I144" s="524" t="str">
        <f>IF(VLOOKUP(A144,'Charriage - Geschiebehaushalt'!$A$4:$AC$275,28,FALSE)="","",VLOOKUP(A144,'Charriage - Geschiebehaushalt'!$A$4:$AC$275,28,FALSE))</f>
        <v>51-80%</v>
      </c>
      <c r="J144" s="403" t="str">
        <f>IF(VLOOKUP(A144,'Charriage - Geschiebehaushalt'!$A$4:$AC$275,29,FALSE)="","",VLOOKUP(A144,'Charriage - Geschiebehaushalt'!$A$4:$AC$275,29,FALSE))</f>
        <v>a</v>
      </c>
      <c r="K144" s="533" t="str">
        <f>IF(VLOOKUP(A144,'Débit - Abfluss'!$A$4:$AD$275,8,FALSE)="","",VLOOKUP(A144,'Débit - Abfluss'!$A$4:$AD$275,8,FALSE))</f>
        <v>81-100%</v>
      </c>
      <c r="L144" s="468" t="str">
        <f>IF(VLOOKUP(A144,'Débit - Abfluss'!$A$4:$AD$275,10,FALSE)="","",VLOOKUP(A144,'Débit - Abfluss'!$A$4:$AD$275,10,FALSE))</f>
        <v>81-100%</v>
      </c>
      <c r="M144" s="333" t="str">
        <f>IF(VLOOKUP(A144,'Débit - Abfluss'!$A$4:$AD$275,17,FALSE)="","",VLOOKUP(A144,'Débit - Abfluss'!$A$4:$AD$275,17,FALSE))</f>
        <v>81-100%</v>
      </c>
      <c r="N144" s="340" t="str">
        <f>IF(VLOOKUP(A144,'Eclusée - Schwall-Sunk'!$A$2:$F$273,6,FALSE)="","",VLOOKUP(A144,'Eclusée - Schwall-Sunk'!$A$2:$F$273,6,FALSE))</f>
        <v>Potentiellement affecté / möglicherweise betroffen</v>
      </c>
      <c r="O144" s="537"/>
      <c r="P144" s="538"/>
      <c r="Q144" s="284" t="str">
        <f>IF(VLOOKUP(A144,'Revitalisation-Revitalisierung'!$A$4:$Z$275,13,FALSE)="","",VLOOKUP(A144,'Revitalisation-Revitalisierung'!$A$4:$Z$275,13,FALSE))</f>
        <v>Très nécessaire, difficile / unbedingt nötig, schwierig</v>
      </c>
      <c r="R144" s="541" t="str">
        <f>IF(VLOOKUP(A144,'Revitalisation-Revitalisierung'!$A$4:$Z$275,14,FALSE)="","",VLOOKUP(A144,'Revitalisation-Revitalisierung'!$A$4:$Z$275,14,FALSE))</f>
        <v>b</v>
      </c>
      <c r="S144" s="542" t="str">
        <f>IF(VLOOKUP(A144,'Revitalisation-Revitalisierung'!$A$4:$Z$275,19,FALSE)="","",VLOOKUP(A144,'Revitalisation-Revitalisierung'!$A$4:$Z$275,19,FALSE))</f>
        <v>Très nécessaire, difficile / unbedingt nötig, schwierig</v>
      </c>
      <c r="T144" s="541" t="str">
        <f>IF(VLOOKUP(A144,'Revitalisation-Revitalisierung'!$A$4:$Z$275,20,FALSE)="","",VLOOKUP(A144,'Revitalisation-Revitalisierung'!$A$4:$Z$275,20,FALSE))</f>
        <v>d</v>
      </c>
      <c r="U144" s="542" t="str">
        <f>IF(VLOOKUP(A144,'Revitalisation-Revitalisierung'!$A$4:$Z$275,25,FALSE)="","",VLOOKUP(A144,'Revitalisation-Revitalisierung'!$A$4:$Z$275,25,FALSE))</f>
        <v>Très nécessaire, difficile / unbedingt nötig, schwierig</v>
      </c>
      <c r="V144" s="406" t="str">
        <f>IF(VLOOKUP(A144,'Revitalisation-Revitalisierung'!$A$4:$Z$275,26,FALSE)="","",VLOOKUP(A144,'Revitalisation-Revitalisierung'!$A$4:$Z$275,26,FALSE))</f>
        <v>d</v>
      </c>
      <c r="Y144" s="529" t="str">
        <f t="shared" si="8"/>
        <v>51-80%</v>
      </c>
      <c r="Z144" s="568" t="str">
        <f t="shared" si="9"/>
        <v>a</v>
      </c>
      <c r="AA144" s="327" t="str">
        <f t="shared" si="10"/>
        <v>81-100%</v>
      </c>
      <c r="AB144" s="327" t="str">
        <f t="shared" si="11"/>
        <v>Potentiellement affecté / möglicherweise betroffen</v>
      </c>
      <c r="AC144" s="276" t="str">
        <f t="shared" si="12"/>
        <v>Très nécessaire, difficile / unbedingt nötig, schwierig</v>
      </c>
      <c r="AD144" s="570" t="str">
        <f t="shared" si="13"/>
        <v>d</v>
      </c>
      <c r="AE144">
        <v>4</v>
      </c>
      <c r="AF144">
        <v>1</v>
      </c>
    </row>
    <row r="145" spans="1:32" ht="16.5" customHeight="1" x14ac:dyDescent="0.25">
      <c r="A145" s="926">
        <v>140</v>
      </c>
      <c r="B145" s="400" t="s">
        <v>661</v>
      </c>
      <c r="C145" s="400" t="s">
        <v>657</v>
      </c>
      <c r="D145" s="401" t="s">
        <v>625</v>
      </c>
      <c r="E145" s="522" t="str">
        <f>IF(VLOOKUP(A145,'Charriage - Geschiebehaushalt'!$A$4:$AC$275,17,FALSE)="","",VLOOKUP(A145,'Charriage - Geschiebehaushalt'!$A$4:$AC$275,17,FALSE))</f>
        <v>21-50%</v>
      </c>
      <c r="F145" s="523" t="str">
        <f>IF(VLOOKUP(A145,'Charriage - Geschiebehaushalt'!$A$4:$AC$275,18,FALSE)="","",VLOOKUP(A145,'Charriage - Geschiebehaushalt'!$A$4:$AC$275,18,FALSE))</f>
        <v>a</v>
      </c>
      <c r="G145" s="524" t="str">
        <f>IF(VLOOKUP(A145,'Charriage - Geschiebehaushalt'!$A$4:$AC$275,22,FALSE)="","",VLOOKUP(A145,'Charriage - Geschiebehaushalt'!$A$4:$AC$275,22,FALSE))</f>
        <v>21-50%</v>
      </c>
      <c r="H145" s="523" t="str">
        <f>IF(VLOOKUP(A145,'Charriage - Geschiebehaushalt'!$A$4:$AC$275,23,FALSE)="","",VLOOKUP(A145,'Charriage - Geschiebehaushalt'!$A$4:$AC$275,23,FALSE))</f>
        <v>d</v>
      </c>
      <c r="I145" s="524" t="str">
        <f>IF(VLOOKUP(A145,'Charriage - Geschiebehaushalt'!$A$4:$AC$275,28,FALSE)="","",VLOOKUP(A145,'Charriage - Geschiebehaushalt'!$A$4:$AC$275,28,FALSE))</f>
        <v>21-50%</v>
      </c>
      <c r="J145" s="403" t="str">
        <f>IF(VLOOKUP(A145,'Charriage - Geschiebehaushalt'!$A$4:$AC$275,29,FALSE)="","",VLOOKUP(A145,'Charriage - Geschiebehaushalt'!$A$4:$AC$275,29,FALSE))</f>
        <v>d</v>
      </c>
      <c r="K145" s="533" t="str">
        <f>IF(VLOOKUP(A145,'Débit - Abfluss'!$A$4:$AD$275,8,FALSE)="","",VLOOKUP(A145,'Débit - Abfluss'!$A$4:$AD$275,8,FALSE))</f>
        <v>21-40%</v>
      </c>
      <c r="L145" s="468" t="str">
        <f>IF(VLOOKUP(A145,'Débit - Abfluss'!$A$4:$AD$275,10,FALSE)="","",VLOOKUP(A145,'Débit - Abfluss'!$A$4:$AD$275,10,FALSE))</f>
        <v>21-40%</v>
      </c>
      <c r="M145" s="333" t="str">
        <f>IF(VLOOKUP(A145,'Débit - Abfluss'!$A$4:$AD$275,17,FALSE)="","",VLOOKUP(A145,'Débit - Abfluss'!$A$4:$AD$275,17,FALSE))</f>
        <v>21-40%</v>
      </c>
      <c r="N145" s="340" t="str">
        <f>IF(VLOOKUP(A145,'Eclusée - Schwall-Sunk'!$A$2:$F$273,6,FALSE)="","",VLOOKUP(A145,'Eclusée - Schwall-Sunk'!$A$2:$F$273,6,FALSE))</f>
        <v>Non affecté / nicht betroffen</v>
      </c>
      <c r="O145" s="537"/>
      <c r="P145" s="538"/>
      <c r="Q145" s="284" t="str">
        <f>IF(VLOOKUP(A145,'Revitalisation-Revitalisierung'!$A$4:$Z$275,13,FALSE)="","",VLOOKUP(A145,'Revitalisation-Revitalisierung'!$A$4:$Z$275,13,FALSE))</f>
        <v>Très nécessaire, facile / unbedingt nötig, einfach</v>
      </c>
      <c r="R145" s="541" t="str">
        <f>IF(VLOOKUP(A145,'Revitalisation-Revitalisierung'!$A$4:$Z$275,14,FALSE)="","",VLOOKUP(A145,'Revitalisation-Revitalisierung'!$A$4:$Z$275,14,FALSE))</f>
        <v>b</v>
      </c>
      <c r="S145" s="542" t="str">
        <f>IF(VLOOKUP(A145,'Revitalisation-Revitalisierung'!$A$4:$Z$275,19,FALSE)="","",VLOOKUP(A145,'Revitalisation-Revitalisierung'!$A$4:$Z$275,19,FALSE))</f>
        <v>Très nécessaire, facile / unbedingt nötig, einfach</v>
      </c>
      <c r="T145" s="541" t="str">
        <f>IF(VLOOKUP(A145,'Revitalisation-Revitalisierung'!$A$4:$Z$275,20,FALSE)="","",VLOOKUP(A145,'Revitalisation-Revitalisierung'!$A$4:$Z$275,20,FALSE))</f>
        <v>d</v>
      </c>
      <c r="U145" s="542" t="str">
        <f>IF(VLOOKUP(A145,'Revitalisation-Revitalisierung'!$A$4:$Z$275,25,FALSE)="","",VLOOKUP(A145,'Revitalisation-Revitalisierung'!$A$4:$Z$275,25,FALSE))</f>
        <v>Très nécessaire, facile / unbedingt nötig, einfach</v>
      </c>
      <c r="V145" s="406" t="str">
        <f>IF(VLOOKUP(A145,'Revitalisation-Revitalisierung'!$A$4:$Z$275,26,FALSE)="","",VLOOKUP(A145,'Revitalisation-Revitalisierung'!$A$4:$Z$275,26,FALSE))</f>
        <v>d</v>
      </c>
      <c r="Y145" s="529" t="str">
        <f t="shared" si="8"/>
        <v>21-50%</v>
      </c>
      <c r="Z145" s="568" t="str">
        <f t="shared" si="9"/>
        <v>d</v>
      </c>
      <c r="AA145" s="327" t="str">
        <f t="shared" si="10"/>
        <v>21-40%</v>
      </c>
      <c r="AB145" s="327" t="str">
        <f t="shared" si="11"/>
        <v>Non affecté / nicht betroffen</v>
      </c>
      <c r="AC145" s="276" t="str">
        <f t="shared" si="12"/>
        <v>Très nécessaire, facile / unbedingt nötig, einfach</v>
      </c>
      <c r="AD145" s="570" t="str">
        <f t="shared" si="13"/>
        <v>d</v>
      </c>
      <c r="AE145">
        <v>4</v>
      </c>
      <c r="AF145">
        <v>1</v>
      </c>
    </row>
    <row r="146" spans="1:32" ht="16.5" customHeight="1" x14ac:dyDescent="0.25">
      <c r="A146" s="926">
        <v>141</v>
      </c>
      <c r="B146" s="400" t="s">
        <v>662</v>
      </c>
      <c r="C146" s="400" t="s">
        <v>657</v>
      </c>
      <c r="D146" s="401" t="s">
        <v>625</v>
      </c>
      <c r="E146" s="522" t="str">
        <f>IF(VLOOKUP(A146,'Charriage - Geschiebehaushalt'!$A$4:$AC$275,17,FALSE)="","",VLOOKUP(A146,'Charriage - Geschiebehaushalt'!$A$4:$AC$275,17,FALSE))</f>
        <v>21-50%</v>
      </c>
      <c r="F146" s="523" t="str">
        <f>IF(VLOOKUP(A146,'Charriage - Geschiebehaushalt'!$A$4:$AC$275,18,FALSE)="","",VLOOKUP(A146,'Charriage - Geschiebehaushalt'!$A$4:$AC$275,18,FALSE))</f>
        <v>a</v>
      </c>
      <c r="G146" s="524" t="str">
        <f>IF(VLOOKUP(A146,'Charriage - Geschiebehaushalt'!$A$4:$AC$275,22,FALSE)="","",VLOOKUP(A146,'Charriage - Geschiebehaushalt'!$A$4:$AC$275,22,FALSE))</f>
        <v>21-50%</v>
      </c>
      <c r="H146" s="523" t="str">
        <f>IF(VLOOKUP(A146,'Charriage - Geschiebehaushalt'!$A$4:$AC$275,23,FALSE)="","",VLOOKUP(A146,'Charriage - Geschiebehaushalt'!$A$4:$AC$275,23,FALSE))</f>
        <v>d</v>
      </c>
      <c r="I146" s="524" t="str">
        <f>IF(VLOOKUP(A146,'Charriage - Geschiebehaushalt'!$A$4:$AC$275,28,FALSE)="","",VLOOKUP(A146,'Charriage - Geschiebehaushalt'!$A$4:$AC$275,28,FALSE))</f>
        <v>21-50%</v>
      </c>
      <c r="J146" s="403" t="str">
        <f>IF(VLOOKUP(A146,'Charriage - Geschiebehaushalt'!$A$4:$AC$275,29,FALSE)="","",VLOOKUP(A146,'Charriage - Geschiebehaushalt'!$A$4:$AC$275,29,FALSE))</f>
        <v>d</v>
      </c>
      <c r="K146" s="533" t="str">
        <f>IF(VLOOKUP(A146,'Débit - Abfluss'!$A$4:$AD$275,8,FALSE)="","",VLOOKUP(A146,'Débit - Abfluss'!$A$4:$AD$275,8,FALSE))</f>
        <v>81-100%</v>
      </c>
      <c r="L146" s="468" t="str">
        <f>IF(VLOOKUP(A146,'Débit - Abfluss'!$A$4:$AD$275,10,FALSE)="","",VLOOKUP(A146,'Débit - Abfluss'!$A$4:$AD$275,10,FALSE))</f>
        <v>81-100%</v>
      </c>
      <c r="M146" s="333" t="str">
        <f>IF(VLOOKUP(A146,'Débit - Abfluss'!$A$4:$AD$275,17,FALSE)="","",VLOOKUP(A146,'Débit - Abfluss'!$A$4:$AD$275,17,FALSE))</f>
        <v>81-100%</v>
      </c>
      <c r="N146" s="340" t="str">
        <f>IF(VLOOKUP(A146,'Eclusée - Schwall-Sunk'!$A$2:$F$273,6,FALSE)="","",VLOOKUP(A146,'Eclusée - Schwall-Sunk'!$A$2:$F$273,6,FALSE))</f>
        <v>Non affecté / nicht betroffen</v>
      </c>
      <c r="O146" s="537"/>
      <c r="P146" s="538"/>
      <c r="Q146" s="284" t="str">
        <f>IF(VLOOKUP(A146,'Revitalisation-Revitalisierung'!$A$4:$Z$275,13,FALSE)="","",VLOOKUP(A146,'Revitalisation-Revitalisierung'!$A$4:$Z$275,13,FALSE))</f>
        <v>Très nécessaire, facile / unbedingt nötig, einfach</v>
      </c>
      <c r="R146" s="541" t="str">
        <f>IF(VLOOKUP(A146,'Revitalisation-Revitalisierung'!$A$4:$Z$275,14,FALSE)="","",VLOOKUP(A146,'Revitalisation-Revitalisierung'!$A$4:$Z$275,14,FALSE))</f>
        <v>a</v>
      </c>
      <c r="S146" s="542" t="str">
        <f>IF(VLOOKUP(A146,'Revitalisation-Revitalisierung'!$A$4:$Z$275,19,FALSE)="","",VLOOKUP(A146,'Revitalisation-Revitalisierung'!$A$4:$Z$275,19,FALSE))</f>
        <v>Très nécessaire, facile / unbedingt nötig, einfach</v>
      </c>
      <c r="T146" s="541" t="str">
        <f>IF(VLOOKUP(A146,'Revitalisation-Revitalisierung'!$A$4:$Z$275,20,FALSE)="","",VLOOKUP(A146,'Revitalisation-Revitalisierung'!$A$4:$Z$275,20,FALSE))</f>
        <v>d</v>
      </c>
      <c r="U146" s="542" t="str">
        <f>IF(VLOOKUP(A146,'Revitalisation-Revitalisierung'!$A$4:$Z$275,25,FALSE)="","",VLOOKUP(A146,'Revitalisation-Revitalisierung'!$A$4:$Z$275,25,FALSE))</f>
        <v>Très nécessaire, facile / unbedingt nötig, einfach</v>
      </c>
      <c r="V146" s="406" t="str">
        <f>IF(VLOOKUP(A146,'Revitalisation-Revitalisierung'!$A$4:$Z$275,26,FALSE)="","",VLOOKUP(A146,'Revitalisation-Revitalisierung'!$A$4:$Z$275,26,FALSE))</f>
        <v>d</v>
      </c>
      <c r="Y146" s="529" t="str">
        <f t="shared" si="8"/>
        <v>21-50%</v>
      </c>
      <c r="Z146" s="568" t="str">
        <f t="shared" si="9"/>
        <v>d</v>
      </c>
      <c r="AA146" s="327" t="str">
        <f t="shared" si="10"/>
        <v>81-100%</v>
      </c>
      <c r="AB146" s="327" t="str">
        <f t="shared" si="11"/>
        <v>Non affecté / nicht betroffen</v>
      </c>
      <c r="AC146" s="276" t="str">
        <f t="shared" si="12"/>
        <v>Très nécessaire, facile / unbedingt nötig, einfach</v>
      </c>
      <c r="AD146" s="570" t="str">
        <f t="shared" si="13"/>
        <v>d</v>
      </c>
      <c r="AE146">
        <v>2</v>
      </c>
      <c r="AF146">
        <v>1</v>
      </c>
    </row>
    <row r="147" spans="1:32" ht="16.5" customHeight="1" x14ac:dyDescent="0.25">
      <c r="A147" s="926">
        <v>142</v>
      </c>
      <c r="B147" s="400" t="s">
        <v>663</v>
      </c>
      <c r="C147" s="400" t="s">
        <v>664</v>
      </c>
      <c r="D147" s="401" t="s">
        <v>625</v>
      </c>
      <c r="E147" s="522" t="str">
        <f>IF(VLOOKUP(A147,'Charriage - Geschiebehaushalt'!$A$4:$AC$275,17,FALSE)="","",VLOOKUP(A147,'Charriage - Geschiebehaushalt'!$A$4:$AC$275,17,FALSE))</f>
        <v>21-50%</v>
      </c>
      <c r="F147" s="523" t="str">
        <f>IF(VLOOKUP(A147,'Charriage - Geschiebehaushalt'!$A$4:$AC$275,18,FALSE)="","",VLOOKUP(A147,'Charriage - Geschiebehaushalt'!$A$4:$AC$275,18,FALSE))</f>
        <v>a</v>
      </c>
      <c r="G147" s="524" t="str">
        <f>IF(VLOOKUP(A147,'Charriage - Geschiebehaushalt'!$A$4:$AC$275,22,FALSE)="","",VLOOKUP(A147,'Charriage - Geschiebehaushalt'!$A$4:$AC$275,22,FALSE))</f>
        <v>21-50%</v>
      </c>
      <c r="H147" s="523" t="str">
        <f>IF(VLOOKUP(A147,'Charriage - Geschiebehaushalt'!$A$4:$AC$275,23,FALSE)="","",VLOOKUP(A147,'Charriage - Geschiebehaushalt'!$A$4:$AC$275,23,FALSE))</f>
        <v>d</v>
      </c>
      <c r="I147" s="524" t="str">
        <f>IF(VLOOKUP(A147,'Charriage - Geschiebehaushalt'!$A$4:$AC$275,28,FALSE)="","",VLOOKUP(A147,'Charriage - Geschiebehaushalt'!$A$4:$AC$275,28,FALSE))</f>
        <v>21-50%</v>
      </c>
      <c r="J147" s="403" t="str">
        <f>IF(VLOOKUP(A147,'Charriage - Geschiebehaushalt'!$A$4:$AC$275,29,FALSE)="","",VLOOKUP(A147,'Charriage - Geschiebehaushalt'!$A$4:$AC$275,29,FALSE))</f>
        <v>d</v>
      </c>
      <c r="K147" s="533" t="str">
        <f>IF(VLOOKUP(A147,'Débit - Abfluss'!$A$4:$AD$275,8,FALSE)="","",VLOOKUP(A147,'Débit - Abfluss'!$A$4:$AD$275,8,FALSE))</f>
        <v>81-100%</v>
      </c>
      <c r="L147" s="468" t="str">
        <f>IF(VLOOKUP(A147,'Débit - Abfluss'!$A$4:$AD$275,10,FALSE)="","",VLOOKUP(A147,'Débit - Abfluss'!$A$4:$AD$275,10,FALSE))</f>
        <v>81-100%</v>
      </c>
      <c r="M147" s="333" t="str">
        <f>IF(VLOOKUP(A147,'Débit - Abfluss'!$A$4:$AD$275,17,FALSE)="","",VLOOKUP(A147,'Débit - Abfluss'!$A$4:$AD$275,17,FALSE))</f>
        <v>81-100%</v>
      </c>
      <c r="N147" s="340" t="str">
        <f>IF(VLOOKUP(A147,'Eclusée - Schwall-Sunk'!$A$2:$F$273,6,FALSE)="","",VLOOKUP(A147,'Eclusée - Schwall-Sunk'!$A$2:$F$273,6,FALSE))</f>
        <v>Non affecté / nicht betroffen</v>
      </c>
      <c r="O147" s="537"/>
      <c r="P147" s="538"/>
      <c r="Q147" s="284" t="str">
        <f>IF(VLOOKUP(A147,'Revitalisation-Revitalisierung'!$A$4:$Z$275,13,FALSE)="","",VLOOKUP(A147,'Revitalisation-Revitalisierung'!$A$4:$Z$275,13,FALSE))</f>
        <v>Très nécessaire, difficile / unbedingt nötig, schwierig</v>
      </c>
      <c r="R147" s="541" t="str">
        <f>IF(VLOOKUP(A147,'Revitalisation-Revitalisierung'!$A$4:$Z$275,14,FALSE)="","",VLOOKUP(A147,'Revitalisation-Revitalisierung'!$A$4:$Z$275,14,FALSE))</f>
        <v>b</v>
      </c>
      <c r="S147" s="542" t="str">
        <f>IF(VLOOKUP(A147,'Revitalisation-Revitalisierung'!$A$4:$Z$275,19,FALSE)="","",VLOOKUP(A147,'Revitalisation-Revitalisierung'!$A$4:$Z$275,19,FALSE))</f>
        <v>Très nécessaire, difficile / unbedingt nötig, schwierig</v>
      </c>
      <c r="T147" s="541" t="str">
        <f>IF(VLOOKUP(A147,'Revitalisation-Revitalisierung'!$A$4:$Z$275,20,FALSE)="","",VLOOKUP(A147,'Revitalisation-Revitalisierung'!$A$4:$Z$275,20,FALSE))</f>
        <v>d</v>
      </c>
      <c r="U147" s="542" t="str">
        <f>IF(VLOOKUP(A147,'Revitalisation-Revitalisierung'!$A$4:$Z$275,25,FALSE)="","",VLOOKUP(A147,'Revitalisation-Revitalisierung'!$A$4:$Z$275,25,FALSE))</f>
        <v>Très nécessaire, difficile / unbedingt nötig, schwierig</v>
      </c>
      <c r="V147" s="406" t="str">
        <f>IF(VLOOKUP(A147,'Revitalisation-Revitalisierung'!$A$4:$Z$275,26,FALSE)="","",VLOOKUP(A147,'Revitalisation-Revitalisierung'!$A$4:$Z$275,26,FALSE))</f>
        <v>d</v>
      </c>
      <c r="Y147" s="529" t="str">
        <f t="shared" si="8"/>
        <v>21-50%</v>
      </c>
      <c r="Z147" s="568" t="str">
        <f t="shared" si="9"/>
        <v>d</v>
      </c>
      <c r="AA147" s="327" t="str">
        <f t="shared" si="10"/>
        <v>81-100%</v>
      </c>
      <c r="AB147" s="327" t="str">
        <f t="shared" si="11"/>
        <v>Non affecté / nicht betroffen</v>
      </c>
      <c r="AC147" s="276" t="str">
        <f t="shared" si="12"/>
        <v>Très nécessaire, difficile / unbedingt nötig, schwierig</v>
      </c>
      <c r="AD147" s="570" t="str">
        <f t="shared" si="13"/>
        <v>d</v>
      </c>
      <c r="AE147">
        <v>2</v>
      </c>
      <c r="AF147">
        <v>1</v>
      </c>
    </row>
    <row r="148" spans="1:32" ht="16.5" customHeight="1" x14ac:dyDescent="0.25">
      <c r="A148" s="926">
        <v>144</v>
      </c>
      <c r="B148" s="400" t="s">
        <v>362</v>
      </c>
      <c r="C148" s="400" t="s">
        <v>363</v>
      </c>
      <c r="D148" s="401" t="s">
        <v>361</v>
      </c>
      <c r="E148" s="522" t="str">
        <f>IF(VLOOKUP(A148,'Charriage - Geschiebehaushalt'!$A$4:$AC$275,17,FALSE)="","",VLOOKUP(A148,'Charriage - Geschiebehaushalt'!$A$4:$AC$275,17,FALSE))</f>
        <v>La remobilisation des sédiments est perturbée / Mobilisierung von Geschiebe beeinträchtigt</v>
      </c>
      <c r="F148" s="523" t="str">
        <f>IF(VLOOKUP(A148,'Charriage - Geschiebehaushalt'!$A$4:$AC$275,18,FALSE)="","",VLOOKUP(A148,'Charriage - Geschiebehaushalt'!$A$4:$AC$275,18,FALSE))</f>
        <v>b</v>
      </c>
      <c r="G148" s="524" t="str">
        <f>IF(VLOOKUP(A148,'Charriage - Geschiebehaushalt'!$A$4:$AC$275,22,FALSE)="","",VLOOKUP(A148,'Charriage - Geschiebehaushalt'!$A$4:$AC$275,22,FALSE))</f>
        <v>51-80%</v>
      </c>
      <c r="H148" s="523" t="str">
        <f>IF(VLOOKUP(A148,'Charriage - Geschiebehaushalt'!$A$4:$AC$275,23,FALSE)="","",VLOOKUP(A148,'Charriage - Geschiebehaushalt'!$A$4:$AC$275,23,FALSE))</f>
        <v>c</v>
      </c>
      <c r="I148" s="524" t="str">
        <f>IF(VLOOKUP(A148,'Charriage - Geschiebehaushalt'!$A$4:$AC$275,28,FALSE)="","",VLOOKUP(A148,'Charriage - Geschiebehaushalt'!$A$4:$AC$275,28,FALSE))</f>
        <v>21-50%</v>
      </c>
      <c r="J148" s="403" t="str">
        <f>IF(VLOOKUP(A148,'Charriage - Geschiebehaushalt'!$A$4:$AC$275,29,FALSE)="","",VLOOKUP(A148,'Charriage - Geschiebehaushalt'!$A$4:$AC$275,29,FALSE))</f>
        <v>e</v>
      </c>
      <c r="K148" s="533" t="str">
        <f>IF(VLOOKUP(A148,'Débit - Abfluss'!$A$4:$AD$275,8,FALSE)="","",VLOOKUP(A148,'Débit - Abfluss'!$A$4:$AD$275,8,FALSE))</f>
        <v>81-100%</v>
      </c>
      <c r="L148" s="468" t="str">
        <f>IF(VLOOKUP(A148,'Débit - Abfluss'!$A$4:$AD$275,10,FALSE)="","",VLOOKUP(A148,'Débit - Abfluss'!$A$4:$AD$275,10,FALSE))</f>
        <v>81-100%</v>
      </c>
      <c r="M148" s="333" t="str">
        <f>IF(VLOOKUP(A148,'Débit - Abfluss'!$A$4:$AD$275,17,FALSE)="","",VLOOKUP(A148,'Débit - Abfluss'!$A$4:$AD$275,17,FALSE))</f>
        <v>81-100%</v>
      </c>
      <c r="N148" s="340" t="str">
        <f>IF(VLOOKUP(A148,'Eclusée - Schwall-Sunk'!$A$2:$F$273,6,FALSE)="","",VLOOKUP(A148,'Eclusée - Schwall-Sunk'!$A$2:$F$273,6,FALSE))</f>
        <v>Potentiellement affecté / möglicherweise betroffen</v>
      </c>
      <c r="O148" s="537"/>
      <c r="P148" s="538"/>
      <c r="Q148" s="284" t="str">
        <f>IF(VLOOKUP(A148,'Revitalisation-Revitalisierung'!$A$4:$Z$275,13,FALSE)="","",VLOOKUP(A148,'Revitalisation-Revitalisierung'!$A$4:$Z$275,13,FALSE))</f>
        <v>Partiellement nécessaire, facile / teilweise nötig, einfach</v>
      </c>
      <c r="R148" s="541" t="str">
        <f>IF(VLOOKUP(A148,'Revitalisation-Revitalisierung'!$A$4:$Z$275,14,FALSE)="","",VLOOKUP(A148,'Revitalisation-Revitalisierung'!$A$4:$Z$275,14,FALSE))</f>
        <v>a</v>
      </c>
      <c r="S148" s="542" t="str">
        <f>IF(VLOOKUP(A148,'Revitalisation-Revitalisierung'!$A$4:$Z$275,19,FALSE)="","",VLOOKUP(A148,'Revitalisation-Revitalisierung'!$A$4:$Z$275,19,FALSE))</f>
        <v>Non nécessaire / nicht nötig</v>
      </c>
      <c r="T148" s="541" t="str">
        <f>IF(VLOOKUP(A148,'Revitalisation-Revitalisierung'!$A$4:$Z$275,20,FALSE)="","",VLOOKUP(A148,'Revitalisation-Revitalisierung'!$A$4:$Z$275,20,FALSE))</f>
        <v>c</v>
      </c>
      <c r="U148" s="542" t="str">
        <f>IF(VLOOKUP(A148,'Revitalisation-Revitalisierung'!$A$4:$Z$275,25,FALSE)="","",VLOOKUP(A148,'Revitalisation-Revitalisierung'!$A$4:$Z$275,25,FALSE))</f>
        <v>Partiellement nécessaire, facile / teilweise nötig, einfach</v>
      </c>
      <c r="V148" s="406" t="str">
        <f>IF(VLOOKUP(A148,'Revitalisation-Revitalisierung'!$A$4:$Z$275,26,FALSE)="","",VLOOKUP(A148,'Revitalisation-Revitalisierung'!$A$4:$Z$275,26,FALSE))</f>
        <v>e</v>
      </c>
      <c r="Y148" s="529" t="str">
        <f t="shared" si="8"/>
        <v>21-50%</v>
      </c>
      <c r="Z148" s="568" t="str">
        <f t="shared" si="9"/>
        <v>e</v>
      </c>
      <c r="AA148" s="327" t="str">
        <f t="shared" si="10"/>
        <v>81-100%</v>
      </c>
      <c r="AB148" s="327" t="str">
        <f t="shared" si="11"/>
        <v>Potentiellement affecté / möglicherweise betroffen</v>
      </c>
      <c r="AC148" s="276" t="str">
        <f t="shared" si="12"/>
        <v>Partiellement nécessaire, facile / teilweise nötig, einfach</v>
      </c>
      <c r="AD148" s="570" t="str">
        <f t="shared" si="13"/>
        <v>e</v>
      </c>
      <c r="AE148">
        <v>4</v>
      </c>
      <c r="AF148">
        <v>1</v>
      </c>
    </row>
    <row r="149" spans="1:32" ht="16.5" customHeight="1" x14ac:dyDescent="0.25">
      <c r="A149" s="926">
        <v>145</v>
      </c>
      <c r="B149" s="400" t="s">
        <v>369</v>
      </c>
      <c r="C149" s="400" t="s">
        <v>363</v>
      </c>
      <c r="D149" s="401" t="s">
        <v>361</v>
      </c>
      <c r="E149" s="522" t="str">
        <f>IF(VLOOKUP(A149,'Charriage - Geschiebehaushalt'!$A$4:$AC$275,17,FALSE)="","",VLOOKUP(A149,'Charriage - Geschiebehaushalt'!$A$4:$AC$275,17,FALSE))</f>
        <v>La remobilisation des sédiments est perturbée / Mobilisierung von Geschiebe beeinträchtigt</v>
      </c>
      <c r="F149" s="523" t="str">
        <f>IF(VLOOKUP(A149,'Charriage - Geschiebehaushalt'!$A$4:$AC$275,18,FALSE)="","",VLOOKUP(A149,'Charriage - Geschiebehaushalt'!$A$4:$AC$275,18,FALSE))</f>
        <v>b</v>
      </c>
      <c r="G149" s="524" t="str">
        <f>IF(VLOOKUP(A149,'Charriage - Geschiebehaushalt'!$A$4:$AC$275,22,FALSE)="","",VLOOKUP(A149,'Charriage - Geschiebehaushalt'!$A$4:$AC$275,22,FALSE))</f>
        <v>51-80%</v>
      </c>
      <c r="H149" s="523" t="str">
        <f>IF(VLOOKUP(A149,'Charriage - Geschiebehaushalt'!$A$4:$AC$275,23,FALSE)="","",VLOOKUP(A149,'Charriage - Geschiebehaushalt'!$A$4:$AC$275,23,FALSE))</f>
        <v>c</v>
      </c>
      <c r="I149" s="524" t="str">
        <f>IF(VLOOKUP(A149,'Charriage - Geschiebehaushalt'!$A$4:$AC$275,28,FALSE)="","",VLOOKUP(A149,'Charriage - Geschiebehaushalt'!$A$4:$AC$275,28,FALSE))</f>
        <v>21-50%</v>
      </c>
      <c r="J149" s="403" t="str">
        <f>IF(VLOOKUP(A149,'Charriage - Geschiebehaushalt'!$A$4:$AC$275,29,FALSE)="","",VLOOKUP(A149,'Charriage - Geschiebehaushalt'!$A$4:$AC$275,29,FALSE))</f>
        <v>e</v>
      </c>
      <c r="K149" s="533" t="str">
        <f>IF(VLOOKUP(A149,'Débit - Abfluss'!$A$4:$AD$275,8,FALSE)="","",VLOOKUP(A149,'Débit - Abfluss'!$A$4:$AD$275,8,FALSE))</f>
        <v>81-100%</v>
      </c>
      <c r="L149" s="468" t="str">
        <f>IF(VLOOKUP(A149,'Débit - Abfluss'!$A$4:$AD$275,10,FALSE)="","",VLOOKUP(A149,'Débit - Abfluss'!$A$4:$AD$275,10,FALSE))</f>
        <v>81-100%</v>
      </c>
      <c r="M149" s="333" t="str">
        <f>IF(VLOOKUP(A149,'Débit - Abfluss'!$A$4:$AD$275,17,FALSE)="","",VLOOKUP(A149,'Débit - Abfluss'!$A$4:$AD$275,17,FALSE))</f>
        <v>81-100%</v>
      </c>
      <c r="N149" s="340" t="str">
        <f>IF(VLOOKUP(A149,'Eclusée - Schwall-Sunk'!$A$2:$F$273,6,FALSE)="","",VLOOKUP(A149,'Eclusée - Schwall-Sunk'!$A$2:$F$273,6,FALSE))</f>
        <v>Potentiellement affecté / möglicherweise betroffen</v>
      </c>
      <c r="O149" s="537"/>
      <c r="P149" s="538"/>
      <c r="Q149" s="284" t="str">
        <f>IF(VLOOKUP(A149,'Revitalisation-Revitalisierung'!$A$4:$Z$275,13,FALSE)="","",VLOOKUP(A149,'Revitalisation-Revitalisierung'!$A$4:$Z$275,13,FALSE))</f>
        <v>Non nécessaire / nicht nötig</v>
      </c>
      <c r="R149" s="541" t="str">
        <f>IF(VLOOKUP(A149,'Revitalisation-Revitalisierung'!$A$4:$Z$275,14,FALSE)="","",VLOOKUP(A149,'Revitalisation-Revitalisierung'!$A$4:$Z$275,14,FALSE))</f>
        <v>a</v>
      </c>
      <c r="S149" s="542" t="str">
        <f>IF(VLOOKUP(A149,'Revitalisation-Revitalisierung'!$A$4:$Z$275,19,FALSE)="","",VLOOKUP(A149,'Revitalisation-Revitalisierung'!$A$4:$Z$275,19,FALSE))</f>
        <v>Non nécessaire / nicht nötig</v>
      </c>
      <c r="T149" s="541" t="str">
        <f>IF(VLOOKUP(A149,'Revitalisation-Revitalisierung'!$A$4:$Z$275,20,FALSE)="","",VLOOKUP(A149,'Revitalisation-Revitalisierung'!$A$4:$Z$275,20,FALSE))</f>
        <v>d</v>
      </c>
      <c r="U149" s="542" t="str">
        <f>IF(VLOOKUP(A149,'Revitalisation-Revitalisierung'!$A$4:$Z$275,25,FALSE)="","",VLOOKUP(A149,'Revitalisation-Revitalisierung'!$A$4:$Z$275,25,FALSE))</f>
        <v>Partiellement nécessaire, facile / teilweise nötig, einfach</v>
      </c>
      <c r="V149" s="406" t="str">
        <f>IF(VLOOKUP(A149,'Revitalisation-Revitalisierung'!$A$4:$Z$275,26,FALSE)="","",VLOOKUP(A149,'Revitalisation-Revitalisierung'!$A$4:$Z$275,26,FALSE))</f>
        <v>e</v>
      </c>
      <c r="Y149" s="529" t="str">
        <f t="shared" si="8"/>
        <v>21-50%</v>
      </c>
      <c r="Z149" s="568" t="str">
        <f t="shared" si="9"/>
        <v>e</v>
      </c>
      <c r="AA149" s="327" t="str">
        <f t="shared" si="10"/>
        <v>81-100%</v>
      </c>
      <c r="AB149" s="327" t="str">
        <f t="shared" si="11"/>
        <v>Potentiellement affecté / möglicherweise betroffen</v>
      </c>
      <c r="AC149" s="276" t="str">
        <f t="shared" si="12"/>
        <v>Partiellement nécessaire, facile / teilweise nötig, einfach</v>
      </c>
      <c r="AD149" s="570" t="str">
        <f t="shared" si="13"/>
        <v>e</v>
      </c>
      <c r="AE149">
        <v>4</v>
      </c>
      <c r="AF149">
        <v>1</v>
      </c>
    </row>
    <row r="150" spans="1:32" ht="16.5" customHeight="1" x14ac:dyDescent="0.25">
      <c r="A150" s="926">
        <v>146</v>
      </c>
      <c r="B150" s="400" t="s">
        <v>483</v>
      </c>
      <c r="C150" s="400" t="s">
        <v>484</v>
      </c>
      <c r="D150" s="401" t="s">
        <v>482</v>
      </c>
      <c r="E150" s="522" t="str">
        <f>IF(VLOOKUP(A150,'Charriage - Geschiebehaushalt'!$A$4:$AC$275,17,FALSE)="","",VLOOKUP(A150,'Charriage - Geschiebehaushalt'!$A$4:$AC$275,17,FALSE))</f>
        <v>La remobilisation des sédiments est perturbée / Mobilisierung von Geschiebe beeinträchtigt</v>
      </c>
      <c r="F150" s="523" t="str">
        <f>IF(VLOOKUP(A150,'Charriage - Geschiebehaushalt'!$A$4:$AC$275,18,FALSE)="","",VLOOKUP(A150,'Charriage - Geschiebehaushalt'!$A$4:$AC$275,18,FALSE))</f>
        <v>a</v>
      </c>
      <c r="G150" s="524" t="str">
        <f>IF(VLOOKUP(A150,'Charriage - Geschiebehaushalt'!$A$4:$AC$275,22,FALSE)="","",VLOOKUP(A150,'Charriage - Geschiebehaushalt'!$A$4:$AC$275,22,FALSE))</f>
        <v>21-50%</v>
      </c>
      <c r="H150" s="523" t="str">
        <f>IF(VLOOKUP(A150,'Charriage - Geschiebehaushalt'!$A$4:$AC$275,23,FALSE)="","",VLOOKUP(A150,'Charriage - Geschiebehaushalt'!$A$4:$AC$275,23,FALSE))</f>
        <v>a</v>
      </c>
      <c r="I150" s="524" t="str">
        <f>IF(VLOOKUP(A150,'Charriage - Geschiebehaushalt'!$A$4:$AC$275,28,FALSE)="","",VLOOKUP(A150,'Charriage - Geschiebehaushalt'!$A$4:$AC$275,28,FALSE))</f>
        <v>21-50%</v>
      </c>
      <c r="J150" s="403" t="str">
        <f>IF(VLOOKUP(A150,'Charriage - Geschiebehaushalt'!$A$4:$AC$275,29,FALSE)="","",VLOOKUP(A150,'Charriage - Geschiebehaushalt'!$A$4:$AC$275,29,FALSE))</f>
        <v>a</v>
      </c>
      <c r="K150" s="533" t="str">
        <f>IF(VLOOKUP(A150,'Débit - Abfluss'!$A$4:$AD$275,8,FALSE)="","",VLOOKUP(A150,'Débit - Abfluss'!$A$4:$AD$275,8,FALSE))</f>
        <v>41-60%</v>
      </c>
      <c r="L150" s="468" t="str">
        <f>IF(VLOOKUP(A150,'Débit - Abfluss'!$A$4:$AD$275,10,FALSE)="","",VLOOKUP(A150,'Débit - Abfluss'!$A$4:$AD$275,10,FALSE))</f>
        <v>41-60%</v>
      </c>
      <c r="M150" s="333" t="str">
        <f>IF(VLOOKUP(A150,'Débit - Abfluss'!$A$4:$AD$275,17,FALSE)="","",VLOOKUP(A150,'Débit - Abfluss'!$A$4:$AD$275,17,FALSE))</f>
        <v>41-60%</v>
      </c>
      <c r="N150" s="340" t="str">
        <f>IF(VLOOKUP(A150,'Eclusée - Schwall-Sunk'!$A$2:$F$273,6,FALSE)="","",VLOOKUP(A150,'Eclusée - Schwall-Sunk'!$A$2:$F$273,6,FALSE))</f>
        <v>Non affecté / nicht betroffen</v>
      </c>
      <c r="O150" s="537"/>
      <c r="P150" s="538"/>
      <c r="Q150" s="284" t="str">
        <f>IF(VLOOKUP(A150,'Revitalisation-Revitalisierung'!$A$4:$Z$275,13,FALSE)="","",VLOOKUP(A150,'Revitalisation-Revitalisierung'!$A$4:$Z$275,13,FALSE))</f>
        <v>Très nécessaire, difficile / unbedingt nötig, schwierig</v>
      </c>
      <c r="R150" s="541" t="str">
        <f>IF(VLOOKUP(A150,'Revitalisation-Revitalisierung'!$A$4:$Z$275,14,FALSE)="","",VLOOKUP(A150,'Revitalisation-Revitalisierung'!$A$4:$Z$275,14,FALSE))</f>
        <v>a</v>
      </c>
      <c r="S150" s="542" t="str">
        <f>IF(VLOOKUP(A150,'Revitalisation-Revitalisierung'!$A$4:$Z$275,19,FALSE)="","",VLOOKUP(A150,'Revitalisation-Revitalisierung'!$A$4:$Z$275,19,FALSE))</f>
        <v>Partiellement nécessaire, difficile / teilweise nötig, schwierig</v>
      </c>
      <c r="T150" s="541" t="str">
        <f>IF(VLOOKUP(A150,'Revitalisation-Revitalisierung'!$A$4:$Z$275,20,FALSE)="","",VLOOKUP(A150,'Revitalisation-Revitalisierung'!$A$4:$Z$275,20,FALSE))</f>
        <v>e</v>
      </c>
      <c r="U150" s="542" t="str">
        <f>IF(VLOOKUP(A150,'Revitalisation-Revitalisierung'!$A$4:$Z$275,25,FALSE)="","",VLOOKUP(A150,'Revitalisation-Revitalisierung'!$A$4:$Z$275,25,FALSE))</f>
        <v>Partiellement nécessaire, difficile / teilweise nötig, schwierig</v>
      </c>
      <c r="V150" s="406" t="str">
        <f>IF(VLOOKUP(A150,'Revitalisation-Revitalisierung'!$A$4:$Z$275,26,FALSE)="","",VLOOKUP(A150,'Revitalisation-Revitalisierung'!$A$4:$Z$275,26,FALSE))</f>
        <v>e</v>
      </c>
      <c r="Y150" s="529" t="str">
        <f t="shared" si="8"/>
        <v>21-50%</v>
      </c>
      <c r="Z150" s="568" t="str">
        <f t="shared" si="9"/>
        <v>a</v>
      </c>
      <c r="AA150" s="327" t="str">
        <f t="shared" si="10"/>
        <v>41-60%</v>
      </c>
      <c r="AB150" s="327" t="str">
        <f t="shared" si="11"/>
        <v>Non affecté / nicht betroffen</v>
      </c>
      <c r="AC150" s="276" t="str">
        <f t="shared" si="12"/>
        <v>Partiellement nécessaire, difficile / teilweise nötig, schwierig</v>
      </c>
      <c r="AD150" s="570" t="str">
        <f t="shared" si="13"/>
        <v>e</v>
      </c>
      <c r="AE150" t="s">
        <v>1903</v>
      </c>
      <c r="AF150">
        <v>1</v>
      </c>
    </row>
    <row r="151" spans="1:32" ht="16.5" customHeight="1" x14ac:dyDescent="0.25">
      <c r="A151" s="926">
        <v>147</v>
      </c>
      <c r="B151" s="400" t="s">
        <v>485</v>
      </c>
      <c r="C151" s="400" t="s">
        <v>484</v>
      </c>
      <c r="D151" s="401" t="s">
        <v>482</v>
      </c>
      <c r="E151" s="522" t="str">
        <f>IF(VLOOKUP(A151,'Charriage - Geschiebehaushalt'!$A$4:$AC$275,17,FALSE)="","",VLOOKUP(A151,'Charriage - Geschiebehaushalt'!$A$4:$AC$275,17,FALSE))</f>
        <v>Déficit non apparent en charriage ou en remobilisation des sédiments / kein sichtbares Defizit beim Geschiebehaushalt bzw. bei der Mobilisierung von Geschiebe</v>
      </c>
      <c r="F151" s="523" t="str">
        <f>IF(VLOOKUP(A151,'Charriage - Geschiebehaushalt'!$A$4:$AC$275,18,FALSE)="","",VLOOKUP(A151,'Charriage - Geschiebehaushalt'!$A$4:$AC$275,18,FALSE))</f>
        <v>b</v>
      </c>
      <c r="G151" s="524" t="str">
        <f>IF(VLOOKUP(A151,'Charriage - Geschiebehaushalt'!$A$4:$AC$275,22,FALSE)="","",VLOOKUP(A151,'Charriage - Geschiebehaushalt'!$A$4:$AC$275,22,FALSE))</f>
        <v>0-20%</v>
      </c>
      <c r="H151" s="523" t="str">
        <f>IF(VLOOKUP(A151,'Charriage - Geschiebehaushalt'!$A$4:$AC$275,23,FALSE)="","",VLOOKUP(A151,'Charriage - Geschiebehaushalt'!$A$4:$AC$275,23,FALSE))</f>
        <v>d</v>
      </c>
      <c r="I151" s="524" t="str">
        <f>IF(VLOOKUP(A151,'Charriage - Geschiebehaushalt'!$A$4:$AC$275,28,FALSE)="","",VLOOKUP(A151,'Charriage - Geschiebehaushalt'!$A$4:$AC$275,28,FALSE))</f>
        <v>0-20%</v>
      </c>
      <c r="J151" s="403" t="str">
        <f>IF(VLOOKUP(A151,'Charriage - Geschiebehaushalt'!$A$4:$AC$275,29,FALSE)="","",VLOOKUP(A151,'Charriage - Geschiebehaushalt'!$A$4:$AC$275,29,FALSE))</f>
        <v>d</v>
      </c>
      <c r="K151" s="533" t="str">
        <f>IF(VLOOKUP(A151,'Débit - Abfluss'!$A$4:$AD$275,8,FALSE)="","",VLOOKUP(A151,'Débit - Abfluss'!$A$4:$AD$275,8,FALSE))</f>
        <v>41-60%</v>
      </c>
      <c r="L151" s="468" t="str">
        <f>IF(VLOOKUP(A151,'Débit - Abfluss'!$A$4:$AD$275,10,FALSE)="","",VLOOKUP(A151,'Débit - Abfluss'!$A$4:$AD$275,10,FALSE))</f>
        <v>41-60%</v>
      </c>
      <c r="M151" s="333" t="str">
        <f>IF(VLOOKUP(A151,'Débit - Abfluss'!$A$4:$AD$275,17,FALSE)="","",VLOOKUP(A151,'Débit - Abfluss'!$A$4:$AD$275,17,FALSE))</f>
        <v>41-60%</v>
      </c>
      <c r="N151" s="340" t="str">
        <f>IF(VLOOKUP(A151,'Eclusée - Schwall-Sunk'!$A$2:$F$273,6,FALSE)="","",VLOOKUP(A151,'Eclusée - Schwall-Sunk'!$A$2:$F$273,6,FALSE))</f>
        <v>Non affecté / nicht betroffen</v>
      </c>
      <c r="O151" s="537"/>
      <c r="P151" s="538"/>
      <c r="Q151" s="284" t="str">
        <f>IF(VLOOKUP(A151,'Revitalisation-Revitalisierung'!$A$4:$Z$275,13,FALSE)="","",VLOOKUP(A151,'Revitalisation-Revitalisierung'!$A$4:$Z$275,13,FALSE))</f>
        <v>Non nécessaire / nicht nötig</v>
      </c>
      <c r="R151" s="541" t="str">
        <f>IF(VLOOKUP(A151,'Revitalisation-Revitalisierung'!$A$4:$Z$275,14,FALSE)="","",VLOOKUP(A151,'Revitalisation-Revitalisierung'!$A$4:$Z$275,14,FALSE))</f>
        <v>a</v>
      </c>
      <c r="S151" s="542" t="str">
        <f>IF(VLOOKUP(A151,'Revitalisation-Revitalisierung'!$A$4:$Z$275,19,FALSE)="","",VLOOKUP(A151,'Revitalisation-Revitalisierung'!$A$4:$Z$275,19,FALSE))</f>
        <v>Non nécessaire / nicht nötig</v>
      </c>
      <c r="T151" s="541" t="str">
        <f>IF(VLOOKUP(A151,'Revitalisation-Revitalisierung'!$A$4:$Z$275,20,FALSE)="","",VLOOKUP(A151,'Revitalisation-Revitalisierung'!$A$4:$Z$275,20,FALSE))</f>
        <v>d</v>
      </c>
      <c r="U151" s="542" t="str">
        <f>IF(VLOOKUP(A151,'Revitalisation-Revitalisierung'!$A$4:$Z$275,25,FALSE)="","",VLOOKUP(A151,'Revitalisation-Revitalisierung'!$A$4:$Z$275,25,FALSE))</f>
        <v>Non nécessaire / nicht nötig</v>
      </c>
      <c r="V151" s="406" t="str">
        <f>IF(VLOOKUP(A151,'Revitalisation-Revitalisierung'!$A$4:$Z$275,26,FALSE)="","",VLOOKUP(A151,'Revitalisation-Revitalisierung'!$A$4:$Z$275,26,FALSE))</f>
        <v>d</v>
      </c>
      <c r="Y151" s="529" t="str">
        <f t="shared" si="8"/>
        <v>0-20%</v>
      </c>
      <c r="Z151" s="568" t="str">
        <f t="shared" si="9"/>
        <v>d</v>
      </c>
      <c r="AA151" s="327" t="str">
        <f t="shared" si="10"/>
        <v>41-60%</v>
      </c>
      <c r="AB151" s="327" t="str">
        <f t="shared" si="11"/>
        <v>Non affecté / nicht betroffen</v>
      </c>
      <c r="AC151" s="276" t="str">
        <f t="shared" si="12"/>
        <v>Non nécessaire / nicht nötig</v>
      </c>
      <c r="AD151" s="570" t="str">
        <f t="shared" si="13"/>
        <v>d</v>
      </c>
      <c r="AE151">
        <v>3</v>
      </c>
      <c r="AF151">
        <v>1</v>
      </c>
    </row>
    <row r="152" spans="1:32" ht="16.5" customHeight="1" x14ac:dyDescent="0.25">
      <c r="A152" s="926">
        <v>148</v>
      </c>
      <c r="B152" s="400" t="s">
        <v>486</v>
      </c>
      <c r="C152" s="400" t="s">
        <v>484</v>
      </c>
      <c r="D152" s="401" t="s">
        <v>482</v>
      </c>
      <c r="E152" s="522" t="str">
        <f>IF(VLOOKUP(A152,'Charriage - Geschiebehaushalt'!$A$4:$AC$275,17,FALSE)="","",VLOOKUP(A152,'Charriage - Geschiebehaushalt'!$A$4:$AC$275,17,FALSE))</f>
        <v>La remobilisation des sédiments est perturbée / Mobilisierung von Geschiebe beeinträchtigt</v>
      </c>
      <c r="F152" s="523" t="str">
        <f>IF(VLOOKUP(A152,'Charriage - Geschiebehaushalt'!$A$4:$AC$275,18,FALSE)="","",VLOOKUP(A152,'Charriage - Geschiebehaushalt'!$A$4:$AC$275,18,FALSE))</f>
        <v>a</v>
      </c>
      <c r="G152" s="524" t="str">
        <f>IF(VLOOKUP(A152,'Charriage - Geschiebehaushalt'!$A$4:$AC$275,22,FALSE)="","",VLOOKUP(A152,'Charriage - Geschiebehaushalt'!$A$4:$AC$275,22,FALSE))</f>
        <v>21-50%</v>
      </c>
      <c r="H152" s="523" t="str">
        <f>IF(VLOOKUP(A152,'Charriage - Geschiebehaushalt'!$A$4:$AC$275,23,FALSE)="","",VLOOKUP(A152,'Charriage - Geschiebehaushalt'!$A$4:$AC$275,23,FALSE))</f>
        <v>a</v>
      </c>
      <c r="I152" s="524" t="str">
        <f>IF(VLOOKUP(A152,'Charriage - Geschiebehaushalt'!$A$4:$AC$275,28,FALSE)="","",VLOOKUP(A152,'Charriage - Geschiebehaushalt'!$A$4:$AC$275,28,FALSE))</f>
        <v>21-50%</v>
      </c>
      <c r="J152" s="403" t="str">
        <f>IF(VLOOKUP(A152,'Charriage - Geschiebehaushalt'!$A$4:$AC$275,29,FALSE)="","",VLOOKUP(A152,'Charriage - Geschiebehaushalt'!$A$4:$AC$275,29,FALSE))</f>
        <v>a</v>
      </c>
      <c r="K152" s="533" t="str">
        <f>IF(VLOOKUP(A152,'Débit - Abfluss'!$A$4:$AD$275,8,FALSE)="","",VLOOKUP(A152,'Débit - Abfluss'!$A$4:$AD$275,8,FALSE))</f>
        <v>61-80%</v>
      </c>
      <c r="L152" s="468" t="str">
        <f>IF(VLOOKUP(A152,'Débit - Abfluss'!$A$4:$AD$275,10,FALSE)="","",VLOOKUP(A152,'Débit - Abfluss'!$A$4:$AD$275,10,FALSE))</f>
        <v>61-80%</v>
      </c>
      <c r="M152" s="333" t="str">
        <f>IF(VLOOKUP(A152,'Débit - Abfluss'!$A$4:$AD$275,17,FALSE)="","",VLOOKUP(A152,'Débit - Abfluss'!$A$4:$AD$275,17,FALSE))</f>
        <v>61-80%</v>
      </c>
      <c r="N152" s="340" t="str">
        <f>IF(VLOOKUP(A152,'Eclusée - Schwall-Sunk'!$A$2:$F$273,6,FALSE)="","",VLOOKUP(A152,'Eclusée - Schwall-Sunk'!$A$2:$F$273,6,FALSE))</f>
        <v>Non affecté / nicht betroffen</v>
      </c>
      <c r="O152" s="537"/>
      <c r="P152" s="538"/>
      <c r="Q152" s="284" t="str">
        <f>IF(VLOOKUP(A152,'Revitalisation-Revitalisierung'!$A$4:$Z$275,13,FALSE)="","",VLOOKUP(A152,'Revitalisation-Revitalisierung'!$A$4:$Z$275,13,FALSE))</f>
        <v>Très nécessaire, facile / unbedingt nötig, einfach</v>
      </c>
      <c r="R152" s="541" t="str">
        <f>IF(VLOOKUP(A152,'Revitalisation-Revitalisierung'!$A$4:$Z$275,14,FALSE)="","",VLOOKUP(A152,'Revitalisation-Revitalisierung'!$A$4:$Z$275,14,FALSE))</f>
        <v>a</v>
      </c>
      <c r="S152" s="542" t="str">
        <f>IF(VLOOKUP(A152,'Revitalisation-Revitalisierung'!$A$4:$Z$275,19,FALSE)="","",VLOOKUP(A152,'Revitalisation-Revitalisierung'!$A$4:$Z$275,19,FALSE))</f>
        <v>Très nécessaire, difficile / unbedingt nötig, schwierig</v>
      </c>
      <c r="T152" s="541" t="str">
        <f>IF(VLOOKUP(A152,'Revitalisation-Revitalisierung'!$A$4:$Z$275,20,FALSE)="","",VLOOKUP(A152,'Revitalisation-Revitalisierung'!$A$4:$Z$275,20,FALSE))</f>
        <v>e</v>
      </c>
      <c r="U152" s="542" t="str">
        <f>IF(VLOOKUP(A152,'Revitalisation-Revitalisierung'!$A$4:$Z$275,25,FALSE)="","",VLOOKUP(A152,'Revitalisation-Revitalisierung'!$A$4:$Z$275,25,FALSE))</f>
        <v>Très nécessaire, difficile / unbedingt nötig, schwierig</v>
      </c>
      <c r="V152" s="406" t="str">
        <f>IF(VLOOKUP(A152,'Revitalisation-Revitalisierung'!$A$4:$Z$275,26,FALSE)="","",VLOOKUP(A152,'Revitalisation-Revitalisierung'!$A$4:$Z$275,26,FALSE))</f>
        <v>e</v>
      </c>
      <c r="Y152" s="529" t="str">
        <f t="shared" si="8"/>
        <v>21-50%</v>
      </c>
      <c r="Z152" s="568" t="str">
        <f t="shared" si="9"/>
        <v>a</v>
      </c>
      <c r="AA152" s="327" t="str">
        <f t="shared" si="10"/>
        <v>61-80%</v>
      </c>
      <c r="AB152" s="327" t="str">
        <f t="shared" si="11"/>
        <v>Non affecté / nicht betroffen</v>
      </c>
      <c r="AC152" s="276" t="str">
        <f t="shared" si="12"/>
        <v>Très nécessaire, difficile / unbedingt nötig, schwierig</v>
      </c>
      <c r="AD152" s="570" t="str">
        <f t="shared" si="13"/>
        <v>e</v>
      </c>
      <c r="AE152">
        <v>2</v>
      </c>
      <c r="AF152">
        <v>1</v>
      </c>
    </row>
    <row r="153" spans="1:32" ht="16.5" customHeight="1" x14ac:dyDescent="0.25">
      <c r="A153" s="926">
        <v>149</v>
      </c>
      <c r="B153" s="400" t="s">
        <v>487</v>
      </c>
      <c r="C153" s="400" t="s">
        <v>484</v>
      </c>
      <c r="D153" s="401" t="s">
        <v>482</v>
      </c>
      <c r="E153" s="522" t="str">
        <f>IF(VLOOKUP(A153,'Charriage - Geschiebehaushalt'!$A$4:$AC$275,17,FALSE)="","",VLOOKUP(A153,'Charriage - Geschiebehaushalt'!$A$4:$AC$275,17,FALSE))</f>
        <v>Déficit non apparent en charriage ou en remobilisation des sédiments / kein sichtbares Defizit beim Geschiebehaushalt bzw. bei der Mobilisierung von Geschiebe</v>
      </c>
      <c r="F153" s="523" t="str">
        <f>IF(VLOOKUP(A153,'Charriage - Geschiebehaushalt'!$A$4:$AC$275,18,FALSE)="","",VLOOKUP(A153,'Charriage - Geschiebehaushalt'!$A$4:$AC$275,18,FALSE))</f>
        <v>b</v>
      </c>
      <c r="G153" s="524" t="str">
        <f>IF(VLOOKUP(A153,'Charriage - Geschiebehaushalt'!$A$4:$AC$275,22,FALSE)="","",VLOOKUP(A153,'Charriage - Geschiebehaushalt'!$A$4:$AC$275,22,FALSE))</f>
        <v>0-20%</v>
      </c>
      <c r="H153" s="523" t="str">
        <f>IF(VLOOKUP(A153,'Charriage - Geschiebehaushalt'!$A$4:$AC$275,23,FALSE)="","",VLOOKUP(A153,'Charriage - Geschiebehaushalt'!$A$4:$AC$275,23,FALSE))</f>
        <v>d</v>
      </c>
      <c r="I153" s="524" t="str">
        <f>IF(VLOOKUP(A153,'Charriage - Geschiebehaushalt'!$A$4:$AC$275,28,FALSE)="","",VLOOKUP(A153,'Charriage - Geschiebehaushalt'!$A$4:$AC$275,28,FALSE))</f>
        <v>0-20%</v>
      </c>
      <c r="J153" s="403" t="str">
        <f>IF(VLOOKUP(A153,'Charriage - Geschiebehaushalt'!$A$4:$AC$275,29,FALSE)="","",VLOOKUP(A153,'Charriage - Geschiebehaushalt'!$A$4:$AC$275,29,FALSE))</f>
        <v>d</v>
      </c>
      <c r="K153" s="533" t="str">
        <f>IF(VLOOKUP(A153,'Débit - Abfluss'!$A$4:$AD$275,8,FALSE)="","",VLOOKUP(A153,'Débit - Abfluss'!$A$4:$AD$275,8,FALSE))</f>
        <v>61-80%</v>
      </c>
      <c r="L153" s="468" t="str">
        <f>IF(VLOOKUP(A153,'Débit - Abfluss'!$A$4:$AD$275,10,FALSE)="","",VLOOKUP(A153,'Débit - Abfluss'!$A$4:$AD$275,10,FALSE))</f>
        <v>61-80%</v>
      </c>
      <c r="M153" s="333" t="str">
        <f>IF(VLOOKUP(A153,'Débit - Abfluss'!$A$4:$AD$275,17,FALSE)="","",VLOOKUP(A153,'Débit - Abfluss'!$A$4:$AD$275,17,FALSE))</f>
        <v>61-80%</v>
      </c>
      <c r="N153" s="340" t="str">
        <f>IF(VLOOKUP(A153,'Eclusée - Schwall-Sunk'!$A$2:$F$273,6,FALSE)="","",VLOOKUP(A153,'Eclusée - Schwall-Sunk'!$A$2:$F$273,6,FALSE))</f>
        <v>Non affecté / nicht betroffen</v>
      </c>
      <c r="O153" s="537"/>
      <c r="P153" s="538"/>
      <c r="Q153" s="284" t="str">
        <f>IF(VLOOKUP(A153,'Revitalisation-Revitalisierung'!$A$4:$Z$275,13,FALSE)="","",VLOOKUP(A153,'Revitalisation-Revitalisierung'!$A$4:$Z$275,13,FALSE))</f>
        <v>Non nécessaire / nicht nötig</v>
      </c>
      <c r="R153" s="541" t="str">
        <f>IF(VLOOKUP(A153,'Revitalisation-Revitalisierung'!$A$4:$Z$275,14,FALSE)="","",VLOOKUP(A153,'Revitalisation-Revitalisierung'!$A$4:$Z$275,14,FALSE))</f>
        <v>a</v>
      </c>
      <c r="S153" s="542" t="str">
        <f>IF(VLOOKUP(A153,'Revitalisation-Revitalisierung'!$A$4:$Z$275,19,FALSE)="","",VLOOKUP(A153,'Revitalisation-Revitalisierung'!$A$4:$Z$275,19,FALSE))</f>
        <v>Non nécessaire / nicht nötig</v>
      </c>
      <c r="T153" s="541" t="str">
        <f>IF(VLOOKUP(A153,'Revitalisation-Revitalisierung'!$A$4:$Z$275,20,FALSE)="","",VLOOKUP(A153,'Revitalisation-Revitalisierung'!$A$4:$Z$275,20,FALSE))</f>
        <v>d</v>
      </c>
      <c r="U153" s="542" t="str">
        <f>IF(VLOOKUP(A153,'Revitalisation-Revitalisierung'!$A$4:$Z$275,25,FALSE)="","",VLOOKUP(A153,'Revitalisation-Revitalisierung'!$A$4:$Z$275,25,FALSE))</f>
        <v>Non nécessaire / nicht nötig</v>
      </c>
      <c r="V153" s="406" t="str">
        <f>IF(VLOOKUP(A153,'Revitalisation-Revitalisierung'!$A$4:$Z$275,26,FALSE)="","",VLOOKUP(A153,'Revitalisation-Revitalisierung'!$A$4:$Z$275,26,FALSE))</f>
        <v>d</v>
      </c>
      <c r="Y153" s="529" t="str">
        <f t="shared" si="8"/>
        <v>0-20%</v>
      </c>
      <c r="Z153" s="568" t="str">
        <f t="shared" si="9"/>
        <v>d</v>
      </c>
      <c r="AA153" s="327" t="str">
        <f t="shared" si="10"/>
        <v>61-80%</v>
      </c>
      <c r="AB153" s="327" t="str">
        <f t="shared" si="11"/>
        <v>Non affecté / nicht betroffen</v>
      </c>
      <c r="AC153" s="276" t="str">
        <f t="shared" si="12"/>
        <v>Non nécessaire / nicht nötig</v>
      </c>
      <c r="AD153" s="570" t="str">
        <f t="shared" si="13"/>
        <v>d</v>
      </c>
      <c r="AE153" t="s">
        <v>1902</v>
      </c>
      <c r="AF153">
        <v>1</v>
      </c>
    </row>
    <row r="154" spans="1:32" ht="16.5" customHeight="1" x14ac:dyDescent="0.25">
      <c r="A154" s="927">
        <v>150.1</v>
      </c>
      <c r="B154" s="400" t="s">
        <v>488</v>
      </c>
      <c r="C154" s="400" t="s">
        <v>489</v>
      </c>
      <c r="D154" s="401" t="s">
        <v>482</v>
      </c>
      <c r="E154" s="522" t="str">
        <f>IF(VLOOKUP(A154,'Charriage - Geschiebehaushalt'!$A$4:$AC$275,17,FALSE)="","",VLOOKUP(A154,'Charriage - Geschiebehaushalt'!$A$4:$AC$275,17,FALSE))</f>
        <v>21-50%</v>
      </c>
      <c r="F154" s="523" t="str">
        <f>IF(VLOOKUP(A154,'Charriage - Geschiebehaushalt'!$A$4:$AC$275,18,FALSE)="","",VLOOKUP(A154,'Charriage - Geschiebehaushalt'!$A$4:$AC$275,18,FALSE))</f>
        <v>a</v>
      </c>
      <c r="G154" s="524" t="str">
        <f>IF(VLOOKUP(A154,'Charriage - Geschiebehaushalt'!$A$4:$AC$275,22,FALSE)="","",VLOOKUP(A154,'Charriage - Geschiebehaushalt'!$A$4:$AC$275,22,FALSE))</f>
        <v>21-50%</v>
      </c>
      <c r="H154" s="523" t="str">
        <f>IF(VLOOKUP(A154,'Charriage - Geschiebehaushalt'!$A$4:$AC$275,23,FALSE)="","",VLOOKUP(A154,'Charriage - Geschiebehaushalt'!$A$4:$AC$275,23,FALSE))</f>
        <v>a</v>
      </c>
      <c r="I154" s="524" t="str">
        <f>IF(VLOOKUP(A154,'Charriage - Geschiebehaushalt'!$A$4:$AC$275,28,FALSE)="","",VLOOKUP(A154,'Charriage - Geschiebehaushalt'!$A$4:$AC$275,28,FALSE))</f>
        <v>21-50%</v>
      </c>
      <c r="J154" s="403" t="str">
        <f>IF(VLOOKUP(A154,'Charriage - Geschiebehaushalt'!$A$4:$AC$275,29,FALSE)="","",VLOOKUP(A154,'Charriage - Geschiebehaushalt'!$A$4:$AC$275,29,FALSE))</f>
        <v>a</v>
      </c>
      <c r="K154" s="533" t="str">
        <f>IF(VLOOKUP(A154,'Débit - Abfluss'!$A$4:$AD$275,8,FALSE)="","",VLOOKUP(A154,'Débit - Abfluss'!$A$4:$AD$275,8,FALSE))</f>
        <v>21-40%</v>
      </c>
      <c r="L154" s="468" t="str">
        <f>IF(VLOOKUP(A154,'Débit - Abfluss'!$A$4:$AD$275,10,FALSE)="","",VLOOKUP(A154,'Débit - Abfluss'!$A$4:$AD$275,10,FALSE))</f>
        <v>21-40%</v>
      </c>
      <c r="M154" s="333" t="str">
        <f>IF(VLOOKUP(A154,'Débit - Abfluss'!$A$4:$AD$275,17,FALSE)="","",VLOOKUP(A154,'Débit - Abfluss'!$A$4:$AD$275,17,FALSE))</f>
        <v>21-40%</v>
      </c>
      <c r="N154" s="340" t="str">
        <f>IF(VLOOKUP(A154,'Eclusée - Schwall-Sunk'!$A$2:$F$273,6,FALSE)="","",VLOOKUP(A154,'Eclusée - Schwall-Sunk'!$A$2:$F$273,6,FALSE))</f>
        <v>Non affecté / nicht betroffen</v>
      </c>
      <c r="O154" s="537"/>
      <c r="P154" s="538"/>
      <c r="Q154" s="284" t="str">
        <f>IF(VLOOKUP(A154,'Revitalisation-Revitalisierung'!$A$4:$Z$275,13,FALSE)="","",VLOOKUP(A154,'Revitalisation-Revitalisierung'!$A$4:$Z$275,13,FALSE))</f>
        <v>Très nécessaire, facile / unbedingt nötig, einfach</v>
      </c>
      <c r="R154" s="541" t="str">
        <f>IF(VLOOKUP(A154,'Revitalisation-Revitalisierung'!$A$4:$Z$275,14,FALSE)="","",VLOOKUP(A154,'Revitalisation-Revitalisierung'!$A$4:$Z$275,14,FALSE))</f>
        <v>a</v>
      </c>
      <c r="S154" s="542" t="str">
        <f>IF(VLOOKUP(A154,'Revitalisation-Revitalisierung'!$A$4:$Z$275,19,FALSE)="","",VLOOKUP(A154,'Revitalisation-Revitalisierung'!$A$4:$Z$275,19,FALSE))</f>
        <v>Très nécessaire, facile / unbedingt nötig, einfach</v>
      </c>
      <c r="T154" s="541" t="str">
        <f>IF(VLOOKUP(A154,'Revitalisation-Revitalisierung'!$A$4:$Z$275,20,FALSE)="","",VLOOKUP(A154,'Revitalisation-Revitalisierung'!$A$4:$Z$275,20,FALSE))</f>
        <v>a</v>
      </c>
      <c r="U154" s="542" t="str">
        <f>IF(VLOOKUP(A154,'Revitalisation-Revitalisierung'!$A$4:$Z$275,25,FALSE)="","",VLOOKUP(A154,'Revitalisation-Revitalisierung'!$A$4:$Z$275,25,FALSE))</f>
        <v>Très nécessaire, facile / unbedingt nötig, einfach</v>
      </c>
      <c r="V154" s="406" t="str">
        <f>IF(VLOOKUP(A154,'Revitalisation-Revitalisierung'!$A$4:$Z$275,26,FALSE)="","",VLOOKUP(A154,'Revitalisation-Revitalisierung'!$A$4:$Z$275,26,FALSE))</f>
        <v>a</v>
      </c>
      <c r="Y154" s="529" t="str">
        <f t="shared" si="8"/>
        <v>21-50%</v>
      </c>
      <c r="Z154" s="568" t="str">
        <f t="shared" si="9"/>
        <v>a</v>
      </c>
      <c r="AA154" s="327" t="str">
        <f t="shared" si="10"/>
        <v>21-40%</v>
      </c>
      <c r="AB154" s="327" t="str">
        <f t="shared" si="11"/>
        <v>Non affecté / nicht betroffen</v>
      </c>
      <c r="AC154" s="276" t="str">
        <f t="shared" si="12"/>
        <v>Très nécessaire, facile / unbedingt nötig, einfach</v>
      </c>
      <c r="AD154" s="570" t="str">
        <f t="shared" si="13"/>
        <v>a</v>
      </c>
      <c r="AE154">
        <v>4</v>
      </c>
      <c r="AF154">
        <v>1</v>
      </c>
    </row>
    <row r="155" spans="1:32" ht="16.5" customHeight="1" x14ac:dyDescent="0.25">
      <c r="A155" s="927">
        <v>150.19999999999999</v>
      </c>
      <c r="B155" s="400" t="s">
        <v>488</v>
      </c>
      <c r="C155" s="400" t="s">
        <v>489</v>
      </c>
      <c r="D155" s="401" t="s">
        <v>482</v>
      </c>
      <c r="E155" s="522" t="str">
        <f>IF(VLOOKUP(A155,'Charriage - Geschiebehaushalt'!$A$4:$AC$275,17,FALSE)="","",VLOOKUP(A155,'Charriage - Geschiebehaushalt'!$A$4:$AC$275,17,FALSE))</f>
        <v>21-50%</v>
      </c>
      <c r="F155" s="523" t="str">
        <f>IF(VLOOKUP(A155,'Charriage - Geschiebehaushalt'!$A$4:$AC$275,18,FALSE)="","",VLOOKUP(A155,'Charriage - Geschiebehaushalt'!$A$4:$AC$275,18,FALSE))</f>
        <v>a</v>
      </c>
      <c r="G155" s="524" t="str">
        <f>IF(VLOOKUP(A155,'Charriage - Geschiebehaushalt'!$A$4:$AC$275,22,FALSE)="","",VLOOKUP(A155,'Charriage - Geschiebehaushalt'!$A$4:$AC$275,22,FALSE))</f>
        <v>21-50%</v>
      </c>
      <c r="H155" s="523" t="str">
        <f>IF(VLOOKUP(A155,'Charriage - Geschiebehaushalt'!$A$4:$AC$275,23,FALSE)="","",VLOOKUP(A155,'Charriage - Geschiebehaushalt'!$A$4:$AC$275,23,FALSE))</f>
        <v>d</v>
      </c>
      <c r="I155" s="524" t="str">
        <f>IF(VLOOKUP(A155,'Charriage - Geschiebehaushalt'!$A$4:$AC$275,28,FALSE)="","",VLOOKUP(A155,'Charriage - Geschiebehaushalt'!$A$4:$AC$275,28,FALSE))</f>
        <v>21-50%</v>
      </c>
      <c r="J155" s="403" t="str">
        <f>IF(VLOOKUP(A155,'Charriage - Geschiebehaushalt'!$A$4:$AC$275,29,FALSE)="","",VLOOKUP(A155,'Charriage - Geschiebehaushalt'!$A$4:$AC$275,29,FALSE))</f>
        <v>d</v>
      </c>
      <c r="K155" s="533" t="str">
        <f>IF(VLOOKUP(A155,'Débit - Abfluss'!$A$4:$AD$275,8,FALSE)="","",VLOOKUP(A155,'Débit - Abfluss'!$A$4:$AD$275,8,FALSE))</f>
        <v>21-40%</v>
      </c>
      <c r="L155" s="468" t="str">
        <f>IF(VLOOKUP(A155,'Débit - Abfluss'!$A$4:$AD$275,10,FALSE)="","",VLOOKUP(A155,'Débit - Abfluss'!$A$4:$AD$275,10,FALSE))</f>
        <v>21-40%</v>
      </c>
      <c r="M155" s="333" t="str">
        <f>IF(VLOOKUP(A155,'Débit - Abfluss'!$A$4:$AD$275,17,FALSE)="","",VLOOKUP(A155,'Débit - Abfluss'!$A$4:$AD$275,17,FALSE))</f>
        <v>21-40%</v>
      </c>
      <c r="N155" s="340" t="str">
        <f>IF(VLOOKUP(A155,'Eclusée - Schwall-Sunk'!$A$2:$F$273,6,FALSE)="","",VLOOKUP(A155,'Eclusée - Schwall-Sunk'!$A$2:$F$273,6,FALSE))</f>
        <v>Non affecté / nicht betroffen</v>
      </c>
      <c r="O155" s="537"/>
      <c r="P155" s="538"/>
      <c r="Q155" s="284" t="str">
        <f>IF(VLOOKUP(A155,'Revitalisation-Revitalisierung'!$A$4:$Z$275,13,FALSE)="","",VLOOKUP(A155,'Revitalisation-Revitalisierung'!$A$4:$Z$275,13,FALSE))</f>
        <v>Partiellement nécessaire, facile / teilweise nötig, einfach</v>
      </c>
      <c r="R155" s="541" t="str">
        <f>IF(VLOOKUP(A155,'Revitalisation-Revitalisierung'!$A$4:$Z$275,14,FALSE)="","",VLOOKUP(A155,'Revitalisation-Revitalisierung'!$A$4:$Z$275,14,FALSE))</f>
        <v>a</v>
      </c>
      <c r="S155" s="542" t="str">
        <f>IF(VLOOKUP(A155,'Revitalisation-Revitalisierung'!$A$4:$Z$275,19,FALSE)="","",VLOOKUP(A155,'Revitalisation-Revitalisierung'!$A$4:$Z$275,19,FALSE))</f>
        <v>Partiellement nécessaire, facile / teilweise nötig, einfach</v>
      </c>
      <c r="T155" s="541" t="str">
        <f>IF(VLOOKUP(A155,'Revitalisation-Revitalisierung'!$A$4:$Z$275,20,FALSE)="","",VLOOKUP(A155,'Revitalisation-Revitalisierung'!$A$4:$Z$275,20,FALSE))</f>
        <v>d</v>
      </c>
      <c r="U155" s="542" t="str">
        <f>IF(VLOOKUP(A155,'Revitalisation-Revitalisierung'!$A$4:$Z$275,25,FALSE)="","",VLOOKUP(A155,'Revitalisation-Revitalisierung'!$A$4:$Z$275,25,FALSE))</f>
        <v>Partiellement nécessaire, facile / teilweise nötig, einfach</v>
      </c>
      <c r="V155" s="406" t="str">
        <f>IF(VLOOKUP(A155,'Revitalisation-Revitalisierung'!$A$4:$Z$275,26,FALSE)="","",VLOOKUP(A155,'Revitalisation-Revitalisierung'!$A$4:$Z$275,26,FALSE))</f>
        <v>d</v>
      </c>
      <c r="Y155" s="529" t="str">
        <f t="shared" si="8"/>
        <v>21-50%</v>
      </c>
      <c r="Z155" s="568" t="str">
        <f t="shared" si="9"/>
        <v>d</v>
      </c>
      <c r="AA155" s="327" t="str">
        <f t="shared" si="10"/>
        <v>21-40%</v>
      </c>
      <c r="AB155" s="327" t="str">
        <f t="shared" si="11"/>
        <v>Non affecté / nicht betroffen</v>
      </c>
      <c r="AC155" s="276" t="str">
        <f t="shared" si="12"/>
        <v>Partiellement nécessaire, facile / teilweise nötig, einfach</v>
      </c>
      <c r="AD155" s="570" t="str">
        <f t="shared" si="13"/>
        <v>d</v>
      </c>
      <c r="AE155">
        <v>4</v>
      </c>
      <c r="AF155">
        <v>1</v>
      </c>
    </row>
    <row r="156" spans="1:32" ht="16.5" customHeight="1" x14ac:dyDescent="0.25">
      <c r="A156" s="928">
        <v>151</v>
      </c>
      <c r="B156" s="400" t="s">
        <v>490</v>
      </c>
      <c r="C156" s="400" t="s">
        <v>489</v>
      </c>
      <c r="D156" s="401" t="s">
        <v>482</v>
      </c>
      <c r="E156" s="522" t="str">
        <f>IF(VLOOKUP(A156,'Charriage - Geschiebehaushalt'!$A$4:$AC$275,17,FALSE)="","",VLOOKUP(A156,'Charriage - Geschiebehaushalt'!$A$4:$AC$275,17,FALSE))</f>
        <v>21-50%</v>
      </c>
      <c r="F156" s="523" t="str">
        <f>IF(VLOOKUP(A156,'Charriage - Geschiebehaushalt'!$A$4:$AC$275,18,FALSE)="","",VLOOKUP(A156,'Charriage - Geschiebehaushalt'!$A$4:$AC$275,18,FALSE))</f>
        <v>a</v>
      </c>
      <c r="G156" s="524" t="str">
        <f>IF(VLOOKUP(A156,'Charriage - Geschiebehaushalt'!$A$4:$AC$275,22,FALSE)="","",VLOOKUP(A156,'Charriage - Geschiebehaushalt'!$A$4:$AC$275,22,FALSE))</f>
        <v>21-50%</v>
      </c>
      <c r="H156" s="523" t="str">
        <f>IF(VLOOKUP(A156,'Charriage - Geschiebehaushalt'!$A$4:$AC$275,23,FALSE)="","",VLOOKUP(A156,'Charriage - Geschiebehaushalt'!$A$4:$AC$275,23,FALSE))</f>
        <v>d</v>
      </c>
      <c r="I156" s="524" t="str">
        <f>IF(VLOOKUP(A156,'Charriage - Geschiebehaushalt'!$A$4:$AC$275,28,FALSE)="","",VLOOKUP(A156,'Charriage - Geschiebehaushalt'!$A$4:$AC$275,28,FALSE))</f>
        <v>21-50%</v>
      </c>
      <c r="J156" s="403" t="str">
        <f>IF(VLOOKUP(A156,'Charriage - Geschiebehaushalt'!$A$4:$AC$275,29,FALSE)="","",VLOOKUP(A156,'Charriage - Geschiebehaushalt'!$A$4:$AC$275,29,FALSE))</f>
        <v>d</v>
      </c>
      <c r="K156" s="533" t="str">
        <f>IF(VLOOKUP(A156,'Débit - Abfluss'!$A$4:$AD$275,8,FALSE)="","",VLOOKUP(A156,'Débit - Abfluss'!$A$4:$AD$275,8,FALSE))</f>
        <v>0-20%</v>
      </c>
      <c r="L156" s="468" t="str">
        <f>IF(VLOOKUP(A156,'Débit - Abfluss'!$A$4:$AD$275,10,FALSE)="","",VLOOKUP(A156,'Débit - Abfluss'!$A$4:$AD$275,10,FALSE))</f>
        <v>0-20%</v>
      </c>
      <c r="M156" s="333" t="str">
        <f>IF(VLOOKUP(A156,'Débit - Abfluss'!$A$4:$AD$275,17,FALSE)="","",VLOOKUP(A156,'Débit - Abfluss'!$A$4:$AD$275,17,FALSE))</f>
        <v>0-20%</v>
      </c>
      <c r="N156" s="340" t="str">
        <f>IF(VLOOKUP(A156,'Eclusée - Schwall-Sunk'!$A$2:$F$273,6,FALSE)="","",VLOOKUP(A156,'Eclusée - Schwall-Sunk'!$A$2:$F$273,6,FALSE))</f>
        <v>Non affecté / nicht betroffen</v>
      </c>
      <c r="O156" s="537"/>
      <c r="P156" s="538"/>
      <c r="Q156" s="284" t="str">
        <f>IF(VLOOKUP(A156,'Revitalisation-Revitalisierung'!$A$4:$Z$275,13,FALSE)="","",VLOOKUP(A156,'Revitalisation-Revitalisierung'!$A$4:$Z$275,13,FALSE))</f>
        <v>Partiellement nécessaire, difficile / teilweise nötig, schwierig</v>
      </c>
      <c r="R156" s="541" t="str">
        <f>IF(VLOOKUP(A156,'Revitalisation-Revitalisierung'!$A$4:$Z$275,14,FALSE)="","",VLOOKUP(A156,'Revitalisation-Revitalisierung'!$A$4:$Z$275,14,FALSE))</f>
        <v>a</v>
      </c>
      <c r="S156" s="542" t="str">
        <f>IF(VLOOKUP(A156,'Revitalisation-Revitalisierung'!$A$4:$Z$275,19,FALSE)="","",VLOOKUP(A156,'Revitalisation-Revitalisierung'!$A$4:$Z$275,19,FALSE))</f>
        <v>Partiellement nécessaire, difficile / teilweise nötig, schwierig</v>
      </c>
      <c r="T156" s="541" t="str">
        <f>IF(VLOOKUP(A156,'Revitalisation-Revitalisierung'!$A$4:$Z$275,20,FALSE)="","",VLOOKUP(A156,'Revitalisation-Revitalisierung'!$A$4:$Z$275,20,FALSE))</f>
        <v>d</v>
      </c>
      <c r="U156" s="542" t="str">
        <f>IF(VLOOKUP(A156,'Revitalisation-Revitalisierung'!$A$4:$Z$275,25,FALSE)="","",VLOOKUP(A156,'Revitalisation-Revitalisierung'!$A$4:$Z$275,25,FALSE))</f>
        <v>Partiellement nécessaire, difficile / teilweise nötig, schwierig</v>
      </c>
      <c r="V156" s="406" t="str">
        <f>IF(VLOOKUP(A156,'Revitalisation-Revitalisierung'!$A$4:$Z$275,26,FALSE)="","",VLOOKUP(A156,'Revitalisation-Revitalisierung'!$A$4:$Z$275,26,FALSE))</f>
        <v>d</v>
      </c>
      <c r="Y156" s="529" t="str">
        <f t="shared" si="8"/>
        <v>21-50%</v>
      </c>
      <c r="Z156" s="568" t="str">
        <f t="shared" si="9"/>
        <v>d</v>
      </c>
      <c r="AA156" s="327" t="str">
        <f t="shared" si="10"/>
        <v>0-20%</v>
      </c>
      <c r="AB156" s="327" t="str">
        <f t="shared" si="11"/>
        <v>Non affecté / nicht betroffen</v>
      </c>
      <c r="AC156" s="276" t="str">
        <f t="shared" si="12"/>
        <v>Partiellement nécessaire, difficile / teilweise nötig, schwierig</v>
      </c>
      <c r="AD156" s="570" t="str">
        <f t="shared" si="13"/>
        <v>d</v>
      </c>
      <c r="AE156" t="s">
        <v>1903</v>
      </c>
      <c r="AF156">
        <v>1</v>
      </c>
    </row>
    <row r="157" spans="1:32" ht="16.5" customHeight="1" x14ac:dyDescent="0.25">
      <c r="A157" s="926">
        <v>155</v>
      </c>
      <c r="B157" s="400" t="s">
        <v>491</v>
      </c>
      <c r="C157" s="400" t="s">
        <v>492</v>
      </c>
      <c r="D157" s="401" t="s">
        <v>482</v>
      </c>
      <c r="E157" s="522" t="str">
        <f>IF(VLOOKUP(A157,'Charriage - Geschiebehaushalt'!$A$4:$AC$275,17,FALSE)="","",VLOOKUP(A157,'Charriage - Geschiebehaushalt'!$A$4:$AC$275,17,FALSE))</f>
        <v>Déficit non apparent en charriage ou en remobilisation des sédiments / kein sichtbares Defizit beim Geschiebehaushalt bzw. bei der Mobilisierung von Geschiebe</v>
      </c>
      <c r="F157" s="523" t="str">
        <f>IF(VLOOKUP(A157,'Charriage - Geschiebehaushalt'!$A$4:$AC$275,18,FALSE)="","",VLOOKUP(A157,'Charriage - Geschiebehaushalt'!$A$4:$AC$275,18,FALSE))</f>
        <v>b</v>
      </c>
      <c r="G157" s="524" t="str">
        <f>IF(VLOOKUP(A157,'Charriage - Geschiebehaushalt'!$A$4:$AC$275,22,FALSE)="","",VLOOKUP(A157,'Charriage - Geschiebehaushalt'!$A$4:$AC$275,22,FALSE))</f>
        <v>21-50%</v>
      </c>
      <c r="H157" s="523" t="str">
        <f>IF(VLOOKUP(A157,'Charriage - Geschiebehaushalt'!$A$4:$AC$275,23,FALSE)="","",VLOOKUP(A157,'Charriage - Geschiebehaushalt'!$A$4:$AC$275,23,FALSE))</f>
        <v>c</v>
      </c>
      <c r="I157" s="524" t="str">
        <f>IF(VLOOKUP(A157,'Charriage - Geschiebehaushalt'!$A$4:$AC$275,28,FALSE)="","",VLOOKUP(A157,'Charriage - Geschiebehaushalt'!$A$4:$AC$275,28,FALSE))</f>
        <v>21-50%</v>
      </c>
      <c r="J157" s="403" t="str">
        <f>IF(VLOOKUP(A157,'Charriage - Geschiebehaushalt'!$A$4:$AC$275,29,FALSE)="","",VLOOKUP(A157,'Charriage - Geschiebehaushalt'!$A$4:$AC$275,29,FALSE))</f>
        <v>c</v>
      </c>
      <c r="K157" s="533" t="str">
        <f>IF(VLOOKUP(A157,'Débit - Abfluss'!$A$4:$AD$275,8,FALSE)="","",VLOOKUP(A157,'Débit - Abfluss'!$A$4:$AD$275,8,FALSE))</f>
        <v>0-20%</v>
      </c>
      <c r="L157" s="468" t="str">
        <f>IF(VLOOKUP(A157,'Débit - Abfluss'!$A$4:$AD$275,10,FALSE)="","",VLOOKUP(A157,'Débit - Abfluss'!$A$4:$AD$275,10,FALSE))</f>
        <v>0-20%</v>
      </c>
      <c r="M157" s="333" t="str">
        <f>IF(VLOOKUP(A157,'Débit - Abfluss'!$A$4:$AD$275,17,FALSE)="","",VLOOKUP(A157,'Débit - Abfluss'!$A$4:$AD$275,17,FALSE))</f>
        <v>0-20%</v>
      </c>
      <c r="N157" s="340" t="str">
        <f>IF(VLOOKUP(A157,'Eclusée - Schwall-Sunk'!$A$2:$F$273,6,FALSE)="","",VLOOKUP(A157,'Eclusée - Schwall-Sunk'!$A$2:$F$273,6,FALSE))</f>
        <v>Non affecté / nicht betroffen</v>
      </c>
      <c r="O157" s="537"/>
      <c r="P157" s="538"/>
      <c r="Q157" s="284" t="str">
        <f>IF(VLOOKUP(A157,'Revitalisation-Revitalisierung'!$A$4:$Z$275,13,FALSE)="","",VLOOKUP(A157,'Revitalisation-Revitalisierung'!$A$4:$Z$275,13,FALSE))</f>
        <v>Non nécessaire / nicht nötig</v>
      </c>
      <c r="R157" s="541" t="str">
        <f>IF(VLOOKUP(A157,'Revitalisation-Revitalisierung'!$A$4:$Z$275,14,FALSE)="","",VLOOKUP(A157,'Revitalisation-Revitalisierung'!$A$4:$Z$275,14,FALSE))</f>
        <v>a</v>
      </c>
      <c r="S157" s="542" t="str">
        <f>IF(VLOOKUP(A157,'Revitalisation-Revitalisierung'!$A$4:$Z$275,19,FALSE)="","",VLOOKUP(A157,'Revitalisation-Revitalisierung'!$A$4:$Z$275,19,FALSE))</f>
        <v>Partiellement nécessaire, facile / teilweise nötig, einfach</v>
      </c>
      <c r="T157" s="541" t="str">
        <f>IF(VLOOKUP(A157,'Revitalisation-Revitalisierung'!$A$4:$Z$275,20,FALSE)="","",VLOOKUP(A157,'Revitalisation-Revitalisierung'!$A$4:$Z$275,20,FALSE))</f>
        <v>c</v>
      </c>
      <c r="U157" s="542" t="str">
        <f>IF(VLOOKUP(A157,'Revitalisation-Revitalisierung'!$A$4:$Z$275,25,FALSE)="","",VLOOKUP(A157,'Revitalisation-Revitalisierung'!$A$4:$Z$275,25,FALSE))</f>
        <v>Partiellement nécessaire, facile / teilweise nötig, einfach</v>
      </c>
      <c r="V157" s="406" t="str">
        <f>IF(VLOOKUP(A157,'Revitalisation-Revitalisierung'!$A$4:$Z$275,26,FALSE)="","",VLOOKUP(A157,'Revitalisation-Revitalisierung'!$A$4:$Z$275,26,FALSE))</f>
        <v>c</v>
      </c>
      <c r="Y157" s="529" t="str">
        <f t="shared" si="8"/>
        <v>21-50%</v>
      </c>
      <c r="Z157" s="568" t="str">
        <f t="shared" si="9"/>
        <v>c</v>
      </c>
      <c r="AA157" s="327" t="str">
        <f t="shared" si="10"/>
        <v>0-20%</v>
      </c>
      <c r="AB157" s="327" t="str">
        <f t="shared" si="11"/>
        <v>Non affecté / nicht betroffen</v>
      </c>
      <c r="AC157" s="276" t="str">
        <f t="shared" si="12"/>
        <v>Partiellement nécessaire, facile / teilweise nötig, einfach</v>
      </c>
      <c r="AD157" s="570" t="str">
        <f t="shared" si="13"/>
        <v>c</v>
      </c>
      <c r="AE157">
        <v>4</v>
      </c>
      <c r="AF157">
        <v>1</v>
      </c>
    </row>
    <row r="158" spans="1:32" ht="16.5" customHeight="1" x14ac:dyDescent="0.25">
      <c r="A158" s="926">
        <v>156</v>
      </c>
      <c r="B158" s="400" t="s">
        <v>493</v>
      </c>
      <c r="C158" s="400" t="s">
        <v>294</v>
      </c>
      <c r="D158" s="401" t="s">
        <v>482</v>
      </c>
      <c r="E158" s="522" t="str">
        <f>IF(VLOOKUP(A158,'Charriage - Geschiebehaushalt'!$A$4:$AC$275,17,FALSE)="","",VLOOKUP(A158,'Charriage - Geschiebehaushalt'!$A$4:$AC$275,17,FALSE))</f>
        <v>Charriage présumé perturbé / Geschiebehaushalt vermutlich beeinträchtigt</v>
      </c>
      <c r="F158" s="523" t="str">
        <f>IF(VLOOKUP(A158,'Charriage - Geschiebehaushalt'!$A$4:$AC$275,18,FALSE)="","",VLOOKUP(A158,'Charriage - Geschiebehaushalt'!$A$4:$AC$275,18,FALSE))</f>
        <v>b</v>
      </c>
      <c r="G158" s="524" t="str">
        <f>IF(VLOOKUP(A158,'Charriage - Geschiebehaushalt'!$A$4:$AC$275,22,FALSE)="","",VLOOKUP(A158,'Charriage - Geschiebehaushalt'!$A$4:$AC$275,22,FALSE))</f>
        <v>21-50%</v>
      </c>
      <c r="H158" s="523" t="str">
        <f>IF(VLOOKUP(A158,'Charriage - Geschiebehaushalt'!$A$4:$AC$275,23,FALSE)="","",VLOOKUP(A158,'Charriage - Geschiebehaushalt'!$A$4:$AC$275,23,FALSE))</f>
        <v>e</v>
      </c>
      <c r="I158" s="524" t="str">
        <f>IF(VLOOKUP(A158,'Charriage - Geschiebehaushalt'!$A$4:$AC$275,28,FALSE)="","",VLOOKUP(A158,'Charriage - Geschiebehaushalt'!$A$4:$AC$275,28,FALSE))</f>
        <v>21-50%</v>
      </c>
      <c r="J158" s="403" t="str">
        <f>IF(VLOOKUP(A158,'Charriage - Geschiebehaushalt'!$A$4:$AC$275,29,FALSE)="","",VLOOKUP(A158,'Charriage - Geschiebehaushalt'!$A$4:$AC$275,29,FALSE))</f>
        <v>e</v>
      </c>
      <c r="K158" s="533" t="str">
        <f>IF(VLOOKUP(A158,'Débit - Abfluss'!$A$4:$AD$275,8,FALSE)="","",VLOOKUP(A158,'Débit - Abfluss'!$A$4:$AD$275,8,FALSE))</f>
        <v>81-100%</v>
      </c>
      <c r="L158" s="468" t="str">
        <f>IF(VLOOKUP(A158,'Débit - Abfluss'!$A$4:$AD$275,10,FALSE)="","",VLOOKUP(A158,'Débit - Abfluss'!$A$4:$AD$275,10,FALSE))</f>
        <v>81-100%</v>
      </c>
      <c r="M158" s="333" t="str">
        <f>IF(VLOOKUP(A158,'Débit - Abfluss'!$A$4:$AD$275,17,FALSE)="","",VLOOKUP(A158,'Débit - Abfluss'!$A$4:$AD$275,17,FALSE))</f>
        <v>81-100%</v>
      </c>
      <c r="N158" s="340" t="str">
        <f>IF(VLOOKUP(A158,'Eclusée - Schwall-Sunk'!$A$2:$F$273,6,FALSE)="","",VLOOKUP(A158,'Eclusée - Schwall-Sunk'!$A$2:$F$273,6,FALSE))</f>
        <v>Potentiellement affecté / möglicherweise betroffen</v>
      </c>
      <c r="O158" s="537"/>
      <c r="P158" s="538"/>
      <c r="Q158" s="284" t="str">
        <f>IF(VLOOKUP(A158,'Revitalisation-Revitalisierung'!$A$4:$Z$275,13,FALSE)="","",VLOOKUP(A158,'Revitalisation-Revitalisierung'!$A$4:$Z$275,13,FALSE))</f>
        <v>Très nécessaire, facile / unbedingt nötig, einfach</v>
      </c>
      <c r="R158" s="541" t="str">
        <f>IF(VLOOKUP(A158,'Revitalisation-Revitalisierung'!$A$4:$Z$275,14,FALSE)="","",VLOOKUP(A158,'Revitalisation-Revitalisierung'!$A$4:$Z$275,14,FALSE))</f>
        <v>b</v>
      </c>
      <c r="S158" s="542" t="str">
        <f>IF(VLOOKUP(A158,'Revitalisation-Revitalisierung'!$A$4:$Z$275,19,FALSE)="","",VLOOKUP(A158,'Revitalisation-Revitalisierung'!$A$4:$Z$275,19,FALSE))</f>
        <v>Très nécessaire, difficile / unbedingt nötig, schwierig</v>
      </c>
      <c r="T158" s="541" t="str">
        <f>IF(VLOOKUP(A158,'Revitalisation-Revitalisierung'!$A$4:$Z$275,20,FALSE)="","",VLOOKUP(A158,'Revitalisation-Revitalisierung'!$A$4:$Z$275,20,FALSE))</f>
        <v>e</v>
      </c>
      <c r="U158" s="542" t="str">
        <f>IF(VLOOKUP(A158,'Revitalisation-Revitalisierung'!$A$4:$Z$275,25,FALSE)="","",VLOOKUP(A158,'Revitalisation-Revitalisierung'!$A$4:$Z$275,25,FALSE))</f>
        <v>Très nécessaire, difficile / unbedingt nötig, schwierig</v>
      </c>
      <c r="V158" s="406" t="str">
        <f>IF(VLOOKUP(A158,'Revitalisation-Revitalisierung'!$A$4:$Z$275,26,FALSE)="","",VLOOKUP(A158,'Revitalisation-Revitalisierung'!$A$4:$Z$275,26,FALSE))</f>
        <v>e</v>
      </c>
      <c r="Y158" s="529" t="str">
        <f t="shared" si="8"/>
        <v>21-50%</v>
      </c>
      <c r="Z158" s="568" t="str">
        <f t="shared" si="9"/>
        <v>e</v>
      </c>
      <c r="AA158" s="327" t="str">
        <f t="shared" si="10"/>
        <v>81-100%</v>
      </c>
      <c r="AB158" s="327" t="str">
        <f t="shared" si="11"/>
        <v>Potentiellement affecté / möglicherweise betroffen</v>
      </c>
      <c r="AC158" s="276" t="str">
        <f t="shared" si="12"/>
        <v>Très nécessaire, difficile / unbedingt nötig, schwierig</v>
      </c>
      <c r="AD158" s="570" t="str">
        <f t="shared" si="13"/>
        <v>e</v>
      </c>
      <c r="AE158">
        <v>4</v>
      </c>
      <c r="AF158">
        <v>1</v>
      </c>
    </row>
    <row r="159" spans="1:32" ht="16.5" customHeight="1" x14ac:dyDescent="0.25">
      <c r="A159" s="926">
        <v>157</v>
      </c>
      <c r="B159" s="400" t="s">
        <v>359</v>
      </c>
      <c r="C159" s="400" t="s">
        <v>294</v>
      </c>
      <c r="D159" s="401" t="s">
        <v>358</v>
      </c>
      <c r="E159" s="522" t="str">
        <f>IF(VLOOKUP(A159,'Charriage - Geschiebehaushalt'!$A$4:$AC$275,17,FALSE)="","",VLOOKUP(A159,'Charriage - Geschiebehaushalt'!$A$4:$AC$275,17,FALSE))</f>
        <v>Charriage présumé perturbé / Geschiebehaushalt vermutlich beeinträchtigt</v>
      </c>
      <c r="F159" s="523" t="str">
        <f>IF(VLOOKUP(A159,'Charriage - Geschiebehaushalt'!$A$4:$AC$275,18,FALSE)="","",VLOOKUP(A159,'Charriage - Geschiebehaushalt'!$A$4:$AC$275,18,FALSE))</f>
        <v>b</v>
      </c>
      <c r="G159" s="524" t="str">
        <f>IF(VLOOKUP(A159,'Charriage - Geschiebehaushalt'!$A$4:$AC$275,22,FALSE)="","",VLOOKUP(A159,'Charriage - Geschiebehaushalt'!$A$4:$AC$275,22,FALSE))</f>
        <v>21-50%</v>
      </c>
      <c r="H159" s="523" t="str">
        <f>IF(VLOOKUP(A159,'Charriage - Geschiebehaushalt'!$A$4:$AC$275,23,FALSE)="","",VLOOKUP(A159,'Charriage - Geschiebehaushalt'!$A$4:$AC$275,23,FALSE))</f>
        <v>c</v>
      </c>
      <c r="I159" s="524" t="str">
        <f>IF(VLOOKUP(A159,'Charriage - Geschiebehaushalt'!$A$4:$AC$275,28,FALSE)="","",VLOOKUP(A159,'Charriage - Geschiebehaushalt'!$A$4:$AC$275,28,FALSE))</f>
        <v>21-50%</v>
      </c>
      <c r="J159" s="403" t="str">
        <f>IF(VLOOKUP(A159,'Charriage - Geschiebehaushalt'!$A$4:$AC$275,29,FALSE)="","",VLOOKUP(A159,'Charriage - Geschiebehaushalt'!$A$4:$AC$275,29,FALSE))</f>
        <v>c</v>
      </c>
      <c r="K159" s="533" t="str">
        <f>IF(VLOOKUP(A159,'Débit - Abfluss'!$A$4:$AD$275,8,FALSE)="","",VLOOKUP(A159,'Débit - Abfluss'!$A$4:$AD$275,8,FALSE))</f>
        <v>81-100%</v>
      </c>
      <c r="L159" s="468" t="str">
        <f>IF(VLOOKUP(A159,'Débit - Abfluss'!$A$4:$AD$275,10,FALSE)="","",VLOOKUP(A159,'Débit - Abfluss'!$A$4:$AD$275,10,FALSE))</f>
        <v>81-100%</v>
      </c>
      <c r="M159" s="333" t="str">
        <f>IF(VLOOKUP(A159,'Débit - Abfluss'!$A$4:$AD$275,17,FALSE)="","",VLOOKUP(A159,'Débit - Abfluss'!$A$4:$AD$275,17,FALSE))</f>
        <v>81-100%</v>
      </c>
      <c r="N159" s="340" t="str">
        <f>IF(VLOOKUP(A159,'Eclusée - Schwall-Sunk'!$A$2:$F$273,6,FALSE)="","",VLOOKUP(A159,'Eclusée - Schwall-Sunk'!$A$2:$F$273,6,FALSE))</f>
        <v>Potentiellement affecté / möglicherweise betroffen</v>
      </c>
      <c r="O159" s="537"/>
      <c r="P159" s="538"/>
      <c r="Q159" s="284" t="str">
        <f>IF(VLOOKUP(A159,'Revitalisation-Revitalisierung'!$A$4:$Z$275,13,FALSE)="","",VLOOKUP(A159,'Revitalisation-Revitalisierung'!$A$4:$Z$275,13,FALSE))</f>
        <v>Très nécessaire, difficile / unbedingt nötig, schwierig</v>
      </c>
      <c r="R159" s="541" t="str">
        <f>IF(VLOOKUP(A159,'Revitalisation-Revitalisierung'!$A$4:$Z$275,14,FALSE)="","",VLOOKUP(A159,'Revitalisation-Revitalisierung'!$A$4:$Z$275,14,FALSE))</f>
        <v>b</v>
      </c>
      <c r="S159" s="542" t="str">
        <f>IF(VLOOKUP(A159,'Revitalisation-Revitalisierung'!$A$4:$Z$275,19,FALSE)="","",VLOOKUP(A159,'Revitalisation-Revitalisierung'!$A$4:$Z$275,19,FALSE))</f>
        <v>Très nécessaire, difficile / unbedingt nötig, schwierig</v>
      </c>
      <c r="T159" s="541" t="str">
        <f>IF(VLOOKUP(A159,'Revitalisation-Revitalisierung'!$A$4:$Z$275,20,FALSE)="","",VLOOKUP(A159,'Revitalisation-Revitalisierung'!$A$4:$Z$275,20,FALSE))</f>
        <v>b</v>
      </c>
      <c r="U159" s="542" t="str">
        <f>IF(VLOOKUP(A159,'Revitalisation-Revitalisierung'!$A$4:$Z$275,25,FALSE)="","",VLOOKUP(A159,'Revitalisation-Revitalisierung'!$A$4:$Z$275,25,FALSE))</f>
        <v>Très nécessaire, difficile / unbedingt nötig, schwierig</v>
      </c>
      <c r="V159" s="406" t="str">
        <f>IF(VLOOKUP(A159,'Revitalisation-Revitalisierung'!$A$4:$Z$275,26,FALSE)="","",VLOOKUP(A159,'Revitalisation-Revitalisierung'!$A$4:$Z$275,26,FALSE))</f>
        <v>b</v>
      </c>
      <c r="Y159" s="529" t="str">
        <f t="shared" si="8"/>
        <v>21-50%</v>
      </c>
      <c r="Z159" s="568" t="str">
        <f t="shared" si="9"/>
        <v>c</v>
      </c>
      <c r="AA159" s="327" t="str">
        <f t="shared" si="10"/>
        <v>81-100%</v>
      </c>
      <c r="AB159" s="327" t="str">
        <f t="shared" si="11"/>
        <v>Potentiellement affecté / möglicherweise betroffen</v>
      </c>
      <c r="AC159" s="276" t="str">
        <f t="shared" si="12"/>
        <v>Très nécessaire, difficile / unbedingt nötig, schwierig</v>
      </c>
      <c r="AD159" s="570" t="str">
        <f t="shared" si="13"/>
        <v>b</v>
      </c>
      <c r="AE159">
        <v>4</v>
      </c>
      <c r="AF159">
        <v>1</v>
      </c>
    </row>
    <row r="160" spans="1:32" ht="16.5" customHeight="1" x14ac:dyDescent="0.25">
      <c r="A160" s="926">
        <v>158</v>
      </c>
      <c r="B160" s="400" t="s">
        <v>293</v>
      </c>
      <c r="C160" s="400" t="s">
        <v>294</v>
      </c>
      <c r="D160" s="401" t="s">
        <v>274</v>
      </c>
      <c r="E160" s="522" t="str">
        <f>IF(VLOOKUP(A160,'Charriage - Geschiebehaushalt'!$A$4:$AC$275,17,FALSE)="","",VLOOKUP(A160,'Charriage - Geschiebehaushalt'!$A$4:$AC$275,17,FALSE))</f>
        <v>La remobilisation des sédiments est perturbée / Mobilisierung von Geschiebe beeinträchtigt</v>
      </c>
      <c r="F160" s="523" t="str">
        <f>IF(VLOOKUP(A160,'Charriage - Geschiebehaushalt'!$A$4:$AC$275,18,FALSE)="","",VLOOKUP(A160,'Charriage - Geschiebehaushalt'!$A$4:$AC$275,18,FALSE))</f>
        <v>b</v>
      </c>
      <c r="G160" s="524" t="str">
        <f>IF(VLOOKUP(A160,'Charriage - Geschiebehaushalt'!$A$4:$AC$275,22,FALSE)="","",VLOOKUP(A160,'Charriage - Geschiebehaushalt'!$A$4:$AC$275,22,FALSE))</f>
        <v>21-50%</v>
      </c>
      <c r="H160" s="523" t="str">
        <f>IF(VLOOKUP(A160,'Charriage - Geschiebehaushalt'!$A$4:$AC$275,23,FALSE)="","",VLOOKUP(A160,'Charriage - Geschiebehaushalt'!$A$4:$AC$275,23,FALSE))</f>
        <v>c</v>
      </c>
      <c r="I160" s="524" t="str">
        <f>IF(VLOOKUP(A160,'Charriage - Geschiebehaushalt'!$A$4:$AC$275,28,FALSE)="","",VLOOKUP(A160,'Charriage - Geschiebehaushalt'!$A$4:$AC$275,28,FALSE))</f>
        <v>21-50%</v>
      </c>
      <c r="J160" s="403" t="str">
        <f>IF(VLOOKUP(A160,'Charriage - Geschiebehaushalt'!$A$4:$AC$275,29,FALSE)="","",VLOOKUP(A160,'Charriage - Geschiebehaushalt'!$A$4:$AC$275,29,FALSE))</f>
        <v>c</v>
      </c>
      <c r="K160" s="533" t="str">
        <f>IF(VLOOKUP(A160,'Débit - Abfluss'!$A$4:$AD$275,8,FALSE)="","",VLOOKUP(A160,'Débit - Abfluss'!$A$4:$AD$275,8,FALSE))</f>
        <v>81-100%</v>
      </c>
      <c r="L160" s="468" t="str">
        <f>IF(VLOOKUP(A160,'Débit - Abfluss'!$A$4:$AD$275,10,FALSE)="","",VLOOKUP(A160,'Débit - Abfluss'!$A$4:$AD$275,10,FALSE))</f>
        <v>81-100%</v>
      </c>
      <c r="M160" s="333" t="str">
        <f>IF(VLOOKUP(A160,'Débit - Abfluss'!$A$4:$AD$275,17,FALSE)="","",VLOOKUP(A160,'Débit - Abfluss'!$A$4:$AD$275,17,FALSE))</f>
        <v>81-100%</v>
      </c>
      <c r="N160" s="340" t="str">
        <f>IF(VLOOKUP(A160,'Eclusée - Schwall-Sunk'!$A$2:$F$273,6,FALSE)="","",VLOOKUP(A160,'Eclusée - Schwall-Sunk'!$A$2:$F$273,6,FALSE))</f>
        <v>Potentiellement affecté / möglicherweise betroffen</v>
      </c>
      <c r="O160" s="537"/>
      <c r="P160" s="538"/>
      <c r="Q160" s="284" t="str">
        <f>IF(VLOOKUP(A160,'Revitalisation-Revitalisierung'!$A$4:$Z$275,13,FALSE)="","",VLOOKUP(A160,'Revitalisation-Revitalisierung'!$A$4:$Z$275,13,FALSE))</f>
        <v>Très nécessaire, facile / unbedingt nötig, einfach</v>
      </c>
      <c r="R160" s="541" t="str">
        <f>IF(VLOOKUP(A160,'Revitalisation-Revitalisierung'!$A$4:$Z$275,14,FALSE)="","",VLOOKUP(A160,'Revitalisation-Revitalisierung'!$A$4:$Z$275,14,FALSE))</f>
        <v>b</v>
      </c>
      <c r="S160" s="542" t="str">
        <f>IF(VLOOKUP(A160,'Revitalisation-Revitalisierung'!$A$4:$Z$275,19,FALSE)="","",VLOOKUP(A160,'Revitalisation-Revitalisierung'!$A$4:$Z$275,19,FALSE))</f>
        <v>Partiellement nécessaire, facile / teilweise nötig, einfach</v>
      </c>
      <c r="T160" s="541" t="str">
        <f>IF(VLOOKUP(A160,'Revitalisation-Revitalisierung'!$A$4:$Z$275,20,FALSE)="","",VLOOKUP(A160,'Revitalisation-Revitalisierung'!$A$4:$Z$275,20,FALSE))</f>
        <v>e</v>
      </c>
      <c r="U160" s="542" t="str">
        <f>IF(VLOOKUP(A160,'Revitalisation-Revitalisierung'!$A$4:$Z$275,25,FALSE)="","",VLOOKUP(A160,'Revitalisation-Revitalisierung'!$A$4:$Z$275,25,FALSE))</f>
        <v>Partiellement nécessaire, facile / teilweise nötig, einfach</v>
      </c>
      <c r="V160" s="406" t="str">
        <f>IF(VLOOKUP(A160,'Revitalisation-Revitalisierung'!$A$4:$Z$275,26,FALSE)="","",VLOOKUP(A160,'Revitalisation-Revitalisierung'!$A$4:$Z$275,26,FALSE))</f>
        <v>e</v>
      </c>
      <c r="Y160" s="529" t="str">
        <f t="shared" si="8"/>
        <v>21-50%</v>
      </c>
      <c r="Z160" s="568" t="str">
        <f t="shared" si="9"/>
        <v>c</v>
      </c>
      <c r="AA160" s="327" t="str">
        <f t="shared" si="10"/>
        <v>81-100%</v>
      </c>
      <c r="AB160" s="327" t="str">
        <f t="shared" si="11"/>
        <v>Potentiellement affecté / möglicherweise betroffen</v>
      </c>
      <c r="AC160" s="276" t="str">
        <f t="shared" si="12"/>
        <v>Partiellement nécessaire, facile / teilweise nötig, einfach</v>
      </c>
      <c r="AD160" s="570" t="str">
        <f t="shared" si="13"/>
        <v>e</v>
      </c>
      <c r="AE160">
        <v>4</v>
      </c>
      <c r="AF160">
        <v>1</v>
      </c>
    </row>
    <row r="161" spans="1:32" ht="16.5" customHeight="1" x14ac:dyDescent="0.25">
      <c r="A161" s="926">
        <v>160</v>
      </c>
      <c r="B161" s="400" t="s">
        <v>296</v>
      </c>
      <c r="C161" s="400" t="s">
        <v>294</v>
      </c>
      <c r="D161" s="401" t="s">
        <v>274</v>
      </c>
      <c r="E161" s="522" t="str">
        <f>IF(VLOOKUP(A161,'Charriage - Geschiebehaushalt'!$A$4:$AC$275,17,FALSE)="","",VLOOKUP(A161,'Charriage - Geschiebehaushalt'!$A$4:$AC$275,17,FALSE))</f>
        <v>Problème lié à un manque de charriage ou à un manque de remobilisation des sédiments / Problem aufgrund Geschiebemangels bzw. mangelnder Mobilisierung von Geschiebe</v>
      </c>
      <c r="F161" s="523" t="str">
        <f>IF(VLOOKUP(A161,'Charriage - Geschiebehaushalt'!$A$4:$AC$275,18,FALSE)="","",VLOOKUP(A161,'Charriage - Geschiebehaushalt'!$A$4:$AC$275,18,FALSE))</f>
        <v>b</v>
      </c>
      <c r="G161" s="524" t="str">
        <f>IF(VLOOKUP(A161,'Charriage - Geschiebehaushalt'!$A$4:$AC$275,22,FALSE)="","",VLOOKUP(A161,'Charriage - Geschiebehaushalt'!$A$4:$AC$275,22,FALSE))</f>
        <v>21-50%</v>
      </c>
      <c r="H161" s="523" t="str">
        <f>IF(VLOOKUP(A161,'Charriage - Geschiebehaushalt'!$A$4:$AC$275,23,FALSE)="","",VLOOKUP(A161,'Charriage - Geschiebehaushalt'!$A$4:$AC$275,23,FALSE))</f>
        <v>c</v>
      </c>
      <c r="I161" s="524" t="str">
        <f>IF(VLOOKUP(A161,'Charriage - Geschiebehaushalt'!$A$4:$AC$275,28,FALSE)="","",VLOOKUP(A161,'Charriage - Geschiebehaushalt'!$A$4:$AC$275,28,FALSE))</f>
        <v>21-50%</v>
      </c>
      <c r="J161" s="403" t="str">
        <f>IF(VLOOKUP(A161,'Charriage - Geschiebehaushalt'!$A$4:$AC$275,29,FALSE)="","",VLOOKUP(A161,'Charriage - Geschiebehaushalt'!$A$4:$AC$275,29,FALSE))</f>
        <v>c</v>
      </c>
      <c r="K161" s="533" t="str">
        <f>IF(VLOOKUP(A161,'Débit - Abfluss'!$A$4:$AD$275,8,FALSE)="","",VLOOKUP(A161,'Débit - Abfluss'!$A$4:$AD$275,8,FALSE))</f>
        <v>81-100%</v>
      </c>
      <c r="L161" s="468" t="str">
        <f>IF(VLOOKUP(A161,'Débit - Abfluss'!$A$4:$AD$275,10,FALSE)="","",VLOOKUP(A161,'Débit - Abfluss'!$A$4:$AD$275,10,FALSE))</f>
        <v>81-100%</v>
      </c>
      <c r="M161" s="333" t="str">
        <f>IF(VLOOKUP(A161,'Débit - Abfluss'!$A$4:$AD$275,17,FALSE)="","",VLOOKUP(A161,'Débit - Abfluss'!$A$4:$AD$275,17,FALSE))</f>
        <v>81-100%</v>
      </c>
      <c r="N161" s="340" t="str">
        <f>IF(VLOOKUP(A161,'Eclusée - Schwall-Sunk'!$A$2:$F$273,6,FALSE)="","",VLOOKUP(A161,'Eclusée - Schwall-Sunk'!$A$2:$F$273,6,FALSE))</f>
        <v>Potentiellement affecté / möglicherweise betroffen</v>
      </c>
      <c r="O161" s="537"/>
      <c r="P161" s="538"/>
      <c r="Q161" s="284" t="str">
        <f>IF(VLOOKUP(A161,'Revitalisation-Revitalisierung'!$A$4:$Z$275,13,FALSE)="","",VLOOKUP(A161,'Revitalisation-Revitalisierung'!$A$4:$Z$275,13,FALSE))</f>
        <v>Non nécessaire / nicht nötig</v>
      </c>
      <c r="R161" s="541" t="str">
        <f>IF(VLOOKUP(A161,'Revitalisation-Revitalisierung'!$A$4:$Z$275,14,FALSE)="","",VLOOKUP(A161,'Revitalisation-Revitalisierung'!$A$4:$Z$275,14,FALSE))</f>
        <v>b</v>
      </c>
      <c r="S161" s="542" t="str">
        <f>IF(VLOOKUP(A161,'Revitalisation-Revitalisierung'!$A$4:$Z$275,19,FALSE)="","",VLOOKUP(A161,'Revitalisation-Revitalisierung'!$A$4:$Z$275,19,FALSE))</f>
        <v>Partiellement nécessaire, facile / teilweise nötig, einfach</v>
      </c>
      <c r="T161" s="541" t="str">
        <f>IF(VLOOKUP(A161,'Revitalisation-Revitalisierung'!$A$4:$Z$275,20,FALSE)="","",VLOOKUP(A161,'Revitalisation-Revitalisierung'!$A$4:$Z$275,20,FALSE))</f>
        <v>c</v>
      </c>
      <c r="U161" s="542" t="str">
        <f>IF(VLOOKUP(A161,'Revitalisation-Revitalisierung'!$A$4:$Z$275,25,FALSE)="","",VLOOKUP(A161,'Revitalisation-Revitalisierung'!$A$4:$Z$275,25,FALSE))</f>
        <v>Partiellement nécessaire, facile / teilweise nötig, einfach</v>
      </c>
      <c r="V161" s="406" t="str">
        <f>IF(VLOOKUP(A161,'Revitalisation-Revitalisierung'!$A$4:$Z$275,26,FALSE)="","",VLOOKUP(A161,'Revitalisation-Revitalisierung'!$A$4:$Z$275,26,FALSE))</f>
        <v>c</v>
      </c>
      <c r="Y161" s="529" t="str">
        <f t="shared" si="8"/>
        <v>21-50%</v>
      </c>
      <c r="Z161" s="568" t="str">
        <f t="shared" si="9"/>
        <v>c</v>
      </c>
      <c r="AA161" s="327" t="str">
        <f t="shared" si="10"/>
        <v>81-100%</v>
      </c>
      <c r="AB161" s="327" t="str">
        <f t="shared" si="11"/>
        <v>Potentiellement affecté / möglicherweise betroffen</v>
      </c>
      <c r="AC161" s="276" t="str">
        <f t="shared" si="12"/>
        <v>Partiellement nécessaire, facile / teilweise nötig, einfach</v>
      </c>
      <c r="AD161" s="570" t="str">
        <f t="shared" si="13"/>
        <v>c</v>
      </c>
      <c r="AE161">
        <v>4</v>
      </c>
      <c r="AF161">
        <v>1</v>
      </c>
    </row>
    <row r="162" spans="1:32" ht="16.5" customHeight="1" x14ac:dyDescent="0.25">
      <c r="A162" s="926">
        <v>161</v>
      </c>
      <c r="B162" s="400" t="s">
        <v>297</v>
      </c>
      <c r="C162" s="400" t="s">
        <v>294</v>
      </c>
      <c r="D162" s="401" t="s">
        <v>274</v>
      </c>
      <c r="E162" s="522" t="str">
        <f>IF(VLOOKUP(A162,'Charriage - Geschiebehaushalt'!$A$4:$AC$275,17,FALSE)="","",VLOOKUP(A162,'Charriage - Geschiebehaushalt'!$A$4:$AC$275,17,FALSE))</f>
        <v>Problème lié à un manque de charriage ou à un manque de remobilisation des sédiments / Problem aufgrund Geschiebemangels bzw. mangelnder Mobilisierung von Geschiebe</v>
      </c>
      <c r="F162" s="523" t="str">
        <f>IF(VLOOKUP(A162,'Charriage - Geschiebehaushalt'!$A$4:$AC$275,18,FALSE)="","",VLOOKUP(A162,'Charriage - Geschiebehaushalt'!$A$4:$AC$275,18,FALSE))</f>
        <v>b</v>
      </c>
      <c r="G162" s="524" t="str">
        <f>IF(VLOOKUP(A162,'Charriage - Geschiebehaushalt'!$A$4:$AC$275,22,FALSE)="","",VLOOKUP(A162,'Charriage - Geschiebehaushalt'!$A$4:$AC$275,22,FALSE))</f>
        <v>21-50%</v>
      </c>
      <c r="H162" s="523" t="str">
        <f>IF(VLOOKUP(A162,'Charriage - Geschiebehaushalt'!$A$4:$AC$275,23,FALSE)="","",VLOOKUP(A162,'Charriage - Geschiebehaushalt'!$A$4:$AC$275,23,FALSE))</f>
        <v>c</v>
      </c>
      <c r="I162" s="524" t="str">
        <f>IF(VLOOKUP(A162,'Charriage - Geschiebehaushalt'!$A$4:$AC$275,28,FALSE)="","",VLOOKUP(A162,'Charriage - Geschiebehaushalt'!$A$4:$AC$275,28,FALSE))</f>
        <v>21-50%</v>
      </c>
      <c r="J162" s="403" t="str">
        <f>IF(VLOOKUP(A162,'Charriage - Geschiebehaushalt'!$A$4:$AC$275,29,FALSE)="","",VLOOKUP(A162,'Charriage - Geschiebehaushalt'!$A$4:$AC$275,29,FALSE))</f>
        <v>c</v>
      </c>
      <c r="K162" s="533" t="str">
        <f>IF(VLOOKUP(A162,'Débit - Abfluss'!$A$4:$AD$275,8,FALSE)="","",VLOOKUP(A162,'Débit - Abfluss'!$A$4:$AD$275,8,FALSE))</f>
        <v>81-100%</v>
      </c>
      <c r="L162" s="468" t="str">
        <f>IF(VLOOKUP(A162,'Débit - Abfluss'!$A$4:$AD$275,10,FALSE)="","",VLOOKUP(A162,'Débit - Abfluss'!$A$4:$AD$275,10,FALSE))</f>
        <v>81-100%</v>
      </c>
      <c r="M162" s="333" t="str">
        <f>IF(VLOOKUP(A162,'Débit - Abfluss'!$A$4:$AD$275,17,FALSE)="","",VLOOKUP(A162,'Débit - Abfluss'!$A$4:$AD$275,17,FALSE))</f>
        <v>81-100%</v>
      </c>
      <c r="N162" s="340" t="str">
        <f>IF(VLOOKUP(A162,'Eclusée - Schwall-Sunk'!$A$2:$F$273,6,FALSE)="","",VLOOKUP(A162,'Eclusée - Schwall-Sunk'!$A$2:$F$273,6,FALSE))</f>
        <v>Potentiellement affecté / möglicherweise betroffen</v>
      </c>
      <c r="O162" s="537"/>
      <c r="P162" s="538"/>
      <c r="Q162" s="284" t="str">
        <f>IF(VLOOKUP(A162,'Revitalisation-Revitalisierung'!$A$4:$Z$275,13,FALSE)="","",VLOOKUP(A162,'Revitalisation-Revitalisierung'!$A$4:$Z$275,13,FALSE))</f>
        <v>Très nécessaire, facile / unbedingt nötig, einfach</v>
      </c>
      <c r="R162" s="541" t="str">
        <f>IF(VLOOKUP(A162,'Revitalisation-Revitalisierung'!$A$4:$Z$275,14,FALSE)="","",VLOOKUP(A162,'Revitalisation-Revitalisierung'!$A$4:$Z$275,14,FALSE))</f>
        <v>b</v>
      </c>
      <c r="S162" s="542" t="str">
        <f>IF(VLOOKUP(A162,'Revitalisation-Revitalisierung'!$A$4:$Z$275,19,FALSE)="","",VLOOKUP(A162,'Revitalisation-Revitalisierung'!$A$4:$Z$275,19,FALSE))</f>
        <v>Très nécessaire, facile / unbedingt nötig, einfach</v>
      </c>
      <c r="T162" s="541" t="str">
        <f>IF(VLOOKUP(A162,'Revitalisation-Revitalisierung'!$A$4:$Z$275,20,FALSE)="","",VLOOKUP(A162,'Revitalisation-Revitalisierung'!$A$4:$Z$275,20,FALSE))</f>
        <v>d</v>
      </c>
      <c r="U162" s="542" t="str">
        <f>IF(VLOOKUP(A162,'Revitalisation-Revitalisierung'!$A$4:$Z$275,25,FALSE)="","",VLOOKUP(A162,'Revitalisation-Revitalisierung'!$A$4:$Z$275,25,FALSE))</f>
        <v>Très nécessaire, facile / unbedingt nötig, einfach</v>
      </c>
      <c r="V162" s="406" t="str">
        <f>IF(VLOOKUP(A162,'Revitalisation-Revitalisierung'!$A$4:$Z$275,26,FALSE)="","",VLOOKUP(A162,'Revitalisation-Revitalisierung'!$A$4:$Z$275,26,FALSE))</f>
        <v>d</v>
      </c>
      <c r="Y162" s="529" t="str">
        <f t="shared" ref="Y162:Y225" si="14">I162</f>
        <v>21-50%</v>
      </c>
      <c r="Z162" s="568" t="str">
        <f t="shared" ref="Z162:Z225" si="15">J162</f>
        <v>c</v>
      </c>
      <c r="AA162" s="327" t="str">
        <f t="shared" ref="AA162:AA225" si="16">M162</f>
        <v>81-100%</v>
      </c>
      <c r="AB162" s="327" t="str">
        <f t="shared" ref="AB162:AB225" si="17">N162</f>
        <v>Potentiellement affecté / möglicherweise betroffen</v>
      </c>
      <c r="AC162" s="276" t="str">
        <f t="shared" ref="AC162:AC225" si="18">U162</f>
        <v>Très nécessaire, facile / unbedingt nötig, einfach</v>
      </c>
      <c r="AD162" s="570" t="str">
        <f t="shared" ref="AD162:AD225" si="19">V162</f>
        <v>d</v>
      </c>
      <c r="AE162">
        <v>4</v>
      </c>
      <c r="AF162">
        <v>1</v>
      </c>
    </row>
    <row r="163" spans="1:32" ht="16.5" customHeight="1" x14ac:dyDescent="0.25">
      <c r="A163" s="926">
        <v>162</v>
      </c>
      <c r="B163" s="400" t="s">
        <v>298</v>
      </c>
      <c r="C163" s="400" t="s">
        <v>294</v>
      </c>
      <c r="D163" s="401" t="s">
        <v>274</v>
      </c>
      <c r="E163" s="522" t="str">
        <f>IF(VLOOKUP(A163,'Charriage - Geschiebehaushalt'!$A$4:$AC$275,17,FALSE)="","",VLOOKUP(A163,'Charriage - Geschiebehaushalt'!$A$4:$AC$275,17,FALSE))</f>
        <v>La remobilisation des sédiments est perturbée / Mobilisierung von Geschiebe beeinträchtigt</v>
      </c>
      <c r="F163" s="523" t="str">
        <f>IF(VLOOKUP(A163,'Charriage - Geschiebehaushalt'!$A$4:$AC$275,18,FALSE)="","",VLOOKUP(A163,'Charriage - Geschiebehaushalt'!$A$4:$AC$275,18,FALSE))</f>
        <v>b</v>
      </c>
      <c r="G163" s="524" t="str">
        <f>IF(VLOOKUP(A163,'Charriage - Geschiebehaushalt'!$A$4:$AC$275,22,FALSE)="","",VLOOKUP(A163,'Charriage - Geschiebehaushalt'!$A$4:$AC$275,22,FALSE))</f>
        <v>21-50%</v>
      </c>
      <c r="H163" s="523" t="str">
        <f>IF(VLOOKUP(A163,'Charriage - Geschiebehaushalt'!$A$4:$AC$275,23,FALSE)="","",VLOOKUP(A163,'Charriage - Geschiebehaushalt'!$A$4:$AC$275,23,FALSE))</f>
        <v>d</v>
      </c>
      <c r="I163" s="524" t="str">
        <f>IF(VLOOKUP(A163,'Charriage - Geschiebehaushalt'!$A$4:$AC$275,28,FALSE)="","",VLOOKUP(A163,'Charriage - Geschiebehaushalt'!$A$4:$AC$275,28,FALSE))</f>
        <v>21-50%</v>
      </c>
      <c r="J163" s="403" t="str">
        <f>IF(VLOOKUP(A163,'Charriage - Geschiebehaushalt'!$A$4:$AC$275,29,FALSE)="","",VLOOKUP(A163,'Charriage - Geschiebehaushalt'!$A$4:$AC$275,29,FALSE))</f>
        <v>d</v>
      </c>
      <c r="K163" s="533" t="str">
        <f>IF(VLOOKUP(A163,'Débit - Abfluss'!$A$4:$AD$275,8,FALSE)="","",VLOOKUP(A163,'Débit - Abfluss'!$A$4:$AD$275,8,FALSE))</f>
        <v>21-40%</v>
      </c>
      <c r="L163" s="468" t="str">
        <f>IF(VLOOKUP(A163,'Débit - Abfluss'!$A$4:$AD$275,10,FALSE)="","",VLOOKUP(A163,'Débit - Abfluss'!$A$4:$AD$275,10,FALSE))</f>
        <v>21-40%</v>
      </c>
      <c r="M163" s="333" t="str">
        <f>IF(VLOOKUP(A163,'Débit - Abfluss'!$A$4:$AD$275,17,FALSE)="","",VLOOKUP(A163,'Débit - Abfluss'!$A$4:$AD$275,17,FALSE))</f>
        <v>21-40%</v>
      </c>
      <c r="N163" s="340" t="str">
        <f>IF(VLOOKUP(A163,'Eclusée - Schwall-Sunk'!$A$2:$F$273,6,FALSE)="","",VLOOKUP(A163,'Eclusée - Schwall-Sunk'!$A$2:$F$273,6,FALSE))</f>
        <v>Potentiellement affecté / möglicherweise betroffen</v>
      </c>
      <c r="O163" s="537"/>
      <c r="P163" s="538"/>
      <c r="Q163" s="284" t="str">
        <f>IF(VLOOKUP(A163,'Revitalisation-Revitalisierung'!$A$4:$Z$275,13,FALSE)="","",VLOOKUP(A163,'Revitalisation-Revitalisierung'!$A$4:$Z$275,13,FALSE))</f>
        <v>Très nécessaire, facile / unbedingt nötig, einfach</v>
      </c>
      <c r="R163" s="541" t="str">
        <f>IF(VLOOKUP(A163,'Revitalisation-Revitalisierung'!$A$4:$Z$275,14,FALSE)="","",VLOOKUP(A163,'Revitalisation-Revitalisierung'!$A$4:$Z$275,14,FALSE))</f>
        <v>b</v>
      </c>
      <c r="S163" s="542" t="str">
        <f>IF(VLOOKUP(A163,'Revitalisation-Revitalisierung'!$A$4:$Z$275,19,FALSE)="","",VLOOKUP(A163,'Revitalisation-Revitalisierung'!$A$4:$Z$275,19,FALSE))</f>
        <v>Très nécessaire, facile / unbedingt nötig, einfach</v>
      </c>
      <c r="T163" s="541" t="str">
        <f>IF(VLOOKUP(A163,'Revitalisation-Revitalisierung'!$A$4:$Z$275,20,FALSE)="","",VLOOKUP(A163,'Revitalisation-Revitalisierung'!$A$4:$Z$275,20,FALSE))</f>
        <v>d</v>
      </c>
      <c r="U163" s="542" t="str">
        <f>IF(VLOOKUP(A163,'Revitalisation-Revitalisierung'!$A$4:$Z$275,25,FALSE)="","",VLOOKUP(A163,'Revitalisation-Revitalisierung'!$A$4:$Z$275,25,FALSE))</f>
        <v>Très nécessaire, facile / unbedingt nötig, einfach</v>
      </c>
      <c r="V163" s="406" t="str">
        <f>IF(VLOOKUP(A163,'Revitalisation-Revitalisierung'!$A$4:$Z$275,26,FALSE)="","",VLOOKUP(A163,'Revitalisation-Revitalisierung'!$A$4:$Z$275,26,FALSE))</f>
        <v>d</v>
      </c>
      <c r="Y163" s="529" t="str">
        <f t="shared" si="14"/>
        <v>21-50%</v>
      </c>
      <c r="Z163" s="568" t="str">
        <f t="shared" si="15"/>
        <v>d</v>
      </c>
      <c r="AA163" s="327" t="str">
        <f t="shared" si="16"/>
        <v>21-40%</v>
      </c>
      <c r="AB163" s="327" t="str">
        <f t="shared" si="17"/>
        <v>Potentiellement affecté / möglicherweise betroffen</v>
      </c>
      <c r="AC163" s="276" t="str">
        <f t="shared" si="18"/>
        <v>Très nécessaire, facile / unbedingt nötig, einfach</v>
      </c>
      <c r="AD163" s="570" t="str">
        <f t="shared" si="19"/>
        <v>d</v>
      </c>
      <c r="AE163">
        <v>4</v>
      </c>
      <c r="AF163">
        <v>1</v>
      </c>
    </row>
    <row r="164" spans="1:32" ht="16.5" customHeight="1" x14ac:dyDescent="0.25">
      <c r="A164" s="926">
        <v>164</v>
      </c>
      <c r="B164" s="400" t="s">
        <v>299</v>
      </c>
      <c r="C164" s="400" t="s">
        <v>294</v>
      </c>
      <c r="D164" s="401" t="s">
        <v>274</v>
      </c>
      <c r="E164" s="522" t="str">
        <f>IF(VLOOKUP(A164,'Charriage - Geschiebehaushalt'!$A$4:$AC$275,17,FALSE)="","",VLOOKUP(A164,'Charriage - Geschiebehaushalt'!$A$4:$AC$275,17,FALSE))</f>
        <v>Charriage présumé faiblement perturbé / Geschiebe vermutlich leicht beeinträchtigt</v>
      </c>
      <c r="F164" s="523" t="str">
        <f>IF(VLOOKUP(A164,'Charriage - Geschiebehaushalt'!$A$4:$AC$275,18,FALSE)="","",VLOOKUP(A164,'Charriage - Geschiebehaushalt'!$A$4:$AC$275,18,FALSE))</f>
        <v>b</v>
      </c>
      <c r="G164" s="524" t="str">
        <f>IF(VLOOKUP(A164,'Charriage - Geschiebehaushalt'!$A$4:$AC$275,22,FALSE)="","",VLOOKUP(A164,'Charriage - Geschiebehaushalt'!$A$4:$AC$275,22,FALSE))</f>
        <v>21-50%</v>
      </c>
      <c r="H164" s="523" t="str">
        <f>IF(VLOOKUP(A164,'Charriage - Geschiebehaushalt'!$A$4:$AC$275,23,FALSE)="","",VLOOKUP(A164,'Charriage - Geschiebehaushalt'!$A$4:$AC$275,23,FALSE))</f>
        <v>d</v>
      </c>
      <c r="I164" s="524" t="str">
        <f>IF(VLOOKUP(A164,'Charriage - Geschiebehaushalt'!$A$4:$AC$275,28,FALSE)="","",VLOOKUP(A164,'Charriage - Geschiebehaushalt'!$A$4:$AC$275,28,FALSE))</f>
        <v>21-50%</v>
      </c>
      <c r="J164" s="403" t="str">
        <f>IF(VLOOKUP(A164,'Charriage - Geschiebehaushalt'!$A$4:$AC$275,29,FALSE)="","",VLOOKUP(A164,'Charriage - Geschiebehaushalt'!$A$4:$AC$275,29,FALSE))</f>
        <v>d</v>
      </c>
      <c r="K164" s="533" t="str">
        <f>IF(VLOOKUP(A164,'Débit - Abfluss'!$A$4:$AD$275,8,FALSE)="","",VLOOKUP(A164,'Débit - Abfluss'!$A$4:$AD$275,8,FALSE))</f>
        <v>21-40%</v>
      </c>
      <c r="L164" s="468" t="str">
        <f>IF(VLOOKUP(A164,'Débit - Abfluss'!$A$4:$AD$275,10,FALSE)="","",VLOOKUP(A164,'Débit - Abfluss'!$A$4:$AD$275,10,FALSE))</f>
        <v>21-40%</v>
      </c>
      <c r="M164" s="333" t="str">
        <f>IF(VLOOKUP(A164,'Débit - Abfluss'!$A$4:$AD$275,17,FALSE)="","",VLOOKUP(A164,'Débit - Abfluss'!$A$4:$AD$275,17,FALSE))</f>
        <v>21-40%</v>
      </c>
      <c r="N164" s="340" t="str">
        <f>IF(VLOOKUP(A164,'Eclusée - Schwall-Sunk'!$A$2:$F$273,6,FALSE)="","",VLOOKUP(A164,'Eclusée - Schwall-Sunk'!$A$2:$F$273,6,FALSE))</f>
        <v>Non affecté / nicht betroffen</v>
      </c>
      <c r="O164" s="537"/>
      <c r="P164" s="538"/>
      <c r="Q164" s="284" t="str">
        <f>IF(VLOOKUP(A164,'Revitalisation-Revitalisierung'!$A$4:$Z$275,13,FALSE)="","",VLOOKUP(A164,'Revitalisation-Revitalisierung'!$A$4:$Z$275,13,FALSE))</f>
        <v>Non nécessaire / nicht nötig</v>
      </c>
      <c r="R164" s="541" t="str">
        <f>IF(VLOOKUP(A164,'Revitalisation-Revitalisierung'!$A$4:$Z$275,14,FALSE)="","",VLOOKUP(A164,'Revitalisation-Revitalisierung'!$A$4:$Z$275,14,FALSE))</f>
        <v>a</v>
      </c>
      <c r="S164" s="542" t="str">
        <f>IF(VLOOKUP(A164,'Revitalisation-Revitalisierung'!$A$4:$Z$275,19,FALSE)="","",VLOOKUP(A164,'Revitalisation-Revitalisierung'!$A$4:$Z$275,19,FALSE))</f>
        <v>Non nécessaire / nicht nötig</v>
      </c>
      <c r="T164" s="541" t="str">
        <f>IF(VLOOKUP(A164,'Revitalisation-Revitalisierung'!$A$4:$Z$275,20,FALSE)="","",VLOOKUP(A164,'Revitalisation-Revitalisierung'!$A$4:$Z$275,20,FALSE))</f>
        <v>d</v>
      </c>
      <c r="U164" s="542" t="str">
        <f>IF(VLOOKUP(A164,'Revitalisation-Revitalisierung'!$A$4:$Z$275,25,FALSE)="","",VLOOKUP(A164,'Revitalisation-Revitalisierung'!$A$4:$Z$275,25,FALSE))</f>
        <v>Non nécessaire / nicht nötig</v>
      </c>
      <c r="V164" s="406" t="str">
        <f>IF(VLOOKUP(A164,'Revitalisation-Revitalisierung'!$A$4:$Z$275,26,FALSE)="","",VLOOKUP(A164,'Revitalisation-Revitalisierung'!$A$4:$Z$275,26,FALSE))</f>
        <v>d</v>
      </c>
      <c r="Y164" s="529" t="str">
        <f t="shared" si="14"/>
        <v>21-50%</v>
      </c>
      <c r="Z164" s="568" t="str">
        <f t="shared" si="15"/>
        <v>d</v>
      </c>
      <c r="AA164" s="327" t="str">
        <f t="shared" si="16"/>
        <v>21-40%</v>
      </c>
      <c r="AB164" s="327" t="str">
        <f t="shared" si="17"/>
        <v>Non affecté / nicht betroffen</v>
      </c>
      <c r="AC164" s="276" t="str">
        <f t="shared" si="18"/>
        <v>Non nécessaire / nicht nötig</v>
      </c>
      <c r="AD164" s="570" t="str">
        <f t="shared" si="19"/>
        <v>d</v>
      </c>
      <c r="AE164">
        <v>3</v>
      </c>
      <c r="AF164">
        <v>1</v>
      </c>
    </row>
    <row r="165" spans="1:32" ht="16.5" customHeight="1" x14ac:dyDescent="0.25">
      <c r="A165" s="926">
        <v>166</v>
      </c>
      <c r="B165" s="400" t="s">
        <v>301</v>
      </c>
      <c r="C165" s="400" t="s">
        <v>302</v>
      </c>
      <c r="D165" s="401" t="s">
        <v>274</v>
      </c>
      <c r="E165" s="522" t="str">
        <f>IF(VLOOKUP(A165,'Charriage - Geschiebehaushalt'!$A$4:$AC$275,17,FALSE)="","",VLOOKUP(A165,'Charriage - Geschiebehaushalt'!$A$4:$AC$275,17,FALSE))</f>
        <v>La remobilisation des sédiments est perturbée / Mobilisierung von Geschiebe beeinträchtigt</v>
      </c>
      <c r="F165" s="523" t="str">
        <f>IF(VLOOKUP(A165,'Charriage - Geschiebehaushalt'!$A$4:$AC$275,18,FALSE)="","",VLOOKUP(A165,'Charriage - Geschiebehaushalt'!$A$4:$AC$275,18,FALSE))</f>
        <v>b</v>
      </c>
      <c r="G165" s="524" t="str">
        <f>IF(VLOOKUP(A165,'Charriage - Geschiebehaushalt'!$A$4:$AC$275,22,FALSE)="","",VLOOKUP(A165,'Charriage - Geschiebehaushalt'!$A$4:$AC$275,22,FALSE))</f>
        <v>0-20%</v>
      </c>
      <c r="H165" s="523" t="str">
        <f>IF(VLOOKUP(A165,'Charriage - Geschiebehaushalt'!$A$4:$AC$275,23,FALSE)="","",VLOOKUP(A165,'Charriage - Geschiebehaushalt'!$A$4:$AC$275,23,FALSE))</f>
        <v>c</v>
      </c>
      <c r="I165" s="524" t="str">
        <f>IF(VLOOKUP(A165,'Charriage - Geschiebehaushalt'!$A$4:$AC$275,28,FALSE)="","",VLOOKUP(A165,'Charriage - Geschiebehaushalt'!$A$4:$AC$275,28,FALSE))</f>
        <v>0-20%</v>
      </c>
      <c r="J165" s="403" t="str">
        <f>IF(VLOOKUP(A165,'Charriage - Geschiebehaushalt'!$A$4:$AC$275,29,FALSE)="","",VLOOKUP(A165,'Charriage - Geschiebehaushalt'!$A$4:$AC$275,29,FALSE))</f>
        <v>c</v>
      </c>
      <c r="K165" s="533" t="str">
        <f>IF(VLOOKUP(A165,'Débit - Abfluss'!$A$4:$AD$275,8,FALSE)="","",VLOOKUP(A165,'Débit - Abfluss'!$A$4:$AD$275,8,FALSE))</f>
        <v>41-60%</v>
      </c>
      <c r="L165" s="468" t="str">
        <f>IF(VLOOKUP(A165,'Débit - Abfluss'!$A$4:$AD$275,10,FALSE)="","",VLOOKUP(A165,'Débit - Abfluss'!$A$4:$AD$275,10,FALSE))</f>
        <v>41-60%</v>
      </c>
      <c r="M165" s="333" t="str">
        <f>IF(VLOOKUP(A165,'Débit - Abfluss'!$A$4:$AD$275,17,FALSE)="","",VLOOKUP(A165,'Débit - Abfluss'!$A$4:$AD$275,17,FALSE))</f>
        <v>41-60%</v>
      </c>
      <c r="N165" s="340" t="str">
        <f>IF(VLOOKUP(A165,'Eclusée - Schwall-Sunk'!$A$2:$F$273,6,FALSE)="","",VLOOKUP(A165,'Eclusée - Schwall-Sunk'!$A$2:$F$273,6,FALSE))</f>
        <v>Non affecté / nicht betroffen</v>
      </c>
      <c r="O165" s="537"/>
      <c r="P165" s="538"/>
      <c r="Q165" s="284" t="str">
        <f>IF(VLOOKUP(A165,'Revitalisation-Revitalisierung'!$A$4:$Z$275,13,FALSE)="","",VLOOKUP(A165,'Revitalisation-Revitalisierung'!$A$4:$Z$275,13,FALSE))</f>
        <v>Très nécessaire, difficile / unbedingt nötig, schwierig</v>
      </c>
      <c r="R165" s="541" t="str">
        <f>IF(VLOOKUP(A165,'Revitalisation-Revitalisierung'!$A$4:$Z$275,14,FALSE)="","",VLOOKUP(A165,'Revitalisation-Revitalisierung'!$A$4:$Z$275,14,FALSE))</f>
        <v>a</v>
      </c>
      <c r="S165" s="542" t="str">
        <f>IF(VLOOKUP(A165,'Revitalisation-Revitalisierung'!$A$4:$Z$275,19,FALSE)="","",VLOOKUP(A165,'Revitalisation-Revitalisierung'!$A$4:$Z$275,19,FALSE))</f>
        <v>Très nécessaire, difficile / unbedingt nötig, schwierig</v>
      </c>
      <c r="T165" s="541" t="str">
        <f>IF(VLOOKUP(A165,'Revitalisation-Revitalisierung'!$A$4:$Z$275,20,FALSE)="","",VLOOKUP(A165,'Revitalisation-Revitalisierung'!$A$4:$Z$275,20,FALSE))</f>
        <v>e</v>
      </c>
      <c r="U165" s="542" t="str">
        <f>IF(VLOOKUP(A165,'Revitalisation-Revitalisierung'!$A$4:$Z$275,25,FALSE)="","",VLOOKUP(A165,'Revitalisation-Revitalisierung'!$A$4:$Z$275,25,FALSE))</f>
        <v>Très nécessaire, difficile / unbedingt nötig, schwierig</v>
      </c>
      <c r="V165" s="406" t="str">
        <f>IF(VLOOKUP(A165,'Revitalisation-Revitalisierung'!$A$4:$Z$275,26,FALSE)="","",VLOOKUP(A165,'Revitalisation-Revitalisierung'!$A$4:$Z$275,26,FALSE))</f>
        <v>e</v>
      </c>
      <c r="Y165" s="529" t="str">
        <f t="shared" si="14"/>
        <v>0-20%</v>
      </c>
      <c r="Z165" s="568" t="str">
        <f t="shared" si="15"/>
        <v>c</v>
      </c>
      <c r="AA165" s="327" t="str">
        <f t="shared" si="16"/>
        <v>41-60%</v>
      </c>
      <c r="AB165" s="327" t="str">
        <f t="shared" si="17"/>
        <v>Non affecté / nicht betroffen</v>
      </c>
      <c r="AC165" s="276" t="str">
        <f t="shared" si="18"/>
        <v>Très nécessaire, difficile / unbedingt nötig, schwierig</v>
      </c>
      <c r="AD165" s="570" t="str">
        <f t="shared" si="19"/>
        <v>e</v>
      </c>
      <c r="AE165">
        <v>4</v>
      </c>
      <c r="AF165">
        <v>1</v>
      </c>
    </row>
    <row r="166" spans="1:32" ht="16.5" customHeight="1" x14ac:dyDescent="0.25">
      <c r="A166" s="926">
        <v>167</v>
      </c>
      <c r="B166" s="400" t="s">
        <v>497</v>
      </c>
      <c r="C166" s="400" t="s">
        <v>484</v>
      </c>
      <c r="D166" s="401" t="s">
        <v>482</v>
      </c>
      <c r="E166" s="522" t="str">
        <f>IF(VLOOKUP(A166,'Charriage - Geschiebehaushalt'!$A$4:$AC$275,17,FALSE)="","",VLOOKUP(A166,'Charriage - Geschiebehaushalt'!$A$4:$AC$275,17,FALSE))</f>
        <v>Charriage présumé perturbé / Geschiebehaushalt vermutlich beeinträchtigt</v>
      </c>
      <c r="F166" s="523" t="str">
        <f>IF(VLOOKUP(A166,'Charriage - Geschiebehaushalt'!$A$4:$AC$275,18,FALSE)="","",VLOOKUP(A166,'Charriage - Geschiebehaushalt'!$A$4:$AC$275,18,FALSE))</f>
        <v>b</v>
      </c>
      <c r="G166" s="524" t="str">
        <f>IF(VLOOKUP(A166,'Charriage - Geschiebehaushalt'!$A$4:$AC$275,22,FALSE)="","",VLOOKUP(A166,'Charriage - Geschiebehaushalt'!$A$4:$AC$275,22,FALSE))</f>
        <v>81-100%</v>
      </c>
      <c r="H166" s="523" t="str">
        <f>IF(VLOOKUP(A166,'Charriage - Geschiebehaushalt'!$A$4:$AC$275,23,FALSE)="","",VLOOKUP(A166,'Charriage - Geschiebehaushalt'!$A$4:$AC$275,23,FALSE))</f>
        <v>c</v>
      </c>
      <c r="I166" s="524" t="str">
        <f>IF(VLOOKUP(A166,'Charriage - Geschiebehaushalt'!$A$4:$AC$275,28,FALSE)="","",VLOOKUP(A166,'Charriage - Geschiebehaushalt'!$A$4:$AC$275,28,FALSE))</f>
        <v>81-100%</v>
      </c>
      <c r="J166" s="403" t="str">
        <f>IF(VLOOKUP(A166,'Charriage - Geschiebehaushalt'!$A$4:$AC$275,29,FALSE)="","",VLOOKUP(A166,'Charriage - Geschiebehaushalt'!$A$4:$AC$275,29,FALSE))</f>
        <v>c</v>
      </c>
      <c r="K166" s="533" t="str">
        <f>IF(VLOOKUP(A166,'Débit - Abfluss'!$A$4:$AD$275,8,FALSE)="","",VLOOKUP(A166,'Débit - Abfluss'!$A$4:$AD$275,8,FALSE))</f>
        <v>81-100%</v>
      </c>
      <c r="L166" s="468" t="str">
        <f>IF(VLOOKUP(A166,'Débit - Abfluss'!$A$4:$AD$275,10,FALSE)="","",VLOOKUP(A166,'Débit - Abfluss'!$A$4:$AD$275,10,FALSE))</f>
        <v>81-100%</v>
      </c>
      <c r="M166" s="333" t="str">
        <f>IF(VLOOKUP(A166,'Débit - Abfluss'!$A$4:$AD$275,17,FALSE)="","",VLOOKUP(A166,'Débit - Abfluss'!$A$4:$AD$275,17,FALSE))</f>
        <v>81-100%</v>
      </c>
      <c r="N166" s="340" t="str">
        <f>IF(VLOOKUP(A166,'Eclusée - Schwall-Sunk'!$A$2:$F$273,6,FALSE)="","",VLOOKUP(A166,'Eclusée - Schwall-Sunk'!$A$2:$F$273,6,FALSE))</f>
        <v>Potentiellement affecté / möglicherweise betroffen</v>
      </c>
      <c r="O166" s="537"/>
      <c r="P166" s="538"/>
      <c r="Q166" s="284" t="str">
        <f>IF(VLOOKUP(A166,'Revitalisation-Revitalisierung'!$A$4:$Z$275,13,FALSE)="","",VLOOKUP(A166,'Revitalisation-Revitalisierung'!$A$4:$Z$275,13,FALSE))</f>
        <v>Très nécessaire, facile / unbedingt nötig, einfach</v>
      </c>
      <c r="R166" s="541" t="str">
        <f>IF(VLOOKUP(A166,'Revitalisation-Revitalisierung'!$A$4:$Z$275,14,FALSE)="","",VLOOKUP(A166,'Revitalisation-Revitalisierung'!$A$4:$Z$275,14,FALSE))</f>
        <v>a</v>
      </c>
      <c r="S166" s="542" t="str">
        <f>IF(VLOOKUP(A166,'Revitalisation-Revitalisierung'!$A$4:$Z$275,19,FALSE)="","",VLOOKUP(A166,'Revitalisation-Revitalisierung'!$A$4:$Z$275,19,FALSE))</f>
        <v>Très nécessaire, facile / unbedingt nötig, einfach</v>
      </c>
      <c r="T166" s="541" t="str">
        <f>IF(VLOOKUP(A166,'Revitalisation-Revitalisierung'!$A$4:$Z$275,20,FALSE)="","",VLOOKUP(A166,'Revitalisation-Revitalisierung'!$A$4:$Z$275,20,FALSE))</f>
        <v>d</v>
      </c>
      <c r="U166" s="542" t="str">
        <f>IF(VLOOKUP(A166,'Revitalisation-Revitalisierung'!$A$4:$Z$275,25,FALSE)="","",VLOOKUP(A166,'Revitalisation-Revitalisierung'!$A$4:$Z$275,25,FALSE))</f>
        <v>Très nécessaire, facile / unbedingt nötig, einfach</v>
      </c>
      <c r="V166" s="406" t="str">
        <f>IF(VLOOKUP(A166,'Revitalisation-Revitalisierung'!$A$4:$Z$275,26,FALSE)="","",VLOOKUP(A166,'Revitalisation-Revitalisierung'!$A$4:$Z$275,26,FALSE))</f>
        <v>d</v>
      </c>
      <c r="Y166" s="529" t="str">
        <f t="shared" si="14"/>
        <v>81-100%</v>
      </c>
      <c r="Z166" s="568" t="str">
        <f t="shared" si="15"/>
        <v>c</v>
      </c>
      <c r="AA166" s="327" t="str">
        <f t="shared" si="16"/>
        <v>81-100%</v>
      </c>
      <c r="AB166" s="327" t="str">
        <f t="shared" si="17"/>
        <v>Potentiellement affecté / möglicherweise betroffen</v>
      </c>
      <c r="AC166" s="276" t="str">
        <f t="shared" si="18"/>
        <v>Très nécessaire, facile / unbedingt nötig, einfach</v>
      </c>
      <c r="AD166" s="570" t="str">
        <f t="shared" si="19"/>
        <v>d</v>
      </c>
      <c r="AE166">
        <v>4</v>
      </c>
      <c r="AF166">
        <v>1</v>
      </c>
    </row>
    <row r="167" spans="1:32" ht="16.5" customHeight="1" x14ac:dyDescent="0.25">
      <c r="A167" s="926">
        <v>168</v>
      </c>
      <c r="B167" s="400" t="s">
        <v>499</v>
      </c>
      <c r="C167" s="400" t="s">
        <v>484</v>
      </c>
      <c r="D167" s="401" t="s">
        <v>482</v>
      </c>
      <c r="E167" s="522" t="str">
        <f>IF(VLOOKUP(A167,'Charriage - Geschiebehaushalt'!$A$4:$AC$275,17,FALSE)="","",VLOOKUP(A167,'Charriage - Geschiebehaushalt'!$A$4:$AC$275,17,FALSE))</f>
        <v>Charriage présumé perturbé / Geschiebehaushalt vermutlich beeinträchtigt</v>
      </c>
      <c r="F167" s="523" t="str">
        <f>IF(VLOOKUP(A167,'Charriage - Geschiebehaushalt'!$A$4:$AC$275,18,FALSE)="","",VLOOKUP(A167,'Charriage - Geschiebehaushalt'!$A$4:$AC$275,18,FALSE))</f>
        <v>b</v>
      </c>
      <c r="G167" s="524" t="str">
        <f>IF(VLOOKUP(A167,'Charriage - Geschiebehaushalt'!$A$4:$AC$275,22,FALSE)="","",VLOOKUP(A167,'Charriage - Geschiebehaushalt'!$A$4:$AC$275,22,FALSE))</f>
        <v>81-100%</v>
      </c>
      <c r="H167" s="523" t="str">
        <f>IF(VLOOKUP(A167,'Charriage - Geschiebehaushalt'!$A$4:$AC$275,23,FALSE)="","",VLOOKUP(A167,'Charriage - Geschiebehaushalt'!$A$4:$AC$275,23,FALSE))</f>
        <v>c</v>
      </c>
      <c r="I167" s="524" t="str">
        <f>IF(VLOOKUP(A167,'Charriage - Geschiebehaushalt'!$A$4:$AC$275,28,FALSE)="","",VLOOKUP(A167,'Charriage - Geschiebehaushalt'!$A$4:$AC$275,28,FALSE))</f>
        <v>81-100%</v>
      </c>
      <c r="J167" s="403" t="str">
        <f>IF(VLOOKUP(A167,'Charriage - Geschiebehaushalt'!$A$4:$AC$275,29,FALSE)="","",VLOOKUP(A167,'Charriage - Geschiebehaushalt'!$A$4:$AC$275,29,FALSE))</f>
        <v>c</v>
      </c>
      <c r="K167" s="533" t="str">
        <f>IF(VLOOKUP(A167,'Débit - Abfluss'!$A$4:$AD$275,8,FALSE)="","",VLOOKUP(A167,'Débit - Abfluss'!$A$4:$AD$275,8,FALSE))</f>
        <v>81-100%</v>
      </c>
      <c r="L167" s="468" t="str">
        <f>IF(VLOOKUP(A167,'Débit - Abfluss'!$A$4:$AD$275,10,FALSE)="","",VLOOKUP(A167,'Débit - Abfluss'!$A$4:$AD$275,10,FALSE))</f>
        <v>81-100%</v>
      </c>
      <c r="M167" s="333" t="str">
        <f>IF(VLOOKUP(A167,'Débit - Abfluss'!$A$4:$AD$275,17,FALSE)="","",VLOOKUP(A167,'Débit - Abfluss'!$A$4:$AD$275,17,FALSE))</f>
        <v>81-100%</v>
      </c>
      <c r="N167" s="340" t="str">
        <f>IF(VLOOKUP(A167,'Eclusée - Schwall-Sunk'!$A$2:$F$273,6,FALSE)="","",VLOOKUP(A167,'Eclusée - Schwall-Sunk'!$A$2:$F$273,6,FALSE))</f>
        <v>Potentiellement affecté / möglicherweise betroffen</v>
      </c>
      <c r="O167" s="537"/>
      <c r="P167" s="538"/>
      <c r="Q167" s="284" t="str">
        <f>IF(VLOOKUP(A167,'Revitalisation-Revitalisierung'!$A$4:$Z$275,13,FALSE)="","",VLOOKUP(A167,'Revitalisation-Revitalisierung'!$A$4:$Z$275,13,FALSE))</f>
        <v>Très nécessaire, facile / unbedingt nötig, einfach</v>
      </c>
      <c r="R167" s="541" t="str">
        <f>IF(VLOOKUP(A167,'Revitalisation-Revitalisierung'!$A$4:$Z$275,14,FALSE)="","",VLOOKUP(A167,'Revitalisation-Revitalisierung'!$A$4:$Z$275,14,FALSE))</f>
        <v>a</v>
      </c>
      <c r="S167" s="542" t="str">
        <f>IF(VLOOKUP(A167,'Revitalisation-Revitalisierung'!$A$4:$Z$275,19,FALSE)="","",VLOOKUP(A167,'Revitalisation-Revitalisierung'!$A$4:$Z$275,19,FALSE))</f>
        <v>Très nécessaire, facile / unbedingt nötig, einfach</v>
      </c>
      <c r="T167" s="541" t="str">
        <f>IF(VLOOKUP(A167,'Revitalisation-Revitalisierung'!$A$4:$Z$275,20,FALSE)="","",VLOOKUP(A167,'Revitalisation-Revitalisierung'!$A$4:$Z$275,20,FALSE))</f>
        <v>d</v>
      </c>
      <c r="U167" s="542" t="str">
        <f>IF(VLOOKUP(A167,'Revitalisation-Revitalisierung'!$A$4:$Z$275,25,FALSE)="","",VLOOKUP(A167,'Revitalisation-Revitalisierung'!$A$4:$Z$275,25,FALSE))</f>
        <v>Très nécessaire, facile / unbedingt nötig, einfach</v>
      </c>
      <c r="V167" s="406" t="str">
        <f>IF(VLOOKUP(A167,'Revitalisation-Revitalisierung'!$A$4:$Z$275,26,FALSE)="","",VLOOKUP(A167,'Revitalisation-Revitalisierung'!$A$4:$Z$275,26,FALSE))</f>
        <v>d</v>
      </c>
      <c r="Y167" s="529" t="str">
        <f t="shared" si="14"/>
        <v>81-100%</v>
      </c>
      <c r="Z167" s="568" t="str">
        <f t="shared" si="15"/>
        <v>c</v>
      </c>
      <c r="AA167" s="327" t="str">
        <f t="shared" si="16"/>
        <v>81-100%</v>
      </c>
      <c r="AB167" s="327" t="str">
        <f t="shared" si="17"/>
        <v>Potentiellement affecté / möglicherweise betroffen</v>
      </c>
      <c r="AC167" s="276" t="str">
        <f t="shared" si="18"/>
        <v>Très nécessaire, facile / unbedingt nötig, einfach</v>
      </c>
      <c r="AD167" s="570" t="str">
        <f t="shared" si="19"/>
        <v>d</v>
      </c>
      <c r="AE167">
        <v>4</v>
      </c>
      <c r="AF167">
        <v>1</v>
      </c>
    </row>
    <row r="168" spans="1:32" ht="16.5" customHeight="1" x14ac:dyDescent="0.25">
      <c r="A168" s="927">
        <v>169.1</v>
      </c>
      <c r="B168" s="400" t="s">
        <v>500</v>
      </c>
      <c r="C168" s="400" t="s">
        <v>501</v>
      </c>
      <c r="D168" s="401" t="s">
        <v>482</v>
      </c>
      <c r="E168" s="522" t="str">
        <f>IF(VLOOKUP(A168,'Charriage - Geschiebehaushalt'!$A$4:$AC$275,17,FALSE)="","",VLOOKUP(A168,'Charriage - Geschiebehaushalt'!$A$4:$AC$275,17,FALSE))</f>
        <v>Charriage présumé perturbé / Geschiebehaushalt vermutlich beeinträchtigt</v>
      </c>
      <c r="F168" s="523" t="str">
        <f>IF(VLOOKUP(A168,'Charriage - Geschiebehaushalt'!$A$4:$AC$275,18,FALSE)="","",VLOOKUP(A168,'Charriage - Geschiebehaushalt'!$A$4:$AC$275,18,FALSE))</f>
        <v>b</v>
      </c>
      <c r="G168" s="524" t="str">
        <f>IF(VLOOKUP(A168,'Charriage - Geschiebehaushalt'!$A$4:$AC$275,22,FALSE)="","",VLOOKUP(A168,'Charriage - Geschiebehaushalt'!$A$4:$AC$275,22,FALSE))</f>
        <v>81-100%</v>
      </c>
      <c r="H168" s="523" t="str">
        <f>IF(VLOOKUP(A168,'Charriage - Geschiebehaushalt'!$A$4:$AC$275,23,FALSE)="","",VLOOKUP(A168,'Charriage - Geschiebehaushalt'!$A$4:$AC$275,23,FALSE))</f>
        <v>c</v>
      </c>
      <c r="I168" s="524" t="str">
        <f>IF(VLOOKUP(A168,'Charriage - Geschiebehaushalt'!$A$4:$AC$275,28,FALSE)="","",VLOOKUP(A168,'Charriage - Geschiebehaushalt'!$A$4:$AC$275,28,FALSE))</f>
        <v>81-100%</v>
      </c>
      <c r="J168" s="403" t="str">
        <f>IF(VLOOKUP(A168,'Charriage - Geschiebehaushalt'!$A$4:$AC$275,29,FALSE)="","",VLOOKUP(A168,'Charriage - Geschiebehaushalt'!$A$4:$AC$275,29,FALSE))</f>
        <v>c</v>
      </c>
      <c r="K168" s="533" t="str">
        <f>IF(VLOOKUP(A168,'Débit - Abfluss'!$A$4:$AD$275,8,FALSE)="","",VLOOKUP(A168,'Débit - Abfluss'!$A$4:$AD$275,8,FALSE))</f>
        <v>81-100%</v>
      </c>
      <c r="L168" s="468" t="str">
        <f>IF(VLOOKUP(A168,'Débit - Abfluss'!$A$4:$AD$275,10,FALSE)="","",VLOOKUP(A168,'Débit - Abfluss'!$A$4:$AD$275,10,FALSE))</f>
        <v>81-100%</v>
      </c>
      <c r="M168" s="333" t="str">
        <f>IF(VLOOKUP(A168,'Débit - Abfluss'!$A$4:$AD$275,17,FALSE)="","",VLOOKUP(A168,'Débit - Abfluss'!$A$4:$AD$275,17,FALSE))</f>
        <v>81-100%</v>
      </c>
      <c r="N168" s="340" t="str">
        <f>IF(VLOOKUP(A168,'Eclusée - Schwall-Sunk'!$A$2:$F$273,6,FALSE)="","",VLOOKUP(A168,'Eclusée - Schwall-Sunk'!$A$2:$F$273,6,FALSE))</f>
        <v>Potentiellement affecté / möglicherweise betroffen</v>
      </c>
      <c r="O168" s="537"/>
      <c r="P168" s="538"/>
      <c r="Q168" s="284" t="str">
        <f>IF(VLOOKUP(A168,'Revitalisation-Revitalisierung'!$A$4:$Z$275,13,FALSE)="","",VLOOKUP(A168,'Revitalisation-Revitalisierung'!$A$4:$Z$275,13,FALSE))</f>
        <v>Non nécessaire / nicht nötig</v>
      </c>
      <c r="R168" s="541" t="str">
        <f>IF(VLOOKUP(A168,'Revitalisation-Revitalisierung'!$A$4:$Z$275,14,FALSE)="","",VLOOKUP(A168,'Revitalisation-Revitalisierung'!$A$4:$Z$275,14,FALSE))</f>
        <v>a</v>
      </c>
      <c r="S168" s="542" t="str">
        <f>IF(VLOOKUP(A168,'Revitalisation-Revitalisierung'!$A$4:$Z$275,19,FALSE)="","",VLOOKUP(A168,'Revitalisation-Revitalisierung'!$A$4:$Z$275,19,FALSE))</f>
        <v>Non nécessaire / nicht nötig</v>
      </c>
      <c r="T168" s="541" t="str">
        <f>IF(VLOOKUP(A168,'Revitalisation-Revitalisierung'!$A$4:$Z$275,20,FALSE)="","",VLOOKUP(A168,'Revitalisation-Revitalisierung'!$A$4:$Z$275,20,FALSE))</f>
        <v>a</v>
      </c>
      <c r="U168" s="542" t="str">
        <f>IF(VLOOKUP(A168,'Revitalisation-Revitalisierung'!$A$4:$Z$275,25,FALSE)="","",VLOOKUP(A168,'Revitalisation-Revitalisierung'!$A$4:$Z$275,25,FALSE))</f>
        <v>Non nécessaire / nicht nötig</v>
      </c>
      <c r="V168" s="406" t="str">
        <f>IF(VLOOKUP(A168,'Revitalisation-Revitalisierung'!$A$4:$Z$275,26,FALSE)="","",VLOOKUP(A168,'Revitalisation-Revitalisierung'!$A$4:$Z$275,26,FALSE))</f>
        <v>a</v>
      </c>
      <c r="Y168" s="529" t="str">
        <f t="shared" si="14"/>
        <v>81-100%</v>
      </c>
      <c r="Z168" s="568" t="str">
        <f t="shared" si="15"/>
        <v>c</v>
      </c>
      <c r="AA168" s="327" t="str">
        <f t="shared" si="16"/>
        <v>81-100%</v>
      </c>
      <c r="AB168" s="327" t="str">
        <f t="shared" si="17"/>
        <v>Potentiellement affecté / möglicherweise betroffen</v>
      </c>
      <c r="AC168" s="276" t="str">
        <f t="shared" si="18"/>
        <v>Non nécessaire / nicht nötig</v>
      </c>
      <c r="AD168" s="570" t="str">
        <f t="shared" si="19"/>
        <v>a</v>
      </c>
      <c r="AE168">
        <v>2</v>
      </c>
      <c r="AF168">
        <v>1</v>
      </c>
    </row>
    <row r="169" spans="1:32" ht="16.5" customHeight="1" x14ac:dyDescent="0.25">
      <c r="A169" s="927">
        <v>169.2</v>
      </c>
      <c r="B169" s="400" t="s">
        <v>500</v>
      </c>
      <c r="C169" s="400" t="s">
        <v>501</v>
      </c>
      <c r="D169" s="401" t="s">
        <v>482</v>
      </c>
      <c r="E169" s="522" t="str">
        <f>IF(VLOOKUP(A169,'Charriage - Geschiebehaushalt'!$A$4:$AC$275,17,FALSE)="","",VLOOKUP(A169,'Charriage - Geschiebehaushalt'!$A$4:$AC$275,17,FALSE))</f>
        <v>Charriage présumé perturbé / Geschiebehaushalt vermutlich beeinträchtigt</v>
      </c>
      <c r="F169" s="523" t="str">
        <f>IF(VLOOKUP(A169,'Charriage - Geschiebehaushalt'!$A$4:$AC$275,18,FALSE)="","",VLOOKUP(A169,'Charriage - Geschiebehaushalt'!$A$4:$AC$275,18,FALSE))</f>
        <v>b</v>
      </c>
      <c r="G169" s="524" t="str">
        <f>IF(VLOOKUP(A169,'Charriage - Geschiebehaushalt'!$A$4:$AC$275,22,FALSE)="","",VLOOKUP(A169,'Charriage - Geschiebehaushalt'!$A$4:$AC$275,22,FALSE))</f>
        <v>81-100%</v>
      </c>
      <c r="H169" s="523" t="str">
        <f>IF(VLOOKUP(A169,'Charriage - Geschiebehaushalt'!$A$4:$AC$275,23,FALSE)="","",VLOOKUP(A169,'Charriage - Geschiebehaushalt'!$A$4:$AC$275,23,FALSE))</f>
        <v>c</v>
      </c>
      <c r="I169" s="524" t="str">
        <f>IF(VLOOKUP(A169,'Charriage - Geschiebehaushalt'!$A$4:$AC$275,28,FALSE)="","",VLOOKUP(A169,'Charriage - Geschiebehaushalt'!$A$4:$AC$275,28,FALSE))</f>
        <v>81-100%</v>
      </c>
      <c r="J169" s="403" t="str">
        <f>IF(VLOOKUP(A169,'Charriage - Geschiebehaushalt'!$A$4:$AC$275,29,FALSE)="","",VLOOKUP(A169,'Charriage - Geschiebehaushalt'!$A$4:$AC$275,29,FALSE))</f>
        <v>c</v>
      </c>
      <c r="K169" s="533" t="str">
        <f>IF(VLOOKUP(A169,'Débit - Abfluss'!$A$4:$AD$275,8,FALSE)="","",VLOOKUP(A169,'Débit - Abfluss'!$A$4:$AD$275,8,FALSE))</f>
        <v>81-100%</v>
      </c>
      <c r="L169" s="468" t="str">
        <f>IF(VLOOKUP(A169,'Débit - Abfluss'!$A$4:$AD$275,10,FALSE)="","",VLOOKUP(A169,'Débit - Abfluss'!$A$4:$AD$275,10,FALSE))</f>
        <v>81-100%</v>
      </c>
      <c r="M169" s="333" t="str">
        <f>IF(VLOOKUP(A169,'Débit - Abfluss'!$A$4:$AD$275,17,FALSE)="","",VLOOKUP(A169,'Débit - Abfluss'!$A$4:$AD$275,17,FALSE))</f>
        <v>81-100%</v>
      </c>
      <c r="N169" s="340" t="str">
        <f>IF(VLOOKUP(A169,'Eclusée - Schwall-Sunk'!$A$2:$F$273,6,FALSE)="","",VLOOKUP(A169,'Eclusée - Schwall-Sunk'!$A$2:$F$273,6,FALSE))</f>
        <v>Potentiellement affecté / möglicherweise betroffen</v>
      </c>
      <c r="O169" s="537"/>
      <c r="P169" s="538"/>
      <c r="Q169" s="284" t="str">
        <f>IF(VLOOKUP(A169,'Revitalisation-Revitalisierung'!$A$4:$Z$275,13,FALSE)="","",VLOOKUP(A169,'Revitalisation-Revitalisierung'!$A$4:$Z$275,13,FALSE))</f>
        <v>Très nécessaire, facile / unbedingt nötig, einfach</v>
      </c>
      <c r="R169" s="541" t="str">
        <f>IF(VLOOKUP(A169,'Revitalisation-Revitalisierung'!$A$4:$Z$275,14,FALSE)="","",VLOOKUP(A169,'Revitalisation-Revitalisierung'!$A$4:$Z$275,14,FALSE))</f>
        <v>b</v>
      </c>
      <c r="S169" s="542" t="str">
        <f>IF(VLOOKUP(A169,'Revitalisation-Revitalisierung'!$A$4:$Z$275,19,FALSE)="","",VLOOKUP(A169,'Revitalisation-Revitalisierung'!$A$4:$Z$275,19,FALSE))</f>
        <v>Très nécessaire, facile / unbedingt nötig, einfach</v>
      </c>
      <c r="T169" s="541" t="str">
        <f>IF(VLOOKUP(A169,'Revitalisation-Revitalisierung'!$A$4:$Z$275,20,FALSE)="","",VLOOKUP(A169,'Revitalisation-Revitalisierung'!$A$4:$Z$275,20,FALSE))</f>
        <v>d</v>
      </c>
      <c r="U169" s="542" t="str">
        <f>IF(VLOOKUP(A169,'Revitalisation-Revitalisierung'!$A$4:$Z$275,25,FALSE)="","",VLOOKUP(A169,'Revitalisation-Revitalisierung'!$A$4:$Z$275,25,FALSE))</f>
        <v>Très nécessaire, facile / unbedingt nötig, einfach</v>
      </c>
      <c r="V169" s="406" t="str">
        <f>IF(VLOOKUP(A169,'Revitalisation-Revitalisierung'!$A$4:$Z$275,26,FALSE)="","",VLOOKUP(A169,'Revitalisation-Revitalisierung'!$A$4:$Z$275,26,FALSE))</f>
        <v>d</v>
      </c>
      <c r="Y169" s="529" t="str">
        <f t="shared" si="14"/>
        <v>81-100%</v>
      </c>
      <c r="Z169" s="568" t="str">
        <f t="shared" si="15"/>
        <v>c</v>
      </c>
      <c r="AA169" s="327" t="str">
        <f t="shared" si="16"/>
        <v>81-100%</v>
      </c>
      <c r="AB169" s="327" t="str">
        <f t="shared" si="17"/>
        <v>Potentiellement affecté / möglicherweise betroffen</v>
      </c>
      <c r="AC169" s="276" t="str">
        <f t="shared" si="18"/>
        <v>Très nécessaire, facile / unbedingt nötig, einfach</v>
      </c>
      <c r="AD169" s="570" t="str">
        <f t="shared" si="19"/>
        <v>d</v>
      </c>
      <c r="AE169">
        <v>4</v>
      </c>
      <c r="AF169">
        <v>1</v>
      </c>
    </row>
    <row r="170" spans="1:32" ht="16.5" customHeight="1" x14ac:dyDescent="0.25">
      <c r="A170" s="926">
        <v>170</v>
      </c>
      <c r="B170" s="400" t="s">
        <v>502</v>
      </c>
      <c r="C170" s="400" t="s">
        <v>503</v>
      </c>
      <c r="D170" s="401" t="s">
        <v>482</v>
      </c>
      <c r="E170" s="522" t="str">
        <f>IF(VLOOKUP(A170,'Charriage - Geschiebehaushalt'!$A$4:$AC$275,17,FALSE)="","",VLOOKUP(A170,'Charriage - Geschiebehaushalt'!$A$4:$AC$275,17,FALSE))</f>
        <v>Charriage présumé perturbé / Geschiebehaushalt vermutlich beeinträchtigt</v>
      </c>
      <c r="F170" s="523" t="str">
        <f>IF(VLOOKUP(A170,'Charriage - Geschiebehaushalt'!$A$4:$AC$275,18,FALSE)="","",VLOOKUP(A170,'Charriage - Geschiebehaushalt'!$A$4:$AC$275,18,FALSE))</f>
        <v>b</v>
      </c>
      <c r="G170" s="524" t="str">
        <f>IF(VLOOKUP(A170,'Charriage - Geschiebehaushalt'!$A$4:$AC$275,22,FALSE)="","",VLOOKUP(A170,'Charriage - Geschiebehaushalt'!$A$4:$AC$275,22,FALSE))</f>
        <v>51-80%</v>
      </c>
      <c r="H170" s="523" t="str">
        <f>IF(VLOOKUP(A170,'Charriage - Geschiebehaushalt'!$A$4:$AC$275,23,FALSE)="","",VLOOKUP(A170,'Charriage - Geschiebehaushalt'!$A$4:$AC$275,23,FALSE))</f>
        <v>b</v>
      </c>
      <c r="I170" s="524" t="str">
        <f>IF(VLOOKUP(A170,'Charriage - Geschiebehaushalt'!$A$4:$AC$275,28,FALSE)="","",VLOOKUP(A170,'Charriage - Geschiebehaushalt'!$A$4:$AC$275,28,FALSE))</f>
        <v>51-80%</v>
      </c>
      <c r="J170" s="403" t="str">
        <f>IF(VLOOKUP(A170,'Charriage - Geschiebehaushalt'!$A$4:$AC$275,29,FALSE)="","",VLOOKUP(A170,'Charriage - Geschiebehaushalt'!$A$4:$AC$275,29,FALSE))</f>
        <v>b</v>
      </c>
      <c r="K170" s="533" t="str">
        <f>IF(VLOOKUP(A170,'Débit - Abfluss'!$A$4:$AD$275,8,FALSE)="","",VLOOKUP(A170,'Débit - Abfluss'!$A$4:$AD$275,8,FALSE))</f>
        <v>21-40%</v>
      </c>
      <c r="L170" s="468" t="str">
        <f>IF(VLOOKUP(A170,'Débit - Abfluss'!$A$4:$AD$275,10,FALSE)="","",VLOOKUP(A170,'Débit - Abfluss'!$A$4:$AD$275,10,FALSE))</f>
        <v>21-40%</v>
      </c>
      <c r="M170" s="333" t="str">
        <f>IF(VLOOKUP(A170,'Débit - Abfluss'!$A$4:$AD$275,17,FALSE)="","",VLOOKUP(A170,'Débit - Abfluss'!$A$4:$AD$275,17,FALSE))</f>
        <v>21-40%</v>
      </c>
      <c r="N170" s="340" t="str">
        <f>IF(VLOOKUP(A170,'Eclusée - Schwall-Sunk'!$A$2:$F$273,6,FALSE)="","",VLOOKUP(A170,'Eclusée - Schwall-Sunk'!$A$2:$F$273,6,FALSE))</f>
        <v>Non affecté / nicht betroffen</v>
      </c>
      <c r="O170" s="537"/>
      <c r="P170" s="538"/>
      <c r="Q170" s="284" t="str">
        <f>IF(VLOOKUP(A170,'Revitalisation-Revitalisierung'!$A$4:$Z$275,13,FALSE)="","",VLOOKUP(A170,'Revitalisation-Revitalisierung'!$A$4:$Z$275,13,FALSE))</f>
        <v>Très nécessaire, facile / unbedingt nötig, einfach</v>
      </c>
      <c r="R170" s="541" t="str">
        <f>IF(VLOOKUP(A170,'Revitalisation-Revitalisierung'!$A$4:$Z$275,14,FALSE)="","",VLOOKUP(A170,'Revitalisation-Revitalisierung'!$A$4:$Z$275,14,FALSE))</f>
        <v>b</v>
      </c>
      <c r="S170" s="542" t="str">
        <f>IF(VLOOKUP(A170,'Revitalisation-Revitalisierung'!$A$4:$Z$275,19,FALSE)="","",VLOOKUP(A170,'Revitalisation-Revitalisierung'!$A$4:$Z$275,19,FALSE))</f>
        <v>Très nécessaire, facile / unbedingt nötig, einfach</v>
      </c>
      <c r="T170" s="541" t="str">
        <f>IF(VLOOKUP(A170,'Revitalisation-Revitalisierung'!$A$4:$Z$275,20,FALSE)="","",VLOOKUP(A170,'Revitalisation-Revitalisierung'!$A$4:$Z$275,20,FALSE))</f>
        <v>d</v>
      </c>
      <c r="U170" s="542" t="str">
        <f>IF(VLOOKUP(A170,'Revitalisation-Revitalisierung'!$A$4:$Z$275,25,FALSE)="","",VLOOKUP(A170,'Revitalisation-Revitalisierung'!$A$4:$Z$275,25,FALSE))</f>
        <v>Très nécessaire, facile / unbedingt nötig, einfach</v>
      </c>
      <c r="V170" s="406" t="str">
        <f>IF(VLOOKUP(A170,'Revitalisation-Revitalisierung'!$A$4:$Z$275,26,FALSE)="","",VLOOKUP(A170,'Revitalisation-Revitalisierung'!$A$4:$Z$275,26,FALSE))</f>
        <v>d</v>
      </c>
      <c r="Y170" s="529" t="str">
        <f t="shared" si="14"/>
        <v>51-80%</v>
      </c>
      <c r="Z170" s="568" t="str">
        <f t="shared" si="15"/>
        <v>b</v>
      </c>
      <c r="AA170" s="327" t="str">
        <f t="shared" si="16"/>
        <v>21-40%</v>
      </c>
      <c r="AB170" s="327" t="str">
        <f t="shared" si="17"/>
        <v>Non affecté / nicht betroffen</v>
      </c>
      <c r="AC170" s="276" t="str">
        <f t="shared" si="18"/>
        <v>Très nécessaire, facile / unbedingt nötig, einfach</v>
      </c>
      <c r="AD170" s="570" t="str">
        <f t="shared" si="19"/>
        <v>d</v>
      </c>
      <c r="AE170">
        <v>4</v>
      </c>
      <c r="AF170">
        <v>1</v>
      </c>
    </row>
    <row r="171" spans="1:32" ht="16.5" customHeight="1" x14ac:dyDescent="0.25">
      <c r="A171" s="928">
        <v>171</v>
      </c>
      <c r="B171" s="400" t="s">
        <v>503</v>
      </c>
      <c r="C171" s="400" t="s">
        <v>503</v>
      </c>
      <c r="D171" s="401" t="s">
        <v>482</v>
      </c>
      <c r="E171" s="522" t="str">
        <f>IF(VLOOKUP(A171,'Charriage - Geschiebehaushalt'!$A$4:$AC$275,17,FALSE)="","",VLOOKUP(A171,'Charriage - Geschiebehaushalt'!$A$4:$AC$275,17,FALSE))</f>
        <v>Charriage présumé perturbé / Geschiebehaushalt vermutlich beeinträchtigt</v>
      </c>
      <c r="F171" s="523" t="str">
        <f>IF(VLOOKUP(A171,'Charriage - Geschiebehaushalt'!$A$4:$AC$275,18,FALSE)="","",VLOOKUP(A171,'Charriage - Geschiebehaushalt'!$A$4:$AC$275,18,FALSE))</f>
        <v>b</v>
      </c>
      <c r="G171" s="524" t="str">
        <f>IF(VLOOKUP(A171,'Charriage - Geschiebehaushalt'!$A$4:$AC$275,22,FALSE)="","",VLOOKUP(A171,'Charriage - Geschiebehaushalt'!$A$4:$AC$275,22,FALSE))</f>
        <v>51-80%</v>
      </c>
      <c r="H171" s="523" t="str">
        <f>IF(VLOOKUP(A171,'Charriage - Geschiebehaushalt'!$A$4:$AC$275,23,FALSE)="","",VLOOKUP(A171,'Charriage - Geschiebehaushalt'!$A$4:$AC$275,23,FALSE))</f>
        <v>b</v>
      </c>
      <c r="I171" s="524" t="str">
        <f>IF(VLOOKUP(A171,'Charriage - Geschiebehaushalt'!$A$4:$AC$275,28,FALSE)="","",VLOOKUP(A171,'Charriage - Geschiebehaushalt'!$A$4:$AC$275,28,FALSE))</f>
        <v>51-80%</v>
      </c>
      <c r="J171" s="403" t="str">
        <f>IF(VLOOKUP(A171,'Charriage - Geschiebehaushalt'!$A$4:$AC$275,29,FALSE)="","",VLOOKUP(A171,'Charriage - Geschiebehaushalt'!$A$4:$AC$275,29,FALSE))</f>
        <v>b</v>
      </c>
      <c r="K171" s="533" t="str">
        <f>IF(VLOOKUP(A171,'Débit - Abfluss'!$A$4:$AD$275,8,FALSE)="","",VLOOKUP(A171,'Débit - Abfluss'!$A$4:$AD$275,8,FALSE))</f>
        <v>21-40%</v>
      </c>
      <c r="L171" s="468" t="str">
        <f>IF(VLOOKUP(A171,'Débit - Abfluss'!$A$4:$AD$275,10,FALSE)="","",VLOOKUP(A171,'Débit - Abfluss'!$A$4:$AD$275,10,FALSE))</f>
        <v>21-40%</v>
      </c>
      <c r="M171" s="333" t="str">
        <f>IF(VLOOKUP(A171,'Débit - Abfluss'!$A$4:$AD$275,17,FALSE)="","",VLOOKUP(A171,'Débit - Abfluss'!$A$4:$AD$275,17,FALSE))</f>
        <v>21-40%</v>
      </c>
      <c r="N171" s="340" t="str">
        <f>IF(VLOOKUP(A171,'Eclusée - Schwall-Sunk'!$A$2:$F$273,6,FALSE)="","",VLOOKUP(A171,'Eclusée - Schwall-Sunk'!$A$2:$F$273,6,FALSE))</f>
        <v>Non affecté / nicht betroffen</v>
      </c>
      <c r="O171" s="537"/>
      <c r="P171" s="538"/>
      <c r="Q171" s="284" t="str">
        <f>IF(VLOOKUP(A171,'Revitalisation-Revitalisierung'!$A$4:$Z$275,13,FALSE)="","",VLOOKUP(A171,'Revitalisation-Revitalisierung'!$A$4:$Z$275,13,FALSE))</f>
        <v>Partiellement nécessaire, difficile / teilweise nötig, schwierig</v>
      </c>
      <c r="R171" s="541" t="str">
        <f>IF(VLOOKUP(A171,'Revitalisation-Revitalisierung'!$A$4:$Z$275,14,FALSE)="","",VLOOKUP(A171,'Revitalisation-Revitalisierung'!$A$4:$Z$275,14,FALSE))</f>
        <v>a</v>
      </c>
      <c r="S171" s="542" t="str">
        <f>IF(VLOOKUP(A171,'Revitalisation-Revitalisierung'!$A$4:$Z$275,19,FALSE)="","",VLOOKUP(A171,'Revitalisation-Revitalisierung'!$A$4:$Z$275,19,FALSE))</f>
        <v>Partiellement nécessaire, difficile / teilweise nötig, schwierig</v>
      </c>
      <c r="T171" s="541" t="str">
        <f>IF(VLOOKUP(A171,'Revitalisation-Revitalisierung'!$A$4:$Z$275,20,FALSE)="","",VLOOKUP(A171,'Revitalisation-Revitalisierung'!$A$4:$Z$275,20,FALSE))</f>
        <v>d</v>
      </c>
      <c r="U171" s="542" t="str">
        <f>IF(VLOOKUP(A171,'Revitalisation-Revitalisierung'!$A$4:$Z$275,25,FALSE)="","",VLOOKUP(A171,'Revitalisation-Revitalisierung'!$A$4:$Z$275,25,FALSE))</f>
        <v>Partiellement nécessaire, difficile / teilweise nötig, schwierig</v>
      </c>
      <c r="V171" s="406" t="str">
        <f>IF(VLOOKUP(A171,'Revitalisation-Revitalisierung'!$A$4:$Z$275,26,FALSE)="","",VLOOKUP(A171,'Revitalisation-Revitalisierung'!$A$4:$Z$275,26,FALSE))</f>
        <v>d</v>
      </c>
      <c r="Y171" s="529" t="str">
        <f t="shared" si="14"/>
        <v>51-80%</v>
      </c>
      <c r="Z171" s="568" t="str">
        <f t="shared" si="15"/>
        <v>b</v>
      </c>
      <c r="AA171" s="327" t="str">
        <f t="shared" si="16"/>
        <v>21-40%</v>
      </c>
      <c r="AB171" s="327" t="str">
        <f t="shared" si="17"/>
        <v>Non affecté / nicht betroffen</v>
      </c>
      <c r="AC171" s="276" t="str">
        <f t="shared" si="18"/>
        <v>Partiellement nécessaire, difficile / teilweise nötig, schwierig</v>
      </c>
      <c r="AD171" s="570" t="str">
        <f t="shared" si="19"/>
        <v>d</v>
      </c>
      <c r="AE171" t="s">
        <v>1903</v>
      </c>
      <c r="AF171">
        <v>1</v>
      </c>
    </row>
    <row r="172" spans="1:32" ht="16.5" customHeight="1" x14ac:dyDescent="0.25">
      <c r="A172" s="926">
        <v>172</v>
      </c>
      <c r="B172" s="400" t="s">
        <v>509</v>
      </c>
      <c r="C172" s="400" t="s">
        <v>503</v>
      </c>
      <c r="D172" s="401" t="s">
        <v>482</v>
      </c>
      <c r="E172" s="522" t="str">
        <f>IF(VLOOKUP(A172,'Charriage - Geschiebehaushalt'!$A$4:$AC$275,17,FALSE)="","",VLOOKUP(A172,'Charriage - Geschiebehaushalt'!$A$4:$AC$275,17,FALSE))</f>
        <v>Charriage présumé perturbé / Geschiebehaushalt vermutlich beeinträchtigt</v>
      </c>
      <c r="F172" s="523" t="str">
        <f>IF(VLOOKUP(A172,'Charriage - Geschiebehaushalt'!$A$4:$AC$275,18,FALSE)="","",VLOOKUP(A172,'Charriage - Geschiebehaushalt'!$A$4:$AC$275,18,FALSE))</f>
        <v>b</v>
      </c>
      <c r="G172" s="524" t="str">
        <f>IF(VLOOKUP(A172,'Charriage - Geschiebehaushalt'!$A$4:$AC$275,22,FALSE)="","",VLOOKUP(A172,'Charriage - Geschiebehaushalt'!$A$4:$AC$275,22,FALSE))</f>
        <v>21-50%</v>
      </c>
      <c r="H172" s="523" t="str">
        <f>IF(VLOOKUP(A172,'Charriage - Geschiebehaushalt'!$A$4:$AC$275,23,FALSE)="","",VLOOKUP(A172,'Charriage - Geschiebehaushalt'!$A$4:$AC$275,23,FALSE))</f>
        <v>c</v>
      </c>
      <c r="I172" s="524" t="str">
        <f>IF(VLOOKUP(A172,'Charriage - Geschiebehaushalt'!$A$4:$AC$275,28,FALSE)="","",VLOOKUP(A172,'Charriage - Geschiebehaushalt'!$A$4:$AC$275,28,FALSE))</f>
        <v>21-50%</v>
      </c>
      <c r="J172" s="403" t="str">
        <f>IF(VLOOKUP(A172,'Charriage - Geschiebehaushalt'!$A$4:$AC$275,29,FALSE)="","",VLOOKUP(A172,'Charriage - Geschiebehaushalt'!$A$4:$AC$275,29,FALSE))</f>
        <v>c</v>
      </c>
      <c r="K172" s="533" t="str">
        <f>IF(VLOOKUP(A172,'Débit - Abfluss'!$A$4:$AD$275,8,FALSE)="","",VLOOKUP(A172,'Débit - Abfluss'!$A$4:$AD$275,8,FALSE))</f>
        <v>0-20%</v>
      </c>
      <c r="L172" s="468" t="str">
        <f>IF(VLOOKUP(A172,'Débit - Abfluss'!$A$4:$AD$275,10,FALSE)="","",VLOOKUP(A172,'Débit - Abfluss'!$A$4:$AD$275,10,FALSE))</f>
        <v>0-20%</v>
      </c>
      <c r="M172" s="333" t="str">
        <f>IF(VLOOKUP(A172,'Débit - Abfluss'!$A$4:$AD$275,17,FALSE)="","",VLOOKUP(A172,'Débit - Abfluss'!$A$4:$AD$275,17,FALSE))</f>
        <v>0-20%</v>
      </c>
      <c r="N172" s="340" t="str">
        <f>IF(VLOOKUP(A172,'Eclusée - Schwall-Sunk'!$A$2:$F$273,6,FALSE)="","",VLOOKUP(A172,'Eclusée - Schwall-Sunk'!$A$2:$F$273,6,FALSE))</f>
        <v>Non affecté / nicht betroffen</v>
      </c>
      <c r="O172" s="537"/>
      <c r="P172" s="538"/>
      <c r="Q172" s="284" t="str">
        <f>IF(VLOOKUP(A172,'Revitalisation-Revitalisierung'!$A$4:$Z$275,13,FALSE)="","",VLOOKUP(A172,'Revitalisation-Revitalisierung'!$A$4:$Z$275,13,FALSE))</f>
        <v>Partiellement nécessaire, facile / teilweise nötig, einfach</v>
      </c>
      <c r="R172" s="541" t="str">
        <f>IF(VLOOKUP(A172,'Revitalisation-Revitalisierung'!$A$4:$Z$275,14,FALSE)="","",VLOOKUP(A172,'Revitalisation-Revitalisierung'!$A$4:$Z$275,14,FALSE))</f>
        <v>a</v>
      </c>
      <c r="S172" s="542" t="str">
        <f>IF(VLOOKUP(A172,'Revitalisation-Revitalisierung'!$A$4:$Z$275,19,FALSE)="","",VLOOKUP(A172,'Revitalisation-Revitalisierung'!$A$4:$Z$275,19,FALSE))</f>
        <v>Non nécessaire / nicht nötig</v>
      </c>
      <c r="T172" s="541" t="str">
        <f>IF(VLOOKUP(A172,'Revitalisation-Revitalisierung'!$A$4:$Z$275,20,FALSE)="","",VLOOKUP(A172,'Revitalisation-Revitalisierung'!$A$4:$Z$275,20,FALSE))</f>
        <v>c</v>
      </c>
      <c r="U172" s="542" t="str">
        <f>IF(VLOOKUP(A172,'Revitalisation-Revitalisierung'!$A$4:$Z$275,25,FALSE)="","",VLOOKUP(A172,'Revitalisation-Revitalisierung'!$A$4:$Z$275,25,FALSE))</f>
        <v>Non nécessaire / nicht nötig</v>
      </c>
      <c r="V172" s="406" t="str">
        <f>IF(VLOOKUP(A172,'Revitalisation-Revitalisierung'!$A$4:$Z$275,26,FALSE)="","",VLOOKUP(A172,'Revitalisation-Revitalisierung'!$A$4:$Z$275,26,FALSE))</f>
        <v>c</v>
      </c>
      <c r="Y172" s="529" t="str">
        <f t="shared" si="14"/>
        <v>21-50%</v>
      </c>
      <c r="Z172" s="568" t="str">
        <f t="shared" si="15"/>
        <v>c</v>
      </c>
      <c r="AA172" s="327" t="str">
        <f t="shared" si="16"/>
        <v>0-20%</v>
      </c>
      <c r="AB172" s="327" t="str">
        <f t="shared" si="17"/>
        <v>Non affecté / nicht betroffen</v>
      </c>
      <c r="AC172" s="276" t="str">
        <f t="shared" si="18"/>
        <v>Non nécessaire / nicht nötig</v>
      </c>
      <c r="AD172" s="570" t="str">
        <f t="shared" si="19"/>
        <v>c</v>
      </c>
      <c r="AE172">
        <v>3</v>
      </c>
      <c r="AF172">
        <v>1</v>
      </c>
    </row>
    <row r="173" spans="1:32" ht="16.5" customHeight="1" x14ac:dyDescent="0.25">
      <c r="A173" s="926">
        <v>174</v>
      </c>
      <c r="B173" s="400" t="s">
        <v>303</v>
      </c>
      <c r="C173" s="400" t="s">
        <v>304</v>
      </c>
      <c r="D173" s="401" t="s">
        <v>274</v>
      </c>
      <c r="E173" s="522" t="str">
        <f>IF(VLOOKUP(A173,'Charriage - Geschiebehaushalt'!$A$4:$AC$275,17,FALSE)="","",VLOOKUP(A173,'Charriage - Geschiebehaushalt'!$A$4:$AC$275,17,FALSE))</f>
        <v>Charriage présumé naturel / Geschiebehaushalt vermutlich natürlich</v>
      </c>
      <c r="F173" s="523" t="str">
        <f>IF(VLOOKUP(A173,'Charriage - Geschiebehaushalt'!$A$4:$AC$275,18,FALSE)="","",VLOOKUP(A173,'Charriage - Geschiebehaushalt'!$A$4:$AC$275,18,FALSE))</f>
        <v>b</v>
      </c>
      <c r="G173" s="524" t="str">
        <f>IF(VLOOKUP(A173,'Charriage - Geschiebehaushalt'!$A$4:$AC$275,22,FALSE)="","",VLOOKUP(A173,'Charriage - Geschiebehaushalt'!$A$4:$AC$275,22,FALSE))</f>
        <v>21-50%</v>
      </c>
      <c r="H173" s="523" t="str">
        <f>IF(VLOOKUP(A173,'Charriage - Geschiebehaushalt'!$A$4:$AC$275,23,FALSE)="","",VLOOKUP(A173,'Charriage - Geschiebehaushalt'!$A$4:$AC$275,23,FALSE))</f>
        <v>c</v>
      </c>
      <c r="I173" s="524" t="str">
        <f>IF(VLOOKUP(A173,'Charriage - Geschiebehaushalt'!$A$4:$AC$275,28,FALSE)="","",VLOOKUP(A173,'Charriage - Geschiebehaushalt'!$A$4:$AC$275,28,FALSE))</f>
        <v>21-50%</v>
      </c>
      <c r="J173" s="403" t="str">
        <f>IF(VLOOKUP(A173,'Charriage - Geschiebehaushalt'!$A$4:$AC$275,29,FALSE)="","",VLOOKUP(A173,'Charriage - Geschiebehaushalt'!$A$4:$AC$275,29,FALSE))</f>
        <v>c</v>
      </c>
      <c r="K173" s="533" t="str">
        <f>IF(VLOOKUP(A173,'Débit - Abfluss'!$A$4:$AD$275,8,FALSE)="","",VLOOKUP(A173,'Débit - Abfluss'!$A$4:$AD$275,8,FALSE))</f>
        <v>21-40%</v>
      </c>
      <c r="L173" s="468" t="str">
        <f>IF(VLOOKUP(A173,'Débit - Abfluss'!$A$4:$AD$275,10,FALSE)="","",VLOOKUP(A173,'Débit - Abfluss'!$A$4:$AD$275,10,FALSE))</f>
        <v>21-40%</v>
      </c>
      <c r="M173" s="333" t="str">
        <f>IF(VLOOKUP(A173,'Débit - Abfluss'!$A$4:$AD$275,17,FALSE)="","",VLOOKUP(A173,'Débit - Abfluss'!$A$4:$AD$275,17,FALSE))</f>
        <v>21-40%</v>
      </c>
      <c r="N173" s="340" t="str">
        <f>IF(VLOOKUP(A173,'Eclusée - Schwall-Sunk'!$A$2:$F$273,6,FALSE)="","",VLOOKUP(A173,'Eclusée - Schwall-Sunk'!$A$2:$F$273,6,FALSE))</f>
        <v>Non affecté / nicht betroffen</v>
      </c>
      <c r="O173" s="537"/>
      <c r="P173" s="538"/>
      <c r="Q173" s="284" t="str">
        <f>IF(VLOOKUP(A173,'Revitalisation-Revitalisierung'!$A$4:$Z$275,13,FALSE)="","",VLOOKUP(A173,'Revitalisation-Revitalisierung'!$A$4:$Z$275,13,FALSE))</f>
        <v>Non nécessaire / nicht nötig</v>
      </c>
      <c r="R173" s="541" t="str">
        <f>IF(VLOOKUP(A173,'Revitalisation-Revitalisierung'!$A$4:$Z$275,14,FALSE)="","",VLOOKUP(A173,'Revitalisation-Revitalisierung'!$A$4:$Z$275,14,FALSE))</f>
        <v>b</v>
      </c>
      <c r="S173" s="542" t="str">
        <f>IF(VLOOKUP(A173,'Revitalisation-Revitalisierung'!$A$4:$Z$275,19,FALSE)="","",VLOOKUP(A173,'Revitalisation-Revitalisierung'!$A$4:$Z$275,19,FALSE))</f>
        <v>Partiellement nécessaire, facile / teilweise nötig, einfach</v>
      </c>
      <c r="T173" s="541" t="str">
        <f>IF(VLOOKUP(A173,'Revitalisation-Revitalisierung'!$A$4:$Z$275,20,FALSE)="","",VLOOKUP(A173,'Revitalisation-Revitalisierung'!$A$4:$Z$275,20,FALSE))</f>
        <v>c</v>
      </c>
      <c r="U173" s="542" t="str">
        <f>IF(VLOOKUP(A173,'Revitalisation-Revitalisierung'!$A$4:$Z$275,25,FALSE)="","",VLOOKUP(A173,'Revitalisation-Revitalisierung'!$A$4:$Z$275,25,FALSE))</f>
        <v>Partiellement nécessaire, facile / teilweise nötig, einfach</v>
      </c>
      <c r="V173" s="406" t="str">
        <f>IF(VLOOKUP(A173,'Revitalisation-Revitalisierung'!$A$4:$Z$275,26,FALSE)="","",VLOOKUP(A173,'Revitalisation-Revitalisierung'!$A$4:$Z$275,26,FALSE))</f>
        <v>c</v>
      </c>
      <c r="Y173" s="529" t="str">
        <f t="shared" si="14"/>
        <v>21-50%</v>
      </c>
      <c r="Z173" s="568" t="str">
        <f t="shared" si="15"/>
        <v>c</v>
      </c>
      <c r="AA173" s="327" t="str">
        <f t="shared" si="16"/>
        <v>21-40%</v>
      </c>
      <c r="AB173" s="327" t="str">
        <f t="shared" si="17"/>
        <v>Non affecté / nicht betroffen</v>
      </c>
      <c r="AC173" s="276" t="str">
        <f t="shared" si="18"/>
        <v>Partiellement nécessaire, facile / teilweise nötig, einfach</v>
      </c>
      <c r="AD173" s="570" t="str">
        <f t="shared" si="19"/>
        <v>c</v>
      </c>
      <c r="AE173">
        <v>4</v>
      </c>
      <c r="AF173">
        <v>1</v>
      </c>
    </row>
    <row r="174" spans="1:32" ht="16.5" customHeight="1" x14ac:dyDescent="0.25">
      <c r="A174" s="926">
        <v>176</v>
      </c>
      <c r="B174" s="400" t="s">
        <v>305</v>
      </c>
      <c r="C174" s="400" t="s">
        <v>304</v>
      </c>
      <c r="D174" s="401" t="s">
        <v>274</v>
      </c>
      <c r="E174" s="522" t="str">
        <f>IF(VLOOKUP(A174,'Charriage - Geschiebehaushalt'!$A$4:$AC$275,17,FALSE)="","",VLOOKUP(A174,'Charriage - Geschiebehaushalt'!$A$4:$AC$275,17,FALSE))</f>
        <v>Déficit non apparent en charriage ou en remobilisation des sédiments / kein sichtbares Defizit beim Geschiebehaushalt bzw. bei der Mobilisierung von Geschiebe</v>
      </c>
      <c r="F174" s="523" t="str">
        <f>IF(VLOOKUP(A174,'Charriage - Geschiebehaushalt'!$A$4:$AC$275,18,FALSE)="","",VLOOKUP(A174,'Charriage - Geschiebehaushalt'!$A$4:$AC$275,18,FALSE))</f>
        <v>b</v>
      </c>
      <c r="G174" s="524" t="str">
        <f>IF(VLOOKUP(A174,'Charriage - Geschiebehaushalt'!$A$4:$AC$275,22,FALSE)="","",VLOOKUP(A174,'Charriage - Geschiebehaushalt'!$A$4:$AC$275,22,FALSE))</f>
        <v>21-50%</v>
      </c>
      <c r="H174" s="523" t="str">
        <f>IF(VLOOKUP(A174,'Charriage - Geschiebehaushalt'!$A$4:$AC$275,23,FALSE)="","",VLOOKUP(A174,'Charriage - Geschiebehaushalt'!$A$4:$AC$275,23,FALSE))</f>
        <v>c</v>
      </c>
      <c r="I174" s="524" t="str">
        <f>IF(VLOOKUP(A174,'Charriage - Geschiebehaushalt'!$A$4:$AC$275,28,FALSE)="","",VLOOKUP(A174,'Charriage - Geschiebehaushalt'!$A$4:$AC$275,28,FALSE))</f>
        <v>21-50%</v>
      </c>
      <c r="J174" s="403" t="str">
        <f>IF(VLOOKUP(A174,'Charriage - Geschiebehaushalt'!$A$4:$AC$275,29,FALSE)="","",VLOOKUP(A174,'Charriage - Geschiebehaushalt'!$A$4:$AC$275,29,FALSE))</f>
        <v>c</v>
      </c>
      <c r="K174" s="533" t="str">
        <f>IF(VLOOKUP(A174,'Débit - Abfluss'!$A$4:$AD$275,8,FALSE)="","",VLOOKUP(A174,'Débit - Abfluss'!$A$4:$AD$275,8,FALSE))</f>
        <v>21-40%</v>
      </c>
      <c r="L174" s="468" t="str">
        <f>IF(VLOOKUP(A174,'Débit - Abfluss'!$A$4:$AD$275,10,FALSE)="","",VLOOKUP(A174,'Débit - Abfluss'!$A$4:$AD$275,10,FALSE))</f>
        <v>21-40%</v>
      </c>
      <c r="M174" s="333" t="str">
        <f>IF(VLOOKUP(A174,'Débit - Abfluss'!$A$4:$AD$275,17,FALSE)="","",VLOOKUP(A174,'Débit - Abfluss'!$A$4:$AD$275,17,FALSE))</f>
        <v>21-40%</v>
      </c>
      <c r="N174" s="340" t="str">
        <f>IF(VLOOKUP(A174,'Eclusée - Schwall-Sunk'!$A$2:$F$273,6,FALSE)="","",VLOOKUP(A174,'Eclusée - Schwall-Sunk'!$A$2:$F$273,6,FALSE))</f>
        <v>Non affecté / nicht betroffen</v>
      </c>
      <c r="O174" s="537"/>
      <c r="P174" s="538"/>
      <c r="Q174" s="284" t="str">
        <f>IF(VLOOKUP(A174,'Revitalisation-Revitalisierung'!$A$4:$Z$275,13,FALSE)="","",VLOOKUP(A174,'Revitalisation-Revitalisierung'!$A$4:$Z$275,13,FALSE))</f>
        <v>Non nécessaire / nicht nötig</v>
      </c>
      <c r="R174" s="541" t="str">
        <f>IF(VLOOKUP(A174,'Revitalisation-Revitalisierung'!$A$4:$Z$275,14,FALSE)="","",VLOOKUP(A174,'Revitalisation-Revitalisierung'!$A$4:$Z$275,14,FALSE))</f>
        <v>a</v>
      </c>
      <c r="S174" s="542" t="str">
        <f>IF(VLOOKUP(A174,'Revitalisation-Revitalisierung'!$A$4:$Z$275,19,FALSE)="","",VLOOKUP(A174,'Revitalisation-Revitalisierung'!$A$4:$Z$275,19,FALSE))</f>
        <v>Non nécessaire / nicht nötig</v>
      </c>
      <c r="T174" s="541" t="str">
        <f>IF(VLOOKUP(A174,'Revitalisation-Revitalisierung'!$A$4:$Z$275,20,FALSE)="","",VLOOKUP(A174,'Revitalisation-Revitalisierung'!$A$4:$Z$275,20,FALSE))</f>
        <v>d</v>
      </c>
      <c r="U174" s="542" t="str">
        <f>IF(VLOOKUP(A174,'Revitalisation-Revitalisierung'!$A$4:$Z$275,25,FALSE)="","",VLOOKUP(A174,'Revitalisation-Revitalisierung'!$A$4:$Z$275,25,FALSE))</f>
        <v>Non nécessaire / nicht nötig</v>
      </c>
      <c r="V174" s="406" t="str">
        <f>IF(VLOOKUP(A174,'Revitalisation-Revitalisierung'!$A$4:$Z$275,26,FALSE)="","",VLOOKUP(A174,'Revitalisation-Revitalisierung'!$A$4:$Z$275,26,FALSE))</f>
        <v>d</v>
      </c>
      <c r="Y174" s="529" t="str">
        <f t="shared" si="14"/>
        <v>21-50%</v>
      </c>
      <c r="Z174" s="568" t="str">
        <f t="shared" si="15"/>
        <v>c</v>
      </c>
      <c r="AA174" s="327" t="str">
        <f t="shared" si="16"/>
        <v>21-40%</v>
      </c>
      <c r="AB174" s="327" t="str">
        <f t="shared" si="17"/>
        <v>Non affecté / nicht betroffen</v>
      </c>
      <c r="AC174" s="276" t="str">
        <f t="shared" si="18"/>
        <v>Non nécessaire / nicht nötig</v>
      </c>
      <c r="AD174" s="570" t="str">
        <f t="shared" si="19"/>
        <v>d</v>
      </c>
      <c r="AE174">
        <v>3</v>
      </c>
      <c r="AF174">
        <v>1</v>
      </c>
    </row>
    <row r="175" spans="1:32" ht="16.5" customHeight="1" x14ac:dyDescent="0.25">
      <c r="A175" s="926">
        <v>177</v>
      </c>
      <c r="B175" s="400" t="s">
        <v>306</v>
      </c>
      <c r="C175" s="400" t="s">
        <v>304</v>
      </c>
      <c r="D175" s="401" t="s">
        <v>274</v>
      </c>
      <c r="E175" s="522" t="str">
        <f>IF(VLOOKUP(A175,'Charriage - Geschiebehaushalt'!$A$4:$AC$275,17,FALSE)="","",VLOOKUP(A175,'Charriage - Geschiebehaushalt'!$A$4:$AC$275,17,FALSE))</f>
        <v>Charriage présumé perturbé / Geschiebehaushalt vermutlich beeinträchtigt</v>
      </c>
      <c r="F175" s="523" t="str">
        <f>IF(VLOOKUP(A175,'Charriage - Geschiebehaushalt'!$A$4:$AC$275,18,FALSE)="","",VLOOKUP(A175,'Charriage - Geschiebehaushalt'!$A$4:$AC$275,18,FALSE))</f>
        <v>b</v>
      </c>
      <c r="G175" s="524" t="str">
        <f>IF(VLOOKUP(A175,'Charriage - Geschiebehaushalt'!$A$4:$AC$275,22,FALSE)="","",VLOOKUP(A175,'Charriage - Geschiebehaushalt'!$A$4:$AC$275,22,FALSE))</f>
        <v>51-80%</v>
      </c>
      <c r="H175" s="523" t="str">
        <f>IF(VLOOKUP(A175,'Charriage - Geschiebehaushalt'!$A$4:$AC$275,23,FALSE)="","",VLOOKUP(A175,'Charriage - Geschiebehaushalt'!$A$4:$AC$275,23,FALSE))</f>
        <v>d</v>
      </c>
      <c r="I175" s="524" t="str">
        <f>IF(VLOOKUP(A175,'Charriage - Geschiebehaushalt'!$A$4:$AC$275,28,FALSE)="","",VLOOKUP(A175,'Charriage - Geschiebehaushalt'!$A$4:$AC$275,28,FALSE))</f>
        <v>51-80%</v>
      </c>
      <c r="J175" s="403" t="str">
        <f>IF(VLOOKUP(A175,'Charriage - Geschiebehaushalt'!$A$4:$AC$275,29,FALSE)="","",VLOOKUP(A175,'Charriage - Geschiebehaushalt'!$A$4:$AC$275,29,FALSE))</f>
        <v>d</v>
      </c>
      <c r="K175" s="533" t="str">
        <f>IF(VLOOKUP(A175,'Débit - Abfluss'!$A$4:$AD$275,8,FALSE)="","",VLOOKUP(A175,'Débit - Abfluss'!$A$4:$AD$275,8,FALSE))</f>
        <v>21-40%</v>
      </c>
      <c r="L175" s="468" t="str">
        <f>IF(VLOOKUP(A175,'Débit - Abfluss'!$A$4:$AD$275,10,FALSE)="","",VLOOKUP(A175,'Débit - Abfluss'!$A$4:$AD$275,10,FALSE))</f>
        <v>21-40%</v>
      </c>
      <c r="M175" s="333" t="str">
        <f>IF(VLOOKUP(A175,'Débit - Abfluss'!$A$4:$AD$275,17,FALSE)="","",VLOOKUP(A175,'Débit - Abfluss'!$A$4:$AD$275,17,FALSE))</f>
        <v>21-40%</v>
      </c>
      <c r="N175" s="340" t="str">
        <f>IF(VLOOKUP(A175,'Eclusée - Schwall-Sunk'!$A$2:$F$273,6,FALSE)="","",VLOOKUP(A175,'Eclusée - Schwall-Sunk'!$A$2:$F$273,6,FALSE))</f>
        <v>Non affecté / nicht betroffen</v>
      </c>
      <c r="O175" s="537"/>
      <c r="P175" s="538"/>
      <c r="Q175" s="284" t="str">
        <f>IF(VLOOKUP(A175,'Revitalisation-Revitalisierung'!$A$4:$Z$275,13,FALSE)="","",VLOOKUP(A175,'Revitalisation-Revitalisierung'!$A$4:$Z$275,13,FALSE))</f>
        <v>Non nécessaire / nicht nötig</v>
      </c>
      <c r="R175" s="541" t="str">
        <f>IF(VLOOKUP(A175,'Revitalisation-Revitalisierung'!$A$4:$Z$275,14,FALSE)="","",VLOOKUP(A175,'Revitalisation-Revitalisierung'!$A$4:$Z$275,14,FALSE))</f>
        <v>a</v>
      </c>
      <c r="S175" s="542" t="str">
        <f>IF(VLOOKUP(A175,'Revitalisation-Revitalisierung'!$A$4:$Z$275,19,FALSE)="","",VLOOKUP(A175,'Revitalisation-Revitalisierung'!$A$4:$Z$275,19,FALSE))</f>
        <v>Partiellement nécessaire, facile / teilweise nötig, einfach</v>
      </c>
      <c r="T175" s="541" t="str">
        <f>IF(VLOOKUP(A175,'Revitalisation-Revitalisierung'!$A$4:$Z$275,20,FALSE)="","",VLOOKUP(A175,'Revitalisation-Revitalisierung'!$A$4:$Z$275,20,FALSE))</f>
        <v>c</v>
      </c>
      <c r="U175" s="542" t="str">
        <f>IF(VLOOKUP(A175,'Revitalisation-Revitalisierung'!$A$4:$Z$275,25,FALSE)="","",VLOOKUP(A175,'Revitalisation-Revitalisierung'!$A$4:$Z$275,25,FALSE))</f>
        <v>Partiellement nécessaire, facile / teilweise nötig, einfach</v>
      </c>
      <c r="V175" s="406" t="str">
        <f>IF(VLOOKUP(A175,'Revitalisation-Revitalisierung'!$A$4:$Z$275,26,FALSE)="","",VLOOKUP(A175,'Revitalisation-Revitalisierung'!$A$4:$Z$275,26,FALSE))</f>
        <v>c</v>
      </c>
      <c r="Y175" s="529" t="str">
        <f t="shared" si="14"/>
        <v>51-80%</v>
      </c>
      <c r="Z175" s="568" t="str">
        <f t="shared" si="15"/>
        <v>d</v>
      </c>
      <c r="AA175" s="327" t="str">
        <f t="shared" si="16"/>
        <v>21-40%</v>
      </c>
      <c r="AB175" s="327" t="str">
        <f t="shared" si="17"/>
        <v>Non affecté / nicht betroffen</v>
      </c>
      <c r="AC175" s="276" t="str">
        <f t="shared" si="18"/>
        <v>Partiellement nécessaire, facile / teilweise nötig, einfach</v>
      </c>
      <c r="AD175" s="570" t="str">
        <f t="shared" si="19"/>
        <v>c</v>
      </c>
      <c r="AE175">
        <v>4</v>
      </c>
      <c r="AF175">
        <v>1</v>
      </c>
    </row>
    <row r="176" spans="1:32" ht="16.5" customHeight="1" x14ac:dyDescent="0.25">
      <c r="A176" s="926">
        <v>181</v>
      </c>
      <c r="B176" s="400" t="s">
        <v>309</v>
      </c>
      <c r="C176" s="400" t="s">
        <v>304</v>
      </c>
      <c r="D176" s="401" t="s">
        <v>274</v>
      </c>
      <c r="E176" s="522" t="str">
        <f>IF(VLOOKUP(A176,'Charriage - Geschiebehaushalt'!$A$4:$AC$275,17,FALSE)="","",VLOOKUP(A176,'Charriage - Geschiebehaushalt'!$A$4:$AC$275,17,FALSE))</f>
        <v>Charriage présumé faiblement perturbé / Geschiebe vermutlich leicht beeinträchtigt</v>
      </c>
      <c r="F176" s="523" t="str">
        <f>IF(VLOOKUP(A176,'Charriage - Geschiebehaushalt'!$A$4:$AC$275,18,FALSE)="","",VLOOKUP(A176,'Charriage - Geschiebehaushalt'!$A$4:$AC$275,18,FALSE))</f>
        <v>b</v>
      </c>
      <c r="G176" s="524" t="str">
        <f>IF(VLOOKUP(A176,'Charriage - Geschiebehaushalt'!$A$4:$AC$275,22,FALSE)="","",VLOOKUP(A176,'Charriage - Geschiebehaushalt'!$A$4:$AC$275,22,FALSE))</f>
        <v>21-50%</v>
      </c>
      <c r="H176" s="523" t="str">
        <f>IF(VLOOKUP(A176,'Charriage - Geschiebehaushalt'!$A$4:$AC$275,23,FALSE)="","",VLOOKUP(A176,'Charriage - Geschiebehaushalt'!$A$4:$AC$275,23,FALSE))</f>
        <v>d</v>
      </c>
      <c r="I176" s="524" t="str">
        <f>IF(VLOOKUP(A176,'Charriage - Geschiebehaushalt'!$A$4:$AC$275,28,FALSE)="","",VLOOKUP(A176,'Charriage - Geschiebehaushalt'!$A$4:$AC$275,28,FALSE))</f>
        <v>21-50%</v>
      </c>
      <c r="J176" s="403" t="str">
        <f>IF(VLOOKUP(A176,'Charriage - Geschiebehaushalt'!$A$4:$AC$275,29,FALSE)="","",VLOOKUP(A176,'Charriage - Geschiebehaushalt'!$A$4:$AC$275,29,FALSE))</f>
        <v>d</v>
      </c>
      <c r="K176" s="533" t="str">
        <f>IF(VLOOKUP(A176,'Débit - Abfluss'!$A$4:$AD$275,8,FALSE)="","",VLOOKUP(A176,'Débit - Abfluss'!$A$4:$AD$275,8,FALSE))</f>
        <v>21-40%</v>
      </c>
      <c r="L176" s="468" t="str">
        <f>IF(VLOOKUP(A176,'Débit - Abfluss'!$A$4:$AD$275,10,FALSE)="","",VLOOKUP(A176,'Débit - Abfluss'!$A$4:$AD$275,10,FALSE))</f>
        <v>21-40%</v>
      </c>
      <c r="M176" s="333" t="str">
        <f>IF(VLOOKUP(A176,'Débit - Abfluss'!$A$4:$AD$275,17,FALSE)="","",VLOOKUP(A176,'Débit - Abfluss'!$A$4:$AD$275,17,FALSE))</f>
        <v>21-40%</v>
      </c>
      <c r="N176" s="340" t="str">
        <f>IF(VLOOKUP(A176,'Eclusée - Schwall-Sunk'!$A$2:$F$273,6,FALSE)="","",VLOOKUP(A176,'Eclusée - Schwall-Sunk'!$A$2:$F$273,6,FALSE))</f>
        <v>Non affecté / nicht betroffen</v>
      </c>
      <c r="O176" s="537"/>
      <c r="P176" s="538"/>
      <c r="Q176" s="284" t="str">
        <f>IF(VLOOKUP(A176,'Revitalisation-Revitalisierung'!$A$4:$Z$275,13,FALSE)="","",VLOOKUP(A176,'Revitalisation-Revitalisierung'!$A$4:$Z$275,13,FALSE))</f>
        <v>Non nécessaire / nicht nötig</v>
      </c>
      <c r="R176" s="541" t="str">
        <f>IF(VLOOKUP(A176,'Revitalisation-Revitalisierung'!$A$4:$Z$275,14,FALSE)="","",VLOOKUP(A176,'Revitalisation-Revitalisierung'!$A$4:$Z$275,14,FALSE))</f>
        <v>a</v>
      </c>
      <c r="S176" s="542" t="str">
        <f>IF(VLOOKUP(A176,'Revitalisation-Revitalisierung'!$A$4:$Z$275,19,FALSE)="","",VLOOKUP(A176,'Revitalisation-Revitalisierung'!$A$4:$Z$275,19,FALSE))</f>
        <v>Non nécessaire / nicht nötig</v>
      </c>
      <c r="T176" s="541" t="str">
        <f>IF(VLOOKUP(A176,'Revitalisation-Revitalisierung'!$A$4:$Z$275,20,FALSE)="","",VLOOKUP(A176,'Revitalisation-Revitalisierung'!$A$4:$Z$275,20,FALSE))</f>
        <v>d</v>
      </c>
      <c r="U176" s="542" t="str">
        <f>IF(VLOOKUP(A176,'Revitalisation-Revitalisierung'!$A$4:$Z$275,25,FALSE)="","",VLOOKUP(A176,'Revitalisation-Revitalisierung'!$A$4:$Z$275,25,FALSE))</f>
        <v>Non nécessaire / nicht nötig</v>
      </c>
      <c r="V176" s="406" t="str">
        <f>IF(VLOOKUP(A176,'Revitalisation-Revitalisierung'!$A$4:$Z$275,26,FALSE)="","",VLOOKUP(A176,'Revitalisation-Revitalisierung'!$A$4:$Z$275,26,FALSE))</f>
        <v>d</v>
      </c>
      <c r="Y176" s="529" t="str">
        <f t="shared" si="14"/>
        <v>21-50%</v>
      </c>
      <c r="Z176" s="568" t="str">
        <f t="shared" si="15"/>
        <v>d</v>
      </c>
      <c r="AA176" s="327" t="str">
        <f t="shared" si="16"/>
        <v>21-40%</v>
      </c>
      <c r="AB176" s="327" t="str">
        <f t="shared" si="17"/>
        <v>Non affecté / nicht betroffen</v>
      </c>
      <c r="AC176" s="276" t="str">
        <f t="shared" si="18"/>
        <v>Non nécessaire / nicht nötig</v>
      </c>
      <c r="AD176" s="570" t="str">
        <f t="shared" si="19"/>
        <v>d</v>
      </c>
      <c r="AE176">
        <v>3</v>
      </c>
      <c r="AF176">
        <v>1</v>
      </c>
    </row>
    <row r="177" spans="1:32" ht="16.5" customHeight="1" x14ac:dyDescent="0.25">
      <c r="A177" s="926">
        <v>185</v>
      </c>
      <c r="B177" s="400" t="s">
        <v>312</v>
      </c>
      <c r="C177" s="400" t="s">
        <v>304</v>
      </c>
      <c r="D177" s="401" t="s">
        <v>274</v>
      </c>
      <c r="E177" s="522" t="str">
        <f>IF(VLOOKUP(A177,'Charriage - Geschiebehaushalt'!$A$4:$AC$275,17,FALSE)="","",VLOOKUP(A177,'Charriage - Geschiebehaushalt'!$A$4:$AC$275,17,FALSE))</f>
        <v>Charriage présumé faiblement perturbé / Geschiebe vermutlich leicht beeinträchtigt</v>
      </c>
      <c r="F177" s="523" t="str">
        <f>IF(VLOOKUP(A177,'Charriage - Geschiebehaushalt'!$A$4:$AC$275,18,FALSE)="","",VLOOKUP(A177,'Charriage - Geschiebehaushalt'!$A$4:$AC$275,18,FALSE))</f>
        <v>b</v>
      </c>
      <c r="G177" s="524" t="str">
        <f>IF(VLOOKUP(A177,'Charriage - Geschiebehaushalt'!$A$4:$AC$275,22,FALSE)="","",VLOOKUP(A177,'Charriage - Geschiebehaushalt'!$A$4:$AC$275,22,FALSE))</f>
        <v>21-50%</v>
      </c>
      <c r="H177" s="523" t="str">
        <f>IF(VLOOKUP(A177,'Charriage - Geschiebehaushalt'!$A$4:$AC$275,23,FALSE)="","",VLOOKUP(A177,'Charriage - Geschiebehaushalt'!$A$4:$AC$275,23,FALSE))</f>
        <v>d</v>
      </c>
      <c r="I177" s="524" t="str">
        <f>IF(VLOOKUP(A177,'Charriage - Geschiebehaushalt'!$A$4:$AC$275,28,FALSE)="","",VLOOKUP(A177,'Charriage - Geschiebehaushalt'!$A$4:$AC$275,28,FALSE))</f>
        <v>21-50%</v>
      </c>
      <c r="J177" s="403" t="str">
        <f>IF(VLOOKUP(A177,'Charriage - Geschiebehaushalt'!$A$4:$AC$275,29,FALSE)="","",VLOOKUP(A177,'Charriage - Geschiebehaushalt'!$A$4:$AC$275,29,FALSE))</f>
        <v>d</v>
      </c>
      <c r="K177" s="533" t="str">
        <f>IF(VLOOKUP(A177,'Débit - Abfluss'!$A$4:$AD$275,8,FALSE)="","",VLOOKUP(A177,'Débit - Abfluss'!$A$4:$AD$275,8,FALSE))</f>
        <v>21-40%</v>
      </c>
      <c r="L177" s="468" t="str">
        <f>IF(VLOOKUP(A177,'Débit - Abfluss'!$A$4:$AD$275,10,FALSE)="","",VLOOKUP(A177,'Débit - Abfluss'!$A$4:$AD$275,10,FALSE))</f>
        <v>21-40%</v>
      </c>
      <c r="M177" s="333" t="str">
        <f>IF(VLOOKUP(A177,'Débit - Abfluss'!$A$4:$AD$275,17,FALSE)="","",VLOOKUP(A177,'Débit - Abfluss'!$A$4:$AD$275,17,FALSE))</f>
        <v>21-40%</v>
      </c>
      <c r="N177" s="340" t="str">
        <f>IF(VLOOKUP(A177,'Eclusée - Schwall-Sunk'!$A$2:$F$273,6,FALSE)="","",VLOOKUP(A177,'Eclusée - Schwall-Sunk'!$A$2:$F$273,6,FALSE))</f>
        <v>Non affecté / nicht betroffen</v>
      </c>
      <c r="O177" s="537"/>
      <c r="P177" s="538"/>
      <c r="Q177" s="284" t="str">
        <f>IF(VLOOKUP(A177,'Revitalisation-Revitalisierung'!$A$4:$Z$275,13,FALSE)="","",VLOOKUP(A177,'Revitalisation-Revitalisierung'!$A$4:$Z$275,13,FALSE))</f>
        <v>Non nécessaire / nicht nötig</v>
      </c>
      <c r="R177" s="541" t="str">
        <f>IF(VLOOKUP(A177,'Revitalisation-Revitalisierung'!$A$4:$Z$275,14,FALSE)="","",VLOOKUP(A177,'Revitalisation-Revitalisierung'!$A$4:$Z$275,14,FALSE))</f>
        <v>a</v>
      </c>
      <c r="S177" s="542" t="str">
        <f>IF(VLOOKUP(A177,'Revitalisation-Revitalisierung'!$A$4:$Z$275,19,FALSE)="","",VLOOKUP(A177,'Revitalisation-Revitalisierung'!$A$4:$Z$275,19,FALSE))</f>
        <v>Non nécessaire / nicht nötig</v>
      </c>
      <c r="T177" s="541" t="str">
        <f>IF(VLOOKUP(A177,'Revitalisation-Revitalisierung'!$A$4:$Z$275,20,FALSE)="","",VLOOKUP(A177,'Revitalisation-Revitalisierung'!$A$4:$Z$275,20,FALSE))</f>
        <v>d</v>
      </c>
      <c r="U177" s="542" t="str">
        <f>IF(VLOOKUP(A177,'Revitalisation-Revitalisierung'!$A$4:$Z$275,25,FALSE)="","",VLOOKUP(A177,'Revitalisation-Revitalisierung'!$A$4:$Z$275,25,FALSE))</f>
        <v>Non nécessaire / nicht nötig</v>
      </c>
      <c r="V177" s="406" t="str">
        <f>IF(VLOOKUP(A177,'Revitalisation-Revitalisierung'!$A$4:$Z$275,26,FALSE)="","",VLOOKUP(A177,'Revitalisation-Revitalisierung'!$A$4:$Z$275,26,FALSE))</f>
        <v>d</v>
      </c>
      <c r="Y177" s="529" t="str">
        <f t="shared" si="14"/>
        <v>21-50%</v>
      </c>
      <c r="Z177" s="568" t="str">
        <f t="shared" si="15"/>
        <v>d</v>
      </c>
      <c r="AA177" s="327" t="str">
        <f t="shared" si="16"/>
        <v>21-40%</v>
      </c>
      <c r="AB177" s="327" t="str">
        <f t="shared" si="17"/>
        <v>Non affecté / nicht betroffen</v>
      </c>
      <c r="AC177" s="276" t="str">
        <f t="shared" si="18"/>
        <v>Non nécessaire / nicht nötig</v>
      </c>
      <c r="AD177" s="570" t="str">
        <f t="shared" si="19"/>
        <v>d</v>
      </c>
      <c r="AE177">
        <v>3</v>
      </c>
      <c r="AF177">
        <v>1</v>
      </c>
    </row>
    <row r="178" spans="1:32" ht="16.5" customHeight="1" x14ac:dyDescent="0.25">
      <c r="A178" s="926">
        <v>187</v>
      </c>
      <c r="B178" s="400" t="s">
        <v>314</v>
      </c>
      <c r="C178" s="400" t="s">
        <v>315</v>
      </c>
      <c r="D178" s="401" t="s">
        <v>274</v>
      </c>
      <c r="E178" s="522" t="str">
        <f>IF(VLOOKUP(A178,'Charriage - Geschiebehaushalt'!$A$4:$AC$275,17,FALSE)="","",VLOOKUP(A178,'Charriage - Geschiebehaushalt'!$A$4:$AC$275,17,FALSE))</f>
        <v>Charriage présumé perturbé / Geschiebehaushalt vermutlich beeinträchtigt</v>
      </c>
      <c r="F178" s="523" t="str">
        <f>IF(VLOOKUP(A178,'Charriage - Geschiebehaushalt'!$A$4:$AC$275,18,FALSE)="","",VLOOKUP(A178,'Charriage - Geschiebehaushalt'!$A$4:$AC$275,18,FALSE))</f>
        <v>b</v>
      </c>
      <c r="G178" s="524" t="str">
        <f>IF(VLOOKUP(A178,'Charriage - Geschiebehaushalt'!$A$4:$AC$275,22,FALSE)="","",VLOOKUP(A178,'Charriage - Geschiebehaushalt'!$A$4:$AC$275,22,FALSE))</f>
        <v>51-80%</v>
      </c>
      <c r="H178" s="523" t="str">
        <f>IF(VLOOKUP(A178,'Charriage - Geschiebehaushalt'!$A$4:$AC$275,23,FALSE)="","",VLOOKUP(A178,'Charriage - Geschiebehaushalt'!$A$4:$AC$275,23,FALSE))</f>
        <v>b</v>
      </c>
      <c r="I178" s="524" t="str">
        <f>IF(VLOOKUP(A178,'Charriage - Geschiebehaushalt'!$A$4:$AC$275,28,FALSE)="","",VLOOKUP(A178,'Charriage - Geschiebehaushalt'!$A$4:$AC$275,28,FALSE))</f>
        <v>51-80%</v>
      </c>
      <c r="J178" s="403" t="str">
        <f>IF(VLOOKUP(A178,'Charriage - Geschiebehaushalt'!$A$4:$AC$275,29,FALSE)="","",VLOOKUP(A178,'Charriage - Geschiebehaushalt'!$A$4:$AC$275,29,FALSE))</f>
        <v>b</v>
      </c>
      <c r="K178" s="533" t="str">
        <f>IF(VLOOKUP(A178,'Débit - Abfluss'!$A$4:$AD$275,8,FALSE)="","",VLOOKUP(A178,'Débit - Abfluss'!$A$4:$AD$275,8,FALSE))</f>
        <v>100%</v>
      </c>
      <c r="L178" s="468" t="str">
        <f>IF(VLOOKUP(A178,'Débit - Abfluss'!$A$4:$AD$275,10,FALSE)="","",VLOOKUP(A178,'Débit - Abfluss'!$A$4:$AD$275,10,FALSE))</f>
        <v>100%</v>
      </c>
      <c r="M178" s="333" t="str">
        <f>IF(VLOOKUP(A178,'Débit - Abfluss'!$A$4:$AD$275,17,FALSE)="","",VLOOKUP(A178,'Débit - Abfluss'!$A$4:$AD$275,17,FALSE))</f>
        <v>100%</v>
      </c>
      <c r="N178" s="340" t="str">
        <f>IF(VLOOKUP(A178,'Eclusée - Schwall-Sunk'!$A$2:$F$273,6,FALSE)="","",VLOOKUP(A178,'Eclusée - Schwall-Sunk'!$A$2:$F$273,6,FALSE))</f>
        <v>Non affecté / nicht betroffen</v>
      </c>
      <c r="O178" s="537"/>
      <c r="P178" s="538"/>
      <c r="Q178" s="284" t="str">
        <f>IF(VLOOKUP(A178,'Revitalisation-Revitalisierung'!$A$4:$Z$275,13,FALSE)="","",VLOOKUP(A178,'Revitalisation-Revitalisierung'!$A$4:$Z$275,13,FALSE))</f>
        <v>Partiellement nécessaire, facile / teilweise nötig, einfach</v>
      </c>
      <c r="R178" s="541" t="str">
        <f>IF(VLOOKUP(A178,'Revitalisation-Revitalisierung'!$A$4:$Z$275,14,FALSE)="","",VLOOKUP(A178,'Revitalisation-Revitalisierung'!$A$4:$Z$275,14,FALSE))</f>
        <v>a</v>
      </c>
      <c r="S178" s="542" t="str">
        <f>IF(VLOOKUP(A178,'Revitalisation-Revitalisierung'!$A$4:$Z$275,19,FALSE)="","",VLOOKUP(A178,'Revitalisation-Revitalisierung'!$A$4:$Z$275,19,FALSE))</f>
        <v>Non nécessaire / nicht nötig</v>
      </c>
      <c r="T178" s="541" t="str">
        <f>IF(VLOOKUP(A178,'Revitalisation-Revitalisierung'!$A$4:$Z$275,20,FALSE)="","",VLOOKUP(A178,'Revitalisation-Revitalisierung'!$A$4:$Z$275,20,FALSE))</f>
        <v>c</v>
      </c>
      <c r="U178" s="542" t="str">
        <f>IF(VLOOKUP(A178,'Revitalisation-Revitalisierung'!$A$4:$Z$275,25,FALSE)="","",VLOOKUP(A178,'Revitalisation-Revitalisierung'!$A$4:$Z$275,25,FALSE))</f>
        <v>Non nécessaire / nicht nötig</v>
      </c>
      <c r="V178" s="406" t="str">
        <f>IF(VLOOKUP(A178,'Revitalisation-Revitalisierung'!$A$4:$Z$275,26,FALSE)="","",VLOOKUP(A178,'Revitalisation-Revitalisierung'!$A$4:$Z$275,26,FALSE))</f>
        <v>c</v>
      </c>
      <c r="Y178" s="529" t="str">
        <f t="shared" si="14"/>
        <v>51-80%</v>
      </c>
      <c r="Z178" s="568" t="str">
        <f t="shared" si="15"/>
        <v>b</v>
      </c>
      <c r="AA178" s="327" t="str">
        <f t="shared" si="16"/>
        <v>100%</v>
      </c>
      <c r="AB178" s="327" t="str">
        <f t="shared" si="17"/>
        <v>Non affecté / nicht betroffen</v>
      </c>
      <c r="AC178" s="276" t="str">
        <f t="shared" si="18"/>
        <v>Non nécessaire / nicht nötig</v>
      </c>
      <c r="AD178" s="570" t="str">
        <f t="shared" si="19"/>
        <v>c</v>
      </c>
      <c r="AE178">
        <v>2</v>
      </c>
      <c r="AF178">
        <v>1</v>
      </c>
    </row>
    <row r="179" spans="1:32" ht="16.5" customHeight="1" x14ac:dyDescent="0.25">
      <c r="A179" s="926">
        <v>188</v>
      </c>
      <c r="B179" s="400" t="s">
        <v>317</v>
      </c>
      <c r="C179" s="400" t="s">
        <v>304</v>
      </c>
      <c r="D179" s="401" t="s">
        <v>274</v>
      </c>
      <c r="E179" s="522" t="str">
        <f>IF(VLOOKUP(A179,'Charriage - Geschiebehaushalt'!$A$4:$AC$275,17,FALSE)="","",VLOOKUP(A179,'Charriage - Geschiebehaushalt'!$A$4:$AC$275,17,FALSE))</f>
        <v>0-20%</v>
      </c>
      <c r="F179" s="523" t="str">
        <f>IF(VLOOKUP(A179,'Charriage - Geschiebehaushalt'!$A$4:$AC$275,18,FALSE)="","",VLOOKUP(A179,'Charriage - Geschiebehaushalt'!$A$4:$AC$275,18,FALSE))</f>
        <v>a</v>
      </c>
      <c r="G179" s="524" t="str">
        <f>IF(VLOOKUP(A179,'Charriage - Geschiebehaushalt'!$A$4:$AC$275,22,FALSE)="","",VLOOKUP(A179,'Charriage - Geschiebehaushalt'!$A$4:$AC$275,22,FALSE))</f>
        <v>0-20%</v>
      </c>
      <c r="H179" s="523" t="str">
        <f>IF(VLOOKUP(A179,'Charriage - Geschiebehaushalt'!$A$4:$AC$275,23,FALSE)="","",VLOOKUP(A179,'Charriage - Geschiebehaushalt'!$A$4:$AC$275,23,FALSE))</f>
        <v>d</v>
      </c>
      <c r="I179" s="524" t="str">
        <f>IF(VLOOKUP(A179,'Charriage - Geschiebehaushalt'!$A$4:$AC$275,28,FALSE)="","",VLOOKUP(A179,'Charriage - Geschiebehaushalt'!$A$4:$AC$275,28,FALSE))</f>
        <v>0-20%</v>
      </c>
      <c r="J179" s="403" t="str">
        <f>IF(VLOOKUP(A179,'Charriage - Geschiebehaushalt'!$A$4:$AC$275,29,FALSE)="","",VLOOKUP(A179,'Charriage - Geschiebehaushalt'!$A$4:$AC$275,29,FALSE))</f>
        <v>d</v>
      </c>
      <c r="K179" s="533" t="str">
        <f>IF(VLOOKUP(A179,'Débit - Abfluss'!$A$4:$AD$275,8,FALSE)="","",VLOOKUP(A179,'Débit - Abfluss'!$A$4:$AD$275,8,FALSE))</f>
        <v>100%</v>
      </c>
      <c r="L179" s="468" t="str">
        <f>IF(VLOOKUP(A179,'Débit - Abfluss'!$A$4:$AD$275,10,FALSE)="","",VLOOKUP(A179,'Débit - Abfluss'!$A$4:$AD$275,10,FALSE))</f>
        <v>100%</v>
      </c>
      <c r="M179" s="333" t="str">
        <f>IF(VLOOKUP(A179,'Débit - Abfluss'!$A$4:$AD$275,17,FALSE)="","",VLOOKUP(A179,'Débit - Abfluss'!$A$4:$AD$275,17,FALSE))</f>
        <v>100%</v>
      </c>
      <c r="N179" s="340" t="str">
        <f>IF(VLOOKUP(A179,'Eclusée - Schwall-Sunk'!$A$2:$F$273,6,FALSE)="","",VLOOKUP(A179,'Eclusée - Schwall-Sunk'!$A$2:$F$273,6,FALSE))</f>
        <v>Potentiellement affecté mais non plausible / möglicherweise betroffen aber nicht nachweisbar</v>
      </c>
      <c r="O179" s="537"/>
      <c r="P179" s="538"/>
      <c r="Q179" s="284" t="str">
        <f>IF(VLOOKUP(A179,'Revitalisation-Revitalisierung'!$A$4:$Z$275,13,FALSE)="","",VLOOKUP(A179,'Revitalisation-Revitalisierung'!$A$4:$Z$275,13,FALSE))</f>
        <v>Non nécessaire / nicht nötig</v>
      </c>
      <c r="R179" s="541" t="str">
        <f>IF(VLOOKUP(A179,'Revitalisation-Revitalisierung'!$A$4:$Z$275,14,FALSE)="","",VLOOKUP(A179,'Revitalisation-Revitalisierung'!$A$4:$Z$275,14,FALSE))</f>
        <v>b</v>
      </c>
      <c r="S179" s="542" t="str">
        <f>IF(VLOOKUP(A179,'Revitalisation-Revitalisierung'!$A$4:$Z$275,19,FALSE)="","",VLOOKUP(A179,'Revitalisation-Revitalisierung'!$A$4:$Z$275,19,FALSE))</f>
        <v>Partiellement nécessaire, facile / teilweise nötig, einfach</v>
      </c>
      <c r="T179" s="541" t="str">
        <f>IF(VLOOKUP(A179,'Revitalisation-Revitalisierung'!$A$4:$Z$275,20,FALSE)="","",VLOOKUP(A179,'Revitalisation-Revitalisierung'!$A$4:$Z$275,20,FALSE))</f>
        <v>c</v>
      </c>
      <c r="U179" s="542" t="str">
        <f>IF(VLOOKUP(A179,'Revitalisation-Revitalisierung'!$A$4:$Z$275,25,FALSE)="","",VLOOKUP(A179,'Revitalisation-Revitalisierung'!$A$4:$Z$275,25,FALSE))</f>
        <v>Partiellement nécessaire, facile / teilweise nötig, einfach</v>
      </c>
      <c r="V179" s="406" t="str">
        <f>IF(VLOOKUP(A179,'Revitalisation-Revitalisierung'!$A$4:$Z$275,26,FALSE)="","",VLOOKUP(A179,'Revitalisation-Revitalisierung'!$A$4:$Z$275,26,FALSE))</f>
        <v>c</v>
      </c>
      <c r="Y179" s="529" t="str">
        <f t="shared" si="14"/>
        <v>0-20%</v>
      </c>
      <c r="Z179" s="568" t="str">
        <f t="shared" si="15"/>
        <v>d</v>
      </c>
      <c r="AA179" s="327" t="str">
        <f t="shared" si="16"/>
        <v>100%</v>
      </c>
      <c r="AB179" s="327" t="str">
        <f t="shared" si="17"/>
        <v>Potentiellement affecté mais non plausible / möglicherweise betroffen aber nicht nachweisbar</v>
      </c>
      <c r="AC179" s="276" t="str">
        <f t="shared" si="18"/>
        <v>Partiellement nécessaire, facile / teilweise nötig, einfach</v>
      </c>
      <c r="AD179" s="570" t="str">
        <f t="shared" si="19"/>
        <v>c</v>
      </c>
      <c r="AE179">
        <v>4</v>
      </c>
      <c r="AF179">
        <v>1</v>
      </c>
    </row>
    <row r="180" spans="1:32" ht="16.5" customHeight="1" x14ac:dyDescent="0.25">
      <c r="A180" s="926">
        <v>190</v>
      </c>
      <c r="B180" s="400" t="s">
        <v>318</v>
      </c>
      <c r="C180" s="400" t="s">
        <v>319</v>
      </c>
      <c r="D180" s="401" t="s">
        <v>274</v>
      </c>
      <c r="E180" s="522" t="str">
        <f>IF(VLOOKUP(A180,'Charriage - Geschiebehaushalt'!$A$4:$AC$275,17,FALSE)="","",VLOOKUP(A180,'Charriage - Geschiebehaushalt'!$A$4:$AC$275,17,FALSE))</f>
        <v>0-20%</v>
      </c>
      <c r="F180" s="523" t="str">
        <f>IF(VLOOKUP(A180,'Charriage - Geschiebehaushalt'!$A$4:$AC$275,18,FALSE)="","",VLOOKUP(A180,'Charriage - Geschiebehaushalt'!$A$4:$AC$275,18,FALSE))</f>
        <v>a</v>
      </c>
      <c r="G180" s="524" t="str">
        <f>IF(VLOOKUP(A180,'Charriage - Geschiebehaushalt'!$A$4:$AC$275,22,FALSE)="","",VLOOKUP(A180,'Charriage - Geschiebehaushalt'!$A$4:$AC$275,22,FALSE))</f>
        <v>0-20%</v>
      </c>
      <c r="H180" s="523" t="str">
        <f>IF(VLOOKUP(A180,'Charriage - Geschiebehaushalt'!$A$4:$AC$275,23,FALSE)="","",VLOOKUP(A180,'Charriage - Geschiebehaushalt'!$A$4:$AC$275,23,FALSE))</f>
        <v>d</v>
      </c>
      <c r="I180" s="524" t="str">
        <f>IF(VLOOKUP(A180,'Charriage - Geschiebehaushalt'!$A$4:$AC$275,28,FALSE)="","",VLOOKUP(A180,'Charriage - Geschiebehaushalt'!$A$4:$AC$275,28,FALSE))</f>
        <v>0-20%</v>
      </c>
      <c r="J180" s="403" t="str">
        <f>IF(VLOOKUP(A180,'Charriage - Geschiebehaushalt'!$A$4:$AC$275,29,FALSE)="","",VLOOKUP(A180,'Charriage - Geschiebehaushalt'!$A$4:$AC$275,29,FALSE))</f>
        <v>d</v>
      </c>
      <c r="K180" s="533" t="str">
        <f>IF(VLOOKUP(A180,'Débit - Abfluss'!$A$4:$AD$275,8,FALSE)="","",VLOOKUP(A180,'Débit - Abfluss'!$A$4:$AD$275,8,FALSE))</f>
        <v>100%</v>
      </c>
      <c r="L180" s="468" t="str">
        <f>IF(VLOOKUP(A180,'Débit - Abfluss'!$A$4:$AD$275,10,FALSE)="","",VLOOKUP(A180,'Débit - Abfluss'!$A$4:$AD$275,10,FALSE))</f>
        <v>100%</v>
      </c>
      <c r="M180" s="333" t="str">
        <f>IF(VLOOKUP(A180,'Débit - Abfluss'!$A$4:$AD$275,17,FALSE)="","",VLOOKUP(A180,'Débit - Abfluss'!$A$4:$AD$275,17,FALSE))</f>
        <v>100%</v>
      </c>
      <c r="N180" s="340" t="str">
        <f>IF(VLOOKUP(A180,'Eclusée - Schwall-Sunk'!$A$2:$F$273,6,FALSE)="","",VLOOKUP(A180,'Eclusée - Schwall-Sunk'!$A$2:$F$273,6,FALSE))</f>
        <v>Potentiellement affecté mais non plausible / möglicherweise betroffen aber nicht nachweisbar</v>
      </c>
      <c r="O180" s="537"/>
      <c r="P180" s="538"/>
      <c r="Q180" s="284" t="str">
        <f>IF(VLOOKUP(A180,'Revitalisation-Revitalisierung'!$A$4:$Z$275,13,FALSE)="","",VLOOKUP(A180,'Revitalisation-Revitalisierung'!$A$4:$Z$275,13,FALSE))</f>
        <v>Très nécessaire, facile / unbedingt nötig, einfach</v>
      </c>
      <c r="R180" s="541" t="str">
        <f>IF(VLOOKUP(A180,'Revitalisation-Revitalisierung'!$A$4:$Z$275,14,FALSE)="","",VLOOKUP(A180,'Revitalisation-Revitalisierung'!$A$4:$Z$275,14,FALSE))</f>
        <v>b</v>
      </c>
      <c r="S180" s="542" t="str">
        <f>IF(VLOOKUP(A180,'Revitalisation-Revitalisierung'!$A$4:$Z$275,19,FALSE)="","",VLOOKUP(A180,'Revitalisation-Revitalisierung'!$A$4:$Z$275,19,FALSE))</f>
        <v>Très nécessaire, facile / unbedingt nötig, einfach</v>
      </c>
      <c r="T180" s="541" t="str">
        <f>IF(VLOOKUP(A180,'Revitalisation-Revitalisierung'!$A$4:$Z$275,20,FALSE)="","",VLOOKUP(A180,'Revitalisation-Revitalisierung'!$A$4:$Z$275,20,FALSE))</f>
        <v>d</v>
      </c>
      <c r="U180" s="542" t="str">
        <f>IF(VLOOKUP(A180,'Revitalisation-Revitalisierung'!$A$4:$Z$275,25,FALSE)="","",VLOOKUP(A180,'Revitalisation-Revitalisierung'!$A$4:$Z$275,25,FALSE))</f>
        <v>Très nécessaire, facile / unbedingt nötig, einfach</v>
      </c>
      <c r="V180" s="406" t="str">
        <f>IF(VLOOKUP(A180,'Revitalisation-Revitalisierung'!$A$4:$Z$275,26,FALSE)="","",VLOOKUP(A180,'Revitalisation-Revitalisierung'!$A$4:$Z$275,26,FALSE))</f>
        <v>d</v>
      </c>
      <c r="Y180" s="529" t="str">
        <f t="shared" si="14"/>
        <v>0-20%</v>
      </c>
      <c r="Z180" s="568" t="str">
        <f t="shared" si="15"/>
        <v>d</v>
      </c>
      <c r="AA180" s="327" t="str">
        <f t="shared" si="16"/>
        <v>100%</v>
      </c>
      <c r="AB180" s="327" t="str">
        <f t="shared" si="17"/>
        <v>Potentiellement affecté mais non plausible / möglicherweise betroffen aber nicht nachweisbar</v>
      </c>
      <c r="AC180" s="276" t="str">
        <f t="shared" si="18"/>
        <v>Très nécessaire, facile / unbedingt nötig, einfach</v>
      </c>
      <c r="AD180" s="570" t="str">
        <f t="shared" si="19"/>
        <v>d</v>
      </c>
      <c r="AE180">
        <v>4</v>
      </c>
      <c r="AF180">
        <v>1</v>
      </c>
    </row>
    <row r="181" spans="1:32" ht="16.5" customHeight="1" x14ac:dyDescent="0.25">
      <c r="A181" s="926">
        <v>194</v>
      </c>
      <c r="B181" s="400" t="s">
        <v>320</v>
      </c>
      <c r="C181" s="400" t="s">
        <v>321</v>
      </c>
      <c r="D181" s="401" t="s">
        <v>274</v>
      </c>
      <c r="E181" s="522" t="str">
        <f>IF(VLOOKUP(A181,'Charriage - Geschiebehaushalt'!$A$4:$AC$275,17,FALSE)="","",VLOOKUP(A181,'Charriage - Geschiebehaushalt'!$A$4:$AC$275,17,FALSE))</f>
        <v>51-80%</v>
      </c>
      <c r="F181" s="523" t="str">
        <f>IF(VLOOKUP(A181,'Charriage - Geschiebehaushalt'!$A$4:$AC$275,18,FALSE)="","",VLOOKUP(A181,'Charriage - Geschiebehaushalt'!$A$4:$AC$275,18,FALSE))</f>
        <v>a</v>
      </c>
      <c r="G181" s="524" t="str">
        <f>IF(VLOOKUP(A181,'Charriage - Geschiebehaushalt'!$A$4:$AC$275,22,FALSE)="","",VLOOKUP(A181,'Charriage - Geschiebehaushalt'!$A$4:$AC$275,22,FALSE))</f>
        <v>0-20%</v>
      </c>
      <c r="H181" s="523" t="str">
        <f>IF(VLOOKUP(A181,'Charriage - Geschiebehaushalt'!$A$4:$AC$275,23,FALSE)="","",VLOOKUP(A181,'Charriage - Geschiebehaushalt'!$A$4:$AC$275,23,FALSE))</f>
        <v>c</v>
      </c>
      <c r="I181" s="524" t="str">
        <f>IF(VLOOKUP(A181,'Charriage - Geschiebehaushalt'!$A$4:$AC$275,28,FALSE)="","",VLOOKUP(A181,'Charriage - Geschiebehaushalt'!$A$4:$AC$275,28,FALSE))</f>
        <v>0-20%</v>
      </c>
      <c r="J181" s="403" t="str">
        <f>IF(VLOOKUP(A181,'Charriage - Geschiebehaushalt'!$A$4:$AC$275,29,FALSE)="","",VLOOKUP(A181,'Charriage - Geschiebehaushalt'!$A$4:$AC$275,29,FALSE))</f>
        <v>c</v>
      </c>
      <c r="K181" s="533" t="str">
        <f>IF(VLOOKUP(A181,'Débit - Abfluss'!$A$4:$AD$275,8,FALSE)="","",VLOOKUP(A181,'Débit - Abfluss'!$A$4:$AD$275,8,FALSE))</f>
        <v>100%</v>
      </c>
      <c r="L181" s="468" t="str">
        <f>IF(VLOOKUP(A181,'Débit - Abfluss'!$A$4:$AD$275,10,FALSE)="","",VLOOKUP(A181,'Débit - Abfluss'!$A$4:$AD$275,10,FALSE))</f>
        <v>100%</v>
      </c>
      <c r="M181" s="333" t="str">
        <f>IF(VLOOKUP(A181,'Débit - Abfluss'!$A$4:$AD$275,17,FALSE)="","",VLOOKUP(A181,'Débit - Abfluss'!$A$4:$AD$275,17,FALSE))</f>
        <v>100%</v>
      </c>
      <c r="N181" s="340" t="str">
        <f>IF(VLOOKUP(A181,'Eclusée - Schwall-Sunk'!$A$2:$F$273,6,FALSE)="","",VLOOKUP(A181,'Eclusée - Schwall-Sunk'!$A$2:$F$273,6,FALSE))</f>
        <v>Potentiellement affecté / möglicherweise betroffen</v>
      </c>
      <c r="O181" s="537"/>
      <c r="P181" s="538"/>
      <c r="Q181" s="284" t="str">
        <f>IF(VLOOKUP(A181,'Revitalisation-Revitalisierung'!$A$4:$Z$275,13,FALSE)="","",VLOOKUP(A181,'Revitalisation-Revitalisierung'!$A$4:$Z$275,13,FALSE))</f>
        <v>Très nécessaire, facile / unbedingt nötig, einfach</v>
      </c>
      <c r="R181" s="541" t="str">
        <f>IF(VLOOKUP(A181,'Revitalisation-Revitalisierung'!$A$4:$Z$275,14,FALSE)="","",VLOOKUP(A181,'Revitalisation-Revitalisierung'!$A$4:$Z$275,14,FALSE))</f>
        <v>a</v>
      </c>
      <c r="S181" s="542" t="str">
        <f>IF(VLOOKUP(A181,'Revitalisation-Revitalisierung'!$A$4:$Z$275,19,FALSE)="","",VLOOKUP(A181,'Revitalisation-Revitalisierung'!$A$4:$Z$275,19,FALSE))</f>
        <v>Très nécessaire, facile / unbedingt nötig, einfach</v>
      </c>
      <c r="T181" s="541" t="str">
        <f>IF(VLOOKUP(A181,'Revitalisation-Revitalisierung'!$A$4:$Z$275,20,FALSE)="","",VLOOKUP(A181,'Revitalisation-Revitalisierung'!$A$4:$Z$275,20,FALSE))</f>
        <v>d</v>
      </c>
      <c r="U181" s="542" t="str">
        <f>IF(VLOOKUP(A181,'Revitalisation-Revitalisierung'!$A$4:$Z$275,25,FALSE)="","",VLOOKUP(A181,'Revitalisation-Revitalisierung'!$A$4:$Z$275,25,FALSE))</f>
        <v>Très nécessaire, facile / unbedingt nötig, einfach</v>
      </c>
      <c r="V181" s="406" t="str">
        <f>IF(VLOOKUP(A181,'Revitalisation-Revitalisierung'!$A$4:$Z$275,26,FALSE)="","",VLOOKUP(A181,'Revitalisation-Revitalisierung'!$A$4:$Z$275,26,FALSE))</f>
        <v>d</v>
      </c>
      <c r="Y181" s="529" t="str">
        <f t="shared" si="14"/>
        <v>0-20%</v>
      </c>
      <c r="Z181" s="568" t="str">
        <f t="shared" si="15"/>
        <v>c</v>
      </c>
      <c r="AA181" s="327" t="str">
        <f t="shared" si="16"/>
        <v>100%</v>
      </c>
      <c r="AB181" s="327" t="str">
        <f t="shared" si="17"/>
        <v>Potentiellement affecté / möglicherweise betroffen</v>
      </c>
      <c r="AC181" s="276" t="str">
        <f t="shared" si="18"/>
        <v>Très nécessaire, facile / unbedingt nötig, einfach</v>
      </c>
      <c r="AD181" s="570" t="str">
        <f t="shared" si="19"/>
        <v>d</v>
      </c>
      <c r="AE181">
        <v>4</v>
      </c>
      <c r="AF181">
        <v>1</v>
      </c>
    </row>
    <row r="182" spans="1:32" ht="16.5" customHeight="1" x14ac:dyDescent="0.25">
      <c r="A182" s="926">
        <v>195</v>
      </c>
      <c r="B182" s="400" t="s">
        <v>322</v>
      </c>
      <c r="C182" s="400" t="s">
        <v>323</v>
      </c>
      <c r="D182" s="401" t="s">
        <v>274</v>
      </c>
      <c r="E182" s="522" t="str">
        <f>IF(VLOOKUP(A182,'Charriage - Geschiebehaushalt'!$A$4:$AC$275,17,FALSE)="","",VLOOKUP(A182,'Charriage - Geschiebehaushalt'!$A$4:$AC$275,17,FALSE))</f>
        <v>La remobilisation des sédiments est perturbée / Mobilisierung von Geschiebe beeinträchtigt</v>
      </c>
      <c r="F182" s="523" t="str">
        <f>IF(VLOOKUP(A182,'Charriage - Geschiebehaushalt'!$A$4:$AC$275,18,FALSE)="","",VLOOKUP(A182,'Charriage - Geschiebehaushalt'!$A$4:$AC$275,18,FALSE))</f>
        <v>b</v>
      </c>
      <c r="G182" s="524" t="str">
        <f>IF(VLOOKUP(A182,'Charriage - Geschiebehaushalt'!$A$4:$AC$275,22,FALSE)="","",VLOOKUP(A182,'Charriage - Geschiebehaushalt'!$A$4:$AC$275,22,FALSE))</f>
        <v>21-50%</v>
      </c>
      <c r="H182" s="523" t="str">
        <f>IF(VLOOKUP(A182,'Charriage - Geschiebehaushalt'!$A$4:$AC$275,23,FALSE)="","",VLOOKUP(A182,'Charriage - Geschiebehaushalt'!$A$4:$AC$275,23,FALSE))</f>
        <v>d</v>
      </c>
      <c r="I182" s="524" t="str">
        <f>IF(VLOOKUP(A182,'Charriage - Geschiebehaushalt'!$A$4:$AC$275,28,FALSE)="","",VLOOKUP(A182,'Charriage - Geschiebehaushalt'!$A$4:$AC$275,28,FALSE))</f>
        <v>21-50%</v>
      </c>
      <c r="J182" s="403" t="str">
        <f>IF(VLOOKUP(A182,'Charriage - Geschiebehaushalt'!$A$4:$AC$275,29,FALSE)="","",VLOOKUP(A182,'Charriage - Geschiebehaushalt'!$A$4:$AC$275,29,FALSE))</f>
        <v>d</v>
      </c>
      <c r="K182" s="533" t="str">
        <f>IF(VLOOKUP(A182,'Débit - Abfluss'!$A$4:$AD$275,8,FALSE)="","",VLOOKUP(A182,'Débit - Abfluss'!$A$4:$AD$275,8,FALSE))</f>
        <v>61-80%</v>
      </c>
      <c r="L182" s="468" t="str">
        <f>IF(VLOOKUP(A182,'Débit - Abfluss'!$A$4:$AD$275,10,FALSE)="","",VLOOKUP(A182,'Débit - Abfluss'!$A$4:$AD$275,10,FALSE))</f>
        <v>61-80%</v>
      </c>
      <c r="M182" s="333" t="str">
        <f>IF(VLOOKUP(A182,'Débit - Abfluss'!$A$4:$AD$275,17,FALSE)="","",VLOOKUP(A182,'Débit - Abfluss'!$A$4:$AD$275,17,FALSE))</f>
        <v>61-80%</v>
      </c>
      <c r="N182" s="340" t="str">
        <f>IF(VLOOKUP(A182,'Eclusée - Schwall-Sunk'!$A$2:$F$273,6,FALSE)="","",VLOOKUP(A182,'Eclusée - Schwall-Sunk'!$A$2:$F$273,6,FALSE))</f>
        <v>Non affecté / nicht betroffen</v>
      </c>
      <c r="O182" s="537"/>
      <c r="P182" s="538"/>
      <c r="Q182" s="284" t="str">
        <f>IF(VLOOKUP(A182,'Revitalisation-Revitalisierung'!$A$4:$Z$275,13,FALSE)="","",VLOOKUP(A182,'Revitalisation-Revitalisierung'!$A$4:$Z$275,13,FALSE))</f>
        <v>Très nécessaire, difficile / unbedingt nötig, schwierig</v>
      </c>
      <c r="R182" s="541" t="str">
        <f>IF(VLOOKUP(A182,'Revitalisation-Revitalisierung'!$A$4:$Z$275,14,FALSE)="","",VLOOKUP(A182,'Revitalisation-Revitalisierung'!$A$4:$Z$275,14,FALSE))</f>
        <v>a</v>
      </c>
      <c r="S182" s="542" t="str">
        <f>IF(VLOOKUP(A182,'Revitalisation-Revitalisierung'!$A$4:$Z$275,19,FALSE)="","",VLOOKUP(A182,'Revitalisation-Revitalisierung'!$A$4:$Z$275,19,FALSE))</f>
        <v>Partiellement nécessaire, difficile / teilweise nötig, schwierig</v>
      </c>
      <c r="T182" s="541" t="str">
        <f>IF(VLOOKUP(A182,'Revitalisation-Revitalisierung'!$A$4:$Z$275,20,FALSE)="","",VLOOKUP(A182,'Revitalisation-Revitalisierung'!$A$4:$Z$275,20,FALSE))</f>
        <v>c</v>
      </c>
      <c r="U182" s="542" t="str">
        <f>IF(VLOOKUP(A182,'Revitalisation-Revitalisierung'!$A$4:$Z$275,25,FALSE)="","",VLOOKUP(A182,'Revitalisation-Revitalisierung'!$A$4:$Z$275,25,FALSE))</f>
        <v>Partiellement nécessaire, difficile / teilweise nötig, schwierig</v>
      </c>
      <c r="V182" s="406" t="str">
        <f>IF(VLOOKUP(A182,'Revitalisation-Revitalisierung'!$A$4:$Z$275,26,FALSE)="","",VLOOKUP(A182,'Revitalisation-Revitalisierung'!$A$4:$Z$275,26,FALSE))</f>
        <v>c</v>
      </c>
      <c r="Y182" s="529" t="str">
        <f t="shared" si="14"/>
        <v>21-50%</v>
      </c>
      <c r="Z182" s="568" t="str">
        <f t="shared" si="15"/>
        <v>d</v>
      </c>
      <c r="AA182" s="327" t="str">
        <f t="shared" si="16"/>
        <v>61-80%</v>
      </c>
      <c r="AB182" s="327" t="str">
        <f t="shared" si="17"/>
        <v>Non affecté / nicht betroffen</v>
      </c>
      <c r="AC182" s="276" t="str">
        <f t="shared" si="18"/>
        <v>Partiellement nécessaire, difficile / teilweise nötig, schwierig</v>
      </c>
      <c r="AD182" s="570" t="str">
        <f t="shared" si="19"/>
        <v>c</v>
      </c>
      <c r="AE182" t="s">
        <v>1902</v>
      </c>
      <c r="AF182">
        <v>1</v>
      </c>
    </row>
    <row r="183" spans="1:32" ht="16.5" customHeight="1" x14ac:dyDescent="0.25">
      <c r="A183" s="926">
        <v>198</v>
      </c>
      <c r="B183" s="400" t="s">
        <v>601</v>
      </c>
      <c r="C183" s="400" t="s">
        <v>217</v>
      </c>
      <c r="D183" s="401" t="s">
        <v>573</v>
      </c>
      <c r="E183" s="522" t="str">
        <f>IF(VLOOKUP(A183,'Charriage - Geschiebehaushalt'!$A$4:$AC$275,17,FALSE)="","",VLOOKUP(A183,'Charriage - Geschiebehaushalt'!$A$4:$AC$275,17,FALSE))</f>
        <v>non pertinent / nicht relevant</v>
      </c>
      <c r="F183" s="523" t="str">
        <f>IF(VLOOKUP(A183,'Charriage - Geschiebehaushalt'!$A$4:$AC$275,18,FALSE)="","",VLOOKUP(A183,'Charriage - Geschiebehaushalt'!$A$4:$AC$275,18,FALSE))</f>
        <v>a</v>
      </c>
      <c r="G183" s="524" t="str">
        <f>IF(VLOOKUP(A183,'Charriage - Geschiebehaushalt'!$A$4:$AC$275,22,FALSE)="","",VLOOKUP(A183,'Charriage - Geschiebehaushalt'!$A$4:$AC$275,22,FALSE))</f>
        <v>non pertinent / nicht relevant</v>
      </c>
      <c r="H183" s="523" t="str">
        <f>IF(VLOOKUP(A183,'Charriage - Geschiebehaushalt'!$A$4:$AC$275,23,FALSE)="","",VLOOKUP(A183,'Charriage - Geschiebehaushalt'!$A$4:$AC$275,23,FALSE))</f>
        <v>a</v>
      </c>
      <c r="I183" s="524" t="str">
        <f>IF(VLOOKUP(A183,'Charriage - Geschiebehaushalt'!$A$4:$AC$275,28,FALSE)="","",VLOOKUP(A183,'Charriage - Geschiebehaushalt'!$A$4:$AC$275,28,FALSE))</f>
        <v>non pertinent / nicht relevant</v>
      </c>
      <c r="J183" s="403" t="str">
        <f>IF(VLOOKUP(A183,'Charriage - Geschiebehaushalt'!$A$4:$AC$275,29,FALSE)="","",VLOOKUP(A183,'Charriage - Geschiebehaushalt'!$A$4:$AC$275,29,FALSE))</f>
        <v>a</v>
      </c>
      <c r="K183" s="533" t="str">
        <f>IF(VLOOKUP(A183,'Débit - Abfluss'!$A$4:$AD$275,8,FALSE)="","",VLOOKUP(A183,'Débit - Abfluss'!$A$4:$AD$275,8,FALSE))</f>
        <v>non pertinent / nicht relevant</v>
      </c>
      <c r="L183" s="468" t="str">
        <f>IF(VLOOKUP(A183,'Débit - Abfluss'!$A$4:$AD$275,10,FALSE)="","",VLOOKUP(A183,'Débit - Abfluss'!$A$4:$AD$275,10,FALSE))</f>
        <v>non pertinent / nicht relevant</v>
      </c>
      <c r="M183" s="333" t="str">
        <f>IF(VLOOKUP(A183,'Débit - Abfluss'!$A$4:$AD$275,17,FALSE)="","",VLOOKUP(A183,'Débit - Abfluss'!$A$4:$AD$275,17,FALSE))</f>
        <v>non pertinent / nicht relevant</v>
      </c>
      <c r="N183" s="340" t="str">
        <f>IF(VLOOKUP(A183,'Eclusée - Schwall-Sunk'!$A$2:$F$273,6,FALSE)="","",VLOOKUP(A183,'Eclusée - Schwall-Sunk'!$A$2:$F$273,6,FALSE))</f>
        <v>Non affecté / nicht betroffen</v>
      </c>
      <c r="O183" s="537"/>
      <c r="P183" s="538"/>
      <c r="Q183" s="284" t="str">
        <f>IF(VLOOKUP(A183,'Revitalisation-Revitalisierung'!$A$4:$Z$275,13,FALSE)="","",VLOOKUP(A183,'Revitalisation-Revitalisierung'!$A$4:$Z$275,13,FALSE))</f>
        <v>non pertinent / nicht relevant</v>
      </c>
      <c r="R183" s="541" t="str">
        <f>IF(VLOOKUP(A183,'Revitalisation-Revitalisierung'!$A$4:$Z$275,14,FALSE)="","",VLOOKUP(A183,'Revitalisation-Revitalisierung'!$A$4:$Z$275,14,FALSE))</f>
        <v>a</v>
      </c>
      <c r="S183" s="542" t="str">
        <f>IF(VLOOKUP(A183,'Revitalisation-Revitalisierung'!$A$4:$Z$275,19,FALSE)="","",VLOOKUP(A183,'Revitalisation-Revitalisierung'!$A$4:$Z$275,19,FALSE))</f>
        <v>non pertinent / nicht relevant</v>
      </c>
      <c r="T183" s="541" t="str">
        <f>IF(VLOOKUP(A183,'Revitalisation-Revitalisierung'!$A$4:$Z$275,20,FALSE)="","",VLOOKUP(A183,'Revitalisation-Revitalisierung'!$A$4:$Z$275,20,FALSE))</f>
        <v>a</v>
      </c>
      <c r="U183" s="542" t="str">
        <f>IF(VLOOKUP(A183,'Revitalisation-Revitalisierung'!$A$4:$Z$275,25,FALSE)="","",VLOOKUP(A183,'Revitalisation-Revitalisierung'!$A$4:$Z$275,25,FALSE))</f>
        <v>non pertinent / nicht relevant</v>
      </c>
      <c r="V183" s="406" t="str">
        <f>IF(VLOOKUP(A183,'Revitalisation-Revitalisierung'!$A$4:$Z$275,26,FALSE)="","",VLOOKUP(A183,'Revitalisation-Revitalisierung'!$A$4:$Z$275,26,FALSE))</f>
        <v>a</v>
      </c>
      <c r="Y183" s="529" t="str">
        <f t="shared" si="14"/>
        <v>non pertinent / nicht relevant</v>
      </c>
      <c r="Z183" s="568" t="str">
        <f t="shared" si="15"/>
        <v>a</v>
      </c>
      <c r="AA183" s="327" t="str">
        <f t="shared" si="16"/>
        <v>non pertinent / nicht relevant</v>
      </c>
      <c r="AB183" s="327" t="str">
        <f t="shared" si="17"/>
        <v>Non affecté / nicht betroffen</v>
      </c>
      <c r="AC183" s="276" t="str">
        <f t="shared" si="18"/>
        <v>non pertinent / nicht relevant</v>
      </c>
      <c r="AD183" s="570" t="str">
        <f t="shared" si="19"/>
        <v>a</v>
      </c>
      <c r="AE183">
        <v>5</v>
      </c>
      <c r="AF183">
        <v>1</v>
      </c>
    </row>
    <row r="184" spans="1:32" ht="16.5" customHeight="1" x14ac:dyDescent="0.25">
      <c r="A184" s="926">
        <v>200</v>
      </c>
      <c r="B184" s="400" t="s">
        <v>602</v>
      </c>
      <c r="C184" s="400" t="s">
        <v>217</v>
      </c>
      <c r="D184" s="401" t="s">
        <v>573</v>
      </c>
      <c r="E184" s="522" t="str">
        <f>IF(VLOOKUP(A184,'Charriage - Geschiebehaushalt'!$A$4:$AC$275,17,FALSE)="","",VLOOKUP(A184,'Charriage - Geschiebehaushalt'!$A$4:$AC$275,17,FALSE))</f>
        <v>non pertinent / nicht relevant</v>
      </c>
      <c r="F184" s="523" t="str">
        <f>IF(VLOOKUP(A184,'Charriage - Geschiebehaushalt'!$A$4:$AC$275,18,FALSE)="","",VLOOKUP(A184,'Charriage - Geschiebehaushalt'!$A$4:$AC$275,18,FALSE))</f>
        <v>a</v>
      </c>
      <c r="G184" s="524" t="str">
        <f>IF(VLOOKUP(A184,'Charriage - Geschiebehaushalt'!$A$4:$AC$275,22,FALSE)="","",VLOOKUP(A184,'Charriage - Geschiebehaushalt'!$A$4:$AC$275,22,FALSE))</f>
        <v>non pertinent / nicht relevant</v>
      </c>
      <c r="H184" s="523" t="str">
        <f>IF(VLOOKUP(A184,'Charriage - Geschiebehaushalt'!$A$4:$AC$275,23,FALSE)="","",VLOOKUP(A184,'Charriage - Geschiebehaushalt'!$A$4:$AC$275,23,FALSE))</f>
        <v>a</v>
      </c>
      <c r="I184" s="524" t="str">
        <f>IF(VLOOKUP(A184,'Charriage - Geschiebehaushalt'!$A$4:$AC$275,28,FALSE)="","",VLOOKUP(A184,'Charriage - Geschiebehaushalt'!$A$4:$AC$275,28,FALSE))</f>
        <v>non pertinent / nicht relevant</v>
      </c>
      <c r="J184" s="403" t="str">
        <f>IF(VLOOKUP(A184,'Charriage - Geschiebehaushalt'!$A$4:$AC$275,29,FALSE)="","",VLOOKUP(A184,'Charriage - Geschiebehaushalt'!$A$4:$AC$275,29,FALSE))</f>
        <v>a</v>
      </c>
      <c r="K184" s="533" t="str">
        <f>IF(VLOOKUP(A184,'Débit - Abfluss'!$A$4:$AD$275,8,FALSE)="","",VLOOKUP(A184,'Débit - Abfluss'!$A$4:$AD$275,8,FALSE))</f>
        <v>non pertinent / nicht relevant</v>
      </c>
      <c r="L184" s="468" t="str">
        <f>IF(VLOOKUP(A184,'Débit - Abfluss'!$A$4:$AD$275,10,FALSE)="","",VLOOKUP(A184,'Débit - Abfluss'!$A$4:$AD$275,10,FALSE))</f>
        <v>non pertinent / nicht relevant</v>
      </c>
      <c r="M184" s="333" t="str">
        <f>IF(VLOOKUP(A184,'Débit - Abfluss'!$A$4:$AD$275,17,FALSE)="","",VLOOKUP(A184,'Débit - Abfluss'!$A$4:$AD$275,17,FALSE))</f>
        <v>non pertinent / nicht relevant</v>
      </c>
      <c r="N184" s="340" t="str">
        <f>IF(VLOOKUP(A184,'Eclusée - Schwall-Sunk'!$A$2:$F$273,6,FALSE)="","",VLOOKUP(A184,'Eclusée - Schwall-Sunk'!$A$2:$F$273,6,FALSE))</f>
        <v>Non affecté / nicht betroffen</v>
      </c>
      <c r="O184" s="537"/>
      <c r="P184" s="538"/>
      <c r="Q184" s="284" t="str">
        <f>IF(VLOOKUP(A184,'Revitalisation-Revitalisierung'!$A$4:$Z$275,13,FALSE)="","",VLOOKUP(A184,'Revitalisation-Revitalisierung'!$A$4:$Z$275,13,FALSE))</f>
        <v>non pertinent / nicht relevant</v>
      </c>
      <c r="R184" s="541" t="str">
        <f>IF(VLOOKUP(A184,'Revitalisation-Revitalisierung'!$A$4:$Z$275,14,FALSE)="","",VLOOKUP(A184,'Revitalisation-Revitalisierung'!$A$4:$Z$275,14,FALSE))</f>
        <v>a</v>
      </c>
      <c r="S184" s="542" t="str">
        <f>IF(VLOOKUP(A184,'Revitalisation-Revitalisierung'!$A$4:$Z$275,19,FALSE)="","",VLOOKUP(A184,'Revitalisation-Revitalisierung'!$A$4:$Z$275,19,FALSE))</f>
        <v>non pertinent / nicht relevant</v>
      </c>
      <c r="T184" s="541" t="str">
        <f>IF(VLOOKUP(A184,'Revitalisation-Revitalisierung'!$A$4:$Z$275,20,FALSE)="","",VLOOKUP(A184,'Revitalisation-Revitalisierung'!$A$4:$Z$275,20,FALSE))</f>
        <v>a</v>
      </c>
      <c r="U184" s="542" t="str">
        <f>IF(VLOOKUP(A184,'Revitalisation-Revitalisierung'!$A$4:$Z$275,25,FALSE)="","",VLOOKUP(A184,'Revitalisation-Revitalisierung'!$A$4:$Z$275,25,FALSE))</f>
        <v>non pertinent / nicht relevant</v>
      </c>
      <c r="V184" s="406" t="str">
        <f>IF(VLOOKUP(A184,'Revitalisation-Revitalisierung'!$A$4:$Z$275,26,FALSE)="","",VLOOKUP(A184,'Revitalisation-Revitalisierung'!$A$4:$Z$275,26,FALSE))</f>
        <v>a</v>
      </c>
      <c r="Y184" s="529" t="str">
        <f t="shared" si="14"/>
        <v>non pertinent / nicht relevant</v>
      </c>
      <c r="Z184" s="568" t="str">
        <f t="shared" si="15"/>
        <v>a</v>
      </c>
      <c r="AA184" s="327" t="str">
        <f t="shared" si="16"/>
        <v>non pertinent / nicht relevant</v>
      </c>
      <c r="AB184" s="327" t="str">
        <f t="shared" si="17"/>
        <v>Non affecté / nicht betroffen</v>
      </c>
      <c r="AC184" s="276" t="str">
        <f t="shared" si="18"/>
        <v>non pertinent / nicht relevant</v>
      </c>
      <c r="AD184" s="570" t="str">
        <f t="shared" si="19"/>
        <v>a</v>
      </c>
      <c r="AE184">
        <v>5</v>
      </c>
      <c r="AF184">
        <v>1</v>
      </c>
    </row>
    <row r="185" spans="1:32" ht="16.5" customHeight="1" x14ac:dyDescent="0.25">
      <c r="A185" s="926">
        <v>201</v>
      </c>
      <c r="B185" s="400" t="s">
        <v>603</v>
      </c>
      <c r="C185" s="400" t="s">
        <v>217</v>
      </c>
      <c r="D185" s="401" t="s">
        <v>573</v>
      </c>
      <c r="E185" s="522" t="str">
        <f>IF(VLOOKUP(A185,'Charriage - Geschiebehaushalt'!$A$4:$AC$275,17,FALSE)="","",VLOOKUP(A185,'Charriage - Geschiebehaushalt'!$A$4:$AC$275,17,FALSE))</f>
        <v>non pertinent / nicht relevant</v>
      </c>
      <c r="F185" s="523" t="str">
        <f>IF(VLOOKUP(A185,'Charriage - Geschiebehaushalt'!$A$4:$AC$275,18,FALSE)="","",VLOOKUP(A185,'Charriage - Geschiebehaushalt'!$A$4:$AC$275,18,FALSE))</f>
        <v>a</v>
      </c>
      <c r="G185" s="524" t="str">
        <f>IF(VLOOKUP(A185,'Charriage - Geschiebehaushalt'!$A$4:$AC$275,22,FALSE)="","",VLOOKUP(A185,'Charriage - Geschiebehaushalt'!$A$4:$AC$275,22,FALSE))</f>
        <v>non pertinent / nicht relevant</v>
      </c>
      <c r="H185" s="523" t="str">
        <f>IF(VLOOKUP(A185,'Charriage - Geschiebehaushalt'!$A$4:$AC$275,23,FALSE)="","",VLOOKUP(A185,'Charriage - Geschiebehaushalt'!$A$4:$AC$275,23,FALSE))</f>
        <v>a</v>
      </c>
      <c r="I185" s="524" t="str">
        <f>IF(VLOOKUP(A185,'Charriage - Geschiebehaushalt'!$A$4:$AC$275,28,FALSE)="","",VLOOKUP(A185,'Charriage - Geschiebehaushalt'!$A$4:$AC$275,28,FALSE))</f>
        <v>non pertinent / nicht relevant</v>
      </c>
      <c r="J185" s="403" t="str">
        <f>IF(VLOOKUP(A185,'Charriage - Geschiebehaushalt'!$A$4:$AC$275,29,FALSE)="","",VLOOKUP(A185,'Charriage - Geschiebehaushalt'!$A$4:$AC$275,29,FALSE))</f>
        <v>a</v>
      </c>
      <c r="K185" s="533" t="str">
        <f>IF(VLOOKUP(A185,'Débit - Abfluss'!$A$4:$AD$275,8,FALSE)="","",VLOOKUP(A185,'Débit - Abfluss'!$A$4:$AD$275,8,FALSE))</f>
        <v>non pertinent / nicht relevant</v>
      </c>
      <c r="L185" s="468" t="str">
        <f>IF(VLOOKUP(A185,'Débit - Abfluss'!$A$4:$AD$275,10,FALSE)="","",VLOOKUP(A185,'Débit - Abfluss'!$A$4:$AD$275,10,FALSE))</f>
        <v>non pertinent / nicht relevant</v>
      </c>
      <c r="M185" s="333" t="str">
        <f>IF(VLOOKUP(A185,'Débit - Abfluss'!$A$4:$AD$275,17,FALSE)="","",VLOOKUP(A185,'Débit - Abfluss'!$A$4:$AD$275,17,FALSE))</f>
        <v>non pertinent / nicht relevant</v>
      </c>
      <c r="N185" s="340" t="str">
        <f>IF(VLOOKUP(A185,'Eclusée - Schwall-Sunk'!$A$2:$F$273,6,FALSE)="","",VLOOKUP(A185,'Eclusée - Schwall-Sunk'!$A$2:$F$273,6,FALSE))</f>
        <v>Non affecté / nicht betroffen</v>
      </c>
      <c r="O185" s="537"/>
      <c r="P185" s="538"/>
      <c r="Q185" s="284" t="str">
        <f>IF(VLOOKUP(A185,'Revitalisation-Revitalisierung'!$A$4:$Z$275,13,FALSE)="","",VLOOKUP(A185,'Revitalisation-Revitalisierung'!$A$4:$Z$275,13,FALSE))</f>
        <v>non pertinent / nicht relevant</v>
      </c>
      <c r="R185" s="541" t="str">
        <f>IF(VLOOKUP(A185,'Revitalisation-Revitalisierung'!$A$4:$Z$275,14,FALSE)="","",VLOOKUP(A185,'Revitalisation-Revitalisierung'!$A$4:$Z$275,14,FALSE))</f>
        <v>a</v>
      </c>
      <c r="S185" s="542" t="str">
        <f>IF(VLOOKUP(A185,'Revitalisation-Revitalisierung'!$A$4:$Z$275,19,FALSE)="","",VLOOKUP(A185,'Revitalisation-Revitalisierung'!$A$4:$Z$275,19,FALSE))</f>
        <v>non pertinent / nicht relevant</v>
      </c>
      <c r="T185" s="541" t="str">
        <f>IF(VLOOKUP(A185,'Revitalisation-Revitalisierung'!$A$4:$Z$275,20,FALSE)="","",VLOOKUP(A185,'Revitalisation-Revitalisierung'!$A$4:$Z$275,20,FALSE))</f>
        <v>a</v>
      </c>
      <c r="U185" s="542" t="str">
        <f>IF(VLOOKUP(A185,'Revitalisation-Revitalisierung'!$A$4:$Z$275,25,FALSE)="","",VLOOKUP(A185,'Revitalisation-Revitalisierung'!$A$4:$Z$275,25,FALSE))</f>
        <v>non pertinent / nicht relevant</v>
      </c>
      <c r="V185" s="406" t="str">
        <f>IF(VLOOKUP(A185,'Revitalisation-Revitalisierung'!$A$4:$Z$275,26,FALSE)="","",VLOOKUP(A185,'Revitalisation-Revitalisierung'!$A$4:$Z$275,26,FALSE))</f>
        <v>a</v>
      </c>
      <c r="Y185" s="529" t="str">
        <f t="shared" si="14"/>
        <v>non pertinent / nicht relevant</v>
      </c>
      <c r="Z185" s="568" t="str">
        <f t="shared" si="15"/>
        <v>a</v>
      </c>
      <c r="AA185" s="327" t="str">
        <f t="shared" si="16"/>
        <v>non pertinent / nicht relevant</v>
      </c>
      <c r="AB185" s="327" t="str">
        <f t="shared" si="17"/>
        <v>Non affecté / nicht betroffen</v>
      </c>
      <c r="AC185" s="276" t="str">
        <f t="shared" si="18"/>
        <v>non pertinent / nicht relevant</v>
      </c>
      <c r="AD185" s="570" t="str">
        <f t="shared" si="19"/>
        <v>a</v>
      </c>
      <c r="AE185">
        <v>5</v>
      </c>
      <c r="AF185">
        <v>1</v>
      </c>
    </row>
    <row r="186" spans="1:32" ht="16.5" customHeight="1" x14ac:dyDescent="0.25">
      <c r="A186" s="926">
        <v>202</v>
      </c>
      <c r="B186" s="400" t="s">
        <v>604</v>
      </c>
      <c r="C186" s="400" t="s">
        <v>217</v>
      </c>
      <c r="D186" s="401" t="s">
        <v>573</v>
      </c>
      <c r="E186" s="522" t="str">
        <f>IF(VLOOKUP(A186,'Charriage - Geschiebehaushalt'!$A$4:$AC$275,17,FALSE)="","",VLOOKUP(A186,'Charriage - Geschiebehaushalt'!$A$4:$AC$275,17,FALSE))</f>
        <v>non pertinent / nicht relevant</v>
      </c>
      <c r="F186" s="523" t="str">
        <f>IF(VLOOKUP(A186,'Charriage - Geschiebehaushalt'!$A$4:$AC$275,18,FALSE)="","",VLOOKUP(A186,'Charriage - Geschiebehaushalt'!$A$4:$AC$275,18,FALSE))</f>
        <v>a</v>
      </c>
      <c r="G186" s="524" t="str">
        <f>IF(VLOOKUP(A186,'Charriage - Geschiebehaushalt'!$A$4:$AC$275,22,FALSE)="","",VLOOKUP(A186,'Charriage - Geschiebehaushalt'!$A$4:$AC$275,22,FALSE))</f>
        <v>non pertinent / nicht relevant</v>
      </c>
      <c r="H186" s="523" t="str">
        <f>IF(VLOOKUP(A186,'Charriage - Geschiebehaushalt'!$A$4:$AC$275,23,FALSE)="","",VLOOKUP(A186,'Charriage - Geschiebehaushalt'!$A$4:$AC$275,23,FALSE))</f>
        <v>a</v>
      </c>
      <c r="I186" s="524" t="str">
        <f>IF(VLOOKUP(A186,'Charriage - Geschiebehaushalt'!$A$4:$AC$275,28,FALSE)="","",VLOOKUP(A186,'Charriage - Geschiebehaushalt'!$A$4:$AC$275,28,FALSE))</f>
        <v>non pertinent / nicht relevant</v>
      </c>
      <c r="J186" s="403" t="str">
        <f>IF(VLOOKUP(A186,'Charriage - Geschiebehaushalt'!$A$4:$AC$275,29,FALSE)="","",VLOOKUP(A186,'Charriage - Geschiebehaushalt'!$A$4:$AC$275,29,FALSE))</f>
        <v>a</v>
      </c>
      <c r="K186" s="533" t="str">
        <f>IF(VLOOKUP(A186,'Débit - Abfluss'!$A$4:$AD$275,8,FALSE)="","",VLOOKUP(A186,'Débit - Abfluss'!$A$4:$AD$275,8,FALSE))</f>
        <v>non pertinent / nicht relevant</v>
      </c>
      <c r="L186" s="468" t="str">
        <f>IF(VLOOKUP(A186,'Débit - Abfluss'!$A$4:$AD$275,10,FALSE)="","",VLOOKUP(A186,'Débit - Abfluss'!$A$4:$AD$275,10,FALSE))</f>
        <v>non pertinent / nicht relevant</v>
      </c>
      <c r="M186" s="333" t="str">
        <f>IF(VLOOKUP(A186,'Débit - Abfluss'!$A$4:$AD$275,17,FALSE)="","",VLOOKUP(A186,'Débit - Abfluss'!$A$4:$AD$275,17,FALSE))</f>
        <v>non pertinent / nicht relevant</v>
      </c>
      <c r="N186" s="340" t="str">
        <f>IF(VLOOKUP(A186,'Eclusée - Schwall-Sunk'!$A$2:$F$273,6,FALSE)="","",VLOOKUP(A186,'Eclusée - Schwall-Sunk'!$A$2:$F$273,6,FALSE))</f>
        <v>Non affecté / nicht betroffen</v>
      </c>
      <c r="O186" s="537"/>
      <c r="P186" s="538"/>
      <c r="Q186" s="284" t="str">
        <f>IF(VLOOKUP(A186,'Revitalisation-Revitalisierung'!$A$4:$Z$275,13,FALSE)="","",VLOOKUP(A186,'Revitalisation-Revitalisierung'!$A$4:$Z$275,13,FALSE))</f>
        <v>non pertinent / nicht relevant</v>
      </c>
      <c r="R186" s="541" t="str">
        <f>IF(VLOOKUP(A186,'Revitalisation-Revitalisierung'!$A$4:$Z$275,14,FALSE)="","",VLOOKUP(A186,'Revitalisation-Revitalisierung'!$A$4:$Z$275,14,FALSE))</f>
        <v>a</v>
      </c>
      <c r="S186" s="542" t="str">
        <f>IF(VLOOKUP(A186,'Revitalisation-Revitalisierung'!$A$4:$Z$275,19,FALSE)="","",VLOOKUP(A186,'Revitalisation-Revitalisierung'!$A$4:$Z$275,19,FALSE))</f>
        <v>non pertinent / nicht relevant</v>
      </c>
      <c r="T186" s="541" t="str">
        <f>IF(VLOOKUP(A186,'Revitalisation-Revitalisierung'!$A$4:$Z$275,20,FALSE)="","",VLOOKUP(A186,'Revitalisation-Revitalisierung'!$A$4:$Z$275,20,FALSE))</f>
        <v>a</v>
      </c>
      <c r="U186" s="542" t="str">
        <f>IF(VLOOKUP(A186,'Revitalisation-Revitalisierung'!$A$4:$Z$275,25,FALSE)="","",VLOOKUP(A186,'Revitalisation-Revitalisierung'!$A$4:$Z$275,25,FALSE))</f>
        <v>non pertinent / nicht relevant</v>
      </c>
      <c r="V186" s="406" t="str">
        <f>IF(VLOOKUP(A186,'Revitalisation-Revitalisierung'!$A$4:$Z$275,26,FALSE)="","",VLOOKUP(A186,'Revitalisation-Revitalisierung'!$A$4:$Z$275,26,FALSE))</f>
        <v>a</v>
      </c>
      <c r="Y186" s="529" t="str">
        <f t="shared" si="14"/>
        <v>non pertinent / nicht relevant</v>
      </c>
      <c r="Z186" s="568" t="str">
        <f t="shared" si="15"/>
        <v>a</v>
      </c>
      <c r="AA186" s="327" t="str">
        <f t="shared" si="16"/>
        <v>non pertinent / nicht relevant</v>
      </c>
      <c r="AB186" s="327" t="str">
        <f t="shared" si="17"/>
        <v>Non affecté / nicht betroffen</v>
      </c>
      <c r="AC186" s="276" t="str">
        <f t="shared" si="18"/>
        <v>non pertinent / nicht relevant</v>
      </c>
      <c r="AD186" s="570" t="str">
        <f t="shared" si="19"/>
        <v>a</v>
      </c>
      <c r="AE186">
        <v>5</v>
      </c>
      <c r="AF186">
        <v>1</v>
      </c>
    </row>
    <row r="187" spans="1:32" ht="16.5" customHeight="1" x14ac:dyDescent="0.25">
      <c r="A187" s="926">
        <v>203</v>
      </c>
      <c r="B187" s="400" t="s">
        <v>237</v>
      </c>
      <c r="C187" s="400" t="s">
        <v>217</v>
      </c>
      <c r="D187" s="401" t="s">
        <v>233</v>
      </c>
      <c r="E187" s="522" t="str">
        <f>IF(VLOOKUP(A187,'Charriage - Geschiebehaushalt'!$A$4:$AC$275,17,FALSE)="","",VLOOKUP(A187,'Charriage - Geschiebehaushalt'!$A$4:$AC$275,17,FALSE))</f>
        <v>non pertinent / nicht relevant</v>
      </c>
      <c r="F187" s="523" t="str">
        <f>IF(VLOOKUP(A187,'Charriage - Geschiebehaushalt'!$A$4:$AC$275,18,FALSE)="","",VLOOKUP(A187,'Charriage - Geschiebehaushalt'!$A$4:$AC$275,18,FALSE))</f>
        <v>a</v>
      </c>
      <c r="G187" s="524" t="str">
        <f>IF(VLOOKUP(A187,'Charriage - Geschiebehaushalt'!$A$4:$AC$275,22,FALSE)="","",VLOOKUP(A187,'Charriage - Geschiebehaushalt'!$A$4:$AC$275,22,FALSE))</f>
        <v>non pertinent / nicht relevant</v>
      </c>
      <c r="H187" s="523" t="str">
        <f>IF(VLOOKUP(A187,'Charriage - Geschiebehaushalt'!$A$4:$AC$275,23,FALSE)="","",VLOOKUP(A187,'Charriage - Geschiebehaushalt'!$A$4:$AC$275,23,FALSE))</f>
        <v>a</v>
      </c>
      <c r="I187" s="524" t="str">
        <f>IF(VLOOKUP(A187,'Charriage - Geschiebehaushalt'!$A$4:$AC$275,28,FALSE)="","",VLOOKUP(A187,'Charriage - Geschiebehaushalt'!$A$4:$AC$275,28,FALSE))</f>
        <v>non pertinent / nicht relevant</v>
      </c>
      <c r="J187" s="403" t="str">
        <f>IF(VLOOKUP(A187,'Charriage - Geschiebehaushalt'!$A$4:$AC$275,29,FALSE)="","",VLOOKUP(A187,'Charriage - Geschiebehaushalt'!$A$4:$AC$275,29,FALSE))</f>
        <v>a</v>
      </c>
      <c r="K187" s="533" t="str">
        <f>IF(VLOOKUP(A187,'Débit - Abfluss'!$A$4:$AD$275,8,FALSE)="","",VLOOKUP(A187,'Débit - Abfluss'!$A$4:$AD$275,8,FALSE))</f>
        <v>non pertinent / nicht relevant</v>
      </c>
      <c r="L187" s="468" t="str">
        <f>IF(VLOOKUP(A187,'Débit - Abfluss'!$A$4:$AD$275,10,FALSE)="","",VLOOKUP(A187,'Débit - Abfluss'!$A$4:$AD$275,10,FALSE))</f>
        <v>non pertinent / nicht relevant</v>
      </c>
      <c r="M187" s="333" t="str">
        <f>IF(VLOOKUP(A187,'Débit - Abfluss'!$A$4:$AD$275,17,FALSE)="","",VLOOKUP(A187,'Débit - Abfluss'!$A$4:$AD$275,17,FALSE))</f>
        <v>non pertinent / nicht relevant</v>
      </c>
      <c r="N187" s="340" t="str">
        <f>IF(VLOOKUP(A187,'Eclusée - Schwall-Sunk'!$A$2:$F$273,6,FALSE)="","",VLOOKUP(A187,'Eclusée - Schwall-Sunk'!$A$2:$F$273,6,FALSE))</f>
        <v>Non affecté / nicht betroffen</v>
      </c>
      <c r="O187" s="537"/>
      <c r="P187" s="538"/>
      <c r="Q187" s="284" t="str">
        <f>IF(VLOOKUP(A187,'Revitalisation-Revitalisierung'!$A$4:$Z$275,13,FALSE)="","",VLOOKUP(A187,'Revitalisation-Revitalisierung'!$A$4:$Z$275,13,FALSE))</f>
        <v>non pertinent / nicht relevant</v>
      </c>
      <c r="R187" s="541" t="str">
        <f>IF(VLOOKUP(A187,'Revitalisation-Revitalisierung'!$A$4:$Z$275,14,FALSE)="","",VLOOKUP(A187,'Revitalisation-Revitalisierung'!$A$4:$Z$275,14,FALSE))</f>
        <v>a</v>
      </c>
      <c r="S187" s="542" t="str">
        <f>IF(VLOOKUP(A187,'Revitalisation-Revitalisierung'!$A$4:$Z$275,19,FALSE)="","",VLOOKUP(A187,'Revitalisation-Revitalisierung'!$A$4:$Z$275,19,FALSE))</f>
        <v>non pertinent / nicht relevant</v>
      </c>
      <c r="T187" s="541" t="str">
        <f>IF(VLOOKUP(A187,'Revitalisation-Revitalisierung'!$A$4:$Z$275,20,FALSE)="","",VLOOKUP(A187,'Revitalisation-Revitalisierung'!$A$4:$Z$275,20,FALSE))</f>
        <v>a</v>
      </c>
      <c r="U187" s="542" t="str">
        <f>IF(VLOOKUP(A187,'Revitalisation-Revitalisierung'!$A$4:$Z$275,25,FALSE)="","",VLOOKUP(A187,'Revitalisation-Revitalisierung'!$A$4:$Z$275,25,FALSE))</f>
        <v>non pertinent / nicht relevant</v>
      </c>
      <c r="V187" s="406" t="str">
        <f>IF(VLOOKUP(A187,'Revitalisation-Revitalisierung'!$A$4:$Z$275,26,FALSE)="","",VLOOKUP(A187,'Revitalisation-Revitalisierung'!$A$4:$Z$275,26,FALSE))</f>
        <v>a</v>
      </c>
      <c r="Y187" s="529" t="str">
        <f t="shared" si="14"/>
        <v>non pertinent / nicht relevant</v>
      </c>
      <c r="Z187" s="568" t="str">
        <f t="shared" si="15"/>
        <v>a</v>
      </c>
      <c r="AA187" s="327" t="str">
        <f t="shared" si="16"/>
        <v>non pertinent / nicht relevant</v>
      </c>
      <c r="AB187" s="327" t="str">
        <f t="shared" si="17"/>
        <v>Non affecté / nicht betroffen</v>
      </c>
      <c r="AC187" s="276" t="str">
        <f t="shared" si="18"/>
        <v>non pertinent / nicht relevant</v>
      </c>
      <c r="AD187" s="570" t="str">
        <f t="shared" si="19"/>
        <v>a</v>
      </c>
      <c r="AE187">
        <v>5</v>
      </c>
      <c r="AF187">
        <v>1</v>
      </c>
    </row>
    <row r="188" spans="1:32" ht="16.5" customHeight="1" x14ac:dyDescent="0.25">
      <c r="A188" s="926">
        <v>204</v>
      </c>
      <c r="B188" s="400" t="s">
        <v>216</v>
      </c>
      <c r="C188" s="400" t="s">
        <v>217</v>
      </c>
      <c r="D188" s="401" t="s">
        <v>197</v>
      </c>
      <c r="E188" s="522" t="str">
        <f>IF(VLOOKUP(A188,'Charriage - Geschiebehaushalt'!$A$4:$AC$275,17,FALSE)="","",VLOOKUP(A188,'Charriage - Geschiebehaushalt'!$A$4:$AC$275,17,FALSE))</f>
        <v>non pertinent / nicht relevant</v>
      </c>
      <c r="F188" s="523" t="str">
        <f>IF(VLOOKUP(A188,'Charriage - Geschiebehaushalt'!$A$4:$AC$275,18,FALSE)="","",VLOOKUP(A188,'Charriage - Geschiebehaushalt'!$A$4:$AC$275,18,FALSE))</f>
        <v>a</v>
      </c>
      <c r="G188" s="524" t="str">
        <f>IF(VLOOKUP(A188,'Charriage - Geschiebehaushalt'!$A$4:$AC$275,22,FALSE)="","",VLOOKUP(A188,'Charriage - Geschiebehaushalt'!$A$4:$AC$275,22,FALSE))</f>
        <v>non pertinent / nicht relevant</v>
      </c>
      <c r="H188" s="523" t="str">
        <f>IF(VLOOKUP(A188,'Charriage - Geschiebehaushalt'!$A$4:$AC$275,23,FALSE)="","",VLOOKUP(A188,'Charriage - Geschiebehaushalt'!$A$4:$AC$275,23,FALSE))</f>
        <v>a</v>
      </c>
      <c r="I188" s="524" t="str">
        <f>IF(VLOOKUP(A188,'Charriage - Geschiebehaushalt'!$A$4:$AC$275,28,FALSE)="","",VLOOKUP(A188,'Charriage - Geschiebehaushalt'!$A$4:$AC$275,28,FALSE))</f>
        <v>non pertinent / nicht relevant</v>
      </c>
      <c r="J188" s="403" t="str">
        <f>IF(VLOOKUP(A188,'Charriage - Geschiebehaushalt'!$A$4:$AC$275,29,FALSE)="","",VLOOKUP(A188,'Charriage - Geschiebehaushalt'!$A$4:$AC$275,29,FALSE))</f>
        <v>a</v>
      </c>
      <c r="K188" s="533" t="str">
        <f>IF(VLOOKUP(A188,'Débit - Abfluss'!$A$4:$AD$275,8,FALSE)="","",VLOOKUP(A188,'Débit - Abfluss'!$A$4:$AD$275,8,FALSE))</f>
        <v>non pertinent / nicht relevant</v>
      </c>
      <c r="L188" s="468" t="str">
        <f>IF(VLOOKUP(A188,'Débit - Abfluss'!$A$4:$AD$275,10,FALSE)="","",VLOOKUP(A188,'Débit - Abfluss'!$A$4:$AD$275,10,FALSE))</f>
        <v>non pertinent / nicht relevant</v>
      </c>
      <c r="M188" s="333" t="str">
        <f>IF(VLOOKUP(A188,'Débit - Abfluss'!$A$4:$AD$275,17,FALSE)="","",VLOOKUP(A188,'Débit - Abfluss'!$A$4:$AD$275,17,FALSE))</f>
        <v>non pertinent / nicht relevant</v>
      </c>
      <c r="N188" s="340" t="str">
        <f>IF(VLOOKUP(A188,'Eclusée - Schwall-Sunk'!$A$2:$F$273,6,FALSE)="","",VLOOKUP(A188,'Eclusée - Schwall-Sunk'!$A$2:$F$273,6,FALSE))</f>
        <v>Non affecté / nicht betroffen</v>
      </c>
      <c r="O188" s="537"/>
      <c r="P188" s="538"/>
      <c r="Q188" s="284" t="str">
        <f>IF(VLOOKUP(A188,'Revitalisation-Revitalisierung'!$A$4:$Z$275,13,FALSE)="","",VLOOKUP(A188,'Revitalisation-Revitalisierung'!$A$4:$Z$275,13,FALSE))</f>
        <v>non pertinent / nicht relevant</v>
      </c>
      <c r="R188" s="541" t="str">
        <f>IF(VLOOKUP(A188,'Revitalisation-Revitalisierung'!$A$4:$Z$275,14,FALSE)="","",VLOOKUP(A188,'Revitalisation-Revitalisierung'!$A$4:$Z$275,14,FALSE))</f>
        <v>a</v>
      </c>
      <c r="S188" s="542" t="str">
        <f>IF(VLOOKUP(A188,'Revitalisation-Revitalisierung'!$A$4:$Z$275,19,FALSE)="","",VLOOKUP(A188,'Revitalisation-Revitalisierung'!$A$4:$Z$275,19,FALSE))</f>
        <v>non pertinent / nicht relevant</v>
      </c>
      <c r="T188" s="541" t="str">
        <f>IF(VLOOKUP(A188,'Revitalisation-Revitalisierung'!$A$4:$Z$275,20,FALSE)="","",VLOOKUP(A188,'Revitalisation-Revitalisierung'!$A$4:$Z$275,20,FALSE))</f>
        <v>a</v>
      </c>
      <c r="U188" s="542" t="str">
        <f>IF(VLOOKUP(A188,'Revitalisation-Revitalisierung'!$A$4:$Z$275,25,FALSE)="","",VLOOKUP(A188,'Revitalisation-Revitalisierung'!$A$4:$Z$275,25,FALSE))</f>
        <v>non pertinent / nicht relevant</v>
      </c>
      <c r="V188" s="406" t="str">
        <f>IF(VLOOKUP(A188,'Revitalisation-Revitalisierung'!$A$4:$Z$275,26,FALSE)="","",VLOOKUP(A188,'Revitalisation-Revitalisierung'!$A$4:$Z$275,26,FALSE))</f>
        <v>a</v>
      </c>
      <c r="Y188" s="529" t="str">
        <f t="shared" si="14"/>
        <v>non pertinent / nicht relevant</v>
      </c>
      <c r="Z188" s="568" t="str">
        <f t="shared" si="15"/>
        <v>a</v>
      </c>
      <c r="AA188" s="327" t="str">
        <f t="shared" si="16"/>
        <v>non pertinent / nicht relevant</v>
      </c>
      <c r="AB188" s="327" t="str">
        <f t="shared" si="17"/>
        <v>Non affecté / nicht betroffen</v>
      </c>
      <c r="AC188" s="276" t="str">
        <f t="shared" si="18"/>
        <v>non pertinent / nicht relevant</v>
      </c>
      <c r="AD188" s="570" t="str">
        <f t="shared" si="19"/>
        <v>a</v>
      </c>
      <c r="AE188">
        <v>5</v>
      </c>
      <c r="AF188">
        <v>1</v>
      </c>
    </row>
    <row r="189" spans="1:32" ht="16.5" customHeight="1" x14ac:dyDescent="0.25">
      <c r="A189" s="926">
        <v>205</v>
      </c>
      <c r="B189" s="400" t="s">
        <v>238</v>
      </c>
      <c r="C189" s="400" t="s">
        <v>217</v>
      </c>
      <c r="D189" s="401" t="s">
        <v>233</v>
      </c>
      <c r="E189" s="522" t="str">
        <f>IF(VLOOKUP(A189,'Charriage - Geschiebehaushalt'!$A$4:$AC$275,17,FALSE)="","",VLOOKUP(A189,'Charriage - Geschiebehaushalt'!$A$4:$AC$275,17,FALSE))</f>
        <v>non pertinent / nicht relevant</v>
      </c>
      <c r="F189" s="523" t="str">
        <f>IF(VLOOKUP(A189,'Charriage - Geschiebehaushalt'!$A$4:$AC$275,18,FALSE)="","",VLOOKUP(A189,'Charriage - Geschiebehaushalt'!$A$4:$AC$275,18,FALSE))</f>
        <v>a</v>
      </c>
      <c r="G189" s="524" t="str">
        <f>IF(VLOOKUP(A189,'Charriage - Geschiebehaushalt'!$A$4:$AC$275,22,FALSE)="","",VLOOKUP(A189,'Charriage - Geschiebehaushalt'!$A$4:$AC$275,22,FALSE))</f>
        <v>non pertinent / nicht relevant</v>
      </c>
      <c r="H189" s="523" t="str">
        <f>IF(VLOOKUP(A189,'Charriage - Geschiebehaushalt'!$A$4:$AC$275,23,FALSE)="","",VLOOKUP(A189,'Charriage - Geschiebehaushalt'!$A$4:$AC$275,23,FALSE))</f>
        <v>a</v>
      </c>
      <c r="I189" s="524" t="str">
        <f>IF(VLOOKUP(A189,'Charriage - Geschiebehaushalt'!$A$4:$AC$275,28,FALSE)="","",VLOOKUP(A189,'Charriage - Geschiebehaushalt'!$A$4:$AC$275,28,FALSE))</f>
        <v>non pertinent / nicht relevant</v>
      </c>
      <c r="J189" s="403" t="str">
        <f>IF(VLOOKUP(A189,'Charriage - Geschiebehaushalt'!$A$4:$AC$275,29,FALSE)="","",VLOOKUP(A189,'Charriage - Geschiebehaushalt'!$A$4:$AC$275,29,FALSE))</f>
        <v>a</v>
      </c>
      <c r="K189" s="533" t="str">
        <f>IF(VLOOKUP(A189,'Débit - Abfluss'!$A$4:$AD$275,8,FALSE)="","",VLOOKUP(A189,'Débit - Abfluss'!$A$4:$AD$275,8,FALSE))</f>
        <v>non pertinent / nicht relevant</v>
      </c>
      <c r="L189" s="468" t="str">
        <f>IF(VLOOKUP(A189,'Débit - Abfluss'!$A$4:$AD$275,10,FALSE)="","",VLOOKUP(A189,'Débit - Abfluss'!$A$4:$AD$275,10,FALSE))</f>
        <v>non pertinent / nicht relevant</v>
      </c>
      <c r="M189" s="333" t="str">
        <f>IF(VLOOKUP(A189,'Débit - Abfluss'!$A$4:$AD$275,17,FALSE)="","",VLOOKUP(A189,'Débit - Abfluss'!$A$4:$AD$275,17,FALSE))</f>
        <v>non pertinent / nicht relevant</v>
      </c>
      <c r="N189" s="340" t="str">
        <f>IF(VLOOKUP(A189,'Eclusée - Schwall-Sunk'!$A$2:$F$273,6,FALSE)="","",VLOOKUP(A189,'Eclusée - Schwall-Sunk'!$A$2:$F$273,6,FALSE))</f>
        <v>Non affecté / nicht betroffen</v>
      </c>
      <c r="O189" s="537"/>
      <c r="P189" s="538"/>
      <c r="Q189" s="284" t="str">
        <f>IF(VLOOKUP(A189,'Revitalisation-Revitalisierung'!$A$4:$Z$275,13,FALSE)="","",VLOOKUP(A189,'Revitalisation-Revitalisierung'!$A$4:$Z$275,13,FALSE))</f>
        <v>non pertinent / nicht relevant</v>
      </c>
      <c r="R189" s="541" t="str">
        <f>IF(VLOOKUP(A189,'Revitalisation-Revitalisierung'!$A$4:$Z$275,14,FALSE)="","",VLOOKUP(A189,'Revitalisation-Revitalisierung'!$A$4:$Z$275,14,FALSE))</f>
        <v>a</v>
      </c>
      <c r="S189" s="542" t="str">
        <f>IF(VLOOKUP(A189,'Revitalisation-Revitalisierung'!$A$4:$Z$275,19,FALSE)="","",VLOOKUP(A189,'Revitalisation-Revitalisierung'!$A$4:$Z$275,19,FALSE))</f>
        <v>non pertinent / nicht relevant</v>
      </c>
      <c r="T189" s="541" t="str">
        <f>IF(VLOOKUP(A189,'Revitalisation-Revitalisierung'!$A$4:$Z$275,20,FALSE)="","",VLOOKUP(A189,'Revitalisation-Revitalisierung'!$A$4:$Z$275,20,FALSE))</f>
        <v>a</v>
      </c>
      <c r="U189" s="542" t="str">
        <f>IF(VLOOKUP(A189,'Revitalisation-Revitalisierung'!$A$4:$Z$275,25,FALSE)="","",VLOOKUP(A189,'Revitalisation-Revitalisierung'!$A$4:$Z$275,25,FALSE))</f>
        <v>non pertinent / nicht relevant</v>
      </c>
      <c r="V189" s="406" t="str">
        <f>IF(VLOOKUP(A189,'Revitalisation-Revitalisierung'!$A$4:$Z$275,26,FALSE)="","",VLOOKUP(A189,'Revitalisation-Revitalisierung'!$A$4:$Z$275,26,FALSE))</f>
        <v>a</v>
      </c>
      <c r="Y189" s="529" t="str">
        <f t="shared" si="14"/>
        <v>non pertinent / nicht relevant</v>
      </c>
      <c r="Z189" s="568" t="str">
        <f t="shared" si="15"/>
        <v>a</v>
      </c>
      <c r="AA189" s="327" t="str">
        <f t="shared" si="16"/>
        <v>non pertinent / nicht relevant</v>
      </c>
      <c r="AB189" s="327" t="str">
        <f t="shared" si="17"/>
        <v>Non affecté / nicht betroffen</v>
      </c>
      <c r="AC189" s="276" t="str">
        <f t="shared" si="18"/>
        <v>non pertinent / nicht relevant</v>
      </c>
      <c r="AD189" s="570" t="str">
        <f t="shared" si="19"/>
        <v>a</v>
      </c>
      <c r="AE189">
        <v>5</v>
      </c>
      <c r="AF189">
        <v>1</v>
      </c>
    </row>
    <row r="190" spans="1:32" ht="16.5" customHeight="1" x14ac:dyDescent="0.25">
      <c r="A190" s="926">
        <v>206</v>
      </c>
      <c r="B190" s="400" t="s">
        <v>239</v>
      </c>
      <c r="C190" s="400" t="s">
        <v>217</v>
      </c>
      <c r="D190" s="401" t="s">
        <v>233</v>
      </c>
      <c r="E190" s="522" t="str">
        <f>IF(VLOOKUP(A190,'Charriage - Geschiebehaushalt'!$A$4:$AC$275,17,FALSE)="","",VLOOKUP(A190,'Charriage - Geschiebehaushalt'!$A$4:$AC$275,17,FALSE))</f>
        <v>non pertinent / nicht relevant</v>
      </c>
      <c r="F190" s="523" t="str">
        <f>IF(VLOOKUP(A190,'Charriage - Geschiebehaushalt'!$A$4:$AC$275,18,FALSE)="","",VLOOKUP(A190,'Charriage - Geschiebehaushalt'!$A$4:$AC$275,18,FALSE))</f>
        <v>a</v>
      </c>
      <c r="G190" s="524" t="str">
        <f>IF(VLOOKUP(A190,'Charriage - Geschiebehaushalt'!$A$4:$AC$275,22,FALSE)="","",VLOOKUP(A190,'Charriage - Geschiebehaushalt'!$A$4:$AC$275,22,FALSE))</f>
        <v>non pertinent / nicht relevant</v>
      </c>
      <c r="H190" s="523" t="str">
        <f>IF(VLOOKUP(A190,'Charriage - Geschiebehaushalt'!$A$4:$AC$275,23,FALSE)="","",VLOOKUP(A190,'Charriage - Geschiebehaushalt'!$A$4:$AC$275,23,FALSE))</f>
        <v>a</v>
      </c>
      <c r="I190" s="524" t="str">
        <f>IF(VLOOKUP(A190,'Charriage - Geschiebehaushalt'!$A$4:$AC$275,28,FALSE)="","",VLOOKUP(A190,'Charriage - Geschiebehaushalt'!$A$4:$AC$275,28,FALSE))</f>
        <v>non pertinent / nicht relevant</v>
      </c>
      <c r="J190" s="403" t="str">
        <f>IF(VLOOKUP(A190,'Charriage - Geschiebehaushalt'!$A$4:$AC$275,29,FALSE)="","",VLOOKUP(A190,'Charriage - Geschiebehaushalt'!$A$4:$AC$275,29,FALSE))</f>
        <v>a</v>
      </c>
      <c r="K190" s="533" t="str">
        <f>IF(VLOOKUP(A190,'Débit - Abfluss'!$A$4:$AD$275,8,FALSE)="","",VLOOKUP(A190,'Débit - Abfluss'!$A$4:$AD$275,8,FALSE))</f>
        <v>non pertinent / nicht relevant</v>
      </c>
      <c r="L190" s="468" t="str">
        <f>IF(VLOOKUP(A190,'Débit - Abfluss'!$A$4:$AD$275,10,FALSE)="","",VLOOKUP(A190,'Débit - Abfluss'!$A$4:$AD$275,10,FALSE))</f>
        <v>non pertinent / nicht relevant</v>
      </c>
      <c r="M190" s="333" t="str">
        <f>IF(VLOOKUP(A190,'Débit - Abfluss'!$A$4:$AD$275,17,FALSE)="","",VLOOKUP(A190,'Débit - Abfluss'!$A$4:$AD$275,17,FALSE))</f>
        <v>non pertinent / nicht relevant</v>
      </c>
      <c r="N190" s="340" t="str">
        <f>IF(VLOOKUP(A190,'Eclusée - Schwall-Sunk'!$A$2:$F$273,6,FALSE)="","",VLOOKUP(A190,'Eclusée - Schwall-Sunk'!$A$2:$F$273,6,FALSE))</f>
        <v>Non affecté / nicht betroffen</v>
      </c>
      <c r="O190" s="537"/>
      <c r="P190" s="538"/>
      <c r="Q190" s="284" t="str">
        <f>IF(VLOOKUP(A190,'Revitalisation-Revitalisierung'!$A$4:$Z$275,13,FALSE)="","",VLOOKUP(A190,'Revitalisation-Revitalisierung'!$A$4:$Z$275,13,FALSE))</f>
        <v>non pertinent / nicht relevant</v>
      </c>
      <c r="R190" s="541" t="str">
        <f>IF(VLOOKUP(A190,'Revitalisation-Revitalisierung'!$A$4:$Z$275,14,FALSE)="","",VLOOKUP(A190,'Revitalisation-Revitalisierung'!$A$4:$Z$275,14,FALSE))</f>
        <v>a</v>
      </c>
      <c r="S190" s="542" t="str">
        <f>IF(VLOOKUP(A190,'Revitalisation-Revitalisierung'!$A$4:$Z$275,19,FALSE)="","",VLOOKUP(A190,'Revitalisation-Revitalisierung'!$A$4:$Z$275,19,FALSE))</f>
        <v>non pertinent / nicht relevant</v>
      </c>
      <c r="T190" s="541" t="str">
        <f>IF(VLOOKUP(A190,'Revitalisation-Revitalisierung'!$A$4:$Z$275,20,FALSE)="","",VLOOKUP(A190,'Revitalisation-Revitalisierung'!$A$4:$Z$275,20,FALSE))</f>
        <v>a</v>
      </c>
      <c r="U190" s="542" t="str">
        <f>IF(VLOOKUP(A190,'Revitalisation-Revitalisierung'!$A$4:$Z$275,25,FALSE)="","",VLOOKUP(A190,'Revitalisation-Revitalisierung'!$A$4:$Z$275,25,FALSE))</f>
        <v>non pertinent / nicht relevant</v>
      </c>
      <c r="V190" s="406" t="str">
        <f>IF(VLOOKUP(A190,'Revitalisation-Revitalisierung'!$A$4:$Z$275,26,FALSE)="","",VLOOKUP(A190,'Revitalisation-Revitalisierung'!$A$4:$Z$275,26,FALSE))</f>
        <v>a</v>
      </c>
      <c r="Y190" s="529" t="str">
        <f t="shared" si="14"/>
        <v>non pertinent / nicht relevant</v>
      </c>
      <c r="Z190" s="568" t="str">
        <f t="shared" si="15"/>
        <v>a</v>
      </c>
      <c r="AA190" s="327" t="str">
        <f t="shared" si="16"/>
        <v>non pertinent / nicht relevant</v>
      </c>
      <c r="AB190" s="327" t="str">
        <f t="shared" si="17"/>
        <v>Non affecté / nicht betroffen</v>
      </c>
      <c r="AC190" s="276" t="str">
        <f t="shared" si="18"/>
        <v>non pertinent / nicht relevant</v>
      </c>
      <c r="AD190" s="570" t="str">
        <f t="shared" si="19"/>
        <v>a</v>
      </c>
      <c r="AE190">
        <v>5</v>
      </c>
      <c r="AF190">
        <v>1</v>
      </c>
    </row>
    <row r="191" spans="1:32" ht="16.5" customHeight="1" x14ac:dyDescent="0.25">
      <c r="A191" s="926">
        <v>207</v>
      </c>
      <c r="B191" s="400" t="s">
        <v>240</v>
      </c>
      <c r="C191" s="400" t="s">
        <v>217</v>
      </c>
      <c r="D191" s="401" t="s">
        <v>233</v>
      </c>
      <c r="E191" s="522" t="str">
        <f>IF(VLOOKUP(A191,'Charriage - Geschiebehaushalt'!$A$4:$AC$275,17,FALSE)="","",VLOOKUP(A191,'Charriage - Geschiebehaushalt'!$A$4:$AC$275,17,FALSE))</f>
        <v>non pertinent / nicht relevant</v>
      </c>
      <c r="F191" s="523" t="str">
        <f>IF(VLOOKUP(A191,'Charriage - Geschiebehaushalt'!$A$4:$AC$275,18,FALSE)="","",VLOOKUP(A191,'Charriage - Geschiebehaushalt'!$A$4:$AC$275,18,FALSE))</f>
        <v>a</v>
      </c>
      <c r="G191" s="524" t="str">
        <f>IF(VLOOKUP(A191,'Charriage - Geschiebehaushalt'!$A$4:$AC$275,22,FALSE)="","",VLOOKUP(A191,'Charriage - Geschiebehaushalt'!$A$4:$AC$275,22,FALSE))</f>
        <v>non pertinent / nicht relevant</v>
      </c>
      <c r="H191" s="523" t="str">
        <f>IF(VLOOKUP(A191,'Charriage - Geschiebehaushalt'!$A$4:$AC$275,23,FALSE)="","",VLOOKUP(A191,'Charriage - Geschiebehaushalt'!$A$4:$AC$275,23,FALSE))</f>
        <v>a</v>
      </c>
      <c r="I191" s="524" t="str">
        <f>IF(VLOOKUP(A191,'Charriage - Geschiebehaushalt'!$A$4:$AC$275,28,FALSE)="","",VLOOKUP(A191,'Charriage - Geschiebehaushalt'!$A$4:$AC$275,28,FALSE))</f>
        <v>non pertinent / nicht relevant</v>
      </c>
      <c r="J191" s="403" t="str">
        <f>IF(VLOOKUP(A191,'Charriage - Geschiebehaushalt'!$A$4:$AC$275,29,FALSE)="","",VLOOKUP(A191,'Charriage - Geschiebehaushalt'!$A$4:$AC$275,29,FALSE))</f>
        <v>a</v>
      </c>
      <c r="K191" s="533" t="str">
        <f>IF(VLOOKUP(A191,'Débit - Abfluss'!$A$4:$AD$275,8,FALSE)="","",VLOOKUP(A191,'Débit - Abfluss'!$A$4:$AD$275,8,FALSE))</f>
        <v>non pertinent / nicht relevant</v>
      </c>
      <c r="L191" s="468" t="str">
        <f>IF(VLOOKUP(A191,'Débit - Abfluss'!$A$4:$AD$275,10,FALSE)="","",VLOOKUP(A191,'Débit - Abfluss'!$A$4:$AD$275,10,FALSE))</f>
        <v>non pertinent / nicht relevant</v>
      </c>
      <c r="M191" s="333" t="str">
        <f>IF(VLOOKUP(A191,'Débit - Abfluss'!$A$4:$AD$275,17,FALSE)="","",VLOOKUP(A191,'Débit - Abfluss'!$A$4:$AD$275,17,FALSE))</f>
        <v>non pertinent / nicht relevant</v>
      </c>
      <c r="N191" s="340" t="str">
        <f>IF(VLOOKUP(A191,'Eclusée - Schwall-Sunk'!$A$2:$F$273,6,FALSE)="","",VLOOKUP(A191,'Eclusée - Schwall-Sunk'!$A$2:$F$273,6,FALSE))</f>
        <v>Non affecté / nicht betroffen</v>
      </c>
      <c r="O191" s="537"/>
      <c r="P191" s="538"/>
      <c r="Q191" s="284" t="str">
        <f>IF(VLOOKUP(A191,'Revitalisation-Revitalisierung'!$A$4:$Z$275,13,FALSE)="","",VLOOKUP(A191,'Revitalisation-Revitalisierung'!$A$4:$Z$275,13,FALSE))</f>
        <v>non pertinent / nicht relevant</v>
      </c>
      <c r="R191" s="541" t="str">
        <f>IF(VLOOKUP(A191,'Revitalisation-Revitalisierung'!$A$4:$Z$275,14,FALSE)="","",VLOOKUP(A191,'Revitalisation-Revitalisierung'!$A$4:$Z$275,14,FALSE))</f>
        <v>a</v>
      </c>
      <c r="S191" s="542" t="str">
        <f>IF(VLOOKUP(A191,'Revitalisation-Revitalisierung'!$A$4:$Z$275,19,FALSE)="","",VLOOKUP(A191,'Revitalisation-Revitalisierung'!$A$4:$Z$275,19,FALSE))</f>
        <v>non pertinent / nicht relevant</v>
      </c>
      <c r="T191" s="541" t="str">
        <f>IF(VLOOKUP(A191,'Revitalisation-Revitalisierung'!$A$4:$Z$275,20,FALSE)="","",VLOOKUP(A191,'Revitalisation-Revitalisierung'!$A$4:$Z$275,20,FALSE))</f>
        <v>a</v>
      </c>
      <c r="U191" s="542" t="str">
        <f>IF(VLOOKUP(A191,'Revitalisation-Revitalisierung'!$A$4:$Z$275,25,FALSE)="","",VLOOKUP(A191,'Revitalisation-Revitalisierung'!$A$4:$Z$275,25,FALSE))</f>
        <v>non pertinent / nicht relevant</v>
      </c>
      <c r="V191" s="406" t="str">
        <f>IF(VLOOKUP(A191,'Revitalisation-Revitalisierung'!$A$4:$Z$275,26,FALSE)="","",VLOOKUP(A191,'Revitalisation-Revitalisierung'!$A$4:$Z$275,26,FALSE))</f>
        <v>a</v>
      </c>
      <c r="Y191" s="529" t="str">
        <f t="shared" si="14"/>
        <v>non pertinent / nicht relevant</v>
      </c>
      <c r="Z191" s="568" t="str">
        <f t="shared" si="15"/>
        <v>a</v>
      </c>
      <c r="AA191" s="327" t="str">
        <f t="shared" si="16"/>
        <v>non pertinent / nicht relevant</v>
      </c>
      <c r="AB191" s="327" t="str">
        <f t="shared" si="17"/>
        <v>Non affecté / nicht betroffen</v>
      </c>
      <c r="AC191" s="276" t="str">
        <f t="shared" si="18"/>
        <v>non pertinent / nicht relevant</v>
      </c>
      <c r="AD191" s="570" t="str">
        <f t="shared" si="19"/>
        <v>a</v>
      </c>
      <c r="AE191">
        <v>5</v>
      </c>
      <c r="AF191">
        <v>1</v>
      </c>
    </row>
    <row r="192" spans="1:32" ht="16.5" customHeight="1" x14ac:dyDescent="0.25">
      <c r="A192" s="926">
        <v>208</v>
      </c>
      <c r="B192" s="400" t="s">
        <v>605</v>
      </c>
      <c r="C192" s="400" t="s">
        <v>606</v>
      </c>
      <c r="D192" s="401" t="s">
        <v>573</v>
      </c>
      <c r="E192" s="522" t="str">
        <f>IF(VLOOKUP(A192,'Charriage - Geschiebehaushalt'!$A$4:$AC$275,17,FALSE)="","",VLOOKUP(A192,'Charriage - Geschiebehaushalt'!$A$4:$AC$275,17,FALSE))</f>
        <v>non pertinent / nicht relevant</v>
      </c>
      <c r="F192" s="523" t="str">
        <f>IF(VLOOKUP(A192,'Charriage - Geschiebehaushalt'!$A$4:$AC$275,18,FALSE)="","",VLOOKUP(A192,'Charriage - Geschiebehaushalt'!$A$4:$AC$275,18,FALSE))</f>
        <v>a</v>
      </c>
      <c r="G192" s="524" t="str">
        <f>IF(VLOOKUP(A192,'Charriage - Geschiebehaushalt'!$A$4:$AC$275,22,FALSE)="","",VLOOKUP(A192,'Charriage - Geschiebehaushalt'!$A$4:$AC$275,22,FALSE))</f>
        <v>non pertinent / nicht relevant</v>
      </c>
      <c r="H192" s="523" t="str">
        <f>IF(VLOOKUP(A192,'Charriage - Geschiebehaushalt'!$A$4:$AC$275,23,FALSE)="","",VLOOKUP(A192,'Charriage - Geschiebehaushalt'!$A$4:$AC$275,23,FALSE))</f>
        <v>a</v>
      </c>
      <c r="I192" s="524" t="str">
        <f>IF(VLOOKUP(A192,'Charriage - Geschiebehaushalt'!$A$4:$AC$275,28,FALSE)="","",VLOOKUP(A192,'Charriage - Geschiebehaushalt'!$A$4:$AC$275,28,FALSE))</f>
        <v>non pertinent / nicht relevant</v>
      </c>
      <c r="J192" s="403" t="str">
        <f>IF(VLOOKUP(A192,'Charriage - Geschiebehaushalt'!$A$4:$AC$275,29,FALSE)="","",VLOOKUP(A192,'Charriage - Geschiebehaushalt'!$A$4:$AC$275,29,FALSE))</f>
        <v>a</v>
      </c>
      <c r="K192" s="533" t="str">
        <f>IF(VLOOKUP(A192,'Débit - Abfluss'!$A$4:$AD$275,8,FALSE)="","",VLOOKUP(A192,'Débit - Abfluss'!$A$4:$AD$275,8,FALSE))</f>
        <v>non pertinent / nicht relevant</v>
      </c>
      <c r="L192" s="468" t="str">
        <f>IF(VLOOKUP(A192,'Débit - Abfluss'!$A$4:$AD$275,10,FALSE)="","",VLOOKUP(A192,'Débit - Abfluss'!$A$4:$AD$275,10,FALSE))</f>
        <v>non pertinent / nicht relevant</v>
      </c>
      <c r="M192" s="333" t="str">
        <f>IF(VLOOKUP(A192,'Débit - Abfluss'!$A$4:$AD$275,17,FALSE)="","",VLOOKUP(A192,'Débit - Abfluss'!$A$4:$AD$275,17,FALSE))</f>
        <v>non pertinent / nicht relevant</v>
      </c>
      <c r="N192" s="340" t="str">
        <f>IF(VLOOKUP(A192,'Eclusée - Schwall-Sunk'!$A$2:$F$273,6,FALSE)="","",VLOOKUP(A192,'Eclusée - Schwall-Sunk'!$A$2:$F$273,6,FALSE))</f>
        <v>Non affecté / nicht betroffen</v>
      </c>
      <c r="O192" s="537"/>
      <c r="P192" s="538"/>
      <c r="Q192" s="284" t="str">
        <f>IF(VLOOKUP(A192,'Revitalisation-Revitalisierung'!$A$4:$Z$275,13,FALSE)="","",VLOOKUP(A192,'Revitalisation-Revitalisierung'!$A$4:$Z$275,13,FALSE))</f>
        <v>non pertinent / nicht relevant</v>
      </c>
      <c r="R192" s="541" t="str">
        <f>IF(VLOOKUP(A192,'Revitalisation-Revitalisierung'!$A$4:$Z$275,14,FALSE)="","",VLOOKUP(A192,'Revitalisation-Revitalisierung'!$A$4:$Z$275,14,FALSE))</f>
        <v>a</v>
      </c>
      <c r="S192" s="542" t="str">
        <f>IF(VLOOKUP(A192,'Revitalisation-Revitalisierung'!$A$4:$Z$275,19,FALSE)="","",VLOOKUP(A192,'Revitalisation-Revitalisierung'!$A$4:$Z$275,19,FALSE))</f>
        <v>non pertinent / nicht relevant</v>
      </c>
      <c r="T192" s="541" t="str">
        <f>IF(VLOOKUP(A192,'Revitalisation-Revitalisierung'!$A$4:$Z$275,20,FALSE)="","",VLOOKUP(A192,'Revitalisation-Revitalisierung'!$A$4:$Z$275,20,FALSE))</f>
        <v>a</v>
      </c>
      <c r="U192" s="542" t="str">
        <f>IF(VLOOKUP(A192,'Revitalisation-Revitalisierung'!$A$4:$Z$275,25,FALSE)="","",VLOOKUP(A192,'Revitalisation-Revitalisierung'!$A$4:$Z$275,25,FALSE))</f>
        <v>non pertinent / nicht relevant</v>
      </c>
      <c r="V192" s="406" t="str">
        <f>IF(VLOOKUP(A192,'Revitalisation-Revitalisierung'!$A$4:$Z$275,26,FALSE)="","",VLOOKUP(A192,'Revitalisation-Revitalisierung'!$A$4:$Z$275,26,FALSE))</f>
        <v>a</v>
      </c>
      <c r="Y192" s="529" t="str">
        <f t="shared" si="14"/>
        <v>non pertinent / nicht relevant</v>
      </c>
      <c r="Z192" s="568" t="str">
        <f t="shared" si="15"/>
        <v>a</v>
      </c>
      <c r="AA192" s="327" t="str">
        <f t="shared" si="16"/>
        <v>non pertinent / nicht relevant</v>
      </c>
      <c r="AB192" s="327" t="str">
        <f t="shared" si="17"/>
        <v>Non affecté / nicht betroffen</v>
      </c>
      <c r="AC192" s="276" t="str">
        <f t="shared" si="18"/>
        <v>non pertinent / nicht relevant</v>
      </c>
      <c r="AD192" s="570" t="str">
        <f t="shared" si="19"/>
        <v>a</v>
      </c>
      <c r="AE192">
        <v>5</v>
      </c>
      <c r="AF192">
        <v>1</v>
      </c>
    </row>
    <row r="193" spans="1:33" ht="16.5" customHeight="1" x14ac:dyDescent="0.25">
      <c r="A193" s="926">
        <v>209</v>
      </c>
      <c r="B193" s="400" t="s">
        <v>190</v>
      </c>
      <c r="C193" s="400" t="s">
        <v>191</v>
      </c>
      <c r="D193" s="401" t="s">
        <v>189</v>
      </c>
      <c r="E193" s="522" t="str">
        <f>IF(VLOOKUP(A193,'Charriage - Geschiebehaushalt'!$A$4:$AC$275,17,FALSE)="","",VLOOKUP(A193,'Charriage - Geschiebehaushalt'!$A$4:$AC$275,17,FALSE))</f>
        <v>non pertinent / nicht relevant</v>
      </c>
      <c r="F193" s="523" t="str">
        <f>IF(VLOOKUP(A193,'Charriage - Geschiebehaushalt'!$A$4:$AC$275,18,FALSE)="","",VLOOKUP(A193,'Charriage - Geschiebehaushalt'!$A$4:$AC$275,18,FALSE))</f>
        <v>a</v>
      </c>
      <c r="G193" s="524" t="str">
        <f>IF(VLOOKUP(A193,'Charriage - Geschiebehaushalt'!$A$4:$AC$275,22,FALSE)="","",VLOOKUP(A193,'Charriage - Geschiebehaushalt'!$A$4:$AC$275,22,FALSE))</f>
        <v>non pertinent / nicht relevant</v>
      </c>
      <c r="H193" s="523" t="str">
        <f>IF(VLOOKUP(A193,'Charriage - Geschiebehaushalt'!$A$4:$AC$275,23,FALSE)="","",VLOOKUP(A193,'Charriage - Geschiebehaushalt'!$A$4:$AC$275,23,FALSE))</f>
        <v>a</v>
      </c>
      <c r="I193" s="524" t="str">
        <f>IF(VLOOKUP(A193,'Charriage - Geschiebehaushalt'!$A$4:$AC$275,28,FALSE)="","",VLOOKUP(A193,'Charriage - Geschiebehaushalt'!$A$4:$AC$275,28,FALSE))</f>
        <v>non pertinent / nicht relevant</v>
      </c>
      <c r="J193" s="403" t="str">
        <f>IF(VLOOKUP(A193,'Charriage - Geschiebehaushalt'!$A$4:$AC$275,29,FALSE)="","",VLOOKUP(A193,'Charriage - Geschiebehaushalt'!$A$4:$AC$275,29,FALSE))</f>
        <v>a</v>
      </c>
      <c r="K193" s="533" t="str">
        <f>IF(VLOOKUP(A193,'Débit - Abfluss'!$A$4:$AD$275,8,FALSE)="","",VLOOKUP(A193,'Débit - Abfluss'!$A$4:$AD$275,8,FALSE))</f>
        <v>non pertinent / nicht relevant</v>
      </c>
      <c r="L193" s="468" t="str">
        <f>IF(VLOOKUP(A193,'Débit - Abfluss'!$A$4:$AD$275,10,FALSE)="","",VLOOKUP(A193,'Débit - Abfluss'!$A$4:$AD$275,10,FALSE))</f>
        <v>non pertinent / nicht relevant</v>
      </c>
      <c r="M193" s="333" t="str">
        <f>IF(VLOOKUP(A193,'Débit - Abfluss'!$A$4:$AD$275,17,FALSE)="","",VLOOKUP(A193,'Débit - Abfluss'!$A$4:$AD$275,17,FALSE))</f>
        <v>non pertinent / nicht relevant</v>
      </c>
      <c r="N193" s="340" t="str">
        <f>IF(VLOOKUP(A193,'Eclusée - Schwall-Sunk'!$A$2:$F$273,6,FALSE)="","",VLOOKUP(A193,'Eclusée - Schwall-Sunk'!$A$2:$F$273,6,FALSE))</f>
        <v>Non affecté / nicht betroffen</v>
      </c>
      <c r="O193" s="537"/>
      <c r="P193" s="538"/>
      <c r="Q193" s="284" t="str">
        <f>IF(VLOOKUP(A193,'Revitalisation-Revitalisierung'!$A$4:$Z$275,13,FALSE)="","",VLOOKUP(A193,'Revitalisation-Revitalisierung'!$A$4:$Z$275,13,FALSE))</f>
        <v>non pertinent / nicht relevant</v>
      </c>
      <c r="R193" s="541" t="str">
        <f>IF(VLOOKUP(A193,'Revitalisation-Revitalisierung'!$A$4:$Z$275,14,FALSE)="","",VLOOKUP(A193,'Revitalisation-Revitalisierung'!$A$4:$Z$275,14,FALSE))</f>
        <v>a</v>
      </c>
      <c r="S193" s="542" t="str">
        <f>IF(VLOOKUP(A193,'Revitalisation-Revitalisierung'!$A$4:$Z$275,19,FALSE)="","",VLOOKUP(A193,'Revitalisation-Revitalisierung'!$A$4:$Z$275,19,FALSE))</f>
        <v>non pertinent / nicht relevant</v>
      </c>
      <c r="T193" s="541" t="str">
        <f>IF(VLOOKUP(A193,'Revitalisation-Revitalisierung'!$A$4:$Z$275,20,FALSE)="","",VLOOKUP(A193,'Revitalisation-Revitalisierung'!$A$4:$Z$275,20,FALSE))</f>
        <v>a</v>
      </c>
      <c r="U193" s="542" t="str">
        <f>IF(VLOOKUP(A193,'Revitalisation-Revitalisierung'!$A$4:$Z$275,25,FALSE)="","",VLOOKUP(A193,'Revitalisation-Revitalisierung'!$A$4:$Z$275,25,FALSE))</f>
        <v>non pertinent / nicht relevant</v>
      </c>
      <c r="V193" s="406" t="str">
        <f>IF(VLOOKUP(A193,'Revitalisation-Revitalisierung'!$A$4:$Z$275,26,FALSE)="","",VLOOKUP(A193,'Revitalisation-Revitalisierung'!$A$4:$Z$275,26,FALSE))</f>
        <v>a</v>
      </c>
      <c r="Y193" s="529" t="str">
        <f t="shared" si="14"/>
        <v>non pertinent / nicht relevant</v>
      </c>
      <c r="Z193" s="568" t="str">
        <f t="shared" si="15"/>
        <v>a</v>
      </c>
      <c r="AA193" s="327" t="str">
        <f t="shared" si="16"/>
        <v>non pertinent / nicht relevant</v>
      </c>
      <c r="AB193" s="327" t="str">
        <f t="shared" si="17"/>
        <v>Non affecté / nicht betroffen</v>
      </c>
      <c r="AC193" s="276" t="str">
        <f t="shared" si="18"/>
        <v>non pertinent / nicht relevant</v>
      </c>
      <c r="AD193" s="570" t="str">
        <f t="shared" si="19"/>
        <v>a</v>
      </c>
      <c r="AE193">
        <v>5</v>
      </c>
      <c r="AF193">
        <v>1</v>
      </c>
    </row>
    <row r="194" spans="1:33" ht="16.5" customHeight="1" x14ac:dyDescent="0.25">
      <c r="A194" s="926">
        <v>211</v>
      </c>
      <c r="B194" s="400" t="s">
        <v>607</v>
      </c>
      <c r="C194" s="400" t="s">
        <v>608</v>
      </c>
      <c r="D194" s="401" t="s">
        <v>573</v>
      </c>
      <c r="E194" s="522" t="str">
        <f>IF(VLOOKUP(A194,'Charriage - Geschiebehaushalt'!$A$4:$AC$275,17,FALSE)="","",VLOOKUP(A194,'Charriage - Geschiebehaushalt'!$A$4:$AC$275,17,FALSE))</f>
        <v>Déficit non apparent en charriage ou en remobilisation des sédiments / kein sichtbares Defizit beim Geschiebehaushalt bzw. bei der Mobilisierung von Geschiebe</v>
      </c>
      <c r="F194" s="523" t="str">
        <f>IF(VLOOKUP(A194,'Charriage - Geschiebehaushalt'!$A$4:$AC$275,18,FALSE)="","",VLOOKUP(A194,'Charriage - Geschiebehaushalt'!$A$4:$AC$275,18,FALSE))</f>
        <v>b</v>
      </c>
      <c r="G194" s="524" t="str">
        <f>IF(VLOOKUP(A194,'Charriage - Geschiebehaushalt'!$A$4:$AC$275,22,FALSE)="","",VLOOKUP(A194,'Charriage - Geschiebehaushalt'!$A$4:$AC$275,22,FALSE))</f>
        <v>0-20%</v>
      </c>
      <c r="H194" s="523" t="str">
        <f>IF(VLOOKUP(A194,'Charriage - Geschiebehaushalt'!$A$4:$AC$275,23,FALSE)="","",VLOOKUP(A194,'Charriage - Geschiebehaushalt'!$A$4:$AC$275,23,FALSE))</f>
        <v>b</v>
      </c>
      <c r="I194" s="524" t="str">
        <f>IF(VLOOKUP(A194,'Charriage - Geschiebehaushalt'!$A$4:$AC$275,28,FALSE)="","",VLOOKUP(A194,'Charriage - Geschiebehaushalt'!$A$4:$AC$275,28,FALSE))</f>
        <v>0-20%</v>
      </c>
      <c r="J194" s="403" t="str">
        <f>IF(VLOOKUP(A194,'Charriage - Geschiebehaushalt'!$A$4:$AC$275,29,FALSE)="","",VLOOKUP(A194,'Charriage - Geschiebehaushalt'!$A$4:$AC$275,29,FALSE))</f>
        <v>b</v>
      </c>
      <c r="K194" s="533" t="str">
        <f>IF(VLOOKUP(A194,'Débit - Abfluss'!$A$4:$AD$275,8,FALSE)="","",VLOOKUP(A194,'Débit - Abfluss'!$A$4:$AD$275,8,FALSE))</f>
        <v>100%</v>
      </c>
      <c r="L194" s="468" t="str">
        <f>IF(VLOOKUP(A194,'Débit - Abfluss'!$A$4:$AD$275,10,FALSE)="","",VLOOKUP(A194,'Débit - Abfluss'!$A$4:$AD$275,10,FALSE))</f>
        <v>81-100%</v>
      </c>
      <c r="M194" s="333" t="str">
        <f>IF(VLOOKUP(A194,'Débit - Abfluss'!$A$4:$AD$275,17,FALSE)="","",VLOOKUP(A194,'Débit - Abfluss'!$A$4:$AD$275,17,FALSE))</f>
        <v>81-100%</v>
      </c>
      <c r="N194" s="340" t="str">
        <f>IF(VLOOKUP(A194,'Eclusée - Schwall-Sunk'!$A$2:$F$273,6,FALSE)="","",VLOOKUP(A194,'Eclusée - Schwall-Sunk'!$A$2:$F$273,6,FALSE))</f>
        <v>Non affecté / nicht betroffen</v>
      </c>
      <c r="O194" s="537"/>
      <c r="P194" s="538"/>
      <c r="Q194" s="284" t="str">
        <f>IF(VLOOKUP(A194,'Revitalisation-Revitalisierung'!$A$4:$Z$275,13,FALSE)="","",VLOOKUP(A194,'Revitalisation-Revitalisierung'!$A$4:$Z$275,13,FALSE))</f>
        <v>Non nécessaire / nicht nötig</v>
      </c>
      <c r="R194" s="541" t="str">
        <f>IF(VLOOKUP(A194,'Revitalisation-Revitalisierung'!$A$4:$Z$275,14,FALSE)="","",VLOOKUP(A194,'Revitalisation-Revitalisierung'!$A$4:$Z$275,14,FALSE))</f>
        <v>a</v>
      </c>
      <c r="S194" s="542" t="str">
        <f>IF(VLOOKUP(A194,'Revitalisation-Revitalisierung'!$A$4:$Z$275,19,FALSE)="","",VLOOKUP(A194,'Revitalisation-Revitalisierung'!$A$4:$Z$275,19,FALSE))</f>
        <v>Non nécessaire / nicht nötig</v>
      </c>
      <c r="T194" s="541" t="str">
        <f>IF(VLOOKUP(A194,'Revitalisation-Revitalisierung'!$A$4:$Z$275,20,FALSE)="","",VLOOKUP(A194,'Revitalisation-Revitalisierung'!$A$4:$Z$275,20,FALSE))</f>
        <v>d</v>
      </c>
      <c r="U194" s="542" t="str">
        <f>IF(VLOOKUP(A194,'Revitalisation-Revitalisierung'!$A$4:$Z$275,25,FALSE)="","",VLOOKUP(A194,'Revitalisation-Revitalisierung'!$A$4:$Z$275,25,FALSE))</f>
        <v>Non nécessaire / nicht nötig</v>
      </c>
      <c r="V194" s="406" t="str">
        <f>IF(VLOOKUP(A194,'Revitalisation-Revitalisierung'!$A$4:$Z$275,26,FALSE)="","",VLOOKUP(A194,'Revitalisation-Revitalisierung'!$A$4:$Z$275,26,FALSE))</f>
        <v>d</v>
      </c>
      <c r="Y194" s="529" t="str">
        <f t="shared" si="14"/>
        <v>0-20%</v>
      </c>
      <c r="Z194" s="568" t="str">
        <f t="shared" si="15"/>
        <v>b</v>
      </c>
      <c r="AA194" s="327" t="str">
        <f t="shared" si="16"/>
        <v>81-100%</v>
      </c>
      <c r="AB194" s="327" t="str">
        <f t="shared" si="17"/>
        <v>Non affecté / nicht betroffen</v>
      </c>
      <c r="AC194" s="276" t="str">
        <f t="shared" si="18"/>
        <v>Non nécessaire / nicht nötig</v>
      </c>
      <c r="AD194" s="570" t="str">
        <f t="shared" si="19"/>
        <v>d</v>
      </c>
      <c r="AE194">
        <v>1</v>
      </c>
      <c r="AF194">
        <v>1</v>
      </c>
      <c r="AG194">
        <v>1</v>
      </c>
    </row>
    <row r="195" spans="1:33" ht="16.5" customHeight="1" x14ac:dyDescent="0.25">
      <c r="A195" s="926">
        <v>216</v>
      </c>
      <c r="B195" s="400" t="s">
        <v>266</v>
      </c>
      <c r="C195" s="400" t="s">
        <v>267</v>
      </c>
      <c r="D195" s="401" t="s">
        <v>259</v>
      </c>
      <c r="E195" s="522" t="str">
        <f>IF(VLOOKUP(A195,'Charriage - Geschiebehaushalt'!$A$4:$AC$275,17,FALSE)="","",VLOOKUP(A195,'Charriage - Geschiebehaushalt'!$A$4:$AC$275,17,FALSE))</f>
        <v>Charriage présumé naturel / Geschiebehaushalt vermutlich natürlich</v>
      </c>
      <c r="F195" s="523" t="str">
        <f>IF(VLOOKUP(A195,'Charriage - Geschiebehaushalt'!$A$4:$AC$275,18,FALSE)="","",VLOOKUP(A195,'Charriage - Geschiebehaushalt'!$A$4:$AC$275,18,FALSE))</f>
        <v>b</v>
      </c>
      <c r="G195" s="524" t="str">
        <f>IF(VLOOKUP(A195,'Charriage - Geschiebehaushalt'!$A$4:$AC$275,22,FALSE)="","",VLOOKUP(A195,'Charriage - Geschiebehaushalt'!$A$4:$AC$275,22,FALSE))</f>
        <v>0-20%</v>
      </c>
      <c r="H195" s="523" t="str">
        <f>IF(VLOOKUP(A195,'Charriage - Geschiebehaushalt'!$A$4:$AC$275,23,FALSE)="","",VLOOKUP(A195,'Charriage - Geschiebehaushalt'!$A$4:$AC$275,23,FALSE))</f>
        <v>b</v>
      </c>
      <c r="I195" s="524" t="str">
        <f>IF(VLOOKUP(A195,'Charriage - Geschiebehaushalt'!$A$4:$AC$275,28,FALSE)="","",VLOOKUP(A195,'Charriage - Geschiebehaushalt'!$A$4:$AC$275,28,FALSE))</f>
        <v>0-20%</v>
      </c>
      <c r="J195" s="403" t="str">
        <f>IF(VLOOKUP(A195,'Charriage - Geschiebehaushalt'!$A$4:$AC$275,29,FALSE)="","",VLOOKUP(A195,'Charriage - Geschiebehaushalt'!$A$4:$AC$275,29,FALSE))</f>
        <v>b</v>
      </c>
      <c r="K195" s="533" t="str">
        <f>IF(VLOOKUP(A195,'Débit - Abfluss'!$A$4:$AD$275,8,FALSE)="","",VLOOKUP(A195,'Débit - Abfluss'!$A$4:$AD$275,8,FALSE))</f>
        <v>100%</v>
      </c>
      <c r="L195" s="468" t="str">
        <f>IF(VLOOKUP(A195,'Débit - Abfluss'!$A$4:$AD$275,10,FALSE)="","",VLOOKUP(A195,'Débit - Abfluss'!$A$4:$AD$275,10,FALSE))</f>
        <v>100%</v>
      </c>
      <c r="M195" s="333" t="str">
        <f>IF(VLOOKUP(A195,'Débit - Abfluss'!$A$4:$AD$275,17,FALSE)="","",VLOOKUP(A195,'Débit - Abfluss'!$A$4:$AD$275,17,FALSE))</f>
        <v>100%</v>
      </c>
      <c r="N195" s="340" t="str">
        <f>IF(VLOOKUP(A195,'Eclusée - Schwall-Sunk'!$A$2:$F$273,6,FALSE)="","",VLOOKUP(A195,'Eclusée - Schwall-Sunk'!$A$2:$F$273,6,FALSE))</f>
        <v>Non affecté / nicht betroffen</v>
      </c>
      <c r="O195" s="537"/>
      <c r="P195" s="538"/>
      <c r="Q195" s="284" t="str">
        <f>IF(VLOOKUP(A195,'Revitalisation-Revitalisierung'!$A$4:$Z$275,13,FALSE)="","",VLOOKUP(A195,'Revitalisation-Revitalisierung'!$A$4:$Z$275,13,FALSE))</f>
        <v>Non nécessaire / nicht nötig</v>
      </c>
      <c r="R195" s="541" t="str">
        <f>IF(VLOOKUP(A195,'Revitalisation-Revitalisierung'!$A$4:$Z$275,14,FALSE)="","",VLOOKUP(A195,'Revitalisation-Revitalisierung'!$A$4:$Z$275,14,FALSE))</f>
        <v>b</v>
      </c>
      <c r="S195" s="542" t="str">
        <f>IF(VLOOKUP(A195,'Revitalisation-Revitalisierung'!$A$4:$Z$275,19,FALSE)="","",VLOOKUP(A195,'Revitalisation-Revitalisierung'!$A$4:$Z$275,19,FALSE))</f>
        <v>Non nécessaire / nicht nötig</v>
      </c>
      <c r="T195" s="541" t="str">
        <f>IF(VLOOKUP(A195,'Revitalisation-Revitalisierung'!$A$4:$Z$275,20,FALSE)="","",VLOOKUP(A195,'Revitalisation-Revitalisierung'!$A$4:$Z$275,20,FALSE))</f>
        <v>b</v>
      </c>
      <c r="U195" s="542" t="str">
        <f>IF(VLOOKUP(A195,'Revitalisation-Revitalisierung'!$A$4:$Z$275,25,FALSE)="","",VLOOKUP(A195,'Revitalisation-Revitalisierung'!$A$4:$Z$275,25,FALSE))</f>
        <v>Non nécessaire / nicht nötig</v>
      </c>
      <c r="V195" s="406" t="str">
        <f>IF(VLOOKUP(A195,'Revitalisation-Revitalisierung'!$A$4:$Z$275,26,FALSE)="","",VLOOKUP(A195,'Revitalisation-Revitalisierung'!$A$4:$Z$275,26,FALSE))</f>
        <v>b</v>
      </c>
      <c r="Y195" s="529" t="str">
        <f t="shared" si="14"/>
        <v>0-20%</v>
      </c>
      <c r="Z195" s="568" t="str">
        <f t="shared" si="15"/>
        <v>b</v>
      </c>
      <c r="AA195" s="327" t="str">
        <f t="shared" si="16"/>
        <v>100%</v>
      </c>
      <c r="AB195" s="327" t="str">
        <f t="shared" si="17"/>
        <v>Non affecté / nicht betroffen</v>
      </c>
      <c r="AC195" s="276" t="str">
        <f t="shared" si="18"/>
        <v>Non nécessaire / nicht nötig</v>
      </c>
      <c r="AD195" s="570" t="str">
        <f t="shared" si="19"/>
        <v>b</v>
      </c>
      <c r="AE195">
        <v>1</v>
      </c>
      <c r="AF195">
        <v>1</v>
      </c>
      <c r="AG195">
        <v>1</v>
      </c>
    </row>
    <row r="196" spans="1:33" ht="16.5" customHeight="1" x14ac:dyDescent="0.25">
      <c r="A196" s="926">
        <v>217</v>
      </c>
      <c r="B196" s="400" t="s">
        <v>218</v>
      </c>
      <c r="C196" s="400" t="s">
        <v>219</v>
      </c>
      <c r="D196" s="401" t="s">
        <v>197</v>
      </c>
      <c r="E196" s="522" t="str">
        <f>IF(VLOOKUP(A196,'Charriage - Geschiebehaushalt'!$A$4:$AC$275,17,FALSE)="","",VLOOKUP(A196,'Charriage - Geschiebehaushalt'!$A$4:$AC$275,17,FALSE))</f>
        <v>Charriage présumé naturel / Geschiebehaushalt vermutlich natürlich</v>
      </c>
      <c r="F196" s="523" t="str">
        <f>IF(VLOOKUP(A196,'Charriage - Geschiebehaushalt'!$A$4:$AC$275,18,FALSE)="","",VLOOKUP(A196,'Charriage - Geschiebehaushalt'!$A$4:$AC$275,18,FALSE))</f>
        <v>b</v>
      </c>
      <c r="G196" s="524" t="str">
        <f>IF(VLOOKUP(A196,'Charriage - Geschiebehaushalt'!$A$4:$AC$275,22,FALSE)="","",VLOOKUP(A196,'Charriage - Geschiebehaushalt'!$A$4:$AC$275,22,FALSE))</f>
        <v>0-20%</v>
      </c>
      <c r="H196" s="523" t="str">
        <f>IF(VLOOKUP(A196,'Charriage - Geschiebehaushalt'!$A$4:$AC$275,23,FALSE)="","",VLOOKUP(A196,'Charriage - Geschiebehaushalt'!$A$4:$AC$275,23,FALSE))</f>
        <v>d</v>
      </c>
      <c r="I196" s="524" t="str">
        <f>IF(VLOOKUP(A196,'Charriage - Geschiebehaushalt'!$A$4:$AC$275,28,FALSE)="","",VLOOKUP(A196,'Charriage - Geschiebehaushalt'!$A$4:$AC$275,28,FALSE))</f>
        <v>0-20%</v>
      </c>
      <c r="J196" s="403" t="str">
        <f>IF(VLOOKUP(A196,'Charriage - Geschiebehaushalt'!$A$4:$AC$275,29,FALSE)="","",VLOOKUP(A196,'Charriage - Geschiebehaushalt'!$A$4:$AC$275,29,FALSE))</f>
        <v>d</v>
      </c>
      <c r="K196" s="533" t="str">
        <f>IF(VLOOKUP(A196,'Débit - Abfluss'!$A$4:$AD$275,8,FALSE)="","",VLOOKUP(A196,'Débit - Abfluss'!$A$4:$AD$275,8,FALSE))</f>
        <v>100%</v>
      </c>
      <c r="L196" s="468" t="str">
        <f>IF(VLOOKUP(A196,'Débit - Abfluss'!$A$4:$AD$275,10,FALSE)="","",VLOOKUP(A196,'Débit - Abfluss'!$A$4:$AD$275,10,FALSE))</f>
        <v>100%</v>
      </c>
      <c r="M196" s="333" t="str">
        <f>IF(VLOOKUP(A196,'Débit - Abfluss'!$A$4:$AD$275,17,FALSE)="","",VLOOKUP(A196,'Débit - Abfluss'!$A$4:$AD$275,17,FALSE))</f>
        <v>100%</v>
      </c>
      <c r="N196" s="340" t="str">
        <f>IF(VLOOKUP(A196,'Eclusée - Schwall-Sunk'!$A$2:$F$273,6,FALSE)="","",VLOOKUP(A196,'Eclusée - Schwall-Sunk'!$A$2:$F$273,6,FALSE))</f>
        <v>Non affecté / nicht betroffen</v>
      </c>
      <c r="O196" s="537"/>
      <c r="P196" s="538"/>
      <c r="Q196" s="284" t="str">
        <f>IF(VLOOKUP(A196,'Revitalisation-Revitalisierung'!$A$4:$Z$275,13,FALSE)="","",VLOOKUP(A196,'Revitalisation-Revitalisierung'!$A$4:$Z$275,13,FALSE))</f>
        <v>Non nécessaire / nicht nötig</v>
      </c>
      <c r="R196" s="541" t="str">
        <f>IF(VLOOKUP(A196,'Revitalisation-Revitalisierung'!$A$4:$Z$275,14,FALSE)="","",VLOOKUP(A196,'Revitalisation-Revitalisierung'!$A$4:$Z$275,14,FALSE))</f>
        <v>a</v>
      </c>
      <c r="S196" s="542" t="str">
        <f>IF(VLOOKUP(A196,'Revitalisation-Revitalisierung'!$A$4:$Z$275,19,FALSE)="","",VLOOKUP(A196,'Revitalisation-Revitalisierung'!$A$4:$Z$275,19,FALSE))</f>
        <v>Non nécessaire / nicht nötig</v>
      </c>
      <c r="T196" s="541" t="str">
        <f>IF(VLOOKUP(A196,'Revitalisation-Revitalisierung'!$A$4:$Z$275,20,FALSE)="","",VLOOKUP(A196,'Revitalisation-Revitalisierung'!$A$4:$Z$275,20,FALSE))</f>
        <v>d</v>
      </c>
      <c r="U196" s="542" t="str">
        <f>IF(VLOOKUP(A196,'Revitalisation-Revitalisierung'!$A$4:$Z$275,25,FALSE)="","",VLOOKUP(A196,'Revitalisation-Revitalisierung'!$A$4:$Z$275,25,FALSE))</f>
        <v>Partiellement nécessaire, facile / teilweise nötig, einfach</v>
      </c>
      <c r="V196" s="406" t="str">
        <f>IF(VLOOKUP(A196,'Revitalisation-Revitalisierung'!$A$4:$Z$275,26,FALSE)="","",VLOOKUP(A196,'Revitalisation-Revitalisierung'!$A$4:$Z$275,26,FALSE))</f>
        <v>e</v>
      </c>
      <c r="Y196" s="529" t="str">
        <f t="shared" si="14"/>
        <v>0-20%</v>
      </c>
      <c r="Z196" s="568" t="str">
        <f t="shared" si="15"/>
        <v>d</v>
      </c>
      <c r="AA196" s="327" t="str">
        <f t="shared" si="16"/>
        <v>100%</v>
      </c>
      <c r="AB196" s="327" t="str">
        <f t="shared" si="17"/>
        <v>Non affecté / nicht betroffen</v>
      </c>
      <c r="AC196" s="276" t="str">
        <f t="shared" si="18"/>
        <v>Partiellement nécessaire, facile / teilweise nötig, einfach</v>
      </c>
      <c r="AD196" s="570" t="str">
        <f t="shared" si="19"/>
        <v>e</v>
      </c>
      <c r="AE196">
        <v>2</v>
      </c>
      <c r="AF196">
        <v>1</v>
      </c>
    </row>
    <row r="197" spans="1:33" ht="16.5" customHeight="1" x14ac:dyDescent="0.25">
      <c r="A197" s="926">
        <v>218</v>
      </c>
      <c r="B197" s="400" t="s">
        <v>258</v>
      </c>
      <c r="C197" s="400" t="s">
        <v>250</v>
      </c>
      <c r="D197" s="401" t="s">
        <v>241</v>
      </c>
      <c r="E197" s="522" t="str">
        <f>IF(VLOOKUP(A197,'Charriage - Geschiebehaushalt'!$A$4:$AC$275,17,FALSE)="","",VLOOKUP(A197,'Charriage - Geschiebehaushalt'!$A$4:$AC$275,17,FALSE))</f>
        <v>81 -100%</v>
      </c>
      <c r="F197" s="523" t="str">
        <f>IF(VLOOKUP(A197,'Charriage - Geschiebehaushalt'!$A$4:$AC$275,18,FALSE)="","",VLOOKUP(A197,'Charriage - Geschiebehaushalt'!$A$4:$AC$275,18,FALSE))</f>
        <v>a</v>
      </c>
      <c r="G197" s="524" t="str">
        <f>IF(VLOOKUP(A197,'Charriage - Geschiebehaushalt'!$A$4:$AC$275,22,FALSE)="","",VLOOKUP(A197,'Charriage - Geschiebehaushalt'!$A$4:$AC$275,22,FALSE))</f>
        <v>81-100%</v>
      </c>
      <c r="H197" s="523" t="str">
        <f>IF(VLOOKUP(A197,'Charriage - Geschiebehaushalt'!$A$4:$AC$275,23,FALSE)="","",VLOOKUP(A197,'Charriage - Geschiebehaushalt'!$A$4:$AC$275,23,FALSE))</f>
        <v>d</v>
      </c>
      <c r="I197" s="524" t="str">
        <f>IF(VLOOKUP(A197,'Charriage - Geschiebehaushalt'!$A$4:$AC$275,28,FALSE)="","",VLOOKUP(A197,'Charriage - Geschiebehaushalt'!$A$4:$AC$275,28,FALSE))</f>
        <v>81-100%</v>
      </c>
      <c r="J197" s="403" t="str">
        <f>IF(VLOOKUP(A197,'Charriage - Geschiebehaushalt'!$A$4:$AC$275,29,FALSE)="","",VLOOKUP(A197,'Charriage - Geschiebehaushalt'!$A$4:$AC$275,29,FALSE))</f>
        <v>d</v>
      </c>
      <c r="K197" s="533" t="str">
        <f>IF(VLOOKUP(A197,'Débit - Abfluss'!$A$4:$AD$275,8,FALSE)="","",VLOOKUP(A197,'Débit - Abfluss'!$A$4:$AD$275,8,FALSE))</f>
        <v>81-100%</v>
      </c>
      <c r="L197" s="468" t="str">
        <f>IF(VLOOKUP(A197,'Débit - Abfluss'!$A$4:$AD$275,10,FALSE)="","",VLOOKUP(A197,'Débit - Abfluss'!$A$4:$AD$275,10,FALSE))</f>
        <v>81-100%</v>
      </c>
      <c r="M197" s="333" t="str">
        <f>IF(VLOOKUP(A197,'Débit - Abfluss'!$A$4:$AD$275,17,FALSE)="","",VLOOKUP(A197,'Débit - Abfluss'!$A$4:$AD$275,17,FALSE))</f>
        <v>81-100%</v>
      </c>
      <c r="N197" s="340" t="str">
        <f>IF(VLOOKUP(A197,'Eclusée - Schwall-Sunk'!$A$2:$F$273,6,FALSE)="","",VLOOKUP(A197,'Eclusée - Schwall-Sunk'!$A$2:$F$273,6,FALSE))</f>
        <v>Potentiellement affecté / möglicherweise betroffen</v>
      </c>
      <c r="O197" s="537"/>
      <c r="P197" s="538"/>
      <c r="Q197" s="284" t="str">
        <f>IF(VLOOKUP(A197,'Revitalisation-Revitalisierung'!$A$4:$Z$275,13,FALSE)="","",VLOOKUP(A197,'Revitalisation-Revitalisierung'!$A$4:$Z$275,13,FALSE))</f>
        <v>Très nécessaire, facile / unbedingt nötig, einfach</v>
      </c>
      <c r="R197" s="541" t="str">
        <f>IF(VLOOKUP(A197,'Revitalisation-Revitalisierung'!$A$4:$Z$275,14,FALSE)="","",VLOOKUP(A197,'Revitalisation-Revitalisierung'!$A$4:$Z$275,14,FALSE))</f>
        <v>b</v>
      </c>
      <c r="S197" s="542" t="str">
        <f>IF(VLOOKUP(A197,'Revitalisation-Revitalisierung'!$A$4:$Z$275,19,FALSE)="","",VLOOKUP(A197,'Revitalisation-Revitalisierung'!$A$4:$Z$275,19,FALSE))</f>
        <v>Partiellement nécessaire, facile / teilweise nötig, einfach</v>
      </c>
      <c r="T197" s="541" t="str">
        <f>IF(VLOOKUP(A197,'Revitalisation-Revitalisierung'!$A$4:$Z$275,20,FALSE)="","",VLOOKUP(A197,'Revitalisation-Revitalisierung'!$A$4:$Z$275,20,FALSE))</f>
        <v>c</v>
      </c>
      <c r="U197" s="542" t="str">
        <f>IF(VLOOKUP(A197,'Revitalisation-Revitalisierung'!$A$4:$Z$275,25,FALSE)="","",VLOOKUP(A197,'Revitalisation-Revitalisierung'!$A$4:$Z$275,25,FALSE))</f>
        <v>Partiellement nécessaire, facile / teilweise nötig, einfach</v>
      </c>
      <c r="V197" s="406" t="str">
        <f>IF(VLOOKUP(A197,'Revitalisation-Revitalisierung'!$A$4:$Z$275,26,FALSE)="","",VLOOKUP(A197,'Revitalisation-Revitalisierung'!$A$4:$Z$275,26,FALSE))</f>
        <v>c</v>
      </c>
      <c r="Y197" s="529" t="str">
        <f t="shared" si="14"/>
        <v>81-100%</v>
      </c>
      <c r="Z197" s="568" t="str">
        <f t="shared" si="15"/>
        <v>d</v>
      </c>
      <c r="AA197" s="327" t="str">
        <f t="shared" si="16"/>
        <v>81-100%</v>
      </c>
      <c r="AB197" s="327" t="str">
        <f t="shared" si="17"/>
        <v>Potentiellement affecté / möglicherweise betroffen</v>
      </c>
      <c r="AC197" s="276" t="str">
        <f t="shared" si="18"/>
        <v>Partiellement nécessaire, facile / teilweise nötig, einfach</v>
      </c>
      <c r="AD197" s="570" t="str">
        <f t="shared" si="19"/>
        <v>c</v>
      </c>
      <c r="AE197">
        <v>4</v>
      </c>
      <c r="AF197">
        <v>1</v>
      </c>
    </row>
    <row r="198" spans="1:33" ht="16.5" customHeight="1" x14ac:dyDescent="0.25">
      <c r="A198" s="926">
        <v>219</v>
      </c>
      <c r="B198" s="400" t="s">
        <v>422</v>
      </c>
      <c r="C198" s="400" t="s">
        <v>423</v>
      </c>
      <c r="D198" s="401" t="s">
        <v>410</v>
      </c>
      <c r="E198" s="522" t="str">
        <f>IF(VLOOKUP(A198,'Charriage - Geschiebehaushalt'!$A$4:$AC$275,17,FALSE)="","",VLOOKUP(A198,'Charriage - Geschiebehaushalt'!$A$4:$AC$275,17,FALSE))</f>
        <v>non pertinent / nicht relevant</v>
      </c>
      <c r="F198" s="523" t="str">
        <f>IF(VLOOKUP(A198,'Charriage - Geschiebehaushalt'!$A$4:$AC$275,18,FALSE)="","",VLOOKUP(A198,'Charriage - Geschiebehaushalt'!$A$4:$AC$275,18,FALSE))</f>
        <v>a</v>
      </c>
      <c r="G198" s="524" t="str">
        <f>IF(VLOOKUP(A198,'Charriage - Geschiebehaushalt'!$A$4:$AC$275,22,FALSE)="","",VLOOKUP(A198,'Charriage - Geschiebehaushalt'!$A$4:$AC$275,22,FALSE))</f>
        <v>non pertinent / nicht relevant</v>
      </c>
      <c r="H198" s="523" t="str">
        <f>IF(VLOOKUP(A198,'Charriage - Geschiebehaushalt'!$A$4:$AC$275,23,FALSE)="","",VLOOKUP(A198,'Charriage - Geschiebehaushalt'!$A$4:$AC$275,23,FALSE))</f>
        <v>a</v>
      </c>
      <c r="I198" s="524" t="str">
        <f>IF(VLOOKUP(A198,'Charriage - Geschiebehaushalt'!$A$4:$AC$275,28,FALSE)="","",VLOOKUP(A198,'Charriage - Geschiebehaushalt'!$A$4:$AC$275,28,FALSE))</f>
        <v>non pertinent / nicht relevant</v>
      </c>
      <c r="J198" s="403" t="str">
        <f>IF(VLOOKUP(A198,'Charriage - Geschiebehaushalt'!$A$4:$AC$275,29,FALSE)="","",VLOOKUP(A198,'Charriage - Geschiebehaushalt'!$A$4:$AC$275,29,FALSE))</f>
        <v>a</v>
      </c>
      <c r="K198" s="533" t="str">
        <f>IF(VLOOKUP(A198,'Débit - Abfluss'!$A$4:$AD$275,8,FALSE)="","",VLOOKUP(A198,'Débit - Abfluss'!$A$4:$AD$275,8,FALSE))</f>
        <v>non pertinent / nicht relevant</v>
      </c>
      <c r="L198" s="468" t="str">
        <f>IF(VLOOKUP(A198,'Débit - Abfluss'!$A$4:$AD$275,10,FALSE)="","",VLOOKUP(A198,'Débit - Abfluss'!$A$4:$AD$275,10,FALSE))</f>
        <v>non pertinent / nicht relevant</v>
      </c>
      <c r="M198" s="333" t="str">
        <f>IF(VLOOKUP(A198,'Débit - Abfluss'!$A$4:$AD$275,17,FALSE)="","",VLOOKUP(A198,'Débit - Abfluss'!$A$4:$AD$275,17,FALSE))</f>
        <v>non pertinent / nicht relevant</v>
      </c>
      <c r="N198" s="340" t="str">
        <f>IF(VLOOKUP(A198,'Eclusée - Schwall-Sunk'!$A$2:$F$273,6,FALSE)="","",VLOOKUP(A198,'Eclusée - Schwall-Sunk'!$A$2:$F$273,6,FALSE))</f>
        <v>Non affecté / nicht betroffen</v>
      </c>
      <c r="O198" s="537"/>
      <c r="P198" s="538"/>
      <c r="Q198" s="284" t="str">
        <f>IF(VLOOKUP(A198,'Revitalisation-Revitalisierung'!$A$4:$Z$275,13,FALSE)="","",VLOOKUP(A198,'Revitalisation-Revitalisierung'!$A$4:$Z$275,13,FALSE))</f>
        <v>Non nécessaire / nicht nötig</v>
      </c>
      <c r="R198" s="541" t="str">
        <f>IF(VLOOKUP(A198,'Revitalisation-Revitalisierung'!$A$4:$Z$275,14,FALSE)="","",VLOOKUP(A198,'Revitalisation-Revitalisierung'!$A$4:$Z$275,14,FALSE))</f>
        <v>b</v>
      </c>
      <c r="S198" s="542" t="str">
        <f>IF(VLOOKUP(A198,'Revitalisation-Revitalisierung'!$A$4:$Z$275,19,FALSE)="","",VLOOKUP(A198,'Revitalisation-Revitalisierung'!$A$4:$Z$275,19,FALSE))</f>
        <v>Partiellement nécessaire, facile / teilweise nötig, einfach</v>
      </c>
      <c r="T198" s="541" t="str">
        <f>IF(VLOOKUP(A198,'Revitalisation-Revitalisierung'!$A$4:$Z$275,20,FALSE)="","",VLOOKUP(A198,'Revitalisation-Revitalisierung'!$A$4:$Z$275,20,FALSE))</f>
        <v>c</v>
      </c>
      <c r="U198" s="542" t="str">
        <f>IF(VLOOKUP(A198,'Revitalisation-Revitalisierung'!$A$4:$Z$275,25,FALSE)="","",VLOOKUP(A198,'Revitalisation-Revitalisierung'!$A$4:$Z$275,25,FALSE))</f>
        <v>Partiellement nécessaire, facile / teilweise nötig, einfach</v>
      </c>
      <c r="V198" s="406" t="str">
        <f>IF(VLOOKUP(A198,'Revitalisation-Revitalisierung'!$A$4:$Z$275,26,FALSE)="","",VLOOKUP(A198,'Revitalisation-Revitalisierung'!$A$4:$Z$275,26,FALSE))</f>
        <v>c</v>
      </c>
      <c r="Y198" s="529" t="str">
        <f t="shared" si="14"/>
        <v>non pertinent / nicht relevant</v>
      </c>
      <c r="Z198" s="568" t="str">
        <f t="shared" si="15"/>
        <v>a</v>
      </c>
      <c r="AA198" s="327" t="str">
        <f t="shared" si="16"/>
        <v>non pertinent / nicht relevant</v>
      </c>
      <c r="AB198" s="327" t="str">
        <f t="shared" si="17"/>
        <v>Non affecté / nicht betroffen</v>
      </c>
      <c r="AC198" s="276" t="str">
        <f t="shared" si="18"/>
        <v>Partiellement nécessaire, facile / teilweise nötig, einfach</v>
      </c>
      <c r="AD198" s="570" t="str">
        <f t="shared" si="19"/>
        <v>c</v>
      </c>
      <c r="AE198">
        <v>5</v>
      </c>
      <c r="AF198">
        <v>1</v>
      </c>
    </row>
    <row r="199" spans="1:33" ht="16.5" customHeight="1" x14ac:dyDescent="0.25">
      <c r="A199" s="926">
        <v>220</v>
      </c>
      <c r="B199" s="400" t="s">
        <v>68</v>
      </c>
      <c r="C199" s="400" t="s">
        <v>37</v>
      </c>
      <c r="D199" s="401" t="s">
        <v>35</v>
      </c>
      <c r="E199" s="522" t="str">
        <f>IF(VLOOKUP(A199,'Charriage - Geschiebehaushalt'!$A$4:$AC$275,17,FALSE)="","",VLOOKUP(A199,'Charriage - Geschiebehaushalt'!$A$4:$AC$275,17,FALSE))</f>
        <v>81 -100%</v>
      </c>
      <c r="F199" s="523" t="str">
        <f>IF(VLOOKUP(A199,'Charriage - Geschiebehaushalt'!$A$4:$AC$275,18,FALSE)="","",VLOOKUP(A199,'Charriage - Geschiebehaushalt'!$A$4:$AC$275,18,FALSE))</f>
        <v>a</v>
      </c>
      <c r="G199" s="524" t="str">
        <f>IF(VLOOKUP(A199,'Charriage - Geschiebehaushalt'!$A$4:$AC$275,22,FALSE)="","",VLOOKUP(A199,'Charriage - Geschiebehaushalt'!$A$4:$AC$275,22,FALSE))</f>
        <v>81-100%</v>
      </c>
      <c r="H199" s="523" t="str">
        <f>IF(VLOOKUP(A199,'Charriage - Geschiebehaushalt'!$A$4:$AC$275,23,FALSE)="","",VLOOKUP(A199,'Charriage - Geschiebehaushalt'!$A$4:$AC$275,23,FALSE))</f>
        <v>a</v>
      </c>
      <c r="I199" s="524" t="str">
        <f>IF(VLOOKUP(A199,'Charriage - Geschiebehaushalt'!$A$4:$AC$275,28,FALSE)="","",VLOOKUP(A199,'Charriage - Geschiebehaushalt'!$A$4:$AC$275,28,FALSE))</f>
        <v>81-100%</v>
      </c>
      <c r="J199" s="403" t="str">
        <f>IF(VLOOKUP(A199,'Charriage - Geschiebehaushalt'!$A$4:$AC$275,29,FALSE)="","",VLOOKUP(A199,'Charriage - Geschiebehaushalt'!$A$4:$AC$275,29,FALSE))</f>
        <v>a</v>
      </c>
      <c r="K199" s="533" t="str">
        <f>IF(VLOOKUP(A199,'Débit - Abfluss'!$A$4:$AD$275,8,FALSE)="","",VLOOKUP(A199,'Débit - Abfluss'!$A$4:$AD$275,8,FALSE))</f>
        <v>0-20%</v>
      </c>
      <c r="L199" s="468" t="str">
        <f>IF(VLOOKUP(A199,'Débit - Abfluss'!$A$4:$AD$275,10,FALSE)="","",VLOOKUP(A199,'Débit - Abfluss'!$A$4:$AD$275,10,FALSE))</f>
        <v>0-20%</v>
      </c>
      <c r="M199" s="333" t="str">
        <f>IF(VLOOKUP(A199,'Débit - Abfluss'!$A$4:$AD$275,17,FALSE)="","",VLOOKUP(A199,'Débit - Abfluss'!$A$4:$AD$275,17,FALSE))</f>
        <v>0-20%</v>
      </c>
      <c r="N199" s="340" t="str">
        <f>IF(VLOOKUP(A199,'Eclusée - Schwall-Sunk'!$A$2:$F$273,6,FALSE)="","",VLOOKUP(A199,'Eclusée - Schwall-Sunk'!$A$2:$F$273,6,FALSE))</f>
        <v>Potentiellement affecté mais non plausible / möglicherweise betroffen aber nicht nachweisbar</v>
      </c>
      <c r="O199" s="537"/>
      <c r="P199" s="538"/>
      <c r="Q199" s="284" t="str">
        <f>IF(VLOOKUP(A199,'Revitalisation-Revitalisierung'!$A$4:$Z$275,13,FALSE)="","",VLOOKUP(A199,'Revitalisation-Revitalisierung'!$A$4:$Z$275,13,FALSE))</f>
        <v>Très nécessaire, facile / unbedingt nötig, einfach</v>
      </c>
      <c r="R199" s="541" t="str">
        <f>IF(VLOOKUP(A199,'Revitalisation-Revitalisierung'!$A$4:$Z$275,14,FALSE)="","",VLOOKUP(A199,'Revitalisation-Revitalisierung'!$A$4:$Z$275,14,FALSE))</f>
        <v>a</v>
      </c>
      <c r="S199" s="542" t="str">
        <f>IF(VLOOKUP(A199,'Revitalisation-Revitalisierung'!$A$4:$Z$275,19,FALSE)="","",VLOOKUP(A199,'Revitalisation-Revitalisierung'!$A$4:$Z$275,19,FALSE))</f>
        <v>Très nécessaire, facile / unbedingt nötig, einfach</v>
      </c>
      <c r="T199" s="541" t="str">
        <f>IF(VLOOKUP(A199,'Revitalisation-Revitalisierung'!$A$4:$Z$275,20,FALSE)="","",VLOOKUP(A199,'Revitalisation-Revitalisierung'!$A$4:$Z$275,20,FALSE))</f>
        <v>d</v>
      </c>
      <c r="U199" s="542" t="str">
        <f>IF(VLOOKUP(A199,'Revitalisation-Revitalisierung'!$A$4:$Z$275,25,FALSE)="","",VLOOKUP(A199,'Revitalisation-Revitalisierung'!$A$4:$Z$275,25,FALSE))</f>
        <v>Partiellement nécessaire, facile / teilweise nötig, einfach</v>
      </c>
      <c r="V199" s="406" t="str">
        <f>IF(VLOOKUP(A199,'Revitalisation-Revitalisierung'!$A$4:$Z$275,26,FALSE)="","",VLOOKUP(A199,'Revitalisation-Revitalisierung'!$A$4:$Z$275,26,FALSE))</f>
        <v>e</v>
      </c>
      <c r="Y199" s="529" t="str">
        <f t="shared" si="14"/>
        <v>81-100%</v>
      </c>
      <c r="Z199" s="568" t="str">
        <f t="shared" si="15"/>
        <v>a</v>
      </c>
      <c r="AA199" s="327" t="str">
        <f t="shared" si="16"/>
        <v>0-20%</v>
      </c>
      <c r="AB199" s="327" t="str">
        <f t="shared" si="17"/>
        <v>Potentiellement affecté mais non plausible / möglicherweise betroffen aber nicht nachweisbar</v>
      </c>
      <c r="AC199" s="276" t="str">
        <f t="shared" si="18"/>
        <v>Partiellement nécessaire, facile / teilweise nötig, einfach</v>
      </c>
      <c r="AD199" s="570" t="str">
        <f t="shared" si="19"/>
        <v>e</v>
      </c>
      <c r="AE199">
        <v>4</v>
      </c>
      <c r="AF199">
        <v>1</v>
      </c>
    </row>
    <row r="200" spans="1:33" ht="16.5" customHeight="1" x14ac:dyDescent="0.25">
      <c r="A200" s="928">
        <v>221</v>
      </c>
      <c r="B200" s="400" t="s">
        <v>193</v>
      </c>
      <c r="C200" s="400" t="s">
        <v>50</v>
      </c>
      <c r="D200" s="401" t="s">
        <v>192</v>
      </c>
      <c r="E200" s="522" t="str">
        <f>IF(VLOOKUP(A200,'Charriage - Geschiebehaushalt'!$A$4:$AC$275,17,FALSE)="","",VLOOKUP(A200,'Charriage - Geschiebehaushalt'!$A$4:$AC$275,17,FALSE))</f>
        <v>Charriage présumé perturbé / Geschiebehaushalt vermutlich beeinträchtigt</v>
      </c>
      <c r="F200" s="523" t="str">
        <f>IF(VLOOKUP(A200,'Charriage - Geschiebehaushalt'!$A$4:$AC$275,18,FALSE)="","",VLOOKUP(A200,'Charriage - Geschiebehaushalt'!$A$4:$AC$275,18,FALSE))</f>
        <v>b</v>
      </c>
      <c r="G200" s="524" t="str">
        <f>IF(VLOOKUP(A200,'Charriage - Geschiebehaushalt'!$A$4:$AC$275,22,FALSE)="","",VLOOKUP(A200,'Charriage - Geschiebehaushalt'!$A$4:$AC$275,22,FALSE))</f>
        <v>51-80%</v>
      </c>
      <c r="H200" s="523" t="str">
        <f>IF(VLOOKUP(A200,'Charriage - Geschiebehaushalt'!$A$4:$AC$275,23,FALSE)="","",VLOOKUP(A200,'Charriage - Geschiebehaushalt'!$A$4:$AC$275,23,FALSE))</f>
        <v>b</v>
      </c>
      <c r="I200" s="524" t="str">
        <f>IF(VLOOKUP(A200,'Charriage - Geschiebehaushalt'!$A$4:$AC$275,28,FALSE)="","",VLOOKUP(A200,'Charriage - Geschiebehaushalt'!$A$4:$AC$275,28,FALSE))</f>
        <v>51-80%</v>
      </c>
      <c r="J200" s="403" t="str">
        <f>IF(VLOOKUP(A200,'Charriage - Geschiebehaushalt'!$A$4:$AC$275,29,FALSE)="","",VLOOKUP(A200,'Charriage - Geschiebehaushalt'!$A$4:$AC$275,29,FALSE))</f>
        <v>b</v>
      </c>
      <c r="K200" s="533" t="str">
        <f>IF(VLOOKUP(A200,'Débit - Abfluss'!$A$4:$AD$275,8,FALSE)="","",VLOOKUP(A200,'Débit - Abfluss'!$A$4:$AD$275,8,FALSE))</f>
        <v>81-100%</v>
      </c>
      <c r="L200" s="468" t="str">
        <f>IF(VLOOKUP(A200,'Débit - Abfluss'!$A$4:$AD$275,10,FALSE)="","",VLOOKUP(A200,'Débit - Abfluss'!$A$4:$AD$275,10,FALSE))</f>
        <v>81-100%</v>
      </c>
      <c r="M200" s="333" t="str">
        <f>IF(VLOOKUP(A200,'Débit - Abfluss'!$A$4:$AD$275,17,FALSE)="","",VLOOKUP(A200,'Débit - Abfluss'!$A$4:$AD$275,17,FALSE))</f>
        <v>81-100%</v>
      </c>
      <c r="N200" s="340" t="str">
        <f>IF(VLOOKUP(A200,'Eclusée - Schwall-Sunk'!$A$2:$F$273,6,FALSE)="","",VLOOKUP(A200,'Eclusée - Schwall-Sunk'!$A$2:$F$273,6,FALSE))</f>
        <v>Non affecté / nicht betroffen</v>
      </c>
      <c r="O200" s="537"/>
      <c r="P200" s="538"/>
      <c r="Q200" s="284" t="str">
        <f>IF(VLOOKUP(A200,'Revitalisation-Revitalisierung'!$A$4:$Z$275,13,FALSE)="","",VLOOKUP(A200,'Revitalisation-Revitalisierung'!$A$4:$Z$275,13,FALSE))</f>
        <v>Très nécessaire, difficile / unbedingt nötig, schwierig</v>
      </c>
      <c r="R200" s="541" t="str">
        <f>IF(VLOOKUP(A200,'Revitalisation-Revitalisierung'!$A$4:$Z$275,14,FALSE)="","",VLOOKUP(A200,'Revitalisation-Revitalisierung'!$A$4:$Z$275,14,FALSE))</f>
        <v>b</v>
      </c>
      <c r="S200" s="542" t="str">
        <f>IF(VLOOKUP(A200,'Revitalisation-Revitalisierung'!$A$4:$Z$275,19,FALSE)="","",VLOOKUP(A200,'Revitalisation-Revitalisierung'!$A$4:$Z$275,19,FALSE))</f>
        <v>Partiellement nécessaire, facile / teilweise nötig, einfach</v>
      </c>
      <c r="T200" s="541" t="str">
        <f>IF(VLOOKUP(A200,'Revitalisation-Revitalisierung'!$A$4:$Z$275,20,FALSE)="","",VLOOKUP(A200,'Revitalisation-Revitalisierung'!$A$4:$Z$275,20,FALSE))</f>
        <v>c</v>
      </c>
      <c r="U200" s="542" t="str">
        <f>IF(VLOOKUP(A200,'Revitalisation-Revitalisierung'!$A$4:$Z$275,25,FALSE)="","",VLOOKUP(A200,'Revitalisation-Revitalisierung'!$A$4:$Z$275,25,FALSE))</f>
        <v>Partiellement nécessaire, facile / teilweise nötig, einfach</v>
      </c>
      <c r="V200" s="406" t="str">
        <f>IF(VLOOKUP(A200,'Revitalisation-Revitalisierung'!$A$4:$Z$275,26,FALSE)="","",VLOOKUP(A200,'Revitalisation-Revitalisierung'!$A$4:$Z$275,26,FALSE))</f>
        <v>c</v>
      </c>
      <c r="Y200" s="529" t="str">
        <f t="shared" si="14"/>
        <v>51-80%</v>
      </c>
      <c r="Z200" s="568" t="str">
        <f t="shared" si="15"/>
        <v>b</v>
      </c>
      <c r="AA200" s="327" t="str">
        <f t="shared" si="16"/>
        <v>81-100%</v>
      </c>
      <c r="AB200" s="327" t="str">
        <f t="shared" si="17"/>
        <v>Non affecté / nicht betroffen</v>
      </c>
      <c r="AC200" s="276" t="str">
        <f t="shared" si="18"/>
        <v>Partiellement nécessaire, facile / teilweise nötig, einfach</v>
      </c>
      <c r="AD200" s="570" t="str">
        <f t="shared" si="19"/>
        <v>c</v>
      </c>
      <c r="AE200">
        <v>4</v>
      </c>
      <c r="AF200">
        <v>1</v>
      </c>
    </row>
    <row r="201" spans="1:33" ht="16.5" customHeight="1" x14ac:dyDescent="0.25">
      <c r="A201" s="926">
        <v>222</v>
      </c>
      <c r="B201" s="400" t="s">
        <v>146</v>
      </c>
      <c r="C201" s="400" t="s">
        <v>147</v>
      </c>
      <c r="D201" s="401" t="s">
        <v>92</v>
      </c>
      <c r="E201" s="522" t="str">
        <f>IF(VLOOKUP(A201,'Charriage - Geschiebehaushalt'!$A$4:$AC$275,17,FALSE)="","",VLOOKUP(A201,'Charriage - Geschiebehaushalt'!$A$4:$AC$275,17,FALSE))</f>
        <v>non pertinent / nicht relevant</v>
      </c>
      <c r="F201" s="523" t="str">
        <f>IF(VLOOKUP(A201,'Charriage - Geschiebehaushalt'!$A$4:$AC$275,18,FALSE)="","",VLOOKUP(A201,'Charriage - Geschiebehaushalt'!$A$4:$AC$275,18,FALSE))</f>
        <v>a</v>
      </c>
      <c r="G201" s="524" t="str">
        <f>IF(VLOOKUP(A201,'Charriage - Geschiebehaushalt'!$A$4:$AC$275,22,FALSE)="","",VLOOKUP(A201,'Charriage - Geschiebehaushalt'!$A$4:$AC$275,22,FALSE))</f>
        <v>non pertinent / nicht relevant</v>
      </c>
      <c r="H201" s="523" t="str">
        <f>IF(VLOOKUP(A201,'Charriage - Geschiebehaushalt'!$A$4:$AC$275,23,FALSE)="","",VLOOKUP(A201,'Charriage - Geschiebehaushalt'!$A$4:$AC$275,23,FALSE))</f>
        <v>a</v>
      </c>
      <c r="I201" s="524" t="str">
        <f>IF(VLOOKUP(A201,'Charriage - Geschiebehaushalt'!$A$4:$AC$275,28,FALSE)="","",VLOOKUP(A201,'Charriage - Geschiebehaushalt'!$A$4:$AC$275,28,FALSE))</f>
        <v>non pertinent / nicht relevant</v>
      </c>
      <c r="J201" s="403" t="str">
        <f>IF(VLOOKUP(A201,'Charriage - Geschiebehaushalt'!$A$4:$AC$275,29,FALSE)="","",VLOOKUP(A201,'Charriage - Geschiebehaushalt'!$A$4:$AC$275,29,FALSE))</f>
        <v>a</v>
      </c>
      <c r="K201" s="533" t="str">
        <f>IF(VLOOKUP(A201,'Débit - Abfluss'!$A$4:$AD$275,8,FALSE)="","",VLOOKUP(A201,'Débit - Abfluss'!$A$4:$AD$275,8,FALSE))</f>
        <v>non pertinent / nicht relevant</v>
      </c>
      <c r="L201" s="468" t="str">
        <f>IF(VLOOKUP(A201,'Débit - Abfluss'!$A$4:$AD$275,10,FALSE)="","",VLOOKUP(A201,'Débit - Abfluss'!$A$4:$AD$275,10,FALSE))</f>
        <v>non pertinent / nicht relevant</v>
      </c>
      <c r="M201" s="333" t="str">
        <f>IF(VLOOKUP(A201,'Débit - Abfluss'!$A$4:$AD$275,17,FALSE)="","",VLOOKUP(A201,'Débit - Abfluss'!$A$4:$AD$275,17,FALSE))</f>
        <v>non pertinent / nicht relevant</v>
      </c>
      <c r="N201" s="340" t="str">
        <f>IF(VLOOKUP(A201,'Eclusée - Schwall-Sunk'!$A$2:$F$273,6,FALSE)="","",VLOOKUP(A201,'Eclusée - Schwall-Sunk'!$A$2:$F$273,6,FALSE))</f>
        <v>Non affecté / nicht betroffen</v>
      </c>
      <c r="O201" s="537"/>
      <c r="P201" s="538"/>
      <c r="Q201" s="284" t="str">
        <f>IF(VLOOKUP(A201,'Revitalisation-Revitalisierung'!$A$4:$Z$275,13,FALSE)="","",VLOOKUP(A201,'Revitalisation-Revitalisierung'!$A$4:$Z$275,13,FALSE))</f>
        <v>non pertinent / nicht relevant</v>
      </c>
      <c r="R201" s="541" t="str">
        <f>IF(VLOOKUP(A201,'Revitalisation-Revitalisierung'!$A$4:$Z$275,14,FALSE)="","",VLOOKUP(A201,'Revitalisation-Revitalisierung'!$A$4:$Z$275,14,FALSE))</f>
        <v>a</v>
      </c>
      <c r="S201" s="542" t="str">
        <f>IF(VLOOKUP(A201,'Revitalisation-Revitalisierung'!$A$4:$Z$275,19,FALSE)="","",VLOOKUP(A201,'Revitalisation-Revitalisierung'!$A$4:$Z$275,19,FALSE))</f>
        <v>non pertinent / nicht relevant</v>
      </c>
      <c r="T201" s="541" t="str">
        <f>IF(VLOOKUP(A201,'Revitalisation-Revitalisierung'!$A$4:$Z$275,20,FALSE)="","",VLOOKUP(A201,'Revitalisation-Revitalisierung'!$A$4:$Z$275,20,FALSE))</f>
        <v>a</v>
      </c>
      <c r="U201" s="542" t="str">
        <f>IF(VLOOKUP(A201,'Revitalisation-Revitalisierung'!$A$4:$Z$275,25,FALSE)="","",VLOOKUP(A201,'Revitalisation-Revitalisierung'!$A$4:$Z$275,25,FALSE))</f>
        <v>non pertinent / nicht relevant</v>
      </c>
      <c r="V201" s="406" t="str">
        <f>IF(VLOOKUP(A201,'Revitalisation-Revitalisierung'!$A$4:$Z$275,26,FALSE)="","",VLOOKUP(A201,'Revitalisation-Revitalisierung'!$A$4:$Z$275,26,FALSE))</f>
        <v>a</v>
      </c>
      <c r="Y201" s="529" t="str">
        <f t="shared" si="14"/>
        <v>non pertinent / nicht relevant</v>
      </c>
      <c r="Z201" s="568" t="str">
        <f t="shared" si="15"/>
        <v>a</v>
      </c>
      <c r="AA201" s="327" t="str">
        <f t="shared" si="16"/>
        <v>non pertinent / nicht relevant</v>
      </c>
      <c r="AB201" s="327" t="str">
        <f t="shared" si="17"/>
        <v>Non affecté / nicht betroffen</v>
      </c>
      <c r="AC201" s="276" t="str">
        <f t="shared" si="18"/>
        <v>non pertinent / nicht relevant</v>
      </c>
      <c r="AD201" s="570" t="str">
        <f t="shared" si="19"/>
        <v>a</v>
      </c>
      <c r="AE201">
        <v>5</v>
      </c>
      <c r="AF201">
        <v>1</v>
      </c>
    </row>
    <row r="202" spans="1:33" ht="16.5" customHeight="1" x14ac:dyDescent="0.25">
      <c r="A202" s="927">
        <v>223.1</v>
      </c>
      <c r="B202" s="400" t="s">
        <v>148</v>
      </c>
      <c r="C202" s="400" t="s">
        <v>149</v>
      </c>
      <c r="D202" s="401" t="s">
        <v>92</v>
      </c>
      <c r="E202" s="522" t="str">
        <f>IF(VLOOKUP(A202,'Charriage - Geschiebehaushalt'!$A$4:$AC$275,17,FALSE)="","",VLOOKUP(A202,'Charriage - Geschiebehaushalt'!$A$4:$AC$275,17,FALSE))</f>
        <v>81 -100%</v>
      </c>
      <c r="F202" s="523" t="str">
        <f>IF(VLOOKUP(A202,'Charriage - Geschiebehaushalt'!$A$4:$AC$275,18,FALSE)="","",VLOOKUP(A202,'Charriage - Geschiebehaushalt'!$A$4:$AC$275,18,FALSE))</f>
        <v>a</v>
      </c>
      <c r="G202" s="524" t="str">
        <f>IF(VLOOKUP(A202,'Charriage - Geschiebehaushalt'!$A$4:$AC$275,22,FALSE)="","",VLOOKUP(A202,'Charriage - Geschiebehaushalt'!$A$4:$AC$275,22,FALSE))</f>
        <v>81-100%</v>
      </c>
      <c r="H202" s="523" t="str">
        <f>IF(VLOOKUP(A202,'Charriage - Geschiebehaushalt'!$A$4:$AC$275,23,FALSE)="","",VLOOKUP(A202,'Charriage - Geschiebehaushalt'!$A$4:$AC$275,23,FALSE))</f>
        <v>a</v>
      </c>
      <c r="I202" s="524" t="str">
        <f>IF(VLOOKUP(A202,'Charriage - Geschiebehaushalt'!$A$4:$AC$275,28,FALSE)="","",VLOOKUP(A202,'Charriage - Geschiebehaushalt'!$A$4:$AC$275,28,FALSE))</f>
        <v>81-100%</v>
      </c>
      <c r="J202" s="403" t="str">
        <f>IF(VLOOKUP(A202,'Charriage - Geschiebehaushalt'!$A$4:$AC$275,29,FALSE)="","",VLOOKUP(A202,'Charriage - Geschiebehaushalt'!$A$4:$AC$275,29,FALSE))</f>
        <v>a</v>
      </c>
      <c r="K202" s="533" t="str">
        <f>IF(VLOOKUP(A202,'Débit - Abfluss'!$A$4:$AD$275,8,FALSE)="","",VLOOKUP(A202,'Débit - Abfluss'!$A$4:$AD$275,8,FALSE))</f>
        <v>61-80%</v>
      </c>
      <c r="L202" s="468" t="str">
        <f>IF(VLOOKUP(A202,'Débit - Abfluss'!$A$4:$AD$275,10,FALSE)="","",VLOOKUP(A202,'Débit - Abfluss'!$A$4:$AD$275,10,FALSE))</f>
        <v>61-80%</v>
      </c>
      <c r="M202" s="333" t="str">
        <f>IF(VLOOKUP(A202,'Débit - Abfluss'!$A$4:$AD$275,17,FALSE)="","",VLOOKUP(A202,'Débit - Abfluss'!$A$4:$AD$275,17,FALSE))</f>
        <v>61-80%</v>
      </c>
      <c r="N202" s="340" t="str">
        <f>IF(VLOOKUP(A202,'Eclusée - Schwall-Sunk'!$A$2:$F$273,6,FALSE)="","",VLOOKUP(A202,'Eclusée - Schwall-Sunk'!$A$2:$F$273,6,FALSE))</f>
        <v>Potentiellement affecté / möglicherweise betroffen</v>
      </c>
      <c r="O202" s="537"/>
      <c r="P202" s="538"/>
      <c r="Q202" s="284" t="str">
        <f>IF(VLOOKUP(A202,'Revitalisation-Revitalisierung'!$A$4:$Z$275,13,FALSE)="","",VLOOKUP(A202,'Revitalisation-Revitalisierung'!$A$4:$Z$275,13,FALSE))</f>
        <v>Non nécessaire / nicht nötig</v>
      </c>
      <c r="R202" s="541" t="str">
        <f>IF(VLOOKUP(A202,'Revitalisation-Revitalisierung'!$A$4:$Z$275,14,FALSE)="","",VLOOKUP(A202,'Revitalisation-Revitalisierung'!$A$4:$Z$275,14,FALSE))</f>
        <v>a</v>
      </c>
      <c r="S202" s="542" t="str">
        <f>IF(VLOOKUP(A202,'Revitalisation-Revitalisierung'!$A$4:$Z$275,19,FALSE)="","",VLOOKUP(A202,'Revitalisation-Revitalisierung'!$A$4:$Z$275,19,FALSE))</f>
        <v>Non nécessaire / nicht nötig</v>
      </c>
      <c r="T202" s="541" t="str">
        <f>IF(VLOOKUP(A202,'Revitalisation-Revitalisierung'!$A$4:$Z$275,20,FALSE)="","",VLOOKUP(A202,'Revitalisation-Revitalisierung'!$A$4:$Z$275,20,FALSE))</f>
        <v>a</v>
      </c>
      <c r="U202" s="542" t="str">
        <f>IF(VLOOKUP(A202,'Revitalisation-Revitalisierung'!$A$4:$Z$275,25,FALSE)="","",VLOOKUP(A202,'Revitalisation-Revitalisierung'!$A$4:$Z$275,25,FALSE))</f>
        <v>Non nécessaire / nicht nötig</v>
      </c>
      <c r="V202" s="406" t="str">
        <f>IF(VLOOKUP(A202,'Revitalisation-Revitalisierung'!$A$4:$Z$275,26,FALSE)="","",VLOOKUP(A202,'Revitalisation-Revitalisierung'!$A$4:$Z$275,26,FALSE))</f>
        <v>a</v>
      </c>
      <c r="Y202" s="529" t="str">
        <f t="shared" si="14"/>
        <v>81-100%</v>
      </c>
      <c r="Z202" s="568" t="str">
        <f t="shared" si="15"/>
        <v>a</v>
      </c>
      <c r="AA202" s="327" t="str">
        <f t="shared" si="16"/>
        <v>61-80%</v>
      </c>
      <c r="AB202" s="327" t="str">
        <f t="shared" si="17"/>
        <v>Potentiellement affecté / möglicherweise betroffen</v>
      </c>
      <c r="AC202" s="276" t="str">
        <f t="shared" si="18"/>
        <v>Non nécessaire / nicht nötig</v>
      </c>
      <c r="AD202" s="570" t="str">
        <f t="shared" si="19"/>
        <v>a</v>
      </c>
      <c r="AE202">
        <v>3</v>
      </c>
      <c r="AF202">
        <v>1</v>
      </c>
    </row>
    <row r="203" spans="1:33" ht="16.5" customHeight="1" x14ac:dyDescent="0.25">
      <c r="A203" s="927">
        <v>223.2</v>
      </c>
      <c r="B203" s="400" t="s">
        <v>148</v>
      </c>
      <c r="C203" s="400" t="s">
        <v>149</v>
      </c>
      <c r="D203" s="401" t="s">
        <v>92</v>
      </c>
      <c r="E203" s="522" t="str">
        <f>IF(VLOOKUP(A203,'Charriage - Geschiebehaushalt'!$A$4:$AC$275,17,FALSE)="","",VLOOKUP(A203,'Charriage - Geschiebehaushalt'!$A$4:$AC$275,17,FALSE))</f>
        <v>non pertinent / nicht relevant</v>
      </c>
      <c r="F203" s="523" t="str">
        <f>IF(VLOOKUP(A203,'Charriage - Geschiebehaushalt'!$A$4:$AC$275,18,FALSE)="","",VLOOKUP(A203,'Charriage - Geschiebehaushalt'!$A$4:$AC$275,18,FALSE))</f>
        <v>a</v>
      </c>
      <c r="G203" s="524" t="str">
        <f>IF(VLOOKUP(A203,'Charriage - Geschiebehaushalt'!$A$4:$AC$275,22,FALSE)="","",VLOOKUP(A203,'Charriage - Geschiebehaushalt'!$A$4:$AC$275,22,FALSE))</f>
        <v>non pertinent / nicht relevant</v>
      </c>
      <c r="H203" s="523" t="str">
        <f>IF(VLOOKUP(A203,'Charriage - Geschiebehaushalt'!$A$4:$AC$275,23,FALSE)="","",VLOOKUP(A203,'Charriage - Geschiebehaushalt'!$A$4:$AC$275,23,FALSE))</f>
        <v>a</v>
      </c>
      <c r="I203" s="524" t="str">
        <f>IF(VLOOKUP(A203,'Charriage - Geschiebehaushalt'!$A$4:$AC$275,28,FALSE)="","",VLOOKUP(A203,'Charriage - Geschiebehaushalt'!$A$4:$AC$275,28,FALSE))</f>
        <v>non pertinent / nicht relevant</v>
      </c>
      <c r="J203" s="403" t="str">
        <f>IF(VLOOKUP(A203,'Charriage - Geschiebehaushalt'!$A$4:$AC$275,29,FALSE)="","",VLOOKUP(A203,'Charriage - Geschiebehaushalt'!$A$4:$AC$275,29,FALSE))</f>
        <v>a</v>
      </c>
      <c r="K203" s="533" t="str">
        <f>IF(VLOOKUP(A203,'Débit - Abfluss'!$A$4:$AD$275,8,FALSE)="","",VLOOKUP(A203,'Débit - Abfluss'!$A$4:$AD$275,8,FALSE))</f>
        <v>non pertinent / nicht relevant</v>
      </c>
      <c r="L203" s="468" t="str">
        <f>IF(VLOOKUP(A203,'Débit - Abfluss'!$A$4:$AD$275,10,FALSE)="","",VLOOKUP(A203,'Débit - Abfluss'!$A$4:$AD$275,10,FALSE))</f>
        <v>non pertinent / nicht relevant</v>
      </c>
      <c r="M203" s="333" t="str">
        <f>IF(VLOOKUP(A203,'Débit - Abfluss'!$A$4:$AD$275,17,FALSE)="","",VLOOKUP(A203,'Débit - Abfluss'!$A$4:$AD$275,17,FALSE))</f>
        <v>non pertinent / nicht relevant</v>
      </c>
      <c r="N203" s="340" t="str">
        <f>IF(VLOOKUP(A203,'Eclusée - Schwall-Sunk'!$A$2:$F$273,6,FALSE)="","",VLOOKUP(A203,'Eclusée - Schwall-Sunk'!$A$2:$F$273,6,FALSE))</f>
        <v>Non affecté / nicht betroffen</v>
      </c>
      <c r="O203" s="537"/>
      <c r="P203" s="538"/>
      <c r="Q203" s="284" t="str">
        <f>IF(VLOOKUP(A203,'Revitalisation-Revitalisierung'!$A$4:$Z$275,13,FALSE)="","",VLOOKUP(A203,'Revitalisation-Revitalisierung'!$A$4:$Z$275,13,FALSE))</f>
        <v>non pertinent / nicht relevant</v>
      </c>
      <c r="R203" s="541" t="str">
        <f>IF(VLOOKUP(A203,'Revitalisation-Revitalisierung'!$A$4:$Z$275,14,FALSE)="","",VLOOKUP(A203,'Revitalisation-Revitalisierung'!$A$4:$Z$275,14,FALSE))</f>
        <v>a</v>
      </c>
      <c r="S203" s="542" t="str">
        <f>IF(VLOOKUP(A203,'Revitalisation-Revitalisierung'!$A$4:$Z$275,19,FALSE)="","",VLOOKUP(A203,'Revitalisation-Revitalisierung'!$A$4:$Z$275,19,FALSE))</f>
        <v>non pertinent / nicht relevant</v>
      </c>
      <c r="T203" s="541" t="str">
        <f>IF(VLOOKUP(A203,'Revitalisation-Revitalisierung'!$A$4:$Z$275,20,FALSE)="","",VLOOKUP(A203,'Revitalisation-Revitalisierung'!$A$4:$Z$275,20,FALSE))</f>
        <v>a</v>
      </c>
      <c r="U203" s="542" t="str">
        <f>IF(VLOOKUP(A203,'Revitalisation-Revitalisierung'!$A$4:$Z$275,25,FALSE)="","",VLOOKUP(A203,'Revitalisation-Revitalisierung'!$A$4:$Z$275,25,FALSE))</f>
        <v>non pertinent / nicht relevant</v>
      </c>
      <c r="V203" s="406" t="str">
        <f>IF(VLOOKUP(A203,'Revitalisation-Revitalisierung'!$A$4:$Z$275,26,FALSE)="","",VLOOKUP(A203,'Revitalisation-Revitalisierung'!$A$4:$Z$275,26,FALSE))</f>
        <v>a</v>
      </c>
      <c r="Y203" s="529" t="str">
        <f t="shared" si="14"/>
        <v>non pertinent / nicht relevant</v>
      </c>
      <c r="Z203" s="568" t="str">
        <f t="shared" si="15"/>
        <v>a</v>
      </c>
      <c r="AA203" s="327" t="str">
        <f t="shared" si="16"/>
        <v>non pertinent / nicht relevant</v>
      </c>
      <c r="AB203" s="327" t="str">
        <f t="shared" si="17"/>
        <v>Non affecté / nicht betroffen</v>
      </c>
      <c r="AC203" s="276" t="str">
        <f t="shared" si="18"/>
        <v>non pertinent / nicht relevant</v>
      </c>
      <c r="AD203" s="570" t="str">
        <f t="shared" si="19"/>
        <v>a</v>
      </c>
      <c r="AE203">
        <v>5</v>
      </c>
      <c r="AF203">
        <v>1</v>
      </c>
    </row>
    <row r="204" spans="1:33" ht="16.5" customHeight="1" x14ac:dyDescent="0.25">
      <c r="A204" s="926">
        <v>224</v>
      </c>
      <c r="B204" s="400" t="s">
        <v>151</v>
      </c>
      <c r="C204" s="400" t="s">
        <v>152</v>
      </c>
      <c r="D204" s="401" t="s">
        <v>92</v>
      </c>
      <c r="E204" s="522" t="str">
        <f>IF(VLOOKUP(A204,'Charriage - Geschiebehaushalt'!$A$4:$AC$275,17,FALSE)="","",VLOOKUP(A204,'Charriage - Geschiebehaushalt'!$A$4:$AC$275,17,FALSE))</f>
        <v>La remobilisation des sédiments est perturbée / Mobilisierung von Geschiebe beeinträchtigt</v>
      </c>
      <c r="F204" s="523" t="str">
        <f>IF(VLOOKUP(A204,'Charriage - Geschiebehaushalt'!$A$4:$AC$275,18,FALSE)="","",VLOOKUP(A204,'Charriage - Geschiebehaushalt'!$A$4:$AC$275,18,FALSE))</f>
        <v>b</v>
      </c>
      <c r="G204" s="524" t="str">
        <f>IF(VLOOKUP(A204,'Charriage - Geschiebehaushalt'!$A$4:$AC$275,22,FALSE)="","",VLOOKUP(A204,'Charriage - Geschiebehaushalt'!$A$4:$AC$275,22,FALSE))</f>
        <v>21-50%</v>
      </c>
      <c r="H204" s="523" t="str">
        <f>IF(VLOOKUP(A204,'Charriage - Geschiebehaushalt'!$A$4:$AC$275,23,FALSE)="","",VLOOKUP(A204,'Charriage - Geschiebehaushalt'!$A$4:$AC$275,23,FALSE))</f>
        <v>b</v>
      </c>
      <c r="I204" s="524" t="str">
        <f>IF(VLOOKUP(A204,'Charriage - Geschiebehaushalt'!$A$4:$AC$275,28,FALSE)="","",VLOOKUP(A204,'Charriage - Geschiebehaushalt'!$A$4:$AC$275,28,FALSE))</f>
        <v>21-50%</v>
      </c>
      <c r="J204" s="403" t="str">
        <f>IF(VLOOKUP(A204,'Charriage - Geschiebehaushalt'!$A$4:$AC$275,29,FALSE)="","",VLOOKUP(A204,'Charriage - Geschiebehaushalt'!$A$4:$AC$275,29,FALSE))</f>
        <v>b</v>
      </c>
      <c r="K204" s="533" t="str">
        <f>IF(VLOOKUP(A204,'Débit - Abfluss'!$A$4:$AD$275,8,FALSE)="","",VLOOKUP(A204,'Débit - Abfluss'!$A$4:$AD$275,8,FALSE))</f>
        <v>100%</v>
      </c>
      <c r="L204" s="468" t="str">
        <f>IF(VLOOKUP(A204,'Débit - Abfluss'!$A$4:$AD$275,10,FALSE)="","",VLOOKUP(A204,'Débit - Abfluss'!$A$4:$AD$275,10,FALSE))</f>
        <v>100%</v>
      </c>
      <c r="M204" s="333" t="str">
        <f>IF(VLOOKUP(A204,'Débit - Abfluss'!$A$4:$AD$275,17,FALSE)="","",VLOOKUP(A204,'Débit - Abfluss'!$A$4:$AD$275,17,FALSE))</f>
        <v>100%</v>
      </c>
      <c r="N204" s="340" t="str">
        <f>IF(VLOOKUP(A204,'Eclusée - Schwall-Sunk'!$A$2:$F$273,6,FALSE)="","",VLOOKUP(A204,'Eclusée - Schwall-Sunk'!$A$2:$F$273,6,FALSE))</f>
        <v>Non affecté / nicht betroffen</v>
      </c>
      <c r="O204" s="537"/>
      <c r="P204" s="538"/>
      <c r="Q204" s="284" t="str">
        <f>IF(VLOOKUP(A204,'Revitalisation-Revitalisierung'!$A$4:$Z$275,13,FALSE)="","",VLOOKUP(A204,'Revitalisation-Revitalisierung'!$A$4:$Z$275,13,FALSE))</f>
        <v>Très nécessaire, facile / unbedingt nötig, einfach</v>
      </c>
      <c r="R204" s="541" t="str">
        <f>IF(VLOOKUP(A204,'Revitalisation-Revitalisierung'!$A$4:$Z$275,14,FALSE)="","",VLOOKUP(A204,'Revitalisation-Revitalisierung'!$A$4:$Z$275,14,FALSE))</f>
        <v>a</v>
      </c>
      <c r="S204" s="542" t="str">
        <f>IF(VLOOKUP(A204,'Revitalisation-Revitalisierung'!$A$4:$Z$275,19,FALSE)="","",VLOOKUP(A204,'Revitalisation-Revitalisierung'!$A$4:$Z$275,19,FALSE))</f>
        <v>Partiellement nécessaire, facile / teilweise nötig, einfach</v>
      </c>
      <c r="T204" s="541" t="str">
        <f>IF(VLOOKUP(A204,'Revitalisation-Revitalisierung'!$A$4:$Z$275,20,FALSE)="","",VLOOKUP(A204,'Revitalisation-Revitalisierung'!$A$4:$Z$275,20,FALSE))</f>
        <v>e</v>
      </c>
      <c r="U204" s="542" t="str">
        <f>IF(VLOOKUP(A204,'Revitalisation-Revitalisierung'!$A$4:$Z$275,25,FALSE)="","",VLOOKUP(A204,'Revitalisation-Revitalisierung'!$A$4:$Z$275,25,FALSE))</f>
        <v>Partiellement nécessaire, facile / teilweise nötig, einfach</v>
      </c>
      <c r="V204" s="406" t="str">
        <f>IF(VLOOKUP(A204,'Revitalisation-Revitalisierung'!$A$4:$Z$275,26,FALSE)="","",VLOOKUP(A204,'Revitalisation-Revitalisierung'!$A$4:$Z$275,26,FALSE))</f>
        <v>e</v>
      </c>
      <c r="Y204" s="529" t="str">
        <f t="shared" si="14"/>
        <v>21-50%</v>
      </c>
      <c r="Z204" s="568" t="str">
        <f t="shared" si="15"/>
        <v>b</v>
      </c>
      <c r="AA204" s="327" t="str">
        <f t="shared" si="16"/>
        <v>100%</v>
      </c>
      <c r="AB204" s="327" t="str">
        <f t="shared" si="17"/>
        <v>Non affecté / nicht betroffen</v>
      </c>
      <c r="AC204" s="276" t="str">
        <f t="shared" si="18"/>
        <v>Partiellement nécessaire, facile / teilweise nötig, einfach</v>
      </c>
      <c r="AD204" s="570" t="str">
        <f t="shared" si="19"/>
        <v>e</v>
      </c>
      <c r="AE204">
        <v>2</v>
      </c>
      <c r="AF204">
        <v>1</v>
      </c>
    </row>
    <row r="205" spans="1:33" ht="16.5" customHeight="1" x14ac:dyDescent="0.25">
      <c r="A205" s="926">
        <v>225</v>
      </c>
      <c r="B205" s="400" t="s">
        <v>464</v>
      </c>
      <c r="C205" s="400" t="s">
        <v>465</v>
      </c>
      <c r="D205" s="401" t="s">
        <v>460</v>
      </c>
      <c r="E205" s="522" t="str">
        <f>IF(VLOOKUP(A205,'Charriage - Geschiebehaushalt'!$A$4:$AC$275,17,FALSE)="","",VLOOKUP(A205,'Charriage - Geschiebehaushalt'!$A$4:$AC$275,17,FALSE))</f>
        <v>La remobilisation des sédiments est perturbée / Mobilisierung von Geschiebe beeinträchtigt</v>
      </c>
      <c r="F205" s="523" t="str">
        <f>IF(VLOOKUP(A205,'Charriage - Geschiebehaushalt'!$A$4:$AC$275,18,FALSE)="","",VLOOKUP(A205,'Charriage - Geschiebehaushalt'!$A$4:$AC$275,18,FALSE))</f>
        <v>b</v>
      </c>
      <c r="G205" s="524" t="str">
        <f>IF(VLOOKUP(A205,'Charriage - Geschiebehaushalt'!$A$4:$AC$275,22,FALSE)="","",VLOOKUP(A205,'Charriage - Geschiebehaushalt'!$A$4:$AC$275,22,FALSE))</f>
        <v>21-50%</v>
      </c>
      <c r="H205" s="523" t="str">
        <f>IF(VLOOKUP(A205,'Charriage - Geschiebehaushalt'!$A$4:$AC$275,23,FALSE)="","",VLOOKUP(A205,'Charriage - Geschiebehaushalt'!$A$4:$AC$275,23,FALSE))</f>
        <v>d</v>
      </c>
      <c r="I205" s="524" t="str">
        <f>IF(VLOOKUP(A205,'Charriage - Geschiebehaushalt'!$A$4:$AC$275,28,FALSE)="","",VLOOKUP(A205,'Charriage - Geschiebehaushalt'!$A$4:$AC$275,28,FALSE))</f>
        <v>21-50%</v>
      </c>
      <c r="J205" s="403" t="str">
        <f>IF(VLOOKUP(A205,'Charriage - Geschiebehaushalt'!$A$4:$AC$275,29,FALSE)="","",VLOOKUP(A205,'Charriage - Geschiebehaushalt'!$A$4:$AC$275,29,FALSE))</f>
        <v>d</v>
      </c>
      <c r="K205" s="533" t="str">
        <f>IF(VLOOKUP(A205,'Débit - Abfluss'!$A$4:$AD$275,8,FALSE)="","",VLOOKUP(A205,'Débit - Abfluss'!$A$4:$AD$275,8,FALSE))</f>
        <v>81-100%</v>
      </c>
      <c r="L205" s="468" t="str">
        <f>IF(VLOOKUP(A205,'Débit - Abfluss'!$A$4:$AD$275,10,FALSE)="","",VLOOKUP(A205,'Débit - Abfluss'!$A$4:$AD$275,10,FALSE))</f>
        <v>81-100%</v>
      </c>
      <c r="M205" s="333" t="str">
        <f>IF(VLOOKUP(A205,'Débit - Abfluss'!$A$4:$AD$275,17,FALSE)="","",VLOOKUP(A205,'Débit - Abfluss'!$A$4:$AD$275,17,FALSE))</f>
        <v>61-80%</v>
      </c>
      <c r="N205" s="340" t="str">
        <f>IF(VLOOKUP(A205,'Eclusée - Schwall-Sunk'!$A$2:$F$273,6,FALSE)="","",VLOOKUP(A205,'Eclusée - Schwall-Sunk'!$A$2:$F$273,6,FALSE))</f>
        <v>Potentiellement affecté / möglicherweise betroffen</v>
      </c>
      <c r="O205" s="537"/>
      <c r="P205" s="538"/>
      <c r="Q205" s="284" t="str">
        <f>IF(VLOOKUP(A205,'Revitalisation-Revitalisierung'!$A$4:$Z$275,13,FALSE)="","",VLOOKUP(A205,'Revitalisation-Revitalisierung'!$A$4:$Z$275,13,FALSE))</f>
        <v>Très nécessaire, facile / unbedingt nötig, einfach</v>
      </c>
      <c r="R205" s="541" t="str">
        <f>IF(VLOOKUP(A205,'Revitalisation-Revitalisierung'!$A$4:$Z$275,14,FALSE)="","",VLOOKUP(A205,'Revitalisation-Revitalisierung'!$A$4:$Z$275,14,FALSE))</f>
        <v>b</v>
      </c>
      <c r="S205" s="542" t="str">
        <f>IF(VLOOKUP(A205,'Revitalisation-Revitalisierung'!$A$4:$Z$275,19,FALSE)="","",VLOOKUP(A205,'Revitalisation-Revitalisierung'!$A$4:$Z$275,19,FALSE))</f>
        <v>Très nécessaire, facile / unbedingt nötig, einfach</v>
      </c>
      <c r="T205" s="541" t="str">
        <f>IF(VLOOKUP(A205,'Revitalisation-Revitalisierung'!$A$4:$Z$275,20,FALSE)="","",VLOOKUP(A205,'Revitalisation-Revitalisierung'!$A$4:$Z$275,20,FALSE))</f>
        <v>d</v>
      </c>
      <c r="U205" s="542" t="str">
        <f>IF(VLOOKUP(A205,'Revitalisation-Revitalisierung'!$A$4:$Z$275,25,FALSE)="","",VLOOKUP(A205,'Revitalisation-Revitalisierung'!$A$4:$Z$275,25,FALSE))</f>
        <v>Très nécessaire, facile / unbedingt nötig, einfach</v>
      </c>
      <c r="V205" s="406" t="str">
        <f>IF(VLOOKUP(A205,'Revitalisation-Revitalisierung'!$A$4:$Z$275,26,FALSE)="","",VLOOKUP(A205,'Revitalisation-Revitalisierung'!$A$4:$Z$275,26,FALSE))</f>
        <v>d</v>
      </c>
      <c r="Y205" s="529" t="str">
        <f t="shared" si="14"/>
        <v>21-50%</v>
      </c>
      <c r="Z205" s="568" t="str">
        <f t="shared" si="15"/>
        <v>d</v>
      </c>
      <c r="AA205" s="327" t="str">
        <f t="shared" si="16"/>
        <v>61-80%</v>
      </c>
      <c r="AB205" s="327" t="str">
        <f t="shared" si="17"/>
        <v>Potentiellement affecté / möglicherweise betroffen</v>
      </c>
      <c r="AC205" s="276" t="str">
        <f t="shared" si="18"/>
        <v>Très nécessaire, facile / unbedingt nötig, einfach</v>
      </c>
      <c r="AD205" s="570" t="str">
        <f t="shared" si="19"/>
        <v>d</v>
      </c>
      <c r="AE205">
        <v>4</v>
      </c>
      <c r="AF205">
        <v>1</v>
      </c>
    </row>
    <row r="206" spans="1:33" ht="16.5" customHeight="1" x14ac:dyDescent="0.25">
      <c r="A206" s="926">
        <v>226</v>
      </c>
      <c r="B206" s="400" t="s">
        <v>609</v>
      </c>
      <c r="C206" s="400" t="s">
        <v>610</v>
      </c>
      <c r="D206" s="401" t="s">
        <v>573</v>
      </c>
      <c r="E206" s="522" t="str">
        <f>IF(VLOOKUP(A206,'Charriage - Geschiebehaushalt'!$A$4:$AC$275,17,FALSE)="","",VLOOKUP(A206,'Charriage - Geschiebehaushalt'!$A$4:$AC$275,17,FALSE))</f>
        <v>Charriage présumé naturel / Geschiebehaushalt vermutlich natürlich</v>
      </c>
      <c r="F206" s="523" t="str">
        <f>IF(VLOOKUP(A206,'Charriage - Geschiebehaushalt'!$A$4:$AC$275,18,FALSE)="","",VLOOKUP(A206,'Charriage - Geschiebehaushalt'!$A$4:$AC$275,18,FALSE))</f>
        <v>a</v>
      </c>
      <c r="G206" s="524" t="str">
        <f>IF(VLOOKUP(A206,'Charriage - Geschiebehaushalt'!$A$4:$AC$275,22,FALSE)="","",VLOOKUP(A206,'Charriage - Geschiebehaushalt'!$A$4:$AC$275,22,FALSE))</f>
        <v>0-20%</v>
      </c>
      <c r="H206" s="523" t="str">
        <f>IF(VLOOKUP(A206,'Charriage - Geschiebehaushalt'!$A$4:$AC$275,23,FALSE)="","",VLOOKUP(A206,'Charriage - Geschiebehaushalt'!$A$4:$AC$275,23,FALSE))</f>
        <v>d</v>
      </c>
      <c r="I206" s="524" t="str">
        <f>IF(VLOOKUP(A206,'Charriage - Geschiebehaushalt'!$A$4:$AC$275,28,FALSE)="","",VLOOKUP(A206,'Charriage - Geschiebehaushalt'!$A$4:$AC$275,28,FALSE))</f>
        <v>0-20%</v>
      </c>
      <c r="J206" s="403" t="str">
        <f>IF(VLOOKUP(A206,'Charriage - Geschiebehaushalt'!$A$4:$AC$275,29,FALSE)="","",VLOOKUP(A206,'Charriage - Geschiebehaushalt'!$A$4:$AC$275,29,FALSE))</f>
        <v>d</v>
      </c>
      <c r="K206" s="533" t="str">
        <f>IF(VLOOKUP(A206,'Débit - Abfluss'!$A$4:$AD$275,8,FALSE)="","",VLOOKUP(A206,'Débit - Abfluss'!$A$4:$AD$275,8,FALSE))</f>
        <v>41-60%</v>
      </c>
      <c r="L206" s="468" t="str">
        <f>IF(VLOOKUP(A206,'Débit - Abfluss'!$A$4:$AD$275,10,FALSE)="","",VLOOKUP(A206,'Débit - Abfluss'!$A$4:$AD$275,10,FALSE))</f>
        <v>41-60%</v>
      </c>
      <c r="M206" s="333" t="str">
        <f>IF(VLOOKUP(A206,'Débit - Abfluss'!$A$4:$AD$275,17,FALSE)="","",VLOOKUP(A206,'Débit - Abfluss'!$A$4:$AD$275,17,FALSE))</f>
        <v>21-40%</v>
      </c>
      <c r="N206" s="340" t="str">
        <f>IF(VLOOKUP(A206,'Eclusée - Schwall-Sunk'!$A$2:$F$273,6,FALSE)="","",VLOOKUP(A206,'Eclusée - Schwall-Sunk'!$A$2:$F$273,6,FALSE))</f>
        <v>Non affecté / nicht betroffen</v>
      </c>
      <c r="O206" s="537"/>
      <c r="P206" s="538"/>
      <c r="Q206" s="284" t="str">
        <f>IF(VLOOKUP(A206,'Revitalisation-Revitalisierung'!$A$4:$Z$275,13,FALSE)="","",VLOOKUP(A206,'Revitalisation-Revitalisierung'!$A$4:$Z$275,13,FALSE))</f>
        <v>Très nécessaire, facile / unbedingt nötig, einfach</v>
      </c>
      <c r="R206" s="541" t="str">
        <f>IF(VLOOKUP(A206,'Revitalisation-Revitalisierung'!$A$4:$Z$275,14,FALSE)="","",VLOOKUP(A206,'Revitalisation-Revitalisierung'!$A$4:$Z$275,14,FALSE))</f>
        <v>b</v>
      </c>
      <c r="S206" s="542" t="str">
        <f>IF(VLOOKUP(A206,'Revitalisation-Revitalisierung'!$A$4:$Z$275,19,FALSE)="","",VLOOKUP(A206,'Revitalisation-Revitalisierung'!$A$4:$Z$275,19,FALSE))</f>
        <v>Partiellement nécessaire, facile / teilweise nötig, einfach</v>
      </c>
      <c r="T206" s="541" t="str">
        <f>IF(VLOOKUP(A206,'Revitalisation-Revitalisierung'!$A$4:$Z$275,20,FALSE)="","",VLOOKUP(A206,'Revitalisation-Revitalisierung'!$A$4:$Z$275,20,FALSE))</f>
        <v>e</v>
      </c>
      <c r="U206" s="542" t="str">
        <f>IF(VLOOKUP(A206,'Revitalisation-Revitalisierung'!$A$4:$Z$275,25,FALSE)="","",VLOOKUP(A206,'Revitalisation-Revitalisierung'!$A$4:$Z$275,25,FALSE))</f>
        <v>Partiellement nécessaire, facile / teilweise nötig, einfach</v>
      </c>
      <c r="V206" s="406" t="str">
        <f>IF(VLOOKUP(A206,'Revitalisation-Revitalisierung'!$A$4:$Z$275,26,FALSE)="","",VLOOKUP(A206,'Revitalisation-Revitalisierung'!$A$4:$Z$275,26,FALSE))</f>
        <v>e</v>
      </c>
      <c r="Y206" s="529" t="str">
        <f t="shared" si="14"/>
        <v>0-20%</v>
      </c>
      <c r="Z206" s="568" t="str">
        <f t="shared" si="15"/>
        <v>d</v>
      </c>
      <c r="AA206" s="327" t="str">
        <f t="shared" si="16"/>
        <v>21-40%</v>
      </c>
      <c r="AB206" s="327" t="str">
        <f t="shared" si="17"/>
        <v>Non affecté / nicht betroffen</v>
      </c>
      <c r="AC206" s="276" t="str">
        <f t="shared" si="18"/>
        <v>Partiellement nécessaire, facile / teilweise nötig, einfach</v>
      </c>
      <c r="AD206" s="570" t="str">
        <f t="shared" si="19"/>
        <v>e</v>
      </c>
      <c r="AE206">
        <v>4</v>
      </c>
      <c r="AF206">
        <v>1</v>
      </c>
    </row>
    <row r="207" spans="1:33" ht="16.5" customHeight="1" x14ac:dyDescent="0.25">
      <c r="A207" s="926">
        <v>227</v>
      </c>
      <c r="B207" s="400" t="s">
        <v>513</v>
      </c>
      <c r="C207" s="400" t="s">
        <v>514</v>
      </c>
      <c r="D207" s="401" t="s">
        <v>482</v>
      </c>
      <c r="E207" s="522" t="str">
        <f>IF(VLOOKUP(A207,'Charriage - Geschiebehaushalt'!$A$4:$AC$275,17,FALSE)="","",VLOOKUP(A207,'Charriage - Geschiebehaushalt'!$A$4:$AC$275,17,FALSE))</f>
        <v>Charriage présumé perturbé / Geschiebehaushalt vermutlich beeinträchtigt</v>
      </c>
      <c r="F207" s="523" t="str">
        <f>IF(VLOOKUP(A207,'Charriage - Geschiebehaushalt'!$A$4:$AC$275,18,FALSE)="","",VLOOKUP(A207,'Charriage - Geschiebehaushalt'!$A$4:$AC$275,18,FALSE))</f>
        <v>b</v>
      </c>
      <c r="G207" s="524" t="str">
        <f>IF(VLOOKUP(A207,'Charriage - Geschiebehaushalt'!$A$4:$AC$275,22,FALSE)="","",VLOOKUP(A207,'Charriage - Geschiebehaushalt'!$A$4:$AC$275,22,FALSE))</f>
        <v>0-20%</v>
      </c>
      <c r="H207" s="523" t="str">
        <f>IF(VLOOKUP(A207,'Charriage - Geschiebehaushalt'!$A$4:$AC$275,23,FALSE)="","",VLOOKUP(A207,'Charriage - Geschiebehaushalt'!$A$4:$AC$275,23,FALSE))</f>
        <v>c</v>
      </c>
      <c r="I207" s="524" t="str">
        <f>IF(VLOOKUP(A207,'Charriage - Geschiebehaushalt'!$A$4:$AC$275,28,FALSE)="","",VLOOKUP(A207,'Charriage - Geschiebehaushalt'!$A$4:$AC$275,28,FALSE))</f>
        <v>0-20%</v>
      </c>
      <c r="J207" s="403" t="str">
        <f>IF(VLOOKUP(A207,'Charriage - Geschiebehaushalt'!$A$4:$AC$275,29,FALSE)="","",VLOOKUP(A207,'Charriage - Geschiebehaushalt'!$A$4:$AC$275,29,FALSE))</f>
        <v>c</v>
      </c>
      <c r="K207" s="533" t="str">
        <f>IF(VLOOKUP(A207,'Débit - Abfluss'!$A$4:$AD$275,8,FALSE)="","",VLOOKUP(A207,'Débit - Abfluss'!$A$4:$AD$275,8,FALSE))</f>
        <v>21-40%</v>
      </c>
      <c r="L207" s="468" t="str">
        <f>IF(VLOOKUP(A207,'Débit - Abfluss'!$A$4:$AD$275,10,FALSE)="","",VLOOKUP(A207,'Débit - Abfluss'!$A$4:$AD$275,10,FALSE))</f>
        <v>21-40%</v>
      </c>
      <c r="M207" s="333" t="str">
        <f>IF(VLOOKUP(A207,'Débit - Abfluss'!$A$4:$AD$275,17,FALSE)="","",VLOOKUP(A207,'Débit - Abfluss'!$A$4:$AD$275,17,FALSE))</f>
        <v>21-40%</v>
      </c>
      <c r="N207" s="340" t="str">
        <f>IF(VLOOKUP(A207,'Eclusée - Schwall-Sunk'!$A$2:$F$273,6,FALSE)="","",VLOOKUP(A207,'Eclusée - Schwall-Sunk'!$A$2:$F$273,6,FALSE))</f>
        <v>Non affecté / nicht betroffen</v>
      </c>
      <c r="O207" s="537"/>
      <c r="P207" s="538"/>
      <c r="Q207" s="284" t="str">
        <f>IF(VLOOKUP(A207,'Revitalisation-Revitalisierung'!$A$4:$Z$275,13,FALSE)="","",VLOOKUP(A207,'Revitalisation-Revitalisierung'!$A$4:$Z$275,13,FALSE))</f>
        <v>Non nécessaire / nicht nötig</v>
      </c>
      <c r="R207" s="541" t="str">
        <f>IF(VLOOKUP(A207,'Revitalisation-Revitalisierung'!$A$4:$Z$275,14,FALSE)="","",VLOOKUP(A207,'Revitalisation-Revitalisierung'!$A$4:$Z$275,14,FALSE))</f>
        <v>a</v>
      </c>
      <c r="S207" s="542" t="str">
        <f>IF(VLOOKUP(A207,'Revitalisation-Revitalisierung'!$A$4:$Z$275,19,FALSE)="","",VLOOKUP(A207,'Revitalisation-Revitalisierung'!$A$4:$Z$275,19,FALSE))</f>
        <v>Partiellement nécessaire, facile / teilweise nötig, einfach</v>
      </c>
      <c r="T207" s="541" t="str">
        <f>IF(VLOOKUP(A207,'Revitalisation-Revitalisierung'!$A$4:$Z$275,20,FALSE)="","",VLOOKUP(A207,'Revitalisation-Revitalisierung'!$A$4:$Z$275,20,FALSE))</f>
        <v>c</v>
      </c>
      <c r="U207" s="542" t="str">
        <f>IF(VLOOKUP(A207,'Revitalisation-Revitalisierung'!$A$4:$Z$275,25,FALSE)="","",VLOOKUP(A207,'Revitalisation-Revitalisierung'!$A$4:$Z$275,25,FALSE))</f>
        <v>Partiellement nécessaire, facile / teilweise nötig, einfach</v>
      </c>
      <c r="V207" s="406" t="str">
        <f>IF(VLOOKUP(A207,'Revitalisation-Revitalisierung'!$A$4:$Z$275,26,FALSE)="","",VLOOKUP(A207,'Revitalisation-Revitalisierung'!$A$4:$Z$275,26,FALSE))</f>
        <v>c</v>
      </c>
      <c r="Y207" s="529" t="str">
        <f t="shared" si="14"/>
        <v>0-20%</v>
      </c>
      <c r="Z207" s="568" t="str">
        <f t="shared" si="15"/>
        <v>c</v>
      </c>
      <c r="AA207" s="327" t="str">
        <f t="shared" si="16"/>
        <v>21-40%</v>
      </c>
      <c r="AB207" s="327" t="str">
        <f t="shared" si="17"/>
        <v>Non affecté / nicht betroffen</v>
      </c>
      <c r="AC207" s="276" t="str">
        <f t="shared" si="18"/>
        <v>Partiellement nécessaire, facile / teilweise nötig, einfach</v>
      </c>
      <c r="AD207" s="570" t="str">
        <f t="shared" si="19"/>
        <v>c</v>
      </c>
      <c r="AE207">
        <v>4</v>
      </c>
      <c r="AF207">
        <v>1</v>
      </c>
    </row>
    <row r="208" spans="1:33" ht="16.5" customHeight="1" x14ac:dyDescent="0.25">
      <c r="A208" s="926">
        <v>228</v>
      </c>
      <c r="B208" s="400" t="s">
        <v>518</v>
      </c>
      <c r="C208" s="400" t="s">
        <v>519</v>
      </c>
      <c r="D208" s="401" t="s">
        <v>482</v>
      </c>
      <c r="E208" s="522" t="str">
        <f>IF(VLOOKUP(A208,'Charriage - Geschiebehaushalt'!$A$4:$AC$275,17,FALSE)="","",VLOOKUP(A208,'Charriage - Geschiebehaushalt'!$A$4:$AC$275,17,FALSE))</f>
        <v>Déficit non apparent en charriage ou en remobilisation des sédiments / kein sichtbares Defizit beim Geschiebehaushalt bzw. bei der Mobilisierung von Geschiebe</v>
      </c>
      <c r="F208" s="523" t="str">
        <f>IF(VLOOKUP(A208,'Charriage - Geschiebehaushalt'!$A$4:$AC$275,18,FALSE)="","",VLOOKUP(A208,'Charriage - Geschiebehaushalt'!$A$4:$AC$275,18,FALSE))</f>
        <v>b</v>
      </c>
      <c r="G208" s="524" t="str">
        <f>IF(VLOOKUP(A208,'Charriage - Geschiebehaushalt'!$A$4:$AC$275,22,FALSE)="","",VLOOKUP(A208,'Charriage - Geschiebehaushalt'!$A$4:$AC$275,22,FALSE))</f>
        <v>0-20%</v>
      </c>
      <c r="H208" s="523" t="str">
        <f>IF(VLOOKUP(A208,'Charriage - Geschiebehaushalt'!$A$4:$AC$275,23,FALSE)="","",VLOOKUP(A208,'Charriage - Geschiebehaushalt'!$A$4:$AC$275,23,FALSE))</f>
        <v>d</v>
      </c>
      <c r="I208" s="524" t="str">
        <f>IF(VLOOKUP(A208,'Charriage - Geschiebehaushalt'!$A$4:$AC$275,28,FALSE)="","",VLOOKUP(A208,'Charriage - Geschiebehaushalt'!$A$4:$AC$275,28,FALSE))</f>
        <v>0-20%</v>
      </c>
      <c r="J208" s="403" t="str">
        <f>IF(VLOOKUP(A208,'Charriage - Geschiebehaushalt'!$A$4:$AC$275,29,FALSE)="","",VLOOKUP(A208,'Charriage - Geschiebehaushalt'!$A$4:$AC$275,29,FALSE))</f>
        <v>d</v>
      </c>
      <c r="K208" s="533" t="str">
        <f>IF(VLOOKUP(A208,'Débit - Abfluss'!$A$4:$AD$275,8,FALSE)="","",VLOOKUP(A208,'Débit - Abfluss'!$A$4:$AD$275,8,FALSE))</f>
        <v>21-40%</v>
      </c>
      <c r="L208" s="468" t="str">
        <f>IF(VLOOKUP(A208,'Débit - Abfluss'!$A$4:$AD$275,10,FALSE)="","",VLOOKUP(A208,'Débit - Abfluss'!$A$4:$AD$275,10,FALSE))</f>
        <v>21-40%</v>
      </c>
      <c r="M208" s="333" t="str">
        <f>IF(VLOOKUP(A208,'Débit - Abfluss'!$A$4:$AD$275,17,FALSE)="","",VLOOKUP(A208,'Débit - Abfluss'!$A$4:$AD$275,17,FALSE))</f>
        <v>81-100%</v>
      </c>
      <c r="N208" s="340" t="str">
        <f>IF(VLOOKUP(A208,'Eclusée - Schwall-Sunk'!$A$2:$F$273,6,FALSE)="","",VLOOKUP(A208,'Eclusée - Schwall-Sunk'!$A$2:$F$273,6,FALSE))</f>
        <v>Non affecté / nicht betroffen</v>
      </c>
      <c r="O208" s="537"/>
      <c r="P208" s="538"/>
      <c r="Q208" s="284" t="str">
        <f>IF(VLOOKUP(A208,'Revitalisation-Revitalisierung'!$A$4:$Z$275,13,FALSE)="","",VLOOKUP(A208,'Revitalisation-Revitalisierung'!$A$4:$Z$275,13,FALSE))</f>
        <v>Très nécessaire, facile / unbedingt nötig, einfach</v>
      </c>
      <c r="R208" s="541" t="str">
        <f>IF(VLOOKUP(A208,'Revitalisation-Revitalisierung'!$A$4:$Z$275,14,FALSE)="","",VLOOKUP(A208,'Revitalisation-Revitalisierung'!$A$4:$Z$275,14,FALSE))</f>
        <v>b</v>
      </c>
      <c r="S208" s="542" t="str">
        <f>IF(VLOOKUP(A208,'Revitalisation-Revitalisierung'!$A$4:$Z$275,19,FALSE)="","",VLOOKUP(A208,'Revitalisation-Revitalisierung'!$A$4:$Z$275,19,FALSE))</f>
        <v>Partiellement nécessaire, facile / teilweise nötig, einfach</v>
      </c>
      <c r="T208" s="541" t="str">
        <f>IF(VLOOKUP(A208,'Revitalisation-Revitalisierung'!$A$4:$Z$275,20,FALSE)="","",VLOOKUP(A208,'Revitalisation-Revitalisierung'!$A$4:$Z$275,20,FALSE))</f>
        <v>c</v>
      </c>
      <c r="U208" s="542" t="str">
        <f>IF(VLOOKUP(A208,'Revitalisation-Revitalisierung'!$A$4:$Z$275,25,FALSE)="","",VLOOKUP(A208,'Revitalisation-Revitalisierung'!$A$4:$Z$275,25,FALSE))</f>
        <v>Partiellement nécessaire, facile / teilweise nötig, einfach</v>
      </c>
      <c r="V208" s="406" t="str">
        <f>IF(VLOOKUP(A208,'Revitalisation-Revitalisierung'!$A$4:$Z$275,26,FALSE)="","",VLOOKUP(A208,'Revitalisation-Revitalisierung'!$A$4:$Z$275,26,FALSE))</f>
        <v>c</v>
      </c>
      <c r="Y208" s="529" t="str">
        <f t="shared" si="14"/>
        <v>0-20%</v>
      </c>
      <c r="Z208" s="568" t="str">
        <f t="shared" si="15"/>
        <v>d</v>
      </c>
      <c r="AA208" s="327" t="str">
        <f t="shared" si="16"/>
        <v>81-100%</v>
      </c>
      <c r="AB208" s="327" t="str">
        <f t="shared" si="17"/>
        <v>Non affecté / nicht betroffen</v>
      </c>
      <c r="AC208" s="276" t="str">
        <f t="shared" si="18"/>
        <v>Partiellement nécessaire, facile / teilweise nötig, einfach</v>
      </c>
      <c r="AD208" s="570" t="str">
        <f t="shared" si="19"/>
        <v>c</v>
      </c>
      <c r="AE208">
        <v>2</v>
      </c>
      <c r="AF208">
        <v>1</v>
      </c>
    </row>
    <row r="209" spans="1:33" ht="16.5" customHeight="1" x14ac:dyDescent="0.25">
      <c r="A209" s="928">
        <v>229</v>
      </c>
      <c r="B209" s="400" t="s">
        <v>520</v>
      </c>
      <c r="C209" s="400" t="s">
        <v>521</v>
      </c>
      <c r="D209" s="401" t="s">
        <v>482</v>
      </c>
      <c r="E209" s="522" t="str">
        <f>IF(VLOOKUP(A209,'Charriage - Geschiebehaushalt'!$A$4:$AC$275,17,FALSE)="","",VLOOKUP(A209,'Charriage - Geschiebehaushalt'!$A$4:$AC$275,17,FALSE))</f>
        <v>Charriage présumé naturel / Geschiebehaushalt vermutlich natürlich</v>
      </c>
      <c r="F209" s="523" t="str">
        <f>IF(VLOOKUP(A209,'Charriage - Geschiebehaushalt'!$A$4:$AC$275,18,FALSE)="","",VLOOKUP(A209,'Charriage - Geschiebehaushalt'!$A$4:$AC$275,18,FALSE))</f>
        <v>b</v>
      </c>
      <c r="G209" s="524" t="str">
        <f>IF(VLOOKUP(A209,'Charriage - Geschiebehaushalt'!$A$4:$AC$275,22,FALSE)="","",VLOOKUP(A209,'Charriage - Geschiebehaushalt'!$A$4:$AC$275,22,FALSE))</f>
        <v>0-20%</v>
      </c>
      <c r="H209" s="523" t="str">
        <f>IF(VLOOKUP(A209,'Charriage - Geschiebehaushalt'!$A$4:$AC$275,23,FALSE)="","",VLOOKUP(A209,'Charriage - Geschiebehaushalt'!$A$4:$AC$275,23,FALSE))</f>
        <v>b</v>
      </c>
      <c r="I209" s="524" t="str">
        <f>IF(VLOOKUP(A209,'Charriage - Geschiebehaushalt'!$A$4:$AC$275,28,FALSE)="","",VLOOKUP(A209,'Charriage - Geschiebehaushalt'!$A$4:$AC$275,28,FALSE))</f>
        <v>0-20%</v>
      </c>
      <c r="J209" s="403" t="str">
        <f>IF(VLOOKUP(A209,'Charriage - Geschiebehaushalt'!$A$4:$AC$275,29,FALSE)="","",VLOOKUP(A209,'Charriage - Geschiebehaushalt'!$A$4:$AC$275,29,FALSE))</f>
        <v>b</v>
      </c>
      <c r="K209" s="533" t="str">
        <f>IF(VLOOKUP(A209,'Débit - Abfluss'!$A$4:$AD$275,8,FALSE)="","",VLOOKUP(A209,'Débit - Abfluss'!$A$4:$AD$275,8,FALSE))</f>
        <v>100%</v>
      </c>
      <c r="L209" s="468" t="str">
        <f>IF(VLOOKUP(A209,'Débit - Abfluss'!$A$4:$AD$275,10,FALSE)="","",VLOOKUP(A209,'Débit - Abfluss'!$A$4:$AD$275,10,FALSE))</f>
        <v>100%</v>
      </c>
      <c r="M209" s="333" t="str">
        <f>IF(VLOOKUP(A209,'Débit - Abfluss'!$A$4:$AD$275,17,FALSE)="","",VLOOKUP(A209,'Débit - Abfluss'!$A$4:$AD$275,17,FALSE))</f>
        <v>100%</v>
      </c>
      <c r="N209" s="340" t="str">
        <f>IF(VLOOKUP(A209,'Eclusée - Schwall-Sunk'!$A$2:$F$273,6,FALSE)="","",VLOOKUP(A209,'Eclusée - Schwall-Sunk'!$A$2:$F$273,6,FALSE))</f>
        <v>Non affecté / nicht betroffen</v>
      </c>
      <c r="O209" s="537"/>
      <c r="P209" s="538"/>
      <c r="Q209" s="284" t="str">
        <f>IF(VLOOKUP(A209,'Revitalisation-Revitalisierung'!$A$4:$Z$275,13,FALSE)="","",VLOOKUP(A209,'Revitalisation-Revitalisierung'!$A$4:$Z$275,13,FALSE))</f>
        <v>Non nécessaire / nicht nötig</v>
      </c>
      <c r="R209" s="541" t="str">
        <f>IF(VLOOKUP(A209,'Revitalisation-Revitalisierung'!$A$4:$Z$275,14,FALSE)="","",VLOOKUP(A209,'Revitalisation-Revitalisierung'!$A$4:$Z$275,14,FALSE))</f>
        <v>a</v>
      </c>
      <c r="S209" s="542" t="str">
        <f>IF(VLOOKUP(A209,'Revitalisation-Revitalisierung'!$A$4:$Z$275,19,FALSE)="","",VLOOKUP(A209,'Revitalisation-Revitalisierung'!$A$4:$Z$275,19,FALSE))</f>
        <v>Non nécessaire / nicht nötig</v>
      </c>
      <c r="T209" s="541" t="str">
        <f>IF(VLOOKUP(A209,'Revitalisation-Revitalisierung'!$A$4:$Z$275,20,FALSE)="","",VLOOKUP(A209,'Revitalisation-Revitalisierung'!$A$4:$Z$275,20,FALSE))</f>
        <v>d</v>
      </c>
      <c r="U209" s="542" t="str">
        <f>IF(VLOOKUP(A209,'Revitalisation-Revitalisierung'!$A$4:$Z$275,25,FALSE)="","",VLOOKUP(A209,'Revitalisation-Revitalisierung'!$A$4:$Z$275,25,FALSE))</f>
        <v>Non nécessaire / nicht nötig</v>
      </c>
      <c r="V209" s="406" t="str">
        <f>IF(VLOOKUP(A209,'Revitalisation-Revitalisierung'!$A$4:$Z$275,26,FALSE)="","",VLOOKUP(A209,'Revitalisation-Revitalisierung'!$A$4:$Z$275,26,FALSE))</f>
        <v>d</v>
      </c>
      <c r="Y209" s="529" t="str">
        <f t="shared" si="14"/>
        <v>0-20%</v>
      </c>
      <c r="Z209" s="568" t="str">
        <f t="shared" si="15"/>
        <v>b</v>
      </c>
      <c r="AA209" s="327" t="str">
        <f t="shared" si="16"/>
        <v>100%</v>
      </c>
      <c r="AB209" s="327" t="str">
        <f t="shared" si="17"/>
        <v>Non affecté / nicht betroffen</v>
      </c>
      <c r="AC209" s="276" t="str">
        <f t="shared" si="18"/>
        <v>Non nécessaire / nicht nötig</v>
      </c>
      <c r="AD209" s="570" t="str">
        <f t="shared" si="19"/>
        <v>d</v>
      </c>
      <c r="AE209">
        <v>1</v>
      </c>
      <c r="AF209">
        <v>1</v>
      </c>
      <c r="AG209">
        <v>1</v>
      </c>
    </row>
    <row r="210" spans="1:33" ht="16.5" customHeight="1" x14ac:dyDescent="0.25">
      <c r="A210" s="928">
        <v>301</v>
      </c>
      <c r="B210" s="400" t="s">
        <v>612</v>
      </c>
      <c r="C210" s="400" t="s">
        <v>254</v>
      </c>
      <c r="D210" s="401" t="s">
        <v>573</v>
      </c>
      <c r="E210" s="522" t="str">
        <f>IF(VLOOKUP(A210,'Charriage - Geschiebehaushalt'!$A$4:$AC$275,17,FALSE)="","",VLOOKUP(A210,'Charriage - Geschiebehaushalt'!$A$4:$AC$275,17,FALSE))</f>
        <v>Charriage présumé naturel / Geschiebehaushalt vermutlich natürlich</v>
      </c>
      <c r="F210" s="523" t="str">
        <f>IF(VLOOKUP(A210,'Charriage - Geschiebehaushalt'!$A$4:$AC$275,18,FALSE)="","",VLOOKUP(A210,'Charriage - Geschiebehaushalt'!$A$4:$AC$275,18,FALSE))</f>
        <v>b</v>
      </c>
      <c r="G210" s="524" t="str">
        <f>IF(VLOOKUP(A210,'Charriage - Geschiebehaushalt'!$A$4:$AC$275,22,FALSE)="","",VLOOKUP(A210,'Charriage - Geschiebehaushalt'!$A$4:$AC$275,22,FALSE))</f>
        <v>0-20%</v>
      </c>
      <c r="H210" s="523" t="str">
        <f>IF(VLOOKUP(A210,'Charriage - Geschiebehaushalt'!$A$4:$AC$275,23,FALSE)="","",VLOOKUP(A210,'Charriage - Geschiebehaushalt'!$A$4:$AC$275,23,FALSE))</f>
        <v>b</v>
      </c>
      <c r="I210" s="524" t="str">
        <f>IF(VLOOKUP(A210,'Charriage - Geschiebehaushalt'!$A$4:$AC$275,28,FALSE)="","",VLOOKUP(A210,'Charriage - Geschiebehaushalt'!$A$4:$AC$275,28,FALSE))</f>
        <v>0-20%</v>
      </c>
      <c r="J210" s="403" t="str">
        <f>IF(VLOOKUP(A210,'Charriage - Geschiebehaushalt'!$A$4:$AC$275,29,FALSE)="","",VLOOKUP(A210,'Charriage - Geschiebehaushalt'!$A$4:$AC$275,29,FALSE))</f>
        <v>b</v>
      </c>
      <c r="K210" s="533" t="str">
        <f>IF(VLOOKUP(A210,'Débit - Abfluss'!$A$4:$AD$275,8,FALSE)="","",VLOOKUP(A210,'Débit - Abfluss'!$A$4:$AD$275,8,FALSE))</f>
        <v>100%</v>
      </c>
      <c r="L210" s="468" t="str">
        <f>IF(VLOOKUP(A210,'Débit - Abfluss'!$A$4:$AD$275,10,FALSE)="","",VLOOKUP(A210,'Débit - Abfluss'!$A$4:$AD$275,10,FALSE))</f>
        <v>100%</v>
      </c>
      <c r="M210" s="333" t="str">
        <f>IF(VLOOKUP(A210,'Débit - Abfluss'!$A$4:$AD$275,17,FALSE)="","",VLOOKUP(A210,'Débit - Abfluss'!$A$4:$AD$275,17,FALSE))</f>
        <v>100%</v>
      </c>
      <c r="N210" s="340" t="str">
        <f>IF(VLOOKUP(A210,'Eclusée - Schwall-Sunk'!$A$2:$F$273,6,FALSE)="","",VLOOKUP(A210,'Eclusée - Schwall-Sunk'!$A$2:$F$273,6,FALSE))</f>
        <v>Non affecté / nicht betroffen</v>
      </c>
      <c r="O210" s="537"/>
      <c r="P210" s="538"/>
      <c r="Q210" s="284" t="str">
        <f>IF(VLOOKUP(A210,'Revitalisation-Revitalisierung'!$A$4:$Z$275,13,FALSE)="","",VLOOKUP(A210,'Revitalisation-Revitalisierung'!$A$4:$Z$275,13,FALSE))</f>
        <v>Non nécessaire / nicht nötig</v>
      </c>
      <c r="R210" s="541" t="str">
        <f>IF(VLOOKUP(A210,'Revitalisation-Revitalisierung'!$A$4:$Z$275,14,FALSE)="","",VLOOKUP(A210,'Revitalisation-Revitalisierung'!$A$4:$Z$275,14,FALSE))</f>
        <v>a</v>
      </c>
      <c r="S210" s="542" t="str">
        <f>IF(VLOOKUP(A210,'Revitalisation-Revitalisierung'!$A$4:$Z$275,19,FALSE)="","",VLOOKUP(A210,'Revitalisation-Revitalisierung'!$A$4:$Z$275,19,FALSE))</f>
        <v>Non nécessaire / nicht nötig</v>
      </c>
      <c r="T210" s="541" t="str">
        <f>IF(VLOOKUP(A210,'Revitalisation-Revitalisierung'!$A$4:$Z$275,20,FALSE)="","",VLOOKUP(A210,'Revitalisation-Revitalisierung'!$A$4:$Z$275,20,FALSE))</f>
        <v>d</v>
      </c>
      <c r="U210" s="542" t="str">
        <f>IF(VLOOKUP(A210,'Revitalisation-Revitalisierung'!$A$4:$Z$275,25,FALSE)="","",VLOOKUP(A210,'Revitalisation-Revitalisierung'!$A$4:$Z$275,25,FALSE))</f>
        <v>Non nécessaire / nicht nötig</v>
      </c>
      <c r="V210" s="406" t="str">
        <f>IF(VLOOKUP(A210,'Revitalisation-Revitalisierung'!$A$4:$Z$275,26,FALSE)="","",VLOOKUP(A210,'Revitalisation-Revitalisierung'!$A$4:$Z$275,26,FALSE))</f>
        <v>d</v>
      </c>
      <c r="Y210" s="529" t="str">
        <f t="shared" si="14"/>
        <v>0-20%</v>
      </c>
      <c r="Z210" s="568" t="str">
        <f t="shared" si="15"/>
        <v>b</v>
      </c>
      <c r="AA210" s="327" t="str">
        <f t="shared" si="16"/>
        <v>100%</v>
      </c>
      <c r="AB210" s="327" t="str">
        <f t="shared" si="17"/>
        <v>Non affecté / nicht betroffen</v>
      </c>
      <c r="AC210" s="276" t="str">
        <f t="shared" si="18"/>
        <v>Non nécessaire / nicht nötig</v>
      </c>
      <c r="AD210" s="570" t="str">
        <f t="shared" si="19"/>
        <v>d</v>
      </c>
      <c r="AE210">
        <v>1</v>
      </c>
      <c r="AF210">
        <v>1</v>
      </c>
      <c r="AG210">
        <v>1</v>
      </c>
    </row>
    <row r="211" spans="1:33" ht="16.5" customHeight="1" x14ac:dyDescent="0.25">
      <c r="A211" s="1233">
        <v>302</v>
      </c>
      <c r="B211" s="409" t="s">
        <v>613</v>
      </c>
      <c r="C211" s="410" t="s">
        <v>589</v>
      </c>
      <c r="D211" s="411" t="s">
        <v>573</v>
      </c>
      <c r="E211" s="522" t="str">
        <f>IF(VLOOKUP(A211,'Charriage - Geschiebehaushalt'!$A$4:$AC$275,17,FALSE)="","",VLOOKUP(A211,'Charriage - Geschiebehaushalt'!$A$4:$AC$275,17,FALSE))</f>
        <v>Charriage présumé naturel / Geschiebehaushalt vermutlich natürlich</v>
      </c>
      <c r="F211" s="523" t="str">
        <f>IF(VLOOKUP(A211,'Charriage - Geschiebehaushalt'!$A$4:$AC$275,18,FALSE)="","",VLOOKUP(A211,'Charriage - Geschiebehaushalt'!$A$4:$AC$275,18,FALSE))</f>
        <v>b</v>
      </c>
      <c r="G211" s="524" t="str">
        <f>IF(VLOOKUP(A211,'Charriage - Geschiebehaushalt'!$A$4:$AC$275,22,FALSE)="","",VLOOKUP(A211,'Charriage - Geschiebehaushalt'!$A$4:$AC$275,22,FALSE))</f>
        <v>0-20%</v>
      </c>
      <c r="H211" s="523" t="str">
        <f>IF(VLOOKUP(A211,'Charriage - Geschiebehaushalt'!$A$4:$AC$275,23,FALSE)="","",VLOOKUP(A211,'Charriage - Geschiebehaushalt'!$A$4:$AC$275,23,FALSE))</f>
        <v>d</v>
      </c>
      <c r="I211" s="524" t="str">
        <f>IF(VLOOKUP(A211,'Charriage - Geschiebehaushalt'!$A$4:$AC$275,28,FALSE)="","",VLOOKUP(A211,'Charriage - Geschiebehaushalt'!$A$4:$AC$275,28,FALSE))</f>
        <v>0-20%</v>
      </c>
      <c r="J211" s="403" t="str">
        <f>IF(VLOOKUP(A211,'Charriage - Geschiebehaushalt'!$A$4:$AC$275,29,FALSE)="","",VLOOKUP(A211,'Charriage - Geschiebehaushalt'!$A$4:$AC$275,29,FALSE))</f>
        <v>d</v>
      </c>
      <c r="K211" s="533" t="str">
        <f>IF(VLOOKUP(A211,'Débit - Abfluss'!$A$4:$AD$275,8,FALSE)="","",VLOOKUP(A211,'Débit - Abfluss'!$A$4:$AD$275,8,FALSE))</f>
        <v>81-100%</v>
      </c>
      <c r="L211" s="468" t="str">
        <f>IF(VLOOKUP(A211,'Débit - Abfluss'!$A$4:$AD$275,10,FALSE)="","",VLOOKUP(A211,'Débit - Abfluss'!$A$4:$AD$275,10,FALSE))</f>
        <v>81-100%</v>
      </c>
      <c r="M211" s="333" t="str">
        <f>IF(VLOOKUP(A211,'Débit - Abfluss'!$A$4:$AD$275,17,FALSE)="","",VLOOKUP(A211,'Débit - Abfluss'!$A$4:$AD$275,17,FALSE))</f>
        <v>81-100%</v>
      </c>
      <c r="N211" s="340" t="str">
        <f>IF(VLOOKUP(A211,'Eclusée - Schwall-Sunk'!$A$2:$F$273,6,FALSE)="","",VLOOKUP(A211,'Eclusée - Schwall-Sunk'!$A$2:$F$273,6,FALSE))</f>
        <v>Non affecté / nicht betroffen</v>
      </c>
      <c r="O211" s="537"/>
      <c r="P211" s="538"/>
      <c r="Q211" s="284" t="str">
        <f>IF(VLOOKUP(A211,'Revitalisation-Revitalisierung'!$A$4:$Z$275,13,FALSE)="","",VLOOKUP(A211,'Revitalisation-Revitalisierung'!$A$4:$Z$275,13,FALSE))</f>
        <v>Partiellement nécessaire, facile / teilweise nötig, einfach</v>
      </c>
      <c r="R211" s="541" t="str">
        <f>IF(VLOOKUP(A211,'Revitalisation-Revitalisierung'!$A$4:$Z$275,14,FALSE)="","",VLOOKUP(A211,'Revitalisation-Revitalisierung'!$A$4:$Z$275,14,FALSE))</f>
        <v>a</v>
      </c>
      <c r="S211" s="542" t="str">
        <f>IF(VLOOKUP(A211,'Revitalisation-Revitalisierung'!$A$4:$Z$275,19,FALSE)="","",VLOOKUP(A211,'Revitalisation-Revitalisierung'!$A$4:$Z$275,19,FALSE))</f>
        <v>Partiellement nécessaire, facile / teilweise nötig, einfach</v>
      </c>
      <c r="T211" s="541" t="str">
        <f>IF(VLOOKUP(A211,'Revitalisation-Revitalisierung'!$A$4:$Z$275,20,FALSE)="","",VLOOKUP(A211,'Revitalisation-Revitalisierung'!$A$4:$Z$275,20,FALSE))</f>
        <v>d</v>
      </c>
      <c r="U211" s="542" t="str">
        <f>IF(VLOOKUP(A211,'Revitalisation-Revitalisierung'!$A$4:$Z$275,25,FALSE)="","",VLOOKUP(A211,'Revitalisation-Revitalisierung'!$A$4:$Z$275,25,FALSE))</f>
        <v>Partiellement nécessaire, facile / teilweise nötig, einfach</v>
      </c>
      <c r="V211" s="406" t="str">
        <f>IF(VLOOKUP(A211,'Revitalisation-Revitalisierung'!$A$4:$Z$275,26,FALSE)="","",VLOOKUP(A211,'Revitalisation-Revitalisierung'!$A$4:$Z$275,26,FALSE))</f>
        <v>d</v>
      </c>
      <c r="Y211" s="529" t="str">
        <f t="shared" si="14"/>
        <v>0-20%</v>
      </c>
      <c r="Z211" s="568" t="str">
        <f t="shared" si="15"/>
        <v>d</v>
      </c>
      <c r="AA211" s="327" t="str">
        <f t="shared" si="16"/>
        <v>81-100%</v>
      </c>
      <c r="AB211" s="327" t="str">
        <f t="shared" si="17"/>
        <v>Non affecté / nicht betroffen</v>
      </c>
      <c r="AC211" s="276" t="str">
        <f t="shared" si="18"/>
        <v>Partiellement nécessaire, facile / teilweise nötig, einfach</v>
      </c>
      <c r="AD211" s="570" t="str">
        <f t="shared" si="19"/>
        <v>d</v>
      </c>
      <c r="AE211">
        <v>2</v>
      </c>
      <c r="AF211">
        <v>1</v>
      </c>
    </row>
    <row r="212" spans="1:33" ht="16.5" customHeight="1" x14ac:dyDescent="0.25">
      <c r="A212" s="928">
        <v>303</v>
      </c>
      <c r="B212" s="400" t="s">
        <v>615</v>
      </c>
      <c r="C212" s="400" t="s">
        <v>616</v>
      </c>
      <c r="D212" s="401" t="s">
        <v>573</v>
      </c>
      <c r="E212" s="522" t="str">
        <f>IF(VLOOKUP(A212,'Charriage - Geschiebehaushalt'!$A$4:$AC$275,17,FALSE)="","",VLOOKUP(A212,'Charriage - Geschiebehaushalt'!$A$4:$AC$275,17,FALSE))</f>
        <v>Charriage présumé naturel / Geschiebehaushalt vermutlich natürlich</v>
      </c>
      <c r="F212" s="523" t="str">
        <f>IF(VLOOKUP(A212,'Charriage - Geschiebehaushalt'!$A$4:$AC$275,18,FALSE)="","",VLOOKUP(A212,'Charriage - Geschiebehaushalt'!$A$4:$AC$275,18,FALSE))</f>
        <v>a</v>
      </c>
      <c r="G212" s="524" t="str">
        <f>IF(VLOOKUP(A212,'Charriage - Geschiebehaushalt'!$A$4:$AC$275,22,FALSE)="","",VLOOKUP(A212,'Charriage - Geschiebehaushalt'!$A$4:$AC$275,22,FALSE))</f>
        <v>0-20%</v>
      </c>
      <c r="H212" s="523" t="str">
        <f>IF(VLOOKUP(A212,'Charriage - Geschiebehaushalt'!$A$4:$AC$275,23,FALSE)="","",VLOOKUP(A212,'Charriage - Geschiebehaushalt'!$A$4:$AC$275,23,FALSE))</f>
        <v>d</v>
      </c>
      <c r="I212" s="524" t="str">
        <f>IF(VLOOKUP(A212,'Charriage - Geschiebehaushalt'!$A$4:$AC$275,28,FALSE)="","",VLOOKUP(A212,'Charriage - Geschiebehaushalt'!$A$4:$AC$275,28,FALSE))</f>
        <v>0-20%</v>
      </c>
      <c r="J212" s="403" t="str">
        <f>IF(VLOOKUP(A212,'Charriage - Geschiebehaushalt'!$A$4:$AC$275,29,FALSE)="","",VLOOKUP(A212,'Charriage - Geschiebehaushalt'!$A$4:$AC$275,29,FALSE))</f>
        <v>d</v>
      </c>
      <c r="K212" s="533" t="str">
        <f>IF(VLOOKUP(A212,'Débit - Abfluss'!$A$4:$AD$275,8,FALSE)="","",VLOOKUP(A212,'Débit - Abfluss'!$A$4:$AD$275,8,FALSE))</f>
        <v>100%</v>
      </c>
      <c r="L212" s="468" t="str">
        <f>IF(VLOOKUP(A212,'Débit - Abfluss'!$A$4:$AD$275,10,FALSE)="","",VLOOKUP(A212,'Débit - Abfluss'!$A$4:$AD$275,10,FALSE))</f>
        <v>100%</v>
      </c>
      <c r="M212" s="333" t="str">
        <f>IF(VLOOKUP(A212,'Débit - Abfluss'!$A$4:$AD$275,17,FALSE)="","",VLOOKUP(A212,'Débit - Abfluss'!$A$4:$AD$275,17,FALSE))</f>
        <v>100%</v>
      </c>
      <c r="N212" s="340" t="str">
        <f>IF(VLOOKUP(A212,'Eclusée - Schwall-Sunk'!$A$2:$F$273,6,FALSE)="","",VLOOKUP(A212,'Eclusée - Schwall-Sunk'!$A$2:$F$273,6,FALSE))</f>
        <v>Non affecté / nicht betroffen</v>
      </c>
      <c r="O212" s="537"/>
      <c r="P212" s="538"/>
      <c r="Q212" s="284" t="str">
        <f>IF(VLOOKUP(A212,'Revitalisation-Revitalisierung'!$A$4:$Z$275,13,FALSE)="","",VLOOKUP(A212,'Revitalisation-Revitalisierung'!$A$4:$Z$275,13,FALSE))</f>
        <v>Très nécessaire, facile / unbedingt nötig, einfach</v>
      </c>
      <c r="R212" s="541" t="str">
        <f>IF(VLOOKUP(A212,'Revitalisation-Revitalisierung'!$A$4:$Z$275,14,FALSE)="","",VLOOKUP(A212,'Revitalisation-Revitalisierung'!$A$4:$Z$275,14,FALSE))</f>
        <v>b</v>
      </c>
      <c r="S212" s="542" t="str">
        <f>IF(VLOOKUP(A212,'Revitalisation-Revitalisierung'!$A$4:$Z$275,19,FALSE)="","",VLOOKUP(A212,'Revitalisation-Revitalisierung'!$A$4:$Z$275,19,FALSE))</f>
        <v>Très nécessaire, facile / unbedingt nötig, einfach</v>
      </c>
      <c r="T212" s="541" t="str">
        <f>IF(VLOOKUP(A212,'Revitalisation-Revitalisierung'!$A$4:$Z$275,20,FALSE)="","",VLOOKUP(A212,'Revitalisation-Revitalisierung'!$A$4:$Z$275,20,FALSE))</f>
        <v>d</v>
      </c>
      <c r="U212" s="542" t="str">
        <f>IF(VLOOKUP(A212,'Revitalisation-Revitalisierung'!$A$4:$Z$275,25,FALSE)="","",VLOOKUP(A212,'Revitalisation-Revitalisierung'!$A$4:$Z$275,25,FALSE))</f>
        <v>Très nécessaire, facile / unbedingt nötig, einfach</v>
      </c>
      <c r="V212" s="406" t="str">
        <f>IF(VLOOKUP(A212,'Revitalisation-Revitalisierung'!$A$4:$Z$275,26,FALSE)="","",VLOOKUP(A212,'Revitalisation-Revitalisierung'!$A$4:$Z$275,26,FALSE))</f>
        <v>d</v>
      </c>
      <c r="Y212" s="529" t="str">
        <f t="shared" si="14"/>
        <v>0-20%</v>
      </c>
      <c r="Z212" s="568" t="str">
        <f t="shared" si="15"/>
        <v>d</v>
      </c>
      <c r="AA212" s="327" t="str">
        <f t="shared" si="16"/>
        <v>100%</v>
      </c>
      <c r="AB212" s="327" t="str">
        <f t="shared" si="17"/>
        <v>Non affecté / nicht betroffen</v>
      </c>
      <c r="AC212" s="276" t="str">
        <f t="shared" si="18"/>
        <v>Très nécessaire, facile / unbedingt nötig, einfach</v>
      </c>
      <c r="AD212" s="570" t="str">
        <f t="shared" si="19"/>
        <v>d</v>
      </c>
      <c r="AE212">
        <v>2</v>
      </c>
      <c r="AF212">
        <v>1</v>
      </c>
    </row>
    <row r="213" spans="1:33" ht="16.5" customHeight="1" x14ac:dyDescent="0.25">
      <c r="A213" s="928">
        <v>304</v>
      </c>
      <c r="B213" s="400" t="s">
        <v>620</v>
      </c>
      <c r="C213" s="400" t="s">
        <v>621</v>
      </c>
      <c r="D213" s="401" t="s">
        <v>573</v>
      </c>
      <c r="E213" s="522" t="str">
        <f>IF(VLOOKUP(A213,'Charriage - Geschiebehaushalt'!$A$4:$AC$275,17,FALSE)="","",VLOOKUP(A213,'Charriage - Geschiebehaushalt'!$A$4:$AC$275,17,FALSE))</f>
        <v>Déficit non apparent en charriage ou en remobilisation des sédiments / kein sichtbares Defizit beim Geschiebehaushalt bzw. bei der Mobilisierung von Geschiebe</v>
      </c>
      <c r="F213" s="523" t="str">
        <f>IF(VLOOKUP(A213,'Charriage - Geschiebehaushalt'!$A$4:$AC$275,18,FALSE)="","",VLOOKUP(A213,'Charriage - Geschiebehaushalt'!$A$4:$AC$275,18,FALSE))</f>
        <v>b</v>
      </c>
      <c r="G213" s="524" t="str">
        <f>IF(VLOOKUP(A213,'Charriage - Geschiebehaushalt'!$A$4:$AC$275,22,FALSE)="","",VLOOKUP(A213,'Charriage - Geschiebehaushalt'!$A$4:$AC$275,22,FALSE))</f>
        <v>0-20%</v>
      </c>
      <c r="H213" s="523" t="str">
        <f>IF(VLOOKUP(A213,'Charriage - Geschiebehaushalt'!$A$4:$AC$275,23,FALSE)="","",VLOOKUP(A213,'Charriage - Geschiebehaushalt'!$A$4:$AC$275,23,FALSE))</f>
        <v>d</v>
      </c>
      <c r="I213" s="524" t="str">
        <f>IF(VLOOKUP(A213,'Charriage - Geschiebehaushalt'!$A$4:$AC$275,28,FALSE)="","",VLOOKUP(A213,'Charriage - Geschiebehaushalt'!$A$4:$AC$275,28,FALSE))</f>
        <v>0-20%</v>
      </c>
      <c r="J213" s="403" t="str">
        <f>IF(VLOOKUP(A213,'Charriage - Geschiebehaushalt'!$A$4:$AC$275,29,FALSE)="","",VLOOKUP(A213,'Charriage - Geschiebehaushalt'!$A$4:$AC$275,29,FALSE))</f>
        <v>d</v>
      </c>
      <c r="K213" s="533" t="str">
        <f>IF(VLOOKUP(A213,'Débit - Abfluss'!$A$4:$AD$275,8,FALSE)="","",VLOOKUP(A213,'Débit - Abfluss'!$A$4:$AD$275,8,FALSE))</f>
        <v>100%</v>
      </c>
      <c r="L213" s="468" t="str">
        <f>IF(VLOOKUP(A213,'Débit - Abfluss'!$A$4:$AD$275,10,FALSE)="","",VLOOKUP(A213,'Débit - Abfluss'!$A$4:$AD$275,10,FALSE))</f>
        <v>100%</v>
      </c>
      <c r="M213" s="333" t="str">
        <f>IF(VLOOKUP(A213,'Débit - Abfluss'!$A$4:$AD$275,17,FALSE)="","",VLOOKUP(A213,'Débit - Abfluss'!$A$4:$AD$275,17,FALSE))</f>
        <v>100%</v>
      </c>
      <c r="N213" s="340" t="str">
        <f>IF(VLOOKUP(A213,'Eclusée - Schwall-Sunk'!$A$2:$F$273,6,FALSE)="","",VLOOKUP(A213,'Eclusée - Schwall-Sunk'!$A$2:$F$273,6,FALSE))</f>
        <v>Non affecté / nicht betroffen</v>
      </c>
      <c r="O213" s="537"/>
      <c r="P213" s="538"/>
      <c r="Q213" s="284" t="str">
        <f>IF(VLOOKUP(A213,'Revitalisation-Revitalisierung'!$A$4:$Z$275,13,FALSE)="","",VLOOKUP(A213,'Revitalisation-Revitalisierung'!$A$4:$Z$275,13,FALSE))</f>
        <v>Très nécessaire, facile / unbedingt nötig, einfach</v>
      </c>
      <c r="R213" s="541" t="str">
        <f>IF(VLOOKUP(A213,'Revitalisation-Revitalisierung'!$A$4:$Z$275,14,FALSE)="","",VLOOKUP(A213,'Revitalisation-Revitalisierung'!$A$4:$Z$275,14,FALSE))</f>
        <v>a</v>
      </c>
      <c r="S213" s="542" t="str">
        <f>IF(VLOOKUP(A213,'Revitalisation-Revitalisierung'!$A$4:$Z$275,19,FALSE)="","",VLOOKUP(A213,'Revitalisation-Revitalisierung'!$A$4:$Z$275,19,FALSE))</f>
        <v>Très nécessaire, facile / unbedingt nötig, einfach</v>
      </c>
      <c r="T213" s="541" t="str">
        <f>IF(VLOOKUP(A213,'Revitalisation-Revitalisierung'!$A$4:$Z$275,20,FALSE)="","",VLOOKUP(A213,'Revitalisation-Revitalisierung'!$A$4:$Z$275,20,FALSE))</f>
        <v>d</v>
      </c>
      <c r="U213" s="542" t="str">
        <f>IF(VLOOKUP(A213,'Revitalisation-Revitalisierung'!$A$4:$Z$275,25,FALSE)="","",VLOOKUP(A213,'Revitalisation-Revitalisierung'!$A$4:$Z$275,25,FALSE))</f>
        <v>Très nécessaire, facile / unbedingt nötig, einfach</v>
      </c>
      <c r="V213" s="406" t="str">
        <f>IF(VLOOKUP(A213,'Revitalisation-Revitalisierung'!$A$4:$Z$275,26,FALSE)="","",VLOOKUP(A213,'Revitalisation-Revitalisierung'!$A$4:$Z$275,26,FALSE))</f>
        <v>d</v>
      </c>
      <c r="Y213" s="529" t="str">
        <f t="shared" si="14"/>
        <v>0-20%</v>
      </c>
      <c r="Z213" s="568" t="str">
        <f t="shared" si="15"/>
        <v>d</v>
      </c>
      <c r="AA213" s="327" t="str">
        <f t="shared" si="16"/>
        <v>100%</v>
      </c>
      <c r="AB213" s="327" t="str">
        <f t="shared" si="17"/>
        <v>Non affecté / nicht betroffen</v>
      </c>
      <c r="AC213" s="276" t="str">
        <f t="shared" si="18"/>
        <v>Très nécessaire, facile / unbedingt nötig, einfach</v>
      </c>
      <c r="AD213" s="570" t="str">
        <f t="shared" si="19"/>
        <v>d</v>
      </c>
      <c r="AE213">
        <v>2</v>
      </c>
      <c r="AF213">
        <v>1</v>
      </c>
    </row>
    <row r="214" spans="1:33" ht="16.5" customHeight="1" x14ac:dyDescent="0.25">
      <c r="A214" s="928">
        <v>305</v>
      </c>
      <c r="B214" s="400" t="s">
        <v>622</v>
      </c>
      <c r="C214" s="400" t="s">
        <v>623</v>
      </c>
      <c r="D214" s="401" t="s">
        <v>573</v>
      </c>
      <c r="E214" s="522" t="str">
        <f>IF(VLOOKUP(A214,'Charriage - Geschiebehaushalt'!$A$4:$AC$275,17,FALSE)="","",VLOOKUP(A214,'Charriage - Geschiebehaushalt'!$A$4:$AC$275,17,FALSE))</f>
        <v>Charriage présumé naturel / Geschiebehaushalt vermutlich natürlich</v>
      </c>
      <c r="F214" s="523" t="str">
        <f>IF(VLOOKUP(A214,'Charriage - Geschiebehaushalt'!$A$4:$AC$275,18,FALSE)="","",VLOOKUP(A214,'Charriage - Geschiebehaushalt'!$A$4:$AC$275,18,FALSE))</f>
        <v>b</v>
      </c>
      <c r="G214" s="524" t="str">
        <f>IF(VLOOKUP(A214,'Charriage - Geschiebehaushalt'!$A$4:$AC$275,22,FALSE)="","",VLOOKUP(A214,'Charriage - Geschiebehaushalt'!$A$4:$AC$275,22,FALSE))</f>
        <v>0-20%</v>
      </c>
      <c r="H214" s="523" t="str">
        <f>IF(VLOOKUP(A214,'Charriage - Geschiebehaushalt'!$A$4:$AC$275,23,FALSE)="","",VLOOKUP(A214,'Charriage - Geschiebehaushalt'!$A$4:$AC$275,23,FALSE))</f>
        <v>b</v>
      </c>
      <c r="I214" s="524" t="str">
        <f>IF(VLOOKUP(A214,'Charriage - Geschiebehaushalt'!$A$4:$AC$275,28,FALSE)="","",VLOOKUP(A214,'Charriage - Geschiebehaushalt'!$A$4:$AC$275,28,FALSE))</f>
        <v>0-20%</v>
      </c>
      <c r="J214" s="403" t="str">
        <f>IF(VLOOKUP(A214,'Charriage - Geschiebehaushalt'!$A$4:$AC$275,29,FALSE)="","",VLOOKUP(A214,'Charriage - Geschiebehaushalt'!$A$4:$AC$275,29,FALSE))</f>
        <v>b</v>
      </c>
      <c r="K214" s="533" t="str">
        <f>IF(VLOOKUP(A214,'Débit - Abfluss'!$A$4:$AD$275,8,FALSE)="","",VLOOKUP(A214,'Débit - Abfluss'!$A$4:$AD$275,8,FALSE))</f>
        <v>100%</v>
      </c>
      <c r="L214" s="468" t="str">
        <f>IF(VLOOKUP(A214,'Débit - Abfluss'!$A$4:$AD$275,10,FALSE)="","",VLOOKUP(A214,'Débit - Abfluss'!$A$4:$AD$275,10,FALSE))</f>
        <v>100%</v>
      </c>
      <c r="M214" s="333" t="str">
        <f>IF(VLOOKUP(A214,'Débit - Abfluss'!$A$4:$AD$275,17,FALSE)="","",VLOOKUP(A214,'Débit - Abfluss'!$A$4:$AD$275,17,FALSE))</f>
        <v>100%</v>
      </c>
      <c r="N214" s="340" t="str">
        <f>IF(VLOOKUP(A214,'Eclusée - Schwall-Sunk'!$A$2:$F$273,6,FALSE)="","",VLOOKUP(A214,'Eclusée - Schwall-Sunk'!$A$2:$F$273,6,FALSE))</f>
        <v>Non affecté / nicht betroffen</v>
      </c>
      <c r="O214" s="537"/>
      <c r="P214" s="538"/>
      <c r="Q214" s="284" t="str">
        <f>IF(VLOOKUP(A214,'Revitalisation-Revitalisierung'!$A$4:$Z$275,13,FALSE)="","",VLOOKUP(A214,'Revitalisation-Revitalisierung'!$A$4:$Z$275,13,FALSE))</f>
        <v>Non nécessaire / nicht nötig</v>
      </c>
      <c r="R214" s="541" t="str">
        <f>IF(VLOOKUP(A214,'Revitalisation-Revitalisierung'!$A$4:$Z$275,14,FALSE)="","",VLOOKUP(A214,'Revitalisation-Revitalisierung'!$A$4:$Z$275,14,FALSE))</f>
        <v>b</v>
      </c>
      <c r="S214" s="542" t="str">
        <f>IF(VLOOKUP(A214,'Revitalisation-Revitalisierung'!$A$4:$Z$275,19,FALSE)="","",VLOOKUP(A214,'Revitalisation-Revitalisierung'!$A$4:$Z$275,19,FALSE))</f>
        <v>Non nécessaire / nicht nötig</v>
      </c>
      <c r="T214" s="541" t="str">
        <f>IF(VLOOKUP(A214,'Revitalisation-Revitalisierung'!$A$4:$Z$275,20,FALSE)="","",VLOOKUP(A214,'Revitalisation-Revitalisierung'!$A$4:$Z$275,20,FALSE))</f>
        <v>d</v>
      </c>
      <c r="U214" s="542" t="str">
        <f>IF(VLOOKUP(A214,'Revitalisation-Revitalisierung'!$A$4:$Z$275,25,FALSE)="","",VLOOKUP(A214,'Revitalisation-Revitalisierung'!$A$4:$Z$275,25,FALSE))</f>
        <v>Non nécessaire / nicht nötig</v>
      </c>
      <c r="V214" s="406" t="str">
        <f>IF(VLOOKUP(A214,'Revitalisation-Revitalisierung'!$A$4:$Z$275,26,FALSE)="","",VLOOKUP(A214,'Revitalisation-Revitalisierung'!$A$4:$Z$275,26,FALSE))</f>
        <v>d</v>
      </c>
      <c r="Y214" s="529" t="str">
        <f t="shared" si="14"/>
        <v>0-20%</v>
      </c>
      <c r="Z214" s="568" t="str">
        <f t="shared" si="15"/>
        <v>b</v>
      </c>
      <c r="AA214" s="327" t="str">
        <f t="shared" si="16"/>
        <v>100%</v>
      </c>
      <c r="AB214" s="327" t="str">
        <f t="shared" si="17"/>
        <v>Non affecté / nicht betroffen</v>
      </c>
      <c r="AC214" s="276" t="str">
        <f t="shared" si="18"/>
        <v>Non nécessaire / nicht nötig</v>
      </c>
      <c r="AD214" s="570" t="str">
        <f t="shared" si="19"/>
        <v>d</v>
      </c>
      <c r="AE214">
        <v>1</v>
      </c>
      <c r="AF214">
        <v>1</v>
      </c>
      <c r="AG214">
        <v>1</v>
      </c>
    </row>
    <row r="215" spans="1:33" ht="16.5" customHeight="1" x14ac:dyDescent="0.25">
      <c r="A215" s="1233">
        <v>306</v>
      </c>
      <c r="B215" s="409" t="s">
        <v>394</v>
      </c>
      <c r="C215" s="410" t="s">
        <v>217</v>
      </c>
      <c r="D215" s="411" t="s">
        <v>393</v>
      </c>
      <c r="E215" s="522" t="str">
        <f>IF(VLOOKUP(A215,'Charriage - Geschiebehaushalt'!$A$4:$AC$275,17,FALSE)="","",VLOOKUP(A215,'Charriage - Geschiebehaushalt'!$A$4:$AC$275,17,FALSE))</f>
        <v>non pertinent / nicht relevant</v>
      </c>
      <c r="F215" s="523" t="str">
        <f>IF(VLOOKUP(A215,'Charriage - Geschiebehaushalt'!$A$4:$AC$275,18,FALSE)="","",VLOOKUP(A215,'Charriage - Geschiebehaushalt'!$A$4:$AC$275,18,FALSE))</f>
        <v>a</v>
      </c>
      <c r="G215" s="524" t="str">
        <f>IF(VLOOKUP(A215,'Charriage - Geschiebehaushalt'!$A$4:$AC$275,22,FALSE)="","",VLOOKUP(A215,'Charriage - Geschiebehaushalt'!$A$4:$AC$275,22,FALSE))</f>
        <v>non pertinent / nicht relevant</v>
      </c>
      <c r="H215" s="523" t="str">
        <f>IF(VLOOKUP(A215,'Charriage - Geschiebehaushalt'!$A$4:$AC$275,23,FALSE)="","",VLOOKUP(A215,'Charriage - Geschiebehaushalt'!$A$4:$AC$275,23,FALSE))</f>
        <v>a</v>
      </c>
      <c r="I215" s="524" t="str">
        <f>IF(VLOOKUP(A215,'Charriage - Geschiebehaushalt'!$A$4:$AC$275,28,FALSE)="","",VLOOKUP(A215,'Charriage - Geschiebehaushalt'!$A$4:$AC$275,28,FALSE))</f>
        <v>non pertinent / nicht relevant</v>
      </c>
      <c r="J215" s="403" t="str">
        <f>IF(VLOOKUP(A215,'Charriage - Geschiebehaushalt'!$A$4:$AC$275,29,FALSE)="","",VLOOKUP(A215,'Charriage - Geschiebehaushalt'!$A$4:$AC$275,29,FALSE))</f>
        <v>a</v>
      </c>
      <c r="K215" s="533" t="str">
        <f>IF(VLOOKUP(A215,'Débit - Abfluss'!$A$4:$AD$275,8,FALSE)="","",VLOOKUP(A215,'Débit - Abfluss'!$A$4:$AD$275,8,FALSE))</f>
        <v>non pertinent / nicht relevant</v>
      </c>
      <c r="L215" s="468" t="str">
        <f>IF(VLOOKUP(A215,'Débit - Abfluss'!$A$4:$AD$275,10,FALSE)="","",VLOOKUP(A215,'Débit - Abfluss'!$A$4:$AD$275,10,FALSE))</f>
        <v>non pertinent / nicht relevant</v>
      </c>
      <c r="M215" s="333" t="str">
        <f>IF(VLOOKUP(A215,'Débit - Abfluss'!$A$4:$AD$275,17,FALSE)="","",VLOOKUP(A215,'Débit - Abfluss'!$A$4:$AD$275,17,FALSE))</f>
        <v>non pertinent / nicht relevant</v>
      </c>
      <c r="N215" s="340" t="str">
        <f>IF(VLOOKUP(A215,'Eclusée - Schwall-Sunk'!$A$2:$F$273,6,FALSE)="","",VLOOKUP(A215,'Eclusée - Schwall-Sunk'!$A$2:$F$273,6,FALSE))</f>
        <v>Non affecté / nicht betroffen</v>
      </c>
      <c r="O215" s="537"/>
      <c r="P215" s="538"/>
      <c r="Q215" s="284" t="str">
        <f>IF(VLOOKUP(A215,'Revitalisation-Revitalisierung'!$A$4:$Z$275,13,FALSE)="","",VLOOKUP(A215,'Revitalisation-Revitalisierung'!$A$4:$Z$275,13,FALSE))</f>
        <v>non pertinent / nicht relevant</v>
      </c>
      <c r="R215" s="541" t="str">
        <f>IF(VLOOKUP(A215,'Revitalisation-Revitalisierung'!$A$4:$Z$275,14,FALSE)="","",VLOOKUP(A215,'Revitalisation-Revitalisierung'!$A$4:$Z$275,14,FALSE))</f>
        <v>a</v>
      </c>
      <c r="S215" s="542" t="str">
        <f>IF(VLOOKUP(A215,'Revitalisation-Revitalisierung'!$A$4:$Z$275,19,FALSE)="","",VLOOKUP(A215,'Revitalisation-Revitalisierung'!$A$4:$Z$275,19,FALSE))</f>
        <v>non pertinent / nicht relevant</v>
      </c>
      <c r="T215" s="541" t="str">
        <f>IF(VLOOKUP(A215,'Revitalisation-Revitalisierung'!$A$4:$Z$275,20,FALSE)="","",VLOOKUP(A215,'Revitalisation-Revitalisierung'!$A$4:$Z$275,20,FALSE))</f>
        <v>a</v>
      </c>
      <c r="U215" s="542" t="str">
        <f>IF(VLOOKUP(A215,'Revitalisation-Revitalisierung'!$A$4:$Z$275,25,FALSE)="","",VLOOKUP(A215,'Revitalisation-Revitalisierung'!$A$4:$Z$275,25,FALSE))</f>
        <v>non pertinent / nicht relevant</v>
      </c>
      <c r="V215" s="406" t="str">
        <f>IF(VLOOKUP(A215,'Revitalisation-Revitalisierung'!$A$4:$Z$275,26,FALSE)="","",VLOOKUP(A215,'Revitalisation-Revitalisierung'!$A$4:$Z$275,26,FALSE))</f>
        <v>a</v>
      </c>
      <c r="Y215" s="529" t="str">
        <f t="shared" si="14"/>
        <v>non pertinent / nicht relevant</v>
      </c>
      <c r="Z215" s="568" t="str">
        <f t="shared" si="15"/>
        <v>a</v>
      </c>
      <c r="AA215" s="327" t="str">
        <f t="shared" si="16"/>
        <v>non pertinent / nicht relevant</v>
      </c>
      <c r="AB215" s="327" t="str">
        <f t="shared" si="17"/>
        <v>Non affecté / nicht betroffen</v>
      </c>
      <c r="AC215" s="276" t="str">
        <f t="shared" si="18"/>
        <v>non pertinent / nicht relevant</v>
      </c>
      <c r="AD215" s="570" t="str">
        <f t="shared" si="19"/>
        <v>a</v>
      </c>
      <c r="AE215">
        <v>5</v>
      </c>
      <c r="AF215">
        <v>1</v>
      </c>
      <c r="AG215">
        <v>1</v>
      </c>
    </row>
    <row r="216" spans="1:33" ht="16.5" customHeight="1" x14ac:dyDescent="0.25">
      <c r="A216" s="928">
        <v>307</v>
      </c>
      <c r="B216" s="400" t="s">
        <v>221</v>
      </c>
      <c r="C216" s="400" t="s">
        <v>222</v>
      </c>
      <c r="D216" s="401" t="s">
        <v>197</v>
      </c>
      <c r="E216" s="522" t="str">
        <f>IF(VLOOKUP(A216,'Charriage - Geschiebehaushalt'!$A$4:$AC$275,17,FALSE)="","",VLOOKUP(A216,'Charriage - Geschiebehaushalt'!$A$4:$AC$275,17,FALSE))</f>
        <v>non pertinent / nicht relevant</v>
      </c>
      <c r="F216" s="523" t="str">
        <f>IF(VLOOKUP(A216,'Charriage - Geschiebehaushalt'!$A$4:$AC$275,18,FALSE)="","",VLOOKUP(A216,'Charriage - Geschiebehaushalt'!$A$4:$AC$275,18,FALSE))</f>
        <v>a</v>
      </c>
      <c r="G216" s="524" t="str">
        <f>IF(VLOOKUP(A216,'Charriage - Geschiebehaushalt'!$A$4:$AC$275,22,FALSE)="","",VLOOKUP(A216,'Charriage - Geschiebehaushalt'!$A$4:$AC$275,22,FALSE))</f>
        <v>non pertinent / nicht relevant</v>
      </c>
      <c r="H216" s="523" t="str">
        <f>IF(VLOOKUP(A216,'Charriage - Geschiebehaushalt'!$A$4:$AC$275,23,FALSE)="","",VLOOKUP(A216,'Charriage - Geschiebehaushalt'!$A$4:$AC$275,23,FALSE))</f>
        <v>a</v>
      </c>
      <c r="I216" s="524" t="str">
        <f>IF(VLOOKUP(A216,'Charriage - Geschiebehaushalt'!$A$4:$AC$275,28,FALSE)="","",VLOOKUP(A216,'Charriage - Geschiebehaushalt'!$A$4:$AC$275,28,FALSE))</f>
        <v>non pertinent / nicht relevant</v>
      </c>
      <c r="J216" s="403" t="str">
        <f>IF(VLOOKUP(A216,'Charriage - Geschiebehaushalt'!$A$4:$AC$275,29,FALSE)="","",VLOOKUP(A216,'Charriage - Geschiebehaushalt'!$A$4:$AC$275,29,FALSE))</f>
        <v>a</v>
      </c>
      <c r="K216" s="533" t="str">
        <f>IF(VLOOKUP(A216,'Débit - Abfluss'!$A$4:$AD$275,8,FALSE)="","",VLOOKUP(A216,'Débit - Abfluss'!$A$4:$AD$275,8,FALSE))</f>
        <v>non pertinent / nicht relevant</v>
      </c>
      <c r="L216" s="468" t="str">
        <f>IF(VLOOKUP(A216,'Débit - Abfluss'!$A$4:$AD$275,10,FALSE)="","",VLOOKUP(A216,'Débit - Abfluss'!$A$4:$AD$275,10,FALSE))</f>
        <v>non pertinent / nicht relevant</v>
      </c>
      <c r="M216" s="333" t="str">
        <f>IF(VLOOKUP(A216,'Débit - Abfluss'!$A$4:$AD$275,17,FALSE)="","",VLOOKUP(A216,'Débit - Abfluss'!$A$4:$AD$275,17,FALSE))</f>
        <v>non pertinent / nicht relevant</v>
      </c>
      <c r="N216" s="340" t="str">
        <f>IF(VLOOKUP(A216,'Eclusée - Schwall-Sunk'!$A$2:$F$273,6,FALSE)="","",VLOOKUP(A216,'Eclusée - Schwall-Sunk'!$A$2:$F$273,6,FALSE))</f>
        <v>Non affecté / nicht betroffen</v>
      </c>
      <c r="O216" s="537"/>
      <c r="P216" s="538"/>
      <c r="Q216" s="284" t="str">
        <f>IF(VLOOKUP(A216,'Revitalisation-Revitalisierung'!$A$4:$Z$275,13,FALSE)="","",VLOOKUP(A216,'Revitalisation-Revitalisierung'!$A$4:$Z$275,13,FALSE))</f>
        <v>Non nécessaire / nicht nötig</v>
      </c>
      <c r="R216" s="541" t="str">
        <f>IF(VLOOKUP(A216,'Revitalisation-Revitalisierung'!$A$4:$Z$275,14,FALSE)="","",VLOOKUP(A216,'Revitalisation-Revitalisierung'!$A$4:$Z$275,14,FALSE))</f>
        <v>a</v>
      </c>
      <c r="S216" s="542" t="str">
        <f>IF(VLOOKUP(A216,'Revitalisation-Revitalisierung'!$A$4:$Z$275,19,FALSE)="","",VLOOKUP(A216,'Revitalisation-Revitalisierung'!$A$4:$Z$275,19,FALSE))</f>
        <v>Non nécessaire / nicht nötig</v>
      </c>
      <c r="T216" s="541" t="str">
        <f>IF(VLOOKUP(A216,'Revitalisation-Revitalisierung'!$A$4:$Z$275,20,FALSE)="","",VLOOKUP(A216,'Revitalisation-Revitalisierung'!$A$4:$Z$275,20,FALSE))</f>
        <v>a</v>
      </c>
      <c r="U216" s="542" t="str">
        <f>IF(VLOOKUP(A216,'Revitalisation-Revitalisierung'!$A$4:$Z$275,25,FALSE)="","",VLOOKUP(A216,'Revitalisation-Revitalisierung'!$A$4:$Z$275,25,FALSE))</f>
        <v>Non nécessaire / nicht nötig</v>
      </c>
      <c r="V216" s="406" t="str">
        <f>IF(VLOOKUP(A216,'Revitalisation-Revitalisierung'!$A$4:$Z$275,26,FALSE)="","",VLOOKUP(A216,'Revitalisation-Revitalisierung'!$A$4:$Z$275,26,FALSE))</f>
        <v>a</v>
      </c>
      <c r="Y216" s="529" t="str">
        <f t="shared" si="14"/>
        <v>non pertinent / nicht relevant</v>
      </c>
      <c r="Z216" s="568" t="str">
        <f t="shared" si="15"/>
        <v>a</v>
      </c>
      <c r="AA216" s="327" t="str">
        <f t="shared" si="16"/>
        <v>non pertinent / nicht relevant</v>
      </c>
      <c r="AB216" s="327" t="str">
        <f t="shared" si="17"/>
        <v>Non affecté / nicht betroffen</v>
      </c>
      <c r="AC216" s="276" t="str">
        <f t="shared" si="18"/>
        <v>Non nécessaire / nicht nötig</v>
      </c>
      <c r="AD216" s="570" t="str">
        <f t="shared" si="19"/>
        <v>a</v>
      </c>
      <c r="AE216">
        <v>5</v>
      </c>
      <c r="AF216">
        <v>1</v>
      </c>
      <c r="AG216">
        <v>1</v>
      </c>
    </row>
    <row r="217" spans="1:33" ht="16.5" customHeight="1" x14ac:dyDescent="0.25">
      <c r="A217" s="928">
        <v>310</v>
      </c>
      <c r="B217" s="400" t="s">
        <v>223</v>
      </c>
      <c r="C217" s="400" t="s">
        <v>224</v>
      </c>
      <c r="D217" s="401" t="s">
        <v>197</v>
      </c>
      <c r="E217" s="522" t="str">
        <f>IF(VLOOKUP(A217,'Charriage - Geschiebehaushalt'!$A$4:$AC$275,17,FALSE)="","",VLOOKUP(A217,'Charriage - Geschiebehaushalt'!$A$4:$AC$275,17,FALSE))</f>
        <v>Charriage présumé perturbé / Geschiebehaushalt vermutlich beeinträchtigt</v>
      </c>
      <c r="F217" s="523" t="str">
        <f>IF(VLOOKUP(A217,'Charriage - Geschiebehaushalt'!$A$4:$AC$275,18,FALSE)="","",VLOOKUP(A217,'Charriage - Geschiebehaushalt'!$A$4:$AC$275,18,FALSE))</f>
        <v>a</v>
      </c>
      <c r="G217" s="524" t="str">
        <f>IF(VLOOKUP(A217,'Charriage - Geschiebehaushalt'!$A$4:$AC$275,22,FALSE)="","",VLOOKUP(A217,'Charriage - Geschiebehaushalt'!$A$4:$AC$275,22,FALSE))</f>
        <v>51-80%</v>
      </c>
      <c r="H217" s="523" t="str">
        <f>IF(VLOOKUP(A217,'Charriage - Geschiebehaushalt'!$A$4:$AC$275,23,FALSE)="","",VLOOKUP(A217,'Charriage - Geschiebehaushalt'!$A$4:$AC$275,23,FALSE))</f>
        <v>d</v>
      </c>
      <c r="I217" s="524" t="str">
        <f>IF(VLOOKUP(A217,'Charriage - Geschiebehaushalt'!$A$4:$AC$275,28,FALSE)="","",VLOOKUP(A217,'Charriage - Geschiebehaushalt'!$A$4:$AC$275,28,FALSE))</f>
        <v>51-80%</v>
      </c>
      <c r="J217" s="403" t="str">
        <f>IF(VLOOKUP(A217,'Charriage - Geschiebehaushalt'!$A$4:$AC$275,29,FALSE)="","",VLOOKUP(A217,'Charriage - Geschiebehaushalt'!$A$4:$AC$275,29,FALSE))</f>
        <v>d</v>
      </c>
      <c r="K217" s="533" t="str">
        <f>IF(VLOOKUP(A217,'Débit - Abfluss'!$A$4:$AD$275,8,FALSE)="","",VLOOKUP(A217,'Débit - Abfluss'!$A$4:$AD$275,8,FALSE))</f>
        <v>non pertinent / nicht relevant</v>
      </c>
      <c r="L217" s="468" t="str">
        <f>IF(VLOOKUP(A217,'Débit - Abfluss'!$A$4:$AD$275,10,FALSE)="","",VLOOKUP(A217,'Débit - Abfluss'!$A$4:$AD$275,10,FALSE))</f>
        <v>non pertinent / nicht relevant</v>
      </c>
      <c r="M217" s="333" t="str">
        <f>IF(VLOOKUP(A217,'Débit - Abfluss'!$A$4:$AD$275,17,FALSE)="","",VLOOKUP(A217,'Débit - Abfluss'!$A$4:$AD$275,17,FALSE))</f>
        <v>non pertinent / nicht relevant</v>
      </c>
      <c r="N217" s="340" t="str">
        <f>IF(VLOOKUP(A217,'Eclusée - Schwall-Sunk'!$A$2:$F$273,6,FALSE)="","",VLOOKUP(A217,'Eclusée - Schwall-Sunk'!$A$2:$F$273,6,FALSE))</f>
        <v>Non affecté / nicht betroffen</v>
      </c>
      <c r="O217" s="537"/>
      <c r="P217" s="538"/>
      <c r="Q217" s="284" t="str">
        <f>IF(VLOOKUP(A217,'Revitalisation-Revitalisierung'!$A$4:$Z$275,13,FALSE)="","",VLOOKUP(A217,'Revitalisation-Revitalisierung'!$A$4:$Z$275,13,FALSE))</f>
        <v>Très nécessaire, difficile / unbedingt nötig, schwierig</v>
      </c>
      <c r="R217" s="541" t="str">
        <f>IF(VLOOKUP(A217,'Revitalisation-Revitalisierung'!$A$4:$Z$275,14,FALSE)="","",VLOOKUP(A217,'Revitalisation-Revitalisierung'!$A$4:$Z$275,14,FALSE))</f>
        <v>b</v>
      </c>
      <c r="S217" s="542" t="str">
        <f>IF(VLOOKUP(A217,'Revitalisation-Revitalisierung'!$A$4:$Z$275,19,FALSE)="","",VLOOKUP(A217,'Revitalisation-Revitalisierung'!$A$4:$Z$275,19,FALSE))</f>
        <v>Non nécessaire / nicht nötig</v>
      </c>
      <c r="T217" s="541" t="str">
        <f>IF(VLOOKUP(A217,'Revitalisation-Revitalisierung'!$A$4:$Z$275,20,FALSE)="","",VLOOKUP(A217,'Revitalisation-Revitalisierung'!$A$4:$Z$275,20,FALSE))</f>
        <v>c</v>
      </c>
      <c r="U217" s="542" t="str">
        <f>IF(VLOOKUP(A217,'Revitalisation-Revitalisierung'!$A$4:$Z$275,25,FALSE)="","",VLOOKUP(A217,'Revitalisation-Revitalisierung'!$A$4:$Z$275,25,FALSE))</f>
        <v>Non nécessaire / nicht nötig</v>
      </c>
      <c r="V217" s="406" t="str">
        <f>IF(VLOOKUP(A217,'Revitalisation-Revitalisierung'!$A$4:$Z$275,26,FALSE)="","",VLOOKUP(A217,'Revitalisation-Revitalisierung'!$A$4:$Z$275,26,FALSE))</f>
        <v>c</v>
      </c>
      <c r="Y217" s="529" t="str">
        <f t="shared" si="14"/>
        <v>51-80%</v>
      </c>
      <c r="Z217" s="568" t="str">
        <f t="shared" si="15"/>
        <v>d</v>
      </c>
      <c r="AA217" s="327" t="str">
        <f t="shared" si="16"/>
        <v>non pertinent / nicht relevant</v>
      </c>
      <c r="AB217" s="327" t="str">
        <f t="shared" si="17"/>
        <v>Non affecté / nicht betroffen</v>
      </c>
      <c r="AC217" s="276" t="str">
        <f t="shared" si="18"/>
        <v>Non nécessaire / nicht nötig</v>
      </c>
      <c r="AD217" s="570" t="str">
        <f t="shared" si="19"/>
        <v>c</v>
      </c>
      <c r="AE217">
        <v>3</v>
      </c>
      <c r="AF217">
        <v>1</v>
      </c>
    </row>
    <row r="218" spans="1:33" ht="16.5" customHeight="1" x14ac:dyDescent="0.25">
      <c r="A218" s="1233">
        <v>311</v>
      </c>
      <c r="B218" s="409" t="s">
        <v>226</v>
      </c>
      <c r="C218" s="410" t="s">
        <v>227</v>
      </c>
      <c r="D218" s="411" t="s">
        <v>197</v>
      </c>
      <c r="E218" s="522" t="str">
        <f>IF(VLOOKUP(A218,'Charriage - Geschiebehaushalt'!$A$4:$AC$275,17,FALSE)="","",VLOOKUP(A218,'Charriage - Geschiebehaushalt'!$A$4:$AC$275,17,FALSE))</f>
        <v>Charriage présumé naturel / Geschiebehaushalt vermutlich natürlich</v>
      </c>
      <c r="F218" s="523" t="str">
        <f>IF(VLOOKUP(A218,'Charriage - Geschiebehaushalt'!$A$4:$AC$275,18,FALSE)="","",VLOOKUP(A218,'Charriage - Geschiebehaushalt'!$A$4:$AC$275,18,FALSE))</f>
        <v>a</v>
      </c>
      <c r="G218" s="524" t="str">
        <f>IF(VLOOKUP(A218,'Charriage - Geschiebehaushalt'!$A$4:$AC$275,22,FALSE)="","",VLOOKUP(A218,'Charriage - Geschiebehaushalt'!$A$4:$AC$275,22,FALSE))</f>
        <v>0-20%</v>
      </c>
      <c r="H218" s="523" t="str">
        <f>IF(VLOOKUP(A218,'Charriage - Geschiebehaushalt'!$A$4:$AC$275,23,FALSE)="","",VLOOKUP(A218,'Charriage - Geschiebehaushalt'!$A$4:$AC$275,23,FALSE))</f>
        <v>d</v>
      </c>
      <c r="I218" s="524" t="str">
        <f>IF(VLOOKUP(A218,'Charriage - Geschiebehaushalt'!$A$4:$AC$275,28,FALSE)="","",VLOOKUP(A218,'Charriage - Geschiebehaushalt'!$A$4:$AC$275,28,FALSE))</f>
        <v>0-20%</v>
      </c>
      <c r="J218" s="403" t="str">
        <f>IF(VLOOKUP(A218,'Charriage - Geschiebehaushalt'!$A$4:$AC$275,29,FALSE)="","",VLOOKUP(A218,'Charriage - Geschiebehaushalt'!$A$4:$AC$275,29,FALSE))</f>
        <v>d</v>
      </c>
      <c r="K218" s="533" t="str">
        <f>IF(VLOOKUP(A218,'Débit - Abfluss'!$A$4:$AD$275,8,FALSE)="","",VLOOKUP(A218,'Débit - Abfluss'!$A$4:$AD$275,8,FALSE))</f>
        <v>Régime présumé naturel (100%) / Abfluss vermutlich natürlich</v>
      </c>
      <c r="L218" s="468" t="str">
        <f>IF(VLOOKUP(A218,'Débit - Abfluss'!$A$4:$AD$275,10,FALSE)="","",VLOOKUP(A218,'Débit - Abfluss'!$A$4:$AD$275,10,FALSE))</f>
        <v>Régime présumé naturel (100%) / Abfluss vermutlich natürlich</v>
      </c>
      <c r="M218" s="333" t="str">
        <f>IF(VLOOKUP(A218,'Débit - Abfluss'!$A$4:$AD$275,17,FALSE)="","",VLOOKUP(A218,'Débit - Abfluss'!$A$4:$AD$275,17,FALSE))</f>
        <v>Régime présumé naturel (100%) / Abfluss vermutlich natürlich</v>
      </c>
      <c r="N218" s="340" t="str">
        <f>IF(VLOOKUP(A218,'Eclusée - Schwall-Sunk'!$A$2:$F$273,6,FALSE)="","",VLOOKUP(A218,'Eclusée - Schwall-Sunk'!$A$2:$F$273,6,FALSE))</f>
        <v>Non affecté / nicht betroffen</v>
      </c>
      <c r="O218" s="537"/>
      <c r="P218" s="538"/>
      <c r="Q218" s="284" t="str">
        <f>IF(VLOOKUP(A218,'Revitalisation-Revitalisierung'!$A$4:$Z$275,13,FALSE)="","",VLOOKUP(A218,'Revitalisation-Revitalisierung'!$A$4:$Z$275,13,FALSE))</f>
        <v>Non nécessaire / nicht nötig</v>
      </c>
      <c r="R218" s="541" t="str">
        <f>IF(VLOOKUP(A218,'Revitalisation-Revitalisierung'!$A$4:$Z$275,14,FALSE)="","",VLOOKUP(A218,'Revitalisation-Revitalisierung'!$A$4:$Z$275,14,FALSE))</f>
        <v>a</v>
      </c>
      <c r="S218" s="542" t="str">
        <f>IF(VLOOKUP(A218,'Revitalisation-Revitalisierung'!$A$4:$Z$275,19,FALSE)="","",VLOOKUP(A218,'Revitalisation-Revitalisierung'!$A$4:$Z$275,19,FALSE))</f>
        <v>Non nécessaire / nicht nötig</v>
      </c>
      <c r="T218" s="541" t="str">
        <f>IF(VLOOKUP(A218,'Revitalisation-Revitalisierung'!$A$4:$Z$275,20,FALSE)="","",VLOOKUP(A218,'Revitalisation-Revitalisierung'!$A$4:$Z$275,20,FALSE))</f>
        <v>d</v>
      </c>
      <c r="U218" s="542" t="str">
        <f>IF(VLOOKUP(A218,'Revitalisation-Revitalisierung'!$A$4:$Z$275,25,FALSE)="","",VLOOKUP(A218,'Revitalisation-Revitalisierung'!$A$4:$Z$275,25,FALSE))</f>
        <v>Non nécessaire / nicht nötig</v>
      </c>
      <c r="V218" s="406" t="str">
        <f>IF(VLOOKUP(A218,'Revitalisation-Revitalisierung'!$A$4:$Z$275,26,FALSE)="","",VLOOKUP(A218,'Revitalisation-Revitalisierung'!$A$4:$Z$275,26,FALSE))</f>
        <v>d</v>
      </c>
      <c r="Y218" s="529" t="str">
        <f t="shared" si="14"/>
        <v>0-20%</v>
      </c>
      <c r="Z218" s="568" t="str">
        <f t="shared" si="15"/>
        <v>d</v>
      </c>
      <c r="AA218" s="327" t="str">
        <f t="shared" si="16"/>
        <v>Régime présumé naturel (100%) / Abfluss vermutlich natürlich</v>
      </c>
      <c r="AB218" s="327" t="str">
        <f t="shared" si="17"/>
        <v>Non affecté / nicht betroffen</v>
      </c>
      <c r="AC218" s="276" t="str">
        <f t="shared" si="18"/>
        <v>Non nécessaire / nicht nötig</v>
      </c>
      <c r="AD218" s="570" t="str">
        <f t="shared" si="19"/>
        <v>d</v>
      </c>
      <c r="AE218">
        <v>1</v>
      </c>
      <c r="AF218">
        <v>1</v>
      </c>
      <c r="AG218">
        <v>1</v>
      </c>
    </row>
    <row r="219" spans="1:33" ht="16.5" customHeight="1" x14ac:dyDescent="0.25">
      <c r="A219" s="1233">
        <v>312</v>
      </c>
      <c r="B219" s="409" t="s">
        <v>229</v>
      </c>
      <c r="C219" s="410" t="s">
        <v>230</v>
      </c>
      <c r="D219" s="411" t="s">
        <v>197</v>
      </c>
      <c r="E219" s="522" t="str">
        <f>IF(VLOOKUP(A219,'Charriage - Geschiebehaushalt'!$A$4:$AC$275,17,FALSE)="","",VLOOKUP(A219,'Charriage - Geschiebehaushalt'!$A$4:$AC$275,17,FALSE))</f>
        <v>Charriage présumé naturel / Geschiebehaushalt vermutlich natürlich</v>
      </c>
      <c r="F219" s="523" t="str">
        <f>IF(VLOOKUP(A219,'Charriage - Geschiebehaushalt'!$A$4:$AC$275,18,FALSE)="","",VLOOKUP(A219,'Charriage - Geschiebehaushalt'!$A$4:$AC$275,18,FALSE))</f>
        <v>b</v>
      </c>
      <c r="G219" s="524" t="str">
        <f>IF(VLOOKUP(A219,'Charriage - Geschiebehaushalt'!$A$4:$AC$275,22,FALSE)="","",VLOOKUP(A219,'Charriage - Geschiebehaushalt'!$A$4:$AC$275,22,FALSE))</f>
        <v>0-20%</v>
      </c>
      <c r="H219" s="523" t="str">
        <f>IF(VLOOKUP(A219,'Charriage - Geschiebehaushalt'!$A$4:$AC$275,23,FALSE)="","",VLOOKUP(A219,'Charriage - Geschiebehaushalt'!$A$4:$AC$275,23,FALSE))</f>
        <v>d</v>
      </c>
      <c r="I219" s="524" t="str">
        <f>IF(VLOOKUP(A219,'Charriage - Geschiebehaushalt'!$A$4:$AC$275,28,FALSE)="","",VLOOKUP(A219,'Charriage - Geschiebehaushalt'!$A$4:$AC$275,28,FALSE))</f>
        <v>0-20%</v>
      </c>
      <c r="J219" s="403" t="str">
        <f>IF(VLOOKUP(A219,'Charriage - Geschiebehaushalt'!$A$4:$AC$275,29,FALSE)="","",VLOOKUP(A219,'Charriage - Geschiebehaushalt'!$A$4:$AC$275,29,FALSE))</f>
        <v>d</v>
      </c>
      <c r="K219" s="533" t="str">
        <f>IF(VLOOKUP(A219,'Débit - Abfluss'!$A$4:$AD$275,8,FALSE)="","",VLOOKUP(A219,'Débit - Abfluss'!$A$4:$AD$275,8,FALSE))</f>
        <v>Régime présumé naturel (100%) / Abfluss vermutlich natürlich</v>
      </c>
      <c r="L219" s="468" t="str">
        <f>IF(VLOOKUP(A219,'Débit - Abfluss'!$A$4:$AD$275,10,FALSE)="","",VLOOKUP(A219,'Débit - Abfluss'!$A$4:$AD$275,10,FALSE))</f>
        <v>Régime présumé naturel (100%) / Abfluss vermutlich natürlich</v>
      </c>
      <c r="M219" s="333" t="str">
        <f>IF(VLOOKUP(A219,'Débit - Abfluss'!$A$4:$AD$275,17,FALSE)="","",VLOOKUP(A219,'Débit - Abfluss'!$A$4:$AD$275,17,FALSE))</f>
        <v>Régime présumé naturel (100%) / Abfluss vermutlich natürlich</v>
      </c>
      <c r="N219" s="340" t="str">
        <f>IF(VLOOKUP(A219,'Eclusée - Schwall-Sunk'!$A$2:$F$273,6,FALSE)="","",VLOOKUP(A219,'Eclusée - Schwall-Sunk'!$A$2:$F$273,6,FALSE))</f>
        <v>Non affecté / nicht betroffen</v>
      </c>
      <c r="O219" s="537"/>
      <c r="P219" s="538"/>
      <c r="Q219" s="284" t="str">
        <f>IF(VLOOKUP(A219,'Revitalisation-Revitalisierung'!$A$4:$Z$275,13,FALSE)="","",VLOOKUP(A219,'Revitalisation-Revitalisierung'!$A$4:$Z$275,13,FALSE))</f>
        <v>Non nécessaire / nicht nötig</v>
      </c>
      <c r="R219" s="541" t="str">
        <f>IF(VLOOKUP(A219,'Revitalisation-Revitalisierung'!$A$4:$Z$275,14,FALSE)="","",VLOOKUP(A219,'Revitalisation-Revitalisierung'!$A$4:$Z$275,14,FALSE))</f>
        <v>a</v>
      </c>
      <c r="S219" s="542" t="str">
        <f>IF(VLOOKUP(A219,'Revitalisation-Revitalisierung'!$A$4:$Z$275,19,FALSE)="","",VLOOKUP(A219,'Revitalisation-Revitalisierung'!$A$4:$Z$275,19,FALSE))</f>
        <v>Non nécessaire / nicht nötig</v>
      </c>
      <c r="T219" s="541" t="str">
        <f>IF(VLOOKUP(A219,'Revitalisation-Revitalisierung'!$A$4:$Z$275,20,FALSE)="","",VLOOKUP(A219,'Revitalisation-Revitalisierung'!$A$4:$Z$275,20,FALSE))</f>
        <v>d</v>
      </c>
      <c r="U219" s="542" t="str">
        <f>IF(VLOOKUP(A219,'Revitalisation-Revitalisierung'!$A$4:$Z$275,25,FALSE)="","",VLOOKUP(A219,'Revitalisation-Revitalisierung'!$A$4:$Z$275,25,FALSE))</f>
        <v>Non nécessaire / nicht nötig</v>
      </c>
      <c r="V219" s="406" t="str">
        <f>IF(VLOOKUP(A219,'Revitalisation-Revitalisierung'!$A$4:$Z$275,26,FALSE)="","",VLOOKUP(A219,'Revitalisation-Revitalisierung'!$A$4:$Z$275,26,FALSE))</f>
        <v>d</v>
      </c>
      <c r="Y219" s="529" t="str">
        <f t="shared" si="14"/>
        <v>0-20%</v>
      </c>
      <c r="Z219" s="568" t="str">
        <f t="shared" si="15"/>
        <v>d</v>
      </c>
      <c r="AA219" s="327" t="str">
        <f t="shared" si="16"/>
        <v>Régime présumé naturel (100%) / Abfluss vermutlich natürlich</v>
      </c>
      <c r="AB219" s="327" t="str">
        <f t="shared" si="17"/>
        <v>Non affecté / nicht betroffen</v>
      </c>
      <c r="AC219" s="276" t="str">
        <f t="shared" si="18"/>
        <v>Non nécessaire / nicht nötig</v>
      </c>
      <c r="AD219" s="570" t="str">
        <f t="shared" si="19"/>
        <v>d</v>
      </c>
      <c r="AE219">
        <v>1</v>
      </c>
      <c r="AF219">
        <v>1</v>
      </c>
      <c r="AG219">
        <v>1</v>
      </c>
    </row>
    <row r="220" spans="1:33" ht="16.5" customHeight="1" x14ac:dyDescent="0.25">
      <c r="A220" s="928">
        <v>313</v>
      </c>
      <c r="B220" s="400" t="s">
        <v>231</v>
      </c>
      <c r="C220" s="400" t="s">
        <v>231</v>
      </c>
      <c r="D220" s="401" t="s">
        <v>197</v>
      </c>
      <c r="E220" s="522" t="str">
        <f>IF(VLOOKUP(A220,'Charriage - Geschiebehaushalt'!$A$4:$AC$275,17,FALSE)="","",VLOOKUP(A220,'Charriage - Geschiebehaushalt'!$A$4:$AC$275,17,FALSE))</f>
        <v>Charriage présumé naturel / Geschiebehaushalt vermutlich natürlich</v>
      </c>
      <c r="F220" s="523" t="str">
        <f>IF(VLOOKUP(A220,'Charriage - Geschiebehaushalt'!$A$4:$AC$275,18,FALSE)="","",VLOOKUP(A220,'Charriage - Geschiebehaushalt'!$A$4:$AC$275,18,FALSE))</f>
        <v>b</v>
      </c>
      <c r="G220" s="524" t="str">
        <f>IF(VLOOKUP(A220,'Charriage - Geschiebehaushalt'!$A$4:$AC$275,22,FALSE)="","",VLOOKUP(A220,'Charriage - Geschiebehaushalt'!$A$4:$AC$275,22,FALSE))</f>
        <v>0-20%</v>
      </c>
      <c r="H220" s="523" t="str">
        <f>IF(VLOOKUP(A220,'Charriage - Geschiebehaushalt'!$A$4:$AC$275,23,FALSE)="","",VLOOKUP(A220,'Charriage - Geschiebehaushalt'!$A$4:$AC$275,23,FALSE))</f>
        <v>d</v>
      </c>
      <c r="I220" s="524" t="str">
        <f>IF(VLOOKUP(A220,'Charriage - Geschiebehaushalt'!$A$4:$AC$275,28,FALSE)="","",VLOOKUP(A220,'Charriage - Geschiebehaushalt'!$A$4:$AC$275,28,FALSE))</f>
        <v>0-20%</v>
      </c>
      <c r="J220" s="403" t="str">
        <f>IF(VLOOKUP(A220,'Charriage - Geschiebehaushalt'!$A$4:$AC$275,29,FALSE)="","",VLOOKUP(A220,'Charriage - Geschiebehaushalt'!$A$4:$AC$275,29,FALSE))</f>
        <v>d</v>
      </c>
      <c r="K220" s="533" t="str">
        <f>IF(VLOOKUP(A220,'Débit - Abfluss'!$A$4:$AD$275,8,FALSE)="","",VLOOKUP(A220,'Débit - Abfluss'!$A$4:$AD$275,8,FALSE))</f>
        <v>100%</v>
      </c>
      <c r="L220" s="468" t="str">
        <f>IF(VLOOKUP(A220,'Débit - Abfluss'!$A$4:$AD$275,10,FALSE)="","",VLOOKUP(A220,'Débit - Abfluss'!$A$4:$AD$275,10,FALSE))</f>
        <v>100%</v>
      </c>
      <c r="M220" s="333" t="str">
        <f>IF(VLOOKUP(A220,'Débit - Abfluss'!$A$4:$AD$275,17,FALSE)="","",VLOOKUP(A220,'Débit - Abfluss'!$A$4:$AD$275,17,FALSE))</f>
        <v>100%</v>
      </c>
      <c r="N220" s="340" t="str">
        <f>IF(VLOOKUP(A220,'Eclusée - Schwall-Sunk'!$A$2:$F$273,6,FALSE)="","",VLOOKUP(A220,'Eclusée - Schwall-Sunk'!$A$2:$F$273,6,FALSE))</f>
        <v>Non affecté / nicht betroffen</v>
      </c>
      <c r="O220" s="537"/>
      <c r="P220" s="538"/>
      <c r="Q220" s="284" t="str">
        <f>IF(VLOOKUP(A220,'Revitalisation-Revitalisierung'!$A$4:$Z$275,13,FALSE)="","",VLOOKUP(A220,'Revitalisation-Revitalisierung'!$A$4:$Z$275,13,FALSE))</f>
        <v>Non nécessaire / nicht nötig</v>
      </c>
      <c r="R220" s="541" t="str">
        <f>IF(VLOOKUP(A220,'Revitalisation-Revitalisierung'!$A$4:$Z$275,14,FALSE)="","",VLOOKUP(A220,'Revitalisation-Revitalisierung'!$A$4:$Z$275,14,FALSE))</f>
        <v>a</v>
      </c>
      <c r="S220" s="542" t="str">
        <f>IF(VLOOKUP(A220,'Revitalisation-Revitalisierung'!$A$4:$Z$275,19,FALSE)="","",VLOOKUP(A220,'Revitalisation-Revitalisierung'!$A$4:$Z$275,19,FALSE))</f>
        <v>Non nécessaire / nicht nötig</v>
      </c>
      <c r="T220" s="541" t="str">
        <f>IF(VLOOKUP(A220,'Revitalisation-Revitalisierung'!$A$4:$Z$275,20,FALSE)="","",VLOOKUP(A220,'Revitalisation-Revitalisierung'!$A$4:$Z$275,20,FALSE))</f>
        <v>d</v>
      </c>
      <c r="U220" s="542" t="str">
        <f>IF(VLOOKUP(A220,'Revitalisation-Revitalisierung'!$A$4:$Z$275,25,FALSE)="","",VLOOKUP(A220,'Revitalisation-Revitalisierung'!$A$4:$Z$275,25,FALSE))</f>
        <v>Non nécessaire / nicht nötig</v>
      </c>
      <c r="V220" s="406" t="str">
        <f>IF(VLOOKUP(A220,'Revitalisation-Revitalisierung'!$A$4:$Z$275,26,FALSE)="","",VLOOKUP(A220,'Revitalisation-Revitalisierung'!$A$4:$Z$275,26,FALSE))</f>
        <v>d</v>
      </c>
      <c r="Y220" s="529" t="str">
        <f t="shared" si="14"/>
        <v>0-20%</v>
      </c>
      <c r="Z220" s="568" t="str">
        <f t="shared" si="15"/>
        <v>d</v>
      </c>
      <c r="AA220" s="327" t="str">
        <f t="shared" si="16"/>
        <v>100%</v>
      </c>
      <c r="AB220" s="327" t="str">
        <f t="shared" si="17"/>
        <v>Non affecté / nicht betroffen</v>
      </c>
      <c r="AC220" s="276" t="str">
        <f t="shared" si="18"/>
        <v>Non nécessaire / nicht nötig</v>
      </c>
      <c r="AD220" s="570" t="str">
        <f t="shared" si="19"/>
        <v>d</v>
      </c>
      <c r="AE220">
        <v>1</v>
      </c>
      <c r="AF220">
        <v>1</v>
      </c>
      <c r="AG220">
        <v>1</v>
      </c>
    </row>
    <row r="221" spans="1:33" ht="16.5" customHeight="1" x14ac:dyDescent="0.25">
      <c r="A221" s="928">
        <v>314</v>
      </c>
      <c r="B221" s="400" t="s">
        <v>154</v>
      </c>
      <c r="C221" s="400" t="s">
        <v>154</v>
      </c>
      <c r="D221" s="401" t="s">
        <v>183</v>
      </c>
      <c r="E221" s="522" t="str">
        <f>IF(VLOOKUP(A221,'Charriage - Geschiebehaushalt'!$A$4:$AC$275,17,FALSE)="","",VLOOKUP(A221,'Charriage - Geschiebehaushalt'!$A$4:$AC$275,17,FALSE))</f>
        <v>0-20%</v>
      </c>
      <c r="F221" s="523" t="str">
        <f>IF(VLOOKUP(A221,'Charriage - Geschiebehaushalt'!$A$4:$AC$275,18,FALSE)="","",VLOOKUP(A221,'Charriage - Geschiebehaushalt'!$A$4:$AC$275,18,FALSE))</f>
        <v>a</v>
      </c>
      <c r="G221" s="524" t="str">
        <f>IF(VLOOKUP(A221,'Charriage - Geschiebehaushalt'!$A$4:$AC$275,22,FALSE)="","",VLOOKUP(A221,'Charriage - Geschiebehaushalt'!$A$4:$AC$275,22,FALSE))</f>
        <v>0-20%</v>
      </c>
      <c r="H221" s="523" t="str">
        <f>IF(VLOOKUP(A221,'Charriage - Geschiebehaushalt'!$A$4:$AC$275,23,FALSE)="","",VLOOKUP(A221,'Charriage - Geschiebehaushalt'!$A$4:$AC$275,23,FALSE))</f>
        <v>d</v>
      </c>
      <c r="I221" s="524" t="str">
        <f>IF(VLOOKUP(A221,'Charriage - Geschiebehaushalt'!$A$4:$AC$275,28,FALSE)="","",VLOOKUP(A221,'Charriage - Geschiebehaushalt'!$A$4:$AC$275,28,FALSE))</f>
        <v>0-20%</v>
      </c>
      <c r="J221" s="403" t="str">
        <f>IF(VLOOKUP(A221,'Charriage - Geschiebehaushalt'!$A$4:$AC$275,29,FALSE)="","",VLOOKUP(A221,'Charriage - Geschiebehaushalt'!$A$4:$AC$275,29,FALSE))</f>
        <v>d</v>
      </c>
      <c r="K221" s="533" t="str">
        <f>IF(VLOOKUP(A221,'Débit - Abfluss'!$A$4:$AD$275,8,FALSE)="","",VLOOKUP(A221,'Débit - Abfluss'!$A$4:$AD$275,8,FALSE))</f>
        <v>100%</v>
      </c>
      <c r="L221" s="468" t="str">
        <f>IF(VLOOKUP(A221,'Débit - Abfluss'!$A$4:$AD$275,10,FALSE)="","",VLOOKUP(A221,'Débit - Abfluss'!$A$4:$AD$275,10,FALSE))</f>
        <v>100%</v>
      </c>
      <c r="M221" s="333" t="str">
        <f>IF(VLOOKUP(A221,'Débit - Abfluss'!$A$4:$AD$275,17,FALSE)="","",VLOOKUP(A221,'Débit - Abfluss'!$A$4:$AD$275,17,FALSE))</f>
        <v>100%</v>
      </c>
      <c r="N221" s="340" t="str">
        <f>IF(VLOOKUP(A221,'Eclusée - Schwall-Sunk'!$A$2:$F$273,6,FALSE)="","",VLOOKUP(A221,'Eclusée - Schwall-Sunk'!$A$2:$F$273,6,FALSE))</f>
        <v>Non affecté / nicht betroffen</v>
      </c>
      <c r="O221" s="537"/>
      <c r="P221" s="538"/>
      <c r="Q221" s="284" t="str">
        <f>IF(VLOOKUP(A221,'Revitalisation-Revitalisierung'!$A$4:$Z$275,13,FALSE)="","",VLOOKUP(A221,'Revitalisation-Revitalisierung'!$A$4:$Z$275,13,FALSE))</f>
        <v>Partiellement nécessaire, facile / teilweise nötig, einfach</v>
      </c>
      <c r="R221" s="541" t="str">
        <f>IF(VLOOKUP(A221,'Revitalisation-Revitalisierung'!$A$4:$Z$275,14,FALSE)="","",VLOOKUP(A221,'Revitalisation-Revitalisierung'!$A$4:$Z$275,14,FALSE))</f>
        <v>a</v>
      </c>
      <c r="S221" s="542" t="str">
        <f>IF(VLOOKUP(A221,'Revitalisation-Revitalisierung'!$A$4:$Z$275,19,FALSE)="","",VLOOKUP(A221,'Revitalisation-Revitalisierung'!$A$4:$Z$275,19,FALSE))</f>
        <v>Non nécessaire / nicht nötig</v>
      </c>
      <c r="T221" s="541" t="str">
        <f>IF(VLOOKUP(A221,'Revitalisation-Revitalisierung'!$A$4:$Z$275,20,FALSE)="","",VLOOKUP(A221,'Revitalisation-Revitalisierung'!$A$4:$Z$275,20,FALSE))</f>
        <v>c</v>
      </c>
      <c r="U221" s="542" t="str">
        <f>IF(VLOOKUP(A221,'Revitalisation-Revitalisierung'!$A$4:$Z$275,25,FALSE)="","",VLOOKUP(A221,'Revitalisation-Revitalisierung'!$A$4:$Z$275,25,FALSE))</f>
        <v>Non nécessaire / nicht nötig</v>
      </c>
      <c r="V221" s="406" t="str">
        <f>IF(VLOOKUP(A221,'Revitalisation-Revitalisierung'!$A$4:$Z$275,26,FALSE)="","",VLOOKUP(A221,'Revitalisation-Revitalisierung'!$A$4:$Z$275,26,FALSE))</f>
        <v>c</v>
      </c>
      <c r="Y221" s="529" t="str">
        <f t="shared" si="14"/>
        <v>0-20%</v>
      </c>
      <c r="Z221" s="568" t="str">
        <f t="shared" si="15"/>
        <v>d</v>
      </c>
      <c r="AA221" s="327" t="str">
        <f t="shared" si="16"/>
        <v>100%</v>
      </c>
      <c r="AB221" s="327" t="str">
        <f t="shared" si="17"/>
        <v>Non affecté / nicht betroffen</v>
      </c>
      <c r="AC221" s="276" t="str">
        <f t="shared" si="18"/>
        <v>Non nécessaire / nicht nötig</v>
      </c>
      <c r="AD221" s="570" t="str">
        <f t="shared" si="19"/>
        <v>c</v>
      </c>
      <c r="AE221">
        <v>1</v>
      </c>
      <c r="AF221">
        <v>1</v>
      </c>
      <c r="AG221">
        <v>1</v>
      </c>
    </row>
    <row r="222" spans="1:33" ht="16.5" customHeight="1" x14ac:dyDescent="0.25">
      <c r="A222" s="928">
        <v>315</v>
      </c>
      <c r="B222" s="400" t="s">
        <v>153</v>
      </c>
      <c r="C222" s="400" t="s">
        <v>154</v>
      </c>
      <c r="D222" s="401" t="s">
        <v>92</v>
      </c>
      <c r="E222" s="522" t="str">
        <f>IF(VLOOKUP(A222,'Charriage - Geschiebehaushalt'!$A$4:$AC$275,17,FALSE)="","",VLOOKUP(A222,'Charriage - Geschiebehaushalt'!$A$4:$AC$275,17,FALSE))</f>
        <v>21-50%</v>
      </c>
      <c r="F222" s="523" t="str">
        <f>IF(VLOOKUP(A222,'Charriage - Geschiebehaushalt'!$A$4:$AC$275,18,FALSE)="","",VLOOKUP(A222,'Charriage - Geschiebehaushalt'!$A$4:$AC$275,18,FALSE))</f>
        <v>a</v>
      </c>
      <c r="G222" s="524" t="str">
        <f>IF(VLOOKUP(A222,'Charriage - Geschiebehaushalt'!$A$4:$AC$275,22,FALSE)="","",VLOOKUP(A222,'Charriage - Geschiebehaushalt'!$A$4:$AC$275,22,FALSE))</f>
        <v>21-50%</v>
      </c>
      <c r="H222" s="523" t="str">
        <f>IF(VLOOKUP(A222,'Charriage - Geschiebehaushalt'!$A$4:$AC$275,23,FALSE)="","",VLOOKUP(A222,'Charriage - Geschiebehaushalt'!$A$4:$AC$275,23,FALSE))</f>
        <v>a</v>
      </c>
      <c r="I222" s="524" t="str">
        <f>IF(VLOOKUP(A222,'Charriage - Geschiebehaushalt'!$A$4:$AC$275,28,FALSE)="","",VLOOKUP(A222,'Charriage - Geschiebehaushalt'!$A$4:$AC$275,28,FALSE))</f>
        <v>21-50%</v>
      </c>
      <c r="J222" s="403" t="str">
        <f>IF(VLOOKUP(A222,'Charriage - Geschiebehaushalt'!$A$4:$AC$275,29,FALSE)="","",VLOOKUP(A222,'Charriage - Geschiebehaushalt'!$A$4:$AC$275,29,FALSE))</f>
        <v>a</v>
      </c>
      <c r="K222" s="533" t="str">
        <f>IF(VLOOKUP(A222,'Débit - Abfluss'!$A$4:$AD$275,8,FALSE)="","",VLOOKUP(A222,'Débit - Abfluss'!$A$4:$AD$275,8,FALSE))</f>
        <v>100%</v>
      </c>
      <c r="L222" s="468" t="str">
        <f>IF(VLOOKUP(A222,'Débit - Abfluss'!$A$4:$AD$275,10,FALSE)="","",VLOOKUP(A222,'Débit - Abfluss'!$A$4:$AD$275,10,FALSE))</f>
        <v>100%</v>
      </c>
      <c r="M222" s="333" t="str">
        <f>IF(VLOOKUP(A222,'Débit - Abfluss'!$A$4:$AD$275,17,FALSE)="","",VLOOKUP(A222,'Débit - Abfluss'!$A$4:$AD$275,17,FALSE))</f>
        <v>100%</v>
      </c>
      <c r="N222" s="340" t="str">
        <f>IF(VLOOKUP(A222,'Eclusée - Schwall-Sunk'!$A$2:$F$273,6,FALSE)="","",VLOOKUP(A222,'Eclusée - Schwall-Sunk'!$A$2:$F$273,6,FALSE))</f>
        <v>Non affecté / nicht betroffen</v>
      </c>
      <c r="O222" s="537"/>
      <c r="P222" s="538"/>
      <c r="Q222" s="284" t="str">
        <f>IF(VLOOKUP(A222,'Revitalisation-Revitalisierung'!$A$4:$Z$275,13,FALSE)="","",VLOOKUP(A222,'Revitalisation-Revitalisierung'!$A$4:$Z$275,13,FALSE))</f>
        <v>Partiellement nécessaire, facile / teilweise nötig, einfach</v>
      </c>
      <c r="R222" s="541" t="str">
        <f>IF(VLOOKUP(A222,'Revitalisation-Revitalisierung'!$A$4:$Z$275,14,FALSE)="","",VLOOKUP(A222,'Revitalisation-Revitalisierung'!$A$4:$Z$275,14,FALSE))</f>
        <v>a</v>
      </c>
      <c r="S222" s="542" t="str">
        <f>IF(VLOOKUP(A222,'Revitalisation-Revitalisierung'!$A$4:$Z$275,19,FALSE)="","",VLOOKUP(A222,'Revitalisation-Revitalisierung'!$A$4:$Z$275,19,FALSE))</f>
        <v>Non nécessaire / nicht nötig</v>
      </c>
      <c r="T222" s="541" t="str">
        <f>IF(VLOOKUP(A222,'Revitalisation-Revitalisierung'!$A$4:$Z$275,20,FALSE)="","",VLOOKUP(A222,'Revitalisation-Revitalisierung'!$A$4:$Z$275,20,FALSE))</f>
        <v>c</v>
      </c>
      <c r="U222" s="542" t="str">
        <f>IF(VLOOKUP(A222,'Revitalisation-Revitalisierung'!$A$4:$Z$275,25,FALSE)="","",VLOOKUP(A222,'Revitalisation-Revitalisierung'!$A$4:$Z$275,25,FALSE))</f>
        <v>Non nécessaire / nicht nötig</v>
      </c>
      <c r="V222" s="406" t="str">
        <f>IF(VLOOKUP(A222,'Revitalisation-Revitalisierung'!$A$4:$Z$275,26,FALSE)="","",VLOOKUP(A222,'Revitalisation-Revitalisierung'!$A$4:$Z$275,26,FALSE))</f>
        <v>c</v>
      </c>
      <c r="Y222" s="529" t="str">
        <f t="shared" si="14"/>
        <v>21-50%</v>
      </c>
      <c r="Z222" s="568" t="str">
        <f t="shared" si="15"/>
        <v>a</v>
      </c>
      <c r="AA222" s="327" t="str">
        <f t="shared" si="16"/>
        <v>100%</v>
      </c>
      <c r="AB222" s="327" t="str">
        <f t="shared" si="17"/>
        <v>Non affecté / nicht betroffen</v>
      </c>
      <c r="AC222" s="276" t="str">
        <f t="shared" si="18"/>
        <v>Non nécessaire / nicht nötig</v>
      </c>
      <c r="AD222" s="570" t="str">
        <f t="shared" si="19"/>
        <v>c</v>
      </c>
      <c r="AE222" t="s">
        <v>1902</v>
      </c>
      <c r="AF222">
        <v>1</v>
      </c>
    </row>
    <row r="223" spans="1:33" ht="16.5" customHeight="1" x14ac:dyDescent="0.25">
      <c r="A223" s="1233">
        <v>316</v>
      </c>
      <c r="B223" s="409" t="s">
        <v>155</v>
      </c>
      <c r="C223" s="410" t="s">
        <v>112</v>
      </c>
      <c r="D223" s="411" t="s">
        <v>92</v>
      </c>
      <c r="E223" s="522" t="str">
        <f>IF(VLOOKUP(A223,'Charriage - Geschiebehaushalt'!$A$4:$AC$275,17,FALSE)="","",VLOOKUP(A223,'Charriage - Geschiebehaushalt'!$A$4:$AC$275,17,FALSE))</f>
        <v>0-20%</v>
      </c>
      <c r="F223" s="523" t="str">
        <f>IF(VLOOKUP(A223,'Charriage - Geschiebehaushalt'!$A$4:$AC$275,18,FALSE)="","",VLOOKUP(A223,'Charriage - Geschiebehaushalt'!$A$4:$AC$275,18,FALSE))</f>
        <v>a</v>
      </c>
      <c r="G223" s="524" t="str">
        <f>IF(VLOOKUP(A223,'Charriage - Geschiebehaushalt'!$A$4:$AC$275,22,FALSE)="","",VLOOKUP(A223,'Charriage - Geschiebehaushalt'!$A$4:$AC$275,22,FALSE))</f>
        <v>0-20%</v>
      </c>
      <c r="H223" s="523" t="str">
        <f>IF(VLOOKUP(A223,'Charriage - Geschiebehaushalt'!$A$4:$AC$275,23,FALSE)="","",VLOOKUP(A223,'Charriage - Geschiebehaushalt'!$A$4:$AC$275,23,FALSE))</f>
        <v>a</v>
      </c>
      <c r="I223" s="524" t="str">
        <f>IF(VLOOKUP(A223,'Charriage - Geschiebehaushalt'!$A$4:$AC$275,28,FALSE)="","",VLOOKUP(A223,'Charriage - Geschiebehaushalt'!$A$4:$AC$275,28,FALSE))</f>
        <v>0-20%</v>
      </c>
      <c r="J223" s="403" t="str">
        <f>IF(VLOOKUP(A223,'Charriage - Geschiebehaushalt'!$A$4:$AC$275,29,FALSE)="","",VLOOKUP(A223,'Charriage - Geschiebehaushalt'!$A$4:$AC$275,29,FALSE))</f>
        <v>a</v>
      </c>
      <c r="K223" s="533" t="str">
        <f>IF(VLOOKUP(A223,'Débit - Abfluss'!$A$4:$AD$275,8,FALSE)="","",VLOOKUP(A223,'Débit - Abfluss'!$A$4:$AD$275,8,FALSE))</f>
        <v>Régime présumé naturel (100%) / Abfluss vermutlich natürlich</v>
      </c>
      <c r="L223" s="468" t="str">
        <f>IF(VLOOKUP(A223,'Débit - Abfluss'!$A$4:$AD$275,10,FALSE)="","",VLOOKUP(A223,'Débit - Abfluss'!$A$4:$AD$275,10,FALSE))</f>
        <v>Régime présumé naturel (100%) / Abfluss vermutlich natürlich</v>
      </c>
      <c r="M223" s="333" t="str">
        <f>IF(VLOOKUP(A223,'Débit - Abfluss'!$A$4:$AD$275,17,FALSE)="","",VLOOKUP(A223,'Débit - Abfluss'!$A$4:$AD$275,17,FALSE))</f>
        <v>Régime présumé naturel (100%) / Abfluss vermutlich natürlich</v>
      </c>
      <c r="N223" s="340" t="str">
        <f>IF(VLOOKUP(A223,'Eclusée - Schwall-Sunk'!$A$2:$F$273,6,FALSE)="","",VLOOKUP(A223,'Eclusée - Schwall-Sunk'!$A$2:$F$273,6,FALSE))</f>
        <v>Non affecté / nicht betroffen</v>
      </c>
      <c r="O223" s="537"/>
      <c r="P223" s="538"/>
      <c r="Q223" s="284" t="str">
        <f>IF(VLOOKUP(A223,'Revitalisation-Revitalisierung'!$A$4:$Z$275,13,FALSE)="","",VLOOKUP(A223,'Revitalisation-Revitalisierung'!$A$4:$Z$275,13,FALSE))</f>
        <v>Non nécessaire / nicht nötig</v>
      </c>
      <c r="R223" s="541" t="str">
        <f>IF(VLOOKUP(A223,'Revitalisation-Revitalisierung'!$A$4:$Z$275,14,FALSE)="","",VLOOKUP(A223,'Revitalisation-Revitalisierung'!$A$4:$Z$275,14,FALSE))</f>
        <v>b</v>
      </c>
      <c r="S223" s="542" t="str">
        <f>IF(VLOOKUP(A223,'Revitalisation-Revitalisierung'!$A$4:$Z$275,19,FALSE)="","",VLOOKUP(A223,'Revitalisation-Revitalisierung'!$A$4:$Z$275,19,FALSE))</f>
        <v>Non nécessaire / nicht nötig</v>
      </c>
      <c r="T223" s="541" t="str">
        <f>IF(VLOOKUP(A223,'Revitalisation-Revitalisierung'!$A$4:$Z$275,20,FALSE)="","",VLOOKUP(A223,'Revitalisation-Revitalisierung'!$A$4:$Z$275,20,FALSE))</f>
        <v>d</v>
      </c>
      <c r="U223" s="542" t="str">
        <f>IF(VLOOKUP(A223,'Revitalisation-Revitalisierung'!$A$4:$Z$275,25,FALSE)="","",VLOOKUP(A223,'Revitalisation-Revitalisierung'!$A$4:$Z$275,25,FALSE))</f>
        <v>Non nécessaire / nicht nötig</v>
      </c>
      <c r="V223" s="406" t="str">
        <f>IF(VLOOKUP(A223,'Revitalisation-Revitalisierung'!$A$4:$Z$275,26,FALSE)="","",VLOOKUP(A223,'Revitalisation-Revitalisierung'!$A$4:$Z$275,26,FALSE))</f>
        <v>d</v>
      </c>
      <c r="Y223" s="529" t="str">
        <f t="shared" si="14"/>
        <v>0-20%</v>
      </c>
      <c r="Z223" s="568" t="str">
        <f t="shared" si="15"/>
        <v>a</v>
      </c>
      <c r="AA223" s="327" t="str">
        <f t="shared" si="16"/>
        <v>Régime présumé naturel (100%) / Abfluss vermutlich natürlich</v>
      </c>
      <c r="AB223" s="327" t="str">
        <f t="shared" si="17"/>
        <v>Non affecté / nicht betroffen</v>
      </c>
      <c r="AC223" s="276" t="str">
        <f t="shared" si="18"/>
        <v>Non nécessaire / nicht nötig</v>
      </c>
      <c r="AD223" s="570" t="str">
        <f t="shared" si="19"/>
        <v>d</v>
      </c>
      <c r="AE223">
        <v>1</v>
      </c>
      <c r="AF223">
        <v>1</v>
      </c>
      <c r="AG223">
        <v>1</v>
      </c>
    </row>
    <row r="224" spans="1:33" ht="16.5" customHeight="1" x14ac:dyDescent="0.25">
      <c r="A224" s="1233">
        <v>317</v>
      </c>
      <c r="B224" s="409" t="s">
        <v>156</v>
      </c>
      <c r="C224" s="410" t="s">
        <v>157</v>
      </c>
      <c r="D224" s="411" t="s">
        <v>92</v>
      </c>
      <c r="E224" s="522" t="str">
        <f>IF(VLOOKUP(A224,'Charriage - Geschiebehaushalt'!$A$4:$AC$275,17,FALSE)="","",VLOOKUP(A224,'Charriage - Geschiebehaushalt'!$A$4:$AC$275,17,FALSE))</f>
        <v>Charriage présumé naturel / Geschiebehaushalt vermutlich natürlich</v>
      </c>
      <c r="F224" s="523" t="str">
        <f>IF(VLOOKUP(A224,'Charriage - Geschiebehaushalt'!$A$4:$AC$275,18,FALSE)="","",VLOOKUP(A224,'Charriage - Geschiebehaushalt'!$A$4:$AC$275,18,FALSE))</f>
        <v>b</v>
      </c>
      <c r="G224" s="524" t="str">
        <f>IF(VLOOKUP(A224,'Charriage - Geschiebehaushalt'!$A$4:$AC$275,22,FALSE)="","",VLOOKUP(A224,'Charriage - Geschiebehaushalt'!$A$4:$AC$275,22,FALSE))</f>
        <v>0-20%</v>
      </c>
      <c r="H224" s="523" t="str">
        <f>IF(VLOOKUP(A224,'Charriage - Geschiebehaushalt'!$A$4:$AC$275,23,FALSE)="","",VLOOKUP(A224,'Charriage - Geschiebehaushalt'!$A$4:$AC$275,23,FALSE))</f>
        <v>b</v>
      </c>
      <c r="I224" s="524" t="str">
        <f>IF(VLOOKUP(A224,'Charriage - Geschiebehaushalt'!$A$4:$AC$275,28,FALSE)="","",VLOOKUP(A224,'Charriage - Geschiebehaushalt'!$A$4:$AC$275,28,FALSE))</f>
        <v>0-20%</v>
      </c>
      <c r="J224" s="403" t="str">
        <f>IF(VLOOKUP(A224,'Charriage - Geschiebehaushalt'!$A$4:$AC$275,29,FALSE)="","",VLOOKUP(A224,'Charriage - Geschiebehaushalt'!$A$4:$AC$275,29,FALSE))</f>
        <v>b</v>
      </c>
      <c r="K224" s="533" t="str">
        <f>IF(VLOOKUP(A224,'Débit - Abfluss'!$A$4:$AD$275,8,FALSE)="","",VLOOKUP(A224,'Débit - Abfluss'!$A$4:$AD$275,8,FALSE))</f>
        <v>Régime présumé naturel (100%) / Abfluss vermutlich natürlich</v>
      </c>
      <c r="L224" s="468" t="str">
        <f>IF(VLOOKUP(A224,'Débit - Abfluss'!$A$4:$AD$275,10,FALSE)="","",VLOOKUP(A224,'Débit - Abfluss'!$A$4:$AD$275,10,FALSE))</f>
        <v>Régime présumé naturel (100%) / Abfluss vermutlich natürlich</v>
      </c>
      <c r="M224" s="333" t="str">
        <f>IF(VLOOKUP(A224,'Débit - Abfluss'!$A$4:$AD$275,17,FALSE)="","",VLOOKUP(A224,'Débit - Abfluss'!$A$4:$AD$275,17,FALSE))</f>
        <v>Régime présumé naturel (100%) / Abfluss vermutlich natürlich</v>
      </c>
      <c r="N224" s="340" t="str">
        <f>IF(VLOOKUP(A224,'Eclusée - Schwall-Sunk'!$A$2:$F$273,6,FALSE)="","",VLOOKUP(A224,'Eclusée - Schwall-Sunk'!$A$2:$F$273,6,FALSE))</f>
        <v>Non affecté / nicht betroffen</v>
      </c>
      <c r="O224" s="537"/>
      <c r="P224" s="538"/>
      <c r="Q224" s="284" t="str">
        <f>IF(VLOOKUP(A224,'Revitalisation-Revitalisierung'!$A$4:$Z$275,13,FALSE)="","",VLOOKUP(A224,'Revitalisation-Revitalisierung'!$A$4:$Z$275,13,FALSE))</f>
        <v>Non nécessaire / nicht nötig</v>
      </c>
      <c r="R224" s="541" t="str">
        <f>IF(VLOOKUP(A224,'Revitalisation-Revitalisierung'!$A$4:$Z$275,14,FALSE)="","",VLOOKUP(A224,'Revitalisation-Revitalisierung'!$A$4:$Z$275,14,FALSE))</f>
        <v>a</v>
      </c>
      <c r="S224" s="542" t="str">
        <f>IF(VLOOKUP(A224,'Revitalisation-Revitalisierung'!$A$4:$Z$275,19,FALSE)="","",VLOOKUP(A224,'Revitalisation-Revitalisierung'!$A$4:$Z$275,19,FALSE))</f>
        <v>Non nécessaire / nicht nötig</v>
      </c>
      <c r="T224" s="541" t="str">
        <f>IF(VLOOKUP(A224,'Revitalisation-Revitalisierung'!$A$4:$Z$275,20,FALSE)="","",VLOOKUP(A224,'Revitalisation-Revitalisierung'!$A$4:$Z$275,20,FALSE))</f>
        <v>d</v>
      </c>
      <c r="U224" s="542" t="str">
        <f>IF(VLOOKUP(A224,'Revitalisation-Revitalisierung'!$A$4:$Z$275,25,FALSE)="","",VLOOKUP(A224,'Revitalisation-Revitalisierung'!$A$4:$Z$275,25,FALSE))</f>
        <v>Non nécessaire / nicht nötig</v>
      </c>
      <c r="V224" s="406" t="str">
        <f>IF(VLOOKUP(A224,'Revitalisation-Revitalisierung'!$A$4:$Z$275,26,FALSE)="","",VLOOKUP(A224,'Revitalisation-Revitalisierung'!$A$4:$Z$275,26,FALSE))</f>
        <v>d</v>
      </c>
      <c r="Y224" s="529" t="str">
        <f t="shared" si="14"/>
        <v>0-20%</v>
      </c>
      <c r="Z224" s="568" t="str">
        <f t="shared" si="15"/>
        <v>b</v>
      </c>
      <c r="AA224" s="327" t="str">
        <f t="shared" si="16"/>
        <v>Régime présumé naturel (100%) / Abfluss vermutlich natürlich</v>
      </c>
      <c r="AB224" s="327" t="str">
        <f t="shared" si="17"/>
        <v>Non affecté / nicht betroffen</v>
      </c>
      <c r="AC224" s="276" t="str">
        <f t="shared" si="18"/>
        <v>Non nécessaire / nicht nötig</v>
      </c>
      <c r="AD224" s="570" t="str">
        <f t="shared" si="19"/>
        <v>d</v>
      </c>
      <c r="AE224">
        <v>1</v>
      </c>
      <c r="AF224">
        <v>1</v>
      </c>
      <c r="AG224">
        <v>1</v>
      </c>
    </row>
    <row r="225" spans="1:33" ht="16.5" customHeight="1" x14ac:dyDescent="0.25">
      <c r="A225" s="1233">
        <v>318</v>
      </c>
      <c r="B225" s="409" t="s">
        <v>159</v>
      </c>
      <c r="C225" s="410" t="s">
        <v>160</v>
      </c>
      <c r="D225" s="411" t="s">
        <v>92</v>
      </c>
      <c r="E225" s="522" t="str">
        <f>IF(VLOOKUP(A225,'Charriage - Geschiebehaushalt'!$A$4:$AC$275,17,FALSE)="","",VLOOKUP(A225,'Charriage - Geschiebehaushalt'!$A$4:$AC$275,17,FALSE))</f>
        <v>51-80%</v>
      </c>
      <c r="F225" s="523" t="str">
        <f>IF(VLOOKUP(A225,'Charriage - Geschiebehaushalt'!$A$4:$AC$275,18,FALSE)="","",VLOOKUP(A225,'Charriage - Geschiebehaushalt'!$A$4:$AC$275,18,FALSE))</f>
        <v>a</v>
      </c>
      <c r="G225" s="524" t="str">
        <f>IF(VLOOKUP(A225,'Charriage - Geschiebehaushalt'!$A$4:$AC$275,22,FALSE)="","",VLOOKUP(A225,'Charriage - Geschiebehaushalt'!$A$4:$AC$275,22,FALSE))</f>
        <v>51-80%</v>
      </c>
      <c r="H225" s="523" t="str">
        <f>IF(VLOOKUP(A225,'Charriage - Geschiebehaushalt'!$A$4:$AC$275,23,FALSE)="","",VLOOKUP(A225,'Charriage - Geschiebehaushalt'!$A$4:$AC$275,23,FALSE))</f>
        <v>a</v>
      </c>
      <c r="I225" s="524" t="str">
        <f>IF(VLOOKUP(A225,'Charriage - Geschiebehaushalt'!$A$4:$AC$275,28,FALSE)="","",VLOOKUP(A225,'Charriage - Geschiebehaushalt'!$A$4:$AC$275,28,FALSE))</f>
        <v>21-50%</v>
      </c>
      <c r="J225" s="403" t="str">
        <f>IF(VLOOKUP(A225,'Charriage - Geschiebehaushalt'!$A$4:$AC$275,29,FALSE)="","",VLOOKUP(A225,'Charriage - Geschiebehaushalt'!$A$4:$AC$275,29,FALSE))</f>
        <v>a</v>
      </c>
      <c r="K225" s="533" t="str">
        <f>IF(VLOOKUP(A225,'Débit - Abfluss'!$A$4:$AD$275,8,FALSE)="","",VLOOKUP(A225,'Débit - Abfluss'!$A$4:$AD$275,8,FALSE))</f>
        <v>Régime présumé naturel (100%) / Abfluss vermutlich natürlich</v>
      </c>
      <c r="L225" s="468" t="str">
        <f>IF(VLOOKUP(A225,'Débit - Abfluss'!$A$4:$AD$275,10,FALSE)="","",VLOOKUP(A225,'Débit - Abfluss'!$A$4:$AD$275,10,FALSE))</f>
        <v>Régime présumé naturel (100%) / Abfluss vermutlich natürlich</v>
      </c>
      <c r="M225" s="333" t="str">
        <f>IF(VLOOKUP(A225,'Débit - Abfluss'!$A$4:$AD$275,17,FALSE)="","",VLOOKUP(A225,'Débit - Abfluss'!$A$4:$AD$275,17,FALSE))</f>
        <v>Régime présumé naturel (100%) / Abfluss vermutlich natürlich</v>
      </c>
      <c r="N225" s="340" t="str">
        <f>IF(VLOOKUP(A225,'Eclusée - Schwall-Sunk'!$A$2:$F$273,6,FALSE)="","",VLOOKUP(A225,'Eclusée - Schwall-Sunk'!$A$2:$F$273,6,FALSE))</f>
        <v>Non affecté / nicht betroffen</v>
      </c>
      <c r="O225" s="537"/>
      <c r="P225" s="538"/>
      <c r="Q225" s="284" t="str">
        <f>IF(VLOOKUP(A225,'Revitalisation-Revitalisierung'!$A$4:$Z$275,13,FALSE)="","",VLOOKUP(A225,'Revitalisation-Revitalisierung'!$A$4:$Z$275,13,FALSE))</f>
        <v>Non nécessaire / nicht nötig</v>
      </c>
      <c r="R225" s="541" t="str">
        <f>IF(VLOOKUP(A225,'Revitalisation-Revitalisierung'!$A$4:$Z$275,14,FALSE)="","",VLOOKUP(A225,'Revitalisation-Revitalisierung'!$A$4:$Z$275,14,FALSE))</f>
        <v>a</v>
      </c>
      <c r="S225" s="542" t="str">
        <f>IF(VLOOKUP(A225,'Revitalisation-Revitalisierung'!$A$4:$Z$275,19,FALSE)="","",VLOOKUP(A225,'Revitalisation-Revitalisierung'!$A$4:$Z$275,19,FALSE))</f>
        <v>Non nécessaire / nicht nötig</v>
      </c>
      <c r="T225" s="541" t="str">
        <f>IF(VLOOKUP(A225,'Revitalisation-Revitalisierung'!$A$4:$Z$275,20,FALSE)="","",VLOOKUP(A225,'Revitalisation-Revitalisierung'!$A$4:$Z$275,20,FALSE))</f>
        <v>a</v>
      </c>
      <c r="U225" s="542" t="str">
        <f>IF(VLOOKUP(A225,'Revitalisation-Revitalisierung'!$A$4:$Z$275,25,FALSE)="","",VLOOKUP(A225,'Revitalisation-Revitalisierung'!$A$4:$Z$275,25,FALSE))</f>
        <v>Non nécessaire / nicht nötig</v>
      </c>
      <c r="V225" s="406" t="str">
        <f>IF(VLOOKUP(A225,'Revitalisation-Revitalisierung'!$A$4:$Z$275,26,FALSE)="","",VLOOKUP(A225,'Revitalisation-Revitalisierung'!$A$4:$Z$275,26,FALSE))</f>
        <v>a</v>
      </c>
      <c r="Y225" s="529" t="str">
        <f t="shared" si="14"/>
        <v>21-50%</v>
      </c>
      <c r="Z225" s="568" t="str">
        <f t="shared" si="15"/>
        <v>a</v>
      </c>
      <c r="AA225" s="327" t="str">
        <f t="shared" si="16"/>
        <v>Régime présumé naturel (100%) / Abfluss vermutlich natürlich</v>
      </c>
      <c r="AB225" s="327" t="str">
        <f t="shared" si="17"/>
        <v>Non affecté / nicht betroffen</v>
      </c>
      <c r="AC225" s="276" t="str">
        <f t="shared" si="18"/>
        <v>Non nécessaire / nicht nötig</v>
      </c>
      <c r="AD225" s="570" t="str">
        <f t="shared" si="19"/>
        <v>a</v>
      </c>
      <c r="AE225" t="s">
        <v>1902</v>
      </c>
      <c r="AF225">
        <v>1</v>
      </c>
    </row>
    <row r="226" spans="1:33" ht="16.5" customHeight="1" x14ac:dyDescent="0.25">
      <c r="A226" s="928">
        <v>319</v>
      </c>
      <c r="B226" s="400" t="s">
        <v>161</v>
      </c>
      <c r="C226" s="400" t="s">
        <v>94</v>
      </c>
      <c r="D226" s="401" t="s">
        <v>92</v>
      </c>
      <c r="E226" s="522" t="str">
        <f>IF(VLOOKUP(A226,'Charriage - Geschiebehaushalt'!$A$4:$AC$275,17,FALSE)="","",VLOOKUP(A226,'Charriage - Geschiebehaushalt'!$A$4:$AC$275,17,FALSE))</f>
        <v>21-50%</v>
      </c>
      <c r="F226" s="523" t="str">
        <f>IF(VLOOKUP(A226,'Charriage - Geschiebehaushalt'!$A$4:$AC$275,18,FALSE)="","",VLOOKUP(A226,'Charriage - Geschiebehaushalt'!$A$4:$AC$275,18,FALSE))</f>
        <v>a</v>
      </c>
      <c r="G226" s="524" t="str">
        <f>IF(VLOOKUP(A226,'Charriage - Geschiebehaushalt'!$A$4:$AC$275,22,FALSE)="","",VLOOKUP(A226,'Charriage - Geschiebehaushalt'!$A$4:$AC$275,22,FALSE))</f>
        <v>0-20%</v>
      </c>
      <c r="H226" s="523" t="str">
        <f>IF(VLOOKUP(A226,'Charriage - Geschiebehaushalt'!$A$4:$AC$275,23,FALSE)="","",VLOOKUP(A226,'Charriage - Geschiebehaushalt'!$A$4:$AC$275,23,FALSE))</f>
        <v>c</v>
      </c>
      <c r="I226" s="524" t="str">
        <f>IF(VLOOKUP(A226,'Charriage - Geschiebehaushalt'!$A$4:$AC$275,28,FALSE)="","",VLOOKUP(A226,'Charriage - Geschiebehaushalt'!$A$4:$AC$275,28,FALSE))</f>
        <v>0-20%</v>
      </c>
      <c r="J226" s="403" t="str">
        <f>IF(VLOOKUP(A226,'Charriage - Geschiebehaushalt'!$A$4:$AC$275,29,FALSE)="","",VLOOKUP(A226,'Charriage - Geschiebehaushalt'!$A$4:$AC$275,29,FALSE))</f>
        <v>c</v>
      </c>
      <c r="K226" s="533" t="str">
        <f>IF(VLOOKUP(A226,'Débit - Abfluss'!$A$4:$AD$275,8,FALSE)="","",VLOOKUP(A226,'Débit - Abfluss'!$A$4:$AD$275,8,FALSE))</f>
        <v>81-100%</v>
      </c>
      <c r="L226" s="468" t="str">
        <f>IF(VLOOKUP(A226,'Débit - Abfluss'!$A$4:$AD$275,10,FALSE)="","",VLOOKUP(A226,'Débit - Abfluss'!$A$4:$AD$275,10,FALSE))</f>
        <v>81-100%</v>
      </c>
      <c r="M226" s="333" t="str">
        <f>IF(VLOOKUP(A226,'Débit - Abfluss'!$A$4:$AD$275,17,FALSE)="","",VLOOKUP(A226,'Débit - Abfluss'!$A$4:$AD$275,17,FALSE))</f>
        <v>81-100%</v>
      </c>
      <c r="N226" s="340" t="str">
        <f>IF(VLOOKUP(A226,'Eclusée - Schwall-Sunk'!$A$2:$F$273,6,FALSE)="","",VLOOKUP(A226,'Eclusée - Schwall-Sunk'!$A$2:$F$273,6,FALSE))</f>
        <v>Non affecté / nicht betroffen</v>
      </c>
      <c r="O226" s="537"/>
      <c r="P226" s="538"/>
      <c r="Q226" s="284" t="str">
        <f>IF(VLOOKUP(A226,'Revitalisation-Revitalisierung'!$A$4:$Z$275,13,FALSE)="","",VLOOKUP(A226,'Revitalisation-Revitalisierung'!$A$4:$Z$275,13,FALSE))</f>
        <v>Non nécessaire / nicht nötig</v>
      </c>
      <c r="R226" s="541" t="str">
        <f>IF(VLOOKUP(A226,'Revitalisation-Revitalisierung'!$A$4:$Z$275,14,FALSE)="","",VLOOKUP(A226,'Revitalisation-Revitalisierung'!$A$4:$Z$275,14,FALSE))</f>
        <v>a</v>
      </c>
      <c r="S226" s="542" t="str">
        <f>IF(VLOOKUP(A226,'Revitalisation-Revitalisierung'!$A$4:$Z$275,19,FALSE)="","",VLOOKUP(A226,'Revitalisation-Revitalisierung'!$A$4:$Z$275,19,FALSE))</f>
        <v>Non nécessaire / nicht nötig</v>
      </c>
      <c r="T226" s="541" t="str">
        <f>IF(VLOOKUP(A226,'Revitalisation-Revitalisierung'!$A$4:$Z$275,20,FALSE)="","",VLOOKUP(A226,'Revitalisation-Revitalisierung'!$A$4:$Z$275,20,FALSE))</f>
        <v>d</v>
      </c>
      <c r="U226" s="542" t="str">
        <f>IF(VLOOKUP(A226,'Revitalisation-Revitalisierung'!$A$4:$Z$275,25,FALSE)="","",VLOOKUP(A226,'Revitalisation-Revitalisierung'!$A$4:$Z$275,25,FALSE))</f>
        <v>Non nécessaire / nicht nötig</v>
      </c>
      <c r="V226" s="406" t="str">
        <f>IF(VLOOKUP(A226,'Revitalisation-Revitalisierung'!$A$4:$Z$275,26,FALSE)="","",VLOOKUP(A226,'Revitalisation-Revitalisierung'!$A$4:$Z$275,26,FALSE))</f>
        <v>d</v>
      </c>
      <c r="Y226" s="529" t="str">
        <f t="shared" ref="Y226:Y289" si="20">I226</f>
        <v>0-20%</v>
      </c>
      <c r="Z226" s="568" t="str">
        <f t="shared" ref="Z226:Z289" si="21">J226</f>
        <v>c</v>
      </c>
      <c r="AA226" s="327" t="str">
        <f t="shared" ref="AA226:AA289" si="22">M226</f>
        <v>81-100%</v>
      </c>
      <c r="AB226" s="327" t="str">
        <f t="shared" ref="AB226:AB289" si="23">N226</f>
        <v>Non affecté / nicht betroffen</v>
      </c>
      <c r="AC226" s="276" t="str">
        <f t="shared" ref="AC226:AC289" si="24">U226</f>
        <v>Non nécessaire / nicht nötig</v>
      </c>
      <c r="AD226" s="570" t="str">
        <f t="shared" ref="AD226:AD289" si="25">V226</f>
        <v>d</v>
      </c>
      <c r="AE226">
        <v>1</v>
      </c>
      <c r="AF226">
        <v>1</v>
      </c>
      <c r="AG226">
        <v>1</v>
      </c>
    </row>
    <row r="227" spans="1:33" ht="16.5" customHeight="1" x14ac:dyDescent="0.25">
      <c r="A227" s="1233">
        <v>320</v>
      </c>
      <c r="B227" s="409" t="s">
        <v>163</v>
      </c>
      <c r="C227" s="410" t="s">
        <v>164</v>
      </c>
      <c r="D227" s="411" t="s">
        <v>92</v>
      </c>
      <c r="E227" s="522" t="str">
        <f>IF(VLOOKUP(A227,'Charriage - Geschiebehaushalt'!$A$4:$AC$275,17,FALSE)="","",VLOOKUP(A227,'Charriage - Geschiebehaushalt'!$A$4:$AC$275,17,FALSE))</f>
        <v>21-50%</v>
      </c>
      <c r="F227" s="523" t="str">
        <f>IF(VLOOKUP(A227,'Charriage - Geschiebehaushalt'!$A$4:$AC$275,18,FALSE)="","",VLOOKUP(A227,'Charriage - Geschiebehaushalt'!$A$4:$AC$275,18,FALSE))</f>
        <v>a</v>
      </c>
      <c r="G227" s="524" t="str">
        <f>IF(VLOOKUP(A227,'Charriage - Geschiebehaushalt'!$A$4:$AC$275,22,FALSE)="","",VLOOKUP(A227,'Charriage - Geschiebehaushalt'!$A$4:$AC$275,22,FALSE))</f>
        <v>21-50%</v>
      </c>
      <c r="H227" s="523" t="str">
        <f>IF(VLOOKUP(A227,'Charriage - Geschiebehaushalt'!$A$4:$AC$275,23,FALSE)="","",VLOOKUP(A227,'Charriage - Geschiebehaushalt'!$A$4:$AC$275,23,FALSE))</f>
        <v>a</v>
      </c>
      <c r="I227" s="524" t="str">
        <f>IF(VLOOKUP(A227,'Charriage - Geschiebehaushalt'!$A$4:$AC$275,28,FALSE)="","",VLOOKUP(A227,'Charriage - Geschiebehaushalt'!$A$4:$AC$275,28,FALSE))</f>
        <v>21-50%</v>
      </c>
      <c r="J227" s="403" t="str">
        <f>IF(VLOOKUP(A227,'Charriage - Geschiebehaushalt'!$A$4:$AC$275,29,FALSE)="","",VLOOKUP(A227,'Charriage - Geschiebehaushalt'!$A$4:$AC$275,29,FALSE))</f>
        <v>a</v>
      </c>
      <c r="K227" s="533" t="str">
        <f>IF(VLOOKUP(A227,'Débit - Abfluss'!$A$4:$AD$275,8,FALSE)="","",VLOOKUP(A227,'Débit - Abfluss'!$A$4:$AD$275,8,FALSE))</f>
        <v>Régime présumé naturel (100%) / Abfluss vermutlich natürlich</v>
      </c>
      <c r="L227" s="468" t="str">
        <f>IF(VLOOKUP(A227,'Débit - Abfluss'!$A$4:$AD$275,10,FALSE)="","",VLOOKUP(A227,'Débit - Abfluss'!$A$4:$AD$275,10,FALSE))</f>
        <v>Régime présumé naturel (100%) / Abfluss vermutlich natürlich</v>
      </c>
      <c r="M227" s="333" t="str">
        <f>IF(VLOOKUP(A227,'Débit - Abfluss'!$A$4:$AD$275,17,FALSE)="","",VLOOKUP(A227,'Débit - Abfluss'!$A$4:$AD$275,17,FALSE))</f>
        <v>Régime présumé naturel (100%) / Abfluss vermutlich natürlich</v>
      </c>
      <c r="N227" s="340" t="str">
        <f>IF(VLOOKUP(A227,'Eclusée - Schwall-Sunk'!$A$2:$F$273,6,FALSE)="","",VLOOKUP(A227,'Eclusée - Schwall-Sunk'!$A$2:$F$273,6,FALSE))</f>
        <v>Non affecté / nicht betroffen</v>
      </c>
      <c r="O227" s="537"/>
      <c r="P227" s="538"/>
      <c r="Q227" s="284" t="str">
        <f>IF(VLOOKUP(A227,'Revitalisation-Revitalisierung'!$A$4:$Z$275,13,FALSE)="","",VLOOKUP(A227,'Revitalisation-Revitalisierung'!$A$4:$Z$275,13,FALSE))</f>
        <v>Non nécessaire / nicht nötig</v>
      </c>
      <c r="R227" s="541" t="str">
        <f>IF(VLOOKUP(A227,'Revitalisation-Revitalisierung'!$A$4:$Z$275,14,FALSE)="","",VLOOKUP(A227,'Revitalisation-Revitalisierung'!$A$4:$Z$275,14,FALSE))</f>
        <v>a</v>
      </c>
      <c r="S227" s="542" t="str">
        <f>IF(VLOOKUP(A227,'Revitalisation-Revitalisierung'!$A$4:$Z$275,19,FALSE)="","",VLOOKUP(A227,'Revitalisation-Revitalisierung'!$A$4:$Z$275,19,FALSE))</f>
        <v>Non nécessaire / nicht nötig</v>
      </c>
      <c r="T227" s="541" t="str">
        <f>IF(VLOOKUP(A227,'Revitalisation-Revitalisierung'!$A$4:$Z$275,20,FALSE)="","",VLOOKUP(A227,'Revitalisation-Revitalisierung'!$A$4:$Z$275,20,FALSE))</f>
        <v>d</v>
      </c>
      <c r="U227" s="542" t="str">
        <f>IF(VLOOKUP(A227,'Revitalisation-Revitalisierung'!$A$4:$Z$275,25,FALSE)="","",VLOOKUP(A227,'Revitalisation-Revitalisierung'!$A$4:$Z$275,25,FALSE))</f>
        <v>Non nécessaire / nicht nötig</v>
      </c>
      <c r="V227" s="406" t="str">
        <f>IF(VLOOKUP(A227,'Revitalisation-Revitalisierung'!$A$4:$Z$275,26,FALSE)="","",VLOOKUP(A227,'Revitalisation-Revitalisierung'!$A$4:$Z$275,26,FALSE))</f>
        <v>d</v>
      </c>
      <c r="Y227" s="529" t="str">
        <f t="shared" si="20"/>
        <v>21-50%</v>
      </c>
      <c r="Z227" s="568" t="str">
        <f t="shared" si="21"/>
        <v>a</v>
      </c>
      <c r="AA227" s="327" t="str">
        <f t="shared" si="22"/>
        <v>Régime présumé naturel (100%) / Abfluss vermutlich natürlich</v>
      </c>
      <c r="AB227" s="327" t="str">
        <f t="shared" si="23"/>
        <v>Non affecté / nicht betroffen</v>
      </c>
      <c r="AC227" s="276" t="str">
        <f t="shared" si="24"/>
        <v>Non nécessaire / nicht nötig</v>
      </c>
      <c r="AD227" s="570" t="str">
        <f t="shared" si="25"/>
        <v>d</v>
      </c>
      <c r="AE227" t="s">
        <v>1902</v>
      </c>
      <c r="AF227">
        <v>1</v>
      </c>
    </row>
    <row r="228" spans="1:33" ht="16.5" customHeight="1" x14ac:dyDescent="0.25">
      <c r="A228" s="928">
        <v>321</v>
      </c>
      <c r="B228" s="400" t="s">
        <v>165</v>
      </c>
      <c r="C228" s="400" t="s">
        <v>94</v>
      </c>
      <c r="D228" s="401" t="s">
        <v>92</v>
      </c>
      <c r="E228" s="522" t="str">
        <f>IF(VLOOKUP(A228,'Charriage - Geschiebehaushalt'!$A$4:$AC$275,17,FALSE)="","",VLOOKUP(A228,'Charriage - Geschiebehaushalt'!$A$4:$AC$275,17,FALSE))</f>
        <v>21-50%</v>
      </c>
      <c r="F228" s="523" t="str">
        <f>IF(VLOOKUP(A228,'Charriage - Geschiebehaushalt'!$A$4:$AC$275,18,FALSE)="","",VLOOKUP(A228,'Charriage - Geschiebehaushalt'!$A$4:$AC$275,18,FALSE))</f>
        <v>a</v>
      </c>
      <c r="G228" s="524" t="str">
        <f>IF(VLOOKUP(A228,'Charriage - Geschiebehaushalt'!$A$4:$AC$275,22,FALSE)="","",VLOOKUP(A228,'Charriage - Geschiebehaushalt'!$A$4:$AC$275,22,FALSE))</f>
        <v>21-50%</v>
      </c>
      <c r="H228" s="523" t="str">
        <f>IF(VLOOKUP(A228,'Charriage - Geschiebehaushalt'!$A$4:$AC$275,23,FALSE)="","",VLOOKUP(A228,'Charriage - Geschiebehaushalt'!$A$4:$AC$275,23,FALSE))</f>
        <v>a</v>
      </c>
      <c r="I228" s="524" t="str">
        <f>IF(VLOOKUP(A228,'Charriage - Geschiebehaushalt'!$A$4:$AC$275,28,FALSE)="","",VLOOKUP(A228,'Charriage - Geschiebehaushalt'!$A$4:$AC$275,28,FALSE))</f>
        <v>21-50%</v>
      </c>
      <c r="J228" s="403" t="str">
        <f>IF(VLOOKUP(A228,'Charriage - Geschiebehaushalt'!$A$4:$AC$275,29,FALSE)="","",VLOOKUP(A228,'Charriage - Geschiebehaushalt'!$A$4:$AC$275,29,FALSE))</f>
        <v>a</v>
      </c>
      <c r="K228" s="533" t="str">
        <f>IF(VLOOKUP(A228,'Débit - Abfluss'!$A$4:$AD$275,8,FALSE)="","",VLOOKUP(A228,'Débit - Abfluss'!$A$4:$AD$275,8,FALSE))</f>
        <v>100%</v>
      </c>
      <c r="L228" s="468" t="str">
        <f>IF(VLOOKUP(A228,'Débit - Abfluss'!$A$4:$AD$275,10,FALSE)="","",VLOOKUP(A228,'Débit - Abfluss'!$A$4:$AD$275,10,FALSE))</f>
        <v>100%</v>
      </c>
      <c r="M228" s="333" t="str">
        <f>IF(VLOOKUP(A228,'Débit - Abfluss'!$A$4:$AD$275,17,FALSE)="","",VLOOKUP(A228,'Débit - Abfluss'!$A$4:$AD$275,17,FALSE))</f>
        <v>100%</v>
      </c>
      <c r="N228" s="340" t="str">
        <f>IF(VLOOKUP(A228,'Eclusée - Schwall-Sunk'!$A$2:$F$273,6,FALSE)="","",VLOOKUP(A228,'Eclusée - Schwall-Sunk'!$A$2:$F$273,6,FALSE))</f>
        <v>Non affecté / nicht betroffen</v>
      </c>
      <c r="O228" s="537"/>
      <c r="P228" s="538"/>
      <c r="Q228" s="284" t="str">
        <f>IF(VLOOKUP(A228,'Revitalisation-Revitalisierung'!$A$4:$Z$275,13,FALSE)="","",VLOOKUP(A228,'Revitalisation-Revitalisierung'!$A$4:$Z$275,13,FALSE))</f>
        <v>Non nécessaire / nicht nötig</v>
      </c>
      <c r="R228" s="541" t="str">
        <f>IF(VLOOKUP(A228,'Revitalisation-Revitalisierung'!$A$4:$Z$275,14,FALSE)="","",VLOOKUP(A228,'Revitalisation-Revitalisierung'!$A$4:$Z$275,14,FALSE))</f>
        <v>a</v>
      </c>
      <c r="S228" s="542" t="str">
        <f>IF(VLOOKUP(A228,'Revitalisation-Revitalisierung'!$A$4:$Z$275,19,FALSE)="","",VLOOKUP(A228,'Revitalisation-Revitalisierung'!$A$4:$Z$275,19,FALSE))</f>
        <v>Non nécessaire / nicht nötig</v>
      </c>
      <c r="T228" s="541" t="str">
        <f>IF(VLOOKUP(A228,'Revitalisation-Revitalisierung'!$A$4:$Z$275,20,FALSE)="","",VLOOKUP(A228,'Revitalisation-Revitalisierung'!$A$4:$Z$275,20,FALSE))</f>
        <v>d</v>
      </c>
      <c r="U228" s="542" t="str">
        <f>IF(VLOOKUP(A228,'Revitalisation-Revitalisierung'!$A$4:$Z$275,25,FALSE)="","",VLOOKUP(A228,'Revitalisation-Revitalisierung'!$A$4:$Z$275,25,FALSE))</f>
        <v>Non nécessaire / nicht nötig</v>
      </c>
      <c r="V228" s="406" t="str">
        <f>IF(VLOOKUP(A228,'Revitalisation-Revitalisierung'!$A$4:$Z$275,26,FALSE)="","",VLOOKUP(A228,'Revitalisation-Revitalisierung'!$A$4:$Z$275,26,FALSE))</f>
        <v>d</v>
      </c>
      <c r="Y228" s="529" t="str">
        <f t="shared" si="20"/>
        <v>21-50%</v>
      </c>
      <c r="Z228" s="568" t="str">
        <f t="shared" si="21"/>
        <v>a</v>
      </c>
      <c r="AA228" s="327" t="str">
        <f t="shared" si="22"/>
        <v>100%</v>
      </c>
      <c r="AB228" s="327" t="str">
        <f t="shared" si="23"/>
        <v>Non affecté / nicht betroffen</v>
      </c>
      <c r="AC228" s="276" t="str">
        <f t="shared" si="24"/>
        <v>Non nécessaire / nicht nötig</v>
      </c>
      <c r="AD228" s="570" t="str">
        <f t="shared" si="25"/>
        <v>d</v>
      </c>
      <c r="AE228" t="s">
        <v>1902</v>
      </c>
      <c r="AF228">
        <v>1</v>
      </c>
    </row>
    <row r="229" spans="1:33" ht="16.5" customHeight="1" x14ac:dyDescent="0.25">
      <c r="A229" s="928">
        <v>322</v>
      </c>
      <c r="B229" s="400" t="s">
        <v>166</v>
      </c>
      <c r="C229" s="400" t="s">
        <v>167</v>
      </c>
      <c r="D229" s="401" t="s">
        <v>92</v>
      </c>
      <c r="E229" s="522" t="str">
        <f>IF(VLOOKUP(A229,'Charriage - Geschiebehaushalt'!$A$4:$AC$275,17,FALSE)="","",VLOOKUP(A229,'Charriage - Geschiebehaushalt'!$A$4:$AC$275,17,FALSE))</f>
        <v>0-20%</v>
      </c>
      <c r="F229" s="523" t="str">
        <f>IF(VLOOKUP(A229,'Charriage - Geschiebehaushalt'!$A$4:$AC$275,18,FALSE)="","",VLOOKUP(A229,'Charriage - Geschiebehaushalt'!$A$4:$AC$275,18,FALSE))</f>
        <v>a</v>
      </c>
      <c r="G229" s="524" t="str">
        <f>IF(VLOOKUP(A229,'Charriage - Geschiebehaushalt'!$A$4:$AC$275,22,FALSE)="","",VLOOKUP(A229,'Charriage - Geschiebehaushalt'!$A$4:$AC$275,22,FALSE))</f>
        <v>0-20%</v>
      </c>
      <c r="H229" s="523" t="str">
        <f>IF(VLOOKUP(A229,'Charriage - Geschiebehaushalt'!$A$4:$AC$275,23,FALSE)="","",VLOOKUP(A229,'Charriage - Geschiebehaushalt'!$A$4:$AC$275,23,FALSE))</f>
        <v>a</v>
      </c>
      <c r="I229" s="524" t="str">
        <f>IF(VLOOKUP(A229,'Charriage - Geschiebehaushalt'!$A$4:$AC$275,28,FALSE)="","",VLOOKUP(A229,'Charriage - Geschiebehaushalt'!$A$4:$AC$275,28,FALSE))</f>
        <v>0-20%</v>
      </c>
      <c r="J229" s="403" t="str">
        <f>IF(VLOOKUP(A229,'Charriage - Geschiebehaushalt'!$A$4:$AC$275,29,FALSE)="","",VLOOKUP(A229,'Charriage - Geschiebehaushalt'!$A$4:$AC$275,29,FALSE))</f>
        <v>a</v>
      </c>
      <c r="K229" s="533" t="str">
        <f>IF(VLOOKUP(A229,'Débit - Abfluss'!$A$4:$AD$275,8,FALSE)="","",VLOOKUP(A229,'Débit - Abfluss'!$A$4:$AD$275,8,FALSE))</f>
        <v>100%</v>
      </c>
      <c r="L229" s="468" t="str">
        <f>IF(VLOOKUP(A229,'Débit - Abfluss'!$A$4:$AD$275,10,FALSE)="","",VLOOKUP(A229,'Débit - Abfluss'!$A$4:$AD$275,10,FALSE))</f>
        <v>100%</v>
      </c>
      <c r="M229" s="333" t="str">
        <f>IF(VLOOKUP(A229,'Débit - Abfluss'!$A$4:$AD$275,17,FALSE)="","",VLOOKUP(A229,'Débit - Abfluss'!$A$4:$AD$275,17,FALSE))</f>
        <v>100%</v>
      </c>
      <c r="N229" s="340" t="str">
        <f>IF(VLOOKUP(A229,'Eclusée - Schwall-Sunk'!$A$2:$F$273,6,FALSE)="","",VLOOKUP(A229,'Eclusée - Schwall-Sunk'!$A$2:$F$273,6,FALSE))</f>
        <v>Non affecté / nicht betroffen</v>
      </c>
      <c r="O229" s="537"/>
      <c r="P229" s="538"/>
      <c r="Q229" s="284" t="str">
        <f>IF(VLOOKUP(A229,'Revitalisation-Revitalisierung'!$A$4:$Z$275,13,FALSE)="","",VLOOKUP(A229,'Revitalisation-Revitalisierung'!$A$4:$Z$275,13,FALSE))</f>
        <v>Non nécessaire / nicht nötig</v>
      </c>
      <c r="R229" s="541" t="str">
        <f>IF(VLOOKUP(A229,'Revitalisation-Revitalisierung'!$A$4:$Z$275,14,FALSE)="","",VLOOKUP(A229,'Revitalisation-Revitalisierung'!$A$4:$Z$275,14,FALSE))</f>
        <v>b</v>
      </c>
      <c r="S229" s="542" t="str">
        <f>IF(VLOOKUP(A229,'Revitalisation-Revitalisierung'!$A$4:$Z$275,19,FALSE)="","",VLOOKUP(A229,'Revitalisation-Revitalisierung'!$A$4:$Z$275,19,FALSE))</f>
        <v>Non nécessaire / nicht nötig</v>
      </c>
      <c r="T229" s="541" t="str">
        <f>IF(VLOOKUP(A229,'Revitalisation-Revitalisierung'!$A$4:$Z$275,20,FALSE)="","",VLOOKUP(A229,'Revitalisation-Revitalisierung'!$A$4:$Z$275,20,FALSE))</f>
        <v>d</v>
      </c>
      <c r="U229" s="542" t="str">
        <f>IF(VLOOKUP(A229,'Revitalisation-Revitalisierung'!$A$4:$Z$275,25,FALSE)="","",VLOOKUP(A229,'Revitalisation-Revitalisierung'!$A$4:$Z$275,25,FALSE))</f>
        <v>Non nécessaire / nicht nötig</v>
      </c>
      <c r="V229" s="406" t="str">
        <f>IF(VLOOKUP(A229,'Revitalisation-Revitalisierung'!$A$4:$Z$275,26,FALSE)="","",VLOOKUP(A229,'Revitalisation-Revitalisierung'!$A$4:$Z$275,26,FALSE))</f>
        <v>d</v>
      </c>
      <c r="Y229" s="529" t="str">
        <f t="shared" si="20"/>
        <v>0-20%</v>
      </c>
      <c r="Z229" s="568" t="str">
        <f t="shared" si="21"/>
        <v>a</v>
      </c>
      <c r="AA229" s="327" t="str">
        <f t="shared" si="22"/>
        <v>100%</v>
      </c>
      <c r="AB229" s="327" t="str">
        <f t="shared" si="23"/>
        <v>Non affecté / nicht betroffen</v>
      </c>
      <c r="AC229" s="276" t="str">
        <f t="shared" si="24"/>
        <v>Non nécessaire / nicht nötig</v>
      </c>
      <c r="AD229" s="570" t="str">
        <f t="shared" si="25"/>
        <v>d</v>
      </c>
      <c r="AE229">
        <v>1</v>
      </c>
      <c r="AF229">
        <v>1</v>
      </c>
      <c r="AG229">
        <v>1</v>
      </c>
    </row>
    <row r="230" spans="1:33" ht="16.5" customHeight="1" x14ac:dyDescent="0.25">
      <c r="A230" s="928">
        <v>323</v>
      </c>
      <c r="B230" s="400" t="s">
        <v>168</v>
      </c>
      <c r="C230" s="400" t="s">
        <v>169</v>
      </c>
      <c r="D230" s="401" t="s">
        <v>92</v>
      </c>
      <c r="E230" s="522" t="str">
        <f>IF(VLOOKUP(A230,'Charriage - Geschiebehaushalt'!$A$4:$AC$275,17,FALSE)="","",VLOOKUP(A230,'Charriage - Geschiebehaushalt'!$A$4:$AC$275,17,FALSE))</f>
        <v>Charriage présumé naturel / Geschiebehaushalt vermutlich natürlich</v>
      </c>
      <c r="F230" s="523" t="str">
        <f>IF(VLOOKUP(A230,'Charriage - Geschiebehaushalt'!$A$4:$AC$275,18,FALSE)="","",VLOOKUP(A230,'Charriage - Geschiebehaushalt'!$A$4:$AC$275,18,FALSE))</f>
        <v>b</v>
      </c>
      <c r="G230" s="524" t="str">
        <f>IF(VLOOKUP(A230,'Charriage - Geschiebehaushalt'!$A$4:$AC$275,22,FALSE)="","",VLOOKUP(A230,'Charriage - Geschiebehaushalt'!$A$4:$AC$275,22,FALSE))</f>
        <v>0-20%</v>
      </c>
      <c r="H230" s="523" t="str">
        <f>IF(VLOOKUP(A230,'Charriage - Geschiebehaushalt'!$A$4:$AC$275,23,FALSE)="","",VLOOKUP(A230,'Charriage - Geschiebehaushalt'!$A$4:$AC$275,23,FALSE))</f>
        <v>b</v>
      </c>
      <c r="I230" s="524" t="str">
        <f>IF(VLOOKUP(A230,'Charriage - Geschiebehaushalt'!$A$4:$AC$275,28,FALSE)="","",VLOOKUP(A230,'Charriage - Geschiebehaushalt'!$A$4:$AC$275,28,FALSE))</f>
        <v>0-20%</v>
      </c>
      <c r="J230" s="403" t="str">
        <f>IF(VLOOKUP(A230,'Charriage - Geschiebehaushalt'!$A$4:$AC$275,29,FALSE)="","",VLOOKUP(A230,'Charriage - Geschiebehaushalt'!$A$4:$AC$275,29,FALSE))</f>
        <v>b</v>
      </c>
      <c r="K230" s="533" t="str">
        <f>IF(VLOOKUP(A230,'Débit - Abfluss'!$A$4:$AD$275,8,FALSE)="","",VLOOKUP(A230,'Débit - Abfluss'!$A$4:$AD$275,8,FALSE))</f>
        <v>100%</v>
      </c>
      <c r="L230" s="468" t="str">
        <f>IF(VLOOKUP(A230,'Débit - Abfluss'!$A$4:$AD$275,10,FALSE)="","",VLOOKUP(A230,'Débit - Abfluss'!$A$4:$AD$275,10,FALSE))</f>
        <v>100%</v>
      </c>
      <c r="M230" s="333" t="str">
        <f>IF(VLOOKUP(A230,'Débit - Abfluss'!$A$4:$AD$275,17,FALSE)="","",VLOOKUP(A230,'Débit - Abfluss'!$A$4:$AD$275,17,FALSE))</f>
        <v>100%</v>
      </c>
      <c r="N230" s="340" t="str">
        <f>IF(VLOOKUP(A230,'Eclusée - Schwall-Sunk'!$A$2:$F$273,6,FALSE)="","",VLOOKUP(A230,'Eclusée - Schwall-Sunk'!$A$2:$F$273,6,FALSE))</f>
        <v>Non affecté / nicht betroffen</v>
      </c>
      <c r="O230" s="537"/>
      <c r="P230" s="538"/>
      <c r="Q230" s="284" t="str">
        <f>IF(VLOOKUP(A230,'Revitalisation-Revitalisierung'!$A$4:$Z$275,13,FALSE)="","",VLOOKUP(A230,'Revitalisation-Revitalisierung'!$A$4:$Z$275,13,FALSE))</f>
        <v>Partiellement nécessaire, facile / teilweise nötig, einfach</v>
      </c>
      <c r="R230" s="541" t="str">
        <f>IF(VLOOKUP(A230,'Revitalisation-Revitalisierung'!$A$4:$Z$275,14,FALSE)="","",VLOOKUP(A230,'Revitalisation-Revitalisierung'!$A$4:$Z$275,14,FALSE))</f>
        <v>a</v>
      </c>
      <c r="S230" s="542" t="str">
        <f>IF(VLOOKUP(A230,'Revitalisation-Revitalisierung'!$A$4:$Z$275,19,FALSE)="","",VLOOKUP(A230,'Revitalisation-Revitalisierung'!$A$4:$Z$275,19,FALSE))</f>
        <v>Très nécessaire, facile / unbedingt nötig, einfach</v>
      </c>
      <c r="T230" s="541" t="str">
        <f>IF(VLOOKUP(A230,'Revitalisation-Revitalisierung'!$A$4:$Z$275,20,FALSE)="","",VLOOKUP(A230,'Revitalisation-Revitalisierung'!$A$4:$Z$275,20,FALSE))</f>
        <v>c</v>
      </c>
      <c r="U230" s="542" t="str">
        <f>IF(VLOOKUP(A230,'Revitalisation-Revitalisierung'!$A$4:$Z$275,25,FALSE)="","",VLOOKUP(A230,'Revitalisation-Revitalisierung'!$A$4:$Z$275,25,FALSE))</f>
        <v>Partiellement nécessaire, facile / teilweise nötig, einfach</v>
      </c>
      <c r="V230" s="406" t="str">
        <f>IF(VLOOKUP(A230,'Revitalisation-Revitalisierung'!$A$4:$Z$275,26,FALSE)="","",VLOOKUP(A230,'Revitalisation-Revitalisierung'!$A$4:$Z$275,26,FALSE))</f>
        <v>e</v>
      </c>
      <c r="Y230" s="529" t="str">
        <f t="shared" si="20"/>
        <v>0-20%</v>
      </c>
      <c r="Z230" s="568" t="str">
        <f t="shared" si="21"/>
        <v>b</v>
      </c>
      <c r="AA230" s="327" t="str">
        <f t="shared" si="22"/>
        <v>100%</v>
      </c>
      <c r="AB230" s="327" t="str">
        <f t="shared" si="23"/>
        <v>Non affecté / nicht betroffen</v>
      </c>
      <c r="AC230" s="276" t="str">
        <f t="shared" si="24"/>
        <v>Partiellement nécessaire, facile / teilweise nötig, einfach</v>
      </c>
      <c r="AD230" s="570" t="str">
        <f t="shared" si="25"/>
        <v>e</v>
      </c>
      <c r="AE230">
        <v>2</v>
      </c>
      <c r="AF230">
        <v>1</v>
      </c>
    </row>
    <row r="231" spans="1:33" ht="16.5" customHeight="1" x14ac:dyDescent="0.25">
      <c r="A231" s="928">
        <v>324</v>
      </c>
      <c r="B231" s="400" t="s">
        <v>171</v>
      </c>
      <c r="C231" s="400" t="s">
        <v>172</v>
      </c>
      <c r="D231" s="401" t="s">
        <v>92</v>
      </c>
      <c r="E231" s="522" t="str">
        <f>IF(VLOOKUP(A231,'Charriage - Geschiebehaushalt'!$A$4:$AC$275,17,FALSE)="","",VLOOKUP(A231,'Charriage - Geschiebehaushalt'!$A$4:$AC$275,17,FALSE))</f>
        <v>Charriage présumé naturel / Geschiebehaushalt vermutlich natürlich</v>
      </c>
      <c r="F231" s="523" t="str">
        <f>IF(VLOOKUP(A231,'Charriage - Geschiebehaushalt'!$A$4:$AC$275,18,FALSE)="","",VLOOKUP(A231,'Charriage - Geschiebehaushalt'!$A$4:$AC$275,18,FALSE))</f>
        <v>b</v>
      </c>
      <c r="G231" s="524" t="str">
        <f>IF(VLOOKUP(A231,'Charriage - Geschiebehaushalt'!$A$4:$AC$275,22,FALSE)="","",VLOOKUP(A231,'Charriage - Geschiebehaushalt'!$A$4:$AC$275,22,FALSE))</f>
        <v>0-20%</v>
      </c>
      <c r="H231" s="523" t="str">
        <f>IF(VLOOKUP(A231,'Charriage - Geschiebehaushalt'!$A$4:$AC$275,23,FALSE)="","",VLOOKUP(A231,'Charriage - Geschiebehaushalt'!$A$4:$AC$275,23,FALSE))</f>
        <v>b</v>
      </c>
      <c r="I231" s="524" t="str">
        <f>IF(VLOOKUP(A231,'Charriage - Geschiebehaushalt'!$A$4:$AC$275,28,FALSE)="","",VLOOKUP(A231,'Charriage - Geschiebehaushalt'!$A$4:$AC$275,28,FALSE))</f>
        <v>0-20%</v>
      </c>
      <c r="J231" s="403" t="str">
        <f>IF(VLOOKUP(A231,'Charriage - Geschiebehaushalt'!$A$4:$AC$275,29,FALSE)="","",VLOOKUP(A231,'Charriage - Geschiebehaushalt'!$A$4:$AC$275,29,FALSE))</f>
        <v>b</v>
      </c>
      <c r="K231" s="533" t="str">
        <f>IF(VLOOKUP(A231,'Débit - Abfluss'!$A$4:$AD$275,8,FALSE)="","",VLOOKUP(A231,'Débit - Abfluss'!$A$4:$AD$275,8,FALSE))</f>
        <v>100%</v>
      </c>
      <c r="L231" s="468" t="str">
        <f>IF(VLOOKUP(A231,'Débit - Abfluss'!$A$4:$AD$275,10,FALSE)="","",VLOOKUP(A231,'Débit - Abfluss'!$A$4:$AD$275,10,FALSE))</f>
        <v>100%</v>
      </c>
      <c r="M231" s="333" t="str">
        <f>IF(VLOOKUP(A231,'Débit - Abfluss'!$A$4:$AD$275,17,FALSE)="","",VLOOKUP(A231,'Débit - Abfluss'!$A$4:$AD$275,17,FALSE))</f>
        <v>100%</v>
      </c>
      <c r="N231" s="340" t="str">
        <f>IF(VLOOKUP(A231,'Eclusée - Schwall-Sunk'!$A$2:$F$273,6,FALSE)="","",VLOOKUP(A231,'Eclusée - Schwall-Sunk'!$A$2:$F$273,6,FALSE))</f>
        <v>Non affecté / nicht betroffen</v>
      </c>
      <c r="O231" s="537"/>
      <c r="P231" s="538"/>
      <c r="Q231" s="284" t="str">
        <f>IF(VLOOKUP(A231,'Revitalisation-Revitalisierung'!$A$4:$Z$275,13,FALSE)="","",VLOOKUP(A231,'Revitalisation-Revitalisierung'!$A$4:$Z$275,13,FALSE))</f>
        <v>Partiellement nécessaire, facile / teilweise nötig, einfach</v>
      </c>
      <c r="R231" s="541" t="str">
        <f>IF(VLOOKUP(A231,'Revitalisation-Revitalisierung'!$A$4:$Z$275,14,FALSE)="","",VLOOKUP(A231,'Revitalisation-Revitalisierung'!$A$4:$Z$275,14,FALSE))</f>
        <v>a</v>
      </c>
      <c r="S231" s="542" t="str">
        <f>IF(VLOOKUP(A231,'Revitalisation-Revitalisierung'!$A$4:$Z$275,19,FALSE)="","",VLOOKUP(A231,'Revitalisation-Revitalisierung'!$A$4:$Z$275,19,FALSE))</f>
        <v>Partiellement nécessaire, facile / teilweise nötig, einfach</v>
      </c>
      <c r="T231" s="541" t="str">
        <f>IF(VLOOKUP(A231,'Revitalisation-Revitalisierung'!$A$4:$Z$275,20,FALSE)="","",VLOOKUP(A231,'Revitalisation-Revitalisierung'!$A$4:$Z$275,20,FALSE))</f>
        <v>e</v>
      </c>
      <c r="U231" s="542" t="str">
        <f>IF(VLOOKUP(A231,'Revitalisation-Revitalisierung'!$A$4:$Z$275,25,FALSE)="","",VLOOKUP(A231,'Revitalisation-Revitalisierung'!$A$4:$Z$275,25,FALSE))</f>
        <v>Non nécessaire / nicht nötig</v>
      </c>
      <c r="V231" s="406" t="str">
        <f>IF(VLOOKUP(A231,'Revitalisation-Revitalisierung'!$A$4:$Z$275,26,FALSE)="","",VLOOKUP(A231,'Revitalisation-Revitalisierung'!$A$4:$Z$275,26,FALSE))</f>
        <v>c</v>
      </c>
      <c r="Y231" s="529" t="str">
        <f t="shared" si="20"/>
        <v>0-20%</v>
      </c>
      <c r="Z231" s="568" t="str">
        <f t="shared" si="21"/>
        <v>b</v>
      </c>
      <c r="AA231" s="327" t="str">
        <f t="shared" si="22"/>
        <v>100%</v>
      </c>
      <c r="AB231" s="327" t="str">
        <f t="shared" si="23"/>
        <v>Non affecté / nicht betroffen</v>
      </c>
      <c r="AC231" s="276" t="str">
        <f t="shared" si="24"/>
        <v>Non nécessaire / nicht nötig</v>
      </c>
      <c r="AD231" s="570" t="str">
        <f t="shared" si="25"/>
        <v>c</v>
      </c>
      <c r="AE231">
        <v>1</v>
      </c>
      <c r="AF231">
        <v>1</v>
      </c>
      <c r="AG231">
        <v>1</v>
      </c>
    </row>
    <row r="232" spans="1:33" ht="16.5" customHeight="1" x14ac:dyDescent="0.25">
      <c r="A232" s="928">
        <v>325</v>
      </c>
      <c r="B232" s="400" t="s">
        <v>174</v>
      </c>
      <c r="C232" s="400" t="s">
        <v>125</v>
      </c>
      <c r="D232" s="401" t="s">
        <v>92</v>
      </c>
      <c r="E232" s="522" t="str">
        <f>IF(VLOOKUP(A232,'Charriage - Geschiebehaushalt'!$A$4:$AC$275,17,FALSE)="","",VLOOKUP(A232,'Charriage - Geschiebehaushalt'!$A$4:$AC$275,17,FALSE))</f>
        <v>0-20%</v>
      </c>
      <c r="F232" s="523" t="str">
        <f>IF(VLOOKUP(A232,'Charriage - Geschiebehaushalt'!$A$4:$AC$275,18,FALSE)="","",VLOOKUP(A232,'Charriage - Geschiebehaushalt'!$A$4:$AC$275,18,FALSE))</f>
        <v>a</v>
      </c>
      <c r="G232" s="524" t="str">
        <f>IF(VLOOKUP(A232,'Charriage - Geschiebehaushalt'!$A$4:$AC$275,22,FALSE)="","",VLOOKUP(A232,'Charriage - Geschiebehaushalt'!$A$4:$AC$275,22,FALSE))</f>
        <v>0-20%</v>
      </c>
      <c r="H232" s="523" t="str">
        <f>IF(VLOOKUP(A232,'Charriage - Geschiebehaushalt'!$A$4:$AC$275,23,FALSE)="","",VLOOKUP(A232,'Charriage - Geschiebehaushalt'!$A$4:$AC$275,23,FALSE))</f>
        <v>a</v>
      </c>
      <c r="I232" s="524" t="str">
        <f>IF(VLOOKUP(A232,'Charriage - Geschiebehaushalt'!$A$4:$AC$275,28,FALSE)="","",VLOOKUP(A232,'Charriage - Geschiebehaushalt'!$A$4:$AC$275,28,FALSE))</f>
        <v>0-20%</v>
      </c>
      <c r="J232" s="403" t="str">
        <f>IF(VLOOKUP(A232,'Charriage - Geschiebehaushalt'!$A$4:$AC$275,29,FALSE)="","",VLOOKUP(A232,'Charriage - Geschiebehaushalt'!$A$4:$AC$275,29,FALSE))</f>
        <v>a</v>
      </c>
      <c r="K232" s="533" t="str">
        <f>IF(VLOOKUP(A232,'Débit - Abfluss'!$A$4:$AD$275,8,FALSE)="","",VLOOKUP(A232,'Débit - Abfluss'!$A$4:$AD$275,8,FALSE))</f>
        <v>81-100%</v>
      </c>
      <c r="L232" s="468" t="str">
        <f>IF(VLOOKUP(A232,'Débit - Abfluss'!$A$4:$AD$275,10,FALSE)="","",VLOOKUP(A232,'Débit - Abfluss'!$A$4:$AD$275,10,FALSE))</f>
        <v>81-100%</v>
      </c>
      <c r="M232" s="333" t="str">
        <f>IF(VLOOKUP(A232,'Débit - Abfluss'!$A$4:$AD$275,17,FALSE)="","",VLOOKUP(A232,'Débit - Abfluss'!$A$4:$AD$275,17,FALSE))</f>
        <v>81-100%</v>
      </c>
      <c r="N232" s="340" t="str">
        <f>IF(VLOOKUP(A232,'Eclusée - Schwall-Sunk'!$A$2:$F$273,6,FALSE)="","",VLOOKUP(A232,'Eclusée - Schwall-Sunk'!$A$2:$F$273,6,FALSE))</f>
        <v>Non affecté / nicht betroffen</v>
      </c>
      <c r="O232" s="537"/>
      <c r="P232" s="538"/>
      <c r="Q232" s="284" t="str">
        <f>IF(VLOOKUP(A232,'Revitalisation-Revitalisierung'!$A$4:$Z$275,13,FALSE)="","",VLOOKUP(A232,'Revitalisation-Revitalisierung'!$A$4:$Z$275,13,FALSE))</f>
        <v>Non nécessaire / nicht nötig</v>
      </c>
      <c r="R232" s="541" t="str">
        <f>IF(VLOOKUP(A232,'Revitalisation-Revitalisierung'!$A$4:$Z$275,14,FALSE)="","",VLOOKUP(A232,'Revitalisation-Revitalisierung'!$A$4:$Z$275,14,FALSE))</f>
        <v>b</v>
      </c>
      <c r="S232" s="542" t="str">
        <f>IF(VLOOKUP(A232,'Revitalisation-Revitalisierung'!$A$4:$Z$275,19,FALSE)="","",VLOOKUP(A232,'Revitalisation-Revitalisierung'!$A$4:$Z$275,19,FALSE))</f>
        <v>Non nécessaire / nicht nötig</v>
      </c>
      <c r="T232" s="541" t="str">
        <f>IF(VLOOKUP(A232,'Revitalisation-Revitalisierung'!$A$4:$Z$275,20,FALSE)="","",VLOOKUP(A232,'Revitalisation-Revitalisierung'!$A$4:$Z$275,20,FALSE))</f>
        <v>d</v>
      </c>
      <c r="U232" s="542" t="str">
        <f>IF(VLOOKUP(A232,'Revitalisation-Revitalisierung'!$A$4:$Z$275,25,FALSE)="","",VLOOKUP(A232,'Revitalisation-Revitalisierung'!$A$4:$Z$275,25,FALSE))</f>
        <v>Non nécessaire / nicht nötig</v>
      </c>
      <c r="V232" s="406" t="str">
        <f>IF(VLOOKUP(A232,'Revitalisation-Revitalisierung'!$A$4:$Z$275,26,FALSE)="","",VLOOKUP(A232,'Revitalisation-Revitalisierung'!$A$4:$Z$275,26,FALSE))</f>
        <v>d</v>
      </c>
      <c r="Y232" s="529" t="str">
        <f t="shared" si="20"/>
        <v>0-20%</v>
      </c>
      <c r="Z232" s="568" t="str">
        <f t="shared" si="21"/>
        <v>a</v>
      </c>
      <c r="AA232" s="327" t="str">
        <f t="shared" si="22"/>
        <v>81-100%</v>
      </c>
      <c r="AB232" s="327" t="str">
        <f t="shared" si="23"/>
        <v>Non affecté / nicht betroffen</v>
      </c>
      <c r="AC232" s="276" t="str">
        <f t="shared" si="24"/>
        <v>Non nécessaire / nicht nötig</v>
      </c>
      <c r="AD232" s="570" t="str">
        <f t="shared" si="25"/>
        <v>d</v>
      </c>
      <c r="AE232">
        <v>1</v>
      </c>
      <c r="AF232">
        <v>1</v>
      </c>
      <c r="AG232">
        <v>1</v>
      </c>
    </row>
    <row r="233" spans="1:33" ht="16.5" customHeight="1" x14ac:dyDescent="0.25">
      <c r="A233" s="927">
        <v>326.10000000000002</v>
      </c>
      <c r="B233" s="400" t="s">
        <v>175</v>
      </c>
      <c r="C233" s="400" t="s">
        <v>176</v>
      </c>
      <c r="D233" s="401" t="s">
        <v>92</v>
      </c>
      <c r="E233" s="522" t="str">
        <f>IF(VLOOKUP(A233,'Charriage - Geschiebehaushalt'!$A$4:$AC$275,17,FALSE)="","",VLOOKUP(A233,'Charriage - Geschiebehaushalt'!$A$4:$AC$275,17,FALSE))</f>
        <v>Charriage présumé naturel / Geschiebehaushalt vermutlich natürlich</v>
      </c>
      <c r="F233" s="523" t="str">
        <f>IF(VLOOKUP(A233,'Charriage - Geschiebehaushalt'!$A$4:$AC$275,18,FALSE)="","",VLOOKUP(A233,'Charriage - Geschiebehaushalt'!$A$4:$AC$275,18,FALSE))</f>
        <v>b</v>
      </c>
      <c r="G233" s="524" t="str">
        <f>IF(VLOOKUP(A233,'Charriage - Geschiebehaushalt'!$A$4:$AC$275,22,FALSE)="","",VLOOKUP(A233,'Charriage - Geschiebehaushalt'!$A$4:$AC$275,22,FALSE))</f>
        <v>0-20%</v>
      </c>
      <c r="H233" s="523" t="str">
        <f>IF(VLOOKUP(A233,'Charriage - Geschiebehaushalt'!$A$4:$AC$275,23,FALSE)="","",VLOOKUP(A233,'Charriage - Geschiebehaushalt'!$A$4:$AC$275,23,FALSE))</f>
        <v>b</v>
      </c>
      <c r="I233" s="524" t="str">
        <f>IF(VLOOKUP(A233,'Charriage - Geschiebehaushalt'!$A$4:$AC$275,28,FALSE)="","",VLOOKUP(A233,'Charriage - Geschiebehaushalt'!$A$4:$AC$275,28,FALSE))</f>
        <v>0-20%</v>
      </c>
      <c r="J233" s="403" t="str">
        <f>IF(VLOOKUP(A233,'Charriage - Geschiebehaushalt'!$A$4:$AC$275,29,FALSE)="","",VLOOKUP(A233,'Charriage - Geschiebehaushalt'!$A$4:$AC$275,29,FALSE))</f>
        <v>b</v>
      </c>
      <c r="K233" s="533" t="str">
        <f>IF(VLOOKUP(A233,'Débit - Abfluss'!$A$4:$AD$275,8,FALSE)="","",VLOOKUP(A233,'Débit - Abfluss'!$A$4:$AD$275,8,FALSE))</f>
        <v>100%</v>
      </c>
      <c r="L233" s="468" t="str">
        <f>IF(VLOOKUP(A233,'Débit - Abfluss'!$A$4:$AD$275,10,FALSE)="","",VLOOKUP(A233,'Débit - Abfluss'!$A$4:$AD$275,10,FALSE))</f>
        <v>100%</v>
      </c>
      <c r="M233" s="333" t="str">
        <f>IF(VLOOKUP(A233,'Débit - Abfluss'!$A$4:$AD$275,17,FALSE)="","",VLOOKUP(A233,'Débit - Abfluss'!$A$4:$AD$275,17,FALSE))</f>
        <v>100%</v>
      </c>
      <c r="N233" s="340" t="str">
        <f>IF(VLOOKUP(A233,'Eclusée - Schwall-Sunk'!$A$2:$F$273,6,FALSE)="","",VLOOKUP(A233,'Eclusée - Schwall-Sunk'!$A$2:$F$273,6,FALSE))</f>
        <v>Non affecté / nicht betroffen</v>
      </c>
      <c r="O233" s="537"/>
      <c r="P233" s="538"/>
      <c r="Q233" s="284" t="str">
        <f>IF(VLOOKUP(A233,'Revitalisation-Revitalisierung'!$A$4:$Z$275,13,FALSE)="","",VLOOKUP(A233,'Revitalisation-Revitalisierung'!$A$4:$Z$275,13,FALSE))</f>
        <v>Non nécessaire / nicht nötig</v>
      </c>
      <c r="R233" s="541" t="str">
        <f>IF(VLOOKUP(A233,'Revitalisation-Revitalisierung'!$A$4:$Z$275,14,FALSE)="","",VLOOKUP(A233,'Revitalisation-Revitalisierung'!$A$4:$Z$275,14,FALSE))</f>
        <v>b</v>
      </c>
      <c r="S233" s="542" t="str">
        <f>IF(VLOOKUP(A233,'Revitalisation-Revitalisierung'!$A$4:$Z$275,19,FALSE)="","",VLOOKUP(A233,'Revitalisation-Revitalisierung'!$A$4:$Z$275,19,FALSE))</f>
        <v>Non nécessaire / nicht nötig</v>
      </c>
      <c r="T233" s="541" t="str">
        <f>IF(VLOOKUP(A233,'Revitalisation-Revitalisierung'!$A$4:$Z$275,20,FALSE)="","",VLOOKUP(A233,'Revitalisation-Revitalisierung'!$A$4:$Z$275,20,FALSE))</f>
        <v>b</v>
      </c>
      <c r="U233" s="542" t="str">
        <f>IF(VLOOKUP(A233,'Revitalisation-Revitalisierung'!$A$4:$Z$275,25,FALSE)="","",VLOOKUP(A233,'Revitalisation-Revitalisierung'!$A$4:$Z$275,25,FALSE))</f>
        <v>Non nécessaire / nicht nötig</v>
      </c>
      <c r="V233" s="406" t="str">
        <f>IF(VLOOKUP(A233,'Revitalisation-Revitalisierung'!$A$4:$Z$275,26,FALSE)="","",VLOOKUP(A233,'Revitalisation-Revitalisierung'!$A$4:$Z$275,26,FALSE))</f>
        <v>b</v>
      </c>
      <c r="Y233" s="529" t="str">
        <f t="shared" si="20"/>
        <v>0-20%</v>
      </c>
      <c r="Z233" s="568" t="str">
        <f t="shared" si="21"/>
        <v>b</v>
      </c>
      <c r="AA233" s="327" t="str">
        <f t="shared" si="22"/>
        <v>100%</v>
      </c>
      <c r="AB233" s="327" t="str">
        <f t="shared" si="23"/>
        <v>Non affecté / nicht betroffen</v>
      </c>
      <c r="AC233" s="276" t="str">
        <f t="shared" si="24"/>
        <v>Non nécessaire / nicht nötig</v>
      </c>
      <c r="AD233" s="570" t="str">
        <f t="shared" si="25"/>
        <v>b</v>
      </c>
      <c r="AE233">
        <v>1</v>
      </c>
      <c r="AF233">
        <v>1</v>
      </c>
      <c r="AG233">
        <v>1</v>
      </c>
    </row>
    <row r="234" spans="1:33" ht="16.5" customHeight="1" x14ac:dyDescent="0.25">
      <c r="A234" s="927">
        <v>326.2</v>
      </c>
      <c r="B234" s="400" t="s">
        <v>175</v>
      </c>
      <c r="C234" s="400" t="s">
        <v>176</v>
      </c>
      <c r="D234" s="401" t="s">
        <v>92</v>
      </c>
      <c r="E234" s="522" t="str">
        <f>IF(VLOOKUP(A234,'Charriage - Geschiebehaushalt'!$A$4:$AC$275,17,FALSE)="","",VLOOKUP(A234,'Charriage - Geschiebehaushalt'!$A$4:$AC$275,17,FALSE))</f>
        <v>Charriage présumé naturel / Geschiebehaushalt vermutlich natürlich</v>
      </c>
      <c r="F234" s="523" t="str">
        <f>IF(VLOOKUP(A234,'Charriage - Geschiebehaushalt'!$A$4:$AC$275,18,FALSE)="","",VLOOKUP(A234,'Charriage - Geschiebehaushalt'!$A$4:$AC$275,18,FALSE))</f>
        <v>b</v>
      </c>
      <c r="G234" s="524" t="str">
        <f>IF(VLOOKUP(A234,'Charriage - Geschiebehaushalt'!$A$4:$AC$275,22,FALSE)="","",VLOOKUP(A234,'Charriage - Geschiebehaushalt'!$A$4:$AC$275,22,FALSE))</f>
        <v>0-20%</v>
      </c>
      <c r="H234" s="523" t="str">
        <f>IF(VLOOKUP(A234,'Charriage - Geschiebehaushalt'!$A$4:$AC$275,23,FALSE)="","",VLOOKUP(A234,'Charriage - Geschiebehaushalt'!$A$4:$AC$275,23,FALSE))</f>
        <v>b</v>
      </c>
      <c r="I234" s="524" t="str">
        <f>IF(VLOOKUP(A234,'Charriage - Geschiebehaushalt'!$A$4:$AC$275,28,FALSE)="","",VLOOKUP(A234,'Charriage - Geschiebehaushalt'!$A$4:$AC$275,28,FALSE))</f>
        <v>0-20%</v>
      </c>
      <c r="J234" s="403" t="str">
        <f>IF(VLOOKUP(A234,'Charriage - Geschiebehaushalt'!$A$4:$AC$275,29,FALSE)="","",VLOOKUP(A234,'Charriage - Geschiebehaushalt'!$A$4:$AC$275,29,FALSE))</f>
        <v>b</v>
      </c>
      <c r="K234" s="533" t="str">
        <f>IF(VLOOKUP(A234,'Débit - Abfluss'!$A$4:$AD$275,8,FALSE)="","",VLOOKUP(A234,'Débit - Abfluss'!$A$4:$AD$275,8,FALSE))</f>
        <v>100%</v>
      </c>
      <c r="L234" s="468" t="str">
        <f>IF(VLOOKUP(A234,'Débit - Abfluss'!$A$4:$AD$275,10,FALSE)="","",VLOOKUP(A234,'Débit - Abfluss'!$A$4:$AD$275,10,FALSE))</f>
        <v>100%</v>
      </c>
      <c r="M234" s="333" t="str">
        <f>IF(VLOOKUP(A234,'Débit - Abfluss'!$A$4:$AD$275,17,FALSE)="","",VLOOKUP(A234,'Débit - Abfluss'!$A$4:$AD$275,17,FALSE))</f>
        <v>100%</v>
      </c>
      <c r="N234" s="340" t="str">
        <f>IF(VLOOKUP(A234,'Eclusée - Schwall-Sunk'!$A$2:$F$273,6,FALSE)="","",VLOOKUP(A234,'Eclusée - Schwall-Sunk'!$A$2:$F$273,6,FALSE))</f>
        <v>Non affecté / nicht betroffen</v>
      </c>
      <c r="O234" s="537"/>
      <c r="P234" s="538"/>
      <c r="Q234" s="284" t="str">
        <f>IF(VLOOKUP(A234,'Revitalisation-Revitalisierung'!$A$4:$Z$275,13,FALSE)="","",VLOOKUP(A234,'Revitalisation-Revitalisierung'!$A$4:$Z$275,13,FALSE))</f>
        <v>Non nécessaire / nicht nötig</v>
      </c>
      <c r="R234" s="541" t="str">
        <f>IF(VLOOKUP(A234,'Revitalisation-Revitalisierung'!$A$4:$Z$275,14,FALSE)="","",VLOOKUP(A234,'Revitalisation-Revitalisierung'!$A$4:$Z$275,14,FALSE))</f>
        <v>a</v>
      </c>
      <c r="S234" s="542" t="str">
        <f>IF(VLOOKUP(A234,'Revitalisation-Revitalisierung'!$A$4:$Z$275,19,FALSE)="","",VLOOKUP(A234,'Revitalisation-Revitalisierung'!$A$4:$Z$275,19,FALSE))</f>
        <v>Non nécessaire / nicht nötig</v>
      </c>
      <c r="T234" s="541" t="str">
        <f>IF(VLOOKUP(A234,'Revitalisation-Revitalisierung'!$A$4:$Z$275,20,FALSE)="","",VLOOKUP(A234,'Revitalisation-Revitalisierung'!$A$4:$Z$275,20,FALSE))</f>
        <v>d</v>
      </c>
      <c r="U234" s="542" t="str">
        <f>IF(VLOOKUP(A234,'Revitalisation-Revitalisierung'!$A$4:$Z$275,25,FALSE)="","",VLOOKUP(A234,'Revitalisation-Revitalisierung'!$A$4:$Z$275,25,FALSE))</f>
        <v>Non nécessaire / nicht nötig</v>
      </c>
      <c r="V234" s="406" t="str">
        <f>IF(VLOOKUP(A234,'Revitalisation-Revitalisierung'!$A$4:$Z$275,26,FALSE)="","",VLOOKUP(A234,'Revitalisation-Revitalisierung'!$A$4:$Z$275,26,FALSE))</f>
        <v>d</v>
      </c>
      <c r="Y234" s="529" t="str">
        <f t="shared" si="20"/>
        <v>0-20%</v>
      </c>
      <c r="Z234" s="568" t="str">
        <f t="shared" si="21"/>
        <v>b</v>
      </c>
      <c r="AA234" s="327" t="str">
        <f t="shared" si="22"/>
        <v>100%</v>
      </c>
      <c r="AB234" s="327" t="str">
        <f t="shared" si="23"/>
        <v>Non affecté / nicht betroffen</v>
      </c>
      <c r="AC234" s="276" t="str">
        <f t="shared" si="24"/>
        <v>Non nécessaire / nicht nötig</v>
      </c>
      <c r="AD234" s="570" t="str">
        <f t="shared" si="25"/>
        <v>d</v>
      </c>
      <c r="AE234">
        <v>1</v>
      </c>
      <c r="AF234">
        <v>1</v>
      </c>
      <c r="AG234">
        <v>1</v>
      </c>
    </row>
    <row r="235" spans="1:33" ht="16.5" customHeight="1" x14ac:dyDescent="0.25">
      <c r="A235" s="928">
        <v>327</v>
      </c>
      <c r="B235" s="400" t="s">
        <v>177</v>
      </c>
      <c r="C235" s="400" t="s">
        <v>178</v>
      </c>
      <c r="D235" s="401" t="s">
        <v>92</v>
      </c>
      <c r="E235" s="522" t="str">
        <f>IF(VLOOKUP(A235,'Charriage - Geschiebehaushalt'!$A$4:$AC$275,17,FALSE)="","",VLOOKUP(A235,'Charriage - Geschiebehaushalt'!$A$4:$AC$275,17,FALSE))</f>
        <v>Charriage présumé naturel / Geschiebehaushalt vermutlich natürlich</v>
      </c>
      <c r="F235" s="523" t="str">
        <f>IF(VLOOKUP(A235,'Charriage - Geschiebehaushalt'!$A$4:$AC$275,18,FALSE)="","",VLOOKUP(A235,'Charriage - Geschiebehaushalt'!$A$4:$AC$275,18,FALSE))</f>
        <v>b</v>
      </c>
      <c r="G235" s="524" t="str">
        <f>IF(VLOOKUP(A235,'Charriage - Geschiebehaushalt'!$A$4:$AC$275,22,FALSE)="","",VLOOKUP(A235,'Charriage - Geschiebehaushalt'!$A$4:$AC$275,22,FALSE))</f>
        <v>0-20%</v>
      </c>
      <c r="H235" s="523" t="str">
        <f>IF(VLOOKUP(A235,'Charriage - Geschiebehaushalt'!$A$4:$AC$275,23,FALSE)="","",VLOOKUP(A235,'Charriage - Geschiebehaushalt'!$A$4:$AC$275,23,FALSE))</f>
        <v>b</v>
      </c>
      <c r="I235" s="524" t="str">
        <f>IF(VLOOKUP(A235,'Charriage - Geschiebehaushalt'!$A$4:$AC$275,28,FALSE)="","",VLOOKUP(A235,'Charriage - Geschiebehaushalt'!$A$4:$AC$275,28,FALSE))</f>
        <v>0-20%</v>
      </c>
      <c r="J235" s="403" t="str">
        <f>IF(VLOOKUP(A235,'Charriage - Geschiebehaushalt'!$A$4:$AC$275,29,FALSE)="","",VLOOKUP(A235,'Charriage - Geschiebehaushalt'!$A$4:$AC$275,29,FALSE))</f>
        <v>b</v>
      </c>
      <c r="K235" s="533" t="str">
        <f>IF(VLOOKUP(A235,'Débit - Abfluss'!$A$4:$AD$275,8,FALSE)="","",VLOOKUP(A235,'Débit - Abfluss'!$A$4:$AD$275,8,FALSE))</f>
        <v>100%</v>
      </c>
      <c r="L235" s="468" t="str">
        <f>IF(VLOOKUP(A235,'Débit - Abfluss'!$A$4:$AD$275,10,FALSE)="","",VLOOKUP(A235,'Débit - Abfluss'!$A$4:$AD$275,10,FALSE))</f>
        <v>100%</v>
      </c>
      <c r="M235" s="333" t="str">
        <f>IF(VLOOKUP(A235,'Débit - Abfluss'!$A$4:$AD$275,17,FALSE)="","",VLOOKUP(A235,'Débit - Abfluss'!$A$4:$AD$275,17,FALSE))</f>
        <v>100%</v>
      </c>
      <c r="N235" s="340" t="str">
        <f>IF(VLOOKUP(A235,'Eclusée - Schwall-Sunk'!$A$2:$F$273,6,FALSE)="","",VLOOKUP(A235,'Eclusée - Schwall-Sunk'!$A$2:$F$273,6,FALSE))</f>
        <v>Non affecté / nicht betroffen</v>
      </c>
      <c r="O235" s="537"/>
      <c r="P235" s="538"/>
      <c r="Q235" s="284" t="str">
        <f>IF(VLOOKUP(A235,'Revitalisation-Revitalisierung'!$A$4:$Z$275,13,FALSE)="","",VLOOKUP(A235,'Revitalisation-Revitalisierung'!$A$4:$Z$275,13,FALSE))</f>
        <v>Non nécessaire / nicht nötig</v>
      </c>
      <c r="R235" s="541" t="str">
        <f>IF(VLOOKUP(A235,'Revitalisation-Revitalisierung'!$A$4:$Z$275,14,FALSE)="","",VLOOKUP(A235,'Revitalisation-Revitalisierung'!$A$4:$Z$275,14,FALSE))</f>
        <v>a</v>
      </c>
      <c r="S235" s="542" t="str">
        <f>IF(VLOOKUP(A235,'Revitalisation-Revitalisierung'!$A$4:$Z$275,19,FALSE)="","",VLOOKUP(A235,'Revitalisation-Revitalisierung'!$A$4:$Z$275,19,FALSE))</f>
        <v>Partiellement nécessaire, facile / teilweise nötig, einfach</v>
      </c>
      <c r="T235" s="541" t="str">
        <f>IF(VLOOKUP(A235,'Revitalisation-Revitalisierung'!$A$4:$Z$275,20,FALSE)="","",VLOOKUP(A235,'Revitalisation-Revitalisierung'!$A$4:$Z$275,20,FALSE))</f>
        <v>c</v>
      </c>
      <c r="U235" s="542" t="str">
        <f>IF(VLOOKUP(A235,'Revitalisation-Revitalisierung'!$A$4:$Z$275,25,FALSE)="","",VLOOKUP(A235,'Revitalisation-Revitalisierung'!$A$4:$Z$275,25,FALSE))</f>
        <v>Non nécessaire / nicht nötig</v>
      </c>
      <c r="V235" s="406" t="str">
        <f>IF(VLOOKUP(A235,'Revitalisation-Revitalisierung'!$A$4:$Z$275,26,FALSE)="","",VLOOKUP(A235,'Revitalisation-Revitalisierung'!$A$4:$Z$275,26,FALSE))</f>
        <v>e</v>
      </c>
      <c r="Y235" s="529" t="str">
        <f t="shared" si="20"/>
        <v>0-20%</v>
      </c>
      <c r="Z235" s="568" t="str">
        <f t="shared" si="21"/>
        <v>b</v>
      </c>
      <c r="AA235" s="327" t="str">
        <f t="shared" si="22"/>
        <v>100%</v>
      </c>
      <c r="AB235" s="327" t="str">
        <f t="shared" si="23"/>
        <v>Non affecté / nicht betroffen</v>
      </c>
      <c r="AC235" s="276" t="str">
        <f t="shared" si="24"/>
        <v>Non nécessaire / nicht nötig</v>
      </c>
      <c r="AD235" s="570" t="str">
        <f t="shared" si="25"/>
        <v>e</v>
      </c>
      <c r="AE235">
        <v>1</v>
      </c>
      <c r="AF235">
        <v>1</v>
      </c>
      <c r="AG235">
        <v>1</v>
      </c>
    </row>
    <row r="236" spans="1:33" ht="16.5" customHeight="1" x14ac:dyDescent="0.25">
      <c r="A236" s="1233">
        <v>328</v>
      </c>
      <c r="B236" s="409" t="s">
        <v>180</v>
      </c>
      <c r="C236" s="410" t="s">
        <v>181</v>
      </c>
      <c r="D236" s="411" t="s">
        <v>92</v>
      </c>
      <c r="E236" s="522" t="str">
        <f>IF(VLOOKUP(A236,'Charriage - Geschiebehaushalt'!$A$4:$AC$275,17,FALSE)="","",VLOOKUP(A236,'Charriage - Geschiebehaushalt'!$A$4:$AC$275,17,FALSE))</f>
        <v>Charriage présumé naturel / Geschiebehaushalt vermutlich natürlich</v>
      </c>
      <c r="F236" s="523" t="str">
        <f>IF(VLOOKUP(A236,'Charriage - Geschiebehaushalt'!$A$4:$AC$275,18,FALSE)="","",VLOOKUP(A236,'Charriage - Geschiebehaushalt'!$A$4:$AC$275,18,FALSE))</f>
        <v>b</v>
      </c>
      <c r="G236" s="524" t="str">
        <f>IF(VLOOKUP(A236,'Charriage - Geschiebehaushalt'!$A$4:$AC$275,22,FALSE)="","",VLOOKUP(A236,'Charriage - Geschiebehaushalt'!$A$4:$AC$275,22,FALSE))</f>
        <v>0-20%</v>
      </c>
      <c r="H236" s="523" t="str">
        <f>IF(VLOOKUP(A236,'Charriage - Geschiebehaushalt'!$A$4:$AC$275,23,FALSE)="","",VLOOKUP(A236,'Charriage - Geschiebehaushalt'!$A$4:$AC$275,23,FALSE))</f>
        <v>b</v>
      </c>
      <c r="I236" s="524" t="str">
        <f>IF(VLOOKUP(A236,'Charriage - Geschiebehaushalt'!$A$4:$AC$275,28,FALSE)="","",VLOOKUP(A236,'Charriage - Geschiebehaushalt'!$A$4:$AC$275,28,FALSE))</f>
        <v>0-20%</v>
      </c>
      <c r="J236" s="403" t="str">
        <f>IF(VLOOKUP(A236,'Charriage - Geschiebehaushalt'!$A$4:$AC$275,29,FALSE)="","",VLOOKUP(A236,'Charriage - Geschiebehaushalt'!$A$4:$AC$275,29,FALSE))</f>
        <v>b</v>
      </c>
      <c r="K236" s="533" t="str">
        <f>IF(VLOOKUP(A236,'Débit - Abfluss'!$A$4:$AD$275,8,FALSE)="","",VLOOKUP(A236,'Débit - Abfluss'!$A$4:$AD$275,8,FALSE))</f>
        <v>Régime présumé naturel (100%) / Abfluss vermutlich natürlich</v>
      </c>
      <c r="L236" s="468" t="str">
        <f>IF(VLOOKUP(A236,'Débit - Abfluss'!$A$4:$AD$275,10,FALSE)="","",VLOOKUP(A236,'Débit - Abfluss'!$A$4:$AD$275,10,FALSE))</f>
        <v>Régime présumé naturel (100%) / Abfluss vermutlich natürlich</v>
      </c>
      <c r="M236" s="333" t="str">
        <f>IF(VLOOKUP(A236,'Débit - Abfluss'!$A$4:$AD$275,17,FALSE)="","",VLOOKUP(A236,'Débit - Abfluss'!$A$4:$AD$275,17,FALSE))</f>
        <v>Régime présumé naturel (100%) / Abfluss vermutlich natürlich</v>
      </c>
      <c r="N236" s="340" t="str">
        <f>IF(VLOOKUP(A236,'Eclusée - Schwall-Sunk'!$A$2:$F$273,6,FALSE)="","",VLOOKUP(A236,'Eclusée - Schwall-Sunk'!$A$2:$F$273,6,FALSE))</f>
        <v>Non affecté / nicht betroffen</v>
      </c>
      <c r="O236" s="537"/>
      <c r="P236" s="538"/>
      <c r="Q236" s="284" t="str">
        <f>IF(VLOOKUP(A236,'Revitalisation-Revitalisierung'!$A$4:$Z$275,13,FALSE)="","",VLOOKUP(A236,'Revitalisation-Revitalisierung'!$A$4:$Z$275,13,FALSE))</f>
        <v>Non nécessaire / nicht nötig</v>
      </c>
      <c r="R236" s="541" t="str">
        <f>IF(VLOOKUP(A236,'Revitalisation-Revitalisierung'!$A$4:$Z$275,14,FALSE)="","",VLOOKUP(A236,'Revitalisation-Revitalisierung'!$A$4:$Z$275,14,FALSE))</f>
        <v>a</v>
      </c>
      <c r="S236" s="542" t="str">
        <f>IF(VLOOKUP(A236,'Revitalisation-Revitalisierung'!$A$4:$Z$275,19,FALSE)="","",VLOOKUP(A236,'Revitalisation-Revitalisierung'!$A$4:$Z$275,19,FALSE))</f>
        <v>Non nécessaire / nicht nötig</v>
      </c>
      <c r="T236" s="541" t="str">
        <f>IF(VLOOKUP(A236,'Revitalisation-Revitalisierung'!$A$4:$Z$275,20,FALSE)="","",VLOOKUP(A236,'Revitalisation-Revitalisierung'!$A$4:$Z$275,20,FALSE))</f>
        <v>d</v>
      </c>
      <c r="U236" s="542" t="str">
        <f>IF(VLOOKUP(A236,'Revitalisation-Revitalisierung'!$A$4:$Z$275,25,FALSE)="","",VLOOKUP(A236,'Revitalisation-Revitalisierung'!$A$4:$Z$275,25,FALSE))</f>
        <v>Non nécessaire / nicht nötig</v>
      </c>
      <c r="V236" s="406" t="str">
        <f>IF(VLOOKUP(A236,'Revitalisation-Revitalisierung'!$A$4:$Z$275,26,FALSE)="","",VLOOKUP(A236,'Revitalisation-Revitalisierung'!$A$4:$Z$275,26,FALSE))</f>
        <v>d</v>
      </c>
      <c r="Y236" s="529" t="str">
        <f t="shared" si="20"/>
        <v>0-20%</v>
      </c>
      <c r="Z236" s="568" t="str">
        <f t="shared" si="21"/>
        <v>b</v>
      </c>
      <c r="AA236" s="327" t="str">
        <f t="shared" si="22"/>
        <v>Régime présumé naturel (100%) / Abfluss vermutlich natürlich</v>
      </c>
      <c r="AB236" s="327" t="str">
        <f t="shared" si="23"/>
        <v>Non affecté / nicht betroffen</v>
      </c>
      <c r="AC236" s="276" t="str">
        <f t="shared" si="24"/>
        <v>Non nécessaire / nicht nötig</v>
      </c>
      <c r="AD236" s="570" t="str">
        <f t="shared" si="25"/>
        <v>d</v>
      </c>
      <c r="AE236">
        <v>1</v>
      </c>
      <c r="AF236">
        <v>1</v>
      </c>
      <c r="AG236">
        <v>1</v>
      </c>
    </row>
    <row r="237" spans="1:33" ht="16.5" customHeight="1" x14ac:dyDescent="0.25">
      <c r="A237" s="929">
        <v>329</v>
      </c>
      <c r="B237" s="409" t="s">
        <v>665</v>
      </c>
      <c r="C237" s="410" t="s">
        <v>666</v>
      </c>
      <c r="D237" s="411" t="s">
        <v>625</v>
      </c>
      <c r="E237" s="522" t="str">
        <f>IF(VLOOKUP(A237,'Charriage - Geschiebehaushalt'!$A$4:$AC$275,17,FALSE)="","",VLOOKUP(A237,'Charriage - Geschiebehaushalt'!$A$4:$AC$275,17,FALSE))</f>
        <v>Charriage présumé naturel / Geschiebehaushalt vermutlich natürlich</v>
      </c>
      <c r="F237" s="523" t="str">
        <f>IF(VLOOKUP(A237,'Charriage - Geschiebehaushalt'!$A$4:$AC$275,18,FALSE)="","",VLOOKUP(A237,'Charriage - Geschiebehaushalt'!$A$4:$AC$275,18,FALSE))</f>
        <v>a</v>
      </c>
      <c r="G237" s="524" t="str">
        <f>IF(VLOOKUP(A237,'Charriage - Geschiebehaushalt'!$A$4:$AC$275,22,FALSE)="","",VLOOKUP(A237,'Charriage - Geschiebehaushalt'!$A$4:$AC$275,22,FALSE))</f>
        <v>51-80%</v>
      </c>
      <c r="H237" s="523" t="str">
        <f>IF(VLOOKUP(A237,'Charriage - Geschiebehaushalt'!$A$4:$AC$275,23,FALSE)="","",VLOOKUP(A237,'Charriage - Geschiebehaushalt'!$A$4:$AC$275,23,FALSE))</f>
        <v>c</v>
      </c>
      <c r="I237" s="524" t="str">
        <f>IF(VLOOKUP(A237,'Charriage - Geschiebehaushalt'!$A$4:$AC$275,28,FALSE)="","",VLOOKUP(A237,'Charriage - Geschiebehaushalt'!$A$4:$AC$275,28,FALSE))</f>
        <v>51-80%</v>
      </c>
      <c r="J237" s="403" t="str">
        <f>IF(VLOOKUP(A237,'Charriage - Geschiebehaushalt'!$A$4:$AC$275,29,FALSE)="","",VLOOKUP(A237,'Charriage - Geschiebehaushalt'!$A$4:$AC$275,29,FALSE))</f>
        <v>c</v>
      </c>
      <c r="K237" s="533" t="str">
        <f>IF(VLOOKUP(A237,'Débit - Abfluss'!$A$4:$AD$275,8,FALSE)="","",VLOOKUP(A237,'Débit - Abfluss'!$A$4:$AD$275,8,FALSE))</f>
        <v>Régime présumé naturel (100%) / Abfluss vermutlich natürlich</v>
      </c>
      <c r="L237" s="468" t="str">
        <f>IF(VLOOKUP(A237,'Débit - Abfluss'!$A$4:$AD$275,10,FALSE)="","",VLOOKUP(A237,'Débit - Abfluss'!$A$4:$AD$275,10,FALSE))</f>
        <v>Régime présumé naturel (100%) / Abfluss vermutlich natürlich</v>
      </c>
      <c r="M237" s="333" t="str">
        <f>IF(VLOOKUP(A237,'Débit - Abfluss'!$A$4:$AD$275,17,FALSE)="","",VLOOKUP(A237,'Débit - Abfluss'!$A$4:$AD$275,17,FALSE))</f>
        <v>Régime présumé naturel (100%) / Abfluss vermutlich natürlich</v>
      </c>
      <c r="N237" s="340" t="str">
        <f>IF(VLOOKUP(A237,'Eclusée - Schwall-Sunk'!$A$2:$F$273,6,FALSE)="","",VLOOKUP(A237,'Eclusée - Schwall-Sunk'!$A$2:$F$273,6,FALSE))</f>
        <v>Non affecté / nicht betroffen</v>
      </c>
      <c r="O237" s="537"/>
      <c r="P237" s="538"/>
      <c r="Q237" s="284" t="str">
        <f>IF(VLOOKUP(A237,'Revitalisation-Revitalisierung'!$A$4:$Z$275,13,FALSE)="","",VLOOKUP(A237,'Revitalisation-Revitalisierung'!$A$4:$Z$275,13,FALSE))</f>
        <v>Non nécessaire / nicht nötig</v>
      </c>
      <c r="R237" s="541" t="str">
        <f>IF(VLOOKUP(A237,'Revitalisation-Revitalisierung'!$A$4:$Z$275,14,FALSE)="","",VLOOKUP(A237,'Revitalisation-Revitalisierung'!$A$4:$Z$275,14,FALSE))</f>
        <v>a</v>
      </c>
      <c r="S237" s="542" t="str">
        <f>IF(VLOOKUP(A237,'Revitalisation-Revitalisierung'!$A$4:$Z$275,19,FALSE)="","",VLOOKUP(A237,'Revitalisation-Revitalisierung'!$A$4:$Z$275,19,FALSE))</f>
        <v>Non nécessaire / nicht nötig</v>
      </c>
      <c r="T237" s="541" t="str">
        <f>IF(VLOOKUP(A237,'Revitalisation-Revitalisierung'!$A$4:$Z$275,20,FALSE)="","",VLOOKUP(A237,'Revitalisation-Revitalisierung'!$A$4:$Z$275,20,FALSE))</f>
        <v>d</v>
      </c>
      <c r="U237" s="542" t="str">
        <f>IF(VLOOKUP(A237,'Revitalisation-Revitalisierung'!$A$4:$Z$275,25,FALSE)="","",VLOOKUP(A237,'Revitalisation-Revitalisierung'!$A$4:$Z$275,25,FALSE))</f>
        <v>Non nécessaire / nicht nötig</v>
      </c>
      <c r="V237" s="406" t="str">
        <f>IF(VLOOKUP(A237,'Revitalisation-Revitalisierung'!$A$4:$Z$275,26,FALSE)="","",VLOOKUP(A237,'Revitalisation-Revitalisierung'!$A$4:$Z$275,26,FALSE))</f>
        <v>d</v>
      </c>
      <c r="Y237" s="529" t="str">
        <f t="shared" si="20"/>
        <v>51-80%</v>
      </c>
      <c r="Z237" s="568" t="str">
        <f t="shared" si="21"/>
        <v>c</v>
      </c>
      <c r="AA237" s="327" t="str">
        <f t="shared" si="22"/>
        <v>Régime présumé naturel (100%) / Abfluss vermutlich natürlich</v>
      </c>
      <c r="AB237" s="327" t="str">
        <f t="shared" si="23"/>
        <v>Non affecté / nicht betroffen</v>
      </c>
      <c r="AC237" s="276" t="str">
        <f t="shared" si="24"/>
        <v>Non nécessaire / nicht nötig</v>
      </c>
      <c r="AD237" s="570" t="str">
        <f t="shared" si="25"/>
        <v>d</v>
      </c>
      <c r="AE237">
        <v>3</v>
      </c>
      <c r="AF237">
        <v>1</v>
      </c>
    </row>
    <row r="238" spans="1:33" ht="16.5" customHeight="1" x14ac:dyDescent="0.25">
      <c r="A238" s="1233">
        <v>330</v>
      </c>
      <c r="B238" s="409" t="s">
        <v>668</v>
      </c>
      <c r="C238" s="410" t="s">
        <v>669</v>
      </c>
      <c r="D238" s="411" t="s">
        <v>625</v>
      </c>
      <c r="E238" s="522" t="str">
        <f>IF(VLOOKUP(A238,'Charriage - Geschiebehaushalt'!$A$4:$AC$275,17,FALSE)="","",VLOOKUP(A238,'Charriage - Geschiebehaushalt'!$A$4:$AC$275,17,FALSE))</f>
        <v>Charriage présumé naturel / Geschiebehaushalt vermutlich natürlich</v>
      </c>
      <c r="F238" s="523" t="str">
        <f>IF(VLOOKUP(A238,'Charriage - Geschiebehaushalt'!$A$4:$AC$275,18,FALSE)="","",VLOOKUP(A238,'Charriage - Geschiebehaushalt'!$A$4:$AC$275,18,FALSE))</f>
        <v>b</v>
      </c>
      <c r="G238" s="524" t="str">
        <f>IF(VLOOKUP(A238,'Charriage - Geschiebehaushalt'!$A$4:$AC$275,22,FALSE)="","",VLOOKUP(A238,'Charriage - Geschiebehaushalt'!$A$4:$AC$275,22,FALSE))</f>
        <v>0-20%</v>
      </c>
      <c r="H238" s="523" t="str">
        <f>IF(VLOOKUP(A238,'Charriage - Geschiebehaushalt'!$A$4:$AC$275,23,FALSE)="","",VLOOKUP(A238,'Charriage - Geschiebehaushalt'!$A$4:$AC$275,23,FALSE))</f>
        <v>b</v>
      </c>
      <c r="I238" s="524" t="str">
        <f>IF(VLOOKUP(A238,'Charriage - Geschiebehaushalt'!$A$4:$AC$275,28,FALSE)="","",VLOOKUP(A238,'Charriage - Geschiebehaushalt'!$A$4:$AC$275,28,FALSE))</f>
        <v>0-20%</v>
      </c>
      <c r="J238" s="403" t="str">
        <f>IF(VLOOKUP(A238,'Charriage - Geschiebehaushalt'!$A$4:$AC$275,29,FALSE)="","",VLOOKUP(A238,'Charriage - Geschiebehaushalt'!$A$4:$AC$275,29,FALSE))</f>
        <v>b</v>
      </c>
      <c r="K238" s="533" t="str">
        <f>IF(VLOOKUP(A238,'Débit - Abfluss'!$A$4:$AD$275,8,FALSE)="","",VLOOKUP(A238,'Débit - Abfluss'!$A$4:$AD$275,8,FALSE))</f>
        <v>Régime présumé naturel (100%) / Abfluss vermutlich natürlich</v>
      </c>
      <c r="L238" s="468" t="str">
        <f>IF(VLOOKUP(A238,'Débit - Abfluss'!$A$4:$AD$275,10,FALSE)="","",VLOOKUP(A238,'Débit - Abfluss'!$A$4:$AD$275,10,FALSE))</f>
        <v>Régime présumé naturel (100%) / Abfluss vermutlich natürlich</v>
      </c>
      <c r="M238" s="333" t="str">
        <f>IF(VLOOKUP(A238,'Débit - Abfluss'!$A$4:$AD$275,17,FALSE)="","",VLOOKUP(A238,'Débit - Abfluss'!$A$4:$AD$275,17,FALSE))</f>
        <v>Régime présumé naturel (100%) / Abfluss vermutlich natürlich</v>
      </c>
      <c r="N238" s="340" t="str">
        <f>IF(VLOOKUP(A238,'Eclusée - Schwall-Sunk'!$A$2:$F$273,6,FALSE)="","",VLOOKUP(A238,'Eclusée - Schwall-Sunk'!$A$2:$F$273,6,FALSE))</f>
        <v>Non affecté / nicht betroffen</v>
      </c>
      <c r="O238" s="537"/>
      <c r="P238" s="538"/>
      <c r="Q238" s="284" t="str">
        <f>IF(VLOOKUP(A238,'Revitalisation-Revitalisierung'!$A$4:$Z$275,13,FALSE)="","",VLOOKUP(A238,'Revitalisation-Revitalisierung'!$A$4:$Z$275,13,FALSE))</f>
        <v>Non nécessaire / nicht nötig</v>
      </c>
      <c r="R238" s="541" t="str">
        <f>IF(VLOOKUP(A238,'Revitalisation-Revitalisierung'!$A$4:$Z$275,14,FALSE)="","",VLOOKUP(A238,'Revitalisation-Revitalisierung'!$A$4:$Z$275,14,FALSE))</f>
        <v>a</v>
      </c>
      <c r="S238" s="542" t="str">
        <f>IF(VLOOKUP(A238,'Revitalisation-Revitalisierung'!$A$4:$Z$275,19,FALSE)="","",VLOOKUP(A238,'Revitalisation-Revitalisierung'!$A$4:$Z$275,19,FALSE))</f>
        <v>Non nécessaire / nicht nötig</v>
      </c>
      <c r="T238" s="541" t="str">
        <f>IF(VLOOKUP(A238,'Revitalisation-Revitalisierung'!$A$4:$Z$275,20,FALSE)="","",VLOOKUP(A238,'Revitalisation-Revitalisierung'!$A$4:$Z$275,20,FALSE))</f>
        <v>d</v>
      </c>
      <c r="U238" s="542" t="str">
        <f>IF(VLOOKUP(A238,'Revitalisation-Revitalisierung'!$A$4:$Z$275,25,FALSE)="","",VLOOKUP(A238,'Revitalisation-Revitalisierung'!$A$4:$Z$275,25,FALSE))</f>
        <v>Non nécessaire / nicht nötig</v>
      </c>
      <c r="V238" s="406" t="str">
        <f>IF(VLOOKUP(A238,'Revitalisation-Revitalisierung'!$A$4:$Z$275,26,FALSE)="","",VLOOKUP(A238,'Revitalisation-Revitalisierung'!$A$4:$Z$275,26,FALSE))</f>
        <v>d</v>
      </c>
      <c r="Y238" s="529" t="str">
        <f t="shared" si="20"/>
        <v>0-20%</v>
      </c>
      <c r="Z238" s="568" t="str">
        <f t="shared" si="21"/>
        <v>b</v>
      </c>
      <c r="AA238" s="327" t="str">
        <f t="shared" si="22"/>
        <v>Régime présumé naturel (100%) / Abfluss vermutlich natürlich</v>
      </c>
      <c r="AB238" s="327" t="str">
        <f t="shared" si="23"/>
        <v>Non affecté / nicht betroffen</v>
      </c>
      <c r="AC238" s="276" t="str">
        <f t="shared" si="24"/>
        <v>Non nécessaire / nicht nötig</v>
      </c>
      <c r="AD238" s="570" t="str">
        <f t="shared" si="25"/>
        <v>d</v>
      </c>
      <c r="AE238">
        <v>1</v>
      </c>
      <c r="AF238">
        <v>1</v>
      </c>
      <c r="AG238">
        <v>1</v>
      </c>
    </row>
    <row r="239" spans="1:33" ht="16.5" customHeight="1" x14ac:dyDescent="0.25">
      <c r="A239" s="1233">
        <v>331</v>
      </c>
      <c r="B239" s="409" t="s">
        <v>671</v>
      </c>
      <c r="C239" s="410" t="s">
        <v>672</v>
      </c>
      <c r="D239" s="411" t="s">
        <v>625</v>
      </c>
      <c r="E239" s="522" t="str">
        <f>IF(VLOOKUP(A239,'Charriage - Geschiebehaushalt'!$A$4:$AC$275,17,FALSE)="","",VLOOKUP(A239,'Charriage - Geschiebehaushalt'!$A$4:$AC$275,17,FALSE))</f>
        <v>Charriage présumé naturel / Geschiebehaushalt vermutlich natürlich</v>
      </c>
      <c r="F239" s="523" t="str">
        <f>IF(VLOOKUP(A239,'Charriage - Geschiebehaushalt'!$A$4:$AC$275,18,FALSE)="","",VLOOKUP(A239,'Charriage - Geschiebehaushalt'!$A$4:$AC$275,18,FALSE))</f>
        <v>b</v>
      </c>
      <c r="G239" s="524" t="str">
        <f>IF(VLOOKUP(A239,'Charriage - Geschiebehaushalt'!$A$4:$AC$275,22,FALSE)="","",VLOOKUP(A239,'Charriage - Geschiebehaushalt'!$A$4:$AC$275,22,FALSE))</f>
        <v>0-20%</v>
      </c>
      <c r="H239" s="523" t="str">
        <f>IF(VLOOKUP(A239,'Charriage - Geschiebehaushalt'!$A$4:$AC$275,23,FALSE)="","",VLOOKUP(A239,'Charriage - Geschiebehaushalt'!$A$4:$AC$275,23,FALSE))</f>
        <v>b</v>
      </c>
      <c r="I239" s="524" t="str">
        <f>IF(VLOOKUP(A239,'Charriage - Geschiebehaushalt'!$A$4:$AC$275,28,FALSE)="","",VLOOKUP(A239,'Charriage - Geschiebehaushalt'!$A$4:$AC$275,28,FALSE))</f>
        <v>0-20%</v>
      </c>
      <c r="J239" s="403" t="str">
        <f>IF(VLOOKUP(A239,'Charriage - Geschiebehaushalt'!$A$4:$AC$275,29,FALSE)="","",VLOOKUP(A239,'Charriage - Geschiebehaushalt'!$A$4:$AC$275,29,FALSE))</f>
        <v>b</v>
      </c>
      <c r="K239" s="533" t="str">
        <f>IF(VLOOKUP(A239,'Débit - Abfluss'!$A$4:$AD$275,8,FALSE)="","",VLOOKUP(A239,'Débit - Abfluss'!$A$4:$AD$275,8,FALSE))</f>
        <v>Régime présumé naturel (100%) / Abfluss vermutlich natürlich</v>
      </c>
      <c r="L239" s="468" t="str">
        <f>IF(VLOOKUP(A239,'Débit - Abfluss'!$A$4:$AD$275,10,FALSE)="","",VLOOKUP(A239,'Débit - Abfluss'!$A$4:$AD$275,10,FALSE))</f>
        <v>Régime présumé naturel (100%) / Abfluss vermutlich natürlich</v>
      </c>
      <c r="M239" s="333" t="str">
        <f>IF(VLOOKUP(A239,'Débit - Abfluss'!$A$4:$AD$275,17,FALSE)="","",VLOOKUP(A239,'Débit - Abfluss'!$A$4:$AD$275,17,FALSE))</f>
        <v>Régime présumé naturel (100%) / Abfluss vermutlich natürlich</v>
      </c>
      <c r="N239" s="340" t="str">
        <f>IF(VLOOKUP(A239,'Eclusée - Schwall-Sunk'!$A$2:$F$273,6,FALSE)="","",VLOOKUP(A239,'Eclusée - Schwall-Sunk'!$A$2:$F$273,6,FALSE))</f>
        <v>Non affecté / nicht betroffen</v>
      </c>
      <c r="O239" s="537"/>
      <c r="P239" s="538"/>
      <c r="Q239" s="284" t="str">
        <f>IF(VLOOKUP(A239,'Revitalisation-Revitalisierung'!$A$4:$Z$275,13,FALSE)="","",VLOOKUP(A239,'Revitalisation-Revitalisierung'!$A$4:$Z$275,13,FALSE))</f>
        <v>Non nécessaire / nicht nötig</v>
      </c>
      <c r="R239" s="541" t="str">
        <f>IF(VLOOKUP(A239,'Revitalisation-Revitalisierung'!$A$4:$Z$275,14,FALSE)="","",VLOOKUP(A239,'Revitalisation-Revitalisierung'!$A$4:$Z$275,14,FALSE))</f>
        <v>a</v>
      </c>
      <c r="S239" s="542" t="str">
        <f>IF(VLOOKUP(A239,'Revitalisation-Revitalisierung'!$A$4:$Z$275,19,FALSE)="","",VLOOKUP(A239,'Revitalisation-Revitalisierung'!$A$4:$Z$275,19,FALSE))</f>
        <v>Non nécessaire / nicht nötig</v>
      </c>
      <c r="T239" s="541" t="str">
        <f>IF(VLOOKUP(A239,'Revitalisation-Revitalisierung'!$A$4:$Z$275,20,FALSE)="","",VLOOKUP(A239,'Revitalisation-Revitalisierung'!$A$4:$Z$275,20,FALSE))</f>
        <v>d</v>
      </c>
      <c r="U239" s="542" t="str">
        <f>IF(VLOOKUP(A239,'Revitalisation-Revitalisierung'!$A$4:$Z$275,25,FALSE)="","",VLOOKUP(A239,'Revitalisation-Revitalisierung'!$A$4:$Z$275,25,FALSE))</f>
        <v>Non nécessaire / nicht nötig</v>
      </c>
      <c r="V239" s="406" t="str">
        <f>IF(VLOOKUP(A239,'Revitalisation-Revitalisierung'!$A$4:$Z$275,26,FALSE)="","",VLOOKUP(A239,'Revitalisation-Revitalisierung'!$A$4:$Z$275,26,FALSE))</f>
        <v>d</v>
      </c>
      <c r="Y239" s="529" t="str">
        <f t="shared" si="20"/>
        <v>0-20%</v>
      </c>
      <c r="Z239" s="568" t="str">
        <f t="shared" si="21"/>
        <v>b</v>
      </c>
      <c r="AA239" s="327" t="str">
        <f t="shared" si="22"/>
        <v>Régime présumé naturel (100%) / Abfluss vermutlich natürlich</v>
      </c>
      <c r="AB239" s="327" t="str">
        <f t="shared" si="23"/>
        <v>Non affecté / nicht betroffen</v>
      </c>
      <c r="AC239" s="276" t="str">
        <f t="shared" si="24"/>
        <v>Non nécessaire / nicht nötig</v>
      </c>
      <c r="AD239" s="570" t="str">
        <f t="shared" si="25"/>
        <v>d</v>
      </c>
      <c r="AE239">
        <v>1</v>
      </c>
      <c r="AF239">
        <v>1</v>
      </c>
      <c r="AG239">
        <v>1</v>
      </c>
    </row>
    <row r="240" spans="1:33" ht="16.5" customHeight="1" x14ac:dyDescent="0.25">
      <c r="A240" s="1233">
        <v>332</v>
      </c>
      <c r="B240" s="409" t="s">
        <v>674</v>
      </c>
      <c r="C240" s="410" t="s">
        <v>675</v>
      </c>
      <c r="D240" s="411" t="s">
        <v>625</v>
      </c>
      <c r="E240" s="522" t="str">
        <f>IF(VLOOKUP(A240,'Charriage - Geschiebehaushalt'!$A$4:$AC$275,17,FALSE)="","",VLOOKUP(A240,'Charriage - Geschiebehaushalt'!$A$4:$AC$275,17,FALSE))</f>
        <v>Charriage présumé naturel / Geschiebehaushalt vermutlich natürlich</v>
      </c>
      <c r="F240" s="523" t="str">
        <f>IF(VLOOKUP(A240,'Charriage - Geschiebehaushalt'!$A$4:$AC$275,18,FALSE)="","",VLOOKUP(A240,'Charriage - Geschiebehaushalt'!$A$4:$AC$275,18,FALSE))</f>
        <v>a</v>
      </c>
      <c r="G240" s="524" t="str">
        <f>IF(VLOOKUP(A240,'Charriage - Geschiebehaushalt'!$A$4:$AC$275,22,FALSE)="","",VLOOKUP(A240,'Charriage - Geschiebehaushalt'!$A$4:$AC$275,22,FALSE))</f>
        <v>21-50%</v>
      </c>
      <c r="H240" s="523" t="str">
        <f>IF(VLOOKUP(A240,'Charriage - Geschiebehaushalt'!$A$4:$AC$275,23,FALSE)="","",VLOOKUP(A240,'Charriage - Geschiebehaushalt'!$A$4:$AC$275,23,FALSE))</f>
        <v>c</v>
      </c>
      <c r="I240" s="524" t="str">
        <f>IF(VLOOKUP(A240,'Charriage - Geschiebehaushalt'!$A$4:$AC$275,28,FALSE)="","",VLOOKUP(A240,'Charriage - Geschiebehaushalt'!$A$4:$AC$275,28,FALSE))</f>
        <v>21-50%</v>
      </c>
      <c r="J240" s="403" t="str">
        <f>IF(VLOOKUP(A240,'Charriage - Geschiebehaushalt'!$A$4:$AC$275,29,FALSE)="","",VLOOKUP(A240,'Charriage - Geschiebehaushalt'!$A$4:$AC$275,29,FALSE))</f>
        <v>c</v>
      </c>
      <c r="K240" s="533" t="str">
        <f>IF(VLOOKUP(A240,'Débit - Abfluss'!$A$4:$AD$275,8,FALSE)="","",VLOOKUP(A240,'Débit - Abfluss'!$A$4:$AD$275,8,FALSE))</f>
        <v>0-20%</v>
      </c>
      <c r="L240" s="468" t="str">
        <f>IF(VLOOKUP(A240,'Débit - Abfluss'!$A$4:$AD$275,10,FALSE)="","",VLOOKUP(A240,'Débit - Abfluss'!$A$4:$AD$275,10,FALSE))</f>
        <v>0-20%</v>
      </c>
      <c r="M240" s="333" t="str">
        <f>IF(VLOOKUP(A240,'Débit - Abfluss'!$A$4:$AD$275,17,FALSE)="","",VLOOKUP(A240,'Débit - Abfluss'!$A$4:$AD$275,17,FALSE))</f>
        <v>0-20%</v>
      </c>
      <c r="N240" s="340" t="str">
        <f>IF(VLOOKUP(A240,'Eclusée - Schwall-Sunk'!$A$2:$F$273,6,FALSE)="","",VLOOKUP(A240,'Eclusée - Schwall-Sunk'!$A$2:$F$273,6,FALSE))</f>
        <v>Non affecté / nicht betroffen</v>
      </c>
      <c r="O240" s="537"/>
      <c r="P240" s="538"/>
      <c r="Q240" s="284" t="str">
        <f>IF(VLOOKUP(A240,'Revitalisation-Revitalisierung'!$A$4:$Z$275,13,FALSE)="","",VLOOKUP(A240,'Revitalisation-Revitalisierung'!$A$4:$Z$275,13,FALSE))</f>
        <v>Très nécessaire, facile / unbedingt nötig, einfach</v>
      </c>
      <c r="R240" s="541" t="str">
        <f>IF(VLOOKUP(A240,'Revitalisation-Revitalisierung'!$A$4:$Z$275,14,FALSE)="","",VLOOKUP(A240,'Revitalisation-Revitalisierung'!$A$4:$Z$275,14,FALSE))</f>
        <v>b</v>
      </c>
      <c r="S240" s="542" t="str">
        <f>IF(VLOOKUP(A240,'Revitalisation-Revitalisierung'!$A$4:$Z$275,19,FALSE)="","",VLOOKUP(A240,'Revitalisation-Revitalisierung'!$A$4:$Z$275,19,FALSE))</f>
        <v>Très nécessaire, facile / unbedingt nötig, einfach</v>
      </c>
      <c r="T240" s="541" t="str">
        <f>IF(VLOOKUP(A240,'Revitalisation-Revitalisierung'!$A$4:$Z$275,20,FALSE)="","",VLOOKUP(A240,'Revitalisation-Revitalisierung'!$A$4:$Z$275,20,FALSE))</f>
        <v>b</v>
      </c>
      <c r="U240" s="542" t="str">
        <f>IF(VLOOKUP(A240,'Revitalisation-Revitalisierung'!$A$4:$Z$275,25,FALSE)="","",VLOOKUP(A240,'Revitalisation-Revitalisierung'!$A$4:$Z$275,25,FALSE))</f>
        <v>Très nécessaire, facile / unbedingt nötig, einfach</v>
      </c>
      <c r="V240" s="406" t="str">
        <f>IF(VLOOKUP(A240,'Revitalisation-Revitalisierung'!$A$4:$Z$275,26,FALSE)="","",VLOOKUP(A240,'Revitalisation-Revitalisierung'!$A$4:$Z$275,26,FALSE))</f>
        <v>b</v>
      </c>
      <c r="Y240" s="529" t="str">
        <f t="shared" si="20"/>
        <v>21-50%</v>
      </c>
      <c r="Z240" s="568" t="str">
        <f t="shared" si="21"/>
        <v>c</v>
      </c>
      <c r="AA240" s="327" t="str">
        <f t="shared" si="22"/>
        <v>0-20%</v>
      </c>
      <c r="AB240" s="327" t="str">
        <f t="shared" si="23"/>
        <v>Non affecté / nicht betroffen</v>
      </c>
      <c r="AC240" s="276" t="str">
        <f t="shared" si="24"/>
        <v>Très nécessaire, facile / unbedingt nötig, einfach</v>
      </c>
      <c r="AD240" s="570" t="str">
        <f t="shared" si="25"/>
        <v>b</v>
      </c>
      <c r="AE240">
        <v>4</v>
      </c>
      <c r="AF240">
        <v>1</v>
      </c>
    </row>
    <row r="241" spans="1:33" ht="16.5" customHeight="1" x14ac:dyDescent="0.25">
      <c r="A241" s="1233">
        <v>333</v>
      </c>
      <c r="B241" s="409" t="s">
        <v>677</v>
      </c>
      <c r="C241" s="410" t="s">
        <v>675</v>
      </c>
      <c r="D241" s="411" t="s">
        <v>625</v>
      </c>
      <c r="E241" s="522" t="str">
        <f>IF(VLOOKUP(A241,'Charriage - Geschiebehaushalt'!$A$4:$AC$275,17,FALSE)="","",VLOOKUP(A241,'Charriage - Geschiebehaushalt'!$A$4:$AC$275,17,FALSE))</f>
        <v>Charriage présumé naturel / Geschiebehaushalt vermutlich natürlich</v>
      </c>
      <c r="F241" s="523" t="str">
        <f>IF(VLOOKUP(A241,'Charriage - Geschiebehaushalt'!$A$4:$AC$275,18,FALSE)="","",VLOOKUP(A241,'Charriage - Geschiebehaushalt'!$A$4:$AC$275,18,FALSE))</f>
        <v>a</v>
      </c>
      <c r="G241" s="524" t="str">
        <f>IF(VLOOKUP(A241,'Charriage - Geschiebehaushalt'!$A$4:$AC$275,22,FALSE)="","",VLOOKUP(A241,'Charriage - Geschiebehaushalt'!$A$4:$AC$275,22,FALSE))</f>
        <v>21-50%</v>
      </c>
      <c r="H241" s="523" t="str">
        <f>IF(VLOOKUP(A241,'Charriage - Geschiebehaushalt'!$A$4:$AC$275,23,FALSE)="","",VLOOKUP(A241,'Charriage - Geschiebehaushalt'!$A$4:$AC$275,23,FALSE))</f>
        <v>c</v>
      </c>
      <c r="I241" s="524" t="str">
        <f>IF(VLOOKUP(A241,'Charriage - Geschiebehaushalt'!$A$4:$AC$275,28,FALSE)="","",VLOOKUP(A241,'Charriage - Geschiebehaushalt'!$A$4:$AC$275,28,FALSE))</f>
        <v>21-50%</v>
      </c>
      <c r="J241" s="403" t="str">
        <f>IF(VLOOKUP(A241,'Charriage - Geschiebehaushalt'!$A$4:$AC$275,29,FALSE)="","",VLOOKUP(A241,'Charriage - Geschiebehaushalt'!$A$4:$AC$275,29,FALSE))</f>
        <v>c</v>
      </c>
      <c r="K241" s="533" t="str">
        <f>IF(VLOOKUP(A241,'Débit - Abfluss'!$A$4:$AD$275,8,FALSE)="","",VLOOKUP(A241,'Débit - Abfluss'!$A$4:$AD$275,8,FALSE))</f>
        <v>0-20%</v>
      </c>
      <c r="L241" s="468" t="str">
        <f>IF(VLOOKUP(A241,'Débit - Abfluss'!$A$4:$AD$275,10,FALSE)="","",VLOOKUP(A241,'Débit - Abfluss'!$A$4:$AD$275,10,FALSE))</f>
        <v>0-20%</v>
      </c>
      <c r="M241" s="333" t="str">
        <f>IF(VLOOKUP(A241,'Débit - Abfluss'!$A$4:$AD$275,17,FALSE)="","",VLOOKUP(A241,'Débit - Abfluss'!$A$4:$AD$275,17,FALSE))</f>
        <v>0-20%</v>
      </c>
      <c r="N241" s="340" t="str">
        <f>IF(VLOOKUP(A241,'Eclusée - Schwall-Sunk'!$A$2:$F$273,6,FALSE)="","",VLOOKUP(A241,'Eclusée - Schwall-Sunk'!$A$2:$F$273,6,FALSE))</f>
        <v>Non affecté / nicht betroffen</v>
      </c>
      <c r="O241" s="537"/>
      <c r="P241" s="538"/>
      <c r="Q241" s="284" t="str">
        <f>IF(VLOOKUP(A241,'Revitalisation-Revitalisierung'!$A$4:$Z$275,13,FALSE)="","",VLOOKUP(A241,'Revitalisation-Revitalisierung'!$A$4:$Z$275,13,FALSE))</f>
        <v>Très nécessaire, facile / unbedingt nötig, einfach</v>
      </c>
      <c r="R241" s="541" t="str">
        <f>IF(VLOOKUP(A241,'Revitalisation-Revitalisierung'!$A$4:$Z$275,14,FALSE)="","",VLOOKUP(A241,'Revitalisation-Revitalisierung'!$A$4:$Z$275,14,FALSE))</f>
        <v>b</v>
      </c>
      <c r="S241" s="542" t="str">
        <f>IF(VLOOKUP(A241,'Revitalisation-Revitalisierung'!$A$4:$Z$275,19,FALSE)="","",VLOOKUP(A241,'Revitalisation-Revitalisierung'!$A$4:$Z$275,19,FALSE))</f>
        <v>Très nécessaire, facile / unbedingt nötig, einfach</v>
      </c>
      <c r="T241" s="541" t="str">
        <f>IF(VLOOKUP(A241,'Revitalisation-Revitalisierung'!$A$4:$Z$275,20,FALSE)="","",VLOOKUP(A241,'Revitalisation-Revitalisierung'!$A$4:$Z$275,20,FALSE))</f>
        <v>d</v>
      </c>
      <c r="U241" s="542" t="str">
        <f>IF(VLOOKUP(A241,'Revitalisation-Revitalisierung'!$A$4:$Z$275,25,FALSE)="","",VLOOKUP(A241,'Revitalisation-Revitalisierung'!$A$4:$Z$275,25,FALSE))</f>
        <v>Très nécessaire, facile / unbedingt nötig, einfach</v>
      </c>
      <c r="V241" s="406" t="str">
        <f>IF(VLOOKUP(A241,'Revitalisation-Revitalisierung'!$A$4:$Z$275,26,FALSE)="","",VLOOKUP(A241,'Revitalisation-Revitalisierung'!$A$4:$Z$275,26,FALSE))</f>
        <v>d</v>
      </c>
      <c r="Y241" s="529" t="str">
        <f t="shared" si="20"/>
        <v>21-50%</v>
      </c>
      <c r="Z241" s="568" t="str">
        <f t="shared" si="21"/>
        <v>c</v>
      </c>
      <c r="AA241" s="327" t="str">
        <f t="shared" si="22"/>
        <v>0-20%</v>
      </c>
      <c r="AB241" s="327" t="str">
        <f t="shared" si="23"/>
        <v>Non affecté / nicht betroffen</v>
      </c>
      <c r="AC241" s="276" t="str">
        <f t="shared" si="24"/>
        <v>Très nécessaire, facile / unbedingt nötig, einfach</v>
      </c>
      <c r="AD241" s="570" t="str">
        <f t="shared" si="25"/>
        <v>d</v>
      </c>
      <c r="AE241">
        <v>4</v>
      </c>
      <c r="AF241">
        <v>1</v>
      </c>
    </row>
    <row r="242" spans="1:33" ht="16.5" customHeight="1" x14ac:dyDescent="0.25">
      <c r="A242" s="1233">
        <v>334</v>
      </c>
      <c r="B242" s="409" t="s">
        <v>679</v>
      </c>
      <c r="C242" s="410" t="s">
        <v>680</v>
      </c>
      <c r="D242" s="411" t="s">
        <v>625</v>
      </c>
      <c r="E242" s="522" t="str">
        <f>IF(VLOOKUP(A242,'Charriage - Geschiebehaushalt'!$A$4:$AC$275,17,FALSE)="","",VLOOKUP(A242,'Charriage - Geschiebehaushalt'!$A$4:$AC$275,17,FALSE))</f>
        <v>Charriage présumé naturel / Geschiebehaushalt vermutlich natürlich</v>
      </c>
      <c r="F242" s="523" t="str">
        <f>IF(VLOOKUP(A242,'Charriage - Geschiebehaushalt'!$A$4:$AC$275,18,FALSE)="","",VLOOKUP(A242,'Charriage - Geschiebehaushalt'!$A$4:$AC$275,18,FALSE))</f>
        <v>a</v>
      </c>
      <c r="G242" s="524" t="str">
        <f>IF(VLOOKUP(A242,'Charriage - Geschiebehaushalt'!$A$4:$AC$275,22,FALSE)="","",VLOOKUP(A242,'Charriage - Geschiebehaushalt'!$A$4:$AC$275,22,FALSE))</f>
        <v>51-80%</v>
      </c>
      <c r="H242" s="523" t="str">
        <f>IF(VLOOKUP(A242,'Charriage - Geschiebehaushalt'!$A$4:$AC$275,23,FALSE)="","",VLOOKUP(A242,'Charriage - Geschiebehaushalt'!$A$4:$AC$275,23,FALSE))</f>
        <v>c</v>
      </c>
      <c r="I242" s="524" t="str">
        <f>IF(VLOOKUP(A242,'Charriage - Geschiebehaushalt'!$A$4:$AC$275,28,FALSE)="","",VLOOKUP(A242,'Charriage - Geschiebehaushalt'!$A$4:$AC$275,28,FALSE))</f>
        <v>51-80%</v>
      </c>
      <c r="J242" s="403" t="str">
        <f>IF(VLOOKUP(A242,'Charriage - Geschiebehaushalt'!$A$4:$AC$275,29,FALSE)="","",VLOOKUP(A242,'Charriage - Geschiebehaushalt'!$A$4:$AC$275,29,FALSE))</f>
        <v>c</v>
      </c>
      <c r="K242" s="533" t="str">
        <f>IF(VLOOKUP(A242,'Débit - Abfluss'!$A$4:$AD$275,8,FALSE)="","",VLOOKUP(A242,'Débit - Abfluss'!$A$4:$AD$275,8,FALSE))</f>
        <v>Régime présumé naturel (100%) / Abfluss vermutlich natürlich</v>
      </c>
      <c r="L242" s="468" t="str">
        <f>IF(VLOOKUP(A242,'Débit - Abfluss'!$A$4:$AD$275,10,FALSE)="","",VLOOKUP(A242,'Débit - Abfluss'!$A$4:$AD$275,10,FALSE))</f>
        <v>Régime présumé naturel (100%) / Abfluss vermutlich natürlich</v>
      </c>
      <c r="M242" s="333" t="str">
        <f>IF(VLOOKUP(A242,'Débit - Abfluss'!$A$4:$AD$275,17,FALSE)="","",VLOOKUP(A242,'Débit - Abfluss'!$A$4:$AD$275,17,FALSE))</f>
        <v>Régime présumé naturel (100%) / Abfluss vermutlich natürlich</v>
      </c>
      <c r="N242" s="340" t="str">
        <f>IF(VLOOKUP(A242,'Eclusée - Schwall-Sunk'!$A$2:$F$273,6,FALSE)="","",VLOOKUP(A242,'Eclusée - Schwall-Sunk'!$A$2:$F$273,6,FALSE))</f>
        <v>Non affecté / nicht betroffen</v>
      </c>
      <c r="O242" s="537"/>
      <c r="P242" s="538"/>
      <c r="Q242" s="284" t="str">
        <f>IF(VLOOKUP(A242,'Revitalisation-Revitalisierung'!$A$4:$Z$275,13,FALSE)="","",VLOOKUP(A242,'Revitalisation-Revitalisierung'!$A$4:$Z$275,13,FALSE))</f>
        <v>Très nécessaire, facile / unbedingt nötig, einfach</v>
      </c>
      <c r="R242" s="541" t="str">
        <f>IF(VLOOKUP(A242,'Revitalisation-Revitalisierung'!$A$4:$Z$275,14,FALSE)="","",VLOOKUP(A242,'Revitalisation-Revitalisierung'!$A$4:$Z$275,14,FALSE))</f>
        <v>a</v>
      </c>
      <c r="S242" s="542" t="str">
        <f>IF(VLOOKUP(A242,'Revitalisation-Revitalisierung'!$A$4:$Z$275,19,FALSE)="","",VLOOKUP(A242,'Revitalisation-Revitalisierung'!$A$4:$Z$275,19,FALSE))</f>
        <v>Très nécessaire, facile / unbedingt nötig, einfach</v>
      </c>
      <c r="T242" s="541" t="str">
        <f>IF(VLOOKUP(A242,'Revitalisation-Revitalisierung'!$A$4:$Z$275,20,FALSE)="","",VLOOKUP(A242,'Revitalisation-Revitalisierung'!$A$4:$Z$275,20,FALSE))</f>
        <v>d</v>
      </c>
      <c r="U242" s="542" t="str">
        <f>IF(VLOOKUP(A242,'Revitalisation-Revitalisierung'!$A$4:$Z$275,25,FALSE)="","",VLOOKUP(A242,'Revitalisation-Revitalisierung'!$A$4:$Z$275,25,FALSE))</f>
        <v>Très nécessaire, facile / unbedingt nötig, einfach</v>
      </c>
      <c r="V242" s="406" t="str">
        <f>IF(VLOOKUP(A242,'Revitalisation-Revitalisierung'!$A$4:$Z$275,26,FALSE)="","",VLOOKUP(A242,'Revitalisation-Revitalisierung'!$A$4:$Z$275,26,FALSE))</f>
        <v>d</v>
      </c>
      <c r="Y242" s="529" t="str">
        <f t="shared" si="20"/>
        <v>51-80%</v>
      </c>
      <c r="Z242" s="568" t="str">
        <f t="shared" si="21"/>
        <v>c</v>
      </c>
      <c r="AA242" s="327" t="str">
        <f t="shared" si="22"/>
        <v>Régime présumé naturel (100%) / Abfluss vermutlich natürlich</v>
      </c>
      <c r="AB242" s="327" t="str">
        <f t="shared" si="23"/>
        <v>Non affecté / nicht betroffen</v>
      </c>
      <c r="AC242" s="276" t="str">
        <f t="shared" si="24"/>
        <v>Très nécessaire, facile / unbedingt nötig, einfach</v>
      </c>
      <c r="AD242" s="570" t="str">
        <f t="shared" si="25"/>
        <v>d</v>
      </c>
      <c r="AE242">
        <v>4</v>
      </c>
      <c r="AF242">
        <v>1</v>
      </c>
    </row>
    <row r="243" spans="1:33" ht="16.5" customHeight="1" x14ac:dyDescent="0.25">
      <c r="A243" s="1233">
        <v>335</v>
      </c>
      <c r="B243" s="409" t="s">
        <v>682</v>
      </c>
      <c r="C243" s="410" t="s">
        <v>683</v>
      </c>
      <c r="D243" s="411" t="s">
        <v>625</v>
      </c>
      <c r="E243" s="522" t="str">
        <f>IF(VLOOKUP(A243,'Charriage - Geschiebehaushalt'!$A$4:$AC$275,17,FALSE)="","",VLOOKUP(A243,'Charriage - Geschiebehaushalt'!$A$4:$AC$275,17,FALSE))</f>
        <v>Charriage présumé naturel / Geschiebehaushalt vermutlich natürlich</v>
      </c>
      <c r="F243" s="523" t="str">
        <f>IF(VLOOKUP(A243,'Charriage - Geschiebehaushalt'!$A$4:$AC$275,18,FALSE)="","",VLOOKUP(A243,'Charriage - Geschiebehaushalt'!$A$4:$AC$275,18,FALSE))</f>
        <v>b</v>
      </c>
      <c r="G243" s="524" t="str">
        <f>IF(VLOOKUP(A243,'Charriage - Geschiebehaushalt'!$A$4:$AC$275,22,FALSE)="","",VLOOKUP(A243,'Charriage - Geschiebehaushalt'!$A$4:$AC$275,22,FALSE))</f>
        <v>0-20%</v>
      </c>
      <c r="H243" s="523" t="str">
        <f>IF(VLOOKUP(A243,'Charriage - Geschiebehaushalt'!$A$4:$AC$275,23,FALSE)="","",VLOOKUP(A243,'Charriage - Geschiebehaushalt'!$A$4:$AC$275,23,FALSE))</f>
        <v>c</v>
      </c>
      <c r="I243" s="524" t="str">
        <f>IF(VLOOKUP(A243,'Charriage - Geschiebehaushalt'!$A$4:$AC$275,28,FALSE)="","",VLOOKUP(A243,'Charriage - Geschiebehaushalt'!$A$4:$AC$275,28,FALSE))</f>
        <v>0-20%</v>
      </c>
      <c r="J243" s="403" t="str">
        <f>IF(VLOOKUP(A243,'Charriage - Geschiebehaushalt'!$A$4:$AC$275,29,FALSE)="","",VLOOKUP(A243,'Charriage - Geschiebehaushalt'!$A$4:$AC$275,29,FALSE))</f>
        <v>c</v>
      </c>
      <c r="K243" s="533" t="str">
        <f>IF(VLOOKUP(A243,'Débit - Abfluss'!$A$4:$AD$275,8,FALSE)="","",VLOOKUP(A243,'Débit - Abfluss'!$A$4:$AD$275,8,FALSE))</f>
        <v>0-20%</v>
      </c>
      <c r="L243" s="468" t="str">
        <f>IF(VLOOKUP(A243,'Débit - Abfluss'!$A$4:$AD$275,10,FALSE)="","",VLOOKUP(A243,'Débit - Abfluss'!$A$4:$AD$275,10,FALSE))</f>
        <v>0-20%</v>
      </c>
      <c r="M243" s="333" t="str">
        <f>IF(VLOOKUP(A243,'Débit - Abfluss'!$A$4:$AD$275,17,FALSE)="","",VLOOKUP(A243,'Débit - Abfluss'!$A$4:$AD$275,17,FALSE))</f>
        <v>0-20%</v>
      </c>
      <c r="N243" s="340" t="str">
        <f>IF(VLOOKUP(A243,'Eclusée - Schwall-Sunk'!$A$2:$F$273,6,FALSE)="","",VLOOKUP(A243,'Eclusée - Schwall-Sunk'!$A$2:$F$273,6,FALSE))</f>
        <v>Non affecté / nicht betroffen</v>
      </c>
      <c r="O243" s="537"/>
      <c r="P243" s="538"/>
      <c r="Q243" s="284" t="str">
        <f>IF(VLOOKUP(A243,'Revitalisation-Revitalisierung'!$A$4:$Z$275,13,FALSE)="","",VLOOKUP(A243,'Revitalisation-Revitalisierung'!$A$4:$Z$275,13,FALSE))</f>
        <v>Non nécessaire / nicht nötig</v>
      </c>
      <c r="R243" s="541" t="str">
        <f>IF(VLOOKUP(A243,'Revitalisation-Revitalisierung'!$A$4:$Z$275,14,FALSE)="","",VLOOKUP(A243,'Revitalisation-Revitalisierung'!$A$4:$Z$275,14,FALSE))</f>
        <v>a</v>
      </c>
      <c r="S243" s="542" t="str">
        <f>IF(VLOOKUP(A243,'Revitalisation-Revitalisierung'!$A$4:$Z$275,19,FALSE)="","",VLOOKUP(A243,'Revitalisation-Revitalisierung'!$A$4:$Z$275,19,FALSE))</f>
        <v>Partiellement nécessaire, facile / teilweise nötig, einfach</v>
      </c>
      <c r="T243" s="541" t="str">
        <f>IF(VLOOKUP(A243,'Revitalisation-Revitalisierung'!$A$4:$Z$275,20,FALSE)="","",VLOOKUP(A243,'Revitalisation-Revitalisierung'!$A$4:$Z$275,20,FALSE))</f>
        <v>c</v>
      </c>
      <c r="U243" s="542" t="str">
        <f>IF(VLOOKUP(A243,'Revitalisation-Revitalisierung'!$A$4:$Z$275,25,FALSE)="","",VLOOKUP(A243,'Revitalisation-Revitalisierung'!$A$4:$Z$275,25,FALSE))</f>
        <v>Partiellement nécessaire, facile / teilweise nötig, einfach</v>
      </c>
      <c r="V243" s="406" t="str">
        <f>IF(VLOOKUP(A243,'Revitalisation-Revitalisierung'!$A$4:$Z$275,26,FALSE)="","",VLOOKUP(A243,'Revitalisation-Revitalisierung'!$A$4:$Z$275,26,FALSE))</f>
        <v>c</v>
      </c>
      <c r="Y243" s="529" t="str">
        <f t="shared" si="20"/>
        <v>0-20%</v>
      </c>
      <c r="Z243" s="568" t="str">
        <f t="shared" si="21"/>
        <v>c</v>
      </c>
      <c r="AA243" s="327" t="str">
        <f t="shared" si="22"/>
        <v>0-20%</v>
      </c>
      <c r="AB243" s="327" t="str">
        <f t="shared" si="23"/>
        <v>Non affecté / nicht betroffen</v>
      </c>
      <c r="AC243" s="276" t="str">
        <f t="shared" si="24"/>
        <v>Partiellement nécessaire, facile / teilweise nötig, einfach</v>
      </c>
      <c r="AD243" s="570" t="str">
        <f t="shared" si="25"/>
        <v>c</v>
      </c>
      <c r="AE243">
        <v>4</v>
      </c>
      <c r="AF243">
        <v>1</v>
      </c>
    </row>
    <row r="244" spans="1:33" ht="16.5" customHeight="1" x14ac:dyDescent="0.25">
      <c r="A244" s="929">
        <v>336</v>
      </c>
      <c r="B244" s="409" t="s">
        <v>685</v>
      </c>
      <c r="C244" s="410" t="s">
        <v>686</v>
      </c>
      <c r="D244" s="411" t="s">
        <v>625</v>
      </c>
      <c r="E244" s="522" t="str">
        <f>IF(VLOOKUP(A244,'Charriage - Geschiebehaushalt'!$A$4:$AC$275,17,FALSE)="","",VLOOKUP(A244,'Charriage - Geschiebehaushalt'!$A$4:$AC$275,17,FALSE))</f>
        <v>Charriage présumé naturel / Geschiebehaushalt vermutlich natürlich</v>
      </c>
      <c r="F244" s="523" t="str">
        <f>IF(VLOOKUP(A244,'Charriage - Geschiebehaushalt'!$A$4:$AC$275,18,FALSE)="","",VLOOKUP(A244,'Charriage - Geschiebehaushalt'!$A$4:$AC$275,18,FALSE))</f>
        <v>b</v>
      </c>
      <c r="G244" s="524" t="str">
        <f>IF(VLOOKUP(A244,'Charriage - Geschiebehaushalt'!$A$4:$AC$275,22,FALSE)="","",VLOOKUP(A244,'Charriage - Geschiebehaushalt'!$A$4:$AC$275,22,FALSE))</f>
        <v>0-20%</v>
      </c>
      <c r="H244" s="523" t="str">
        <f>IF(VLOOKUP(A244,'Charriage - Geschiebehaushalt'!$A$4:$AC$275,23,FALSE)="","",VLOOKUP(A244,'Charriage - Geschiebehaushalt'!$A$4:$AC$275,23,FALSE))</f>
        <v>b</v>
      </c>
      <c r="I244" s="524" t="str">
        <f>IF(VLOOKUP(A244,'Charriage - Geschiebehaushalt'!$A$4:$AC$275,28,FALSE)="","",VLOOKUP(A244,'Charriage - Geschiebehaushalt'!$A$4:$AC$275,28,FALSE))</f>
        <v>0-20%</v>
      </c>
      <c r="J244" s="403" t="str">
        <f>IF(VLOOKUP(A244,'Charriage - Geschiebehaushalt'!$A$4:$AC$275,29,FALSE)="","",VLOOKUP(A244,'Charriage - Geschiebehaushalt'!$A$4:$AC$275,29,FALSE))</f>
        <v>b</v>
      </c>
      <c r="K244" s="533" t="str">
        <f>IF(VLOOKUP(A244,'Débit - Abfluss'!$A$4:$AD$275,8,FALSE)="","",VLOOKUP(A244,'Débit - Abfluss'!$A$4:$AD$275,8,FALSE))</f>
        <v>Régime présumé naturel (100%) / Abfluss vermutlich natürlich</v>
      </c>
      <c r="L244" s="468" t="str">
        <f>IF(VLOOKUP(A244,'Débit - Abfluss'!$A$4:$AD$275,10,FALSE)="","",VLOOKUP(A244,'Débit - Abfluss'!$A$4:$AD$275,10,FALSE))</f>
        <v>Régime présumé naturel (100%) / Abfluss vermutlich natürlich</v>
      </c>
      <c r="M244" s="333" t="str">
        <f>IF(VLOOKUP(A244,'Débit - Abfluss'!$A$4:$AD$275,17,FALSE)="","",VLOOKUP(A244,'Débit - Abfluss'!$A$4:$AD$275,17,FALSE))</f>
        <v>Régime présumé naturel (100%) / Abfluss vermutlich natürlich</v>
      </c>
      <c r="N244" s="340" t="str">
        <f>IF(VLOOKUP(A244,'Eclusée - Schwall-Sunk'!$A$2:$F$273,6,FALSE)="","",VLOOKUP(A244,'Eclusée - Schwall-Sunk'!$A$2:$F$273,6,FALSE))</f>
        <v>Non affecté / nicht betroffen</v>
      </c>
      <c r="O244" s="537"/>
      <c r="P244" s="538"/>
      <c r="Q244" s="284" t="str">
        <f>IF(VLOOKUP(A244,'Revitalisation-Revitalisierung'!$A$4:$Z$275,13,FALSE)="","",VLOOKUP(A244,'Revitalisation-Revitalisierung'!$A$4:$Z$275,13,FALSE))</f>
        <v>Partiellement nécessaire, facile / teilweise nötig, einfach</v>
      </c>
      <c r="R244" s="541" t="str">
        <f>IF(VLOOKUP(A244,'Revitalisation-Revitalisierung'!$A$4:$Z$275,14,FALSE)="","",VLOOKUP(A244,'Revitalisation-Revitalisierung'!$A$4:$Z$275,14,FALSE))</f>
        <v>b</v>
      </c>
      <c r="S244" s="542" t="str">
        <f>IF(VLOOKUP(A244,'Revitalisation-Revitalisierung'!$A$4:$Z$275,19,FALSE)="","",VLOOKUP(A244,'Revitalisation-Revitalisierung'!$A$4:$Z$275,19,FALSE))</f>
        <v>Partiellement nécessaire, facile / teilweise nötig, einfach</v>
      </c>
      <c r="T244" s="541" t="str">
        <f>IF(VLOOKUP(A244,'Revitalisation-Revitalisierung'!$A$4:$Z$275,20,FALSE)="","",VLOOKUP(A244,'Revitalisation-Revitalisierung'!$A$4:$Z$275,20,FALSE))</f>
        <v>c</v>
      </c>
      <c r="U244" s="542" t="str">
        <f>IF(VLOOKUP(A244,'Revitalisation-Revitalisierung'!$A$4:$Z$275,25,FALSE)="","",VLOOKUP(A244,'Revitalisation-Revitalisierung'!$A$4:$Z$275,25,FALSE))</f>
        <v>Partiellement nécessaire, facile / teilweise nötig, einfach</v>
      </c>
      <c r="V244" s="406" t="str">
        <f>IF(VLOOKUP(A244,'Revitalisation-Revitalisierung'!$A$4:$Z$275,26,FALSE)="","",VLOOKUP(A244,'Revitalisation-Revitalisierung'!$A$4:$Z$275,26,FALSE))</f>
        <v>c</v>
      </c>
      <c r="Y244" s="529" t="str">
        <f t="shared" si="20"/>
        <v>0-20%</v>
      </c>
      <c r="Z244" s="568" t="str">
        <f t="shared" si="21"/>
        <v>b</v>
      </c>
      <c r="AA244" s="327" t="str">
        <f t="shared" si="22"/>
        <v>Régime présumé naturel (100%) / Abfluss vermutlich natürlich</v>
      </c>
      <c r="AB244" s="327" t="str">
        <f t="shared" si="23"/>
        <v>Non affecté / nicht betroffen</v>
      </c>
      <c r="AC244" s="276" t="str">
        <f t="shared" si="24"/>
        <v>Partiellement nécessaire, facile / teilweise nötig, einfach</v>
      </c>
      <c r="AD244" s="570" t="str">
        <f t="shared" si="25"/>
        <v>c</v>
      </c>
      <c r="AE244">
        <v>2</v>
      </c>
      <c r="AF244">
        <v>1</v>
      </c>
    </row>
    <row r="245" spans="1:33" ht="16.5" customHeight="1" x14ac:dyDescent="0.25">
      <c r="A245" s="926">
        <v>337</v>
      </c>
      <c r="B245" s="400" t="s">
        <v>69</v>
      </c>
      <c r="C245" s="400" t="s">
        <v>70</v>
      </c>
      <c r="D245" s="401" t="s">
        <v>35</v>
      </c>
      <c r="E245" s="522" t="str">
        <f>IF(VLOOKUP(A245,'Charriage - Geschiebehaushalt'!$A$4:$AC$275,17,FALSE)="","",VLOOKUP(A245,'Charriage - Geschiebehaushalt'!$A$4:$AC$275,17,FALSE))</f>
        <v>La remobilisation des sédiments est perturbée / Mobilisierung von Geschiebe beeinträchtigt</v>
      </c>
      <c r="F245" s="523" t="str">
        <f>IF(VLOOKUP(A245,'Charriage - Geschiebehaushalt'!$A$4:$AC$275,18,FALSE)="","",VLOOKUP(A245,'Charriage - Geschiebehaushalt'!$A$4:$AC$275,18,FALSE))</f>
        <v>b</v>
      </c>
      <c r="G245" s="524" t="str">
        <f>IF(VLOOKUP(A245,'Charriage - Geschiebehaushalt'!$A$4:$AC$275,22,FALSE)="","",VLOOKUP(A245,'Charriage - Geschiebehaushalt'!$A$4:$AC$275,22,FALSE))</f>
        <v>21-50%</v>
      </c>
      <c r="H245" s="523" t="str">
        <f>IF(VLOOKUP(A245,'Charriage - Geschiebehaushalt'!$A$4:$AC$275,23,FALSE)="","",VLOOKUP(A245,'Charriage - Geschiebehaushalt'!$A$4:$AC$275,23,FALSE))</f>
        <v>b</v>
      </c>
      <c r="I245" s="524" t="str">
        <f>IF(VLOOKUP(A245,'Charriage - Geschiebehaushalt'!$A$4:$AC$275,28,FALSE)="","",VLOOKUP(A245,'Charriage - Geschiebehaushalt'!$A$4:$AC$275,28,FALSE))</f>
        <v>21-50%</v>
      </c>
      <c r="J245" s="403" t="str">
        <f>IF(VLOOKUP(A245,'Charriage - Geschiebehaushalt'!$A$4:$AC$275,29,FALSE)="","",VLOOKUP(A245,'Charriage - Geschiebehaushalt'!$A$4:$AC$275,29,FALSE))</f>
        <v>b</v>
      </c>
      <c r="K245" s="533" t="str">
        <f>IF(VLOOKUP(A245,'Débit - Abfluss'!$A$4:$AD$275,8,FALSE)="","",VLOOKUP(A245,'Débit - Abfluss'!$A$4:$AD$275,8,FALSE))</f>
        <v>100%</v>
      </c>
      <c r="L245" s="468" t="str">
        <f>IF(VLOOKUP(A245,'Débit - Abfluss'!$A$4:$AD$275,10,FALSE)="","",VLOOKUP(A245,'Débit - Abfluss'!$A$4:$AD$275,10,FALSE))</f>
        <v>100%</v>
      </c>
      <c r="M245" s="333" t="str">
        <f>IF(VLOOKUP(A245,'Débit - Abfluss'!$A$4:$AD$275,17,FALSE)="","",VLOOKUP(A245,'Débit - Abfluss'!$A$4:$AD$275,17,FALSE))</f>
        <v>100%</v>
      </c>
      <c r="N245" s="340" t="str">
        <f>IF(VLOOKUP(A245,'Eclusée - Schwall-Sunk'!$A$2:$F$273,6,FALSE)="","",VLOOKUP(A245,'Eclusée - Schwall-Sunk'!$A$2:$F$273,6,FALSE))</f>
        <v>Non affecté / nicht betroffen</v>
      </c>
      <c r="O245" s="537"/>
      <c r="P245" s="538"/>
      <c r="Q245" s="284" t="str">
        <f>IF(VLOOKUP(A245,'Revitalisation-Revitalisierung'!$A$4:$Z$275,13,FALSE)="","",VLOOKUP(A245,'Revitalisation-Revitalisierung'!$A$4:$Z$275,13,FALSE))</f>
        <v>Très nécessaire, difficile / unbedingt nötig, schwierig</v>
      </c>
      <c r="R245" s="541" t="str">
        <f>IF(VLOOKUP(A245,'Revitalisation-Revitalisierung'!$A$4:$Z$275,14,FALSE)="","",VLOOKUP(A245,'Revitalisation-Revitalisierung'!$A$4:$Z$275,14,FALSE))</f>
        <v>a</v>
      </c>
      <c r="S245" s="542" t="str">
        <f>IF(VLOOKUP(A245,'Revitalisation-Revitalisierung'!$A$4:$Z$275,19,FALSE)="","",VLOOKUP(A245,'Revitalisation-Revitalisierung'!$A$4:$Z$275,19,FALSE))</f>
        <v>Très nécessaire, difficile / unbedingt nötig, schwierig</v>
      </c>
      <c r="T245" s="541" t="str">
        <f>IF(VLOOKUP(A245,'Revitalisation-Revitalisierung'!$A$4:$Z$275,20,FALSE)="","",VLOOKUP(A245,'Revitalisation-Revitalisierung'!$A$4:$Z$275,20,FALSE))</f>
        <v>d</v>
      </c>
      <c r="U245" s="542" t="str">
        <f>IF(VLOOKUP(A245,'Revitalisation-Revitalisierung'!$A$4:$Z$275,25,FALSE)="","",VLOOKUP(A245,'Revitalisation-Revitalisierung'!$A$4:$Z$275,25,FALSE))</f>
        <v>Partiellement nécessaire, facile / teilweise nötig, einfach</v>
      </c>
      <c r="V245" s="406" t="str">
        <f>IF(VLOOKUP(A245,'Revitalisation-Revitalisierung'!$A$4:$Z$275,26,FALSE)="","",VLOOKUP(A245,'Revitalisation-Revitalisierung'!$A$4:$Z$275,26,FALSE))</f>
        <v>e</v>
      </c>
      <c r="Y245" s="529" t="str">
        <f t="shared" si="20"/>
        <v>21-50%</v>
      </c>
      <c r="Z245" s="568" t="str">
        <f t="shared" si="21"/>
        <v>b</v>
      </c>
      <c r="AA245" s="327" t="str">
        <f t="shared" si="22"/>
        <v>100%</v>
      </c>
      <c r="AB245" s="327" t="str">
        <f t="shared" si="23"/>
        <v>Non affecté / nicht betroffen</v>
      </c>
      <c r="AC245" s="276" t="str">
        <f t="shared" si="24"/>
        <v>Partiellement nécessaire, facile / teilweise nötig, einfach</v>
      </c>
      <c r="AD245" s="570" t="str">
        <f t="shared" si="25"/>
        <v>e</v>
      </c>
      <c r="AE245">
        <v>2</v>
      </c>
      <c r="AF245">
        <v>1</v>
      </c>
    </row>
    <row r="246" spans="1:33" ht="16.5" customHeight="1" x14ac:dyDescent="0.25">
      <c r="A246" s="926">
        <v>338</v>
      </c>
      <c r="B246" s="400" t="s">
        <v>380</v>
      </c>
      <c r="C246" s="400" t="s">
        <v>381</v>
      </c>
      <c r="D246" s="401" t="s">
        <v>376</v>
      </c>
      <c r="E246" s="522" t="str">
        <f>IF(VLOOKUP(A246,'Charriage - Geschiebehaushalt'!$A$4:$AC$275,17,FALSE)="","",VLOOKUP(A246,'Charriage - Geschiebehaushalt'!$A$4:$AC$275,17,FALSE))</f>
        <v>Charriage présumé naturel / Geschiebehaushalt vermutlich natürlich</v>
      </c>
      <c r="F246" s="523" t="str">
        <f>IF(VLOOKUP(A246,'Charriage - Geschiebehaushalt'!$A$4:$AC$275,18,FALSE)="","",VLOOKUP(A246,'Charriage - Geschiebehaushalt'!$A$4:$AC$275,18,FALSE))</f>
        <v>b</v>
      </c>
      <c r="G246" s="524" t="str">
        <f>IF(VLOOKUP(A246,'Charriage - Geschiebehaushalt'!$A$4:$AC$275,22,FALSE)="","",VLOOKUP(A246,'Charriage - Geschiebehaushalt'!$A$4:$AC$275,22,FALSE))</f>
        <v>51-80%</v>
      </c>
      <c r="H246" s="523" t="str">
        <f>IF(VLOOKUP(A246,'Charriage - Geschiebehaushalt'!$A$4:$AC$275,23,FALSE)="","",VLOOKUP(A246,'Charriage - Geschiebehaushalt'!$A$4:$AC$275,23,FALSE))</f>
        <v>c</v>
      </c>
      <c r="I246" s="524" t="str">
        <f>IF(VLOOKUP(A246,'Charriage - Geschiebehaushalt'!$A$4:$AC$275,28,FALSE)="","",VLOOKUP(A246,'Charriage - Geschiebehaushalt'!$A$4:$AC$275,28,FALSE))</f>
        <v>51-80%</v>
      </c>
      <c r="J246" s="403" t="str">
        <f>IF(VLOOKUP(A246,'Charriage - Geschiebehaushalt'!$A$4:$AC$275,29,FALSE)="","",VLOOKUP(A246,'Charriage - Geschiebehaushalt'!$A$4:$AC$275,29,FALSE))</f>
        <v>c</v>
      </c>
      <c r="K246" s="533" t="str">
        <f>IF(VLOOKUP(A246,'Débit - Abfluss'!$A$4:$AD$275,8,FALSE)="","",VLOOKUP(A246,'Débit - Abfluss'!$A$4:$AD$275,8,FALSE))</f>
        <v>100%</v>
      </c>
      <c r="L246" s="468" t="str">
        <f>IF(VLOOKUP(A246,'Débit - Abfluss'!$A$4:$AD$275,10,FALSE)="","",VLOOKUP(A246,'Débit - Abfluss'!$A$4:$AD$275,10,FALSE))</f>
        <v>100%</v>
      </c>
      <c r="M246" s="333" t="str">
        <f>IF(VLOOKUP(A246,'Débit - Abfluss'!$A$4:$AD$275,17,FALSE)="","",VLOOKUP(A246,'Débit - Abfluss'!$A$4:$AD$275,17,FALSE))</f>
        <v>100%</v>
      </c>
      <c r="N246" s="340" t="str">
        <f>IF(VLOOKUP(A246,'Eclusée - Schwall-Sunk'!$A$2:$F$273,6,FALSE)="","",VLOOKUP(A246,'Eclusée - Schwall-Sunk'!$A$2:$F$273,6,FALSE))</f>
        <v>Non affecté / nicht betroffen</v>
      </c>
      <c r="O246" s="537"/>
      <c r="P246" s="538"/>
      <c r="Q246" s="284" t="str">
        <f>IF(VLOOKUP(A246,'Revitalisation-Revitalisierung'!$A$4:$Z$275,13,FALSE)="","",VLOOKUP(A246,'Revitalisation-Revitalisierung'!$A$4:$Z$275,13,FALSE))</f>
        <v>Très nécessaire, facile / unbedingt nötig, einfach</v>
      </c>
      <c r="R246" s="541" t="str">
        <f>IF(VLOOKUP(A246,'Revitalisation-Revitalisierung'!$A$4:$Z$275,14,FALSE)="","",VLOOKUP(A246,'Revitalisation-Revitalisierung'!$A$4:$Z$275,14,FALSE))</f>
        <v>b</v>
      </c>
      <c r="S246" s="542" t="str">
        <f>IF(VLOOKUP(A246,'Revitalisation-Revitalisierung'!$A$4:$Z$275,19,FALSE)="","",VLOOKUP(A246,'Revitalisation-Revitalisierung'!$A$4:$Z$275,19,FALSE))</f>
        <v>Très nécessaire, facile / unbedingt nötig, einfach</v>
      </c>
      <c r="T246" s="541" t="str">
        <f>IF(VLOOKUP(A246,'Revitalisation-Revitalisierung'!$A$4:$Z$275,20,FALSE)="","",VLOOKUP(A246,'Revitalisation-Revitalisierung'!$A$4:$Z$275,20,FALSE))</f>
        <v>d</v>
      </c>
      <c r="U246" s="542" t="str">
        <f>IF(VLOOKUP(A246,'Revitalisation-Revitalisierung'!$A$4:$Z$275,25,FALSE)="","",VLOOKUP(A246,'Revitalisation-Revitalisierung'!$A$4:$Z$275,25,FALSE))</f>
        <v>Très nécessaire, facile / unbedingt nötig, einfach</v>
      </c>
      <c r="V246" s="406" t="str">
        <f>IF(VLOOKUP(A246,'Revitalisation-Revitalisierung'!$A$4:$Z$275,26,FALSE)="","",VLOOKUP(A246,'Revitalisation-Revitalisierung'!$A$4:$Z$275,26,FALSE))</f>
        <v>d</v>
      </c>
      <c r="Y246" s="529" t="str">
        <f t="shared" si="20"/>
        <v>51-80%</v>
      </c>
      <c r="Z246" s="568" t="str">
        <f t="shared" si="21"/>
        <v>c</v>
      </c>
      <c r="AA246" s="327" t="str">
        <f t="shared" si="22"/>
        <v>100%</v>
      </c>
      <c r="AB246" s="327" t="str">
        <f t="shared" si="23"/>
        <v>Non affecté / nicht betroffen</v>
      </c>
      <c r="AC246" s="276" t="str">
        <f t="shared" si="24"/>
        <v>Très nécessaire, facile / unbedingt nötig, einfach</v>
      </c>
      <c r="AD246" s="570" t="str">
        <f t="shared" si="25"/>
        <v>d</v>
      </c>
      <c r="AE246">
        <v>4</v>
      </c>
      <c r="AF246">
        <v>1</v>
      </c>
    </row>
    <row r="247" spans="1:33" ht="16.5" customHeight="1" x14ac:dyDescent="0.25">
      <c r="A247" s="926">
        <v>339</v>
      </c>
      <c r="B247" s="400" t="s">
        <v>383</v>
      </c>
      <c r="C247" s="400" t="s">
        <v>384</v>
      </c>
      <c r="D247" s="401" t="s">
        <v>376</v>
      </c>
      <c r="E247" s="522" t="str">
        <f>IF(VLOOKUP(A247,'Charriage - Geschiebehaushalt'!$A$4:$AC$275,17,FALSE)="","",VLOOKUP(A247,'Charriage - Geschiebehaushalt'!$A$4:$AC$275,17,FALSE))</f>
        <v>Charriage présumé naturel / Geschiebehaushalt vermutlich natürlich</v>
      </c>
      <c r="F247" s="523" t="str">
        <f>IF(VLOOKUP(A247,'Charriage - Geschiebehaushalt'!$A$4:$AC$275,18,FALSE)="","",VLOOKUP(A247,'Charriage - Geschiebehaushalt'!$A$4:$AC$275,18,FALSE))</f>
        <v>b</v>
      </c>
      <c r="G247" s="524" t="str">
        <f>IF(VLOOKUP(A247,'Charriage - Geschiebehaushalt'!$A$4:$AC$275,22,FALSE)="","",VLOOKUP(A247,'Charriage - Geschiebehaushalt'!$A$4:$AC$275,22,FALSE))</f>
        <v>0-20%</v>
      </c>
      <c r="H247" s="523" t="str">
        <f>IF(VLOOKUP(A247,'Charriage - Geschiebehaushalt'!$A$4:$AC$275,23,FALSE)="","",VLOOKUP(A247,'Charriage - Geschiebehaushalt'!$A$4:$AC$275,23,FALSE))</f>
        <v>b</v>
      </c>
      <c r="I247" s="524" t="str">
        <f>IF(VLOOKUP(A247,'Charriage - Geschiebehaushalt'!$A$4:$AC$275,28,FALSE)="","",VLOOKUP(A247,'Charriage - Geschiebehaushalt'!$A$4:$AC$275,28,FALSE))</f>
        <v>0-20%</v>
      </c>
      <c r="J247" s="403" t="str">
        <f>IF(VLOOKUP(A247,'Charriage - Geschiebehaushalt'!$A$4:$AC$275,29,FALSE)="","",VLOOKUP(A247,'Charriage - Geschiebehaushalt'!$A$4:$AC$275,29,FALSE))</f>
        <v>b</v>
      </c>
      <c r="K247" s="533" t="str">
        <f>IF(VLOOKUP(A247,'Débit - Abfluss'!$A$4:$AD$275,8,FALSE)="","",VLOOKUP(A247,'Débit - Abfluss'!$A$4:$AD$275,8,FALSE))</f>
        <v>100%</v>
      </c>
      <c r="L247" s="468" t="str">
        <f>IF(VLOOKUP(A247,'Débit - Abfluss'!$A$4:$AD$275,10,FALSE)="","",VLOOKUP(A247,'Débit - Abfluss'!$A$4:$AD$275,10,FALSE))</f>
        <v>100%</v>
      </c>
      <c r="M247" s="333" t="str">
        <f>IF(VLOOKUP(A247,'Débit - Abfluss'!$A$4:$AD$275,17,FALSE)="","",VLOOKUP(A247,'Débit - Abfluss'!$A$4:$AD$275,17,FALSE))</f>
        <v>100%</v>
      </c>
      <c r="N247" s="340" t="str">
        <f>IF(VLOOKUP(A247,'Eclusée - Schwall-Sunk'!$A$2:$F$273,6,FALSE)="","",VLOOKUP(A247,'Eclusée - Schwall-Sunk'!$A$2:$F$273,6,FALSE))</f>
        <v>Non affecté / nicht betroffen</v>
      </c>
      <c r="O247" s="537"/>
      <c r="P247" s="538"/>
      <c r="Q247" s="284" t="str">
        <f>IF(VLOOKUP(A247,'Revitalisation-Revitalisierung'!$A$4:$Z$275,13,FALSE)="","",VLOOKUP(A247,'Revitalisation-Revitalisierung'!$A$4:$Z$275,13,FALSE))</f>
        <v>Partiellement nécessaire, facile / teilweise nötig, einfach</v>
      </c>
      <c r="R247" s="541" t="str">
        <f>IF(VLOOKUP(A247,'Revitalisation-Revitalisierung'!$A$4:$Z$275,14,FALSE)="","",VLOOKUP(A247,'Revitalisation-Revitalisierung'!$A$4:$Z$275,14,FALSE))</f>
        <v>b</v>
      </c>
      <c r="S247" s="542" t="str">
        <f>IF(VLOOKUP(A247,'Revitalisation-Revitalisierung'!$A$4:$Z$275,19,FALSE)="","",VLOOKUP(A247,'Revitalisation-Revitalisierung'!$A$4:$Z$275,19,FALSE))</f>
        <v>Non nécessaire / nicht nötig</v>
      </c>
      <c r="T247" s="541" t="str">
        <f>IF(VLOOKUP(A247,'Revitalisation-Revitalisierung'!$A$4:$Z$275,20,FALSE)="","",VLOOKUP(A247,'Revitalisation-Revitalisierung'!$A$4:$Z$275,20,FALSE))</f>
        <v>c</v>
      </c>
      <c r="U247" s="542" t="str">
        <f>IF(VLOOKUP(A247,'Revitalisation-Revitalisierung'!$A$4:$Z$275,25,FALSE)="","",VLOOKUP(A247,'Revitalisation-Revitalisierung'!$A$4:$Z$275,25,FALSE))</f>
        <v>Non nécessaire / nicht nötig</v>
      </c>
      <c r="V247" s="406" t="str">
        <f>IF(VLOOKUP(A247,'Revitalisation-Revitalisierung'!$A$4:$Z$275,26,FALSE)="","",VLOOKUP(A247,'Revitalisation-Revitalisierung'!$A$4:$Z$275,26,FALSE))</f>
        <v>c</v>
      </c>
      <c r="Y247" s="529" t="str">
        <f t="shared" si="20"/>
        <v>0-20%</v>
      </c>
      <c r="Z247" s="568" t="str">
        <f t="shared" si="21"/>
        <v>b</v>
      </c>
      <c r="AA247" s="327" t="str">
        <f t="shared" si="22"/>
        <v>100%</v>
      </c>
      <c r="AB247" s="327" t="str">
        <f t="shared" si="23"/>
        <v>Non affecté / nicht betroffen</v>
      </c>
      <c r="AC247" s="276" t="str">
        <f t="shared" si="24"/>
        <v>Non nécessaire / nicht nötig</v>
      </c>
      <c r="AD247" s="570" t="str">
        <f t="shared" si="25"/>
        <v>c</v>
      </c>
      <c r="AE247">
        <v>1</v>
      </c>
      <c r="AF247">
        <v>1</v>
      </c>
      <c r="AG247">
        <v>1</v>
      </c>
    </row>
    <row r="248" spans="1:33" ht="16.5" customHeight="1" x14ac:dyDescent="0.25">
      <c r="A248" s="926">
        <v>340</v>
      </c>
      <c r="B248" s="400" t="s">
        <v>386</v>
      </c>
      <c r="C248" s="400" t="s">
        <v>387</v>
      </c>
      <c r="D248" s="401" t="s">
        <v>376</v>
      </c>
      <c r="E248" s="522" t="str">
        <f>IF(VLOOKUP(A248,'Charriage - Geschiebehaushalt'!$A$4:$AC$275,17,FALSE)="","",VLOOKUP(A248,'Charriage - Geschiebehaushalt'!$A$4:$AC$275,17,FALSE))</f>
        <v>Charriage présumé naturel / Geschiebehaushalt vermutlich natürlich</v>
      </c>
      <c r="F248" s="523" t="str">
        <f>IF(VLOOKUP(A248,'Charriage - Geschiebehaushalt'!$A$4:$AC$275,18,FALSE)="","",VLOOKUP(A248,'Charriage - Geschiebehaushalt'!$A$4:$AC$275,18,FALSE))</f>
        <v>b</v>
      </c>
      <c r="G248" s="524" t="str">
        <f>IF(VLOOKUP(A248,'Charriage - Geschiebehaushalt'!$A$4:$AC$275,22,FALSE)="","",VLOOKUP(A248,'Charriage - Geschiebehaushalt'!$A$4:$AC$275,22,FALSE))</f>
        <v>0-20%</v>
      </c>
      <c r="H248" s="523" t="str">
        <f>IF(VLOOKUP(A248,'Charriage - Geschiebehaushalt'!$A$4:$AC$275,23,FALSE)="","",VLOOKUP(A248,'Charriage - Geschiebehaushalt'!$A$4:$AC$275,23,FALSE))</f>
        <v>b</v>
      </c>
      <c r="I248" s="524" t="str">
        <f>IF(VLOOKUP(A248,'Charriage - Geschiebehaushalt'!$A$4:$AC$275,28,FALSE)="","",VLOOKUP(A248,'Charriage - Geschiebehaushalt'!$A$4:$AC$275,28,FALSE))</f>
        <v>0-20%</v>
      </c>
      <c r="J248" s="403" t="str">
        <f>IF(VLOOKUP(A248,'Charriage - Geschiebehaushalt'!$A$4:$AC$275,29,FALSE)="","",VLOOKUP(A248,'Charriage - Geschiebehaushalt'!$A$4:$AC$275,29,FALSE))</f>
        <v>b</v>
      </c>
      <c r="K248" s="533" t="str">
        <f>IF(VLOOKUP(A248,'Débit - Abfluss'!$A$4:$AD$275,8,FALSE)="","",VLOOKUP(A248,'Débit - Abfluss'!$A$4:$AD$275,8,FALSE))</f>
        <v>100%</v>
      </c>
      <c r="L248" s="468" t="str">
        <f>IF(VLOOKUP(A248,'Débit - Abfluss'!$A$4:$AD$275,10,FALSE)="","",VLOOKUP(A248,'Débit - Abfluss'!$A$4:$AD$275,10,FALSE))</f>
        <v>100%</v>
      </c>
      <c r="M248" s="333" t="str">
        <f>IF(VLOOKUP(A248,'Débit - Abfluss'!$A$4:$AD$275,17,FALSE)="","",VLOOKUP(A248,'Débit - Abfluss'!$A$4:$AD$275,17,FALSE))</f>
        <v>61-80%</v>
      </c>
      <c r="N248" s="340" t="str">
        <f>IF(VLOOKUP(A248,'Eclusée - Schwall-Sunk'!$A$2:$F$273,6,FALSE)="","",VLOOKUP(A248,'Eclusée - Schwall-Sunk'!$A$2:$F$273,6,FALSE))</f>
        <v>Non affecté / nicht betroffen</v>
      </c>
      <c r="O248" s="537"/>
      <c r="P248" s="538"/>
      <c r="Q248" s="284" t="str">
        <f>IF(VLOOKUP(A248,'Revitalisation-Revitalisierung'!$A$4:$Z$275,13,FALSE)="","",VLOOKUP(A248,'Revitalisation-Revitalisierung'!$A$4:$Z$275,13,FALSE))</f>
        <v>Non nécessaire / nicht nötig</v>
      </c>
      <c r="R248" s="541" t="str">
        <f>IF(VLOOKUP(A248,'Revitalisation-Revitalisierung'!$A$4:$Z$275,14,FALSE)="","",VLOOKUP(A248,'Revitalisation-Revitalisierung'!$A$4:$Z$275,14,FALSE))</f>
        <v>a</v>
      </c>
      <c r="S248" s="542" t="str">
        <f>IF(VLOOKUP(A248,'Revitalisation-Revitalisierung'!$A$4:$Z$275,19,FALSE)="","",VLOOKUP(A248,'Revitalisation-Revitalisierung'!$A$4:$Z$275,19,FALSE))</f>
        <v>Non nécessaire / nicht nötig</v>
      </c>
      <c r="T248" s="541" t="str">
        <f>IF(VLOOKUP(A248,'Revitalisation-Revitalisierung'!$A$4:$Z$275,20,FALSE)="","",VLOOKUP(A248,'Revitalisation-Revitalisierung'!$A$4:$Z$275,20,FALSE))</f>
        <v>d</v>
      </c>
      <c r="U248" s="542" t="str">
        <f>IF(VLOOKUP(A248,'Revitalisation-Revitalisierung'!$A$4:$Z$275,25,FALSE)="","",VLOOKUP(A248,'Revitalisation-Revitalisierung'!$A$4:$Z$275,25,FALSE))</f>
        <v>Non nécessaire / nicht nötig</v>
      </c>
      <c r="V248" s="406" t="str">
        <f>IF(VLOOKUP(A248,'Revitalisation-Revitalisierung'!$A$4:$Z$275,26,FALSE)="","",VLOOKUP(A248,'Revitalisation-Revitalisierung'!$A$4:$Z$275,26,FALSE))</f>
        <v>d</v>
      </c>
      <c r="Y248" s="529" t="str">
        <f t="shared" si="20"/>
        <v>0-20%</v>
      </c>
      <c r="Z248" s="568" t="str">
        <f t="shared" si="21"/>
        <v>b</v>
      </c>
      <c r="AA248" s="327" t="str">
        <f t="shared" si="22"/>
        <v>61-80%</v>
      </c>
      <c r="AB248" s="327" t="str">
        <f t="shared" si="23"/>
        <v>Non affecté / nicht betroffen</v>
      </c>
      <c r="AC248" s="276" t="str">
        <f t="shared" si="24"/>
        <v>Non nécessaire / nicht nötig</v>
      </c>
      <c r="AD248" s="570" t="str">
        <f t="shared" si="25"/>
        <v>d</v>
      </c>
      <c r="AE248" t="s">
        <v>1902</v>
      </c>
      <c r="AF248">
        <v>1</v>
      </c>
    </row>
    <row r="249" spans="1:33" ht="16.5" customHeight="1" x14ac:dyDescent="0.25">
      <c r="A249" s="926">
        <v>341</v>
      </c>
      <c r="B249" s="400" t="s">
        <v>389</v>
      </c>
      <c r="C249" s="400" t="s">
        <v>390</v>
      </c>
      <c r="D249" s="401" t="s">
        <v>376</v>
      </c>
      <c r="E249" s="522" t="str">
        <f>IF(VLOOKUP(A249,'Charriage - Geschiebehaushalt'!$A$4:$AC$275,17,FALSE)="","",VLOOKUP(A249,'Charriage - Geschiebehaushalt'!$A$4:$AC$275,17,FALSE))</f>
        <v>La remobilisation des sédiments est perturbée / Mobilisierung von Geschiebe beeinträchtigt</v>
      </c>
      <c r="F249" s="523" t="str">
        <f>IF(VLOOKUP(A249,'Charriage - Geschiebehaushalt'!$A$4:$AC$275,18,FALSE)="","",VLOOKUP(A249,'Charriage - Geschiebehaushalt'!$A$4:$AC$275,18,FALSE))</f>
        <v>b</v>
      </c>
      <c r="G249" s="524" t="str">
        <f>IF(VLOOKUP(A249,'Charriage - Geschiebehaushalt'!$A$4:$AC$275,22,FALSE)="","",VLOOKUP(A249,'Charriage - Geschiebehaushalt'!$A$4:$AC$275,22,FALSE))</f>
        <v>21-50%</v>
      </c>
      <c r="H249" s="523" t="str">
        <f>IF(VLOOKUP(A249,'Charriage - Geschiebehaushalt'!$A$4:$AC$275,23,FALSE)="","",VLOOKUP(A249,'Charriage - Geschiebehaushalt'!$A$4:$AC$275,23,FALSE))</f>
        <v>d</v>
      </c>
      <c r="I249" s="524" t="str">
        <f>IF(VLOOKUP(A249,'Charriage - Geschiebehaushalt'!$A$4:$AC$275,28,FALSE)="","",VLOOKUP(A249,'Charriage - Geschiebehaushalt'!$A$4:$AC$275,28,FALSE))</f>
        <v>21-50%</v>
      </c>
      <c r="J249" s="403" t="str">
        <f>IF(VLOOKUP(A249,'Charriage - Geschiebehaushalt'!$A$4:$AC$275,29,FALSE)="","",VLOOKUP(A249,'Charriage - Geschiebehaushalt'!$A$4:$AC$275,29,FALSE))</f>
        <v>d</v>
      </c>
      <c r="K249" s="533" t="str">
        <f>IF(VLOOKUP(A249,'Débit - Abfluss'!$A$4:$AD$275,8,FALSE)="","",VLOOKUP(A249,'Débit - Abfluss'!$A$4:$AD$275,8,FALSE))</f>
        <v>100%</v>
      </c>
      <c r="L249" s="468" t="str">
        <f>IF(VLOOKUP(A249,'Débit - Abfluss'!$A$4:$AD$275,10,FALSE)="","",VLOOKUP(A249,'Débit - Abfluss'!$A$4:$AD$275,10,FALSE))</f>
        <v>100%</v>
      </c>
      <c r="M249" s="333" t="str">
        <f>IF(VLOOKUP(A249,'Débit - Abfluss'!$A$4:$AD$275,17,FALSE)="","",VLOOKUP(A249,'Débit - Abfluss'!$A$4:$AD$275,17,FALSE))</f>
        <v>100%</v>
      </c>
      <c r="N249" s="340" t="str">
        <f>IF(VLOOKUP(A249,'Eclusée - Schwall-Sunk'!$A$2:$F$273,6,FALSE)="","",VLOOKUP(A249,'Eclusée - Schwall-Sunk'!$A$2:$F$273,6,FALSE))</f>
        <v>Non affecté / nicht betroffen</v>
      </c>
      <c r="O249" s="537"/>
      <c r="P249" s="538"/>
      <c r="Q249" s="284" t="str">
        <f>IF(VLOOKUP(A249,'Revitalisation-Revitalisierung'!$A$4:$Z$275,13,FALSE)="","",VLOOKUP(A249,'Revitalisation-Revitalisierung'!$A$4:$Z$275,13,FALSE))</f>
        <v>Très nécessaire, difficile / unbedingt nötig, schwierig</v>
      </c>
      <c r="R249" s="541" t="str">
        <f>IF(VLOOKUP(A249,'Revitalisation-Revitalisierung'!$A$4:$Z$275,14,FALSE)="","",VLOOKUP(A249,'Revitalisation-Revitalisierung'!$A$4:$Z$275,14,FALSE))</f>
        <v>a</v>
      </c>
      <c r="S249" s="542" t="str">
        <f>IF(VLOOKUP(A249,'Revitalisation-Revitalisierung'!$A$4:$Z$275,19,FALSE)="","",VLOOKUP(A249,'Revitalisation-Revitalisierung'!$A$4:$Z$275,19,FALSE))</f>
        <v>Partiellement nécessaire, difficile / teilweise nötig, schwierig</v>
      </c>
      <c r="T249" s="541" t="str">
        <f>IF(VLOOKUP(A249,'Revitalisation-Revitalisierung'!$A$4:$Z$275,20,FALSE)="","",VLOOKUP(A249,'Revitalisation-Revitalisierung'!$A$4:$Z$275,20,FALSE))</f>
        <v>c</v>
      </c>
      <c r="U249" s="542" t="str">
        <f>IF(VLOOKUP(A249,'Revitalisation-Revitalisierung'!$A$4:$Z$275,25,FALSE)="","",VLOOKUP(A249,'Revitalisation-Revitalisierung'!$A$4:$Z$275,25,FALSE))</f>
        <v>Partiellement nécessaire, difficile / teilweise nötig, schwierig</v>
      </c>
      <c r="V249" s="406" t="str">
        <f>IF(VLOOKUP(A249,'Revitalisation-Revitalisierung'!$A$4:$Z$275,26,FALSE)="","",VLOOKUP(A249,'Revitalisation-Revitalisierung'!$A$4:$Z$275,26,FALSE))</f>
        <v>c</v>
      </c>
      <c r="Y249" s="529" t="str">
        <f t="shared" si="20"/>
        <v>21-50%</v>
      </c>
      <c r="Z249" s="568" t="str">
        <f t="shared" si="21"/>
        <v>d</v>
      </c>
      <c r="AA249" s="327" t="str">
        <f t="shared" si="22"/>
        <v>100%</v>
      </c>
      <c r="AB249" s="327" t="str">
        <f t="shared" si="23"/>
        <v>Non affecté / nicht betroffen</v>
      </c>
      <c r="AC249" s="276" t="str">
        <f t="shared" si="24"/>
        <v>Partiellement nécessaire, difficile / teilweise nötig, schwierig</v>
      </c>
      <c r="AD249" s="570" t="str">
        <f t="shared" si="25"/>
        <v>c</v>
      </c>
      <c r="AE249" t="s">
        <v>1902</v>
      </c>
      <c r="AF249">
        <v>1</v>
      </c>
    </row>
    <row r="250" spans="1:33" ht="16.5" customHeight="1" x14ac:dyDescent="0.25">
      <c r="A250" s="926">
        <v>342</v>
      </c>
      <c r="B250" s="400" t="s">
        <v>445</v>
      </c>
      <c r="C250" s="400" t="s">
        <v>446</v>
      </c>
      <c r="D250" s="401" t="s">
        <v>439</v>
      </c>
      <c r="E250" s="522" t="str">
        <f>IF(VLOOKUP(A250,'Charriage - Geschiebehaushalt'!$A$4:$AC$275,17,FALSE)="","",VLOOKUP(A250,'Charriage - Geschiebehaushalt'!$A$4:$AC$275,17,FALSE))</f>
        <v>Déficit non apparent en charriage ou en remobilisation des sédiments / kein sichtbares Defizit beim Geschiebehaushalt bzw. bei der Mobilisierung von Geschiebe</v>
      </c>
      <c r="F250" s="523" t="str">
        <f>IF(VLOOKUP(A250,'Charriage - Geschiebehaushalt'!$A$4:$AC$275,18,FALSE)="","",VLOOKUP(A250,'Charriage - Geschiebehaushalt'!$A$4:$AC$275,18,FALSE))</f>
        <v>b</v>
      </c>
      <c r="G250" s="524" t="str">
        <f>IF(VLOOKUP(A250,'Charriage - Geschiebehaushalt'!$A$4:$AC$275,22,FALSE)="","",VLOOKUP(A250,'Charriage - Geschiebehaushalt'!$A$4:$AC$275,22,FALSE))</f>
        <v>0-20%</v>
      </c>
      <c r="H250" s="523" t="str">
        <f>IF(VLOOKUP(A250,'Charriage - Geschiebehaushalt'!$A$4:$AC$275,23,FALSE)="","",VLOOKUP(A250,'Charriage - Geschiebehaushalt'!$A$4:$AC$275,23,FALSE))</f>
        <v>d</v>
      </c>
      <c r="I250" s="524" t="str">
        <f>IF(VLOOKUP(A250,'Charriage - Geschiebehaushalt'!$A$4:$AC$275,28,FALSE)="","",VLOOKUP(A250,'Charriage - Geschiebehaushalt'!$A$4:$AC$275,28,FALSE))</f>
        <v>0-20%</v>
      </c>
      <c r="J250" s="403" t="str">
        <f>IF(VLOOKUP(A250,'Charriage - Geschiebehaushalt'!$A$4:$AC$275,29,FALSE)="","",VLOOKUP(A250,'Charriage - Geschiebehaushalt'!$A$4:$AC$275,29,FALSE))</f>
        <v>d</v>
      </c>
      <c r="K250" s="533" t="str">
        <f>IF(VLOOKUP(A250,'Débit - Abfluss'!$A$4:$AD$275,8,FALSE)="","",VLOOKUP(A250,'Débit - Abfluss'!$A$4:$AD$275,8,FALSE))</f>
        <v>100%</v>
      </c>
      <c r="L250" s="468" t="str">
        <f>IF(VLOOKUP(A250,'Débit - Abfluss'!$A$4:$AD$275,10,FALSE)="","",VLOOKUP(A250,'Débit - Abfluss'!$A$4:$AD$275,10,FALSE))</f>
        <v>100%</v>
      </c>
      <c r="M250" s="333" t="str">
        <f>IF(VLOOKUP(A250,'Débit - Abfluss'!$A$4:$AD$275,17,FALSE)="","",VLOOKUP(A250,'Débit - Abfluss'!$A$4:$AD$275,17,FALSE))</f>
        <v>81-100%</v>
      </c>
      <c r="N250" s="340" t="str">
        <f>IF(VLOOKUP(A250,'Eclusée - Schwall-Sunk'!$A$2:$F$273,6,FALSE)="","",VLOOKUP(A250,'Eclusée - Schwall-Sunk'!$A$2:$F$273,6,FALSE))</f>
        <v>Non affecté / nicht betroffen</v>
      </c>
      <c r="O250" s="537"/>
      <c r="P250" s="538"/>
      <c r="Q250" s="284" t="str">
        <f>IF(VLOOKUP(A250,'Revitalisation-Revitalisierung'!$A$4:$Z$275,13,FALSE)="","",VLOOKUP(A250,'Revitalisation-Revitalisierung'!$A$4:$Z$275,13,FALSE))</f>
        <v>Partiellement nécessaire, facile / teilweise nötig, einfach</v>
      </c>
      <c r="R250" s="541" t="str">
        <f>IF(VLOOKUP(A250,'Revitalisation-Revitalisierung'!$A$4:$Z$275,14,FALSE)="","",VLOOKUP(A250,'Revitalisation-Revitalisierung'!$A$4:$Z$275,14,FALSE))</f>
        <v>a</v>
      </c>
      <c r="S250" s="542" t="str">
        <f>IF(VLOOKUP(A250,'Revitalisation-Revitalisierung'!$A$4:$Z$275,19,FALSE)="","",VLOOKUP(A250,'Revitalisation-Revitalisierung'!$A$4:$Z$275,19,FALSE))</f>
        <v>Très nécessaire, facile / unbedingt nötig, einfach</v>
      </c>
      <c r="T250" s="541" t="str">
        <f>IF(VLOOKUP(A250,'Revitalisation-Revitalisierung'!$A$4:$Z$275,20,FALSE)="","",VLOOKUP(A250,'Revitalisation-Revitalisierung'!$A$4:$Z$275,20,FALSE))</f>
        <v>c</v>
      </c>
      <c r="U250" s="542" t="str">
        <f>IF(VLOOKUP(A250,'Revitalisation-Revitalisierung'!$A$4:$Z$275,25,FALSE)="","",VLOOKUP(A250,'Revitalisation-Revitalisierung'!$A$4:$Z$275,25,FALSE))</f>
        <v>Très nécessaire, facile / unbedingt nötig, einfach</v>
      </c>
      <c r="V250" s="406" t="str">
        <f>IF(VLOOKUP(A250,'Revitalisation-Revitalisierung'!$A$4:$Z$275,26,FALSE)="","",VLOOKUP(A250,'Revitalisation-Revitalisierung'!$A$4:$Z$275,26,FALSE))</f>
        <v>c</v>
      </c>
      <c r="Y250" s="529" t="str">
        <f t="shared" si="20"/>
        <v>0-20%</v>
      </c>
      <c r="Z250" s="568" t="str">
        <f t="shared" si="21"/>
        <v>d</v>
      </c>
      <c r="AA250" s="327" t="str">
        <f t="shared" si="22"/>
        <v>81-100%</v>
      </c>
      <c r="AB250" s="327" t="str">
        <f t="shared" si="23"/>
        <v>Non affecté / nicht betroffen</v>
      </c>
      <c r="AC250" s="276" t="str">
        <f t="shared" si="24"/>
        <v>Très nécessaire, facile / unbedingt nötig, einfach</v>
      </c>
      <c r="AD250" s="570" t="str">
        <f t="shared" si="25"/>
        <v>c</v>
      </c>
      <c r="AE250">
        <v>2</v>
      </c>
      <c r="AF250">
        <v>1</v>
      </c>
    </row>
    <row r="251" spans="1:33" ht="16.5" customHeight="1" x14ac:dyDescent="0.25">
      <c r="A251" s="926">
        <v>343</v>
      </c>
      <c r="B251" s="400" t="s">
        <v>694</v>
      </c>
      <c r="C251" s="400" t="s">
        <v>695</v>
      </c>
      <c r="D251" s="401" t="s">
        <v>693</v>
      </c>
      <c r="E251" s="522" t="str">
        <f>IF(VLOOKUP(A251,'Charriage - Geschiebehaushalt'!$A$4:$AC$275,17,FALSE)="","",VLOOKUP(A251,'Charriage - Geschiebehaushalt'!$A$4:$AC$275,17,FALSE))</f>
        <v>Charriage présumé faiblement perturbé / Geschiebe vermutlich leicht beeinträchtigt</v>
      </c>
      <c r="F251" s="523" t="str">
        <f>IF(VLOOKUP(A251,'Charriage - Geschiebehaushalt'!$A$4:$AC$275,18,FALSE)="","",VLOOKUP(A251,'Charriage - Geschiebehaushalt'!$A$4:$AC$275,18,FALSE))</f>
        <v>b</v>
      </c>
      <c r="G251" s="524" t="str">
        <f>IF(VLOOKUP(A251,'Charriage - Geschiebehaushalt'!$A$4:$AC$275,22,FALSE)="","",VLOOKUP(A251,'Charriage - Geschiebehaushalt'!$A$4:$AC$275,22,FALSE))</f>
        <v>21-50%</v>
      </c>
      <c r="H251" s="523" t="str">
        <f>IF(VLOOKUP(A251,'Charriage - Geschiebehaushalt'!$A$4:$AC$275,23,FALSE)="","",VLOOKUP(A251,'Charriage - Geschiebehaushalt'!$A$4:$AC$275,23,FALSE))</f>
        <v>d</v>
      </c>
      <c r="I251" s="524" t="str">
        <f>IF(VLOOKUP(A251,'Charriage - Geschiebehaushalt'!$A$4:$AC$275,28,FALSE)="","",VLOOKUP(A251,'Charriage - Geschiebehaushalt'!$A$4:$AC$275,28,FALSE))</f>
        <v>21-50%</v>
      </c>
      <c r="J251" s="403" t="str">
        <f>IF(VLOOKUP(A251,'Charriage - Geschiebehaushalt'!$A$4:$AC$275,29,FALSE)="","",VLOOKUP(A251,'Charriage - Geschiebehaushalt'!$A$4:$AC$275,29,FALSE))</f>
        <v>d</v>
      </c>
      <c r="K251" s="533" t="str">
        <f>IF(VLOOKUP(A251,'Débit - Abfluss'!$A$4:$AD$275,8,FALSE)="","",VLOOKUP(A251,'Débit - Abfluss'!$A$4:$AD$275,8,FALSE))</f>
        <v>100%</v>
      </c>
      <c r="L251" s="468" t="str">
        <f>IF(VLOOKUP(A251,'Débit - Abfluss'!$A$4:$AD$275,10,FALSE)="","",VLOOKUP(A251,'Débit - Abfluss'!$A$4:$AD$275,10,FALSE))</f>
        <v>100%</v>
      </c>
      <c r="M251" s="333" t="str">
        <f>IF(VLOOKUP(A251,'Débit - Abfluss'!$A$4:$AD$275,17,FALSE)="","",VLOOKUP(A251,'Débit - Abfluss'!$A$4:$AD$275,17,FALSE))</f>
        <v>100%</v>
      </c>
      <c r="N251" s="340" t="str">
        <f>IF(VLOOKUP(A251,'Eclusée - Schwall-Sunk'!$A$2:$F$273,6,FALSE)="","",VLOOKUP(A251,'Eclusée - Schwall-Sunk'!$A$2:$F$273,6,FALSE))</f>
        <v>Non affecté / nicht betroffen</v>
      </c>
      <c r="O251" s="537"/>
      <c r="P251" s="538"/>
      <c r="Q251" s="284" t="str">
        <f>IF(VLOOKUP(A251,'Revitalisation-Revitalisierung'!$A$4:$Z$275,13,FALSE)="","",VLOOKUP(A251,'Revitalisation-Revitalisierung'!$A$4:$Z$275,13,FALSE))</f>
        <v>Partiellement nécessaire, facile / teilweise nötig, einfach</v>
      </c>
      <c r="R251" s="541" t="str">
        <f>IF(VLOOKUP(A251,'Revitalisation-Revitalisierung'!$A$4:$Z$275,14,FALSE)="","",VLOOKUP(A251,'Revitalisation-Revitalisierung'!$A$4:$Z$275,14,FALSE))</f>
        <v>a</v>
      </c>
      <c r="S251" s="542" t="str">
        <f>IF(VLOOKUP(A251,'Revitalisation-Revitalisierung'!$A$4:$Z$275,19,FALSE)="","",VLOOKUP(A251,'Revitalisation-Revitalisierung'!$A$4:$Z$275,19,FALSE))</f>
        <v>Non nécessaire / nicht nötig</v>
      </c>
      <c r="T251" s="541" t="str">
        <f>IF(VLOOKUP(A251,'Revitalisation-Revitalisierung'!$A$4:$Z$275,20,FALSE)="","",VLOOKUP(A251,'Revitalisation-Revitalisierung'!$A$4:$Z$275,20,FALSE))</f>
        <v>c</v>
      </c>
      <c r="U251" s="542" t="str">
        <f>IF(VLOOKUP(A251,'Revitalisation-Revitalisierung'!$A$4:$Z$275,25,FALSE)="","",VLOOKUP(A251,'Revitalisation-Revitalisierung'!$A$4:$Z$275,25,FALSE))</f>
        <v>Non nécessaire / nicht nötig</v>
      </c>
      <c r="V251" s="406" t="str">
        <f>IF(VLOOKUP(A251,'Revitalisation-Revitalisierung'!$A$4:$Z$275,26,FALSE)="","",VLOOKUP(A251,'Revitalisation-Revitalisierung'!$A$4:$Z$275,26,FALSE))</f>
        <v>c</v>
      </c>
      <c r="Y251" s="529" t="str">
        <f t="shared" si="20"/>
        <v>21-50%</v>
      </c>
      <c r="Z251" s="568" t="str">
        <f t="shared" si="21"/>
        <v>d</v>
      </c>
      <c r="AA251" s="327" t="str">
        <f t="shared" si="22"/>
        <v>100%</v>
      </c>
      <c r="AB251" s="327" t="str">
        <f t="shared" si="23"/>
        <v>Non affecté / nicht betroffen</v>
      </c>
      <c r="AC251" s="276" t="str">
        <f t="shared" si="24"/>
        <v>Non nécessaire / nicht nötig</v>
      </c>
      <c r="AD251" s="570" t="str">
        <f t="shared" si="25"/>
        <v>c</v>
      </c>
      <c r="AE251" t="s">
        <v>1902</v>
      </c>
      <c r="AF251">
        <v>1</v>
      </c>
    </row>
    <row r="252" spans="1:33" ht="16.5" customHeight="1" x14ac:dyDescent="0.25">
      <c r="A252" s="926">
        <v>344</v>
      </c>
      <c r="B252" s="400" t="s">
        <v>698</v>
      </c>
      <c r="C252" s="400" t="s">
        <v>695</v>
      </c>
      <c r="D252" s="401" t="s">
        <v>693</v>
      </c>
      <c r="E252" s="522" t="str">
        <f>IF(VLOOKUP(A252,'Charriage - Geschiebehaushalt'!$A$4:$AC$275,17,FALSE)="","",VLOOKUP(A252,'Charriage - Geschiebehaushalt'!$A$4:$AC$275,17,FALSE))</f>
        <v>Charriage présumé faiblement perturbé / Geschiebe vermutlich leicht beeinträchtigt</v>
      </c>
      <c r="F252" s="523" t="str">
        <f>IF(VLOOKUP(A252,'Charriage - Geschiebehaushalt'!$A$4:$AC$275,18,FALSE)="","",VLOOKUP(A252,'Charriage - Geschiebehaushalt'!$A$4:$AC$275,18,FALSE))</f>
        <v>b</v>
      </c>
      <c r="G252" s="524" t="str">
        <f>IF(VLOOKUP(A252,'Charriage - Geschiebehaushalt'!$A$4:$AC$275,22,FALSE)="","",VLOOKUP(A252,'Charriage - Geschiebehaushalt'!$A$4:$AC$275,22,FALSE))</f>
        <v>21-50%</v>
      </c>
      <c r="H252" s="523" t="str">
        <f>IF(VLOOKUP(A252,'Charriage - Geschiebehaushalt'!$A$4:$AC$275,23,FALSE)="","",VLOOKUP(A252,'Charriage - Geschiebehaushalt'!$A$4:$AC$275,23,FALSE))</f>
        <v>d</v>
      </c>
      <c r="I252" s="524" t="str">
        <f>IF(VLOOKUP(A252,'Charriage - Geschiebehaushalt'!$A$4:$AC$275,28,FALSE)="","",VLOOKUP(A252,'Charriage - Geschiebehaushalt'!$A$4:$AC$275,28,FALSE))</f>
        <v>21-50%</v>
      </c>
      <c r="J252" s="403" t="str">
        <f>IF(VLOOKUP(A252,'Charriage - Geschiebehaushalt'!$A$4:$AC$275,29,FALSE)="","",VLOOKUP(A252,'Charriage - Geschiebehaushalt'!$A$4:$AC$275,29,FALSE))</f>
        <v>d</v>
      </c>
      <c r="K252" s="533" t="str">
        <f>IF(VLOOKUP(A252,'Débit - Abfluss'!$A$4:$AD$275,8,FALSE)="","",VLOOKUP(A252,'Débit - Abfluss'!$A$4:$AD$275,8,FALSE))</f>
        <v>100%</v>
      </c>
      <c r="L252" s="468" t="str">
        <f>IF(VLOOKUP(A252,'Débit - Abfluss'!$A$4:$AD$275,10,FALSE)="","",VLOOKUP(A252,'Débit - Abfluss'!$A$4:$AD$275,10,FALSE))</f>
        <v>100%</v>
      </c>
      <c r="M252" s="333" t="str">
        <f>IF(VLOOKUP(A252,'Débit - Abfluss'!$A$4:$AD$275,17,FALSE)="","",VLOOKUP(A252,'Débit - Abfluss'!$A$4:$AD$275,17,FALSE))</f>
        <v>100%</v>
      </c>
      <c r="N252" s="340" t="str">
        <f>IF(VLOOKUP(A252,'Eclusée - Schwall-Sunk'!$A$2:$F$273,6,FALSE)="","",VLOOKUP(A252,'Eclusée - Schwall-Sunk'!$A$2:$F$273,6,FALSE))</f>
        <v>Non affecté / nicht betroffen</v>
      </c>
      <c r="O252" s="537"/>
      <c r="P252" s="538"/>
      <c r="Q252" s="284" t="str">
        <f>IF(VLOOKUP(A252,'Revitalisation-Revitalisierung'!$A$4:$Z$275,13,FALSE)="","",VLOOKUP(A252,'Revitalisation-Revitalisierung'!$A$4:$Z$275,13,FALSE))</f>
        <v>Non nécessaire / nicht nötig</v>
      </c>
      <c r="R252" s="541" t="str">
        <f>IF(VLOOKUP(A252,'Revitalisation-Revitalisierung'!$A$4:$Z$275,14,FALSE)="","",VLOOKUP(A252,'Revitalisation-Revitalisierung'!$A$4:$Z$275,14,FALSE))</f>
        <v>a</v>
      </c>
      <c r="S252" s="542" t="str">
        <f>IF(VLOOKUP(A252,'Revitalisation-Revitalisierung'!$A$4:$Z$275,19,FALSE)="","",VLOOKUP(A252,'Revitalisation-Revitalisierung'!$A$4:$Z$275,19,FALSE))</f>
        <v>Non nécessaire / nicht nötig</v>
      </c>
      <c r="T252" s="541" t="str">
        <f>IF(VLOOKUP(A252,'Revitalisation-Revitalisierung'!$A$4:$Z$275,20,FALSE)="","",VLOOKUP(A252,'Revitalisation-Revitalisierung'!$A$4:$Z$275,20,FALSE))</f>
        <v>d</v>
      </c>
      <c r="U252" s="542" t="str">
        <f>IF(VLOOKUP(A252,'Revitalisation-Revitalisierung'!$A$4:$Z$275,25,FALSE)="","",VLOOKUP(A252,'Revitalisation-Revitalisierung'!$A$4:$Z$275,25,FALSE))</f>
        <v>Non nécessaire / nicht nötig</v>
      </c>
      <c r="V252" s="406" t="str">
        <f>IF(VLOOKUP(A252,'Revitalisation-Revitalisierung'!$A$4:$Z$275,26,FALSE)="","",VLOOKUP(A252,'Revitalisation-Revitalisierung'!$A$4:$Z$275,26,FALSE))</f>
        <v>d</v>
      </c>
      <c r="Y252" s="529" t="str">
        <f t="shared" si="20"/>
        <v>21-50%</v>
      </c>
      <c r="Z252" s="568" t="str">
        <f t="shared" si="21"/>
        <v>d</v>
      </c>
      <c r="AA252" s="327" t="str">
        <f t="shared" si="22"/>
        <v>100%</v>
      </c>
      <c r="AB252" s="327" t="str">
        <f t="shared" si="23"/>
        <v>Non affecté / nicht betroffen</v>
      </c>
      <c r="AC252" s="276" t="str">
        <f t="shared" si="24"/>
        <v>Non nécessaire / nicht nötig</v>
      </c>
      <c r="AD252" s="570" t="str">
        <f t="shared" si="25"/>
        <v>d</v>
      </c>
      <c r="AE252" t="s">
        <v>1902</v>
      </c>
      <c r="AF252">
        <v>1</v>
      </c>
    </row>
    <row r="253" spans="1:33" ht="16.5" customHeight="1" x14ac:dyDescent="0.25">
      <c r="A253" s="926">
        <v>345</v>
      </c>
      <c r="B253" s="400" t="s">
        <v>700</v>
      </c>
      <c r="C253" s="400" t="s">
        <v>412</v>
      </c>
      <c r="D253" s="401" t="s">
        <v>693</v>
      </c>
      <c r="E253" s="522" t="str">
        <f>IF(VLOOKUP(A253,'Charriage - Geschiebehaushalt'!$A$4:$AC$275,17,FALSE)="","",VLOOKUP(A253,'Charriage - Geschiebehaushalt'!$A$4:$AC$275,17,FALSE))</f>
        <v>La remobilisation des sédiments est perturbée / Mobilisierung von Geschiebe beeinträchtigt</v>
      </c>
      <c r="F253" s="523" t="str">
        <f>IF(VLOOKUP(A253,'Charriage - Geschiebehaushalt'!$A$4:$AC$275,18,FALSE)="","",VLOOKUP(A253,'Charriage - Geschiebehaushalt'!$A$4:$AC$275,18,FALSE))</f>
        <v>b</v>
      </c>
      <c r="G253" s="524" t="str">
        <f>IF(VLOOKUP(A253,'Charriage - Geschiebehaushalt'!$A$4:$AC$275,22,FALSE)="","",VLOOKUP(A253,'Charriage - Geschiebehaushalt'!$A$4:$AC$275,22,FALSE))</f>
        <v>21-50%</v>
      </c>
      <c r="H253" s="523" t="str">
        <f>IF(VLOOKUP(A253,'Charriage - Geschiebehaushalt'!$A$4:$AC$275,23,FALSE)="","",VLOOKUP(A253,'Charriage - Geschiebehaushalt'!$A$4:$AC$275,23,FALSE))</f>
        <v>d</v>
      </c>
      <c r="I253" s="524" t="str">
        <f>IF(VLOOKUP(A253,'Charriage - Geschiebehaushalt'!$A$4:$AC$275,28,FALSE)="","",VLOOKUP(A253,'Charriage - Geschiebehaushalt'!$A$4:$AC$275,28,FALSE))</f>
        <v>21-50%</v>
      </c>
      <c r="J253" s="403" t="str">
        <f>IF(VLOOKUP(A253,'Charriage - Geschiebehaushalt'!$A$4:$AC$275,29,FALSE)="","",VLOOKUP(A253,'Charriage - Geschiebehaushalt'!$A$4:$AC$275,29,FALSE))</f>
        <v>d</v>
      </c>
      <c r="K253" s="533" t="str">
        <f>IF(VLOOKUP(A253,'Débit - Abfluss'!$A$4:$AD$275,8,FALSE)="","",VLOOKUP(A253,'Débit - Abfluss'!$A$4:$AD$275,8,FALSE))</f>
        <v>100%</v>
      </c>
      <c r="L253" s="468" t="str">
        <f>IF(VLOOKUP(A253,'Débit - Abfluss'!$A$4:$AD$275,10,FALSE)="","",VLOOKUP(A253,'Débit - Abfluss'!$A$4:$AD$275,10,FALSE))</f>
        <v>100%</v>
      </c>
      <c r="M253" s="333" t="str">
        <f>IF(VLOOKUP(A253,'Débit - Abfluss'!$A$4:$AD$275,17,FALSE)="","",VLOOKUP(A253,'Débit - Abfluss'!$A$4:$AD$275,17,FALSE))</f>
        <v>100%</v>
      </c>
      <c r="N253" s="340" t="str">
        <f>IF(VLOOKUP(A253,'Eclusée - Schwall-Sunk'!$A$2:$F$273,6,FALSE)="","",VLOOKUP(A253,'Eclusée - Schwall-Sunk'!$A$2:$F$273,6,FALSE))</f>
        <v>Non affecté / nicht betroffen</v>
      </c>
      <c r="O253" s="537"/>
      <c r="P253" s="538"/>
      <c r="Q253" s="284" t="str">
        <f>IF(VLOOKUP(A253,'Revitalisation-Revitalisierung'!$A$4:$Z$275,13,FALSE)="","",VLOOKUP(A253,'Revitalisation-Revitalisierung'!$A$4:$Z$275,13,FALSE))</f>
        <v>Très nécessaire, difficile / unbedingt nötig, schwierig</v>
      </c>
      <c r="R253" s="541" t="str">
        <f>IF(VLOOKUP(A253,'Revitalisation-Revitalisierung'!$A$4:$Z$275,14,FALSE)="","",VLOOKUP(A253,'Revitalisation-Revitalisierung'!$A$4:$Z$275,14,FALSE))</f>
        <v>b</v>
      </c>
      <c r="S253" s="542" t="str">
        <f>IF(VLOOKUP(A253,'Revitalisation-Revitalisierung'!$A$4:$Z$275,19,FALSE)="","",VLOOKUP(A253,'Revitalisation-Revitalisierung'!$A$4:$Z$275,19,FALSE))</f>
        <v>Très nécessaire, difficile / unbedingt nötig, schwierig</v>
      </c>
      <c r="T253" s="541" t="str">
        <f>IF(VLOOKUP(A253,'Revitalisation-Revitalisierung'!$A$4:$Z$275,20,FALSE)="","",VLOOKUP(A253,'Revitalisation-Revitalisierung'!$A$4:$Z$275,20,FALSE))</f>
        <v>d</v>
      </c>
      <c r="U253" s="542" t="str">
        <f>IF(VLOOKUP(A253,'Revitalisation-Revitalisierung'!$A$4:$Z$275,25,FALSE)="","",VLOOKUP(A253,'Revitalisation-Revitalisierung'!$A$4:$Z$275,25,FALSE))</f>
        <v>Très nécessaire, difficile / unbedingt nötig, schwierig</v>
      </c>
      <c r="V253" s="406" t="str">
        <f>IF(VLOOKUP(A253,'Revitalisation-Revitalisierung'!$A$4:$Z$275,26,FALSE)="","",VLOOKUP(A253,'Revitalisation-Revitalisierung'!$A$4:$Z$275,26,FALSE))</f>
        <v>d</v>
      </c>
      <c r="Y253" s="529" t="str">
        <f t="shared" si="20"/>
        <v>21-50%</v>
      </c>
      <c r="Z253" s="568" t="str">
        <f t="shared" si="21"/>
        <v>d</v>
      </c>
      <c r="AA253" s="327" t="str">
        <f t="shared" si="22"/>
        <v>100%</v>
      </c>
      <c r="AB253" s="327" t="str">
        <f t="shared" si="23"/>
        <v>Non affecté / nicht betroffen</v>
      </c>
      <c r="AC253" s="276" t="str">
        <f t="shared" si="24"/>
        <v>Très nécessaire, difficile / unbedingt nötig, schwierig</v>
      </c>
      <c r="AD253" s="570" t="str">
        <f t="shared" si="25"/>
        <v>d</v>
      </c>
      <c r="AE253">
        <v>2</v>
      </c>
      <c r="AF253">
        <v>1</v>
      </c>
    </row>
    <row r="254" spans="1:33" ht="16.5" customHeight="1" x14ac:dyDescent="0.25">
      <c r="A254" s="930">
        <v>346</v>
      </c>
      <c r="B254" s="400" t="s">
        <v>467</v>
      </c>
      <c r="C254" s="400" t="s">
        <v>462</v>
      </c>
      <c r="D254" s="401" t="s">
        <v>460</v>
      </c>
      <c r="E254" s="522" t="str">
        <f>IF(VLOOKUP(A254,'Charriage - Geschiebehaushalt'!$A$4:$AC$275,17,FALSE)="","",VLOOKUP(A254,'Charriage - Geschiebehaushalt'!$A$4:$AC$275,17,FALSE))</f>
        <v>Charriage présumé perturbé / Geschiebehaushalt vermutlich beeinträchtigt</v>
      </c>
      <c r="F254" s="523" t="str">
        <f>IF(VLOOKUP(A254,'Charriage - Geschiebehaushalt'!$A$4:$AC$275,18,FALSE)="","",VLOOKUP(A254,'Charriage - Geschiebehaushalt'!$A$4:$AC$275,18,FALSE))</f>
        <v>b</v>
      </c>
      <c r="G254" s="524" t="str">
        <f>IF(VLOOKUP(A254,'Charriage - Geschiebehaushalt'!$A$4:$AC$275,22,FALSE)="","",VLOOKUP(A254,'Charriage - Geschiebehaushalt'!$A$4:$AC$275,22,FALSE))</f>
        <v>0-20%</v>
      </c>
      <c r="H254" s="523" t="str">
        <f>IF(VLOOKUP(A254,'Charriage - Geschiebehaushalt'!$A$4:$AC$275,23,FALSE)="","",VLOOKUP(A254,'Charriage - Geschiebehaushalt'!$A$4:$AC$275,23,FALSE))</f>
        <v>c</v>
      </c>
      <c r="I254" s="524" t="str">
        <f>IF(VLOOKUP(A254,'Charriage - Geschiebehaushalt'!$A$4:$AC$275,28,FALSE)="","",VLOOKUP(A254,'Charriage - Geschiebehaushalt'!$A$4:$AC$275,28,FALSE))</f>
        <v>0-20%</v>
      </c>
      <c r="J254" s="403" t="str">
        <f>IF(VLOOKUP(A254,'Charriage - Geschiebehaushalt'!$A$4:$AC$275,29,FALSE)="","",VLOOKUP(A254,'Charriage - Geschiebehaushalt'!$A$4:$AC$275,29,FALSE))</f>
        <v>c</v>
      </c>
      <c r="K254" s="533" t="str">
        <f>IF(VLOOKUP(A254,'Débit - Abfluss'!$A$4:$AD$275,8,FALSE)="","",VLOOKUP(A254,'Débit - Abfluss'!$A$4:$AD$275,8,FALSE))</f>
        <v>21-40%</v>
      </c>
      <c r="L254" s="468" t="str">
        <f>IF(VLOOKUP(A254,'Débit - Abfluss'!$A$4:$AD$275,10,FALSE)="","",VLOOKUP(A254,'Débit - Abfluss'!$A$4:$AD$275,10,FALSE))</f>
        <v>21-40%</v>
      </c>
      <c r="M254" s="333" t="str">
        <f>IF(VLOOKUP(A254,'Débit - Abfluss'!$A$4:$AD$275,17,FALSE)="","",VLOOKUP(A254,'Débit - Abfluss'!$A$4:$AD$275,17,FALSE))</f>
        <v>21-40%</v>
      </c>
      <c r="N254" s="340" t="str">
        <f>IF(VLOOKUP(A254,'Eclusée - Schwall-Sunk'!$A$2:$F$273,6,FALSE)="","",VLOOKUP(A254,'Eclusée - Schwall-Sunk'!$A$2:$F$273,6,FALSE))</f>
        <v>Potentiellement affecté / möglicherweise betroffen</v>
      </c>
      <c r="O254" s="537"/>
      <c r="P254" s="538"/>
      <c r="Q254" s="284" t="str">
        <f>IF(VLOOKUP(A254,'Revitalisation-Revitalisierung'!$A$4:$Z$275,13,FALSE)="","",VLOOKUP(A254,'Revitalisation-Revitalisierung'!$A$4:$Z$275,13,FALSE))</f>
        <v>Très nécessaire, difficile / unbedingt nötig, schwierig</v>
      </c>
      <c r="R254" s="541" t="str">
        <f>IF(VLOOKUP(A254,'Revitalisation-Revitalisierung'!$A$4:$Z$275,14,FALSE)="","",VLOOKUP(A254,'Revitalisation-Revitalisierung'!$A$4:$Z$275,14,FALSE))</f>
        <v>b</v>
      </c>
      <c r="S254" s="542" t="str">
        <f>IF(VLOOKUP(A254,'Revitalisation-Revitalisierung'!$A$4:$Z$275,19,FALSE)="","",VLOOKUP(A254,'Revitalisation-Revitalisierung'!$A$4:$Z$275,19,FALSE))</f>
        <v>Partiellement nécessaire, difficile / teilweise nötig, schwierig</v>
      </c>
      <c r="T254" s="541" t="str">
        <f>IF(VLOOKUP(A254,'Revitalisation-Revitalisierung'!$A$4:$Z$275,20,FALSE)="","",VLOOKUP(A254,'Revitalisation-Revitalisierung'!$A$4:$Z$275,20,FALSE))</f>
        <v>c</v>
      </c>
      <c r="U254" s="542" t="str">
        <f>IF(VLOOKUP(A254,'Revitalisation-Revitalisierung'!$A$4:$Z$275,25,FALSE)="","",VLOOKUP(A254,'Revitalisation-Revitalisierung'!$A$4:$Z$275,25,FALSE))</f>
        <v>Partiellement nécessaire, difficile / teilweise nötig, schwierig</v>
      </c>
      <c r="V254" s="406" t="str">
        <f>IF(VLOOKUP(A254,'Revitalisation-Revitalisierung'!$A$4:$Z$275,26,FALSE)="","",VLOOKUP(A254,'Revitalisation-Revitalisierung'!$A$4:$Z$275,26,FALSE))</f>
        <v>c</v>
      </c>
      <c r="Y254" s="529" t="str">
        <f t="shared" si="20"/>
        <v>0-20%</v>
      </c>
      <c r="Z254" s="568" t="str">
        <f t="shared" si="21"/>
        <v>c</v>
      </c>
      <c r="AA254" s="327" t="str">
        <f t="shared" si="22"/>
        <v>21-40%</v>
      </c>
      <c r="AB254" s="327" t="str">
        <f t="shared" si="23"/>
        <v>Potentiellement affecté / möglicherweise betroffen</v>
      </c>
      <c r="AC254" s="276" t="str">
        <f t="shared" si="24"/>
        <v>Partiellement nécessaire, difficile / teilweise nötig, schwierig</v>
      </c>
      <c r="AD254" s="570" t="str">
        <f t="shared" si="25"/>
        <v>c</v>
      </c>
      <c r="AE254" t="s">
        <v>1903</v>
      </c>
      <c r="AF254">
        <v>1</v>
      </c>
    </row>
    <row r="255" spans="1:33" ht="16.5" customHeight="1" x14ac:dyDescent="0.25">
      <c r="A255" s="931">
        <v>347</v>
      </c>
      <c r="B255" s="400" t="s">
        <v>269</v>
      </c>
      <c r="C255" s="400" t="s">
        <v>270</v>
      </c>
      <c r="D255" s="401" t="s">
        <v>259</v>
      </c>
      <c r="E255" s="522" t="str">
        <f>IF(VLOOKUP(A255,'Charriage - Geschiebehaushalt'!$A$4:$AC$275,17,FALSE)="","",VLOOKUP(A255,'Charriage - Geschiebehaushalt'!$A$4:$AC$275,17,FALSE))</f>
        <v>Charriage présumé naturel / Geschiebehaushalt vermutlich natürlich</v>
      </c>
      <c r="F255" s="523" t="str">
        <f>IF(VLOOKUP(A255,'Charriage - Geschiebehaushalt'!$A$4:$AC$275,18,FALSE)="","",VLOOKUP(A255,'Charriage - Geschiebehaushalt'!$A$4:$AC$275,18,FALSE))</f>
        <v>b</v>
      </c>
      <c r="G255" s="524" t="str">
        <f>IF(VLOOKUP(A255,'Charriage - Geschiebehaushalt'!$A$4:$AC$275,22,FALSE)="","",VLOOKUP(A255,'Charriage - Geschiebehaushalt'!$A$4:$AC$275,22,FALSE))</f>
        <v>0-20%</v>
      </c>
      <c r="H255" s="523" t="str">
        <f>IF(VLOOKUP(A255,'Charriage - Geschiebehaushalt'!$A$4:$AC$275,23,FALSE)="","",VLOOKUP(A255,'Charriage - Geschiebehaushalt'!$A$4:$AC$275,23,FALSE))</f>
        <v>b</v>
      </c>
      <c r="I255" s="524" t="str">
        <f>IF(VLOOKUP(A255,'Charriage - Geschiebehaushalt'!$A$4:$AC$275,28,FALSE)="","",VLOOKUP(A255,'Charriage - Geschiebehaushalt'!$A$4:$AC$275,28,FALSE))</f>
        <v>0-20%</v>
      </c>
      <c r="J255" s="403" t="str">
        <f>IF(VLOOKUP(A255,'Charriage - Geschiebehaushalt'!$A$4:$AC$275,29,FALSE)="","",VLOOKUP(A255,'Charriage - Geschiebehaushalt'!$A$4:$AC$275,29,FALSE))</f>
        <v>b</v>
      </c>
      <c r="K255" s="533" t="str">
        <f>IF(VLOOKUP(A255,'Débit - Abfluss'!$A$4:$AD$275,8,FALSE)="","",VLOOKUP(A255,'Débit - Abfluss'!$A$4:$AD$275,8,FALSE))</f>
        <v>Régime présumé naturel (100%) / Abfluss vermutlich natürlich</v>
      </c>
      <c r="L255" s="468" t="str">
        <f>IF(VLOOKUP(A255,'Débit - Abfluss'!$A$4:$AD$275,10,FALSE)="","",VLOOKUP(A255,'Débit - Abfluss'!$A$4:$AD$275,10,FALSE))</f>
        <v>Régime présumé naturel (100%) / Abfluss vermutlich natürlich</v>
      </c>
      <c r="M255" s="333" t="str">
        <f>IF(VLOOKUP(A255,'Débit - Abfluss'!$A$4:$AD$275,17,FALSE)="","",VLOOKUP(A255,'Débit - Abfluss'!$A$4:$AD$275,17,FALSE))</f>
        <v>Régime présumé naturel (100%) / Abfluss vermutlich natürlich</v>
      </c>
      <c r="N255" s="340" t="str">
        <f>IF(VLOOKUP(A255,'Eclusée - Schwall-Sunk'!$A$2:$F$273,6,FALSE)="","",VLOOKUP(A255,'Eclusée - Schwall-Sunk'!$A$2:$F$273,6,FALSE))</f>
        <v>Non affecté / nicht betroffen</v>
      </c>
      <c r="O255" s="537"/>
      <c r="P255" s="538"/>
      <c r="Q255" s="284" t="str">
        <f>IF(VLOOKUP(A255,'Revitalisation-Revitalisierung'!$A$4:$Z$275,13,FALSE)="","",VLOOKUP(A255,'Revitalisation-Revitalisierung'!$A$4:$Z$275,13,FALSE))</f>
        <v>Non nécessaire / nicht nötig</v>
      </c>
      <c r="R255" s="541" t="str">
        <f>IF(VLOOKUP(A255,'Revitalisation-Revitalisierung'!$A$4:$Z$275,14,FALSE)="","",VLOOKUP(A255,'Revitalisation-Revitalisierung'!$A$4:$Z$275,14,FALSE))</f>
        <v>b</v>
      </c>
      <c r="S255" s="542" t="str">
        <f>IF(VLOOKUP(A255,'Revitalisation-Revitalisierung'!$A$4:$Z$275,19,FALSE)="","",VLOOKUP(A255,'Revitalisation-Revitalisierung'!$A$4:$Z$275,19,FALSE))</f>
        <v>Non nécessaire / nicht nötig</v>
      </c>
      <c r="T255" s="541" t="str">
        <f>IF(VLOOKUP(A255,'Revitalisation-Revitalisierung'!$A$4:$Z$275,20,FALSE)="","",VLOOKUP(A255,'Revitalisation-Revitalisierung'!$A$4:$Z$275,20,FALSE))</f>
        <v>b</v>
      </c>
      <c r="U255" s="542" t="str">
        <f>IF(VLOOKUP(A255,'Revitalisation-Revitalisierung'!$A$4:$Z$275,25,FALSE)="","",VLOOKUP(A255,'Revitalisation-Revitalisierung'!$A$4:$Z$275,25,FALSE))</f>
        <v>Non nécessaire / nicht nötig</v>
      </c>
      <c r="V255" s="406" t="str">
        <f>IF(VLOOKUP(A255,'Revitalisation-Revitalisierung'!$A$4:$Z$275,26,FALSE)="","",VLOOKUP(A255,'Revitalisation-Revitalisierung'!$A$4:$Z$275,26,FALSE))</f>
        <v>b</v>
      </c>
      <c r="Y255" s="529" t="str">
        <f t="shared" si="20"/>
        <v>0-20%</v>
      </c>
      <c r="Z255" s="568" t="str">
        <f t="shared" si="21"/>
        <v>b</v>
      </c>
      <c r="AA255" s="327" t="str">
        <f t="shared" si="22"/>
        <v>Régime présumé naturel (100%) / Abfluss vermutlich natürlich</v>
      </c>
      <c r="AB255" s="327" t="str">
        <f t="shared" si="23"/>
        <v>Non affecté / nicht betroffen</v>
      </c>
      <c r="AC255" s="276" t="str">
        <f t="shared" si="24"/>
        <v>Non nécessaire / nicht nötig</v>
      </c>
      <c r="AD255" s="570" t="str">
        <f t="shared" si="25"/>
        <v>b</v>
      </c>
      <c r="AE255">
        <v>1</v>
      </c>
      <c r="AF255">
        <v>1</v>
      </c>
      <c r="AG255">
        <v>1</v>
      </c>
    </row>
    <row r="256" spans="1:33" ht="16.5" customHeight="1" x14ac:dyDescent="0.25">
      <c r="A256" s="1233">
        <v>348</v>
      </c>
      <c r="B256" s="409" t="s">
        <v>272</v>
      </c>
      <c r="C256" s="410" t="s">
        <v>273</v>
      </c>
      <c r="D256" s="411" t="s">
        <v>259</v>
      </c>
      <c r="E256" s="522" t="str">
        <f>IF(VLOOKUP(A256,'Charriage - Geschiebehaushalt'!$A$4:$AC$275,17,FALSE)="","",VLOOKUP(A256,'Charriage - Geschiebehaushalt'!$A$4:$AC$275,17,FALSE))</f>
        <v>21-50%</v>
      </c>
      <c r="F256" s="523" t="str">
        <f>IF(VLOOKUP(A256,'Charriage - Geschiebehaushalt'!$A$4:$AC$275,18,FALSE)="","",VLOOKUP(A256,'Charriage - Geschiebehaushalt'!$A$4:$AC$275,18,FALSE))</f>
        <v>a</v>
      </c>
      <c r="G256" s="524" t="str">
        <f>IF(VLOOKUP(A256,'Charriage - Geschiebehaushalt'!$A$4:$AC$275,22,FALSE)="","",VLOOKUP(A256,'Charriage - Geschiebehaushalt'!$A$4:$AC$275,22,FALSE))</f>
        <v>21-50%</v>
      </c>
      <c r="H256" s="523" t="str">
        <f>IF(VLOOKUP(A256,'Charriage - Geschiebehaushalt'!$A$4:$AC$275,23,FALSE)="","",VLOOKUP(A256,'Charriage - Geschiebehaushalt'!$A$4:$AC$275,23,FALSE))</f>
        <v>a</v>
      </c>
      <c r="I256" s="524" t="str">
        <f>IF(VLOOKUP(A256,'Charriage - Geschiebehaushalt'!$A$4:$AC$275,28,FALSE)="","",VLOOKUP(A256,'Charriage - Geschiebehaushalt'!$A$4:$AC$275,28,FALSE))</f>
        <v>21-50%</v>
      </c>
      <c r="J256" s="403" t="str">
        <f>IF(VLOOKUP(A256,'Charriage - Geschiebehaushalt'!$A$4:$AC$275,29,FALSE)="","",VLOOKUP(A256,'Charriage - Geschiebehaushalt'!$A$4:$AC$275,29,FALSE))</f>
        <v>a</v>
      </c>
      <c r="K256" s="533" t="str">
        <f>IF(VLOOKUP(A256,'Débit - Abfluss'!$A$4:$AD$275,8,FALSE)="","",VLOOKUP(A256,'Débit - Abfluss'!$A$4:$AD$275,8,FALSE))</f>
        <v>81-100%</v>
      </c>
      <c r="L256" s="468" t="str">
        <f>IF(VLOOKUP(A256,'Débit - Abfluss'!$A$4:$AD$275,10,FALSE)="","",VLOOKUP(A256,'Débit - Abfluss'!$A$4:$AD$275,10,FALSE))</f>
        <v>81-100%</v>
      </c>
      <c r="M256" s="333" t="str">
        <f>IF(VLOOKUP(A256,'Débit - Abfluss'!$A$4:$AD$275,17,FALSE)="","",VLOOKUP(A256,'Débit - Abfluss'!$A$4:$AD$275,17,FALSE))</f>
        <v>81-100%</v>
      </c>
      <c r="N256" s="340" t="str">
        <f>IF(VLOOKUP(A256,'Eclusée - Schwall-Sunk'!$A$2:$F$273,6,FALSE)="","",VLOOKUP(A256,'Eclusée - Schwall-Sunk'!$A$2:$F$273,6,FALSE))</f>
        <v>Potentiellement affecté / möglicherweise betroffen</v>
      </c>
      <c r="O256" s="537"/>
      <c r="P256" s="538"/>
      <c r="Q256" s="284" t="str">
        <f>IF(VLOOKUP(A256,'Revitalisation-Revitalisierung'!$A$4:$Z$275,13,FALSE)="","",VLOOKUP(A256,'Revitalisation-Revitalisierung'!$A$4:$Z$275,13,FALSE))</f>
        <v>Très nécessaire, difficile / unbedingt nötig, schwierig</v>
      </c>
      <c r="R256" s="541" t="str">
        <f>IF(VLOOKUP(A256,'Revitalisation-Revitalisierung'!$A$4:$Z$275,14,FALSE)="","",VLOOKUP(A256,'Revitalisation-Revitalisierung'!$A$4:$Z$275,14,FALSE))</f>
        <v>a</v>
      </c>
      <c r="S256" s="542" t="str">
        <f>IF(VLOOKUP(A256,'Revitalisation-Revitalisierung'!$A$4:$Z$275,19,FALSE)="","",VLOOKUP(A256,'Revitalisation-Revitalisierung'!$A$4:$Z$275,19,FALSE))</f>
        <v>Très nécessaire, difficile / unbedingt nötig, schwierig</v>
      </c>
      <c r="T256" s="541" t="str">
        <f>IF(VLOOKUP(A256,'Revitalisation-Revitalisierung'!$A$4:$Z$275,20,FALSE)="","",VLOOKUP(A256,'Revitalisation-Revitalisierung'!$A$4:$Z$275,20,FALSE))</f>
        <v>a</v>
      </c>
      <c r="U256" s="542" t="str">
        <f>IF(VLOOKUP(A256,'Revitalisation-Revitalisierung'!$A$4:$Z$275,25,FALSE)="","",VLOOKUP(A256,'Revitalisation-Revitalisierung'!$A$4:$Z$275,25,FALSE))</f>
        <v>Très nécessaire, difficile / unbedingt nötig, schwierig</v>
      </c>
      <c r="V256" s="406" t="str">
        <f>IF(VLOOKUP(A256,'Revitalisation-Revitalisierung'!$A$4:$Z$275,26,FALSE)="","",VLOOKUP(A256,'Revitalisation-Revitalisierung'!$A$4:$Z$275,26,FALSE))</f>
        <v>a</v>
      </c>
      <c r="Y256" s="529" t="str">
        <f t="shared" si="20"/>
        <v>21-50%</v>
      </c>
      <c r="Z256" s="568" t="str">
        <f t="shared" si="21"/>
        <v>a</v>
      </c>
      <c r="AA256" s="327" t="str">
        <f t="shared" si="22"/>
        <v>81-100%</v>
      </c>
      <c r="AB256" s="327" t="str">
        <f t="shared" si="23"/>
        <v>Potentiellement affecté / möglicherweise betroffen</v>
      </c>
      <c r="AC256" s="276" t="str">
        <f t="shared" si="24"/>
        <v>Très nécessaire, difficile / unbedingt nötig, schwierig</v>
      </c>
      <c r="AD256" s="570" t="str">
        <f t="shared" si="25"/>
        <v>a</v>
      </c>
      <c r="AE256">
        <v>4</v>
      </c>
      <c r="AF256">
        <v>1</v>
      </c>
    </row>
    <row r="257" spans="1:33" ht="16.5" customHeight="1" x14ac:dyDescent="0.25">
      <c r="A257" s="926">
        <v>349</v>
      </c>
      <c r="B257" s="400" t="s">
        <v>558</v>
      </c>
      <c r="C257" s="400" t="s">
        <v>559</v>
      </c>
      <c r="D257" s="401" t="s">
        <v>551</v>
      </c>
      <c r="E257" s="522" t="str">
        <f>IF(VLOOKUP(A257,'Charriage - Geschiebehaushalt'!$A$4:$AC$275,17,FALSE)="","",VLOOKUP(A257,'Charriage - Geschiebehaushalt'!$A$4:$AC$275,17,FALSE))</f>
        <v>Charriage présumé naturel / Geschiebehaushalt vermutlich natürlich</v>
      </c>
      <c r="F257" s="523" t="str">
        <f>IF(VLOOKUP(A257,'Charriage - Geschiebehaushalt'!$A$4:$AC$275,18,FALSE)="","",VLOOKUP(A257,'Charriage - Geschiebehaushalt'!$A$4:$AC$275,18,FALSE))</f>
        <v>b</v>
      </c>
      <c r="G257" s="524" t="str">
        <f>IF(VLOOKUP(A257,'Charriage - Geschiebehaushalt'!$A$4:$AC$275,22,FALSE)="","",VLOOKUP(A257,'Charriage - Geschiebehaushalt'!$A$4:$AC$275,22,FALSE))</f>
        <v>0-20%</v>
      </c>
      <c r="H257" s="523" t="str">
        <f>IF(VLOOKUP(A257,'Charriage - Geschiebehaushalt'!$A$4:$AC$275,23,FALSE)="","",VLOOKUP(A257,'Charriage - Geschiebehaushalt'!$A$4:$AC$275,23,FALSE))</f>
        <v>b</v>
      </c>
      <c r="I257" s="524" t="str">
        <f>IF(VLOOKUP(A257,'Charriage - Geschiebehaushalt'!$A$4:$AC$275,28,FALSE)="","",VLOOKUP(A257,'Charriage - Geschiebehaushalt'!$A$4:$AC$275,28,FALSE))</f>
        <v>0-20%</v>
      </c>
      <c r="J257" s="403" t="str">
        <f>IF(VLOOKUP(A257,'Charriage - Geschiebehaushalt'!$A$4:$AC$275,29,FALSE)="","",VLOOKUP(A257,'Charriage - Geschiebehaushalt'!$A$4:$AC$275,29,FALSE))</f>
        <v>b</v>
      </c>
      <c r="K257" s="533" t="str">
        <f>IF(VLOOKUP(A257,'Débit - Abfluss'!$A$4:$AD$275,8,FALSE)="","",VLOOKUP(A257,'Débit - Abfluss'!$A$4:$AD$275,8,FALSE))</f>
        <v>100%</v>
      </c>
      <c r="L257" s="468" t="str">
        <f>IF(VLOOKUP(A257,'Débit - Abfluss'!$A$4:$AD$275,10,FALSE)="","",VLOOKUP(A257,'Débit - Abfluss'!$A$4:$AD$275,10,FALSE))</f>
        <v>100%</v>
      </c>
      <c r="M257" s="333" t="str">
        <f>IF(VLOOKUP(A257,'Débit - Abfluss'!$A$4:$AD$275,17,FALSE)="","",VLOOKUP(A257,'Débit - Abfluss'!$A$4:$AD$275,17,FALSE))</f>
        <v>100%</v>
      </c>
      <c r="N257" s="340" t="str">
        <f>IF(VLOOKUP(A257,'Eclusée - Schwall-Sunk'!$A$2:$F$273,6,FALSE)="","",VLOOKUP(A257,'Eclusée - Schwall-Sunk'!$A$2:$F$273,6,FALSE))</f>
        <v>Non affecté / nicht betroffen</v>
      </c>
      <c r="O257" s="537"/>
      <c r="P257" s="538"/>
      <c r="Q257" s="284" t="str">
        <f>IF(VLOOKUP(A257,'Revitalisation-Revitalisierung'!$A$4:$Z$275,13,FALSE)="","",VLOOKUP(A257,'Revitalisation-Revitalisierung'!$A$4:$Z$275,13,FALSE))</f>
        <v>Partiellement nécessaire, facile / teilweise nötig, einfach</v>
      </c>
      <c r="R257" s="541" t="str">
        <f>IF(VLOOKUP(A257,'Revitalisation-Revitalisierung'!$A$4:$Z$275,14,FALSE)="","",VLOOKUP(A257,'Revitalisation-Revitalisierung'!$A$4:$Z$275,14,FALSE))</f>
        <v>a</v>
      </c>
      <c r="S257" s="542" t="str">
        <f>IF(VLOOKUP(A257,'Revitalisation-Revitalisierung'!$A$4:$Z$275,19,FALSE)="","",VLOOKUP(A257,'Revitalisation-Revitalisierung'!$A$4:$Z$275,19,FALSE))</f>
        <v>Partiellement nécessaire, facile / teilweise nötig, einfach</v>
      </c>
      <c r="T257" s="541" t="str">
        <f>IF(VLOOKUP(A257,'Revitalisation-Revitalisierung'!$A$4:$Z$275,20,FALSE)="","",VLOOKUP(A257,'Revitalisation-Revitalisierung'!$A$4:$Z$275,20,FALSE))</f>
        <v>a</v>
      </c>
      <c r="U257" s="542" t="str">
        <f>IF(VLOOKUP(A257,'Revitalisation-Revitalisierung'!$A$4:$Z$275,25,FALSE)="","",VLOOKUP(A257,'Revitalisation-Revitalisierung'!$A$4:$Z$275,25,FALSE))</f>
        <v>Partiellement nécessaire, facile / teilweise nötig, einfach</v>
      </c>
      <c r="V257" s="406" t="str">
        <f>IF(VLOOKUP(A257,'Revitalisation-Revitalisierung'!$A$4:$Z$275,26,FALSE)="","",VLOOKUP(A257,'Revitalisation-Revitalisierung'!$A$4:$Z$275,26,FALSE))</f>
        <v>a</v>
      </c>
      <c r="Y257" s="529" t="str">
        <f t="shared" si="20"/>
        <v>0-20%</v>
      </c>
      <c r="Z257" s="568" t="str">
        <f t="shared" si="21"/>
        <v>b</v>
      </c>
      <c r="AA257" s="327" t="str">
        <f t="shared" si="22"/>
        <v>100%</v>
      </c>
      <c r="AB257" s="327" t="str">
        <f t="shared" si="23"/>
        <v>Non affecté / nicht betroffen</v>
      </c>
      <c r="AC257" s="276" t="str">
        <f t="shared" si="24"/>
        <v>Partiellement nécessaire, facile / teilweise nötig, einfach</v>
      </c>
      <c r="AD257" s="570" t="str">
        <f t="shared" si="25"/>
        <v>a</v>
      </c>
      <c r="AE257">
        <v>2</v>
      </c>
      <c r="AF257">
        <v>1</v>
      </c>
    </row>
    <row r="258" spans="1:33" ht="16.5" customHeight="1" x14ac:dyDescent="0.25">
      <c r="A258" s="929">
        <v>350</v>
      </c>
      <c r="B258" s="409" t="s">
        <v>561</v>
      </c>
      <c r="C258" s="410" t="s">
        <v>562</v>
      </c>
      <c r="D258" s="411" t="s">
        <v>551</v>
      </c>
      <c r="E258" s="522" t="str">
        <f>IF(VLOOKUP(A258,'Charriage - Geschiebehaushalt'!$A$4:$AC$275,17,FALSE)="","",VLOOKUP(A258,'Charriage - Geschiebehaushalt'!$A$4:$AC$275,17,FALSE))</f>
        <v>La remobilisation des sédiments est perturbée / Mobilisierung von Geschiebe beeinträchtigt</v>
      </c>
      <c r="F258" s="523" t="str">
        <f>IF(VLOOKUP(A258,'Charriage - Geschiebehaushalt'!$A$4:$AC$275,18,FALSE)="","",VLOOKUP(A258,'Charriage - Geschiebehaushalt'!$A$4:$AC$275,18,FALSE))</f>
        <v>b</v>
      </c>
      <c r="G258" s="524" t="str">
        <f>IF(VLOOKUP(A258,'Charriage - Geschiebehaushalt'!$A$4:$AC$275,22,FALSE)="","",VLOOKUP(A258,'Charriage - Geschiebehaushalt'!$A$4:$AC$275,22,FALSE))</f>
        <v>0-20%</v>
      </c>
      <c r="H258" s="523" t="str">
        <f>IF(VLOOKUP(A258,'Charriage - Geschiebehaushalt'!$A$4:$AC$275,23,FALSE)="","",VLOOKUP(A258,'Charriage - Geschiebehaushalt'!$A$4:$AC$275,23,FALSE))</f>
        <v>b</v>
      </c>
      <c r="I258" s="524" t="str">
        <f>IF(VLOOKUP(A258,'Charriage - Geschiebehaushalt'!$A$4:$AC$275,28,FALSE)="","",VLOOKUP(A258,'Charriage - Geschiebehaushalt'!$A$4:$AC$275,28,FALSE))</f>
        <v>0-20%</v>
      </c>
      <c r="J258" s="403" t="str">
        <f>IF(VLOOKUP(A258,'Charriage - Geschiebehaushalt'!$A$4:$AC$275,29,FALSE)="","",VLOOKUP(A258,'Charriage - Geschiebehaushalt'!$A$4:$AC$275,29,FALSE))</f>
        <v>b</v>
      </c>
      <c r="K258" s="533" t="str">
        <f>IF(VLOOKUP(A258,'Débit - Abfluss'!$A$4:$AD$275,8,FALSE)="","",VLOOKUP(A258,'Débit - Abfluss'!$A$4:$AD$275,8,FALSE))</f>
        <v>Régime présumé naturel (100%) / Abfluss vermutlich natürlich</v>
      </c>
      <c r="L258" s="468" t="str">
        <f>IF(VLOOKUP(A258,'Débit - Abfluss'!$A$4:$AD$275,10,FALSE)="","",VLOOKUP(A258,'Débit - Abfluss'!$A$4:$AD$275,10,FALSE))</f>
        <v>Régime présumé naturel (100%) / Abfluss vermutlich natürlich</v>
      </c>
      <c r="M258" s="333" t="str">
        <f>IF(VLOOKUP(A258,'Débit - Abfluss'!$A$4:$AD$275,17,FALSE)="","",VLOOKUP(A258,'Débit - Abfluss'!$A$4:$AD$275,17,FALSE))</f>
        <v>Régime présumé naturel (100%) / Abfluss vermutlich natürlich</v>
      </c>
      <c r="N258" s="340" t="str">
        <f>IF(VLOOKUP(A258,'Eclusée - Schwall-Sunk'!$A$2:$F$273,6,FALSE)="","",VLOOKUP(A258,'Eclusée - Schwall-Sunk'!$A$2:$F$273,6,FALSE))</f>
        <v>Non affecté / nicht betroffen</v>
      </c>
      <c r="O258" s="537"/>
      <c r="P258" s="538"/>
      <c r="Q258" s="284" t="str">
        <f>IF(VLOOKUP(A258,'Revitalisation-Revitalisierung'!$A$4:$Z$275,13,FALSE)="","",VLOOKUP(A258,'Revitalisation-Revitalisierung'!$A$4:$Z$275,13,FALSE))</f>
        <v>Très nécessaire, facile / unbedingt nötig, einfach</v>
      </c>
      <c r="R258" s="541" t="str">
        <f>IF(VLOOKUP(A258,'Revitalisation-Revitalisierung'!$A$4:$Z$275,14,FALSE)="","",VLOOKUP(A258,'Revitalisation-Revitalisierung'!$A$4:$Z$275,14,FALSE))</f>
        <v>a</v>
      </c>
      <c r="S258" s="542" t="str">
        <f>IF(VLOOKUP(A258,'Revitalisation-Revitalisierung'!$A$4:$Z$275,19,FALSE)="","",VLOOKUP(A258,'Revitalisation-Revitalisierung'!$A$4:$Z$275,19,FALSE))</f>
        <v>Très nécessaire, facile / unbedingt nötig, einfach</v>
      </c>
      <c r="T258" s="541" t="str">
        <f>IF(VLOOKUP(A258,'Revitalisation-Revitalisierung'!$A$4:$Z$275,20,FALSE)="","",VLOOKUP(A258,'Revitalisation-Revitalisierung'!$A$4:$Z$275,20,FALSE))</f>
        <v>d</v>
      </c>
      <c r="U258" s="542" t="str">
        <f>IF(VLOOKUP(A258,'Revitalisation-Revitalisierung'!$A$4:$Z$275,25,FALSE)="","",VLOOKUP(A258,'Revitalisation-Revitalisierung'!$A$4:$Z$275,25,FALSE))</f>
        <v>Très nécessaire, facile / unbedingt nötig, einfach</v>
      </c>
      <c r="V258" s="406" t="str">
        <f>IF(VLOOKUP(A258,'Revitalisation-Revitalisierung'!$A$4:$Z$275,26,FALSE)="","",VLOOKUP(A258,'Revitalisation-Revitalisierung'!$A$4:$Z$275,26,FALSE))</f>
        <v>d</v>
      </c>
      <c r="Y258" s="529" t="str">
        <f t="shared" si="20"/>
        <v>0-20%</v>
      </c>
      <c r="Z258" s="568" t="str">
        <f t="shared" si="21"/>
        <v>b</v>
      </c>
      <c r="AA258" s="327" t="str">
        <f t="shared" si="22"/>
        <v>Régime présumé naturel (100%) / Abfluss vermutlich natürlich</v>
      </c>
      <c r="AB258" s="327" t="str">
        <f t="shared" si="23"/>
        <v>Non affecté / nicht betroffen</v>
      </c>
      <c r="AC258" s="276" t="str">
        <f t="shared" si="24"/>
        <v>Très nécessaire, facile / unbedingt nötig, einfach</v>
      </c>
      <c r="AD258" s="570" t="str">
        <f t="shared" si="25"/>
        <v>d</v>
      </c>
      <c r="AE258">
        <v>2</v>
      </c>
      <c r="AF258">
        <v>1</v>
      </c>
    </row>
    <row r="259" spans="1:33" ht="16.5" customHeight="1" x14ac:dyDescent="0.25">
      <c r="A259" s="926">
        <v>351</v>
      </c>
      <c r="B259" s="400" t="s">
        <v>563</v>
      </c>
      <c r="C259" s="400" t="s">
        <v>564</v>
      </c>
      <c r="D259" s="401" t="s">
        <v>551</v>
      </c>
      <c r="E259" s="522" t="str">
        <f>IF(VLOOKUP(A259,'Charriage - Geschiebehaushalt'!$A$4:$AC$275,17,FALSE)="","",VLOOKUP(A259,'Charriage - Geschiebehaushalt'!$A$4:$AC$275,17,FALSE))</f>
        <v>21-50%</v>
      </c>
      <c r="F259" s="523" t="str">
        <f>IF(VLOOKUP(A259,'Charriage - Geschiebehaushalt'!$A$4:$AC$275,18,FALSE)="","",VLOOKUP(A259,'Charriage - Geschiebehaushalt'!$A$4:$AC$275,18,FALSE))</f>
        <v>a</v>
      </c>
      <c r="G259" s="524" t="str">
        <f>IF(VLOOKUP(A259,'Charriage - Geschiebehaushalt'!$A$4:$AC$275,22,FALSE)="","",VLOOKUP(A259,'Charriage - Geschiebehaushalt'!$A$4:$AC$275,22,FALSE))</f>
        <v>21-50%</v>
      </c>
      <c r="H259" s="523" t="str">
        <f>IF(VLOOKUP(A259,'Charriage - Geschiebehaushalt'!$A$4:$AC$275,23,FALSE)="","",VLOOKUP(A259,'Charriage - Geschiebehaushalt'!$A$4:$AC$275,23,FALSE))</f>
        <v>a</v>
      </c>
      <c r="I259" s="524" t="str">
        <f>IF(VLOOKUP(A259,'Charriage - Geschiebehaushalt'!$A$4:$AC$275,28,FALSE)="","",VLOOKUP(A259,'Charriage - Geschiebehaushalt'!$A$4:$AC$275,28,FALSE))</f>
        <v>21-50%</v>
      </c>
      <c r="J259" s="403" t="str">
        <f>IF(VLOOKUP(A259,'Charriage - Geschiebehaushalt'!$A$4:$AC$275,29,FALSE)="","",VLOOKUP(A259,'Charriage - Geschiebehaushalt'!$A$4:$AC$275,29,FALSE))</f>
        <v>a</v>
      </c>
      <c r="K259" s="533" t="str">
        <f>IF(VLOOKUP(A259,'Débit - Abfluss'!$A$4:$AD$275,8,FALSE)="","",VLOOKUP(A259,'Débit - Abfluss'!$A$4:$AD$275,8,FALSE))</f>
        <v>21-40%</v>
      </c>
      <c r="L259" s="468" t="str">
        <f>IF(VLOOKUP(A259,'Débit - Abfluss'!$A$4:$AD$275,10,FALSE)="","",VLOOKUP(A259,'Débit - Abfluss'!$A$4:$AD$275,10,FALSE))</f>
        <v>21-40%</v>
      </c>
      <c r="M259" s="333" t="str">
        <f>IF(VLOOKUP(A259,'Débit - Abfluss'!$A$4:$AD$275,17,FALSE)="","",VLOOKUP(A259,'Débit - Abfluss'!$A$4:$AD$275,17,FALSE))</f>
        <v>21-40%</v>
      </c>
      <c r="N259" s="340" t="str">
        <f>IF(VLOOKUP(A259,'Eclusée - Schwall-Sunk'!$A$2:$F$273,6,FALSE)="","",VLOOKUP(A259,'Eclusée - Schwall-Sunk'!$A$2:$F$273,6,FALSE))</f>
        <v>Non affecté / nicht betroffen</v>
      </c>
      <c r="O259" s="537"/>
      <c r="P259" s="538"/>
      <c r="Q259" s="284" t="str">
        <f>IF(VLOOKUP(A259,'Revitalisation-Revitalisierung'!$A$4:$Z$275,13,FALSE)="","",VLOOKUP(A259,'Revitalisation-Revitalisierung'!$A$4:$Z$275,13,FALSE))</f>
        <v>Partiellement nécessaire, facile / teilweise nötig, einfach</v>
      </c>
      <c r="R259" s="541" t="str">
        <f>IF(VLOOKUP(A259,'Revitalisation-Revitalisierung'!$A$4:$Z$275,14,FALSE)="","",VLOOKUP(A259,'Revitalisation-Revitalisierung'!$A$4:$Z$275,14,FALSE))</f>
        <v>a</v>
      </c>
      <c r="S259" s="542" t="str">
        <f>IF(VLOOKUP(A259,'Revitalisation-Revitalisierung'!$A$4:$Z$275,19,FALSE)="","",VLOOKUP(A259,'Revitalisation-Revitalisierung'!$A$4:$Z$275,19,FALSE))</f>
        <v>Partiellement nécessaire, facile / teilweise nötig, einfach</v>
      </c>
      <c r="T259" s="541" t="str">
        <f>IF(VLOOKUP(A259,'Revitalisation-Revitalisierung'!$A$4:$Z$275,20,FALSE)="","",VLOOKUP(A259,'Revitalisation-Revitalisierung'!$A$4:$Z$275,20,FALSE))</f>
        <v>a</v>
      </c>
      <c r="U259" s="542" t="str">
        <f>IF(VLOOKUP(A259,'Revitalisation-Revitalisierung'!$A$4:$Z$275,25,FALSE)="","",VLOOKUP(A259,'Revitalisation-Revitalisierung'!$A$4:$Z$275,25,FALSE))</f>
        <v>Partiellement nécessaire, facile / teilweise nötig, einfach</v>
      </c>
      <c r="V259" s="406" t="str">
        <f>IF(VLOOKUP(A259,'Revitalisation-Revitalisierung'!$A$4:$Z$275,26,FALSE)="","",VLOOKUP(A259,'Revitalisation-Revitalisierung'!$A$4:$Z$275,26,FALSE))</f>
        <v>a</v>
      </c>
      <c r="Y259" s="529" t="str">
        <f t="shared" si="20"/>
        <v>21-50%</v>
      </c>
      <c r="Z259" s="568" t="str">
        <f t="shared" si="21"/>
        <v>a</v>
      </c>
      <c r="AA259" s="327" t="str">
        <f t="shared" si="22"/>
        <v>21-40%</v>
      </c>
      <c r="AB259" s="327" t="str">
        <f t="shared" si="23"/>
        <v>Non affecté / nicht betroffen</v>
      </c>
      <c r="AC259" s="276" t="str">
        <f t="shared" si="24"/>
        <v>Partiellement nécessaire, facile / teilweise nötig, einfach</v>
      </c>
      <c r="AD259" s="570" t="str">
        <f t="shared" si="25"/>
        <v>a</v>
      </c>
      <c r="AE259">
        <v>4</v>
      </c>
      <c r="AF259">
        <v>1</v>
      </c>
    </row>
    <row r="260" spans="1:33" ht="16.5" customHeight="1" x14ac:dyDescent="0.25">
      <c r="A260" s="926">
        <v>352</v>
      </c>
      <c r="B260" s="400" t="s">
        <v>408</v>
      </c>
      <c r="C260" s="400" t="s">
        <v>409</v>
      </c>
      <c r="D260" s="401" t="s">
        <v>407</v>
      </c>
      <c r="E260" s="522" t="str">
        <f>IF(VLOOKUP(A260,'Charriage - Geschiebehaushalt'!$A$4:$AC$275,17,FALSE)="","",VLOOKUP(A260,'Charriage - Geschiebehaushalt'!$A$4:$AC$275,17,FALSE))</f>
        <v>Déficit non apparent en charriage ou en remobilisation des sédiments / kein sichtbares Defizit beim Geschiebehaushalt bzw. bei der Mobilisierung von Geschiebe</v>
      </c>
      <c r="F260" s="523" t="str">
        <f>IF(VLOOKUP(A260,'Charriage - Geschiebehaushalt'!$A$4:$AC$275,18,FALSE)="","",VLOOKUP(A260,'Charriage - Geschiebehaushalt'!$A$4:$AC$275,18,FALSE))</f>
        <v>b</v>
      </c>
      <c r="G260" s="524" t="str">
        <f>IF(VLOOKUP(A260,'Charriage - Geschiebehaushalt'!$A$4:$AC$275,22,FALSE)="","",VLOOKUP(A260,'Charriage - Geschiebehaushalt'!$A$4:$AC$275,22,FALSE))</f>
        <v>0-20%</v>
      </c>
      <c r="H260" s="523" t="str">
        <f>IF(VLOOKUP(A260,'Charriage - Geschiebehaushalt'!$A$4:$AC$275,23,FALSE)="","",VLOOKUP(A260,'Charriage - Geschiebehaushalt'!$A$4:$AC$275,23,FALSE))</f>
        <v>d</v>
      </c>
      <c r="I260" s="524" t="str">
        <f>IF(VLOOKUP(A260,'Charriage - Geschiebehaushalt'!$A$4:$AC$275,28,FALSE)="","",VLOOKUP(A260,'Charriage - Geschiebehaushalt'!$A$4:$AC$275,28,FALSE))</f>
        <v>0-20%</v>
      </c>
      <c r="J260" s="403" t="str">
        <f>IF(VLOOKUP(A260,'Charriage - Geschiebehaushalt'!$A$4:$AC$275,29,FALSE)="","",VLOOKUP(A260,'Charriage - Geschiebehaushalt'!$A$4:$AC$275,29,FALSE))</f>
        <v>d</v>
      </c>
      <c r="K260" s="533" t="str">
        <f>IF(VLOOKUP(A260,'Débit - Abfluss'!$A$4:$AD$275,8,FALSE)="","",VLOOKUP(A260,'Débit - Abfluss'!$A$4:$AD$275,8,FALSE))</f>
        <v>100%</v>
      </c>
      <c r="L260" s="468" t="str">
        <f>IF(VLOOKUP(A260,'Débit - Abfluss'!$A$4:$AD$275,10,FALSE)="","",VLOOKUP(A260,'Débit - Abfluss'!$A$4:$AD$275,10,FALSE))</f>
        <v>100%</v>
      </c>
      <c r="M260" s="333" t="str">
        <f>IF(VLOOKUP(A260,'Débit - Abfluss'!$A$4:$AD$275,17,FALSE)="","",VLOOKUP(A260,'Débit - Abfluss'!$A$4:$AD$275,17,FALSE))</f>
        <v>100%</v>
      </c>
      <c r="N260" s="340" t="str">
        <f>IF(VLOOKUP(A260,'Eclusée - Schwall-Sunk'!$A$2:$F$273,6,FALSE)="","",VLOOKUP(A260,'Eclusée - Schwall-Sunk'!$A$2:$F$273,6,FALSE))</f>
        <v>Non affecté / nicht betroffen</v>
      </c>
      <c r="O260" s="537"/>
      <c r="P260" s="538"/>
      <c r="Q260" s="284" t="str">
        <f>IF(VLOOKUP(A260,'Revitalisation-Revitalisierung'!$A$4:$Z$275,13,FALSE)="","",VLOOKUP(A260,'Revitalisation-Revitalisierung'!$A$4:$Z$275,13,FALSE))</f>
        <v>Partiellement nécessaire, facile / teilweise nötig, einfach</v>
      </c>
      <c r="R260" s="541" t="str">
        <f>IF(VLOOKUP(A260,'Revitalisation-Revitalisierung'!$A$4:$Z$275,14,FALSE)="","",VLOOKUP(A260,'Revitalisation-Revitalisierung'!$A$4:$Z$275,14,FALSE))</f>
        <v>b</v>
      </c>
      <c r="S260" s="542" t="str">
        <f>IF(VLOOKUP(A260,'Revitalisation-Revitalisierung'!$A$4:$Z$275,19,FALSE)="","",VLOOKUP(A260,'Revitalisation-Revitalisierung'!$A$4:$Z$275,19,FALSE))</f>
        <v>Partiellement nécessaire, facile / teilweise nötig, einfach</v>
      </c>
      <c r="T260" s="541" t="str">
        <f>IF(VLOOKUP(A260,'Revitalisation-Revitalisierung'!$A$4:$Z$275,20,FALSE)="","",VLOOKUP(A260,'Revitalisation-Revitalisierung'!$A$4:$Z$275,20,FALSE))</f>
        <v>e</v>
      </c>
      <c r="U260" s="542" t="str">
        <f>IF(VLOOKUP(A260,'Revitalisation-Revitalisierung'!$A$4:$Z$275,25,FALSE)="","",VLOOKUP(A260,'Revitalisation-Revitalisierung'!$A$4:$Z$275,25,FALSE))</f>
        <v>Non nécessaire / nicht nötig</v>
      </c>
      <c r="V260" s="406" t="str">
        <f>IF(VLOOKUP(A260,'Revitalisation-Revitalisierung'!$A$4:$Z$275,26,FALSE)="","",VLOOKUP(A260,'Revitalisation-Revitalisierung'!$A$4:$Z$275,26,FALSE))</f>
        <v>e</v>
      </c>
      <c r="Y260" s="529" t="str">
        <f t="shared" si="20"/>
        <v>0-20%</v>
      </c>
      <c r="Z260" s="568" t="str">
        <f t="shared" si="21"/>
        <v>d</v>
      </c>
      <c r="AA260" s="327" t="str">
        <f t="shared" si="22"/>
        <v>100%</v>
      </c>
      <c r="AB260" s="327" t="str">
        <f t="shared" si="23"/>
        <v>Non affecté / nicht betroffen</v>
      </c>
      <c r="AC260" s="276" t="str">
        <f t="shared" si="24"/>
        <v>Non nécessaire / nicht nötig</v>
      </c>
      <c r="AD260" s="570" t="str">
        <f t="shared" si="25"/>
        <v>e</v>
      </c>
      <c r="AE260">
        <v>1</v>
      </c>
      <c r="AF260">
        <v>1</v>
      </c>
      <c r="AG260">
        <v>1</v>
      </c>
    </row>
    <row r="261" spans="1:33" ht="16.5" customHeight="1" x14ac:dyDescent="0.25">
      <c r="A261" s="926">
        <v>353</v>
      </c>
      <c r="B261" s="400" t="s">
        <v>565</v>
      </c>
      <c r="C261" s="400" t="s">
        <v>566</v>
      </c>
      <c r="D261" s="401" t="s">
        <v>551</v>
      </c>
      <c r="E261" s="522" t="str">
        <f>IF(VLOOKUP(A261,'Charriage - Geschiebehaushalt'!$A$4:$AC$275,17,FALSE)="","",VLOOKUP(A261,'Charriage - Geschiebehaushalt'!$A$4:$AC$275,17,FALSE))</f>
        <v>Charriage présumé naturel / Geschiebehaushalt vermutlich natürlich</v>
      </c>
      <c r="F261" s="523" t="str">
        <f>IF(VLOOKUP(A261,'Charriage - Geschiebehaushalt'!$A$4:$AC$275,18,FALSE)="","",VLOOKUP(A261,'Charriage - Geschiebehaushalt'!$A$4:$AC$275,18,FALSE))</f>
        <v>b</v>
      </c>
      <c r="G261" s="524" t="str">
        <f>IF(VLOOKUP(A261,'Charriage - Geschiebehaushalt'!$A$4:$AC$275,22,FALSE)="","",VLOOKUP(A261,'Charriage - Geschiebehaushalt'!$A$4:$AC$275,22,FALSE))</f>
        <v>0-20%</v>
      </c>
      <c r="H261" s="523" t="str">
        <f>IF(VLOOKUP(A261,'Charriage - Geschiebehaushalt'!$A$4:$AC$275,23,FALSE)="","",VLOOKUP(A261,'Charriage - Geschiebehaushalt'!$A$4:$AC$275,23,FALSE))</f>
        <v>b</v>
      </c>
      <c r="I261" s="524" t="str">
        <f>IF(VLOOKUP(A261,'Charriage - Geschiebehaushalt'!$A$4:$AC$275,28,FALSE)="","",VLOOKUP(A261,'Charriage - Geschiebehaushalt'!$A$4:$AC$275,28,FALSE))</f>
        <v>0-20%</v>
      </c>
      <c r="J261" s="403" t="str">
        <f>IF(VLOOKUP(A261,'Charriage - Geschiebehaushalt'!$A$4:$AC$275,29,FALSE)="","",VLOOKUP(A261,'Charriage - Geschiebehaushalt'!$A$4:$AC$275,29,FALSE))</f>
        <v>b</v>
      </c>
      <c r="K261" s="533" t="str">
        <f>IF(VLOOKUP(A261,'Débit - Abfluss'!$A$4:$AD$275,8,FALSE)="","",VLOOKUP(A261,'Débit - Abfluss'!$A$4:$AD$275,8,FALSE))</f>
        <v>100%</v>
      </c>
      <c r="L261" s="468" t="str">
        <f>IF(VLOOKUP(A261,'Débit - Abfluss'!$A$4:$AD$275,10,FALSE)="","",VLOOKUP(A261,'Débit - Abfluss'!$A$4:$AD$275,10,FALSE))</f>
        <v>100%</v>
      </c>
      <c r="M261" s="333" t="str">
        <f>IF(VLOOKUP(A261,'Débit - Abfluss'!$A$4:$AD$275,17,FALSE)="","",VLOOKUP(A261,'Débit - Abfluss'!$A$4:$AD$275,17,FALSE))</f>
        <v>100%</v>
      </c>
      <c r="N261" s="340" t="str">
        <f>IF(VLOOKUP(A261,'Eclusée - Schwall-Sunk'!$A$2:$F$273,6,FALSE)="","",VLOOKUP(A261,'Eclusée - Schwall-Sunk'!$A$2:$F$273,6,FALSE))</f>
        <v>Non affecté / nicht betroffen</v>
      </c>
      <c r="O261" s="537"/>
      <c r="P261" s="538"/>
      <c r="Q261" s="284" t="str">
        <f>IF(VLOOKUP(A261,'Revitalisation-Revitalisierung'!$A$4:$Z$275,13,FALSE)="","",VLOOKUP(A261,'Revitalisation-Revitalisierung'!$A$4:$Z$275,13,FALSE))</f>
        <v>Non nécessaire / nicht nötig</v>
      </c>
      <c r="R261" s="541" t="str">
        <f>IF(VLOOKUP(A261,'Revitalisation-Revitalisierung'!$A$4:$Z$275,14,FALSE)="","",VLOOKUP(A261,'Revitalisation-Revitalisierung'!$A$4:$Z$275,14,FALSE))</f>
        <v>a</v>
      </c>
      <c r="S261" s="542" t="str">
        <f>IF(VLOOKUP(A261,'Revitalisation-Revitalisierung'!$A$4:$Z$275,19,FALSE)="","",VLOOKUP(A261,'Revitalisation-Revitalisierung'!$A$4:$Z$275,19,FALSE))</f>
        <v>Non nécessaire / nicht nötig</v>
      </c>
      <c r="T261" s="541" t="str">
        <f>IF(VLOOKUP(A261,'Revitalisation-Revitalisierung'!$A$4:$Z$275,20,FALSE)="","",VLOOKUP(A261,'Revitalisation-Revitalisierung'!$A$4:$Z$275,20,FALSE))</f>
        <v>a</v>
      </c>
      <c r="U261" s="542" t="str">
        <f>IF(VLOOKUP(A261,'Revitalisation-Revitalisierung'!$A$4:$Z$275,25,FALSE)="","",VLOOKUP(A261,'Revitalisation-Revitalisierung'!$A$4:$Z$275,25,FALSE))</f>
        <v>Non nécessaire / nicht nötig</v>
      </c>
      <c r="V261" s="406" t="str">
        <f>IF(VLOOKUP(A261,'Revitalisation-Revitalisierung'!$A$4:$Z$275,26,FALSE)="","",VLOOKUP(A261,'Revitalisation-Revitalisierung'!$A$4:$Z$275,26,FALSE))</f>
        <v>a</v>
      </c>
      <c r="Y261" s="529" t="str">
        <f t="shared" si="20"/>
        <v>0-20%</v>
      </c>
      <c r="Z261" s="568" t="str">
        <f t="shared" si="21"/>
        <v>b</v>
      </c>
      <c r="AA261" s="327" t="str">
        <f t="shared" si="22"/>
        <v>100%</v>
      </c>
      <c r="AB261" s="327" t="str">
        <f t="shared" si="23"/>
        <v>Non affecté / nicht betroffen</v>
      </c>
      <c r="AC261" s="276" t="str">
        <f t="shared" si="24"/>
        <v>Non nécessaire / nicht nötig</v>
      </c>
      <c r="AD261" s="570" t="str">
        <f t="shared" si="25"/>
        <v>a</v>
      </c>
      <c r="AE261">
        <v>1</v>
      </c>
      <c r="AF261">
        <v>1</v>
      </c>
      <c r="AG261">
        <v>1</v>
      </c>
    </row>
    <row r="262" spans="1:33" ht="16.5" customHeight="1" x14ac:dyDescent="0.25">
      <c r="A262" s="926">
        <v>354</v>
      </c>
      <c r="B262" s="400" t="s">
        <v>568</v>
      </c>
      <c r="C262" s="400" t="s">
        <v>569</v>
      </c>
      <c r="D262" s="401" t="s">
        <v>551</v>
      </c>
      <c r="E262" s="522" t="str">
        <f>IF(VLOOKUP(A262,'Charriage - Geschiebehaushalt'!$A$4:$AC$275,17,FALSE)="","",VLOOKUP(A262,'Charriage - Geschiebehaushalt'!$A$4:$AC$275,17,FALSE))</f>
        <v>Charriage présumé naturel / Geschiebehaushalt vermutlich natürlich</v>
      </c>
      <c r="F262" s="523" t="str">
        <f>IF(VLOOKUP(A262,'Charriage - Geschiebehaushalt'!$A$4:$AC$275,18,FALSE)="","",VLOOKUP(A262,'Charriage - Geschiebehaushalt'!$A$4:$AC$275,18,FALSE))</f>
        <v>b</v>
      </c>
      <c r="G262" s="524" t="str">
        <f>IF(VLOOKUP(A262,'Charriage - Geschiebehaushalt'!$A$4:$AC$275,22,FALSE)="","",VLOOKUP(A262,'Charriage - Geschiebehaushalt'!$A$4:$AC$275,22,FALSE))</f>
        <v>0-20%</v>
      </c>
      <c r="H262" s="523" t="str">
        <f>IF(VLOOKUP(A262,'Charriage - Geschiebehaushalt'!$A$4:$AC$275,23,FALSE)="","",VLOOKUP(A262,'Charriage - Geschiebehaushalt'!$A$4:$AC$275,23,FALSE))</f>
        <v>b</v>
      </c>
      <c r="I262" s="524" t="str">
        <f>IF(VLOOKUP(A262,'Charriage - Geschiebehaushalt'!$A$4:$AC$275,28,FALSE)="","",VLOOKUP(A262,'Charriage - Geschiebehaushalt'!$A$4:$AC$275,28,FALSE))</f>
        <v>0-20%</v>
      </c>
      <c r="J262" s="403" t="str">
        <f>IF(VLOOKUP(A262,'Charriage - Geschiebehaushalt'!$A$4:$AC$275,29,FALSE)="","",VLOOKUP(A262,'Charriage - Geschiebehaushalt'!$A$4:$AC$275,29,FALSE))</f>
        <v>b</v>
      </c>
      <c r="K262" s="533" t="str">
        <f>IF(VLOOKUP(A262,'Débit - Abfluss'!$A$4:$AD$275,8,FALSE)="","",VLOOKUP(A262,'Débit - Abfluss'!$A$4:$AD$275,8,FALSE))</f>
        <v>100%</v>
      </c>
      <c r="L262" s="468" t="str">
        <f>IF(VLOOKUP(A262,'Débit - Abfluss'!$A$4:$AD$275,10,FALSE)="","",VLOOKUP(A262,'Débit - Abfluss'!$A$4:$AD$275,10,FALSE))</f>
        <v>100%</v>
      </c>
      <c r="M262" s="333" t="str">
        <f>IF(VLOOKUP(A262,'Débit - Abfluss'!$A$4:$AD$275,17,FALSE)="","",VLOOKUP(A262,'Débit - Abfluss'!$A$4:$AD$275,17,FALSE))</f>
        <v>100%</v>
      </c>
      <c r="N262" s="340" t="str">
        <f>IF(VLOOKUP(A262,'Eclusée - Schwall-Sunk'!$A$2:$F$273,6,FALSE)="","",VLOOKUP(A262,'Eclusée - Schwall-Sunk'!$A$2:$F$273,6,FALSE))</f>
        <v>Non affecté / nicht betroffen</v>
      </c>
      <c r="O262" s="537"/>
      <c r="P262" s="538"/>
      <c r="Q262" s="284" t="str">
        <f>IF(VLOOKUP(A262,'Revitalisation-Revitalisierung'!$A$4:$Z$275,13,FALSE)="","",VLOOKUP(A262,'Revitalisation-Revitalisierung'!$A$4:$Z$275,13,FALSE))</f>
        <v>Partiellement nécessaire, facile / teilweise nötig, einfach</v>
      </c>
      <c r="R262" s="541" t="str">
        <f>IF(VLOOKUP(A262,'Revitalisation-Revitalisierung'!$A$4:$Z$275,14,FALSE)="","",VLOOKUP(A262,'Revitalisation-Revitalisierung'!$A$4:$Z$275,14,FALSE))</f>
        <v>a</v>
      </c>
      <c r="S262" s="542" t="str">
        <f>IF(VLOOKUP(A262,'Revitalisation-Revitalisierung'!$A$4:$Z$275,19,FALSE)="","",VLOOKUP(A262,'Revitalisation-Revitalisierung'!$A$4:$Z$275,19,FALSE))</f>
        <v>Partiellement nécessaire, facile / teilweise nötig, einfach</v>
      </c>
      <c r="T262" s="541" t="str">
        <f>IF(VLOOKUP(A262,'Revitalisation-Revitalisierung'!$A$4:$Z$275,20,FALSE)="","",VLOOKUP(A262,'Revitalisation-Revitalisierung'!$A$4:$Z$275,20,FALSE))</f>
        <v>a</v>
      </c>
      <c r="U262" s="542" t="str">
        <f>IF(VLOOKUP(A262,'Revitalisation-Revitalisierung'!$A$4:$Z$275,25,FALSE)="","",VLOOKUP(A262,'Revitalisation-Revitalisierung'!$A$4:$Z$275,25,FALSE))</f>
        <v>Partiellement nécessaire, facile / teilweise nötig, einfach</v>
      </c>
      <c r="V262" s="406" t="str">
        <f>IF(VLOOKUP(A262,'Revitalisation-Revitalisierung'!$A$4:$Z$275,26,FALSE)="","",VLOOKUP(A262,'Revitalisation-Revitalisierung'!$A$4:$Z$275,26,FALSE))</f>
        <v>a</v>
      </c>
      <c r="Y262" s="529" t="str">
        <f t="shared" si="20"/>
        <v>0-20%</v>
      </c>
      <c r="Z262" s="568" t="str">
        <f t="shared" si="21"/>
        <v>b</v>
      </c>
      <c r="AA262" s="327" t="str">
        <f t="shared" si="22"/>
        <v>100%</v>
      </c>
      <c r="AB262" s="327" t="str">
        <f t="shared" si="23"/>
        <v>Non affecté / nicht betroffen</v>
      </c>
      <c r="AC262" s="276" t="str">
        <f t="shared" si="24"/>
        <v>Partiellement nécessaire, facile / teilweise nötig, einfach</v>
      </c>
      <c r="AD262" s="570" t="str">
        <f t="shared" si="25"/>
        <v>a</v>
      </c>
      <c r="AE262">
        <v>2</v>
      </c>
      <c r="AF262">
        <v>1</v>
      </c>
    </row>
    <row r="263" spans="1:33" ht="16.5" customHeight="1" x14ac:dyDescent="0.25">
      <c r="A263" s="926">
        <v>355</v>
      </c>
      <c r="B263" s="400" t="s">
        <v>570</v>
      </c>
      <c r="C263" s="400" t="s">
        <v>555</v>
      </c>
      <c r="D263" s="401" t="s">
        <v>551</v>
      </c>
      <c r="E263" s="522" t="str">
        <f>IF(VLOOKUP(A263,'Charriage - Geschiebehaushalt'!$A$4:$AC$275,17,FALSE)="","",VLOOKUP(A263,'Charriage - Geschiebehaushalt'!$A$4:$AC$275,17,FALSE))</f>
        <v>0-20%</v>
      </c>
      <c r="F263" s="523" t="str">
        <f>IF(VLOOKUP(A263,'Charriage - Geschiebehaushalt'!$A$4:$AC$275,18,FALSE)="","",VLOOKUP(A263,'Charriage - Geschiebehaushalt'!$A$4:$AC$275,18,FALSE))</f>
        <v>a</v>
      </c>
      <c r="G263" s="524" t="str">
        <f>IF(VLOOKUP(A263,'Charriage - Geschiebehaushalt'!$A$4:$AC$275,22,FALSE)="","",VLOOKUP(A263,'Charriage - Geschiebehaushalt'!$A$4:$AC$275,22,FALSE))</f>
        <v>0-20%</v>
      </c>
      <c r="H263" s="523" t="str">
        <f>IF(VLOOKUP(A263,'Charriage - Geschiebehaushalt'!$A$4:$AC$275,23,FALSE)="","",VLOOKUP(A263,'Charriage - Geschiebehaushalt'!$A$4:$AC$275,23,FALSE))</f>
        <v>a</v>
      </c>
      <c r="I263" s="524" t="str">
        <f>IF(VLOOKUP(A263,'Charriage - Geschiebehaushalt'!$A$4:$AC$275,28,FALSE)="","",VLOOKUP(A263,'Charriage - Geschiebehaushalt'!$A$4:$AC$275,28,FALSE))</f>
        <v>0-20%</v>
      </c>
      <c r="J263" s="403" t="str">
        <f>IF(VLOOKUP(A263,'Charriage - Geschiebehaushalt'!$A$4:$AC$275,29,FALSE)="","",VLOOKUP(A263,'Charriage - Geschiebehaushalt'!$A$4:$AC$275,29,FALSE))</f>
        <v>a</v>
      </c>
      <c r="K263" s="533" t="str">
        <f>IF(VLOOKUP(A263,'Débit - Abfluss'!$A$4:$AD$275,8,FALSE)="","",VLOOKUP(A263,'Débit - Abfluss'!$A$4:$AD$275,8,FALSE))</f>
        <v>100%</v>
      </c>
      <c r="L263" s="468" t="str">
        <f>IF(VLOOKUP(A263,'Débit - Abfluss'!$A$4:$AD$275,10,FALSE)="","",VLOOKUP(A263,'Débit - Abfluss'!$A$4:$AD$275,10,FALSE))</f>
        <v>100%</v>
      </c>
      <c r="M263" s="333" t="str">
        <f>IF(VLOOKUP(A263,'Débit - Abfluss'!$A$4:$AD$275,17,FALSE)="","",VLOOKUP(A263,'Débit - Abfluss'!$A$4:$AD$275,17,FALSE))</f>
        <v>100%</v>
      </c>
      <c r="N263" s="340" t="str">
        <f>IF(VLOOKUP(A263,'Eclusée - Schwall-Sunk'!$A$2:$F$273,6,FALSE)="","",VLOOKUP(A263,'Eclusée - Schwall-Sunk'!$A$2:$F$273,6,FALSE))</f>
        <v>Non affecté / nicht betroffen</v>
      </c>
      <c r="O263" s="537"/>
      <c r="P263" s="538"/>
      <c r="Q263" s="284" t="str">
        <f>IF(VLOOKUP(A263,'Revitalisation-Revitalisierung'!$A$4:$Z$275,13,FALSE)="","",VLOOKUP(A263,'Revitalisation-Revitalisierung'!$A$4:$Z$275,13,FALSE))</f>
        <v>Non nécessaire / nicht nötig</v>
      </c>
      <c r="R263" s="541" t="str">
        <f>IF(VLOOKUP(A263,'Revitalisation-Revitalisierung'!$A$4:$Z$275,14,FALSE)="","",VLOOKUP(A263,'Revitalisation-Revitalisierung'!$A$4:$Z$275,14,FALSE))</f>
        <v>a</v>
      </c>
      <c r="S263" s="542" t="str">
        <f>IF(VLOOKUP(A263,'Revitalisation-Revitalisierung'!$A$4:$Z$275,19,FALSE)="","",VLOOKUP(A263,'Revitalisation-Revitalisierung'!$A$4:$Z$275,19,FALSE))</f>
        <v>Non nécessaire / nicht nötig</v>
      </c>
      <c r="T263" s="541" t="str">
        <f>IF(VLOOKUP(A263,'Revitalisation-Revitalisierung'!$A$4:$Z$275,20,FALSE)="","",VLOOKUP(A263,'Revitalisation-Revitalisierung'!$A$4:$Z$275,20,FALSE))</f>
        <v>a</v>
      </c>
      <c r="U263" s="542" t="str">
        <f>IF(VLOOKUP(A263,'Revitalisation-Revitalisierung'!$A$4:$Z$275,25,FALSE)="","",VLOOKUP(A263,'Revitalisation-Revitalisierung'!$A$4:$Z$275,25,FALSE))</f>
        <v>Non nécessaire / nicht nötig</v>
      </c>
      <c r="V263" s="406" t="str">
        <f>IF(VLOOKUP(A263,'Revitalisation-Revitalisierung'!$A$4:$Z$275,26,FALSE)="","",VLOOKUP(A263,'Revitalisation-Revitalisierung'!$A$4:$Z$275,26,FALSE))</f>
        <v>a</v>
      </c>
      <c r="Y263" s="529" t="str">
        <f t="shared" si="20"/>
        <v>0-20%</v>
      </c>
      <c r="Z263" s="568" t="str">
        <f t="shared" si="21"/>
        <v>a</v>
      </c>
      <c r="AA263" s="327" t="str">
        <f t="shared" si="22"/>
        <v>100%</v>
      </c>
      <c r="AB263" s="327" t="str">
        <f t="shared" si="23"/>
        <v>Non affecté / nicht betroffen</v>
      </c>
      <c r="AC263" s="276" t="str">
        <f t="shared" si="24"/>
        <v>Non nécessaire / nicht nötig</v>
      </c>
      <c r="AD263" s="570" t="str">
        <f t="shared" si="25"/>
        <v>a</v>
      </c>
      <c r="AE263">
        <v>1</v>
      </c>
      <c r="AF263">
        <v>1</v>
      </c>
      <c r="AG263">
        <v>1</v>
      </c>
    </row>
    <row r="264" spans="1:33" ht="16.5" customHeight="1" x14ac:dyDescent="0.25">
      <c r="A264" s="926">
        <v>356</v>
      </c>
      <c r="B264" s="400" t="s">
        <v>571</v>
      </c>
      <c r="C264" s="400" t="s">
        <v>572</v>
      </c>
      <c r="D264" s="401" t="s">
        <v>551</v>
      </c>
      <c r="E264" s="522" t="str">
        <f>IF(VLOOKUP(A264,'Charriage - Geschiebehaushalt'!$A$4:$AC$275,17,FALSE)="","",VLOOKUP(A264,'Charriage - Geschiebehaushalt'!$A$4:$AC$275,17,FALSE))</f>
        <v>La remobilisation des sédiments est perturbée / Mobilisierung von Geschiebe beeinträchtigt</v>
      </c>
      <c r="F264" s="523" t="str">
        <f>IF(VLOOKUP(A264,'Charriage - Geschiebehaushalt'!$A$4:$AC$275,18,FALSE)="","",VLOOKUP(A264,'Charriage - Geschiebehaushalt'!$A$4:$AC$275,18,FALSE))</f>
        <v>b</v>
      </c>
      <c r="G264" s="524" t="str">
        <f>IF(VLOOKUP(A264,'Charriage - Geschiebehaushalt'!$A$4:$AC$275,22,FALSE)="","",VLOOKUP(A264,'Charriage - Geschiebehaushalt'!$A$4:$AC$275,22,FALSE))</f>
        <v>21-50%</v>
      </c>
      <c r="H264" s="523" t="str">
        <f>IF(VLOOKUP(A264,'Charriage - Geschiebehaushalt'!$A$4:$AC$275,23,FALSE)="","",VLOOKUP(A264,'Charriage - Geschiebehaushalt'!$A$4:$AC$275,23,FALSE))</f>
        <v>b</v>
      </c>
      <c r="I264" s="524" t="str">
        <f>IF(VLOOKUP(A264,'Charriage - Geschiebehaushalt'!$A$4:$AC$275,28,FALSE)="","",VLOOKUP(A264,'Charriage - Geschiebehaushalt'!$A$4:$AC$275,28,FALSE))</f>
        <v>21-50%</v>
      </c>
      <c r="J264" s="403" t="str">
        <f>IF(VLOOKUP(A264,'Charriage - Geschiebehaushalt'!$A$4:$AC$275,29,FALSE)="","",VLOOKUP(A264,'Charriage - Geschiebehaushalt'!$A$4:$AC$275,29,FALSE))</f>
        <v>b</v>
      </c>
      <c r="K264" s="533" t="str">
        <f>IF(VLOOKUP(A264,'Débit - Abfluss'!$A$4:$AD$275,8,FALSE)="","",VLOOKUP(A264,'Débit - Abfluss'!$A$4:$AD$275,8,FALSE))</f>
        <v>41-60%</v>
      </c>
      <c r="L264" s="468" t="str">
        <f>IF(VLOOKUP(A264,'Débit - Abfluss'!$A$4:$AD$275,10,FALSE)="","",VLOOKUP(A264,'Débit - Abfluss'!$A$4:$AD$275,10,FALSE))</f>
        <v>41-60%</v>
      </c>
      <c r="M264" s="333" t="str">
        <f>IF(VLOOKUP(A264,'Débit - Abfluss'!$A$4:$AD$275,17,FALSE)="","",VLOOKUP(A264,'Débit - Abfluss'!$A$4:$AD$275,17,FALSE))</f>
        <v>41-60%</v>
      </c>
      <c r="N264" s="340" t="str">
        <f>IF(VLOOKUP(A264,'Eclusée - Schwall-Sunk'!$A$2:$F$273,6,FALSE)="","",VLOOKUP(A264,'Eclusée - Schwall-Sunk'!$A$2:$F$273,6,FALSE))</f>
        <v>Potentiellement affecté / möglicherweise betroffen</v>
      </c>
      <c r="O264" s="537"/>
      <c r="P264" s="538"/>
      <c r="Q264" s="284" t="str">
        <f>IF(VLOOKUP(A264,'Revitalisation-Revitalisierung'!$A$4:$Z$275,13,FALSE)="","",VLOOKUP(A264,'Revitalisation-Revitalisierung'!$A$4:$Z$275,13,FALSE))</f>
        <v>Très nécessaire, facile / unbedingt nötig, einfach</v>
      </c>
      <c r="R264" s="541" t="str">
        <f>IF(VLOOKUP(A264,'Revitalisation-Revitalisierung'!$A$4:$Z$275,14,FALSE)="","",VLOOKUP(A264,'Revitalisation-Revitalisierung'!$A$4:$Z$275,14,FALSE))</f>
        <v>a</v>
      </c>
      <c r="S264" s="542" t="str">
        <f>IF(VLOOKUP(A264,'Revitalisation-Revitalisierung'!$A$4:$Z$275,19,FALSE)="","",VLOOKUP(A264,'Revitalisation-Revitalisierung'!$A$4:$Z$275,19,FALSE))</f>
        <v>Très nécessaire, facile / unbedingt nötig, einfach</v>
      </c>
      <c r="T264" s="541" t="str">
        <f>IF(VLOOKUP(A264,'Revitalisation-Revitalisierung'!$A$4:$Z$275,20,FALSE)="","",VLOOKUP(A264,'Revitalisation-Revitalisierung'!$A$4:$Z$275,20,FALSE))</f>
        <v>a</v>
      </c>
      <c r="U264" s="542" t="str">
        <f>IF(VLOOKUP(A264,'Revitalisation-Revitalisierung'!$A$4:$Z$275,25,FALSE)="","",VLOOKUP(A264,'Revitalisation-Revitalisierung'!$A$4:$Z$275,25,FALSE))</f>
        <v>Très nécessaire, facile / unbedingt nötig, einfach</v>
      </c>
      <c r="V264" s="406" t="str">
        <f>IF(VLOOKUP(A264,'Revitalisation-Revitalisierung'!$A$4:$Z$275,26,FALSE)="","",VLOOKUP(A264,'Revitalisation-Revitalisierung'!$A$4:$Z$275,26,FALSE))</f>
        <v>a</v>
      </c>
      <c r="Y264" s="529" t="str">
        <f t="shared" si="20"/>
        <v>21-50%</v>
      </c>
      <c r="Z264" s="568" t="str">
        <f t="shared" si="21"/>
        <v>b</v>
      </c>
      <c r="AA264" s="327" t="str">
        <f t="shared" si="22"/>
        <v>41-60%</v>
      </c>
      <c r="AB264" s="327" t="str">
        <f t="shared" si="23"/>
        <v>Potentiellement affecté / möglicherweise betroffen</v>
      </c>
      <c r="AC264" s="276" t="str">
        <f t="shared" si="24"/>
        <v>Très nécessaire, facile / unbedingt nötig, einfach</v>
      </c>
      <c r="AD264" s="570" t="str">
        <f t="shared" si="25"/>
        <v>a</v>
      </c>
      <c r="AE264">
        <v>4</v>
      </c>
      <c r="AF264">
        <v>1</v>
      </c>
    </row>
    <row r="265" spans="1:33" ht="16.5" customHeight="1" x14ac:dyDescent="0.25">
      <c r="A265" s="926">
        <v>357</v>
      </c>
      <c r="B265" s="400" t="s">
        <v>524</v>
      </c>
      <c r="C265" s="400" t="s">
        <v>525</v>
      </c>
      <c r="D265" s="401" t="s">
        <v>482</v>
      </c>
      <c r="E265" s="522" t="str">
        <f>IF(VLOOKUP(A265,'Charriage - Geschiebehaushalt'!$A$4:$AC$275,17,FALSE)="","",VLOOKUP(A265,'Charriage - Geschiebehaushalt'!$A$4:$AC$275,17,FALSE))</f>
        <v>La remobilisation des sédiments est perturbée / Mobilisierung von Geschiebe beeinträchtigt</v>
      </c>
      <c r="F265" s="523" t="str">
        <f>IF(VLOOKUP(A265,'Charriage - Geschiebehaushalt'!$A$4:$AC$275,18,FALSE)="","",VLOOKUP(A265,'Charriage - Geschiebehaushalt'!$A$4:$AC$275,18,FALSE))</f>
        <v>b</v>
      </c>
      <c r="G265" s="524" t="str">
        <f>IF(VLOOKUP(A265,'Charriage - Geschiebehaushalt'!$A$4:$AC$275,22,FALSE)="","",VLOOKUP(A265,'Charriage - Geschiebehaushalt'!$A$4:$AC$275,22,FALSE))</f>
        <v>21-50%</v>
      </c>
      <c r="H265" s="523" t="str">
        <f>IF(VLOOKUP(A265,'Charriage - Geschiebehaushalt'!$A$4:$AC$275,23,FALSE)="","",VLOOKUP(A265,'Charriage - Geschiebehaushalt'!$A$4:$AC$275,23,FALSE))</f>
        <v>d</v>
      </c>
      <c r="I265" s="524" t="str">
        <f>IF(VLOOKUP(A265,'Charriage - Geschiebehaushalt'!$A$4:$AC$275,28,FALSE)="","",VLOOKUP(A265,'Charriage - Geschiebehaushalt'!$A$4:$AC$275,28,FALSE))</f>
        <v>21-50%</v>
      </c>
      <c r="J265" s="403" t="str">
        <f>IF(VLOOKUP(A265,'Charriage - Geschiebehaushalt'!$A$4:$AC$275,29,FALSE)="","",VLOOKUP(A265,'Charriage - Geschiebehaushalt'!$A$4:$AC$275,29,FALSE))</f>
        <v>d</v>
      </c>
      <c r="K265" s="533" t="str">
        <f>IF(VLOOKUP(A265,'Débit - Abfluss'!$A$4:$AD$275,8,FALSE)="","",VLOOKUP(A265,'Débit - Abfluss'!$A$4:$AD$275,8,FALSE))</f>
        <v>21-40%</v>
      </c>
      <c r="L265" s="468" t="str">
        <f>IF(VLOOKUP(A265,'Débit - Abfluss'!$A$4:$AD$275,10,FALSE)="","",VLOOKUP(A265,'Débit - Abfluss'!$A$4:$AD$275,10,FALSE))</f>
        <v>21-40%</v>
      </c>
      <c r="M265" s="333" t="str">
        <f>IF(VLOOKUP(A265,'Débit - Abfluss'!$A$4:$AD$275,17,FALSE)="","",VLOOKUP(A265,'Débit - Abfluss'!$A$4:$AD$275,17,FALSE))</f>
        <v>21-40%</v>
      </c>
      <c r="N265" s="340" t="str">
        <f>IF(VLOOKUP(A265,'Eclusée - Schwall-Sunk'!$A$2:$F$273,6,FALSE)="","",VLOOKUP(A265,'Eclusée - Schwall-Sunk'!$A$2:$F$273,6,FALSE))</f>
        <v>Non affecté / nicht betroffen</v>
      </c>
      <c r="O265" s="537"/>
      <c r="P265" s="538"/>
      <c r="Q265" s="284" t="str">
        <f>IF(VLOOKUP(A265,'Revitalisation-Revitalisierung'!$A$4:$Z$275,13,FALSE)="","",VLOOKUP(A265,'Revitalisation-Revitalisierung'!$A$4:$Z$275,13,FALSE))</f>
        <v>Très nécessaire, facile / unbedingt nötig, einfach</v>
      </c>
      <c r="R265" s="541" t="str">
        <f>IF(VLOOKUP(A265,'Revitalisation-Revitalisierung'!$A$4:$Z$275,14,FALSE)="","",VLOOKUP(A265,'Revitalisation-Revitalisierung'!$A$4:$Z$275,14,FALSE))</f>
        <v>b</v>
      </c>
      <c r="S265" s="542" t="str">
        <f>IF(VLOOKUP(A265,'Revitalisation-Revitalisierung'!$A$4:$Z$275,19,FALSE)="","",VLOOKUP(A265,'Revitalisation-Revitalisierung'!$A$4:$Z$275,19,FALSE))</f>
        <v>Partiellement nécessaire, facile / teilweise nötig, einfach</v>
      </c>
      <c r="T265" s="541" t="str">
        <f>IF(VLOOKUP(A265,'Revitalisation-Revitalisierung'!$A$4:$Z$275,20,FALSE)="","",VLOOKUP(A265,'Revitalisation-Revitalisierung'!$A$4:$Z$275,20,FALSE))</f>
        <v>e</v>
      </c>
      <c r="U265" s="542" t="str">
        <f>IF(VLOOKUP(A265,'Revitalisation-Revitalisierung'!$A$4:$Z$275,25,FALSE)="","",VLOOKUP(A265,'Revitalisation-Revitalisierung'!$A$4:$Z$275,25,FALSE))</f>
        <v>Partiellement nécessaire, difficile / teilweise nötig, schwierig</v>
      </c>
      <c r="V265" s="406" t="str">
        <f>IF(VLOOKUP(A265,'Revitalisation-Revitalisierung'!$A$4:$Z$275,26,FALSE)="","",VLOOKUP(A265,'Revitalisation-Revitalisierung'!$A$4:$Z$275,26,FALSE))</f>
        <v>c</v>
      </c>
      <c r="Y265" s="529" t="str">
        <f t="shared" si="20"/>
        <v>21-50%</v>
      </c>
      <c r="Z265" s="568" t="str">
        <f t="shared" si="21"/>
        <v>d</v>
      </c>
      <c r="AA265" s="327" t="str">
        <f t="shared" si="22"/>
        <v>21-40%</v>
      </c>
      <c r="AB265" s="327" t="str">
        <f t="shared" si="23"/>
        <v>Non affecté / nicht betroffen</v>
      </c>
      <c r="AC265" s="276" t="str">
        <f t="shared" si="24"/>
        <v>Partiellement nécessaire, difficile / teilweise nötig, schwierig</v>
      </c>
      <c r="AD265" s="570" t="str">
        <f t="shared" si="25"/>
        <v>c</v>
      </c>
      <c r="AE265" t="s">
        <v>1903</v>
      </c>
      <c r="AF265">
        <v>1</v>
      </c>
    </row>
    <row r="266" spans="1:33" ht="16.5" customHeight="1" x14ac:dyDescent="0.25">
      <c r="A266" s="926">
        <v>358</v>
      </c>
      <c r="B266" s="400" t="s">
        <v>526</v>
      </c>
      <c r="C266" s="400" t="s">
        <v>484</v>
      </c>
      <c r="D266" s="401" t="s">
        <v>482</v>
      </c>
      <c r="E266" s="522" t="str">
        <f>IF(VLOOKUP(A266,'Charriage - Geschiebehaushalt'!$A$4:$AC$275,17,FALSE)="","",VLOOKUP(A266,'Charriage - Geschiebehaushalt'!$A$4:$AC$275,17,FALSE))</f>
        <v>Charriage présumé perturbé / Geschiebehaushalt vermutlich beeinträchtigt</v>
      </c>
      <c r="F266" s="523" t="str">
        <f>IF(VLOOKUP(A266,'Charriage - Geschiebehaushalt'!$A$4:$AC$275,18,FALSE)="","",VLOOKUP(A266,'Charriage - Geschiebehaushalt'!$A$4:$AC$275,18,FALSE))</f>
        <v>b</v>
      </c>
      <c r="G266" s="524" t="str">
        <f>IF(VLOOKUP(A266,'Charriage - Geschiebehaushalt'!$A$4:$AC$275,22,FALSE)="","",VLOOKUP(A266,'Charriage - Geschiebehaushalt'!$A$4:$AC$275,22,FALSE))</f>
        <v>51-80%</v>
      </c>
      <c r="H266" s="523" t="str">
        <f>IF(VLOOKUP(A266,'Charriage - Geschiebehaushalt'!$A$4:$AC$275,23,FALSE)="","",VLOOKUP(A266,'Charriage - Geschiebehaushalt'!$A$4:$AC$275,23,FALSE))</f>
        <v>d</v>
      </c>
      <c r="I266" s="524" t="str">
        <f>IF(VLOOKUP(A266,'Charriage - Geschiebehaushalt'!$A$4:$AC$275,28,FALSE)="","",VLOOKUP(A266,'Charriage - Geschiebehaushalt'!$A$4:$AC$275,28,FALSE))</f>
        <v>51-80%</v>
      </c>
      <c r="J266" s="403" t="str">
        <f>IF(VLOOKUP(A266,'Charriage - Geschiebehaushalt'!$A$4:$AC$275,29,FALSE)="","",VLOOKUP(A266,'Charriage - Geschiebehaushalt'!$A$4:$AC$275,29,FALSE))</f>
        <v>d</v>
      </c>
      <c r="K266" s="533" t="str">
        <f>IF(VLOOKUP(A266,'Débit - Abfluss'!$A$4:$AD$275,8,FALSE)="","",VLOOKUP(A266,'Débit - Abfluss'!$A$4:$AD$275,8,FALSE))</f>
        <v>0-20%</v>
      </c>
      <c r="L266" s="468" t="str">
        <f>IF(VLOOKUP(A266,'Débit - Abfluss'!$A$4:$AD$275,10,FALSE)="","",VLOOKUP(A266,'Débit - Abfluss'!$A$4:$AD$275,10,FALSE))</f>
        <v>0-20%</v>
      </c>
      <c r="M266" s="333" t="str">
        <f>IF(VLOOKUP(A266,'Débit - Abfluss'!$A$4:$AD$275,17,FALSE)="","",VLOOKUP(A266,'Débit - Abfluss'!$A$4:$AD$275,17,FALSE))</f>
        <v>0-20%</v>
      </c>
      <c r="N266" s="340" t="str">
        <f>IF(VLOOKUP(A266,'Eclusée - Schwall-Sunk'!$A$2:$F$273,6,FALSE)="","",VLOOKUP(A266,'Eclusée - Schwall-Sunk'!$A$2:$F$273,6,FALSE))</f>
        <v>Potentiellement affecté / möglicherweise betroffen</v>
      </c>
      <c r="O266" s="537"/>
      <c r="P266" s="538"/>
      <c r="Q266" s="284" t="str">
        <f>IF(VLOOKUP(A266,'Revitalisation-Revitalisierung'!$A$4:$Z$275,13,FALSE)="","",VLOOKUP(A266,'Revitalisation-Revitalisierung'!$A$4:$Z$275,13,FALSE))</f>
        <v>Partiellement nécessaire, difficile / teilweise nötig, schwierig</v>
      </c>
      <c r="R266" s="541" t="str">
        <f>IF(VLOOKUP(A266,'Revitalisation-Revitalisierung'!$A$4:$Z$275,14,FALSE)="","",VLOOKUP(A266,'Revitalisation-Revitalisierung'!$A$4:$Z$275,14,FALSE))</f>
        <v>a</v>
      </c>
      <c r="S266" s="542" t="str">
        <f>IF(VLOOKUP(A266,'Revitalisation-Revitalisierung'!$A$4:$Z$275,19,FALSE)="","",VLOOKUP(A266,'Revitalisation-Revitalisierung'!$A$4:$Z$275,19,FALSE))</f>
        <v>Partiellement nécessaire, difficile / teilweise nötig, schwierig</v>
      </c>
      <c r="T266" s="541" t="str">
        <f>IF(VLOOKUP(A266,'Revitalisation-Revitalisierung'!$A$4:$Z$275,20,FALSE)="","",VLOOKUP(A266,'Revitalisation-Revitalisierung'!$A$4:$Z$275,20,FALSE))</f>
        <v>d</v>
      </c>
      <c r="U266" s="542" t="str">
        <f>IF(VLOOKUP(A266,'Revitalisation-Revitalisierung'!$A$4:$Z$275,25,FALSE)="","",VLOOKUP(A266,'Revitalisation-Revitalisierung'!$A$4:$Z$275,25,FALSE))</f>
        <v>Partiellement nécessaire, difficile / teilweise nötig, schwierig</v>
      </c>
      <c r="V266" s="406" t="str">
        <f>IF(VLOOKUP(A266,'Revitalisation-Revitalisierung'!$A$4:$Z$275,26,FALSE)="","",VLOOKUP(A266,'Revitalisation-Revitalisierung'!$A$4:$Z$275,26,FALSE))</f>
        <v>d</v>
      </c>
      <c r="Y266" s="529" t="str">
        <f t="shared" si="20"/>
        <v>51-80%</v>
      </c>
      <c r="Z266" s="568" t="str">
        <f t="shared" si="21"/>
        <v>d</v>
      </c>
      <c r="AA266" s="327" t="str">
        <f t="shared" si="22"/>
        <v>0-20%</v>
      </c>
      <c r="AB266" s="327" t="str">
        <f t="shared" si="23"/>
        <v>Potentiellement affecté / möglicherweise betroffen</v>
      </c>
      <c r="AC266" s="276" t="str">
        <f t="shared" si="24"/>
        <v>Partiellement nécessaire, difficile / teilweise nötig, schwierig</v>
      </c>
      <c r="AD266" s="570" t="str">
        <f t="shared" si="25"/>
        <v>d</v>
      </c>
      <c r="AE266">
        <v>4</v>
      </c>
      <c r="AF266">
        <v>1</v>
      </c>
    </row>
    <row r="267" spans="1:33" ht="16.5" customHeight="1" x14ac:dyDescent="0.25">
      <c r="A267" s="926">
        <v>359</v>
      </c>
      <c r="B267" s="400" t="s">
        <v>528</v>
      </c>
      <c r="C267" s="400" t="s">
        <v>484</v>
      </c>
      <c r="D267" s="401" t="s">
        <v>482</v>
      </c>
      <c r="E267" s="522" t="str">
        <f>IF(VLOOKUP(A267,'Charriage - Geschiebehaushalt'!$A$4:$AC$275,17,FALSE)="","",VLOOKUP(A267,'Charriage - Geschiebehaushalt'!$A$4:$AC$275,17,FALSE))</f>
        <v>Charriage présumé perturbé / Geschiebehaushalt vermutlich beeinträchtigt</v>
      </c>
      <c r="F267" s="523" t="str">
        <f>IF(VLOOKUP(A267,'Charriage - Geschiebehaushalt'!$A$4:$AC$275,18,FALSE)="","",VLOOKUP(A267,'Charriage - Geschiebehaushalt'!$A$4:$AC$275,18,FALSE))</f>
        <v>b</v>
      </c>
      <c r="G267" s="524" t="str">
        <f>IF(VLOOKUP(A267,'Charriage - Geschiebehaushalt'!$A$4:$AC$275,22,FALSE)="","",VLOOKUP(A267,'Charriage - Geschiebehaushalt'!$A$4:$AC$275,22,FALSE))</f>
        <v>51-80%</v>
      </c>
      <c r="H267" s="523" t="str">
        <f>IF(VLOOKUP(A267,'Charriage - Geschiebehaushalt'!$A$4:$AC$275,23,FALSE)="","",VLOOKUP(A267,'Charriage - Geschiebehaushalt'!$A$4:$AC$275,23,FALSE))</f>
        <v>d</v>
      </c>
      <c r="I267" s="524" t="str">
        <f>IF(VLOOKUP(A267,'Charriage - Geschiebehaushalt'!$A$4:$AC$275,28,FALSE)="","",VLOOKUP(A267,'Charriage - Geschiebehaushalt'!$A$4:$AC$275,28,FALSE))</f>
        <v>51-80%</v>
      </c>
      <c r="J267" s="403" t="str">
        <f>IF(VLOOKUP(A267,'Charriage - Geschiebehaushalt'!$A$4:$AC$275,29,FALSE)="","",VLOOKUP(A267,'Charriage - Geschiebehaushalt'!$A$4:$AC$275,29,FALSE))</f>
        <v>d</v>
      </c>
      <c r="K267" s="533" t="str">
        <f>IF(VLOOKUP(A267,'Débit - Abfluss'!$A$4:$AD$275,8,FALSE)="","",VLOOKUP(A267,'Débit - Abfluss'!$A$4:$AD$275,8,FALSE))</f>
        <v>0-20%</v>
      </c>
      <c r="L267" s="468" t="str">
        <f>IF(VLOOKUP(A267,'Débit - Abfluss'!$A$4:$AD$275,10,FALSE)="","",VLOOKUP(A267,'Débit - Abfluss'!$A$4:$AD$275,10,FALSE))</f>
        <v>0-20%</v>
      </c>
      <c r="M267" s="333" t="str">
        <f>IF(VLOOKUP(A267,'Débit - Abfluss'!$A$4:$AD$275,17,FALSE)="","",VLOOKUP(A267,'Débit - Abfluss'!$A$4:$AD$275,17,FALSE))</f>
        <v>0-20%</v>
      </c>
      <c r="N267" s="340" t="str">
        <f>IF(VLOOKUP(A267,'Eclusée - Schwall-Sunk'!$A$2:$F$273,6,FALSE)="","",VLOOKUP(A267,'Eclusée - Schwall-Sunk'!$A$2:$F$273,6,FALSE))</f>
        <v>Potentiellement affecté / möglicherweise betroffen</v>
      </c>
      <c r="O267" s="537"/>
      <c r="P267" s="538"/>
      <c r="Q267" s="284" t="str">
        <f>IF(VLOOKUP(A267,'Revitalisation-Revitalisierung'!$A$4:$Z$275,13,FALSE)="","",VLOOKUP(A267,'Revitalisation-Revitalisierung'!$A$4:$Z$275,13,FALSE))</f>
        <v>Partiellement nécessaire, facile / teilweise nötig, einfach</v>
      </c>
      <c r="R267" s="541" t="str">
        <f>IF(VLOOKUP(A267,'Revitalisation-Revitalisierung'!$A$4:$Z$275,14,FALSE)="","",VLOOKUP(A267,'Revitalisation-Revitalisierung'!$A$4:$Z$275,14,FALSE))</f>
        <v>a</v>
      </c>
      <c r="S267" s="542" t="str">
        <f>IF(VLOOKUP(A267,'Revitalisation-Revitalisierung'!$A$4:$Z$275,19,FALSE)="","",VLOOKUP(A267,'Revitalisation-Revitalisierung'!$A$4:$Z$275,19,FALSE))</f>
        <v>Partiellement nécessaire, facile / teilweise nötig, einfach</v>
      </c>
      <c r="T267" s="541" t="str">
        <f>IF(VLOOKUP(A267,'Revitalisation-Revitalisierung'!$A$4:$Z$275,20,FALSE)="","",VLOOKUP(A267,'Revitalisation-Revitalisierung'!$A$4:$Z$275,20,FALSE))</f>
        <v>d</v>
      </c>
      <c r="U267" s="542" t="str">
        <f>IF(VLOOKUP(A267,'Revitalisation-Revitalisierung'!$A$4:$Z$275,25,FALSE)="","",VLOOKUP(A267,'Revitalisation-Revitalisierung'!$A$4:$Z$275,25,FALSE))</f>
        <v>Partiellement nécessaire, facile / teilweise nötig, einfach</v>
      </c>
      <c r="V267" s="406" t="str">
        <f>IF(VLOOKUP(A267,'Revitalisation-Revitalisierung'!$A$4:$Z$275,26,FALSE)="","",VLOOKUP(A267,'Revitalisation-Revitalisierung'!$A$4:$Z$275,26,FALSE))</f>
        <v>d</v>
      </c>
      <c r="Y267" s="529" t="str">
        <f t="shared" si="20"/>
        <v>51-80%</v>
      </c>
      <c r="Z267" s="568" t="str">
        <f t="shared" si="21"/>
        <v>d</v>
      </c>
      <c r="AA267" s="327" t="str">
        <f t="shared" si="22"/>
        <v>0-20%</v>
      </c>
      <c r="AB267" s="327" t="str">
        <f t="shared" si="23"/>
        <v>Potentiellement affecté / möglicherweise betroffen</v>
      </c>
      <c r="AC267" s="276" t="str">
        <f t="shared" si="24"/>
        <v>Partiellement nécessaire, facile / teilweise nötig, einfach</v>
      </c>
      <c r="AD267" s="570" t="str">
        <f t="shared" si="25"/>
        <v>d</v>
      </c>
      <c r="AE267">
        <v>4</v>
      </c>
      <c r="AF267">
        <v>1</v>
      </c>
    </row>
    <row r="268" spans="1:33" ht="16.5" customHeight="1" x14ac:dyDescent="0.25">
      <c r="A268" s="926">
        <v>360</v>
      </c>
      <c r="B268" s="400" t="s">
        <v>530</v>
      </c>
      <c r="C268" s="400" t="s">
        <v>531</v>
      </c>
      <c r="D268" s="401" t="s">
        <v>482</v>
      </c>
      <c r="E268" s="522" t="str">
        <f>IF(VLOOKUP(A268,'Charriage - Geschiebehaushalt'!$A$4:$AC$275,17,FALSE)="","",VLOOKUP(A268,'Charriage - Geschiebehaushalt'!$A$4:$AC$275,17,FALSE))</f>
        <v>Charriage présumé naturel / Geschiebehaushalt vermutlich natürlich</v>
      </c>
      <c r="F268" s="523" t="str">
        <f>IF(VLOOKUP(A268,'Charriage - Geschiebehaushalt'!$A$4:$AC$275,18,FALSE)="","",VLOOKUP(A268,'Charriage - Geschiebehaushalt'!$A$4:$AC$275,18,FALSE))</f>
        <v>b</v>
      </c>
      <c r="G268" s="524" t="str">
        <f>IF(VLOOKUP(A268,'Charriage - Geschiebehaushalt'!$A$4:$AC$275,22,FALSE)="","",VLOOKUP(A268,'Charriage - Geschiebehaushalt'!$A$4:$AC$275,22,FALSE))</f>
        <v>0-20%</v>
      </c>
      <c r="H268" s="523" t="str">
        <f>IF(VLOOKUP(A268,'Charriage - Geschiebehaushalt'!$A$4:$AC$275,23,FALSE)="","",VLOOKUP(A268,'Charriage - Geschiebehaushalt'!$A$4:$AC$275,23,FALSE))</f>
        <v>b</v>
      </c>
      <c r="I268" s="524" t="str">
        <f>IF(VLOOKUP(A268,'Charriage - Geschiebehaushalt'!$A$4:$AC$275,28,FALSE)="","",VLOOKUP(A268,'Charriage - Geschiebehaushalt'!$A$4:$AC$275,28,FALSE))</f>
        <v>0-20%</v>
      </c>
      <c r="J268" s="403" t="str">
        <f>IF(VLOOKUP(A268,'Charriage - Geschiebehaushalt'!$A$4:$AC$275,29,FALSE)="","",VLOOKUP(A268,'Charriage - Geschiebehaushalt'!$A$4:$AC$275,29,FALSE))</f>
        <v>b</v>
      </c>
      <c r="K268" s="533" t="str">
        <f>IF(VLOOKUP(A268,'Débit - Abfluss'!$A$4:$AD$275,8,FALSE)="","",VLOOKUP(A268,'Débit - Abfluss'!$A$4:$AD$275,8,FALSE))</f>
        <v>81-100%</v>
      </c>
      <c r="L268" s="468" t="str">
        <f>IF(VLOOKUP(A268,'Débit - Abfluss'!$A$4:$AD$275,10,FALSE)="","",VLOOKUP(A268,'Débit - Abfluss'!$A$4:$AD$275,10,FALSE))</f>
        <v>81-100%</v>
      </c>
      <c r="M268" s="333" t="str">
        <f>IF(VLOOKUP(A268,'Débit - Abfluss'!$A$4:$AD$275,17,FALSE)="","",VLOOKUP(A268,'Débit - Abfluss'!$A$4:$AD$275,17,FALSE))</f>
        <v>81-100%</v>
      </c>
      <c r="N268" s="340" t="str">
        <f>IF(VLOOKUP(A268,'Eclusée - Schwall-Sunk'!$A$2:$F$273,6,FALSE)="","",VLOOKUP(A268,'Eclusée - Schwall-Sunk'!$A$2:$F$273,6,FALSE))</f>
        <v>Non affecté / nicht betroffen</v>
      </c>
      <c r="O268" s="537"/>
      <c r="P268" s="538"/>
      <c r="Q268" s="284" t="str">
        <f>IF(VLOOKUP(A268,'Revitalisation-Revitalisierung'!$A$4:$Z$275,13,FALSE)="","",VLOOKUP(A268,'Revitalisation-Revitalisierung'!$A$4:$Z$275,13,FALSE))</f>
        <v>Non nécessaire / nicht nötig</v>
      </c>
      <c r="R268" s="541" t="str">
        <f>IF(VLOOKUP(A268,'Revitalisation-Revitalisierung'!$A$4:$Z$275,14,FALSE)="","",VLOOKUP(A268,'Revitalisation-Revitalisierung'!$A$4:$Z$275,14,FALSE))</f>
        <v>a</v>
      </c>
      <c r="S268" s="542" t="str">
        <f>IF(VLOOKUP(A268,'Revitalisation-Revitalisierung'!$A$4:$Z$275,19,FALSE)="","",VLOOKUP(A268,'Revitalisation-Revitalisierung'!$A$4:$Z$275,19,FALSE))</f>
        <v>Non nécessaire / nicht nötig</v>
      </c>
      <c r="T268" s="541" t="str">
        <f>IF(VLOOKUP(A268,'Revitalisation-Revitalisierung'!$A$4:$Z$275,20,FALSE)="","",VLOOKUP(A268,'Revitalisation-Revitalisierung'!$A$4:$Z$275,20,FALSE))</f>
        <v>d</v>
      </c>
      <c r="U268" s="542" t="str">
        <f>IF(VLOOKUP(A268,'Revitalisation-Revitalisierung'!$A$4:$Z$275,25,FALSE)="","",VLOOKUP(A268,'Revitalisation-Revitalisierung'!$A$4:$Z$275,25,FALSE))</f>
        <v>Non nécessaire / nicht nötig</v>
      </c>
      <c r="V268" s="406" t="str">
        <f>IF(VLOOKUP(A268,'Revitalisation-Revitalisierung'!$A$4:$Z$275,26,FALSE)="","",VLOOKUP(A268,'Revitalisation-Revitalisierung'!$A$4:$Z$275,26,FALSE))</f>
        <v>d</v>
      </c>
      <c r="Y268" s="529" t="str">
        <f t="shared" si="20"/>
        <v>0-20%</v>
      </c>
      <c r="Z268" s="568" t="str">
        <f t="shared" si="21"/>
        <v>b</v>
      </c>
      <c r="AA268" s="327" t="str">
        <f t="shared" si="22"/>
        <v>81-100%</v>
      </c>
      <c r="AB268" s="327" t="str">
        <f t="shared" si="23"/>
        <v>Non affecté / nicht betroffen</v>
      </c>
      <c r="AC268" s="276" t="str">
        <f t="shared" si="24"/>
        <v>Non nécessaire / nicht nötig</v>
      </c>
      <c r="AD268" s="570" t="str">
        <f t="shared" si="25"/>
        <v>d</v>
      </c>
      <c r="AE268">
        <v>1</v>
      </c>
      <c r="AF268">
        <v>1</v>
      </c>
      <c r="AG268">
        <v>1</v>
      </c>
    </row>
    <row r="269" spans="1:33" ht="16.5" customHeight="1" x14ac:dyDescent="0.25">
      <c r="A269" s="926">
        <v>361</v>
      </c>
      <c r="B269" s="400" t="s">
        <v>533</v>
      </c>
      <c r="C269" s="400" t="s">
        <v>531</v>
      </c>
      <c r="D269" s="401" t="s">
        <v>482</v>
      </c>
      <c r="E269" s="522" t="str">
        <f>IF(VLOOKUP(A269,'Charriage - Geschiebehaushalt'!$A$4:$AC$275,17,FALSE)="","",VLOOKUP(A269,'Charriage - Geschiebehaushalt'!$A$4:$AC$275,17,FALSE))</f>
        <v>Charriage présumé naturel / Geschiebehaushalt vermutlich natürlich</v>
      </c>
      <c r="F269" s="523" t="str">
        <f>IF(VLOOKUP(A269,'Charriage - Geschiebehaushalt'!$A$4:$AC$275,18,FALSE)="","",VLOOKUP(A269,'Charriage - Geschiebehaushalt'!$A$4:$AC$275,18,FALSE))</f>
        <v>b</v>
      </c>
      <c r="G269" s="524" t="str">
        <f>IF(VLOOKUP(A269,'Charriage - Geschiebehaushalt'!$A$4:$AC$275,22,FALSE)="","",VLOOKUP(A269,'Charriage - Geschiebehaushalt'!$A$4:$AC$275,22,FALSE))</f>
        <v>0-20%</v>
      </c>
      <c r="H269" s="523" t="str">
        <f>IF(VLOOKUP(A269,'Charriage - Geschiebehaushalt'!$A$4:$AC$275,23,FALSE)="","",VLOOKUP(A269,'Charriage - Geschiebehaushalt'!$A$4:$AC$275,23,FALSE))</f>
        <v>b</v>
      </c>
      <c r="I269" s="524" t="str">
        <f>IF(VLOOKUP(A269,'Charriage - Geschiebehaushalt'!$A$4:$AC$275,28,FALSE)="","",VLOOKUP(A269,'Charriage - Geschiebehaushalt'!$A$4:$AC$275,28,FALSE))</f>
        <v>0-20%</v>
      </c>
      <c r="J269" s="403" t="str">
        <f>IF(VLOOKUP(A269,'Charriage - Geschiebehaushalt'!$A$4:$AC$275,29,FALSE)="","",VLOOKUP(A269,'Charriage - Geschiebehaushalt'!$A$4:$AC$275,29,FALSE))</f>
        <v>b</v>
      </c>
      <c r="K269" s="533" t="str">
        <f>IF(VLOOKUP(A269,'Débit - Abfluss'!$A$4:$AD$275,8,FALSE)="","",VLOOKUP(A269,'Débit - Abfluss'!$A$4:$AD$275,8,FALSE))</f>
        <v>81-100%</v>
      </c>
      <c r="L269" s="468" t="str">
        <f>IF(VLOOKUP(A269,'Débit - Abfluss'!$A$4:$AD$275,10,FALSE)="","",VLOOKUP(A269,'Débit - Abfluss'!$A$4:$AD$275,10,FALSE))</f>
        <v>81-100%</v>
      </c>
      <c r="M269" s="333" t="str">
        <f>IF(VLOOKUP(A269,'Débit - Abfluss'!$A$4:$AD$275,17,FALSE)="","",VLOOKUP(A269,'Débit - Abfluss'!$A$4:$AD$275,17,FALSE))</f>
        <v>81-100%</v>
      </c>
      <c r="N269" s="340" t="str">
        <f>IF(VLOOKUP(A269,'Eclusée - Schwall-Sunk'!$A$2:$F$273,6,FALSE)="","",VLOOKUP(A269,'Eclusée - Schwall-Sunk'!$A$2:$F$273,6,FALSE))</f>
        <v>Non affecté / nicht betroffen</v>
      </c>
      <c r="O269" s="537"/>
      <c r="P269" s="538"/>
      <c r="Q269" s="284" t="str">
        <f>IF(VLOOKUP(A269,'Revitalisation-Revitalisierung'!$A$4:$Z$275,13,FALSE)="","",VLOOKUP(A269,'Revitalisation-Revitalisierung'!$A$4:$Z$275,13,FALSE))</f>
        <v>Non nécessaire / nicht nötig</v>
      </c>
      <c r="R269" s="541" t="str">
        <f>IF(VLOOKUP(A269,'Revitalisation-Revitalisierung'!$A$4:$Z$275,14,FALSE)="","",VLOOKUP(A269,'Revitalisation-Revitalisierung'!$A$4:$Z$275,14,FALSE))</f>
        <v>a</v>
      </c>
      <c r="S269" s="542" t="str">
        <f>IF(VLOOKUP(A269,'Revitalisation-Revitalisierung'!$A$4:$Z$275,19,FALSE)="","",VLOOKUP(A269,'Revitalisation-Revitalisierung'!$A$4:$Z$275,19,FALSE))</f>
        <v>Non nécessaire / nicht nötig</v>
      </c>
      <c r="T269" s="541" t="str">
        <f>IF(VLOOKUP(A269,'Revitalisation-Revitalisierung'!$A$4:$Z$275,20,FALSE)="","",VLOOKUP(A269,'Revitalisation-Revitalisierung'!$A$4:$Z$275,20,FALSE))</f>
        <v>d</v>
      </c>
      <c r="U269" s="542" t="str">
        <f>IF(VLOOKUP(A269,'Revitalisation-Revitalisierung'!$A$4:$Z$275,25,FALSE)="","",VLOOKUP(A269,'Revitalisation-Revitalisierung'!$A$4:$Z$275,25,FALSE))</f>
        <v>Non nécessaire / nicht nötig</v>
      </c>
      <c r="V269" s="406" t="str">
        <f>IF(VLOOKUP(A269,'Revitalisation-Revitalisierung'!$A$4:$Z$275,26,FALSE)="","",VLOOKUP(A269,'Revitalisation-Revitalisierung'!$A$4:$Z$275,26,FALSE))</f>
        <v>d</v>
      </c>
      <c r="Y269" s="529" t="str">
        <f t="shared" si="20"/>
        <v>0-20%</v>
      </c>
      <c r="Z269" s="568" t="str">
        <f t="shared" si="21"/>
        <v>b</v>
      </c>
      <c r="AA269" s="327" t="str">
        <f t="shared" si="22"/>
        <v>81-100%</v>
      </c>
      <c r="AB269" s="327" t="str">
        <f t="shared" si="23"/>
        <v>Non affecté / nicht betroffen</v>
      </c>
      <c r="AC269" s="276" t="str">
        <f t="shared" si="24"/>
        <v>Non nécessaire / nicht nötig</v>
      </c>
      <c r="AD269" s="570" t="str">
        <f t="shared" si="25"/>
        <v>d</v>
      </c>
      <c r="AE269">
        <v>1</v>
      </c>
      <c r="AF269">
        <v>1</v>
      </c>
      <c r="AG269">
        <v>1</v>
      </c>
    </row>
    <row r="270" spans="1:33" ht="16.5" customHeight="1" x14ac:dyDescent="0.25">
      <c r="A270" s="926">
        <v>362</v>
      </c>
      <c r="B270" s="400" t="s">
        <v>534</v>
      </c>
      <c r="C270" s="400" t="s">
        <v>535</v>
      </c>
      <c r="D270" s="401" t="s">
        <v>482</v>
      </c>
      <c r="E270" s="522" t="str">
        <f>IF(VLOOKUP(A270,'Charriage - Geschiebehaushalt'!$A$4:$AC$275,17,FALSE)="","",VLOOKUP(A270,'Charriage - Geschiebehaushalt'!$A$4:$AC$275,17,FALSE))</f>
        <v>Charriage présumé naturel / Geschiebehaushalt vermutlich natürlich</v>
      </c>
      <c r="F270" s="523" t="str">
        <f>IF(VLOOKUP(A270,'Charriage - Geschiebehaushalt'!$A$4:$AC$275,18,FALSE)="","",VLOOKUP(A270,'Charriage - Geschiebehaushalt'!$A$4:$AC$275,18,FALSE))</f>
        <v>b</v>
      </c>
      <c r="G270" s="524" t="str">
        <f>IF(VLOOKUP(A270,'Charriage - Geschiebehaushalt'!$A$4:$AC$275,22,FALSE)="","",VLOOKUP(A270,'Charriage - Geschiebehaushalt'!$A$4:$AC$275,22,FALSE))</f>
        <v>0-20%</v>
      </c>
      <c r="H270" s="523" t="str">
        <f>IF(VLOOKUP(A270,'Charriage - Geschiebehaushalt'!$A$4:$AC$275,23,FALSE)="","",VLOOKUP(A270,'Charriage - Geschiebehaushalt'!$A$4:$AC$275,23,FALSE))</f>
        <v>b</v>
      </c>
      <c r="I270" s="524" t="str">
        <f>IF(VLOOKUP(A270,'Charriage - Geschiebehaushalt'!$A$4:$AC$275,28,FALSE)="","",VLOOKUP(A270,'Charriage - Geschiebehaushalt'!$A$4:$AC$275,28,FALSE))</f>
        <v>0-20%</v>
      </c>
      <c r="J270" s="403" t="str">
        <f>IF(VLOOKUP(A270,'Charriage - Geschiebehaushalt'!$A$4:$AC$275,29,FALSE)="","",VLOOKUP(A270,'Charriage - Geschiebehaushalt'!$A$4:$AC$275,29,FALSE))</f>
        <v>b</v>
      </c>
      <c r="K270" s="533" t="str">
        <f>IF(VLOOKUP(A270,'Débit - Abfluss'!$A$4:$AD$275,8,FALSE)="","",VLOOKUP(A270,'Débit - Abfluss'!$A$4:$AD$275,8,FALSE))</f>
        <v>100%</v>
      </c>
      <c r="L270" s="468" t="str">
        <f>IF(VLOOKUP(A270,'Débit - Abfluss'!$A$4:$AD$275,10,FALSE)="","",VLOOKUP(A270,'Débit - Abfluss'!$A$4:$AD$275,10,FALSE))</f>
        <v>100%</v>
      </c>
      <c r="M270" s="333" t="str">
        <f>IF(VLOOKUP(A270,'Débit - Abfluss'!$A$4:$AD$275,17,FALSE)="","",VLOOKUP(A270,'Débit - Abfluss'!$A$4:$AD$275,17,FALSE))</f>
        <v>100%</v>
      </c>
      <c r="N270" s="340" t="str">
        <f>IF(VLOOKUP(A270,'Eclusée - Schwall-Sunk'!$A$2:$F$273,6,FALSE)="","",VLOOKUP(A270,'Eclusée - Schwall-Sunk'!$A$2:$F$273,6,FALSE))</f>
        <v>Non affecté / nicht betroffen</v>
      </c>
      <c r="O270" s="537"/>
      <c r="P270" s="538"/>
      <c r="Q270" s="284" t="str">
        <f>IF(VLOOKUP(A270,'Revitalisation-Revitalisierung'!$A$4:$Z$275,13,FALSE)="","",VLOOKUP(A270,'Revitalisation-Revitalisierung'!$A$4:$Z$275,13,FALSE))</f>
        <v>Non nécessaire / nicht nötig</v>
      </c>
      <c r="R270" s="541" t="str">
        <f>IF(VLOOKUP(A270,'Revitalisation-Revitalisierung'!$A$4:$Z$275,14,FALSE)="","",VLOOKUP(A270,'Revitalisation-Revitalisierung'!$A$4:$Z$275,14,FALSE))</f>
        <v>a</v>
      </c>
      <c r="S270" s="542" t="str">
        <f>IF(VLOOKUP(A270,'Revitalisation-Revitalisierung'!$A$4:$Z$275,19,FALSE)="","",VLOOKUP(A270,'Revitalisation-Revitalisierung'!$A$4:$Z$275,19,FALSE))</f>
        <v>Non nécessaire / nicht nötig</v>
      </c>
      <c r="T270" s="541" t="str">
        <f>IF(VLOOKUP(A270,'Revitalisation-Revitalisierung'!$A$4:$Z$275,20,FALSE)="","",VLOOKUP(A270,'Revitalisation-Revitalisierung'!$A$4:$Z$275,20,FALSE))</f>
        <v>d</v>
      </c>
      <c r="U270" s="542" t="str">
        <f>IF(VLOOKUP(A270,'Revitalisation-Revitalisierung'!$A$4:$Z$275,25,FALSE)="","",VLOOKUP(A270,'Revitalisation-Revitalisierung'!$A$4:$Z$275,25,FALSE))</f>
        <v>Non nécessaire / nicht nötig</v>
      </c>
      <c r="V270" s="406" t="str">
        <f>IF(VLOOKUP(A270,'Revitalisation-Revitalisierung'!$A$4:$Z$275,26,FALSE)="","",VLOOKUP(A270,'Revitalisation-Revitalisierung'!$A$4:$Z$275,26,FALSE))</f>
        <v>d</v>
      </c>
      <c r="Y270" s="529" t="str">
        <f t="shared" si="20"/>
        <v>0-20%</v>
      </c>
      <c r="Z270" s="568" t="str">
        <f t="shared" si="21"/>
        <v>b</v>
      </c>
      <c r="AA270" s="327" t="str">
        <f t="shared" si="22"/>
        <v>100%</v>
      </c>
      <c r="AB270" s="327" t="str">
        <f t="shared" si="23"/>
        <v>Non affecté / nicht betroffen</v>
      </c>
      <c r="AC270" s="276" t="str">
        <f t="shared" si="24"/>
        <v>Non nécessaire / nicht nötig</v>
      </c>
      <c r="AD270" s="570" t="str">
        <f t="shared" si="25"/>
        <v>d</v>
      </c>
      <c r="AE270">
        <v>1</v>
      </c>
      <c r="AF270">
        <v>1</v>
      </c>
      <c r="AG270">
        <v>1</v>
      </c>
    </row>
    <row r="271" spans="1:33" ht="16.5" customHeight="1" x14ac:dyDescent="0.25">
      <c r="A271" s="926">
        <v>363</v>
      </c>
      <c r="B271" s="400" t="s">
        <v>537</v>
      </c>
      <c r="C271" s="400" t="s">
        <v>538</v>
      </c>
      <c r="D271" s="401" t="s">
        <v>482</v>
      </c>
      <c r="E271" s="522" t="str">
        <f>IF(VLOOKUP(A271,'Charriage - Geschiebehaushalt'!$A$4:$AC$275,17,FALSE)="","",VLOOKUP(A271,'Charriage - Geschiebehaushalt'!$A$4:$AC$275,17,FALSE))</f>
        <v>Déficit non apparent en charriage ou en remobilisation des sédiments / kein sichtbares Defizit beim Geschiebehaushalt bzw. bei der Mobilisierung von Geschiebe</v>
      </c>
      <c r="F271" s="523" t="str">
        <f>IF(VLOOKUP(A271,'Charriage - Geschiebehaushalt'!$A$4:$AC$275,18,FALSE)="","",VLOOKUP(A271,'Charriage - Geschiebehaushalt'!$A$4:$AC$275,18,FALSE))</f>
        <v>b</v>
      </c>
      <c r="G271" s="524" t="str">
        <f>IF(VLOOKUP(A271,'Charriage - Geschiebehaushalt'!$A$4:$AC$275,22,FALSE)="","",VLOOKUP(A271,'Charriage - Geschiebehaushalt'!$A$4:$AC$275,22,FALSE))</f>
        <v>0-20%</v>
      </c>
      <c r="H271" s="523" t="str">
        <f>IF(VLOOKUP(A271,'Charriage - Geschiebehaushalt'!$A$4:$AC$275,23,FALSE)="","",VLOOKUP(A271,'Charriage - Geschiebehaushalt'!$A$4:$AC$275,23,FALSE))</f>
        <v>b</v>
      </c>
      <c r="I271" s="524" t="str">
        <f>IF(VLOOKUP(A271,'Charriage - Geschiebehaushalt'!$A$4:$AC$275,28,FALSE)="","",VLOOKUP(A271,'Charriage - Geschiebehaushalt'!$A$4:$AC$275,28,FALSE))</f>
        <v>0-20%</v>
      </c>
      <c r="J271" s="403" t="str">
        <f>IF(VLOOKUP(A271,'Charriage - Geschiebehaushalt'!$A$4:$AC$275,29,FALSE)="","",VLOOKUP(A271,'Charriage - Geschiebehaushalt'!$A$4:$AC$275,29,FALSE))</f>
        <v>b</v>
      </c>
      <c r="K271" s="533" t="str">
        <f>IF(VLOOKUP(A271,'Débit - Abfluss'!$A$4:$AD$275,8,FALSE)="","",VLOOKUP(A271,'Débit - Abfluss'!$A$4:$AD$275,8,FALSE))</f>
        <v>100%</v>
      </c>
      <c r="L271" s="468" t="str">
        <f>IF(VLOOKUP(A271,'Débit - Abfluss'!$A$4:$AD$275,10,FALSE)="","",VLOOKUP(A271,'Débit - Abfluss'!$A$4:$AD$275,10,FALSE))</f>
        <v>100%</v>
      </c>
      <c r="M271" s="333" t="str">
        <f>IF(VLOOKUP(A271,'Débit - Abfluss'!$A$4:$AD$275,17,FALSE)="","",VLOOKUP(A271,'Débit - Abfluss'!$A$4:$AD$275,17,FALSE))</f>
        <v>100%</v>
      </c>
      <c r="N271" s="340" t="str">
        <f>IF(VLOOKUP(A271,'Eclusée - Schwall-Sunk'!$A$2:$F$273,6,FALSE)="","",VLOOKUP(A271,'Eclusée - Schwall-Sunk'!$A$2:$F$273,6,FALSE))</f>
        <v>Non affecté / nicht betroffen</v>
      </c>
      <c r="O271" s="537"/>
      <c r="P271" s="538"/>
      <c r="Q271" s="284" t="str">
        <f>IF(VLOOKUP(A271,'Revitalisation-Revitalisierung'!$A$4:$Z$275,13,FALSE)="","",VLOOKUP(A271,'Revitalisation-Revitalisierung'!$A$4:$Z$275,13,FALSE))</f>
        <v>Non nécessaire / nicht nötig</v>
      </c>
      <c r="R271" s="541" t="str">
        <f>IF(VLOOKUP(A271,'Revitalisation-Revitalisierung'!$A$4:$Z$275,14,FALSE)="","",VLOOKUP(A271,'Revitalisation-Revitalisierung'!$A$4:$Z$275,14,FALSE))</f>
        <v>b</v>
      </c>
      <c r="S271" s="542" t="str">
        <f>IF(VLOOKUP(A271,'Revitalisation-Revitalisierung'!$A$4:$Z$275,19,FALSE)="","",VLOOKUP(A271,'Revitalisation-Revitalisierung'!$A$4:$Z$275,19,FALSE))</f>
        <v>Non nécessaire / nicht nötig</v>
      </c>
      <c r="T271" s="541" t="str">
        <f>IF(VLOOKUP(A271,'Revitalisation-Revitalisierung'!$A$4:$Z$275,20,FALSE)="","",VLOOKUP(A271,'Revitalisation-Revitalisierung'!$A$4:$Z$275,20,FALSE))</f>
        <v>d</v>
      </c>
      <c r="U271" s="542" t="str">
        <f>IF(VLOOKUP(A271,'Revitalisation-Revitalisierung'!$A$4:$Z$275,25,FALSE)="","",VLOOKUP(A271,'Revitalisation-Revitalisierung'!$A$4:$Z$275,25,FALSE))</f>
        <v>Non nécessaire / nicht nötig</v>
      </c>
      <c r="V271" s="406" t="str">
        <f>IF(VLOOKUP(A271,'Revitalisation-Revitalisierung'!$A$4:$Z$275,26,FALSE)="","",VLOOKUP(A271,'Revitalisation-Revitalisierung'!$A$4:$Z$275,26,FALSE))</f>
        <v>d</v>
      </c>
      <c r="Y271" s="529" t="str">
        <f t="shared" si="20"/>
        <v>0-20%</v>
      </c>
      <c r="Z271" s="568" t="str">
        <f t="shared" si="21"/>
        <v>b</v>
      </c>
      <c r="AA271" s="327" t="str">
        <f t="shared" si="22"/>
        <v>100%</v>
      </c>
      <c r="AB271" s="327" t="str">
        <f t="shared" si="23"/>
        <v>Non affecté / nicht betroffen</v>
      </c>
      <c r="AC271" s="276" t="str">
        <f t="shared" si="24"/>
        <v>Non nécessaire / nicht nötig</v>
      </c>
      <c r="AD271" s="570" t="str">
        <f t="shared" si="25"/>
        <v>d</v>
      </c>
      <c r="AE271">
        <v>1</v>
      </c>
      <c r="AF271">
        <v>1</v>
      </c>
      <c r="AG271">
        <v>1</v>
      </c>
    </row>
    <row r="272" spans="1:33" ht="16.5" customHeight="1" x14ac:dyDescent="0.25">
      <c r="A272" s="926">
        <v>364</v>
      </c>
      <c r="B272" s="400" t="s">
        <v>539</v>
      </c>
      <c r="C272" s="400" t="s">
        <v>540</v>
      </c>
      <c r="D272" s="401" t="s">
        <v>482</v>
      </c>
      <c r="E272" s="522" t="str">
        <f>IF(VLOOKUP(A272,'Charriage - Geschiebehaushalt'!$A$4:$AC$275,17,FALSE)="","",VLOOKUP(A272,'Charriage - Geschiebehaushalt'!$A$4:$AC$275,17,FALSE))</f>
        <v>La remobilisation des sédiments est perturbée / Mobilisierung von Geschiebe beeinträchtigt</v>
      </c>
      <c r="F272" s="523" t="str">
        <f>IF(VLOOKUP(A272,'Charriage - Geschiebehaushalt'!$A$4:$AC$275,18,FALSE)="","",VLOOKUP(A272,'Charriage - Geschiebehaushalt'!$A$4:$AC$275,18,FALSE))</f>
        <v>b</v>
      </c>
      <c r="G272" s="524" t="str">
        <f>IF(VLOOKUP(A272,'Charriage - Geschiebehaushalt'!$A$4:$AC$275,22,FALSE)="","",VLOOKUP(A272,'Charriage - Geschiebehaushalt'!$A$4:$AC$275,22,FALSE))</f>
        <v>0-20%</v>
      </c>
      <c r="H272" s="523" t="str">
        <f>IF(VLOOKUP(A272,'Charriage - Geschiebehaushalt'!$A$4:$AC$275,23,FALSE)="","",VLOOKUP(A272,'Charriage - Geschiebehaushalt'!$A$4:$AC$275,23,FALSE))</f>
        <v>c</v>
      </c>
      <c r="I272" s="524" t="str">
        <f>IF(VLOOKUP(A272,'Charriage - Geschiebehaushalt'!$A$4:$AC$275,28,FALSE)="","",VLOOKUP(A272,'Charriage - Geschiebehaushalt'!$A$4:$AC$275,28,FALSE))</f>
        <v>0-20%</v>
      </c>
      <c r="J272" s="403" t="str">
        <f>IF(VLOOKUP(A272,'Charriage - Geschiebehaushalt'!$A$4:$AC$275,29,FALSE)="","",VLOOKUP(A272,'Charriage - Geschiebehaushalt'!$A$4:$AC$275,29,FALSE))</f>
        <v>c</v>
      </c>
      <c r="K272" s="533" t="str">
        <f>IF(VLOOKUP(A272,'Débit - Abfluss'!$A$4:$AD$275,8,FALSE)="","",VLOOKUP(A272,'Débit - Abfluss'!$A$4:$AD$275,8,FALSE))</f>
        <v>100%</v>
      </c>
      <c r="L272" s="468" t="str">
        <f>IF(VLOOKUP(A272,'Débit - Abfluss'!$A$4:$AD$275,10,FALSE)="","",VLOOKUP(A272,'Débit - Abfluss'!$A$4:$AD$275,10,FALSE))</f>
        <v>100%</v>
      </c>
      <c r="M272" s="333" t="str">
        <f>IF(VLOOKUP(A272,'Débit - Abfluss'!$A$4:$AD$275,17,FALSE)="","",VLOOKUP(A272,'Débit - Abfluss'!$A$4:$AD$275,17,FALSE))</f>
        <v>100%</v>
      </c>
      <c r="N272" s="340" t="str">
        <f>IF(VLOOKUP(A272,'Eclusée - Schwall-Sunk'!$A$2:$F$273,6,FALSE)="","",VLOOKUP(A272,'Eclusée - Schwall-Sunk'!$A$2:$F$273,6,FALSE))</f>
        <v>Non affecté / nicht betroffen</v>
      </c>
      <c r="O272" s="537"/>
      <c r="P272" s="538"/>
      <c r="Q272" s="284" t="str">
        <f>IF(VLOOKUP(A272,'Revitalisation-Revitalisierung'!$A$4:$Z$275,13,FALSE)="","",VLOOKUP(A272,'Revitalisation-Revitalisierung'!$A$4:$Z$275,13,FALSE))</f>
        <v>Très nécessaire, facile / unbedingt nötig, einfach</v>
      </c>
      <c r="R272" s="541" t="str">
        <f>IF(VLOOKUP(A272,'Revitalisation-Revitalisierung'!$A$4:$Z$275,14,FALSE)="","",VLOOKUP(A272,'Revitalisation-Revitalisierung'!$A$4:$Z$275,14,FALSE))</f>
        <v>a</v>
      </c>
      <c r="S272" s="542" t="str">
        <f>IF(VLOOKUP(A272,'Revitalisation-Revitalisierung'!$A$4:$Z$275,19,FALSE)="","",VLOOKUP(A272,'Revitalisation-Revitalisierung'!$A$4:$Z$275,19,FALSE))</f>
        <v>Très nécessaire, facile / unbedingt nötig, einfach</v>
      </c>
      <c r="T272" s="541" t="str">
        <f>IF(VLOOKUP(A272,'Revitalisation-Revitalisierung'!$A$4:$Z$275,20,FALSE)="","",VLOOKUP(A272,'Revitalisation-Revitalisierung'!$A$4:$Z$275,20,FALSE))</f>
        <v>e</v>
      </c>
      <c r="U272" s="542" t="str">
        <f>IF(VLOOKUP(A272,'Revitalisation-Revitalisierung'!$A$4:$Z$275,25,FALSE)="","",VLOOKUP(A272,'Revitalisation-Revitalisierung'!$A$4:$Z$275,25,FALSE))</f>
        <v>Très nécessaire, difficile / unbedingt nötig, schwierig</v>
      </c>
      <c r="V272" s="406" t="str">
        <f>IF(VLOOKUP(A272,'Revitalisation-Revitalisierung'!$A$4:$Z$275,26,FALSE)="","",VLOOKUP(A272,'Revitalisation-Revitalisierung'!$A$4:$Z$275,26,FALSE))</f>
        <v>c</v>
      </c>
      <c r="Y272" s="529" t="str">
        <f t="shared" si="20"/>
        <v>0-20%</v>
      </c>
      <c r="Z272" s="568" t="str">
        <f t="shared" si="21"/>
        <v>c</v>
      </c>
      <c r="AA272" s="327" t="str">
        <f t="shared" si="22"/>
        <v>100%</v>
      </c>
      <c r="AB272" s="327" t="str">
        <f t="shared" si="23"/>
        <v>Non affecté / nicht betroffen</v>
      </c>
      <c r="AC272" s="276" t="str">
        <f t="shared" si="24"/>
        <v>Très nécessaire, difficile / unbedingt nötig, schwierig</v>
      </c>
      <c r="AD272" s="570" t="str">
        <f t="shared" si="25"/>
        <v>c</v>
      </c>
      <c r="AE272">
        <v>2</v>
      </c>
      <c r="AF272">
        <v>1</v>
      </c>
    </row>
    <row r="273" spans="1:33" ht="16.5" customHeight="1" x14ac:dyDescent="0.25">
      <c r="A273" s="926">
        <v>365</v>
      </c>
      <c r="B273" s="400" t="s">
        <v>541</v>
      </c>
      <c r="C273" s="400" t="s">
        <v>542</v>
      </c>
      <c r="D273" s="401" t="s">
        <v>482</v>
      </c>
      <c r="E273" s="522" t="str">
        <f>IF(VLOOKUP(A273,'Charriage - Geschiebehaushalt'!$A$4:$AC$275,17,FALSE)="","",VLOOKUP(A273,'Charriage - Geschiebehaushalt'!$A$4:$AC$275,17,FALSE))</f>
        <v>Charriage présumé naturel / Geschiebehaushalt vermutlich natürlich</v>
      </c>
      <c r="F273" s="523" t="str">
        <f>IF(VLOOKUP(A273,'Charriage - Geschiebehaushalt'!$A$4:$AC$275,18,FALSE)="","",VLOOKUP(A273,'Charriage - Geschiebehaushalt'!$A$4:$AC$275,18,FALSE))</f>
        <v>b</v>
      </c>
      <c r="G273" s="524" t="str">
        <f>IF(VLOOKUP(A273,'Charriage - Geschiebehaushalt'!$A$4:$AC$275,22,FALSE)="","",VLOOKUP(A273,'Charriage - Geschiebehaushalt'!$A$4:$AC$275,22,FALSE))</f>
        <v>0-20%</v>
      </c>
      <c r="H273" s="523" t="str">
        <f>IF(VLOOKUP(A273,'Charriage - Geschiebehaushalt'!$A$4:$AC$275,23,FALSE)="","",VLOOKUP(A273,'Charriage - Geschiebehaushalt'!$A$4:$AC$275,23,FALSE))</f>
        <v>b</v>
      </c>
      <c r="I273" s="524" t="str">
        <f>IF(VLOOKUP(A273,'Charriage - Geschiebehaushalt'!$A$4:$AC$275,28,FALSE)="","",VLOOKUP(A273,'Charriage - Geschiebehaushalt'!$A$4:$AC$275,28,FALSE))</f>
        <v>0-20%</v>
      </c>
      <c r="J273" s="403" t="str">
        <f>IF(VLOOKUP(A273,'Charriage - Geschiebehaushalt'!$A$4:$AC$275,29,FALSE)="","",VLOOKUP(A273,'Charriage - Geschiebehaushalt'!$A$4:$AC$275,29,FALSE))</f>
        <v>b</v>
      </c>
      <c r="K273" s="533" t="str">
        <f>IF(VLOOKUP(A273,'Débit - Abfluss'!$A$4:$AD$275,8,FALSE)="","",VLOOKUP(A273,'Débit - Abfluss'!$A$4:$AD$275,8,FALSE))</f>
        <v>100%</v>
      </c>
      <c r="L273" s="468" t="str">
        <f>IF(VLOOKUP(A273,'Débit - Abfluss'!$A$4:$AD$275,10,FALSE)="","",VLOOKUP(A273,'Débit - Abfluss'!$A$4:$AD$275,10,FALSE))</f>
        <v>100%</v>
      </c>
      <c r="M273" s="333" t="str">
        <f>IF(VLOOKUP(A273,'Débit - Abfluss'!$A$4:$AD$275,17,FALSE)="","",VLOOKUP(A273,'Débit - Abfluss'!$A$4:$AD$275,17,FALSE))</f>
        <v>100%</v>
      </c>
      <c r="N273" s="340" t="str">
        <f>IF(VLOOKUP(A273,'Eclusée - Schwall-Sunk'!$A$2:$F$273,6,FALSE)="","",VLOOKUP(A273,'Eclusée - Schwall-Sunk'!$A$2:$F$273,6,FALSE))</f>
        <v>Non affecté / nicht betroffen</v>
      </c>
      <c r="O273" s="537"/>
      <c r="P273" s="538"/>
      <c r="Q273" s="284" t="str">
        <f>IF(VLOOKUP(A273,'Revitalisation-Revitalisierung'!$A$4:$Z$275,13,FALSE)="","",VLOOKUP(A273,'Revitalisation-Revitalisierung'!$A$4:$Z$275,13,FALSE))</f>
        <v>Non nécessaire / nicht nötig</v>
      </c>
      <c r="R273" s="541" t="str">
        <f>IF(VLOOKUP(A273,'Revitalisation-Revitalisierung'!$A$4:$Z$275,14,FALSE)="","",VLOOKUP(A273,'Revitalisation-Revitalisierung'!$A$4:$Z$275,14,FALSE))</f>
        <v>a</v>
      </c>
      <c r="S273" s="542" t="str">
        <f>IF(VLOOKUP(A273,'Revitalisation-Revitalisierung'!$A$4:$Z$275,19,FALSE)="","",VLOOKUP(A273,'Revitalisation-Revitalisierung'!$A$4:$Z$275,19,FALSE))</f>
        <v>Non nécessaire / nicht nötig</v>
      </c>
      <c r="T273" s="541" t="str">
        <f>IF(VLOOKUP(A273,'Revitalisation-Revitalisierung'!$A$4:$Z$275,20,FALSE)="","",VLOOKUP(A273,'Revitalisation-Revitalisierung'!$A$4:$Z$275,20,FALSE))</f>
        <v>d</v>
      </c>
      <c r="U273" s="542" t="str">
        <f>IF(VLOOKUP(A273,'Revitalisation-Revitalisierung'!$A$4:$Z$275,25,FALSE)="","",VLOOKUP(A273,'Revitalisation-Revitalisierung'!$A$4:$Z$275,25,FALSE))</f>
        <v>Non nécessaire / nicht nötig</v>
      </c>
      <c r="V273" s="406" t="str">
        <f>IF(VLOOKUP(A273,'Revitalisation-Revitalisierung'!$A$4:$Z$275,26,FALSE)="","",VLOOKUP(A273,'Revitalisation-Revitalisierung'!$A$4:$Z$275,26,FALSE))</f>
        <v>d</v>
      </c>
      <c r="Y273" s="529" t="str">
        <f t="shared" si="20"/>
        <v>0-20%</v>
      </c>
      <c r="Z273" s="568" t="str">
        <f t="shared" si="21"/>
        <v>b</v>
      </c>
      <c r="AA273" s="327" t="str">
        <f t="shared" si="22"/>
        <v>100%</v>
      </c>
      <c r="AB273" s="327" t="str">
        <f t="shared" si="23"/>
        <v>Non affecté / nicht betroffen</v>
      </c>
      <c r="AC273" s="276" t="str">
        <f t="shared" si="24"/>
        <v>Non nécessaire / nicht nötig</v>
      </c>
      <c r="AD273" s="570" t="str">
        <f t="shared" si="25"/>
        <v>d</v>
      </c>
      <c r="AE273">
        <v>1</v>
      </c>
      <c r="AF273">
        <v>1</v>
      </c>
      <c r="AG273">
        <v>1</v>
      </c>
    </row>
    <row r="274" spans="1:33" ht="16.5" customHeight="1" x14ac:dyDescent="0.25">
      <c r="A274" s="926">
        <v>366</v>
      </c>
      <c r="B274" s="400" t="s">
        <v>543</v>
      </c>
      <c r="C274" s="400" t="s">
        <v>544</v>
      </c>
      <c r="D274" s="401" t="s">
        <v>482</v>
      </c>
      <c r="E274" s="522" t="str">
        <f>IF(VLOOKUP(A274,'Charriage - Geschiebehaushalt'!$A$4:$AC$275,17,FALSE)="","",VLOOKUP(A274,'Charriage - Geschiebehaushalt'!$A$4:$AC$275,17,FALSE))</f>
        <v>Charriage présumé naturel / Geschiebehaushalt vermutlich natürlich</v>
      </c>
      <c r="F274" s="523" t="str">
        <f>IF(VLOOKUP(A274,'Charriage - Geschiebehaushalt'!$A$4:$AC$275,18,FALSE)="","",VLOOKUP(A274,'Charriage - Geschiebehaushalt'!$A$4:$AC$275,18,FALSE))</f>
        <v>b</v>
      </c>
      <c r="G274" s="524" t="str">
        <f>IF(VLOOKUP(A274,'Charriage - Geschiebehaushalt'!$A$4:$AC$275,22,FALSE)="","",VLOOKUP(A274,'Charriage - Geschiebehaushalt'!$A$4:$AC$275,22,FALSE))</f>
        <v>0-20%</v>
      </c>
      <c r="H274" s="523" t="str">
        <f>IF(VLOOKUP(A274,'Charriage - Geschiebehaushalt'!$A$4:$AC$275,23,FALSE)="","",VLOOKUP(A274,'Charriage - Geschiebehaushalt'!$A$4:$AC$275,23,FALSE))</f>
        <v>b</v>
      </c>
      <c r="I274" s="524" t="str">
        <f>IF(VLOOKUP(A274,'Charriage - Geschiebehaushalt'!$A$4:$AC$275,28,FALSE)="","",VLOOKUP(A274,'Charriage - Geschiebehaushalt'!$A$4:$AC$275,28,FALSE))</f>
        <v>0-20%</v>
      </c>
      <c r="J274" s="403" t="str">
        <f>IF(VLOOKUP(A274,'Charriage - Geschiebehaushalt'!$A$4:$AC$275,29,FALSE)="","",VLOOKUP(A274,'Charriage - Geschiebehaushalt'!$A$4:$AC$275,29,FALSE))</f>
        <v>b</v>
      </c>
      <c r="K274" s="533" t="str">
        <f>IF(VLOOKUP(A274,'Débit - Abfluss'!$A$4:$AD$275,8,FALSE)="","",VLOOKUP(A274,'Débit - Abfluss'!$A$4:$AD$275,8,FALSE))</f>
        <v>100%</v>
      </c>
      <c r="L274" s="468" t="str">
        <f>IF(VLOOKUP(A274,'Débit - Abfluss'!$A$4:$AD$275,10,FALSE)="","",VLOOKUP(A274,'Débit - Abfluss'!$A$4:$AD$275,10,FALSE))</f>
        <v>100%</v>
      </c>
      <c r="M274" s="333" t="str">
        <f>IF(VLOOKUP(A274,'Débit - Abfluss'!$A$4:$AD$275,17,FALSE)="","",VLOOKUP(A274,'Débit - Abfluss'!$A$4:$AD$275,17,FALSE))</f>
        <v>100%</v>
      </c>
      <c r="N274" s="340" t="str">
        <f>IF(VLOOKUP(A274,'Eclusée - Schwall-Sunk'!$A$2:$F$273,6,FALSE)="","",VLOOKUP(A274,'Eclusée - Schwall-Sunk'!$A$2:$F$273,6,FALSE))</f>
        <v>Non affecté / nicht betroffen</v>
      </c>
      <c r="O274" s="537"/>
      <c r="P274" s="538"/>
      <c r="Q274" s="284" t="str">
        <f>IF(VLOOKUP(A274,'Revitalisation-Revitalisierung'!$A$4:$Z$275,13,FALSE)="","",VLOOKUP(A274,'Revitalisation-Revitalisierung'!$A$4:$Z$275,13,FALSE))</f>
        <v>Non nécessaire / nicht nötig</v>
      </c>
      <c r="R274" s="541" t="str">
        <f>IF(VLOOKUP(A274,'Revitalisation-Revitalisierung'!$A$4:$Z$275,14,FALSE)="","",VLOOKUP(A274,'Revitalisation-Revitalisierung'!$A$4:$Z$275,14,FALSE))</f>
        <v>a</v>
      </c>
      <c r="S274" s="542" t="str">
        <f>IF(VLOOKUP(A274,'Revitalisation-Revitalisierung'!$A$4:$Z$275,19,FALSE)="","",VLOOKUP(A274,'Revitalisation-Revitalisierung'!$A$4:$Z$275,19,FALSE))</f>
        <v>Non nécessaire / nicht nötig</v>
      </c>
      <c r="T274" s="541" t="str">
        <f>IF(VLOOKUP(A274,'Revitalisation-Revitalisierung'!$A$4:$Z$275,20,FALSE)="","",VLOOKUP(A274,'Revitalisation-Revitalisierung'!$A$4:$Z$275,20,FALSE))</f>
        <v>d</v>
      </c>
      <c r="U274" s="542" t="str">
        <f>IF(VLOOKUP(A274,'Revitalisation-Revitalisierung'!$A$4:$Z$275,25,FALSE)="","",VLOOKUP(A274,'Revitalisation-Revitalisierung'!$A$4:$Z$275,25,FALSE))</f>
        <v>Non nécessaire / nicht nötig</v>
      </c>
      <c r="V274" s="406" t="str">
        <f>IF(VLOOKUP(A274,'Revitalisation-Revitalisierung'!$A$4:$Z$275,26,FALSE)="","",VLOOKUP(A274,'Revitalisation-Revitalisierung'!$A$4:$Z$275,26,FALSE))</f>
        <v>d</v>
      </c>
      <c r="Y274" s="529" t="str">
        <f t="shared" si="20"/>
        <v>0-20%</v>
      </c>
      <c r="Z274" s="568" t="str">
        <f t="shared" si="21"/>
        <v>b</v>
      </c>
      <c r="AA274" s="327" t="str">
        <f t="shared" si="22"/>
        <v>100%</v>
      </c>
      <c r="AB274" s="327" t="str">
        <f t="shared" si="23"/>
        <v>Non affecté / nicht betroffen</v>
      </c>
      <c r="AC274" s="276" t="str">
        <f t="shared" si="24"/>
        <v>Non nécessaire / nicht nötig</v>
      </c>
      <c r="AD274" s="570" t="str">
        <f t="shared" si="25"/>
        <v>d</v>
      </c>
      <c r="AE274">
        <v>1</v>
      </c>
      <c r="AF274">
        <v>1</v>
      </c>
      <c r="AG274">
        <v>1</v>
      </c>
    </row>
    <row r="275" spans="1:33" ht="16.5" customHeight="1" x14ac:dyDescent="0.25">
      <c r="A275" s="926">
        <v>367</v>
      </c>
      <c r="B275" s="400" t="s">
        <v>545</v>
      </c>
      <c r="C275" s="400" t="s">
        <v>546</v>
      </c>
      <c r="D275" s="401" t="s">
        <v>482</v>
      </c>
      <c r="E275" s="522" t="str">
        <f>IF(VLOOKUP(A275,'Charriage - Geschiebehaushalt'!$A$4:$AC$275,17,FALSE)="","",VLOOKUP(A275,'Charriage - Geschiebehaushalt'!$A$4:$AC$275,17,FALSE))</f>
        <v>La remobilisation des sédiments est perturbée / Mobilisierung von Geschiebe beeinträchtigt</v>
      </c>
      <c r="F275" s="523" t="str">
        <f>IF(VLOOKUP(A275,'Charriage - Geschiebehaushalt'!$A$4:$AC$275,18,FALSE)="","",VLOOKUP(A275,'Charriage - Geschiebehaushalt'!$A$4:$AC$275,18,FALSE))</f>
        <v>b</v>
      </c>
      <c r="G275" s="524" t="str">
        <f>IF(VLOOKUP(A275,'Charriage - Geschiebehaushalt'!$A$4:$AC$275,22,FALSE)="","",VLOOKUP(A275,'Charriage - Geschiebehaushalt'!$A$4:$AC$275,22,FALSE))</f>
        <v>21-50%</v>
      </c>
      <c r="H275" s="523" t="str">
        <f>IF(VLOOKUP(A275,'Charriage - Geschiebehaushalt'!$A$4:$AC$275,23,FALSE)="","",VLOOKUP(A275,'Charriage - Geschiebehaushalt'!$A$4:$AC$275,23,FALSE))</f>
        <v>b</v>
      </c>
      <c r="I275" s="524" t="str">
        <f>IF(VLOOKUP(A275,'Charriage - Geschiebehaushalt'!$A$4:$AC$275,28,FALSE)="","",VLOOKUP(A275,'Charriage - Geschiebehaushalt'!$A$4:$AC$275,28,FALSE))</f>
        <v>21-50%</v>
      </c>
      <c r="J275" s="403" t="str">
        <f>IF(VLOOKUP(A275,'Charriage - Geschiebehaushalt'!$A$4:$AC$275,29,FALSE)="","",VLOOKUP(A275,'Charriage - Geschiebehaushalt'!$A$4:$AC$275,29,FALSE))</f>
        <v>b</v>
      </c>
      <c r="K275" s="533" t="str">
        <f>IF(VLOOKUP(A275,'Débit - Abfluss'!$A$4:$AD$275,8,FALSE)="","",VLOOKUP(A275,'Débit - Abfluss'!$A$4:$AD$275,8,FALSE))</f>
        <v>100%</v>
      </c>
      <c r="L275" s="468" t="str">
        <f>IF(VLOOKUP(A275,'Débit - Abfluss'!$A$4:$AD$275,10,FALSE)="","",VLOOKUP(A275,'Débit - Abfluss'!$A$4:$AD$275,10,FALSE))</f>
        <v>100%</v>
      </c>
      <c r="M275" s="333" t="str">
        <f>IF(VLOOKUP(A275,'Débit - Abfluss'!$A$4:$AD$275,17,FALSE)="","",VLOOKUP(A275,'Débit - Abfluss'!$A$4:$AD$275,17,FALSE))</f>
        <v>100%</v>
      </c>
      <c r="N275" s="340" t="str">
        <f>IF(VLOOKUP(A275,'Eclusée - Schwall-Sunk'!$A$2:$F$273,6,FALSE)="","",VLOOKUP(A275,'Eclusée - Schwall-Sunk'!$A$2:$F$273,6,FALSE))</f>
        <v>Non affecté / nicht betroffen</v>
      </c>
      <c r="O275" s="537"/>
      <c r="P275" s="538"/>
      <c r="Q275" s="284" t="str">
        <f>IF(VLOOKUP(A275,'Revitalisation-Revitalisierung'!$A$4:$Z$275,13,FALSE)="","",VLOOKUP(A275,'Revitalisation-Revitalisierung'!$A$4:$Z$275,13,FALSE))</f>
        <v>Très nécessaire, facile / unbedingt nötig, einfach</v>
      </c>
      <c r="R275" s="541" t="str">
        <f>IF(VLOOKUP(A275,'Revitalisation-Revitalisierung'!$A$4:$Z$275,14,FALSE)="","",VLOOKUP(A275,'Revitalisation-Revitalisierung'!$A$4:$Z$275,14,FALSE))</f>
        <v>b</v>
      </c>
      <c r="S275" s="542" t="str">
        <f>IF(VLOOKUP(A275,'Revitalisation-Revitalisierung'!$A$4:$Z$275,19,FALSE)="","",VLOOKUP(A275,'Revitalisation-Revitalisierung'!$A$4:$Z$275,19,FALSE))</f>
        <v>Très nécessaire, facile / unbedingt nötig, einfach</v>
      </c>
      <c r="T275" s="541" t="str">
        <f>IF(VLOOKUP(A275,'Revitalisation-Revitalisierung'!$A$4:$Z$275,20,FALSE)="","",VLOOKUP(A275,'Revitalisation-Revitalisierung'!$A$4:$Z$275,20,FALSE))</f>
        <v>d</v>
      </c>
      <c r="U275" s="542" t="str">
        <f>IF(VLOOKUP(A275,'Revitalisation-Revitalisierung'!$A$4:$Z$275,25,FALSE)="","",VLOOKUP(A275,'Revitalisation-Revitalisierung'!$A$4:$Z$275,25,FALSE))</f>
        <v>Très nécessaire, facile / unbedingt nötig, einfach</v>
      </c>
      <c r="V275" s="406" t="str">
        <f>IF(VLOOKUP(A275,'Revitalisation-Revitalisierung'!$A$4:$Z$275,26,FALSE)="","",VLOOKUP(A275,'Revitalisation-Revitalisierung'!$A$4:$Z$275,26,FALSE))</f>
        <v>d</v>
      </c>
      <c r="Y275" s="529" t="str">
        <f t="shared" si="20"/>
        <v>21-50%</v>
      </c>
      <c r="Z275" s="568" t="str">
        <f t="shared" si="21"/>
        <v>b</v>
      </c>
      <c r="AA275" s="327" t="str">
        <f t="shared" si="22"/>
        <v>100%</v>
      </c>
      <c r="AB275" s="327" t="str">
        <f t="shared" si="23"/>
        <v>Non affecté / nicht betroffen</v>
      </c>
      <c r="AC275" s="276" t="str">
        <f t="shared" si="24"/>
        <v>Très nécessaire, facile / unbedingt nötig, einfach</v>
      </c>
      <c r="AD275" s="570" t="str">
        <f t="shared" si="25"/>
        <v>d</v>
      </c>
      <c r="AE275">
        <v>2</v>
      </c>
      <c r="AF275">
        <v>1</v>
      </c>
    </row>
    <row r="276" spans="1:33" ht="16.5" customHeight="1" x14ac:dyDescent="0.25">
      <c r="A276" s="930">
        <v>368</v>
      </c>
      <c r="B276" s="400" t="s">
        <v>547</v>
      </c>
      <c r="C276" s="400" t="s">
        <v>548</v>
      </c>
      <c r="D276" s="401" t="s">
        <v>482</v>
      </c>
      <c r="E276" s="522" t="str">
        <f>IF(VLOOKUP(A276,'Charriage - Geschiebehaushalt'!$A$4:$AC$275,17,FALSE)="","",VLOOKUP(A276,'Charriage - Geschiebehaushalt'!$A$4:$AC$275,17,FALSE))</f>
        <v>Charriage présumé naturel / Geschiebehaushalt vermutlich natürlich</v>
      </c>
      <c r="F276" s="523" t="str">
        <f>IF(VLOOKUP(A276,'Charriage - Geschiebehaushalt'!$A$4:$AC$275,18,FALSE)="","",VLOOKUP(A276,'Charriage - Geschiebehaushalt'!$A$4:$AC$275,18,FALSE))</f>
        <v>b</v>
      </c>
      <c r="G276" s="524" t="str">
        <f>IF(VLOOKUP(A276,'Charriage - Geschiebehaushalt'!$A$4:$AC$275,22,FALSE)="","",VLOOKUP(A276,'Charriage - Geschiebehaushalt'!$A$4:$AC$275,22,FALSE))</f>
        <v>0-20%</v>
      </c>
      <c r="H276" s="523" t="str">
        <f>IF(VLOOKUP(A276,'Charriage - Geschiebehaushalt'!$A$4:$AC$275,23,FALSE)="","",VLOOKUP(A276,'Charriage - Geschiebehaushalt'!$A$4:$AC$275,23,FALSE))</f>
        <v>b</v>
      </c>
      <c r="I276" s="524" t="str">
        <f>IF(VLOOKUP(A276,'Charriage - Geschiebehaushalt'!$A$4:$AC$275,28,FALSE)="","",VLOOKUP(A276,'Charriage - Geschiebehaushalt'!$A$4:$AC$275,28,FALSE))</f>
        <v>0-20%</v>
      </c>
      <c r="J276" s="403" t="str">
        <f>IF(VLOOKUP(A276,'Charriage - Geschiebehaushalt'!$A$4:$AC$275,29,FALSE)="","",VLOOKUP(A276,'Charriage - Geschiebehaushalt'!$A$4:$AC$275,29,FALSE))</f>
        <v>b</v>
      </c>
      <c r="K276" s="533" t="str">
        <f>IF(VLOOKUP(A276,'Débit - Abfluss'!$A$4:$AD$275,8,FALSE)="","",VLOOKUP(A276,'Débit - Abfluss'!$A$4:$AD$275,8,FALSE))</f>
        <v>Régime présumé naturel (100%) / Abfluss vermutlich natürlich</v>
      </c>
      <c r="L276" s="468" t="str">
        <f>IF(VLOOKUP(A276,'Débit - Abfluss'!$A$4:$AD$275,10,FALSE)="","",VLOOKUP(A276,'Débit - Abfluss'!$A$4:$AD$275,10,FALSE))</f>
        <v>Régime présumé naturel (100%) / Abfluss vermutlich natürlich</v>
      </c>
      <c r="M276" s="333" t="str">
        <f>IF(VLOOKUP(A276,'Débit - Abfluss'!$A$4:$AD$275,17,FALSE)="","",VLOOKUP(A276,'Débit - Abfluss'!$A$4:$AD$275,17,FALSE))</f>
        <v>Régime présumé naturel (100%) / Abfluss vermutlich natürlich</v>
      </c>
      <c r="N276" s="340" t="str">
        <f>IF(VLOOKUP(A276,'Eclusée - Schwall-Sunk'!$A$2:$F$273,6,FALSE)="","",VLOOKUP(A276,'Eclusée - Schwall-Sunk'!$A$2:$F$273,6,FALSE))</f>
        <v>Non affecté / nicht betroffen</v>
      </c>
      <c r="O276" s="537"/>
      <c r="P276" s="538"/>
      <c r="Q276" s="284" t="str">
        <f>IF(VLOOKUP(A276,'Revitalisation-Revitalisierung'!$A$4:$Z$275,13,FALSE)="","",VLOOKUP(A276,'Revitalisation-Revitalisierung'!$A$4:$Z$275,13,FALSE))</f>
        <v>Très nécessaire, facile / unbedingt nötig, einfach</v>
      </c>
      <c r="R276" s="541" t="str">
        <f>IF(VLOOKUP(A276,'Revitalisation-Revitalisierung'!$A$4:$Z$275,14,FALSE)="","",VLOOKUP(A276,'Revitalisation-Revitalisierung'!$A$4:$Z$275,14,FALSE))</f>
        <v>a</v>
      </c>
      <c r="S276" s="542" t="str">
        <f>IF(VLOOKUP(A276,'Revitalisation-Revitalisierung'!$A$4:$Z$275,19,FALSE)="","",VLOOKUP(A276,'Revitalisation-Revitalisierung'!$A$4:$Z$275,19,FALSE))</f>
        <v>Très nécessaire, facile / unbedingt nötig, einfach</v>
      </c>
      <c r="T276" s="541" t="str">
        <f>IF(VLOOKUP(A276,'Revitalisation-Revitalisierung'!$A$4:$Z$275,20,FALSE)="","",VLOOKUP(A276,'Revitalisation-Revitalisierung'!$A$4:$Z$275,20,FALSE))</f>
        <v>a</v>
      </c>
      <c r="U276" s="542" t="str">
        <f>IF(VLOOKUP(A276,'Revitalisation-Revitalisierung'!$A$4:$Z$275,25,FALSE)="","",VLOOKUP(A276,'Revitalisation-Revitalisierung'!$A$4:$Z$275,25,FALSE))</f>
        <v>Très nécessaire, facile / unbedingt nötig, einfach</v>
      </c>
      <c r="V276" s="406" t="str">
        <f>IF(VLOOKUP(A276,'Revitalisation-Revitalisierung'!$A$4:$Z$275,26,FALSE)="","",VLOOKUP(A276,'Revitalisation-Revitalisierung'!$A$4:$Z$275,26,FALSE))</f>
        <v>d</v>
      </c>
      <c r="Y276" s="529" t="str">
        <f t="shared" si="20"/>
        <v>0-20%</v>
      </c>
      <c r="Z276" s="568" t="str">
        <f t="shared" si="21"/>
        <v>b</v>
      </c>
      <c r="AA276" s="327" t="str">
        <f t="shared" si="22"/>
        <v>Régime présumé naturel (100%) / Abfluss vermutlich natürlich</v>
      </c>
      <c r="AB276" s="327" t="str">
        <f t="shared" si="23"/>
        <v>Non affecté / nicht betroffen</v>
      </c>
      <c r="AC276" s="276" t="str">
        <f t="shared" si="24"/>
        <v>Très nécessaire, facile / unbedingt nötig, einfach</v>
      </c>
      <c r="AD276" s="570" t="str">
        <f t="shared" si="25"/>
        <v>d</v>
      </c>
      <c r="AE276">
        <v>2</v>
      </c>
      <c r="AF276">
        <v>1</v>
      </c>
    </row>
    <row r="277" spans="1:33" ht="16.5" customHeight="1" x14ac:dyDescent="0.25">
      <c r="A277" s="926">
        <v>369</v>
      </c>
      <c r="B277" s="400" t="s">
        <v>424</v>
      </c>
      <c r="C277" s="400" t="s">
        <v>425</v>
      </c>
      <c r="D277" s="401" t="s">
        <v>410</v>
      </c>
      <c r="E277" s="522" t="str">
        <f>IF(VLOOKUP(A277,'Charriage - Geschiebehaushalt'!$A$4:$AC$275,17,FALSE)="","",VLOOKUP(A277,'Charriage - Geschiebehaushalt'!$A$4:$AC$275,17,FALSE))</f>
        <v>Charriage présumé naturel / Geschiebehaushalt vermutlich natürlich</v>
      </c>
      <c r="F277" s="523" t="str">
        <f>IF(VLOOKUP(A277,'Charriage - Geschiebehaushalt'!$A$4:$AC$275,18,FALSE)="","",VLOOKUP(A277,'Charriage - Geschiebehaushalt'!$A$4:$AC$275,18,FALSE))</f>
        <v>b</v>
      </c>
      <c r="G277" s="524" t="str">
        <f>IF(VLOOKUP(A277,'Charriage - Geschiebehaushalt'!$A$4:$AC$275,22,FALSE)="","",VLOOKUP(A277,'Charriage - Geschiebehaushalt'!$A$4:$AC$275,22,FALSE))</f>
        <v>0-20%</v>
      </c>
      <c r="H277" s="523" t="str">
        <f>IF(VLOOKUP(A277,'Charriage - Geschiebehaushalt'!$A$4:$AC$275,23,FALSE)="","",VLOOKUP(A277,'Charriage - Geschiebehaushalt'!$A$4:$AC$275,23,FALSE))</f>
        <v>b</v>
      </c>
      <c r="I277" s="524" t="str">
        <f>IF(VLOOKUP(A277,'Charriage - Geschiebehaushalt'!$A$4:$AC$275,28,FALSE)="","",VLOOKUP(A277,'Charriage - Geschiebehaushalt'!$A$4:$AC$275,28,FALSE))</f>
        <v>0-20%</v>
      </c>
      <c r="J277" s="403" t="str">
        <f>IF(VLOOKUP(A277,'Charriage - Geschiebehaushalt'!$A$4:$AC$275,29,FALSE)="","",VLOOKUP(A277,'Charriage - Geschiebehaushalt'!$A$4:$AC$275,29,FALSE))</f>
        <v>b</v>
      </c>
      <c r="K277" s="533" t="str">
        <f>IF(VLOOKUP(A277,'Débit - Abfluss'!$A$4:$AD$275,8,FALSE)="","",VLOOKUP(A277,'Débit - Abfluss'!$A$4:$AD$275,8,FALSE))</f>
        <v>41-60%</v>
      </c>
      <c r="L277" s="468" t="str">
        <f>IF(VLOOKUP(A277,'Débit - Abfluss'!$A$4:$AD$275,10,FALSE)="","",VLOOKUP(A277,'Débit - Abfluss'!$A$4:$AD$275,10,FALSE))</f>
        <v>41-60%</v>
      </c>
      <c r="M277" s="333" t="str">
        <f>IF(VLOOKUP(A277,'Débit - Abfluss'!$A$4:$AD$275,17,FALSE)="","",VLOOKUP(A277,'Débit - Abfluss'!$A$4:$AD$275,17,FALSE))</f>
        <v>0-20%</v>
      </c>
      <c r="N277" s="340" t="str">
        <f>IF(VLOOKUP(A277,'Eclusée - Schwall-Sunk'!$A$2:$F$273,6,FALSE)="","",VLOOKUP(A277,'Eclusée - Schwall-Sunk'!$A$2:$F$273,6,FALSE))</f>
        <v>Non affecté / nicht betroffen</v>
      </c>
      <c r="O277" s="537"/>
      <c r="P277" s="538"/>
      <c r="Q277" s="284" t="str">
        <f>IF(VLOOKUP(A277,'Revitalisation-Revitalisierung'!$A$4:$Z$275,13,FALSE)="","",VLOOKUP(A277,'Revitalisation-Revitalisierung'!$A$4:$Z$275,13,FALSE))</f>
        <v>Partiellement nécessaire, difficile / teilweise nötig, schwierig</v>
      </c>
      <c r="R277" s="541" t="str">
        <f>IF(VLOOKUP(A277,'Revitalisation-Revitalisierung'!$A$4:$Z$275,14,FALSE)="","",VLOOKUP(A277,'Revitalisation-Revitalisierung'!$A$4:$Z$275,14,FALSE))</f>
        <v>b</v>
      </c>
      <c r="S277" s="542" t="str">
        <f>IF(VLOOKUP(A277,'Revitalisation-Revitalisierung'!$A$4:$Z$275,19,FALSE)="","",VLOOKUP(A277,'Revitalisation-Revitalisierung'!$A$4:$Z$275,19,FALSE))</f>
        <v>Partiellement nécessaire, difficile / teilweise nötig, schwierig</v>
      </c>
      <c r="T277" s="541" t="str">
        <f>IF(VLOOKUP(A277,'Revitalisation-Revitalisierung'!$A$4:$Z$275,20,FALSE)="","",VLOOKUP(A277,'Revitalisation-Revitalisierung'!$A$4:$Z$275,20,FALSE))</f>
        <v>d</v>
      </c>
      <c r="U277" s="542" t="str">
        <f>IF(VLOOKUP(A277,'Revitalisation-Revitalisierung'!$A$4:$Z$275,25,FALSE)="","",VLOOKUP(A277,'Revitalisation-Revitalisierung'!$A$4:$Z$275,25,FALSE))</f>
        <v>Partiellement nécessaire, difficile / teilweise nötig, schwierig</v>
      </c>
      <c r="V277" s="406" t="str">
        <f>IF(VLOOKUP(A277,'Revitalisation-Revitalisierung'!$A$4:$Z$275,26,FALSE)="","",VLOOKUP(A277,'Revitalisation-Revitalisierung'!$A$4:$Z$275,26,FALSE))</f>
        <v>d</v>
      </c>
      <c r="Y277" s="529" t="str">
        <f t="shared" si="20"/>
        <v>0-20%</v>
      </c>
      <c r="Z277" s="568" t="str">
        <f t="shared" si="21"/>
        <v>b</v>
      </c>
      <c r="AA277" s="327" t="str">
        <f t="shared" si="22"/>
        <v>0-20%</v>
      </c>
      <c r="AB277" s="327" t="str">
        <f t="shared" si="23"/>
        <v>Non affecté / nicht betroffen</v>
      </c>
      <c r="AC277" s="276" t="str">
        <f t="shared" si="24"/>
        <v>Partiellement nécessaire, difficile / teilweise nötig, schwierig</v>
      </c>
      <c r="AD277" s="570" t="str">
        <f t="shared" si="25"/>
        <v>d</v>
      </c>
      <c r="AE277" t="s">
        <v>1903</v>
      </c>
      <c r="AF277">
        <v>1</v>
      </c>
    </row>
    <row r="278" spans="1:33" ht="16.5" customHeight="1" x14ac:dyDescent="0.25">
      <c r="A278" s="926">
        <v>371</v>
      </c>
      <c r="B278" s="400" t="s">
        <v>90</v>
      </c>
      <c r="C278" s="400" t="s">
        <v>91</v>
      </c>
      <c r="D278" s="401" t="s">
        <v>89</v>
      </c>
      <c r="E278" s="522" t="str">
        <f>IF(VLOOKUP(A278,'Charriage - Geschiebehaushalt'!$A$4:$AC$275,17,FALSE)="","",VLOOKUP(A278,'Charriage - Geschiebehaushalt'!$A$4:$AC$275,17,FALSE))</f>
        <v>0-20%</v>
      </c>
      <c r="F278" s="523" t="str">
        <f>IF(VLOOKUP(A278,'Charriage - Geschiebehaushalt'!$A$4:$AC$275,18,FALSE)="","",VLOOKUP(A278,'Charriage - Geschiebehaushalt'!$A$4:$AC$275,18,FALSE))</f>
        <v>a</v>
      </c>
      <c r="G278" s="524" t="str">
        <f>IF(VLOOKUP(A278,'Charriage - Geschiebehaushalt'!$A$4:$AC$275,22,FALSE)="","",VLOOKUP(A278,'Charriage - Geschiebehaushalt'!$A$4:$AC$275,22,FALSE))</f>
        <v>0-20%</v>
      </c>
      <c r="H278" s="523" t="str">
        <f>IF(VLOOKUP(A278,'Charriage - Geschiebehaushalt'!$A$4:$AC$275,23,FALSE)="","",VLOOKUP(A278,'Charriage - Geschiebehaushalt'!$A$4:$AC$275,23,FALSE))</f>
        <v>a</v>
      </c>
      <c r="I278" s="524" t="str">
        <f>IF(VLOOKUP(A278,'Charriage - Geschiebehaushalt'!$A$4:$AC$275,28,FALSE)="","",VLOOKUP(A278,'Charriage - Geschiebehaushalt'!$A$4:$AC$275,28,FALSE))</f>
        <v>0-20%</v>
      </c>
      <c r="J278" s="403" t="str">
        <f>IF(VLOOKUP(A278,'Charriage - Geschiebehaushalt'!$A$4:$AC$275,29,FALSE)="","",VLOOKUP(A278,'Charriage - Geschiebehaushalt'!$A$4:$AC$275,29,FALSE))</f>
        <v>a</v>
      </c>
      <c r="K278" s="533" t="str">
        <f>IF(VLOOKUP(A278,'Débit - Abfluss'!$A$4:$AD$275,8,FALSE)="","",VLOOKUP(A278,'Débit - Abfluss'!$A$4:$AD$275,8,FALSE))</f>
        <v>100%</v>
      </c>
      <c r="L278" s="468" t="str">
        <f>IF(VLOOKUP(A278,'Débit - Abfluss'!$A$4:$AD$275,10,FALSE)="","",VLOOKUP(A278,'Débit - Abfluss'!$A$4:$AD$275,10,FALSE))</f>
        <v>100%</v>
      </c>
      <c r="M278" s="333" t="str">
        <f>IF(VLOOKUP(A278,'Débit - Abfluss'!$A$4:$AD$275,17,FALSE)="","",VLOOKUP(A278,'Débit - Abfluss'!$A$4:$AD$275,17,FALSE))</f>
        <v>100%</v>
      </c>
      <c r="N278" s="340" t="str">
        <f>IF(VLOOKUP(A278,'Eclusée - Schwall-Sunk'!$A$2:$F$273,6,FALSE)="","",VLOOKUP(A278,'Eclusée - Schwall-Sunk'!$A$2:$F$273,6,FALSE))</f>
        <v>Non affecté / nicht betroffen</v>
      </c>
      <c r="O278" s="537"/>
      <c r="P278" s="538"/>
      <c r="Q278" s="284" t="str">
        <f>IF(VLOOKUP(A278,'Revitalisation-Revitalisierung'!$A$4:$Z$275,13,FALSE)="","",VLOOKUP(A278,'Revitalisation-Revitalisierung'!$A$4:$Z$275,13,FALSE))</f>
        <v>Non nécessaire / nicht nötig</v>
      </c>
      <c r="R278" s="541" t="str">
        <f>IF(VLOOKUP(A278,'Revitalisation-Revitalisierung'!$A$4:$Z$275,14,FALSE)="","",VLOOKUP(A278,'Revitalisation-Revitalisierung'!$A$4:$Z$275,14,FALSE))</f>
        <v>a</v>
      </c>
      <c r="S278" s="542" t="str">
        <f>IF(VLOOKUP(A278,'Revitalisation-Revitalisierung'!$A$4:$Z$275,19,FALSE)="","",VLOOKUP(A278,'Revitalisation-Revitalisierung'!$A$4:$Z$275,19,FALSE))</f>
        <v>Non nécessaire / nicht nötig</v>
      </c>
      <c r="T278" s="541" t="str">
        <f>IF(VLOOKUP(A278,'Revitalisation-Revitalisierung'!$A$4:$Z$275,20,FALSE)="","",VLOOKUP(A278,'Revitalisation-Revitalisierung'!$A$4:$Z$275,20,FALSE))</f>
        <v>d</v>
      </c>
      <c r="U278" s="542" t="str">
        <f>IF(VLOOKUP(A278,'Revitalisation-Revitalisierung'!$A$4:$Z$275,25,FALSE)="","",VLOOKUP(A278,'Revitalisation-Revitalisierung'!$A$4:$Z$275,25,FALSE))</f>
        <v>Non nécessaire / nicht nötig</v>
      </c>
      <c r="V278" s="406" t="str">
        <f>IF(VLOOKUP(A278,'Revitalisation-Revitalisierung'!$A$4:$Z$275,26,FALSE)="","",VLOOKUP(A278,'Revitalisation-Revitalisierung'!$A$4:$Z$275,26,FALSE))</f>
        <v>d</v>
      </c>
      <c r="Y278" s="529" t="str">
        <f t="shared" si="20"/>
        <v>0-20%</v>
      </c>
      <c r="Z278" s="568" t="str">
        <f t="shared" si="21"/>
        <v>a</v>
      </c>
      <c r="AA278" s="327" t="str">
        <f t="shared" si="22"/>
        <v>100%</v>
      </c>
      <c r="AB278" s="327" t="str">
        <f t="shared" si="23"/>
        <v>Non affecté / nicht betroffen</v>
      </c>
      <c r="AC278" s="276" t="str">
        <f t="shared" si="24"/>
        <v>Non nécessaire / nicht nötig</v>
      </c>
      <c r="AD278" s="570" t="str">
        <f t="shared" si="25"/>
        <v>d</v>
      </c>
      <c r="AE278">
        <v>1</v>
      </c>
      <c r="AF278">
        <v>1</v>
      </c>
      <c r="AG278">
        <v>1</v>
      </c>
    </row>
    <row r="279" spans="1:33" ht="16.5" customHeight="1" x14ac:dyDescent="0.25">
      <c r="A279" s="1233">
        <v>372</v>
      </c>
      <c r="B279" s="409" t="s">
        <v>81</v>
      </c>
      <c r="C279" s="410" t="s">
        <v>82</v>
      </c>
      <c r="D279" s="411" t="s">
        <v>80</v>
      </c>
      <c r="E279" s="522" t="str">
        <f>IF(VLOOKUP(A279,'Charriage - Geschiebehaushalt'!$A$4:$AC$275,17,FALSE)="","",VLOOKUP(A279,'Charriage - Geschiebehaushalt'!$A$4:$AC$275,17,FALSE))</f>
        <v>Charriage présumé naturel / Geschiebehaushalt vermutlich natürlich</v>
      </c>
      <c r="F279" s="523" t="str">
        <f>IF(VLOOKUP(A279,'Charriage - Geschiebehaushalt'!$A$4:$AC$275,18,FALSE)="","",VLOOKUP(A279,'Charriage - Geschiebehaushalt'!$A$4:$AC$275,18,FALSE))</f>
        <v>a</v>
      </c>
      <c r="G279" s="524" t="str">
        <f>IF(VLOOKUP(A279,'Charriage - Geschiebehaushalt'!$A$4:$AC$275,22,FALSE)="","",VLOOKUP(A279,'Charriage - Geschiebehaushalt'!$A$4:$AC$275,22,FALSE))</f>
        <v>0-20%</v>
      </c>
      <c r="H279" s="523" t="str">
        <f>IF(VLOOKUP(A279,'Charriage - Geschiebehaushalt'!$A$4:$AC$275,23,FALSE)="","",VLOOKUP(A279,'Charriage - Geschiebehaushalt'!$A$4:$AC$275,23,FALSE))</f>
        <v>a</v>
      </c>
      <c r="I279" s="524" t="str">
        <f>IF(VLOOKUP(A279,'Charriage - Geschiebehaushalt'!$A$4:$AC$275,28,FALSE)="","",VLOOKUP(A279,'Charriage - Geschiebehaushalt'!$A$4:$AC$275,28,FALSE))</f>
        <v>0-20%</v>
      </c>
      <c r="J279" s="403" t="str">
        <f>IF(VLOOKUP(A279,'Charriage - Geschiebehaushalt'!$A$4:$AC$275,29,FALSE)="","",VLOOKUP(A279,'Charriage - Geschiebehaushalt'!$A$4:$AC$275,29,FALSE))</f>
        <v>a</v>
      </c>
      <c r="K279" s="533" t="str">
        <f>IF(VLOOKUP(A279,'Débit - Abfluss'!$A$4:$AD$275,8,FALSE)="","",VLOOKUP(A279,'Débit - Abfluss'!$A$4:$AD$275,8,FALSE))</f>
        <v>Régime présumé naturel (100%) / Abfluss vermutlich natürlich</v>
      </c>
      <c r="L279" s="468" t="str">
        <f>IF(VLOOKUP(A279,'Débit - Abfluss'!$A$4:$AD$275,10,FALSE)="","",VLOOKUP(A279,'Débit - Abfluss'!$A$4:$AD$275,10,FALSE))</f>
        <v>Régime présumé naturel (100%) / Abfluss vermutlich natürlich</v>
      </c>
      <c r="M279" s="333" t="str">
        <f>IF(VLOOKUP(A279,'Débit - Abfluss'!$A$4:$AD$275,17,FALSE)="","",VLOOKUP(A279,'Débit - Abfluss'!$A$4:$AD$275,17,FALSE))</f>
        <v>Régime présumé naturel (100%) / Abfluss vermutlich natürlich</v>
      </c>
      <c r="N279" s="340" t="str">
        <f>IF(VLOOKUP(A279,'Eclusée - Schwall-Sunk'!$A$2:$F$273,6,FALSE)="","",VLOOKUP(A279,'Eclusée - Schwall-Sunk'!$A$2:$F$273,6,FALSE))</f>
        <v>Non affecté / nicht betroffen</v>
      </c>
      <c r="O279" s="537"/>
      <c r="P279" s="538"/>
      <c r="Q279" s="284" t="str">
        <f>IF(VLOOKUP(A279,'Revitalisation-Revitalisierung'!$A$4:$Z$275,13,FALSE)="","",VLOOKUP(A279,'Revitalisation-Revitalisierung'!$A$4:$Z$275,13,FALSE))</f>
        <v>Non nécessaire / nicht nötig</v>
      </c>
      <c r="R279" s="541" t="str">
        <f>IF(VLOOKUP(A279,'Revitalisation-Revitalisierung'!$A$4:$Z$275,14,FALSE)="","",VLOOKUP(A279,'Revitalisation-Revitalisierung'!$A$4:$Z$275,14,FALSE))</f>
        <v>a</v>
      </c>
      <c r="S279" s="542" t="str">
        <f>IF(VLOOKUP(A279,'Revitalisation-Revitalisierung'!$A$4:$Z$275,19,FALSE)="","",VLOOKUP(A279,'Revitalisation-Revitalisierung'!$A$4:$Z$275,19,FALSE))</f>
        <v>Non nécessaire / nicht nötig</v>
      </c>
      <c r="T279" s="541" t="str">
        <f>IF(VLOOKUP(A279,'Revitalisation-Revitalisierung'!$A$4:$Z$275,20,FALSE)="","",VLOOKUP(A279,'Revitalisation-Revitalisierung'!$A$4:$Z$275,20,FALSE))</f>
        <v>d</v>
      </c>
      <c r="U279" s="542" t="str">
        <f>IF(VLOOKUP(A279,'Revitalisation-Revitalisierung'!$A$4:$Z$275,25,FALSE)="","",VLOOKUP(A279,'Revitalisation-Revitalisierung'!$A$4:$Z$275,25,FALSE))</f>
        <v>Non nécessaire / nicht nötig</v>
      </c>
      <c r="V279" s="406" t="str">
        <f>IF(VLOOKUP(A279,'Revitalisation-Revitalisierung'!$A$4:$Z$275,26,FALSE)="","",VLOOKUP(A279,'Revitalisation-Revitalisierung'!$A$4:$Z$275,26,FALSE))</f>
        <v>d</v>
      </c>
      <c r="Y279" s="529" t="str">
        <f t="shared" si="20"/>
        <v>0-20%</v>
      </c>
      <c r="Z279" s="568" t="str">
        <f t="shared" si="21"/>
        <v>a</v>
      </c>
      <c r="AA279" s="327" t="str">
        <f t="shared" si="22"/>
        <v>Régime présumé naturel (100%) / Abfluss vermutlich natürlich</v>
      </c>
      <c r="AB279" s="327" t="str">
        <f t="shared" si="23"/>
        <v>Non affecté / nicht betroffen</v>
      </c>
      <c r="AC279" s="276" t="str">
        <f t="shared" si="24"/>
        <v>Non nécessaire / nicht nötig</v>
      </c>
      <c r="AD279" s="570" t="str">
        <f t="shared" si="25"/>
        <v>d</v>
      </c>
      <c r="AE279">
        <v>1</v>
      </c>
      <c r="AF279">
        <v>1</v>
      </c>
      <c r="AG279">
        <v>1</v>
      </c>
    </row>
    <row r="280" spans="1:33" ht="16.5" customHeight="1" x14ac:dyDescent="0.25">
      <c r="A280" s="926">
        <v>373</v>
      </c>
      <c r="B280" s="400" t="s">
        <v>427</v>
      </c>
      <c r="C280" s="400" t="s">
        <v>428</v>
      </c>
      <c r="D280" s="401" t="s">
        <v>410</v>
      </c>
      <c r="E280" s="522" t="str">
        <f>IF(VLOOKUP(A280,'Charriage - Geschiebehaushalt'!$A$4:$AC$275,17,FALSE)="","",VLOOKUP(A280,'Charriage - Geschiebehaushalt'!$A$4:$AC$275,17,FALSE))</f>
        <v>Déficit non apparent en charriage ou en remobilisation des sédiments / kein sichtbares Defizit beim Geschiebehaushalt bzw. bei der Mobilisierung von Geschiebe</v>
      </c>
      <c r="F280" s="523" t="str">
        <f>IF(VLOOKUP(A280,'Charriage - Geschiebehaushalt'!$A$4:$AC$275,18,FALSE)="","",VLOOKUP(A280,'Charriage - Geschiebehaushalt'!$A$4:$AC$275,18,FALSE))</f>
        <v>b</v>
      </c>
      <c r="G280" s="524" t="str">
        <f>IF(VLOOKUP(A280,'Charriage - Geschiebehaushalt'!$A$4:$AC$275,22,FALSE)="","",VLOOKUP(A280,'Charriage - Geschiebehaushalt'!$A$4:$AC$275,22,FALSE))</f>
        <v>0-20%</v>
      </c>
      <c r="H280" s="523" t="str">
        <f>IF(VLOOKUP(A280,'Charriage - Geschiebehaushalt'!$A$4:$AC$275,23,FALSE)="","",VLOOKUP(A280,'Charriage - Geschiebehaushalt'!$A$4:$AC$275,23,FALSE))</f>
        <v>b</v>
      </c>
      <c r="I280" s="524" t="str">
        <f>IF(VLOOKUP(A280,'Charriage - Geschiebehaushalt'!$A$4:$AC$275,28,FALSE)="","",VLOOKUP(A280,'Charriage - Geschiebehaushalt'!$A$4:$AC$275,28,FALSE))</f>
        <v>0-20%</v>
      </c>
      <c r="J280" s="403" t="str">
        <f>IF(VLOOKUP(A280,'Charriage - Geschiebehaushalt'!$A$4:$AC$275,29,FALSE)="","",VLOOKUP(A280,'Charriage - Geschiebehaushalt'!$A$4:$AC$275,29,FALSE))</f>
        <v>b</v>
      </c>
      <c r="K280" s="533" t="str">
        <f>IF(VLOOKUP(A280,'Débit - Abfluss'!$A$4:$AD$275,8,FALSE)="","",VLOOKUP(A280,'Débit - Abfluss'!$A$4:$AD$275,8,FALSE))</f>
        <v>100%</v>
      </c>
      <c r="L280" s="468" t="str">
        <f>IF(VLOOKUP(A280,'Débit - Abfluss'!$A$4:$AD$275,10,FALSE)="","",VLOOKUP(A280,'Débit - Abfluss'!$A$4:$AD$275,10,FALSE))</f>
        <v>100%</v>
      </c>
      <c r="M280" s="333" t="str">
        <f>IF(VLOOKUP(A280,'Débit - Abfluss'!$A$4:$AD$275,17,FALSE)="","",VLOOKUP(A280,'Débit - Abfluss'!$A$4:$AD$275,17,FALSE))</f>
        <v>100%</v>
      </c>
      <c r="N280" s="340" t="str">
        <f>IF(VLOOKUP(A280,'Eclusée - Schwall-Sunk'!$A$2:$F$273,6,FALSE)="","",VLOOKUP(A280,'Eclusée - Schwall-Sunk'!$A$2:$F$273,6,FALSE))</f>
        <v>Non affecté / nicht betroffen</v>
      </c>
      <c r="O280" s="537"/>
      <c r="P280" s="538"/>
      <c r="Q280" s="284" t="str">
        <f>IF(VLOOKUP(A280,'Revitalisation-Revitalisierung'!$A$4:$Z$275,13,FALSE)="","",VLOOKUP(A280,'Revitalisation-Revitalisierung'!$A$4:$Z$275,13,FALSE))</f>
        <v>Non nécessaire / nicht nötig</v>
      </c>
      <c r="R280" s="541" t="str">
        <f>IF(VLOOKUP(A280,'Revitalisation-Revitalisierung'!$A$4:$Z$275,14,FALSE)="","",VLOOKUP(A280,'Revitalisation-Revitalisierung'!$A$4:$Z$275,14,FALSE))</f>
        <v>b</v>
      </c>
      <c r="S280" s="542" t="str">
        <f>IF(VLOOKUP(A280,'Revitalisation-Revitalisierung'!$A$4:$Z$275,19,FALSE)="","",VLOOKUP(A280,'Revitalisation-Revitalisierung'!$A$4:$Z$275,19,FALSE))</f>
        <v>Non nécessaire / nicht nötig</v>
      </c>
      <c r="T280" s="541" t="str">
        <f>IF(VLOOKUP(A280,'Revitalisation-Revitalisierung'!$A$4:$Z$275,20,FALSE)="","",VLOOKUP(A280,'Revitalisation-Revitalisierung'!$A$4:$Z$275,20,FALSE))</f>
        <v>b</v>
      </c>
      <c r="U280" s="542" t="str">
        <f>IF(VLOOKUP(A280,'Revitalisation-Revitalisierung'!$A$4:$Z$275,25,FALSE)="","",VLOOKUP(A280,'Revitalisation-Revitalisierung'!$A$4:$Z$275,25,FALSE))</f>
        <v>Non nécessaire / nicht nötig</v>
      </c>
      <c r="V280" s="406" t="str">
        <f>IF(VLOOKUP(A280,'Revitalisation-Revitalisierung'!$A$4:$Z$275,26,FALSE)="","",VLOOKUP(A280,'Revitalisation-Revitalisierung'!$A$4:$Z$275,26,FALSE))</f>
        <v>b</v>
      </c>
      <c r="Y280" s="529" t="str">
        <f t="shared" si="20"/>
        <v>0-20%</v>
      </c>
      <c r="Z280" s="568" t="str">
        <f t="shared" si="21"/>
        <v>b</v>
      </c>
      <c r="AA280" s="327" t="str">
        <f t="shared" si="22"/>
        <v>100%</v>
      </c>
      <c r="AB280" s="327" t="str">
        <f t="shared" si="23"/>
        <v>Non affecté / nicht betroffen</v>
      </c>
      <c r="AC280" s="276" t="str">
        <f t="shared" si="24"/>
        <v>Non nécessaire / nicht nötig</v>
      </c>
      <c r="AD280" s="570" t="str">
        <f t="shared" si="25"/>
        <v>b</v>
      </c>
      <c r="AE280">
        <v>1</v>
      </c>
      <c r="AF280">
        <v>1</v>
      </c>
      <c r="AG280">
        <v>1</v>
      </c>
    </row>
    <row r="281" spans="1:33" ht="16.5" customHeight="1" x14ac:dyDescent="0.25">
      <c r="A281" s="926">
        <v>374</v>
      </c>
      <c r="B281" s="400" t="s">
        <v>429</v>
      </c>
      <c r="C281" s="400" t="s">
        <v>430</v>
      </c>
      <c r="D281" s="401" t="s">
        <v>410</v>
      </c>
      <c r="E281" s="522" t="str">
        <f>IF(VLOOKUP(A281,'Charriage - Geschiebehaushalt'!$A$4:$AC$275,17,FALSE)="","",VLOOKUP(A281,'Charriage - Geschiebehaushalt'!$A$4:$AC$275,17,FALSE))</f>
        <v>21-50%</v>
      </c>
      <c r="F281" s="523" t="str">
        <f>IF(VLOOKUP(A281,'Charriage - Geschiebehaushalt'!$A$4:$AC$275,18,FALSE)="","",VLOOKUP(A281,'Charriage - Geschiebehaushalt'!$A$4:$AC$275,18,FALSE))</f>
        <v>a</v>
      </c>
      <c r="G281" s="524" t="str">
        <f>IF(VLOOKUP(A281,'Charriage - Geschiebehaushalt'!$A$4:$AC$275,22,FALSE)="","",VLOOKUP(A281,'Charriage - Geschiebehaushalt'!$A$4:$AC$275,22,FALSE))</f>
        <v>21-50%</v>
      </c>
      <c r="H281" s="523" t="str">
        <f>IF(VLOOKUP(A281,'Charriage - Geschiebehaushalt'!$A$4:$AC$275,23,FALSE)="","",VLOOKUP(A281,'Charriage - Geschiebehaushalt'!$A$4:$AC$275,23,FALSE))</f>
        <v>a</v>
      </c>
      <c r="I281" s="524" t="str">
        <f>IF(VLOOKUP(A281,'Charriage - Geschiebehaushalt'!$A$4:$AC$275,28,FALSE)="","",VLOOKUP(A281,'Charriage - Geschiebehaushalt'!$A$4:$AC$275,28,FALSE))</f>
        <v>21-50%</v>
      </c>
      <c r="J281" s="403" t="str">
        <f>IF(VLOOKUP(A281,'Charriage - Geschiebehaushalt'!$A$4:$AC$275,29,FALSE)="","",VLOOKUP(A281,'Charriage - Geschiebehaushalt'!$A$4:$AC$275,29,FALSE))</f>
        <v>a</v>
      </c>
      <c r="K281" s="533" t="str">
        <f>IF(VLOOKUP(A281,'Débit - Abfluss'!$A$4:$AD$275,8,FALSE)="","",VLOOKUP(A281,'Débit - Abfluss'!$A$4:$AD$275,8,FALSE))</f>
        <v>81-100%</v>
      </c>
      <c r="L281" s="468" t="str">
        <f>IF(VLOOKUP(A281,'Débit - Abfluss'!$A$4:$AD$275,10,FALSE)="","",VLOOKUP(A281,'Débit - Abfluss'!$A$4:$AD$275,10,FALSE))</f>
        <v>81-100%</v>
      </c>
      <c r="M281" s="333" t="str">
        <f>IF(VLOOKUP(A281,'Débit - Abfluss'!$A$4:$AD$275,17,FALSE)="","",VLOOKUP(A281,'Débit - Abfluss'!$A$4:$AD$275,17,FALSE))</f>
        <v>81-100%</v>
      </c>
      <c r="N281" s="340" t="str">
        <f>IF(VLOOKUP(A281,'Eclusée - Schwall-Sunk'!$A$2:$F$273,6,FALSE)="","",VLOOKUP(A281,'Eclusée - Schwall-Sunk'!$A$2:$F$273,6,FALSE))</f>
        <v>Potentiellement affecté / möglicherweise betroffen</v>
      </c>
      <c r="O281" s="537"/>
      <c r="P281" s="538"/>
      <c r="Q281" s="284" t="str">
        <f>IF(VLOOKUP(A281,'Revitalisation-Revitalisierung'!$A$4:$Z$275,13,FALSE)="","",VLOOKUP(A281,'Revitalisation-Revitalisierung'!$A$4:$Z$275,13,FALSE))</f>
        <v>Très nécessaire, facile / unbedingt nötig, einfach</v>
      </c>
      <c r="R281" s="541" t="str">
        <f>IF(VLOOKUP(A281,'Revitalisation-Revitalisierung'!$A$4:$Z$275,14,FALSE)="","",VLOOKUP(A281,'Revitalisation-Revitalisierung'!$A$4:$Z$275,14,FALSE))</f>
        <v>b</v>
      </c>
      <c r="S281" s="542" t="str">
        <f>IF(VLOOKUP(A281,'Revitalisation-Revitalisierung'!$A$4:$Z$275,19,FALSE)="","",VLOOKUP(A281,'Revitalisation-Revitalisierung'!$A$4:$Z$275,19,FALSE))</f>
        <v>Très nécessaire, facile / unbedingt nötig, einfach</v>
      </c>
      <c r="T281" s="541" t="str">
        <f>IF(VLOOKUP(A281,'Revitalisation-Revitalisierung'!$A$4:$Z$275,20,FALSE)="","",VLOOKUP(A281,'Revitalisation-Revitalisierung'!$A$4:$Z$275,20,FALSE))</f>
        <v>d</v>
      </c>
      <c r="U281" s="542" t="str">
        <f>IF(VLOOKUP(A281,'Revitalisation-Revitalisierung'!$A$4:$Z$275,25,FALSE)="","",VLOOKUP(A281,'Revitalisation-Revitalisierung'!$A$4:$Z$275,25,FALSE))</f>
        <v>Très nécessaire, facile / unbedingt nötig, einfach</v>
      </c>
      <c r="V281" s="406" t="str">
        <f>IF(VLOOKUP(A281,'Revitalisation-Revitalisierung'!$A$4:$Z$275,26,FALSE)="","",VLOOKUP(A281,'Revitalisation-Revitalisierung'!$A$4:$Z$275,26,FALSE))</f>
        <v>d</v>
      </c>
      <c r="Y281" s="529" t="str">
        <f t="shared" si="20"/>
        <v>21-50%</v>
      </c>
      <c r="Z281" s="568" t="str">
        <f t="shared" si="21"/>
        <v>a</v>
      </c>
      <c r="AA281" s="327" t="str">
        <f t="shared" si="22"/>
        <v>81-100%</v>
      </c>
      <c r="AB281" s="327" t="str">
        <f t="shared" si="23"/>
        <v>Potentiellement affecté / möglicherweise betroffen</v>
      </c>
      <c r="AC281" s="276" t="str">
        <f t="shared" si="24"/>
        <v>Très nécessaire, facile / unbedingt nötig, einfach</v>
      </c>
      <c r="AD281" s="570" t="str">
        <f t="shared" si="25"/>
        <v>d</v>
      </c>
      <c r="AE281">
        <v>4</v>
      </c>
      <c r="AF281">
        <v>1</v>
      </c>
    </row>
    <row r="282" spans="1:33" ht="16.5" customHeight="1" x14ac:dyDescent="0.25">
      <c r="A282" s="929">
        <v>375</v>
      </c>
      <c r="B282" s="409" t="s">
        <v>324</v>
      </c>
      <c r="C282" s="410" t="s">
        <v>37</v>
      </c>
      <c r="D282" s="411" t="s">
        <v>274</v>
      </c>
      <c r="E282" s="522" t="str">
        <f>IF(VLOOKUP(A282,'Charriage - Geschiebehaushalt'!$A$4:$AC$275,17,FALSE)="","",VLOOKUP(A282,'Charriage - Geschiebehaushalt'!$A$4:$AC$275,17,FALSE))</f>
        <v>51-80%</v>
      </c>
      <c r="F282" s="523" t="str">
        <f>IF(VLOOKUP(A282,'Charriage - Geschiebehaushalt'!$A$4:$AC$275,18,FALSE)="","",VLOOKUP(A282,'Charriage - Geschiebehaushalt'!$A$4:$AC$275,18,FALSE))</f>
        <v>a</v>
      </c>
      <c r="G282" s="524" t="str">
        <f>IF(VLOOKUP(A282,'Charriage - Geschiebehaushalt'!$A$4:$AC$275,22,FALSE)="","",VLOOKUP(A282,'Charriage - Geschiebehaushalt'!$A$4:$AC$275,22,FALSE))</f>
        <v>51-80%</v>
      </c>
      <c r="H282" s="523" t="str">
        <f>IF(VLOOKUP(A282,'Charriage - Geschiebehaushalt'!$A$4:$AC$275,23,FALSE)="","",VLOOKUP(A282,'Charriage - Geschiebehaushalt'!$A$4:$AC$275,23,FALSE))</f>
        <v>d</v>
      </c>
      <c r="I282" s="524" t="str">
        <f>IF(VLOOKUP(A282,'Charriage - Geschiebehaushalt'!$A$4:$AC$275,28,FALSE)="","",VLOOKUP(A282,'Charriage - Geschiebehaushalt'!$A$4:$AC$275,28,FALSE))</f>
        <v>51-80%</v>
      </c>
      <c r="J282" s="403" t="str">
        <f>IF(VLOOKUP(A282,'Charriage - Geschiebehaushalt'!$A$4:$AC$275,29,FALSE)="","",VLOOKUP(A282,'Charriage - Geschiebehaushalt'!$A$4:$AC$275,29,FALSE))</f>
        <v>d</v>
      </c>
      <c r="K282" s="533" t="str">
        <f>IF(VLOOKUP(A282,'Débit - Abfluss'!$A$4:$AD$275,8,FALSE)="","",VLOOKUP(A282,'Débit - Abfluss'!$A$4:$AD$275,8,FALSE))</f>
        <v>81-100%</v>
      </c>
      <c r="L282" s="468" t="str">
        <f>IF(VLOOKUP(A282,'Débit - Abfluss'!$A$4:$AD$275,10,FALSE)="","",VLOOKUP(A282,'Débit - Abfluss'!$A$4:$AD$275,10,FALSE))</f>
        <v>81-100%</v>
      </c>
      <c r="M282" s="333" t="str">
        <f>IF(VLOOKUP(A282,'Débit - Abfluss'!$A$4:$AD$275,17,FALSE)="","",VLOOKUP(A282,'Débit - Abfluss'!$A$4:$AD$275,17,FALSE))</f>
        <v>81-100%</v>
      </c>
      <c r="N282" s="340" t="str">
        <f>IF(VLOOKUP(A282,'Eclusée - Schwall-Sunk'!$A$2:$F$273,6,FALSE)="","",VLOOKUP(A282,'Eclusée - Schwall-Sunk'!$A$2:$F$273,6,FALSE))</f>
        <v>Potentiellement affecté / möglicherweise betroffen</v>
      </c>
      <c r="O282" s="537"/>
      <c r="P282" s="538"/>
      <c r="Q282" s="284" t="str">
        <f>IF(VLOOKUP(A282,'Revitalisation-Revitalisierung'!$A$4:$Z$275,13,FALSE)="","",VLOOKUP(A282,'Revitalisation-Revitalisierung'!$A$4:$Z$275,13,FALSE))</f>
        <v>Très nécessaire, facile / unbedingt nötig, einfach</v>
      </c>
      <c r="R282" s="541" t="str">
        <f>IF(VLOOKUP(A282,'Revitalisation-Revitalisierung'!$A$4:$Z$275,14,FALSE)="","",VLOOKUP(A282,'Revitalisation-Revitalisierung'!$A$4:$Z$275,14,FALSE))</f>
        <v>a</v>
      </c>
      <c r="S282" s="542" t="str">
        <f>IF(VLOOKUP(A282,'Revitalisation-Revitalisierung'!$A$4:$Z$275,19,FALSE)="","",VLOOKUP(A282,'Revitalisation-Revitalisierung'!$A$4:$Z$275,19,FALSE))</f>
        <v>Très nécessaire, facile / unbedingt nötig, einfach</v>
      </c>
      <c r="T282" s="541" t="str">
        <f>IF(VLOOKUP(A282,'Revitalisation-Revitalisierung'!$A$4:$Z$275,20,FALSE)="","",VLOOKUP(A282,'Revitalisation-Revitalisierung'!$A$4:$Z$275,20,FALSE))</f>
        <v>d</v>
      </c>
      <c r="U282" s="542" t="str">
        <f>IF(VLOOKUP(A282,'Revitalisation-Revitalisierung'!$A$4:$Z$275,25,FALSE)="","",VLOOKUP(A282,'Revitalisation-Revitalisierung'!$A$4:$Z$275,25,FALSE))</f>
        <v>Très nécessaire, facile / unbedingt nötig, einfach</v>
      </c>
      <c r="V282" s="406" t="str">
        <f>IF(VLOOKUP(A282,'Revitalisation-Revitalisierung'!$A$4:$Z$275,26,FALSE)="","",VLOOKUP(A282,'Revitalisation-Revitalisierung'!$A$4:$Z$275,26,FALSE))</f>
        <v>d</v>
      </c>
      <c r="Y282" s="529" t="str">
        <f t="shared" si="20"/>
        <v>51-80%</v>
      </c>
      <c r="Z282" s="568" t="str">
        <f t="shared" si="21"/>
        <v>d</v>
      </c>
      <c r="AA282" s="327" t="str">
        <f t="shared" si="22"/>
        <v>81-100%</v>
      </c>
      <c r="AB282" s="327" t="str">
        <f t="shared" si="23"/>
        <v>Potentiellement affecté / möglicherweise betroffen</v>
      </c>
      <c r="AC282" s="276" t="str">
        <f t="shared" si="24"/>
        <v>Très nécessaire, facile / unbedingt nötig, einfach</v>
      </c>
      <c r="AD282" s="570" t="str">
        <f t="shared" si="25"/>
        <v>d</v>
      </c>
      <c r="AE282">
        <v>4</v>
      </c>
      <c r="AF282">
        <v>1</v>
      </c>
    </row>
    <row r="283" spans="1:33" ht="16.5" customHeight="1" x14ac:dyDescent="0.25">
      <c r="A283" s="926">
        <v>376</v>
      </c>
      <c r="B283" s="400" t="s">
        <v>433</v>
      </c>
      <c r="C283" s="400" t="s">
        <v>37</v>
      </c>
      <c r="D283" s="401" t="s">
        <v>410</v>
      </c>
      <c r="E283" s="522" t="str">
        <f>IF(VLOOKUP(A283,'Charriage - Geschiebehaushalt'!$A$4:$AC$275,17,FALSE)="","",VLOOKUP(A283,'Charriage - Geschiebehaushalt'!$A$4:$AC$275,17,FALSE))</f>
        <v>51-80%</v>
      </c>
      <c r="F283" s="523" t="str">
        <f>IF(VLOOKUP(A283,'Charriage - Geschiebehaushalt'!$A$4:$AC$275,18,FALSE)="","",VLOOKUP(A283,'Charriage - Geschiebehaushalt'!$A$4:$AC$275,18,FALSE))</f>
        <v>a</v>
      </c>
      <c r="G283" s="524" t="str">
        <f>IF(VLOOKUP(A283,'Charriage - Geschiebehaushalt'!$A$4:$AC$275,22,FALSE)="","",VLOOKUP(A283,'Charriage - Geschiebehaushalt'!$A$4:$AC$275,22,FALSE))</f>
        <v>51-80%</v>
      </c>
      <c r="H283" s="523" t="str">
        <f>IF(VLOOKUP(A283,'Charriage - Geschiebehaushalt'!$A$4:$AC$275,23,FALSE)="","",VLOOKUP(A283,'Charriage - Geschiebehaushalt'!$A$4:$AC$275,23,FALSE))</f>
        <v>a</v>
      </c>
      <c r="I283" s="524" t="str">
        <f>IF(VLOOKUP(A283,'Charriage - Geschiebehaushalt'!$A$4:$AC$275,28,FALSE)="","",VLOOKUP(A283,'Charriage - Geschiebehaushalt'!$A$4:$AC$275,28,FALSE))</f>
        <v>51-80%</v>
      </c>
      <c r="J283" s="403" t="str">
        <f>IF(VLOOKUP(A283,'Charriage - Geschiebehaushalt'!$A$4:$AC$275,29,FALSE)="","",VLOOKUP(A283,'Charriage - Geschiebehaushalt'!$A$4:$AC$275,29,FALSE))</f>
        <v>a</v>
      </c>
      <c r="K283" s="533" t="str">
        <f>IF(VLOOKUP(A283,'Débit - Abfluss'!$A$4:$AD$275,8,FALSE)="","",VLOOKUP(A283,'Débit - Abfluss'!$A$4:$AD$275,8,FALSE))</f>
        <v>81-100%</v>
      </c>
      <c r="L283" s="468" t="str">
        <f>IF(VLOOKUP(A283,'Débit - Abfluss'!$A$4:$AD$275,10,FALSE)="","",VLOOKUP(A283,'Débit - Abfluss'!$A$4:$AD$275,10,FALSE))</f>
        <v>81-100%</v>
      </c>
      <c r="M283" s="333" t="str">
        <f>IF(VLOOKUP(A283,'Débit - Abfluss'!$A$4:$AD$275,17,FALSE)="","",VLOOKUP(A283,'Débit - Abfluss'!$A$4:$AD$275,17,FALSE))</f>
        <v>81-100%</v>
      </c>
      <c r="N283" s="340" t="str">
        <f>IF(VLOOKUP(A283,'Eclusée - Schwall-Sunk'!$A$2:$F$273,6,FALSE)="","",VLOOKUP(A283,'Eclusée - Schwall-Sunk'!$A$2:$F$273,6,FALSE))</f>
        <v>Potentiellement affecté / möglicherweise betroffen</v>
      </c>
      <c r="O283" s="537"/>
      <c r="P283" s="538"/>
      <c r="Q283" s="284" t="str">
        <f>IF(VLOOKUP(A283,'Revitalisation-Revitalisierung'!$A$4:$Z$275,13,FALSE)="","",VLOOKUP(A283,'Revitalisation-Revitalisierung'!$A$4:$Z$275,13,FALSE))</f>
        <v>Très nécessaire, facile / unbedingt nötig, einfach</v>
      </c>
      <c r="R283" s="541" t="str">
        <f>IF(VLOOKUP(A283,'Revitalisation-Revitalisierung'!$A$4:$Z$275,14,FALSE)="","",VLOOKUP(A283,'Revitalisation-Revitalisierung'!$A$4:$Z$275,14,FALSE))</f>
        <v>a</v>
      </c>
      <c r="S283" s="542" t="str">
        <f>IF(VLOOKUP(A283,'Revitalisation-Revitalisierung'!$A$4:$Z$275,19,FALSE)="","",VLOOKUP(A283,'Revitalisation-Revitalisierung'!$A$4:$Z$275,19,FALSE))</f>
        <v>Très nécessaire, facile / unbedingt nötig, einfach</v>
      </c>
      <c r="T283" s="541" t="str">
        <f>IF(VLOOKUP(A283,'Revitalisation-Revitalisierung'!$A$4:$Z$275,20,FALSE)="","",VLOOKUP(A283,'Revitalisation-Revitalisierung'!$A$4:$Z$275,20,FALSE))</f>
        <v>a</v>
      </c>
      <c r="U283" s="542" t="str">
        <f>IF(VLOOKUP(A283,'Revitalisation-Revitalisierung'!$A$4:$Z$275,25,FALSE)="","",VLOOKUP(A283,'Revitalisation-Revitalisierung'!$A$4:$Z$275,25,FALSE))</f>
        <v>Très nécessaire, facile / unbedingt nötig, einfach</v>
      </c>
      <c r="V283" s="406" t="str">
        <f>IF(VLOOKUP(A283,'Revitalisation-Revitalisierung'!$A$4:$Z$275,26,FALSE)="","",VLOOKUP(A283,'Revitalisation-Revitalisierung'!$A$4:$Z$275,26,FALSE))</f>
        <v>a</v>
      </c>
      <c r="Y283" s="529" t="str">
        <f t="shared" si="20"/>
        <v>51-80%</v>
      </c>
      <c r="Z283" s="568" t="str">
        <f t="shared" si="21"/>
        <v>a</v>
      </c>
      <c r="AA283" s="327" t="str">
        <f t="shared" si="22"/>
        <v>81-100%</v>
      </c>
      <c r="AB283" s="327" t="str">
        <f t="shared" si="23"/>
        <v>Potentiellement affecté / möglicherweise betroffen</v>
      </c>
      <c r="AC283" s="276" t="str">
        <f t="shared" si="24"/>
        <v>Très nécessaire, facile / unbedingt nötig, einfach</v>
      </c>
      <c r="AD283" s="570" t="str">
        <f t="shared" si="25"/>
        <v>a</v>
      </c>
      <c r="AE283">
        <v>4</v>
      </c>
      <c r="AF283">
        <v>1</v>
      </c>
    </row>
    <row r="284" spans="1:33" ht="16.5" customHeight="1" x14ac:dyDescent="0.25">
      <c r="A284" s="1233">
        <v>379</v>
      </c>
      <c r="B284" s="409" t="s">
        <v>325</v>
      </c>
      <c r="C284" s="410" t="s">
        <v>326</v>
      </c>
      <c r="D284" s="411" t="s">
        <v>274</v>
      </c>
      <c r="E284" s="522" t="str">
        <f>IF(VLOOKUP(A284,'Charriage - Geschiebehaushalt'!$A$4:$AC$275,17,FALSE)="","",VLOOKUP(A284,'Charriage - Geschiebehaushalt'!$A$4:$AC$275,17,FALSE))</f>
        <v>Charriage présumé naturel / Geschiebehaushalt vermutlich natürlich</v>
      </c>
      <c r="F284" s="523" t="str">
        <f>IF(VLOOKUP(A284,'Charriage - Geschiebehaushalt'!$A$4:$AC$275,18,FALSE)="","",VLOOKUP(A284,'Charriage - Geschiebehaushalt'!$A$4:$AC$275,18,FALSE))</f>
        <v>a</v>
      </c>
      <c r="G284" s="524" t="str">
        <f>IF(VLOOKUP(A284,'Charriage - Geschiebehaushalt'!$A$4:$AC$275,22,FALSE)="","",VLOOKUP(A284,'Charriage - Geschiebehaushalt'!$A$4:$AC$275,22,FALSE))</f>
        <v>0-20%</v>
      </c>
      <c r="H284" s="523" t="str">
        <f>IF(VLOOKUP(A284,'Charriage - Geschiebehaushalt'!$A$4:$AC$275,23,FALSE)="","",VLOOKUP(A284,'Charriage - Geschiebehaushalt'!$A$4:$AC$275,23,FALSE))</f>
        <v>a</v>
      </c>
      <c r="I284" s="524" t="str">
        <f>IF(VLOOKUP(A284,'Charriage - Geschiebehaushalt'!$A$4:$AC$275,28,FALSE)="","",VLOOKUP(A284,'Charriage - Geschiebehaushalt'!$A$4:$AC$275,28,FALSE))</f>
        <v>0-20%</v>
      </c>
      <c r="J284" s="403" t="str">
        <f>IF(VLOOKUP(A284,'Charriage - Geschiebehaushalt'!$A$4:$AC$275,29,FALSE)="","",VLOOKUP(A284,'Charriage - Geschiebehaushalt'!$A$4:$AC$275,29,FALSE))</f>
        <v>a</v>
      </c>
      <c r="K284" s="533" t="str">
        <f>IF(VLOOKUP(A284,'Débit - Abfluss'!$A$4:$AD$275,8,FALSE)="","",VLOOKUP(A284,'Débit - Abfluss'!$A$4:$AD$275,8,FALSE))</f>
        <v>21-40%</v>
      </c>
      <c r="L284" s="468" t="str">
        <f>IF(VLOOKUP(A284,'Débit - Abfluss'!$A$4:$AD$275,10,FALSE)="","",VLOOKUP(A284,'Débit - Abfluss'!$A$4:$AD$275,10,FALSE))</f>
        <v>21-40%</v>
      </c>
      <c r="M284" s="333" t="str">
        <f>IF(VLOOKUP(A284,'Débit - Abfluss'!$A$4:$AD$275,17,FALSE)="","",VLOOKUP(A284,'Débit - Abfluss'!$A$4:$AD$275,17,FALSE))</f>
        <v>21-40%</v>
      </c>
      <c r="N284" s="340" t="str">
        <f>IF(VLOOKUP(A284,'Eclusée - Schwall-Sunk'!$A$2:$F$273,6,FALSE)="","",VLOOKUP(A284,'Eclusée - Schwall-Sunk'!$A$2:$F$273,6,FALSE))</f>
        <v>Non affecté / nicht betroffen</v>
      </c>
      <c r="O284" s="537"/>
      <c r="P284" s="538"/>
      <c r="Q284" s="284" t="str">
        <f>IF(VLOOKUP(A284,'Revitalisation-Revitalisierung'!$A$4:$Z$275,13,FALSE)="","",VLOOKUP(A284,'Revitalisation-Revitalisierung'!$A$4:$Z$275,13,FALSE))</f>
        <v>Non nécessaire / nicht nötig</v>
      </c>
      <c r="R284" s="541" t="str">
        <f>IF(VLOOKUP(A284,'Revitalisation-Revitalisierung'!$A$4:$Z$275,14,FALSE)="","",VLOOKUP(A284,'Revitalisation-Revitalisierung'!$A$4:$Z$275,14,FALSE))</f>
        <v>a</v>
      </c>
      <c r="S284" s="542" t="str">
        <f>IF(VLOOKUP(A284,'Revitalisation-Revitalisierung'!$A$4:$Z$275,19,FALSE)="","",VLOOKUP(A284,'Revitalisation-Revitalisierung'!$A$4:$Z$275,19,FALSE))</f>
        <v>Non nécessaire / nicht nötig</v>
      </c>
      <c r="T284" s="541" t="str">
        <f>IF(VLOOKUP(A284,'Revitalisation-Revitalisierung'!$A$4:$Z$275,20,FALSE)="","",VLOOKUP(A284,'Revitalisation-Revitalisierung'!$A$4:$Z$275,20,FALSE))</f>
        <v>d</v>
      </c>
      <c r="U284" s="542" t="str">
        <f>IF(VLOOKUP(A284,'Revitalisation-Revitalisierung'!$A$4:$Z$275,25,FALSE)="","",VLOOKUP(A284,'Revitalisation-Revitalisierung'!$A$4:$Z$275,25,FALSE))</f>
        <v>Non nécessaire / nicht nötig</v>
      </c>
      <c r="V284" s="406" t="str">
        <f>IF(VLOOKUP(A284,'Revitalisation-Revitalisierung'!$A$4:$Z$275,26,FALSE)="","",VLOOKUP(A284,'Revitalisation-Revitalisierung'!$A$4:$Z$275,26,FALSE))</f>
        <v>d</v>
      </c>
      <c r="Y284" s="529" t="str">
        <f t="shared" si="20"/>
        <v>0-20%</v>
      </c>
      <c r="Z284" s="568" t="str">
        <f t="shared" si="21"/>
        <v>a</v>
      </c>
      <c r="AA284" s="327" t="str">
        <f t="shared" si="22"/>
        <v>21-40%</v>
      </c>
      <c r="AB284" s="327" t="str">
        <f t="shared" si="23"/>
        <v>Non affecté / nicht betroffen</v>
      </c>
      <c r="AC284" s="276" t="str">
        <f t="shared" si="24"/>
        <v>Non nécessaire / nicht nötig</v>
      </c>
      <c r="AD284" s="570" t="str">
        <f t="shared" si="25"/>
        <v>d</v>
      </c>
      <c r="AE284">
        <v>3</v>
      </c>
      <c r="AF284">
        <v>1</v>
      </c>
    </row>
    <row r="285" spans="1:33" ht="16.5" customHeight="1" x14ac:dyDescent="0.25">
      <c r="A285" s="926">
        <v>380</v>
      </c>
      <c r="B285" s="400" t="s">
        <v>327</v>
      </c>
      <c r="C285" s="400" t="s">
        <v>328</v>
      </c>
      <c r="D285" s="401" t="s">
        <v>274</v>
      </c>
      <c r="E285" s="522" t="str">
        <f>IF(VLOOKUP(A285,'Charriage - Geschiebehaushalt'!$A$4:$AC$275,17,FALSE)="","",VLOOKUP(A285,'Charriage - Geschiebehaushalt'!$A$4:$AC$275,17,FALSE))</f>
        <v>0-20%</v>
      </c>
      <c r="F285" s="523" t="str">
        <f>IF(VLOOKUP(A285,'Charriage - Geschiebehaushalt'!$A$4:$AC$275,18,FALSE)="","",VLOOKUP(A285,'Charriage - Geschiebehaushalt'!$A$4:$AC$275,18,FALSE))</f>
        <v>a</v>
      </c>
      <c r="G285" s="524" t="str">
        <f>IF(VLOOKUP(A285,'Charriage - Geschiebehaushalt'!$A$4:$AC$275,22,FALSE)="","",VLOOKUP(A285,'Charriage - Geschiebehaushalt'!$A$4:$AC$275,22,FALSE))</f>
        <v>0-20%</v>
      </c>
      <c r="H285" s="523" t="str">
        <f>IF(VLOOKUP(A285,'Charriage - Geschiebehaushalt'!$A$4:$AC$275,23,FALSE)="","",VLOOKUP(A285,'Charriage - Geschiebehaushalt'!$A$4:$AC$275,23,FALSE))</f>
        <v>a</v>
      </c>
      <c r="I285" s="524" t="str">
        <f>IF(VLOOKUP(A285,'Charriage - Geschiebehaushalt'!$A$4:$AC$275,28,FALSE)="","",VLOOKUP(A285,'Charriage - Geschiebehaushalt'!$A$4:$AC$275,28,FALSE))</f>
        <v>0-20%</v>
      </c>
      <c r="J285" s="403" t="str">
        <f>IF(VLOOKUP(A285,'Charriage - Geschiebehaushalt'!$A$4:$AC$275,29,FALSE)="","",VLOOKUP(A285,'Charriage - Geschiebehaushalt'!$A$4:$AC$275,29,FALSE))</f>
        <v>a</v>
      </c>
      <c r="K285" s="533" t="str">
        <f>IF(VLOOKUP(A285,'Débit - Abfluss'!$A$4:$AD$275,8,FALSE)="","",VLOOKUP(A285,'Débit - Abfluss'!$A$4:$AD$275,8,FALSE))</f>
        <v>100%</v>
      </c>
      <c r="L285" s="468" t="str">
        <f>IF(VLOOKUP(A285,'Débit - Abfluss'!$A$4:$AD$275,10,FALSE)="","",VLOOKUP(A285,'Débit - Abfluss'!$A$4:$AD$275,10,FALSE))</f>
        <v>100%</v>
      </c>
      <c r="M285" s="333" t="str">
        <f>IF(VLOOKUP(A285,'Débit - Abfluss'!$A$4:$AD$275,17,FALSE)="","",VLOOKUP(A285,'Débit - Abfluss'!$A$4:$AD$275,17,FALSE))</f>
        <v>100%</v>
      </c>
      <c r="N285" s="340" t="str">
        <f>IF(VLOOKUP(A285,'Eclusée - Schwall-Sunk'!$A$2:$F$273,6,FALSE)="","",VLOOKUP(A285,'Eclusée - Schwall-Sunk'!$A$2:$F$273,6,FALSE))</f>
        <v>Non affecté / nicht betroffen</v>
      </c>
      <c r="O285" s="537"/>
      <c r="P285" s="538"/>
      <c r="Q285" s="284" t="str">
        <f>IF(VLOOKUP(A285,'Revitalisation-Revitalisierung'!$A$4:$Z$275,13,FALSE)="","",VLOOKUP(A285,'Revitalisation-Revitalisierung'!$A$4:$Z$275,13,FALSE))</f>
        <v>Non nécessaire / nicht nötig</v>
      </c>
      <c r="R285" s="541" t="str">
        <f>IF(VLOOKUP(A285,'Revitalisation-Revitalisierung'!$A$4:$Z$275,14,FALSE)="","",VLOOKUP(A285,'Revitalisation-Revitalisierung'!$A$4:$Z$275,14,FALSE))</f>
        <v>a</v>
      </c>
      <c r="S285" s="542" t="str">
        <f>IF(VLOOKUP(A285,'Revitalisation-Revitalisierung'!$A$4:$Z$275,19,FALSE)="","",VLOOKUP(A285,'Revitalisation-Revitalisierung'!$A$4:$Z$275,19,FALSE))</f>
        <v>Non nécessaire / nicht nötig</v>
      </c>
      <c r="T285" s="541" t="str">
        <f>IF(VLOOKUP(A285,'Revitalisation-Revitalisierung'!$A$4:$Z$275,20,FALSE)="","",VLOOKUP(A285,'Revitalisation-Revitalisierung'!$A$4:$Z$275,20,FALSE))</f>
        <v>d</v>
      </c>
      <c r="U285" s="542" t="str">
        <f>IF(VLOOKUP(A285,'Revitalisation-Revitalisierung'!$A$4:$Z$275,25,FALSE)="","",VLOOKUP(A285,'Revitalisation-Revitalisierung'!$A$4:$Z$275,25,FALSE))</f>
        <v>Non nécessaire / nicht nötig</v>
      </c>
      <c r="V285" s="406" t="str">
        <f>IF(VLOOKUP(A285,'Revitalisation-Revitalisierung'!$A$4:$Z$275,26,FALSE)="","",VLOOKUP(A285,'Revitalisation-Revitalisierung'!$A$4:$Z$275,26,FALSE))</f>
        <v>d</v>
      </c>
      <c r="Y285" s="529" t="str">
        <f t="shared" si="20"/>
        <v>0-20%</v>
      </c>
      <c r="Z285" s="568" t="str">
        <f t="shared" si="21"/>
        <v>a</v>
      </c>
      <c r="AA285" s="327" t="str">
        <f t="shared" si="22"/>
        <v>100%</v>
      </c>
      <c r="AB285" s="327" t="str">
        <f t="shared" si="23"/>
        <v>Non affecté / nicht betroffen</v>
      </c>
      <c r="AC285" s="276" t="str">
        <f t="shared" si="24"/>
        <v>Non nécessaire / nicht nötig</v>
      </c>
      <c r="AD285" s="570" t="str">
        <f t="shared" si="25"/>
        <v>d</v>
      </c>
      <c r="AE285">
        <v>1</v>
      </c>
      <c r="AF285">
        <v>1</v>
      </c>
      <c r="AG285">
        <v>1</v>
      </c>
    </row>
    <row r="286" spans="1:33" ht="16.5" customHeight="1" x14ac:dyDescent="0.25">
      <c r="A286" s="929">
        <v>381</v>
      </c>
      <c r="B286" s="409" t="s">
        <v>329</v>
      </c>
      <c r="C286" s="410" t="s">
        <v>284</v>
      </c>
      <c r="D286" s="411" t="s">
        <v>274</v>
      </c>
      <c r="E286" s="522" t="str">
        <f>IF(VLOOKUP(A286,'Charriage - Geschiebehaushalt'!$A$4:$AC$275,17,FALSE)="","",VLOOKUP(A286,'Charriage - Geschiebehaushalt'!$A$4:$AC$275,17,FALSE))</f>
        <v>21-50%</v>
      </c>
      <c r="F286" s="523" t="str">
        <f>IF(VLOOKUP(A286,'Charriage - Geschiebehaushalt'!$A$4:$AC$275,18,FALSE)="","",VLOOKUP(A286,'Charriage - Geschiebehaushalt'!$A$4:$AC$275,18,FALSE))</f>
        <v>a</v>
      </c>
      <c r="G286" s="524" t="str">
        <f>IF(VLOOKUP(A286,'Charriage - Geschiebehaushalt'!$A$4:$AC$275,22,FALSE)="","",VLOOKUP(A286,'Charriage - Geschiebehaushalt'!$A$4:$AC$275,22,FALSE))</f>
        <v>21-50%</v>
      </c>
      <c r="H286" s="523" t="str">
        <f>IF(VLOOKUP(A286,'Charriage - Geschiebehaushalt'!$A$4:$AC$275,23,FALSE)="","",VLOOKUP(A286,'Charriage - Geschiebehaushalt'!$A$4:$AC$275,23,FALSE))</f>
        <v>d</v>
      </c>
      <c r="I286" s="524" t="str">
        <f>IF(VLOOKUP(A286,'Charriage - Geschiebehaushalt'!$A$4:$AC$275,28,FALSE)="","",VLOOKUP(A286,'Charriage - Geschiebehaushalt'!$A$4:$AC$275,28,FALSE))</f>
        <v>21-50%</v>
      </c>
      <c r="J286" s="403" t="str">
        <f>IF(VLOOKUP(A286,'Charriage - Geschiebehaushalt'!$A$4:$AC$275,29,FALSE)="","",VLOOKUP(A286,'Charriage - Geschiebehaushalt'!$A$4:$AC$275,29,FALSE))</f>
        <v>d</v>
      </c>
      <c r="K286" s="533" t="str">
        <f>IF(VLOOKUP(A286,'Débit - Abfluss'!$A$4:$AD$275,8,FALSE)="","",VLOOKUP(A286,'Débit - Abfluss'!$A$4:$AD$275,8,FALSE))</f>
        <v>21-40%</v>
      </c>
      <c r="L286" s="468" t="str">
        <f>IF(VLOOKUP(A286,'Débit - Abfluss'!$A$4:$AD$275,10,FALSE)="","",VLOOKUP(A286,'Débit - Abfluss'!$A$4:$AD$275,10,FALSE))</f>
        <v>21-40%</v>
      </c>
      <c r="M286" s="333" t="str">
        <f>IF(VLOOKUP(A286,'Débit - Abfluss'!$A$4:$AD$275,17,FALSE)="","",VLOOKUP(A286,'Débit - Abfluss'!$A$4:$AD$275,17,FALSE))</f>
        <v>21-40%</v>
      </c>
      <c r="N286" s="340" t="str">
        <f>IF(VLOOKUP(A286,'Eclusée - Schwall-Sunk'!$A$2:$F$273,6,FALSE)="","",VLOOKUP(A286,'Eclusée - Schwall-Sunk'!$A$2:$F$273,6,FALSE))</f>
        <v>Potentiellement affecté / möglicherweise betroffen</v>
      </c>
      <c r="O286" s="537"/>
      <c r="P286" s="538"/>
      <c r="Q286" s="284" t="str">
        <f>IF(VLOOKUP(A286,'Revitalisation-Revitalisierung'!$A$4:$Z$275,13,FALSE)="","",VLOOKUP(A286,'Revitalisation-Revitalisierung'!$A$4:$Z$275,13,FALSE))</f>
        <v>Très nécessaire, difficile / unbedingt nötig, schwierig</v>
      </c>
      <c r="R286" s="541" t="str">
        <f>IF(VLOOKUP(A286,'Revitalisation-Revitalisierung'!$A$4:$Z$275,14,FALSE)="","",VLOOKUP(A286,'Revitalisation-Revitalisierung'!$A$4:$Z$275,14,FALSE))</f>
        <v>a</v>
      </c>
      <c r="S286" s="542" t="str">
        <f>IF(VLOOKUP(A286,'Revitalisation-Revitalisierung'!$A$4:$Z$275,19,FALSE)="","",VLOOKUP(A286,'Revitalisation-Revitalisierung'!$A$4:$Z$275,19,FALSE))</f>
        <v>Très nécessaire, difficile / unbedingt nötig, schwierig</v>
      </c>
      <c r="T286" s="541" t="str">
        <f>IF(VLOOKUP(A286,'Revitalisation-Revitalisierung'!$A$4:$Z$275,20,FALSE)="","",VLOOKUP(A286,'Revitalisation-Revitalisierung'!$A$4:$Z$275,20,FALSE))</f>
        <v>d</v>
      </c>
      <c r="U286" s="542" t="str">
        <f>IF(VLOOKUP(A286,'Revitalisation-Revitalisierung'!$A$4:$Z$275,25,FALSE)="","",VLOOKUP(A286,'Revitalisation-Revitalisierung'!$A$4:$Z$275,25,FALSE))</f>
        <v>Très nécessaire, difficile / unbedingt nötig, schwierig</v>
      </c>
      <c r="V286" s="406" t="str">
        <f>IF(VLOOKUP(A286,'Revitalisation-Revitalisierung'!$A$4:$Z$275,26,FALSE)="","",VLOOKUP(A286,'Revitalisation-Revitalisierung'!$A$4:$Z$275,26,FALSE))</f>
        <v>d</v>
      </c>
      <c r="Y286" s="529" t="str">
        <f t="shared" si="20"/>
        <v>21-50%</v>
      </c>
      <c r="Z286" s="568" t="str">
        <f t="shared" si="21"/>
        <v>d</v>
      </c>
      <c r="AA286" s="327" t="str">
        <f t="shared" si="22"/>
        <v>21-40%</v>
      </c>
      <c r="AB286" s="327" t="str">
        <f t="shared" si="23"/>
        <v>Potentiellement affecté / möglicherweise betroffen</v>
      </c>
      <c r="AC286" s="276" t="str">
        <f t="shared" si="24"/>
        <v>Très nécessaire, difficile / unbedingt nötig, schwierig</v>
      </c>
      <c r="AD286" s="570" t="str">
        <f t="shared" si="25"/>
        <v>d</v>
      </c>
      <c r="AE286">
        <v>4</v>
      </c>
      <c r="AF286">
        <v>1</v>
      </c>
    </row>
    <row r="287" spans="1:33" ht="16.5" customHeight="1" x14ac:dyDescent="0.25">
      <c r="A287" s="929">
        <v>382</v>
      </c>
      <c r="B287" s="409" t="s">
        <v>330</v>
      </c>
      <c r="C287" s="410" t="s">
        <v>331</v>
      </c>
      <c r="D287" s="411" t="s">
        <v>274</v>
      </c>
      <c r="E287" s="522" t="str">
        <f>IF(VLOOKUP(A287,'Charriage - Geschiebehaushalt'!$A$4:$AC$275,17,FALSE)="","",VLOOKUP(A287,'Charriage - Geschiebehaushalt'!$A$4:$AC$275,17,FALSE))</f>
        <v>0-20%</v>
      </c>
      <c r="F287" s="523" t="str">
        <f>IF(VLOOKUP(A287,'Charriage - Geschiebehaushalt'!$A$4:$AC$275,18,FALSE)="","",VLOOKUP(A287,'Charriage - Geschiebehaushalt'!$A$4:$AC$275,18,FALSE))</f>
        <v>a</v>
      </c>
      <c r="G287" s="524" t="str">
        <f>IF(VLOOKUP(A287,'Charriage - Geschiebehaushalt'!$A$4:$AC$275,22,FALSE)="","",VLOOKUP(A287,'Charriage - Geschiebehaushalt'!$A$4:$AC$275,22,FALSE))</f>
        <v>0-20%</v>
      </c>
      <c r="H287" s="523" t="str">
        <f>IF(VLOOKUP(A287,'Charriage - Geschiebehaushalt'!$A$4:$AC$275,23,FALSE)="","",VLOOKUP(A287,'Charriage - Geschiebehaushalt'!$A$4:$AC$275,23,FALSE))</f>
        <v>a</v>
      </c>
      <c r="I287" s="524" t="str">
        <f>IF(VLOOKUP(A287,'Charriage - Geschiebehaushalt'!$A$4:$AC$275,28,FALSE)="","",VLOOKUP(A287,'Charriage - Geschiebehaushalt'!$A$4:$AC$275,28,FALSE))</f>
        <v>0-20%</v>
      </c>
      <c r="J287" s="403" t="str">
        <f>IF(VLOOKUP(A287,'Charriage - Geschiebehaushalt'!$A$4:$AC$275,29,FALSE)="","",VLOOKUP(A287,'Charriage - Geschiebehaushalt'!$A$4:$AC$275,29,FALSE))</f>
        <v>a</v>
      </c>
      <c r="K287" s="533" t="str">
        <f>IF(VLOOKUP(A287,'Débit - Abfluss'!$A$4:$AD$275,8,FALSE)="","",VLOOKUP(A287,'Débit - Abfluss'!$A$4:$AD$275,8,FALSE))</f>
        <v>Régime présumé naturel (100%) / Abfluss vermutlich natürlich</v>
      </c>
      <c r="L287" s="468" t="str">
        <f>IF(VLOOKUP(A287,'Débit - Abfluss'!$A$4:$AD$275,10,FALSE)="","",VLOOKUP(A287,'Débit - Abfluss'!$A$4:$AD$275,10,FALSE))</f>
        <v>Régime présumé naturel (100%) / Abfluss vermutlich natürlich</v>
      </c>
      <c r="M287" s="333" t="str">
        <f>IF(VLOOKUP(A287,'Débit - Abfluss'!$A$4:$AD$275,17,FALSE)="","",VLOOKUP(A287,'Débit - Abfluss'!$A$4:$AD$275,17,FALSE))</f>
        <v>Régime présumé naturel (100%) / Abfluss vermutlich natürlich</v>
      </c>
      <c r="N287" s="340" t="str">
        <f>IF(VLOOKUP(A287,'Eclusée - Schwall-Sunk'!$A$2:$F$273,6,FALSE)="","",VLOOKUP(A287,'Eclusée - Schwall-Sunk'!$A$2:$F$273,6,FALSE))</f>
        <v>Non affecté / nicht betroffen</v>
      </c>
      <c r="O287" s="537"/>
      <c r="P287" s="538"/>
      <c r="Q287" s="284" t="str">
        <f>IF(VLOOKUP(A287,'Revitalisation-Revitalisierung'!$A$4:$Z$275,13,FALSE)="","",VLOOKUP(A287,'Revitalisation-Revitalisierung'!$A$4:$Z$275,13,FALSE))</f>
        <v>Non nécessaire / nicht nötig</v>
      </c>
      <c r="R287" s="541" t="str">
        <f>IF(VLOOKUP(A287,'Revitalisation-Revitalisierung'!$A$4:$Z$275,14,FALSE)="","",VLOOKUP(A287,'Revitalisation-Revitalisierung'!$A$4:$Z$275,14,FALSE))</f>
        <v>a</v>
      </c>
      <c r="S287" s="542" t="str">
        <f>IF(VLOOKUP(A287,'Revitalisation-Revitalisierung'!$A$4:$Z$275,19,FALSE)="","",VLOOKUP(A287,'Revitalisation-Revitalisierung'!$A$4:$Z$275,19,FALSE))</f>
        <v>Non nécessaire / nicht nötig</v>
      </c>
      <c r="T287" s="541" t="str">
        <f>IF(VLOOKUP(A287,'Revitalisation-Revitalisierung'!$A$4:$Z$275,20,FALSE)="","",VLOOKUP(A287,'Revitalisation-Revitalisierung'!$A$4:$Z$275,20,FALSE))</f>
        <v>d</v>
      </c>
      <c r="U287" s="542" t="str">
        <f>IF(VLOOKUP(A287,'Revitalisation-Revitalisierung'!$A$4:$Z$275,25,FALSE)="","",VLOOKUP(A287,'Revitalisation-Revitalisierung'!$A$4:$Z$275,25,FALSE))</f>
        <v>Non nécessaire / nicht nötig</v>
      </c>
      <c r="V287" s="406" t="str">
        <f>IF(VLOOKUP(A287,'Revitalisation-Revitalisierung'!$A$4:$Z$275,26,FALSE)="","",VLOOKUP(A287,'Revitalisation-Revitalisierung'!$A$4:$Z$275,26,FALSE))</f>
        <v>d</v>
      </c>
      <c r="Y287" s="529" t="str">
        <f t="shared" si="20"/>
        <v>0-20%</v>
      </c>
      <c r="Z287" s="568" t="str">
        <f t="shared" si="21"/>
        <v>a</v>
      </c>
      <c r="AA287" s="327" t="str">
        <f t="shared" si="22"/>
        <v>Régime présumé naturel (100%) / Abfluss vermutlich natürlich</v>
      </c>
      <c r="AB287" s="327" t="str">
        <f t="shared" si="23"/>
        <v>Non affecté / nicht betroffen</v>
      </c>
      <c r="AC287" s="276" t="str">
        <f t="shared" si="24"/>
        <v>Non nécessaire / nicht nötig</v>
      </c>
      <c r="AD287" s="570" t="str">
        <f t="shared" si="25"/>
        <v>d</v>
      </c>
      <c r="AE287">
        <v>1</v>
      </c>
      <c r="AF287">
        <v>1</v>
      </c>
      <c r="AG287">
        <v>1</v>
      </c>
    </row>
    <row r="288" spans="1:33" ht="16.5" customHeight="1" x14ac:dyDescent="0.25">
      <c r="A288" s="929">
        <v>383</v>
      </c>
      <c r="B288" s="409" t="s">
        <v>332</v>
      </c>
      <c r="C288" s="410" t="s">
        <v>331</v>
      </c>
      <c r="D288" s="411" t="s">
        <v>274</v>
      </c>
      <c r="E288" s="522" t="str">
        <f>IF(VLOOKUP(A288,'Charriage - Geschiebehaushalt'!$A$4:$AC$275,17,FALSE)="","",VLOOKUP(A288,'Charriage - Geschiebehaushalt'!$A$4:$AC$275,17,FALSE))</f>
        <v>0-20%</v>
      </c>
      <c r="F288" s="523" t="str">
        <f>IF(VLOOKUP(A288,'Charriage - Geschiebehaushalt'!$A$4:$AC$275,18,FALSE)="","",VLOOKUP(A288,'Charriage - Geschiebehaushalt'!$A$4:$AC$275,18,FALSE))</f>
        <v>a</v>
      </c>
      <c r="G288" s="524" t="str">
        <f>IF(VLOOKUP(A288,'Charriage - Geschiebehaushalt'!$A$4:$AC$275,22,FALSE)="","",VLOOKUP(A288,'Charriage - Geschiebehaushalt'!$A$4:$AC$275,22,FALSE))</f>
        <v>0-20%</v>
      </c>
      <c r="H288" s="523" t="str">
        <f>IF(VLOOKUP(A288,'Charriage - Geschiebehaushalt'!$A$4:$AC$275,23,FALSE)="","",VLOOKUP(A288,'Charriage - Geschiebehaushalt'!$A$4:$AC$275,23,FALSE))</f>
        <v>d</v>
      </c>
      <c r="I288" s="524" t="str">
        <f>IF(VLOOKUP(A288,'Charriage - Geschiebehaushalt'!$A$4:$AC$275,28,FALSE)="","",VLOOKUP(A288,'Charriage - Geschiebehaushalt'!$A$4:$AC$275,28,FALSE))</f>
        <v>0-20%</v>
      </c>
      <c r="J288" s="403" t="str">
        <f>IF(VLOOKUP(A288,'Charriage - Geschiebehaushalt'!$A$4:$AC$275,29,FALSE)="","",VLOOKUP(A288,'Charriage - Geschiebehaushalt'!$A$4:$AC$275,29,FALSE))</f>
        <v>d</v>
      </c>
      <c r="K288" s="533" t="str">
        <f>IF(VLOOKUP(A288,'Débit - Abfluss'!$A$4:$AD$275,8,FALSE)="","",VLOOKUP(A288,'Débit - Abfluss'!$A$4:$AD$275,8,FALSE))</f>
        <v>41-60%</v>
      </c>
      <c r="L288" s="468" t="str">
        <f>IF(VLOOKUP(A288,'Débit - Abfluss'!$A$4:$AD$275,10,FALSE)="","",VLOOKUP(A288,'Débit - Abfluss'!$A$4:$AD$275,10,FALSE))</f>
        <v>41-60%</v>
      </c>
      <c r="M288" s="333" t="str">
        <f>IF(VLOOKUP(A288,'Débit - Abfluss'!$A$4:$AD$275,17,FALSE)="","",VLOOKUP(A288,'Débit - Abfluss'!$A$4:$AD$275,17,FALSE))</f>
        <v>41-60%</v>
      </c>
      <c r="N288" s="340" t="str">
        <f>IF(VLOOKUP(A288,'Eclusée - Schwall-Sunk'!$A$2:$F$273,6,FALSE)="","",VLOOKUP(A288,'Eclusée - Schwall-Sunk'!$A$2:$F$273,6,FALSE))</f>
        <v>Non affecté / nicht betroffen</v>
      </c>
      <c r="O288" s="537"/>
      <c r="P288" s="538"/>
      <c r="Q288" s="284" t="str">
        <f>IF(VLOOKUP(A288,'Revitalisation-Revitalisierung'!$A$4:$Z$275,13,FALSE)="","",VLOOKUP(A288,'Revitalisation-Revitalisierung'!$A$4:$Z$275,13,FALSE))</f>
        <v>Non nécessaire / nicht nötig</v>
      </c>
      <c r="R288" s="541" t="str">
        <f>IF(VLOOKUP(A288,'Revitalisation-Revitalisierung'!$A$4:$Z$275,14,FALSE)="","",VLOOKUP(A288,'Revitalisation-Revitalisierung'!$A$4:$Z$275,14,FALSE))</f>
        <v>a</v>
      </c>
      <c r="S288" s="542" t="str">
        <f>IF(VLOOKUP(A288,'Revitalisation-Revitalisierung'!$A$4:$Z$275,19,FALSE)="","",VLOOKUP(A288,'Revitalisation-Revitalisierung'!$A$4:$Z$275,19,FALSE))</f>
        <v>Non nécessaire / nicht nötig</v>
      </c>
      <c r="T288" s="541" t="str">
        <f>IF(VLOOKUP(A288,'Revitalisation-Revitalisierung'!$A$4:$Z$275,20,FALSE)="","",VLOOKUP(A288,'Revitalisation-Revitalisierung'!$A$4:$Z$275,20,FALSE))</f>
        <v>d</v>
      </c>
      <c r="U288" s="542" t="str">
        <f>IF(VLOOKUP(A288,'Revitalisation-Revitalisierung'!$A$4:$Z$275,25,FALSE)="","",VLOOKUP(A288,'Revitalisation-Revitalisierung'!$A$4:$Z$275,25,FALSE))</f>
        <v>Non nécessaire / nicht nötig</v>
      </c>
      <c r="V288" s="406" t="str">
        <f>IF(VLOOKUP(A288,'Revitalisation-Revitalisierung'!$A$4:$Z$275,26,FALSE)="","",VLOOKUP(A288,'Revitalisation-Revitalisierung'!$A$4:$Z$275,26,FALSE))</f>
        <v>d</v>
      </c>
      <c r="Y288" s="529" t="str">
        <f t="shared" si="20"/>
        <v>0-20%</v>
      </c>
      <c r="Z288" s="568" t="str">
        <f t="shared" si="21"/>
        <v>d</v>
      </c>
      <c r="AA288" s="327" t="str">
        <f t="shared" si="22"/>
        <v>41-60%</v>
      </c>
      <c r="AB288" s="327" t="str">
        <f t="shared" si="23"/>
        <v>Non affecté / nicht betroffen</v>
      </c>
      <c r="AC288" s="276" t="str">
        <f t="shared" si="24"/>
        <v>Non nécessaire / nicht nötig</v>
      </c>
      <c r="AD288" s="570" t="str">
        <f t="shared" si="25"/>
        <v>d</v>
      </c>
      <c r="AE288">
        <v>3</v>
      </c>
      <c r="AF288">
        <v>1</v>
      </c>
    </row>
    <row r="289" spans="1:33" ht="16.5" customHeight="1" x14ac:dyDescent="0.25">
      <c r="A289" s="929">
        <v>384</v>
      </c>
      <c r="B289" s="409" t="s">
        <v>333</v>
      </c>
      <c r="C289" s="410" t="s">
        <v>331</v>
      </c>
      <c r="D289" s="411" t="s">
        <v>274</v>
      </c>
      <c r="E289" s="522" t="str">
        <f>IF(VLOOKUP(A289,'Charriage - Geschiebehaushalt'!$A$4:$AC$275,17,FALSE)="","",VLOOKUP(A289,'Charriage - Geschiebehaushalt'!$A$4:$AC$275,17,FALSE))</f>
        <v>0-20%</v>
      </c>
      <c r="F289" s="523" t="str">
        <f>IF(VLOOKUP(A289,'Charriage - Geschiebehaushalt'!$A$4:$AC$275,18,FALSE)="","",VLOOKUP(A289,'Charriage - Geschiebehaushalt'!$A$4:$AC$275,18,FALSE))</f>
        <v>a</v>
      </c>
      <c r="G289" s="524" t="str">
        <f>IF(VLOOKUP(A289,'Charriage - Geschiebehaushalt'!$A$4:$AC$275,22,FALSE)="","",VLOOKUP(A289,'Charriage - Geschiebehaushalt'!$A$4:$AC$275,22,FALSE))</f>
        <v>0-20%</v>
      </c>
      <c r="H289" s="523" t="str">
        <f>IF(VLOOKUP(A289,'Charriage - Geschiebehaushalt'!$A$4:$AC$275,23,FALSE)="","",VLOOKUP(A289,'Charriage - Geschiebehaushalt'!$A$4:$AC$275,23,FALSE))</f>
        <v>d</v>
      </c>
      <c r="I289" s="524" t="str">
        <f>IF(VLOOKUP(A289,'Charriage - Geschiebehaushalt'!$A$4:$AC$275,28,FALSE)="","",VLOOKUP(A289,'Charriage - Geschiebehaushalt'!$A$4:$AC$275,28,FALSE))</f>
        <v>0-20%</v>
      </c>
      <c r="J289" s="403" t="str">
        <f>IF(VLOOKUP(A289,'Charriage - Geschiebehaushalt'!$A$4:$AC$275,29,FALSE)="","",VLOOKUP(A289,'Charriage - Geschiebehaushalt'!$A$4:$AC$275,29,FALSE))</f>
        <v>d</v>
      </c>
      <c r="K289" s="533" t="str">
        <f>IF(VLOOKUP(A289,'Débit - Abfluss'!$A$4:$AD$275,8,FALSE)="","",VLOOKUP(A289,'Débit - Abfluss'!$A$4:$AD$275,8,FALSE))</f>
        <v>61-80%</v>
      </c>
      <c r="L289" s="468" t="str">
        <f>IF(VLOOKUP(A289,'Débit - Abfluss'!$A$4:$AD$275,10,FALSE)="","",VLOOKUP(A289,'Débit - Abfluss'!$A$4:$AD$275,10,FALSE))</f>
        <v>61-80%</v>
      </c>
      <c r="M289" s="333" t="str">
        <f>IF(VLOOKUP(A289,'Débit - Abfluss'!$A$4:$AD$275,17,FALSE)="","",VLOOKUP(A289,'Débit - Abfluss'!$A$4:$AD$275,17,FALSE))</f>
        <v>61-80%</v>
      </c>
      <c r="N289" s="340" t="str">
        <f>IF(VLOOKUP(A289,'Eclusée - Schwall-Sunk'!$A$2:$F$273,6,FALSE)="","",VLOOKUP(A289,'Eclusée - Schwall-Sunk'!$A$2:$F$273,6,FALSE))</f>
        <v>Non affecté / nicht betroffen</v>
      </c>
      <c r="O289" s="537"/>
      <c r="P289" s="538"/>
      <c r="Q289" s="284" t="str">
        <f>IF(VLOOKUP(A289,'Revitalisation-Revitalisierung'!$A$4:$Z$275,13,FALSE)="","",VLOOKUP(A289,'Revitalisation-Revitalisierung'!$A$4:$Z$275,13,FALSE))</f>
        <v>Très nécessaire, difficile / unbedingt nötig, schwierig</v>
      </c>
      <c r="R289" s="541" t="str">
        <f>IF(VLOOKUP(A289,'Revitalisation-Revitalisierung'!$A$4:$Z$275,14,FALSE)="","",VLOOKUP(A289,'Revitalisation-Revitalisierung'!$A$4:$Z$275,14,FALSE))</f>
        <v>b</v>
      </c>
      <c r="S289" s="542" t="str">
        <f>IF(VLOOKUP(A289,'Revitalisation-Revitalisierung'!$A$4:$Z$275,19,FALSE)="","",VLOOKUP(A289,'Revitalisation-Revitalisierung'!$A$4:$Z$275,19,FALSE))</f>
        <v>Partiellement nécessaire, difficile / teilweise nötig, schwierig</v>
      </c>
      <c r="T289" s="541" t="str">
        <f>IF(VLOOKUP(A289,'Revitalisation-Revitalisierung'!$A$4:$Z$275,20,FALSE)="","",VLOOKUP(A289,'Revitalisation-Revitalisierung'!$A$4:$Z$275,20,FALSE))</f>
        <v>c</v>
      </c>
      <c r="U289" s="542" t="str">
        <f>IF(VLOOKUP(A289,'Revitalisation-Revitalisierung'!$A$4:$Z$275,25,FALSE)="","",VLOOKUP(A289,'Revitalisation-Revitalisierung'!$A$4:$Z$275,25,FALSE))</f>
        <v>Partiellement nécessaire, difficile / teilweise nötig, schwierig</v>
      </c>
      <c r="V289" s="406" t="str">
        <f>IF(VLOOKUP(A289,'Revitalisation-Revitalisierung'!$A$4:$Z$275,26,FALSE)="","",VLOOKUP(A289,'Revitalisation-Revitalisierung'!$A$4:$Z$275,26,FALSE))</f>
        <v>c</v>
      </c>
      <c r="Y289" s="529" t="str">
        <f t="shared" si="20"/>
        <v>0-20%</v>
      </c>
      <c r="Z289" s="568" t="str">
        <f t="shared" si="21"/>
        <v>d</v>
      </c>
      <c r="AA289" s="327" t="str">
        <f t="shared" si="22"/>
        <v>61-80%</v>
      </c>
      <c r="AB289" s="327" t="str">
        <f t="shared" si="23"/>
        <v>Non affecté / nicht betroffen</v>
      </c>
      <c r="AC289" s="276" t="str">
        <f t="shared" si="24"/>
        <v>Partiellement nécessaire, difficile / teilweise nötig, schwierig</v>
      </c>
      <c r="AD289" s="570" t="str">
        <f t="shared" si="25"/>
        <v>c</v>
      </c>
      <c r="AE289" t="s">
        <v>1902</v>
      </c>
      <c r="AF289">
        <v>1</v>
      </c>
    </row>
    <row r="290" spans="1:33" ht="16.5" customHeight="1" x14ac:dyDescent="0.25">
      <c r="A290" s="1233">
        <v>385</v>
      </c>
      <c r="B290" s="409" t="s">
        <v>334</v>
      </c>
      <c r="C290" s="410" t="s">
        <v>335</v>
      </c>
      <c r="D290" s="411" t="s">
        <v>274</v>
      </c>
      <c r="E290" s="522" t="str">
        <f>IF(VLOOKUP(A290,'Charriage - Geschiebehaushalt'!$A$4:$AC$275,17,FALSE)="","",VLOOKUP(A290,'Charriage - Geschiebehaushalt'!$A$4:$AC$275,17,FALSE))</f>
        <v>0-20%</v>
      </c>
      <c r="F290" s="523" t="str">
        <f>IF(VLOOKUP(A290,'Charriage - Geschiebehaushalt'!$A$4:$AC$275,18,FALSE)="","",VLOOKUP(A290,'Charriage - Geschiebehaushalt'!$A$4:$AC$275,18,FALSE))</f>
        <v>a</v>
      </c>
      <c r="G290" s="524" t="str">
        <f>IF(VLOOKUP(A290,'Charriage - Geschiebehaushalt'!$A$4:$AC$275,22,FALSE)="","",VLOOKUP(A290,'Charriage - Geschiebehaushalt'!$A$4:$AC$275,22,FALSE))</f>
        <v>0-20%</v>
      </c>
      <c r="H290" s="523" t="str">
        <f>IF(VLOOKUP(A290,'Charriage - Geschiebehaushalt'!$A$4:$AC$275,23,FALSE)="","",VLOOKUP(A290,'Charriage - Geschiebehaushalt'!$A$4:$AC$275,23,FALSE))</f>
        <v>d</v>
      </c>
      <c r="I290" s="524" t="str">
        <f>IF(VLOOKUP(A290,'Charriage - Geschiebehaushalt'!$A$4:$AC$275,28,FALSE)="","",VLOOKUP(A290,'Charriage - Geschiebehaushalt'!$A$4:$AC$275,28,FALSE))</f>
        <v>0-20%</v>
      </c>
      <c r="J290" s="403" t="str">
        <f>IF(VLOOKUP(A290,'Charriage - Geschiebehaushalt'!$A$4:$AC$275,29,FALSE)="","",VLOOKUP(A290,'Charriage - Geschiebehaushalt'!$A$4:$AC$275,29,FALSE))</f>
        <v>d</v>
      </c>
      <c r="K290" s="533" t="str">
        <f>IF(VLOOKUP(A290,'Débit - Abfluss'!$A$4:$AD$275,8,FALSE)="","",VLOOKUP(A290,'Débit - Abfluss'!$A$4:$AD$275,8,FALSE))</f>
        <v>81-100%</v>
      </c>
      <c r="L290" s="468" t="str">
        <f>IF(VLOOKUP(A290,'Débit - Abfluss'!$A$4:$AD$275,10,FALSE)="","",VLOOKUP(A290,'Débit - Abfluss'!$A$4:$AD$275,10,FALSE))</f>
        <v>81-100%</v>
      </c>
      <c r="M290" s="333" t="str">
        <f>IF(VLOOKUP(A290,'Débit - Abfluss'!$A$4:$AD$275,17,FALSE)="","",VLOOKUP(A290,'Débit - Abfluss'!$A$4:$AD$275,17,FALSE))</f>
        <v>81-100%</v>
      </c>
      <c r="N290" s="340" t="str">
        <f>IF(VLOOKUP(A290,'Eclusée - Schwall-Sunk'!$A$2:$F$273,6,FALSE)="","",VLOOKUP(A290,'Eclusée - Schwall-Sunk'!$A$2:$F$273,6,FALSE))</f>
        <v>Potentiellement affecté / möglicherweise betroffen</v>
      </c>
      <c r="O290" s="537"/>
      <c r="P290" s="538"/>
      <c r="Q290" s="284" t="str">
        <f>IF(VLOOKUP(A290,'Revitalisation-Revitalisierung'!$A$4:$Z$275,13,FALSE)="","",VLOOKUP(A290,'Revitalisation-Revitalisierung'!$A$4:$Z$275,13,FALSE))</f>
        <v>Partiellement nécessaire, difficile / teilweise nötig, schwierig</v>
      </c>
      <c r="R290" s="541" t="str">
        <f>IF(VLOOKUP(A290,'Revitalisation-Revitalisierung'!$A$4:$Z$275,14,FALSE)="","",VLOOKUP(A290,'Revitalisation-Revitalisierung'!$A$4:$Z$275,14,FALSE))</f>
        <v>b</v>
      </c>
      <c r="S290" s="542" t="str">
        <f>IF(VLOOKUP(A290,'Revitalisation-Revitalisierung'!$A$4:$Z$275,19,FALSE)="","",VLOOKUP(A290,'Revitalisation-Revitalisierung'!$A$4:$Z$275,19,FALSE))</f>
        <v>Non nécessaire / nicht nötig</v>
      </c>
      <c r="T290" s="541" t="str">
        <f>IF(VLOOKUP(A290,'Revitalisation-Revitalisierung'!$A$4:$Z$275,20,FALSE)="","",VLOOKUP(A290,'Revitalisation-Revitalisierung'!$A$4:$Z$275,20,FALSE))</f>
        <v>c</v>
      </c>
      <c r="U290" s="542" t="str">
        <f>IF(VLOOKUP(A290,'Revitalisation-Revitalisierung'!$A$4:$Z$275,25,FALSE)="","",VLOOKUP(A290,'Revitalisation-Revitalisierung'!$A$4:$Z$275,25,FALSE))</f>
        <v>Non nécessaire / nicht nötig</v>
      </c>
      <c r="V290" s="406" t="str">
        <f>IF(VLOOKUP(A290,'Revitalisation-Revitalisierung'!$A$4:$Z$275,26,FALSE)="","",VLOOKUP(A290,'Revitalisation-Revitalisierung'!$A$4:$Z$275,26,FALSE))</f>
        <v>c</v>
      </c>
      <c r="Y290" s="529" t="str">
        <f t="shared" ref="Y290:Y304" si="26">I290</f>
        <v>0-20%</v>
      </c>
      <c r="Z290" s="568" t="str">
        <f t="shared" ref="Z290:Z304" si="27">J290</f>
        <v>d</v>
      </c>
      <c r="AA290" s="327" t="str">
        <f t="shared" ref="AA290:AA304" si="28">M290</f>
        <v>81-100%</v>
      </c>
      <c r="AB290" s="327" t="str">
        <f t="shared" ref="AB290:AB304" si="29">N290</f>
        <v>Potentiellement affecté / möglicherweise betroffen</v>
      </c>
      <c r="AC290" s="276" t="str">
        <f t="shared" ref="AC290:AC303" si="30">U290</f>
        <v>Non nécessaire / nicht nötig</v>
      </c>
      <c r="AD290" s="570" t="str">
        <f t="shared" ref="AD290:AD303" si="31">V290</f>
        <v>c</v>
      </c>
      <c r="AE290">
        <v>3</v>
      </c>
      <c r="AF290">
        <v>1</v>
      </c>
    </row>
    <row r="291" spans="1:33" ht="16.5" customHeight="1" x14ac:dyDescent="0.25">
      <c r="A291" s="932">
        <v>386</v>
      </c>
      <c r="B291" s="409" t="s">
        <v>336</v>
      </c>
      <c r="C291" s="410" t="s">
        <v>337</v>
      </c>
      <c r="D291" s="411" t="s">
        <v>274</v>
      </c>
      <c r="E291" s="522" t="str">
        <f>IF(VLOOKUP(A291,'Charriage - Geschiebehaushalt'!$A$4:$AC$275,17,FALSE)="","",VLOOKUP(A291,'Charriage - Geschiebehaushalt'!$A$4:$AC$275,17,FALSE))</f>
        <v>0-20%</v>
      </c>
      <c r="F291" s="523" t="str">
        <f>IF(VLOOKUP(A291,'Charriage - Geschiebehaushalt'!$A$4:$AC$275,18,FALSE)="","",VLOOKUP(A291,'Charriage - Geschiebehaushalt'!$A$4:$AC$275,18,FALSE))</f>
        <v>a</v>
      </c>
      <c r="G291" s="524" t="str">
        <f>IF(VLOOKUP(A291,'Charriage - Geschiebehaushalt'!$A$4:$AC$275,22,FALSE)="","",VLOOKUP(A291,'Charriage - Geschiebehaushalt'!$A$4:$AC$275,22,FALSE))</f>
        <v>0-20%</v>
      </c>
      <c r="H291" s="523" t="str">
        <f>IF(VLOOKUP(A291,'Charriage - Geschiebehaushalt'!$A$4:$AC$275,23,FALSE)="","",VLOOKUP(A291,'Charriage - Geschiebehaushalt'!$A$4:$AC$275,23,FALSE))</f>
        <v>a</v>
      </c>
      <c r="I291" s="524" t="str">
        <f>IF(VLOOKUP(A291,'Charriage - Geschiebehaushalt'!$A$4:$AC$275,28,FALSE)="","",VLOOKUP(A291,'Charriage - Geschiebehaushalt'!$A$4:$AC$275,28,FALSE))</f>
        <v>0-20%</v>
      </c>
      <c r="J291" s="403" t="str">
        <f>IF(VLOOKUP(A291,'Charriage - Geschiebehaushalt'!$A$4:$AC$275,29,FALSE)="","",VLOOKUP(A291,'Charriage - Geschiebehaushalt'!$A$4:$AC$275,29,FALSE))</f>
        <v>a</v>
      </c>
      <c r="K291" s="533" t="str">
        <f>IF(VLOOKUP(A291,'Débit - Abfluss'!$A$4:$AD$275,8,FALSE)="","",VLOOKUP(A291,'Débit - Abfluss'!$A$4:$AD$275,8,FALSE))</f>
        <v>0-20%</v>
      </c>
      <c r="L291" s="468" t="str">
        <f>IF(VLOOKUP(A291,'Débit - Abfluss'!$A$4:$AD$275,10,FALSE)="","",VLOOKUP(A291,'Débit - Abfluss'!$A$4:$AD$275,10,FALSE))</f>
        <v>0-20%</v>
      </c>
      <c r="M291" s="333" t="str">
        <f>IF(VLOOKUP(A291,'Débit - Abfluss'!$A$4:$AD$275,17,FALSE)="","",VLOOKUP(A291,'Débit - Abfluss'!$A$4:$AD$275,17,FALSE))</f>
        <v>0-20%</v>
      </c>
      <c r="N291" s="340" t="str">
        <f>IF(VLOOKUP(A291,'Eclusée - Schwall-Sunk'!$A$2:$F$273,6,FALSE)="","",VLOOKUP(A291,'Eclusée - Schwall-Sunk'!$A$2:$F$273,6,FALSE))</f>
        <v>Non affecté / nicht betroffen</v>
      </c>
      <c r="O291" s="537"/>
      <c r="P291" s="538"/>
      <c r="Q291" s="284" t="str">
        <f>IF(VLOOKUP(A291,'Revitalisation-Revitalisierung'!$A$4:$Z$275,13,FALSE)="","",VLOOKUP(A291,'Revitalisation-Revitalisierung'!$A$4:$Z$275,13,FALSE))</f>
        <v>Non nécessaire / nicht nötig</v>
      </c>
      <c r="R291" s="541" t="str">
        <f>IF(VLOOKUP(A291,'Revitalisation-Revitalisierung'!$A$4:$Z$275,14,FALSE)="","",VLOOKUP(A291,'Revitalisation-Revitalisierung'!$A$4:$Z$275,14,FALSE))</f>
        <v>a</v>
      </c>
      <c r="S291" s="542" t="str">
        <f>IF(VLOOKUP(A291,'Revitalisation-Revitalisierung'!$A$4:$Z$275,19,FALSE)="","",VLOOKUP(A291,'Revitalisation-Revitalisierung'!$A$4:$Z$275,19,FALSE))</f>
        <v>Non nécessaire / nicht nötig</v>
      </c>
      <c r="T291" s="541" t="str">
        <f>IF(VLOOKUP(A291,'Revitalisation-Revitalisierung'!$A$4:$Z$275,20,FALSE)="","",VLOOKUP(A291,'Revitalisation-Revitalisierung'!$A$4:$Z$275,20,FALSE))</f>
        <v>a</v>
      </c>
      <c r="U291" s="542" t="str">
        <f>IF(VLOOKUP(A291,'Revitalisation-Revitalisierung'!$A$4:$Z$275,25,FALSE)="","",VLOOKUP(A291,'Revitalisation-Revitalisierung'!$A$4:$Z$275,25,FALSE))</f>
        <v>Non nécessaire / nicht nötig</v>
      </c>
      <c r="V291" s="406" t="str">
        <f>IF(VLOOKUP(A291,'Revitalisation-Revitalisierung'!$A$4:$Z$275,26,FALSE)="","",VLOOKUP(A291,'Revitalisation-Revitalisierung'!$A$4:$Z$275,26,FALSE))</f>
        <v>a</v>
      </c>
      <c r="Y291" s="529" t="str">
        <f t="shared" si="26"/>
        <v>0-20%</v>
      </c>
      <c r="Z291" s="568" t="str">
        <f t="shared" si="27"/>
        <v>a</v>
      </c>
      <c r="AA291" s="327" t="str">
        <f t="shared" si="28"/>
        <v>0-20%</v>
      </c>
      <c r="AB291" s="327" t="str">
        <f t="shared" si="29"/>
        <v>Non affecté / nicht betroffen</v>
      </c>
      <c r="AC291" s="276" t="str">
        <f t="shared" si="30"/>
        <v>Non nécessaire / nicht nötig</v>
      </c>
      <c r="AD291" s="570" t="str">
        <f t="shared" si="31"/>
        <v>a</v>
      </c>
      <c r="AE291">
        <v>3</v>
      </c>
      <c r="AF291">
        <v>1</v>
      </c>
    </row>
    <row r="292" spans="1:33" ht="16.5" customHeight="1" x14ac:dyDescent="0.25">
      <c r="A292" s="1233">
        <v>387</v>
      </c>
      <c r="B292" s="409" t="s">
        <v>338</v>
      </c>
      <c r="C292" s="410" t="s">
        <v>337</v>
      </c>
      <c r="D292" s="411" t="s">
        <v>274</v>
      </c>
      <c r="E292" s="522" t="str">
        <f>IF(VLOOKUP(A292,'Charriage - Geschiebehaushalt'!$A$4:$AC$275,17,FALSE)="","",VLOOKUP(A292,'Charriage - Geschiebehaushalt'!$A$4:$AC$275,17,FALSE))</f>
        <v>0-20%</v>
      </c>
      <c r="F292" s="523" t="str">
        <f>IF(VLOOKUP(A292,'Charriage - Geschiebehaushalt'!$A$4:$AC$275,18,FALSE)="","",VLOOKUP(A292,'Charriage - Geschiebehaushalt'!$A$4:$AC$275,18,FALSE))</f>
        <v>a</v>
      </c>
      <c r="G292" s="524" t="str">
        <f>IF(VLOOKUP(A292,'Charriage - Geschiebehaushalt'!$A$4:$AC$275,22,FALSE)="","",VLOOKUP(A292,'Charriage - Geschiebehaushalt'!$A$4:$AC$275,22,FALSE))</f>
        <v>0-20%</v>
      </c>
      <c r="H292" s="523" t="str">
        <f>IF(VLOOKUP(A292,'Charriage - Geschiebehaushalt'!$A$4:$AC$275,23,FALSE)="","",VLOOKUP(A292,'Charriage - Geschiebehaushalt'!$A$4:$AC$275,23,FALSE))</f>
        <v>d</v>
      </c>
      <c r="I292" s="524" t="str">
        <f>IF(VLOOKUP(A292,'Charriage - Geschiebehaushalt'!$A$4:$AC$275,28,FALSE)="","",VLOOKUP(A292,'Charriage - Geschiebehaushalt'!$A$4:$AC$275,28,FALSE))</f>
        <v>0-20%</v>
      </c>
      <c r="J292" s="403" t="str">
        <f>IF(VLOOKUP(A292,'Charriage - Geschiebehaushalt'!$A$4:$AC$275,29,FALSE)="","",VLOOKUP(A292,'Charriage - Geschiebehaushalt'!$A$4:$AC$275,29,FALSE))</f>
        <v>d</v>
      </c>
      <c r="K292" s="533" t="str">
        <f>IF(VLOOKUP(A292,'Débit - Abfluss'!$A$4:$AD$275,8,FALSE)="","",VLOOKUP(A292,'Débit - Abfluss'!$A$4:$AD$275,8,FALSE))</f>
        <v>0-20%</v>
      </c>
      <c r="L292" s="468" t="str">
        <f>IF(VLOOKUP(A292,'Débit - Abfluss'!$A$4:$AD$275,10,FALSE)="","",VLOOKUP(A292,'Débit - Abfluss'!$A$4:$AD$275,10,FALSE))</f>
        <v>0-20%</v>
      </c>
      <c r="M292" s="333" t="str">
        <f>IF(VLOOKUP(A292,'Débit - Abfluss'!$A$4:$AD$275,17,FALSE)="","",VLOOKUP(A292,'Débit - Abfluss'!$A$4:$AD$275,17,FALSE))</f>
        <v>0-20%</v>
      </c>
      <c r="N292" s="340" t="str">
        <f>IF(VLOOKUP(A292,'Eclusée - Schwall-Sunk'!$A$2:$F$273,6,FALSE)="","",VLOOKUP(A292,'Eclusée - Schwall-Sunk'!$A$2:$F$273,6,FALSE))</f>
        <v>Non affecté / nicht betroffen</v>
      </c>
      <c r="O292" s="537"/>
      <c r="P292" s="538"/>
      <c r="Q292" s="284" t="str">
        <f>IF(VLOOKUP(A292,'Revitalisation-Revitalisierung'!$A$4:$Z$275,13,FALSE)="","",VLOOKUP(A292,'Revitalisation-Revitalisierung'!$A$4:$Z$275,13,FALSE))</f>
        <v>Non nécessaire / nicht nötig</v>
      </c>
      <c r="R292" s="541" t="str">
        <f>IF(VLOOKUP(A292,'Revitalisation-Revitalisierung'!$A$4:$Z$275,14,FALSE)="","",VLOOKUP(A292,'Revitalisation-Revitalisierung'!$A$4:$Z$275,14,FALSE))</f>
        <v>a</v>
      </c>
      <c r="S292" s="542" t="str">
        <f>IF(VLOOKUP(A292,'Revitalisation-Revitalisierung'!$A$4:$Z$275,19,FALSE)="","",VLOOKUP(A292,'Revitalisation-Revitalisierung'!$A$4:$Z$275,19,FALSE))</f>
        <v>Non nécessaire / nicht nötig</v>
      </c>
      <c r="T292" s="541" t="str">
        <f>IF(VLOOKUP(A292,'Revitalisation-Revitalisierung'!$A$4:$Z$275,20,FALSE)="","",VLOOKUP(A292,'Revitalisation-Revitalisierung'!$A$4:$Z$275,20,FALSE))</f>
        <v>d</v>
      </c>
      <c r="U292" s="542" t="str">
        <f>IF(VLOOKUP(A292,'Revitalisation-Revitalisierung'!$A$4:$Z$275,25,FALSE)="","",VLOOKUP(A292,'Revitalisation-Revitalisierung'!$A$4:$Z$275,25,FALSE))</f>
        <v>Non nécessaire / nicht nötig</v>
      </c>
      <c r="V292" s="406" t="str">
        <f>IF(VLOOKUP(A292,'Revitalisation-Revitalisierung'!$A$4:$Z$275,26,FALSE)="","",VLOOKUP(A292,'Revitalisation-Revitalisierung'!$A$4:$Z$275,26,FALSE))</f>
        <v>d</v>
      </c>
      <c r="Y292" s="529" t="str">
        <f t="shared" si="26"/>
        <v>0-20%</v>
      </c>
      <c r="Z292" s="568" t="str">
        <f t="shared" si="27"/>
        <v>d</v>
      </c>
      <c r="AA292" s="327" t="str">
        <f t="shared" si="28"/>
        <v>0-20%</v>
      </c>
      <c r="AB292" s="327" t="str">
        <f t="shared" si="29"/>
        <v>Non affecté / nicht betroffen</v>
      </c>
      <c r="AC292" s="276" t="str">
        <f t="shared" si="30"/>
        <v>Non nécessaire / nicht nötig</v>
      </c>
      <c r="AD292" s="570" t="str">
        <f t="shared" si="31"/>
        <v>d</v>
      </c>
      <c r="AE292">
        <v>3</v>
      </c>
      <c r="AF292">
        <v>1</v>
      </c>
    </row>
    <row r="293" spans="1:33" ht="16.5" customHeight="1" x14ac:dyDescent="0.25">
      <c r="A293" s="929">
        <v>388</v>
      </c>
      <c r="B293" s="409" t="s">
        <v>339</v>
      </c>
      <c r="C293" s="410" t="s">
        <v>340</v>
      </c>
      <c r="D293" s="411" t="s">
        <v>274</v>
      </c>
      <c r="E293" s="522" t="str">
        <f>IF(VLOOKUP(A293,'Charriage - Geschiebehaushalt'!$A$4:$AC$275,17,FALSE)="","",VLOOKUP(A293,'Charriage - Geschiebehaushalt'!$A$4:$AC$275,17,FALSE))</f>
        <v>0-20%</v>
      </c>
      <c r="F293" s="523" t="str">
        <f>IF(VLOOKUP(A293,'Charriage - Geschiebehaushalt'!$A$4:$AC$275,18,FALSE)="","",VLOOKUP(A293,'Charriage - Geschiebehaushalt'!$A$4:$AC$275,18,FALSE))</f>
        <v>a</v>
      </c>
      <c r="G293" s="524" t="str">
        <f>IF(VLOOKUP(A293,'Charriage - Geschiebehaushalt'!$A$4:$AC$275,22,FALSE)="","",VLOOKUP(A293,'Charriage - Geschiebehaushalt'!$A$4:$AC$275,22,FALSE))</f>
        <v>0-20%</v>
      </c>
      <c r="H293" s="523" t="str">
        <f>IF(VLOOKUP(A293,'Charriage - Geschiebehaushalt'!$A$4:$AC$275,23,FALSE)="","",VLOOKUP(A293,'Charriage - Geschiebehaushalt'!$A$4:$AC$275,23,FALSE))</f>
        <v>d</v>
      </c>
      <c r="I293" s="524" t="str">
        <f>IF(VLOOKUP(A293,'Charriage - Geschiebehaushalt'!$A$4:$AC$275,28,FALSE)="","",VLOOKUP(A293,'Charriage - Geschiebehaushalt'!$A$4:$AC$275,28,FALSE))</f>
        <v>0-20%</v>
      </c>
      <c r="J293" s="403" t="str">
        <f>IF(VLOOKUP(A293,'Charriage - Geschiebehaushalt'!$A$4:$AC$275,29,FALSE)="","",VLOOKUP(A293,'Charriage - Geschiebehaushalt'!$A$4:$AC$275,29,FALSE))</f>
        <v>d</v>
      </c>
      <c r="K293" s="533" t="str">
        <f>IF(VLOOKUP(A293,'Débit - Abfluss'!$A$4:$AD$275,8,FALSE)="","",VLOOKUP(A293,'Débit - Abfluss'!$A$4:$AD$275,8,FALSE))</f>
        <v>21-40%</v>
      </c>
      <c r="L293" s="468" t="str">
        <f>IF(VLOOKUP(A293,'Débit - Abfluss'!$A$4:$AD$275,10,FALSE)="","",VLOOKUP(A293,'Débit - Abfluss'!$A$4:$AD$275,10,FALSE))</f>
        <v>21-40%</v>
      </c>
      <c r="M293" s="333" t="str">
        <f>IF(VLOOKUP(A293,'Débit - Abfluss'!$A$4:$AD$275,17,FALSE)="","",VLOOKUP(A293,'Débit - Abfluss'!$A$4:$AD$275,17,FALSE))</f>
        <v>21-40%</v>
      </c>
      <c r="N293" s="340" t="str">
        <f>IF(VLOOKUP(A293,'Eclusée - Schwall-Sunk'!$A$2:$F$273,6,FALSE)="","",VLOOKUP(A293,'Eclusée - Schwall-Sunk'!$A$2:$F$273,6,FALSE))</f>
        <v>Potentiellement affecté / möglicherweise betroffen</v>
      </c>
      <c r="O293" s="537"/>
      <c r="P293" s="538"/>
      <c r="Q293" s="284" t="str">
        <f>IF(VLOOKUP(A293,'Revitalisation-Revitalisierung'!$A$4:$Z$275,13,FALSE)="","",VLOOKUP(A293,'Revitalisation-Revitalisierung'!$A$4:$Z$275,13,FALSE))</f>
        <v>Non nécessaire / nicht nötig</v>
      </c>
      <c r="R293" s="541" t="str">
        <f>IF(VLOOKUP(A293,'Revitalisation-Revitalisierung'!$A$4:$Z$275,14,FALSE)="","",VLOOKUP(A293,'Revitalisation-Revitalisierung'!$A$4:$Z$275,14,FALSE))</f>
        <v>a</v>
      </c>
      <c r="S293" s="542" t="str">
        <f>IF(VLOOKUP(A293,'Revitalisation-Revitalisierung'!$A$4:$Z$275,19,FALSE)="","",VLOOKUP(A293,'Revitalisation-Revitalisierung'!$A$4:$Z$275,19,FALSE))</f>
        <v>Non nécessaire / nicht nötig</v>
      </c>
      <c r="T293" s="541" t="str">
        <f>IF(VLOOKUP(A293,'Revitalisation-Revitalisierung'!$A$4:$Z$275,20,FALSE)="","",VLOOKUP(A293,'Revitalisation-Revitalisierung'!$A$4:$Z$275,20,FALSE))</f>
        <v>d</v>
      </c>
      <c r="U293" s="542" t="str">
        <f>IF(VLOOKUP(A293,'Revitalisation-Revitalisierung'!$A$4:$Z$275,25,FALSE)="","",VLOOKUP(A293,'Revitalisation-Revitalisierung'!$A$4:$Z$275,25,FALSE))</f>
        <v>Non nécessaire / nicht nötig</v>
      </c>
      <c r="V293" s="406" t="str">
        <f>IF(VLOOKUP(A293,'Revitalisation-Revitalisierung'!$A$4:$Z$275,26,FALSE)="","",VLOOKUP(A293,'Revitalisation-Revitalisierung'!$A$4:$Z$275,26,FALSE))</f>
        <v>d</v>
      </c>
      <c r="Y293" s="529" t="str">
        <f t="shared" si="26"/>
        <v>0-20%</v>
      </c>
      <c r="Z293" s="568" t="str">
        <f t="shared" si="27"/>
        <v>d</v>
      </c>
      <c r="AA293" s="327" t="str">
        <f t="shared" si="28"/>
        <v>21-40%</v>
      </c>
      <c r="AB293" s="327" t="str">
        <f t="shared" si="29"/>
        <v>Potentiellement affecté / möglicherweise betroffen</v>
      </c>
      <c r="AC293" s="276" t="str">
        <f t="shared" si="30"/>
        <v>Non nécessaire / nicht nötig</v>
      </c>
      <c r="AD293" s="570" t="str">
        <f t="shared" si="31"/>
        <v>d</v>
      </c>
      <c r="AE293">
        <v>3</v>
      </c>
      <c r="AF293">
        <v>1</v>
      </c>
    </row>
    <row r="294" spans="1:33" ht="16.5" customHeight="1" x14ac:dyDescent="0.25">
      <c r="A294" s="1233">
        <v>389</v>
      </c>
      <c r="B294" s="409" t="s">
        <v>341</v>
      </c>
      <c r="C294" s="410" t="s">
        <v>342</v>
      </c>
      <c r="D294" s="411" t="s">
        <v>274</v>
      </c>
      <c r="E294" s="522" t="str">
        <f>IF(VLOOKUP(A294,'Charriage - Geschiebehaushalt'!$A$4:$AC$275,17,FALSE)="","",VLOOKUP(A294,'Charriage - Geschiebehaushalt'!$A$4:$AC$275,17,FALSE))</f>
        <v>0-20%</v>
      </c>
      <c r="F294" s="523" t="str">
        <f>IF(VLOOKUP(A294,'Charriage - Geschiebehaushalt'!$A$4:$AC$275,18,FALSE)="","",VLOOKUP(A294,'Charriage - Geschiebehaushalt'!$A$4:$AC$275,18,FALSE))</f>
        <v>a</v>
      </c>
      <c r="G294" s="524" t="str">
        <f>IF(VLOOKUP(A294,'Charriage - Geschiebehaushalt'!$A$4:$AC$275,22,FALSE)="","",VLOOKUP(A294,'Charriage - Geschiebehaushalt'!$A$4:$AC$275,22,FALSE))</f>
        <v>21-50%</v>
      </c>
      <c r="H294" s="523" t="str">
        <f>IF(VLOOKUP(A294,'Charriage - Geschiebehaushalt'!$A$4:$AC$275,23,FALSE)="","",VLOOKUP(A294,'Charriage - Geschiebehaushalt'!$A$4:$AC$275,23,FALSE))</f>
        <v>c</v>
      </c>
      <c r="I294" s="524" t="str">
        <f>IF(VLOOKUP(A294,'Charriage - Geschiebehaushalt'!$A$4:$AC$275,28,FALSE)="","",VLOOKUP(A294,'Charriage - Geschiebehaushalt'!$A$4:$AC$275,28,FALSE))</f>
        <v>21-50%</v>
      </c>
      <c r="J294" s="403" t="str">
        <f>IF(VLOOKUP(A294,'Charriage - Geschiebehaushalt'!$A$4:$AC$275,29,FALSE)="","",VLOOKUP(A294,'Charriage - Geschiebehaushalt'!$A$4:$AC$275,29,FALSE))</f>
        <v>c</v>
      </c>
      <c r="K294" s="533" t="str">
        <f>IF(VLOOKUP(A294,'Débit - Abfluss'!$A$4:$AD$275,8,FALSE)="","",VLOOKUP(A294,'Débit - Abfluss'!$A$4:$AD$275,8,FALSE))</f>
        <v>41-60%</v>
      </c>
      <c r="L294" s="468" t="str">
        <f>IF(VLOOKUP(A294,'Débit - Abfluss'!$A$4:$AD$275,10,FALSE)="","",VLOOKUP(A294,'Débit - Abfluss'!$A$4:$AD$275,10,FALSE))</f>
        <v>41-60%</v>
      </c>
      <c r="M294" s="333" t="str">
        <f>IF(VLOOKUP(A294,'Débit - Abfluss'!$A$4:$AD$275,17,FALSE)="","",VLOOKUP(A294,'Débit - Abfluss'!$A$4:$AD$275,17,FALSE))</f>
        <v>41-60%</v>
      </c>
      <c r="N294" s="340" t="str">
        <f>IF(VLOOKUP(A294,'Eclusée - Schwall-Sunk'!$A$2:$F$273,6,FALSE)="","",VLOOKUP(A294,'Eclusée - Schwall-Sunk'!$A$2:$F$273,6,FALSE))</f>
        <v>Potentiellement affecté / möglicherweise betroffen</v>
      </c>
      <c r="O294" s="537"/>
      <c r="P294" s="538"/>
      <c r="Q294" s="284" t="str">
        <f>IF(VLOOKUP(A294,'Revitalisation-Revitalisierung'!$A$4:$Z$275,13,FALSE)="","",VLOOKUP(A294,'Revitalisation-Revitalisierung'!$A$4:$Z$275,13,FALSE))</f>
        <v>Partiellement nécessaire, facile / teilweise nötig, einfach</v>
      </c>
      <c r="R294" s="541" t="str">
        <f>IF(VLOOKUP(A294,'Revitalisation-Revitalisierung'!$A$4:$Z$275,14,FALSE)="","",VLOOKUP(A294,'Revitalisation-Revitalisierung'!$A$4:$Z$275,14,FALSE))</f>
        <v>b</v>
      </c>
      <c r="S294" s="542" t="str">
        <f>IF(VLOOKUP(A294,'Revitalisation-Revitalisierung'!$A$4:$Z$275,19,FALSE)="","",VLOOKUP(A294,'Revitalisation-Revitalisierung'!$A$4:$Z$275,19,FALSE))</f>
        <v>Partiellement nécessaire, facile / teilweise nötig, einfach</v>
      </c>
      <c r="T294" s="541" t="str">
        <f>IF(VLOOKUP(A294,'Revitalisation-Revitalisierung'!$A$4:$Z$275,20,FALSE)="","",VLOOKUP(A294,'Revitalisation-Revitalisierung'!$A$4:$Z$275,20,FALSE))</f>
        <v>d</v>
      </c>
      <c r="U294" s="542" t="str">
        <f>IF(VLOOKUP(A294,'Revitalisation-Revitalisierung'!$A$4:$Z$275,25,FALSE)="","",VLOOKUP(A294,'Revitalisation-Revitalisierung'!$A$4:$Z$275,25,FALSE))</f>
        <v>Partiellement nécessaire, facile / teilweise nötig, einfach</v>
      </c>
      <c r="V294" s="406" t="str">
        <f>IF(VLOOKUP(A294,'Revitalisation-Revitalisierung'!$A$4:$Z$275,26,FALSE)="","",VLOOKUP(A294,'Revitalisation-Revitalisierung'!$A$4:$Z$275,26,FALSE))</f>
        <v>d</v>
      </c>
      <c r="Y294" s="529" t="str">
        <f t="shared" si="26"/>
        <v>21-50%</v>
      </c>
      <c r="Z294" s="568" t="str">
        <f t="shared" si="27"/>
        <v>c</v>
      </c>
      <c r="AA294" s="327" t="str">
        <f t="shared" si="28"/>
        <v>41-60%</v>
      </c>
      <c r="AB294" s="327" t="str">
        <f t="shared" si="29"/>
        <v>Potentiellement affecté / möglicherweise betroffen</v>
      </c>
      <c r="AC294" s="276" t="str">
        <f t="shared" si="30"/>
        <v>Partiellement nécessaire, facile / teilweise nötig, einfach</v>
      </c>
      <c r="AD294" s="570" t="str">
        <f t="shared" si="31"/>
        <v>d</v>
      </c>
      <c r="AE294">
        <v>4</v>
      </c>
      <c r="AF294">
        <v>1</v>
      </c>
    </row>
    <row r="295" spans="1:33" ht="16.5" customHeight="1" x14ac:dyDescent="0.25">
      <c r="A295" s="1233">
        <v>390</v>
      </c>
      <c r="B295" s="409" t="s">
        <v>343</v>
      </c>
      <c r="C295" s="410" t="s">
        <v>344</v>
      </c>
      <c r="D295" s="411" t="s">
        <v>274</v>
      </c>
      <c r="E295" s="522" t="str">
        <f>IF(VLOOKUP(A295,'Charriage - Geschiebehaushalt'!$A$4:$AC$275,17,FALSE)="","",VLOOKUP(A295,'Charriage - Geschiebehaushalt'!$A$4:$AC$275,17,FALSE))</f>
        <v>Déficit non apparent en charriage ou en remobilisation des sédiments / kein sichtbares Defizit beim Geschiebehaushalt bzw. bei der Mobilisierung von Geschiebe</v>
      </c>
      <c r="F295" s="523" t="str">
        <f>IF(VLOOKUP(A295,'Charriage - Geschiebehaushalt'!$A$4:$AC$275,18,FALSE)="","",VLOOKUP(A295,'Charriage - Geschiebehaushalt'!$A$4:$AC$275,18,FALSE))</f>
        <v>b</v>
      </c>
      <c r="G295" s="524" t="str">
        <f>IF(VLOOKUP(A295,'Charriage - Geschiebehaushalt'!$A$4:$AC$275,22,FALSE)="","",VLOOKUP(A295,'Charriage - Geschiebehaushalt'!$A$4:$AC$275,22,FALSE))</f>
        <v>0-20%</v>
      </c>
      <c r="H295" s="523" t="str">
        <f>IF(VLOOKUP(A295,'Charriage - Geschiebehaushalt'!$A$4:$AC$275,23,FALSE)="","",VLOOKUP(A295,'Charriage - Geschiebehaushalt'!$A$4:$AC$275,23,FALSE))</f>
        <v>b</v>
      </c>
      <c r="I295" s="524" t="str">
        <f>IF(VLOOKUP(A295,'Charriage - Geschiebehaushalt'!$A$4:$AC$275,28,FALSE)="","",VLOOKUP(A295,'Charriage - Geschiebehaushalt'!$A$4:$AC$275,28,FALSE))</f>
        <v>0-20%</v>
      </c>
      <c r="J295" s="403" t="str">
        <f>IF(VLOOKUP(A295,'Charriage - Geschiebehaushalt'!$A$4:$AC$275,29,FALSE)="","",VLOOKUP(A295,'Charriage - Geschiebehaushalt'!$A$4:$AC$275,29,FALSE))</f>
        <v>b</v>
      </c>
      <c r="K295" s="533" t="str">
        <f>IF(VLOOKUP(A295,'Débit - Abfluss'!$A$4:$AD$275,8,FALSE)="","",VLOOKUP(A295,'Débit - Abfluss'!$A$4:$AD$275,8,FALSE))</f>
        <v>Régime présumé naturel (100%) / Abfluss vermutlich natürlich</v>
      </c>
      <c r="L295" s="468" t="str">
        <f>IF(VLOOKUP(A295,'Débit - Abfluss'!$A$4:$AD$275,10,FALSE)="","",VLOOKUP(A295,'Débit - Abfluss'!$A$4:$AD$275,10,FALSE))</f>
        <v>Régime présumé naturel (100%) / Abfluss vermutlich natürlich</v>
      </c>
      <c r="M295" s="333" t="str">
        <f>IF(VLOOKUP(A295,'Débit - Abfluss'!$A$4:$AD$275,17,FALSE)="","",VLOOKUP(A295,'Débit - Abfluss'!$A$4:$AD$275,17,FALSE))</f>
        <v>Régime présumé naturel (100%) / Abfluss vermutlich natürlich</v>
      </c>
      <c r="N295" s="340" t="str">
        <f>IF(VLOOKUP(A295,'Eclusée - Schwall-Sunk'!$A$2:$F$273,6,FALSE)="","",VLOOKUP(A295,'Eclusée - Schwall-Sunk'!$A$2:$F$273,6,FALSE))</f>
        <v>Non affecté / nicht betroffen</v>
      </c>
      <c r="O295" s="537"/>
      <c r="P295" s="538"/>
      <c r="Q295" s="284" t="str">
        <f>IF(VLOOKUP(A295,'Revitalisation-Revitalisierung'!$A$4:$Z$275,13,FALSE)="","",VLOOKUP(A295,'Revitalisation-Revitalisierung'!$A$4:$Z$275,13,FALSE))</f>
        <v>Non nécessaire / nicht nötig</v>
      </c>
      <c r="R295" s="541" t="str">
        <f>IF(VLOOKUP(A295,'Revitalisation-Revitalisierung'!$A$4:$Z$275,14,FALSE)="","",VLOOKUP(A295,'Revitalisation-Revitalisierung'!$A$4:$Z$275,14,FALSE))</f>
        <v>a</v>
      </c>
      <c r="S295" s="542" t="str">
        <f>IF(VLOOKUP(A295,'Revitalisation-Revitalisierung'!$A$4:$Z$275,19,FALSE)="","",VLOOKUP(A295,'Revitalisation-Revitalisierung'!$A$4:$Z$275,19,FALSE))</f>
        <v>Non nécessaire / nicht nötig</v>
      </c>
      <c r="T295" s="541" t="str">
        <f>IF(VLOOKUP(A295,'Revitalisation-Revitalisierung'!$A$4:$Z$275,20,FALSE)="","",VLOOKUP(A295,'Revitalisation-Revitalisierung'!$A$4:$Z$275,20,FALSE))</f>
        <v>a</v>
      </c>
      <c r="U295" s="542" t="str">
        <f>IF(VLOOKUP(A295,'Revitalisation-Revitalisierung'!$A$4:$Z$275,25,FALSE)="","",VLOOKUP(A295,'Revitalisation-Revitalisierung'!$A$4:$Z$275,25,FALSE))</f>
        <v>Non nécessaire / nicht nötig</v>
      </c>
      <c r="V295" s="406" t="str">
        <f>IF(VLOOKUP(A295,'Revitalisation-Revitalisierung'!$A$4:$Z$275,26,FALSE)="","",VLOOKUP(A295,'Revitalisation-Revitalisierung'!$A$4:$Z$275,26,FALSE))</f>
        <v>a</v>
      </c>
      <c r="Y295" s="529" t="str">
        <f t="shared" si="26"/>
        <v>0-20%</v>
      </c>
      <c r="Z295" s="568" t="str">
        <f t="shared" si="27"/>
        <v>b</v>
      </c>
      <c r="AA295" s="327" t="str">
        <f t="shared" si="28"/>
        <v>Régime présumé naturel (100%) / Abfluss vermutlich natürlich</v>
      </c>
      <c r="AB295" s="327" t="str">
        <f t="shared" si="29"/>
        <v>Non affecté / nicht betroffen</v>
      </c>
      <c r="AC295" s="276" t="str">
        <f t="shared" si="30"/>
        <v>Non nécessaire / nicht nötig</v>
      </c>
      <c r="AD295" s="570" t="str">
        <f t="shared" si="31"/>
        <v>a</v>
      </c>
      <c r="AE295">
        <v>1</v>
      </c>
      <c r="AF295">
        <v>1</v>
      </c>
      <c r="AG295">
        <v>1</v>
      </c>
    </row>
    <row r="296" spans="1:33" ht="16.5" customHeight="1" x14ac:dyDescent="0.25">
      <c r="A296" s="1233">
        <v>391</v>
      </c>
      <c r="B296" s="409" t="s">
        <v>345</v>
      </c>
      <c r="C296" s="410" t="s">
        <v>346</v>
      </c>
      <c r="D296" s="411" t="s">
        <v>274</v>
      </c>
      <c r="E296" s="522" t="str">
        <f>IF(VLOOKUP(A296,'Charriage - Geschiebehaushalt'!$A$4:$AC$275,17,FALSE)="","",VLOOKUP(A296,'Charriage - Geschiebehaushalt'!$A$4:$AC$275,17,FALSE))</f>
        <v>La remobilisation des sédiments est perturbée / Mobilisierung von Geschiebe beeinträchtigt</v>
      </c>
      <c r="F296" s="523" t="str">
        <f>IF(VLOOKUP(A296,'Charriage - Geschiebehaushalt'!$A$4:$AC$275,18,FALSE)="","",VLOOKUP(A296,'Charriage - Geschiebehaushalt'!$A$4:$AC$275,18,FALSE))</f>
        <v>b</v>
      </c>
      <c r="G296" s="524" t="str">
        <f>IF(VLOOKUP(A296,'Charriage - Geschiebehaushalt'!$A$4:$AC$275,22,FALSE)="","",VLOOKUP(A296,'Charriage - Geschiebehaushalt'!$A$4:$AC$275,22,FALSE))</f>
        <v>21-50%</v>
      </c>
      <c r="H296" s="523" t="str">
        <f>IF(VLOOKUP(A296,'Charriage - Geschiebehaushalt'!$A$4:$AC$275,23,FALSE)="","",VLOOKUP(A296,'Charriage - Geschiebehaushalt'!$A$4:$AC$275,23,FALSE))</f>
        <v>d</v>
      </c>
      <c r="I296" s="524" t="str">
        <f>IF(VLOOKUP(A296,'Charriage - Geschiebehaushalt'!$A$4:$AC$275,28,FALSE)="","",VLOOKUP(A296,'Charriage - Geschiebehaushalt'!$A$4:$AC$275,28,FALSE))</f>
        <v>21-50%</v>
      </c>
      <c r="J296" s="403" t="str">
        <f>IF(VLOOKUP(A296,'Charriage - Geschiebehaushalt'!$A$4:$AC$275,29,FALSE)="","",VLOOKUP(A296,'Charriage - Geschiebehaushalt'!$A$4:$AC$275,29,FALSE))</f>
        <v>d</v>
      </c>
      <c r="K296" s="533" t="str">
        <f>IF(VLOOKUP(A296,'Débit - Abfluss'!$A$4:$AD$275,8,FALSE)="","",VLOOKUP(A296,'Débit - Abfluss'!$A$4:$AD$275,8,FALSE))</f>
        <v>21-40%</v>
      </c>
      <c r="L296" s="468" t="str">
        <f>IF(VLOOKUP(A296,'Débit - Abfluss'!$A$4:$AD$275,10,FALSE)="","",VLOOKUP(A296,'Débit - Abfluss'!$A$4:$AD$275,10,FALSE))</f>
        <v>21-40%</v>
      </c>
      <c r="M296" s="333" t="str">
        <f>IF(VLOOKUP(A296,'Débit - Abfluss'!$A$4:$AD$275,17,FALSE)="","",VLOOKUP(A296,'Débit - Abfluss'!$A$4:$AD$275,17,FALSE))</f>
        <v>21-40%</v>
      </c>
      <c r="N296" s="340" t="str">
        <f>IF(VLOOKUP(A296,'Eclusée - Schwall-Sunk'!$A$2:$F$273,6,FALSE)="","",VLOOKUP(A296,'Eclusée - Schwall-Sunk'!$A$2:$F$273,6,FALSE))</f>
        <v>Non affecté / nicht betroffen</v>
      </c>
      <c r="O296" s="537"/>
      <c r="P296" s="538"/>
      <c r="Q296" s="284" t="str">
        <f>IF(VLOOKUP(A296,'Revitalisation-Revitalisierung'!$A$4:$Z$275,13,FALSE)="","",VLOOKUP(A296,'Revitalisation-Revitalisierung'!$A$4:$Z$275,13,FALSE))</f>
        <v>Partiellement nécessaire, difficile / teilweise nötig, schwierig</v>
      </c>
      <c r="R296" s="541" t="str">
        <f>IF(VLOOKUP(A296,'Revitalisation-Revitalisierung'!$A$4:$Z$275,14,FALSE)="","",VLOOKUP(A296,'Revitalisation-Revitalisierung'!$A$4:$Z$275,14,FALSE))</f>
        <v>b</v>
      </c>
      <c r="S296" s="542" t="str">
        <f>IF(VLOOKUP(A296,'Revitalisation-Revitalisierung'!$A$4:$Z$275,19,FALSE)="","",VLOOKUP(A296,'Revitalisation-Revitalisierung'!$A$4:$Z$275,19,FALSE))</f>
        <v>Partiellement nécessaire, difficile / teilweise nötig, schwierig</v>
      </c>
      <c r="T296" s="541" t="str">
        <f>IF(VLOOKUP(A296,'Revitalisation-Revitalisierung'!$A$4:$Z$275,20,FALSE)="","",VLOOKUP(A296,'Revitalisation-Revitalisierung'!$A$4:$Z$275,20,FALSE))</f>
        <v>d</v>
      </c>
      <c r="U296" s="542" t="str">
        <f>IF(VLOOKUP(A296,'Revitalisation-Revitalisierung'!$A$4:$Z$275,25,FALSE)="","",VLOOKUP(A296,'Revitalisation-Revitalisierung'!$A$4:$Z$275,25,FALSE))</f>
        <v>Partiellement nécessaire, difficile / teilweise nötig, schwierig</v>
      </c>
      <c r="V296" s="406" t="str">
        <f>IF(VLOOKUP(A296,'Revitalisation-Revitalisierung'!$A$4:$Z$275,26,FALSE)="","",VLOOKUP(A296,'Revitalisation-Revitalisierung'!$A$4:$Z$275,26,FALSE))</f>
        <v>d</v>
      </c>
      <c r="Y296" s="529" t="str">
        <f t="shared" si="26"/>
        <v>21-50%</v>
      </c>
      <c r="Z296" s="568" t="str">
        <f t="shared" si="27"/>
        <v>d</v>
      </c>
      <c r="AA296" s="327" t="str">
        <f t="shared" si="28"/>
        <v>21-40%</v>
      </c>
      <c r="AB296" s="327" t="str">
        <f t="shared" si="29"/>
        <v>Non affecté / nicht betroffen</v>
      </c>
      <c r="AC296" s="276" t="str">
        <f t="shared" si="30"/>
        <v>Partiellement nécessaire, difficile / teilweise nötig, schwierig</v>
      </c>
      <c r="AD296" s="570" t="str">
        <f t="shared" si="31"/>
        <v>d</v>
      </c>
      <c r="AE296" t="s">
        <v>1903</v>
      </c>
      <c r="AF296">
        <v>1</v>
      </c>
    </row>
    <row r="297" spans="1:33" ht="16.5" customHeight="1" x14ac:dyDescent="0.25">
      <c r="A297" s="1233">
        <v>392</v>
      </c>
      <c r="B297" s="409" t="s">
        <v>347</v>
      </c>
      <c r="C297" s="410" t="s">
        <v>348</v>
      </c>
      <c r="D297" s="411" t="s">
        <v>274</v>
      </c>
      <c r="E297" s="522" t="str">
        <f>IF(VLOOKUP(A297,'Charriage - Geschiebehaushalt'!$A$4:$AC$275,17,FALSE)="","",VLOOKUP(A297,'Charriage - Geschiebehaushalt'!$A$4:$AC$275,17,FALSE))</f>
        <v>0-20%</v>
      </c>
      <c r="F297" s="523" t="str">
        <f>IF(VLOOKUP(A297,'Charriage - Geschiebehaushalt'!$A$4:$AC$275,18,FALSE)="","",VLOOKUP(A297,'Charriage - Geschiebehaushalt'!$A$4:$AC$275,18,FALSE))</f>
        <v>a</v>
      </c>
      <c r="G297" s="524" t="str">
        <f>IF(VLOOKUP(A297,'Charriage - Geschiebehaushalt'!$A$4:$AC$275,22,FALSE)="","",VLOOKUP(A297,'Charriage - Geschiebehaushalt'!$A$4:$AC$275,22,FALSE))</f>
        <v>21-50%</v>
      </c>
      <c r="H297" s="523" t="str">
        <f>IF(VLOOKUP(A297,'Charriage - Geschiebehaushalt'!$A$4:$AC$275,23,FALSE)="","",VLOOKUP(A297,'Charriage - Geschiebehaushalt'!$A$4:$AC$275,23,FALSE))</f>
        <v>d</v>
      </c>
      <c r="I297" s="524" t="str">
        <f>IF(VLOOKUP(A297,'Charriage - Geschiebehaushalt'!$A$4:$AC$275,28,FALSE)="","",VLOOKUP(A297,'Charriage - Geschiebehaushalt'!$A$4:$AC$275,28,FALSE))</f>
        <v>21-50%</v>
      </c>
      <c r="J297" s="403" t="str">
        <f>IF(VLOOKUP(A297,'Charriage - Geschiebehaushalt'!$A$4:$AC$275,29,FALSE)="","",VLOOKUP(A297,'Charriage - Geschiebehaushalt'!$A$4:$AC$275,29,FALSE))</f>
        <v>d</v>
      </c>
      <c r="K297" s="533" t="str">
        <f>IF(VLOOKUP(A297,'Débit - Abfluss'!$A$4:$AD$275,8,FALSE)="","",VLOOKUP(A297,'Débit - Abfluss'!$A$4:$AD$275,8,FALSE))</f>
        <v>0-20%</v>
      </c>
      <c r="L297" s="468" t="str">
        <f>IF(VLOOKUP(A297,'Débit - Abfluss'!$A$4:$AD$275,10,FALSE)="","",VLOOKUP(A297,'Débit - Abfluss'!$A$4:$AD$275,10,FALSE))</f>
        <v>0-20%</v>
      </c>
      <c r="M297" s="333" t="str">
        <f>IF(VLOOKUP(A297,'Débit - Abfluss'!$A$4:$AD$275,17,FALSE)="","",VLOOKUP(A297,'Débit - Abfluss'!$A$4:$AD$275,17,FALSE))</f>
        <v>0-20%</v>
      </c>
      <c r="N297" s="340" t="str">
        <f>IF(VLOOKUP(A297,'Eclusée - Schwall-Sunk'!$A$2:$F$273,6,FALSE)="","",VLOOKUP(A297,'Eclusée - Schwall-Sunk'!$A$2:$F$273,6,FALSE))</f>
        <v>Potentiellement affecté / möglicherweise betroffen</v>
      </c>
      <c r="O297" s="537"/>
      <c r="P297" s="538"/>
      <c r="Q297" s="284" t="str">
        <f>IF(VLOOKUP(A297,'Revitalisation-Revitalisierung'!$A$4:$Z$275,13,FALSE)="","",VLOOKUP(A297,'Revitalisation-Revitalisierung'!$A$4:$Z$275,13,FALSE))</f>
        <v>Partiellement nécessaire, difficile / teilweise nötig, schwierig</v>
      </c>
      <c r="R297" s="541" t="str">
        <f>IF(VLOOKUP(A297,'Revitalisation-Revitalisierung'!$A$4:$Z$275,14,FALSE)="","",VLOOKUP(A297,'Revitalisation-Revitalisierung'!$A$4:$Z$275,14,FALSE))</f>
        <v>b</v>
      </c>
      <c r="S297" s="542" t="str">
        <f>IF(VLOOKUP(A297,'Revitalisation-Revitalisierung'!$A$4:$Z$275,19,FALSE)="","",VLOOKUP(A297,'Revitalisation-Revitalisierung'!$A$4:$Z$275,19,FALSE))</f>
        <v>Non nécessaire / nicht nötig</v>
      </c>
      <c r="T297" s="541" t="str">
        <f>IF(VLOOKUP(A297,'Revitalisation-Revitalisierung'!$A$4:$Z$275,20,FALSE)="","",VLOOKUP(A297,'Revitalisation-Revitalisierung'!$A$4:$Z$275,20,FALSE))</f>
        <v>c</v>
      </c>
      <c r="U297" s="542" t="str">
        <f>IF(VLOOKUP(A297,'Revitalisation-Revitalisierung'!$A$4:$Z$275,25,FALSE)="","",VLOOKUP(A297,'Revitalisation-Revitalisierung'!$A$4:$Z$275,25,FALSE))</f>
        <v>Non nécessaire / nicht nötig</v>
      </c>
      <c r="V297" s="406" t="str">
        <f>IF(VLOOKUP(A297,'Revitalisation-Revitalisierung'!$A$4:$Z$275,26,FALSE)="","",VLOOKUP(A297,'Revitalisation-Revitalisierung'!$A$4:$Z$275,26,FALSE))</f>
        <v>c</v>
      </c>
      <c r="Y297" s="529" t="str">
        <f t="shared" si="26"/>
        <v>21-50%</v>
      </c>
      <c r="Z297" s="568" t="str">
        <f t="shared" si="27"/>
        <v>d</v>
      </c>
      <c r="AA297" s="327" t="str">
        <f t="shared" si="28"/>
        <v>0-20%</v>
      </c>
      <c r="AB297" s="327" t="str">
        <f t="shared" si="29"/>
        <v>Potentiellement affecté / möglicherweise betroffen</v>
      </c>
      <c r="AC297" s="276" t="str">
        <f t="shared" si="30"/>
        <v>Non nécessaire / nicht nötig</v>
      </c>
      <c r="AD297" s="570" t="str">
        <f t="shared" si="31"/>
        <v>c</v>
      </c>
      <c r="AE297">
        <v>3</v>
      </c>
      <c r="AF297">
        <v>1</v>
      </c>
    </row>
    <row r="298" spans="1:33" ht="16.5" customHeight="1" x14ac:dyDescent="0.25">
      <c r="A298" s="926">
        <v>393</v>
      </c>
      <c r="B298" s="400" t="s">
        <v>349</v>
      </c>
      <c r="C298" s="400" t="s">
        <v>350</v>
      </c>
      <c r="D298" s="401" t="s">
        <v>274</v>
      </c>
      <c r="E298" s="522" t="str">
        <f>IF(VLOOKUP(A298,'Charriage - Geschiebehaushalt'!$A$4:$AC$275,17,FALSE)="","",VLOOKUP(A298,'Charriage - Geschiebehaushalt'!$A$4:$AC$275,17,FALSE))</f>
        <v>Déficit non apparent en charriage ou en remobilisation des sédiments / kein sichtbares Defizit beim Geschiebehaushalt bzw. bei der Mobilisierung von Geschiebe</v>
      </c>
      <c r="F298" s="523" t="str">
        <f>IF(VLOOKUP(A298,'Charriage - Geschiebehaushalt'!$A$4:$AC$275,18,FALSE)="","",VLOOKUP(A298,'Charriage - Geschiebehaushalt'!$A$4:$AC$275,18,FALSE))</f>
        <v>b</v>
      </c>
      <c r="G298" s="524" t="str">
        <f>IF(VLOOKUP(A298,'Charriage - Geschiebehaushalt'!$A$4:$AC$275,22,FALSE)="","",VLOOKUP(A298,'Charriage - Geschiebehaushalt'!$A$4:$AC$275,22,FALSE))</f>
        <v>0-20%</v>
      </c>
      <c r="H298" s="523" t="str">
        <f>IF(VLOOKUP(A298,'Charriage - Geschiebehaushalt'!$A$4:$AC$275,23,FALSE)="","",VLOOKUP(A298,'Charriage - Geschiebehaushalt'!$A$4:$AC$275,23,FALSE))</f>
        <v>b</v>
      </c>
      <c r="I298" s="524" t="str">
        <f>IF(VLOOKUP(A298,'Charriage - Geschiebehaushalt'!$A$4:$AC$275,28,FALSE)="","",VLOOKUP(A298,'Charriage - Geschiebehaushalt'!$A$4:$AC$275,28,FALSE))</f>
        <v>0-20%</v>
      </c>
      <c r="J298" s="403" t="str">
        <f>IF(VLOOKUP(A298,'Charriage - Geschiebehaushalt'!$A$4:$AC$275,29,FALSE)="","",VLOOKUP(A298,'Charriage - Geschiebehaushalt'!$A$4:$AC$275,29,FALSE))</f>
        <v>b</v>
      </c>
      <c r="K298" s="533" t="str">
        <f>IF(VLOOKUP(A298,'Débit - Abfluss'!$A$4:$AD$275,8,FALSE)="","",VLOOKUP(A298,'Débit - Abfluss'!$A$4:$AD$275,8,FALSE))</f>
        <v>100%</v>
      </c>
      <c r="L298" s="468" t="str">
        <f>IF(VLOOKUP(A298,'Débit - Abfluss'!$A$4:$AD$275,10,FALSE)="","",VLOOKUP(A298,'Débit - Abfluss'!$A$4:$AD$275,10,FALSE))</f>
        <v>100%</v>
      </c>
      <c r="M298" s="333" t="str">
        <f>IF(VLOOKUP(A298,'Débit - Abfluss'!$A$4:$AD$275,17,FALSE)="","",VLOOKUP(A298,'Débit - Abfluss'!$A$4:$AD$275,17,FALSE))</f>
        <v>100%</v>
      </c>
      <c r="N298" s="340" t="str">
        <f>IF(VLOOKUP(A298,'Eclusée - Schwall-Sunk'!$A$2:$F$273,6,FALSE)="","",VLOOKUP(A298,'Eclusée - Schwall-Sunk'!$A$2:$F$273,6,FALSE))</f>
        <v>Non affecté / nicht betroffen</v>
      </c>
      <c r="O298" s="537"/>
      <c r="P298" s="538"/>
      <c r="Q298" s="284" t="str">
        <f>IF(VLOOKUP(A298,'Revitalisation-Revitalisierung'!$A$4:$Z$275,13,FALSE)="","",VLOOKUP(A298,'Revitalisation-Revitalisierung'!$A$4:$Z$275,13,FALSE))</f>
        <v>Non nécessaire / nicht nötig</v>
      </c>
      <c r="R298" s="541" t="str">
        <f>IF(VLOOKUP(A298,'Revitalisation-Revitalisierung'!$A$4:$Z$275,14,FALSE)="","",VLOOKUP(A298,'Revitalisation-Revitalisierung'!$A$4:$Z$275,14,FALSE))</f>
        <v>a</v>
      </c>
      <c r="S298" s="542" t="str">
        <f>IF(VLOOKUP(A298,'Revitalisation-Revitalisierung'!$A$4:$Z$275,19,FALSE)="","",VLOOKUP(A298,'Revitalisation-Revitalisierung'!$A$4:$Z$275,19,FALSE))</f>
        <v>Non nécessaire / nicht nötig</v>
      </c>
      <c r="T298" s="541" t="str">
        <f>IF(VLOOKUP(A298,'Revitalisation-Revitalisierung'!$A$4:$Z$275,20,FALSE)="","",VLOOKUP(A298,'Revitalisation-Revitalisierung'!$A$4:$Z$275,20,FALSE))</f>
        <v>d</v>
      </c>
      <c r="U298" s="542" t="str">
        <f>IF(VLOOKUP(A298,'Revitalisation-Revitalisierung'!$A$4:$Z$275,25,FALSE)="","",VLOOKUP(A298,'Revitalisation-Revitalisierung'!$A$4:$Z$275,25,FALSE))</f>
        <v>Non nécessaire / nicht nötig</v>
      </c>
      <c r="V298" s="406" t="str">
        <f>IF(VLOOKUP(A298,'Revitalisation-Revitalisierung'!$A$4:$Z$275,26,FALSE)="","",VLOOKUP(A298,'Revitalisation-Revitalisierung'!$A$4:$Z$275,26,FALSE))</f>
        <v>d</v>
      </c>
      <c r="Y298" s="529" t="str">
        <f t="shared" si="26"/>
        <v>0-20%</v>
      </c>
      <c r="Z298" s="568" t="str">
        <f t="shared" si="27"/>
        <v>b</v>
      </c>
      <c r="AA298" s="327" t="str">
        <f t="shared" si="28"/>
        <v>100%</v>
      </c>
      <c r="AB298" s="327" t="str">
        <f t="shared" si="29"/>
        <v>Non affecté / nicht betroffen</v>
      </c>
      <c r="AC298" s="276" t="str">
        <f t="shared" si="30"/>
        <v>Non nécessaire / nicht nötig</v>
      </c>
      <c r="AD298" s="570" t="str">
        <f t="shared" si="31"/>
        <v>d</v>
      </c>
      <c r="AE298">
        <v>1</v>
      </c>
      <c r="AF298">
        <v>1</v>
      </c>
      <c r="AG298">
        <v>1</v>
      </c>
    </row>
    <row r="299" spans="1:33" ht="16.5" customHeight="1" x14ac:dyDescent="0.25">
      <c r="A299" s="926">
        <v>394</v>
      </c>
      <c r="B299" s="400" t="s">
        <v>351</v>
      </c>
      <c r="C299" s="400" t="s">
        <v>351</v>
      </c>
      <c r="D299" s="401" t="s">
        <v>274</v>
      </c>
      <c r="E299" s="522" t="str">
        <f>IF(VLOOKUP(A299,'Charriage - Geschiebehaushalt'!$A$4:$AC$275,17,FALSE)="","",VLOOKUP(A299,'Charriage - Geschiebehaushalt'!$A$4:$AC$275,17,FALSE))</f>
        <v>La remobilisation des sédiments est perturbée / Mobilisierung von Geschiebe beeinträchtigt</v>
      </c>
      <c r="F299" s="523" t="str">
        <f>IF(VLOOKUP(A299,'Charriage - Geschiebehaushalt'!$A$4:$AC$275,18,FALSE)="","",VLOOKUP(A299,'Charriage - Geschiebehaushalt'!$A$4:$AC$275,18,FALSE))</f>
        <v>b</v>
      </c>
      <c r="G299" s="524" t="str">
        <f>IF(VLOOKUP(A299,'Charriage - Geschiebehaushalt'!$A$4:$AC$275,22,FALSE)="","",VLOOKUP(A299,'Charriage - Geschiebehaushalt'!$A$4:$AC$275,22,FALSE))</f>
        <v>21-50%</v>
      </c>
      <c r="H299" s="523" t="str">
        <f>IF(VLOOKUP(A299,'Charriage - Geschiebehaushalt'!$A$4:$AC$275,23,FALSE)="","",VLOOKUP(A299,'Charriage - Geschiebehaushalt'!$A$4:$AC$275,23,FALSE))</f>
        <v>b</v>
      </c>
      <c r="I299" s="524" t="str">
        <f>IF(VLOOKUP(A299,'Charriage - Geschiebehaushalt'!$A$4:$AC$275,28,FALSE)="","",VLOOKUP(A299,'Charriage - Geschiebehaushalt'!$A$4:$AC$275,28,FALSE))</f>
        <v>21-50%</v>
      </c>
      <c r="J299" s="403" t="str">
        <f>IF(VLOOKUP(A299,'Charriage - Geschiebehaushalt'!$A$4:$AC$275,29,FALSE)="","",VLOOKUP(A299,'Charriage - Geschiebehaushalt'!$A$4:$AC$275,29,FALSE))</f>
        <v>b</v>
      </c>
      <c r="K299" s="533" t="str">
        <f>IF(VLOOKUP(A299,'Débit - Abfluss'!$A$4:$AD$275,8,FALSE)="","",VLOOKUP(A299,'Débit - Abfluss'!$A$4:$AD$275,8,FALSE))</f>
        <v>0-20%</v>
      </c>
      <c r="L299" s="468" t="str">
        <f>IF(VLOOKUP(A299,'Débit - Abfluss'!$A$4:$AD$275,10,FALSE)="","",VLOOKUP(A299,'Débit - Abfluss'!$A$4:$AD$275,10,FALSE))</f>
        <v>0-20%</v>
      </c>
      <c r="M299" s="333" t="str">
        <f>IF(VLOOKUP(A299,'Débit - Abfluss'!$A$4:$AD$275,17,FALSE)="","",VLOOKUP(A299,'Débit - Abfluss'!$A$4:$AD$275,17,FALSE))</f>
        <v>0-20%</v>
      </c>
      <c r="N299" s="340" t="str">
        <f>IF(VLOOKUP(A299,'Eclusée - Schwall-Sunk'!$A$2:$F$273,6,FALSE)="","",VLOOKUP(A299,'Eclusée - Schwall-Sunk'!$A$2:$F$273,6,FALSE))</f>
        <v>Non affecté / nicht betroffen</v>
      </c>
      <c r="O299" s="537"/>
      <c r="P299" s="538"/>
      <c r="Q299" s="284" t="str">
        <f>IF(VLOOKUP(A299,'Revitalisation-Revitalisierung'!$A$4:$Z$275,13,FALSE)="","",VLOOKUP(A299,'Revitalisation-Revitalisierung'!$A$4:$Z$275,13,FALSE))</f>
        <v>Très nécessaire, facile / unbedingt nötig, einfach</v>
      </c>
      <c r="R299" s="541" t="str">
        <f>IF(VLOOKUP(A299,'Revitalisation-Revitalisierung'!$A$4:$Z$275,14,FALSE)="","",VLOOKUP(A299,'Revitalisation-Revitalisierung'!$A$4:$Z$275,14,FALSE))</f>
        <v>a</v>
      </c>
      <c r="S299" s="542" t="str">
        <f>IF(VLOOKUP(A299,'Revitalisation-Revitalisierung'!$A$4:$Z$275,19,FALSE)="","",VLOOKUP(A299,'Revitalisation-Revitalisierung'!$A$4:$Z$275,19,FALSE))</f>
        <v>Très nécessaire, difficile / unbedingt nötig, schwierig</v>
      </c>
      <c r="T299" s="541" t="str">
        <f>IF(VLOOKUP(A299,'Revitalisation-Revitalisierung'!$A$4:$Z$275,20,FALSE)="","",VLOOKUP(A299,'Revitalisation-Revitalisierung'!$A$4:$Z$275,20,FALSE))</f>
        <v>e</v>
      </c>
      <c r="U299" s="542" t="str">
        <f>IF(VLOOKUP(A299,'Revitalisation-Revitalisierung'!$A$4:$Z$275,25,FALSE)="","",VLOOKUP(A299,'Revitalisation-Revitalisierung'!$A$4:$Z$275,25,FALSE))</f>
        <v>Très nécessaire, difficile / unbedingt nötig, schwierig</v>
      </c>
      <c r="V299" s="406" t="str">
        <f>IF(VLOOKUP(A299,'Revitalisation-Revitalisierung'!$A$4:$Z$275,26,FALSE)="","",VLOOKUP(A299,'Revitalisation-Revitalisierung'!$A$4:$Z$275,26,FALSE))</f>
        <v>e</v>
      </c>
      <c r="Y299" s="529" t="str">
        <f t="shared" si="26"/>
        <v>21-50%</v>
      </c>
      <c r="Z299" s="568" t="str">
        <f t="shared" si="27"/>
        <v>b</v>
      </c>
      <c r="AA299" s="327" t="str">
        <f t="shared" si="28"/>
        <v>0-20%</v>
      </c>
      <c r="AB299" s="327" t="str">
        <f t="shared" si="29"/>
        <v>Non affecté / nicht betroffen</v>
      </c>
      <c r="AC299" s="276" t="str">
        <f t="shared" si="30"/>
        <v>Très nécessaire, difficile / unbedingt nötig, schwierig</v>
      </c>
      <c r="AD299" s="570" t="str">
        <f t="shared" si="31"/>
        <v>e</v>
      </c>
      <c r="AE299">
        <v>4</v>
      </c>
      <c r="AF299">
        <v>1</v>
      </c>
    </row>
    <row r="300" spans="1:33" ht="16.5" customHeight="1" x14ac:dyDescent="0.25">
      <c r="A300" s="1233">
        <v>395</v>
      </c>
      <c r="B300" s="409" t="s">
        <v>352</v>
      </c>
      <c r="C300" s="410" t="s">
        <v>353</v>
      </c>
      <c r="D300" s="411" t="s">
        <v>274</v>
      </c>
      <c r="E300" s="522" t="str">
        <f>IF(VLOOKUP(A300,'Charriage - Geschiebehaushalt'!$A$4:$AC$275,17,FALSE)="","",VLOOKUP(A300,'Charriage - Geschiebehaushalt'!$A$4:$AC$275,17,FALSE))</f>
        <v>Charriage présumé naturel / Geschiebehaushalt vermutlich natürlich</v>
      </c>
      <c r="F300" s="523" t="str">
        <f>IF(VLOOKUP(A300,'Charriage - Geschiebehaushalt'!$A$4:$AC$275,18,FALSE)="","",VLOOKUP(A300,'Charriage - Geschiebehaushalt'!$A$4:$AC$275,18,FALSE))</f>
        <v>b</v>
      </c>
      <c r="G300" s="524" t="str">
        <f>IF(VLOOKUP(A300,'Charriage - Geschiebehaushalt'!$A$4:$AC$275,22,FALSE)="","",VLOOKUP(A300,'Charriage - Geschiebehaushalt'!$A$4:$AC$275,22,FALSE))</f>
        <v>0-20%</v>
      </c>
      <c r="H300" s="523" t="str">
        <f>IF(VLOOKUP(A300,'Charriage - Geschiebehaushalt'!$A$4:$AC$275,23,FALSE)="","",VLOOKUP(A300,'Charriage - Geschiebehaushalt'!$A$4:$AC$275,23,FALSE))</f>
        <v>b</v>
      </c>
      <c r="I300" s="524" t="str">
        <f>IF(VLOOKUP(A300,'Charriage - Geschiebehaushalt'!$A$4:$AC$275,28,FALSE)="","",VLOOKUP(A300,'Charriage - Geschiebehaushalt'!$A$4:$AC$275,28,FALSE))</f>
        <v>0-20%</v>
      </c>
      <c r="J300" s="403" t="str">
        <f>IF(VLOOKUP(A300,'Charriage - Geschiebehaushalt'!$A$4:$AC$275,29,FALSE)="","",VLOOKUP(A300,'Charriage - Geschiebehaushalt'!$A$4:$AC$275,29,FALSE))</f>
        <v>b</v>
      </c>
      <c r="K300" s="533" t="str">
        <f>IF(VLOOKUP(A300,'Débit - Abfluss'!$A$4:$AD$275,8,FALSE)="","",VLOOKUP(A300,'Débit - Abfluss'!$A$4:$AD$275,8,FALSE))</f>
        <v>0-20%</v>
      </c>
      <c r="L300" s="468" t="str">
        <f>IF(VLOOKUP(A300,'Débit - Abfluss'!$A$4:$AD$275,10,FALSE)="","",VLOOKUP(A300,'Débit - Abfluss'!$A$4:$AD$275,10,FALSE))</f>
        <v>0-20%</v>
      </c>
      <c r="M300" s="333" t="str">
        <f>IF(VLOOKUP(A300,'Débit - Abfluss'!$A$4:$AD$275,17,FALSE)="","",VLOOKUP(A300,'Débit - Abfluss'!$A$4:$AD$275,17,FALSE))</f>
        <v>0-20%</v>
      </c>
      <c r="N300" s="340" t="str">
        <f>IF(VLOOKUP(A300,'Eclusée - Schwall-Sunk'!$A$2:$F$273,6,FALSE)="","",VLOOKUP(A300,'Eclusée - Schwall-Sunk'!$A$2:$F$273,6,FALSE))</f>
        <v>Non affecté / nicht betroffen</v>
      </c>
      <c r="O300" s="537"/>
      <c r="P300" s="538"/>
      <c r="Q300" s="284" t="str">
        <f>IF(VLOOKUP(A300,'Revitalisation-Revitalisierung'!$A$4:$Z$275,13,FALSE)="","",VLOOKUP(A300,'Revitalisation-Revitalisierung'!$A$4:$Z$275,13,FALSE))</f>
        <v>Non nécessaire / nicht nötig</v>
      </c>
      <c r="R300" s="541" t="str">
        <f>IF(VLOOKUP(A300,'Revitalisation-Revitalisierung'!$A$4:$Z$275,14,FALSE)="","",VLOOKUP(A300,'Revitalisation-Revitalisierung'!$A$4:$Z$275,14,FALSE))</f>
        <v>a</v>
      </c>
      <c r="S300" s="542" t="str">
        <f>IF(VLOOKUP(A300,'Revitalisation-Revitalisierung'!$A$4:$Z$275,19,FALSE)="","",VLOOKUP(A300,'Revitalisation-Revitalisierung'!$A$4:$Z$275,19,FALSE))</f>
        <v>Non nécessaire / nicht nötig</v>
      </c>
      <c r="T300" s="541" t="str">
        <f>IF(VLOOKUP(A300,'Revitalisation-Revitalisierung'!$A$4:$Z$275,20,FALSE)="","",VLOOKUP(A300,'Revitalisation-Revitalisierung'!$A$4:$Z$275,20,FALSE))</f>
        <v>d</v>
      </c>
      <c r="U300" s="542" t="str">
        <f>IF(VLOOKUP(A300,'Revitalisation-Revitalisierung'!$A$4:$Z$275,25,FALSE)="","",VLOOKUP(A300,'Revitalisation-Revitalisierung'!$A$4:$Z$275,25,FALSE))</f>
        <v>Non nécessaire / nicht nötig</v>
      </c>
      <c r="V300" s="406" t="str">
        <f>IF(VLOOKUP(A300,'Revitalisation-Revitalisierung'!$A$4:$Z$275,26,FALSE)="","",VLOOKUP(A300,'Revitalisation-Revitalisierung'!$A$4:$Z$275,26,FALSE))</f>
        <v>d</v>
      </c>
      <c r="Y300" s="529" t="str">
        <f t="shared" si="26"/>
        <v>0-20%</v>
      </c>
      <c r="Z300" s="568" t="str">
        <f t="shared" si="27"/>
        <v>b</v>
      </c>
      <c r="AA300" s="327" t="str">
        <f t="shared" si="28"/>
        <v>0-20%</v>
      </c>
      <c r="AB300" s="327" t="str">
        <f t="shared" si="29"/>
        <v>Non affecté / nicht betroffen</v>
      </c>
      <c r="AC300" s="276" t="str">
        <f t="shared" si="30"/>
        <v>Non nécessaire / nicht nötig</v>
      </c>
      <c r="AD300" s="570" t="str">
        <f t="shared" si="31"/>
        <v>d</v>
      </c>
      <c r="AE300">
        <v>3</v>
      </c>
      <c r="AF300">
        <v>1</v>
      </c>
    </row>
    <row r="301" spans="1:33" ht="16.5" customHeight="1" x14ac:dyDescent="0.25">
      <c r="A301" s="1234">
        <v>396</v>
      </c>
      <c r="B301" s="400" t="s">
        <v>354</v>
      </c>
      <c r="C301" s="400" t="s">
        <v>354</v>
      </c>
      <c r="D301" s="401" t="s">
        <v>274</v>
      </c>
      <c r="E301" s="522" t="str">
        <f>IF(VLOOKUP(A301,'Charriage - Geschiebehaushalt'!$A$4:$AC$275,17,FALSE)="","",VLOOKUP(A301,'Charriage - Geschiebehaushalt'!$A$4:$AC$275,17,FALSE))</f>
        <v>Charriage présumé naturel / Geschiebehaushalt vermutlich natürlich</v>
      </c>
      <c r="F301" s="523" t="str">
        <f>IF(VLOOKUP(A301,'Charriage - Geschiebehaushalt'!$A$4:$AC$275,18,FALSE)="","",VLOOKUP(A301,'Charriage - Geschiebehaushalt'!$A$4:$AC$275,18,FALSE))</f>
        <v>b</v>
      </c>
      <c r="G301" s="524" t="str">
        <f>IF(VLOOKUP(A301,'Charriage - Geschiebehaushalt'!$A$4:$AC$275,22,FALSE)="","",VLOOKUP(A301,'Charriage - Geschiebehaushalt'!$A$4:$AC$275,22,FALSE))</f>
        <v>0-20%</v>
      </c>
      <c r="H301" s="523" t="str">
        <f>IF(VLOOKUP(A301,'Charriage - Geschiebehaushalt'!$A$4:$AC$275,23,FALSE)="","",VLOOKUP(A301,'Charriage - Geschiebehaushalt'!$A$4:$AC$275,23,FALSE))</f>
        <v>b</v>
      </c>
      <c r="I301" s="524" t="str">
        <f>IF(VLOOKUP(A301,'Charriage - Geschiebehaushalt'!$A$4:$AC$275,28,FALSE)="","",VLOOKUP(A301,'Charriage - Geschiebehaushalt'!$A$4:$AC$275,28,FALSE))</f>
        <v>0-20%</v>
      </c>
      <c r="J301" s="403" t="str">
        <f>IF(VLOOKUP(A301,'Charriage - Geschiebehaushalt'!$A$4:$AC$275,29,FALSE)="","",VLOOKUP(A301,'Charriage - Geschiebehaushalt'!$A$4:$AC$275,29,FALSE))</f>
        <v>b</v>
      </c>
      <c r="K301" s="533" t="str">
        <f>IF(VLOOKUP(A301,'Débit - Abfluss'!$A$4:$AD$275,8,FALSE)="","",VLOOKUP(A301,'Débit - Abfluss'!$A$4:$AD$275,8,FALSE))</f>
        <v>100%</v>
      </c>
      <c r="L301" s="468" t="str">
        <f>IF(VLOOKUP(A301,'Débit - Abfluss'!$A$4:$AD$275,10,FALSE)="","",VLOOKUP(A301,'Débit - Abfluss'!$A$4:$AD$275,10,FALSE))</f>
        <v>100%</v>
      </c>
      <c r="M301" s="333" t="str">
        <f>IF(VLOOKUP(A301,'Débit - Abfluss'!$A$4:$AD$275,17,FALSE)="","",VLOOKUP(A301,'Débit - Abfluss'!$A$4:$AD$275,17,FALSE))</f>
        <v>100%</v>
      </c>
      <c r="N301" s="340" t="str">
        <f>IF(VLOOKUP(A301,'Eclusée - Schwall-Sunk'!$A$2:$F$273,6,FALSE)="","",VLOOKUP(A301,'Eclusée - Schwall-Sunk'!$A$2:$F$273,6,FALSE))</f>
        <v>Non affecté / nicht betroffen</v>
      </c>
      <c r="O301" s="537"/>
      <c r="P301" s="538"/>
      <c r="Q301" s="284" t="str">
        <f>IF(VLOOKUP(A301,'Revitalisation-Revitalisierung'!$A$4:$Z$275,13,FALSE)="","",VLOOKUP(A301,'Revitalisation-Revitalisierung'!$A$4:$Z$275,13,FALSE))</f>
        <v>Non nécessaire / nicht nötig</v>
      </c>
      <c r="R301" s="541" t="str">
        <f>IF(VLOOKUP(A301,'Revitalisation-Revitalisierung'!$A$4:$Z$275,14,FALSE)="","",VLOOKUP(A301,'Revitalisation-Revitalisierung'!$A$4:$Z$275,14,FALSE))</f>
        <v>a</v>
      </c>
      <c r="S301" s="542" t="str">
        <f>IF(VLOOKUP(A301,'Revitalisation-Revitalisierung'!$A$4:$Z$275,19,FALSE)="","",VLOOKUP(A301,'Revitalisation-Revitalisierung'!$A$4:$Z$275,19,FALSE))</f>
        <v>Non nécessaire / nicht nötig</v>
      </c>
      <c r="T301" s="541" t="str">
        <f>IF(VLOOKUP(A301,'Revitalisation-Revitalisierung'!$A$4:$Z$275,20,FALSE)="","",VLOOKUP(A301,'Revitalisation-Revitalisierung'!$A$4:$Z$275,20,FALSE))</f>
        <v>a</v>
      </c>
      <c r="U301" s="542" t="str">
        <f>IF(VLOOKUP(A301,'Revitalisation-Revitalisierung'!$A$4:$Z$275,25,FALSE)="","",VLOOKUP(A301,'Revitalisation-Revitalisierung'!$A$4:$Z$275,25,FALSE))</f>
        <v>Non nécessaire / nicht nötig</v>
      </c>
      <c r="V301" s="406" t="str">
        <f>IF(VLOOKUP(A301,'Revitalisation-Revitalisierung'!$A$4:$Z$275,26,FALSE)="","",VLOOKUP(A301,'Revitalisation-Revitalisierung'!$A$4:$Z$275,26,FALSE))</f>
        <v>a</v>
      </c>
      <c r="Y301" s="529" t="str">
        <f t="shared" si="26"/>
        <v>0-20%</v>
      </c>
      <c r="Z301" s="568" t="str">
        <f t="shared" si="27"/>
        <v>b</v>
      </c>
      <c r="AA301" s="327" t="str">
        <f t="shared" si="28"/>
        <v>100%</v>
      </c>
      <c r="AB301" s="327" t="str">
        <f t="shared" si="29"/>
        <v>Non affecté / nicht betroffen</v>
      </c>
      <c r="AC301" s="276" t="str">
        <f t="shared" si="30"/>
        <v>Non nécessaire / nicht nötig</v>
      </c>
      <c r="AD301" s="570" t="str">
        <f t="shared" si="31"/>
        <v>a</v>
      </c>
      <c r="AE301">
        <v>1</v>
      </c>
      <c r="AF301">
        <v>1</v>
      </c>
      <c r="AG301">
        <v>1</v>
      </c>
    </row>
    <row r="302" spans="1:33" ht="16.5" customHeight="1" x14ac:dyDescent="0.25">
      <c r="A302" s="1235">
        <v>397</v>
      </c>
      <c r="B302" s="409" t="s">
        <v>356</v>
      </c>
      <c r="C302" s="410" t="s">
        <v>357</v>
      </c>
      <c r="D302" s="411" t="s">
        <v>274</v>
      </c>
      <c r="E302" s="522" t="str">
        <f>IF(VLOOKUP(A302,'Charriage - Geschiebehaushalt'!$A$4:$AC$275,17,FALSE)="","",VLOOKUP(A302,'Charriage - Geschiebehaushalt'!$A$4:$AC$275,17,FALSE))</f>
        <v>Charriage présumé naturel / Geschiebehaushalt vermutlich natürlich</v>
      </c>
      <c r="F302" s="523" t="str">
        <f>IF(VLOOKUP(A302,'Charriage - Geschiebehaushalt'!$A$4:$AC$275,18,FALSE)="","",VLOOKUP(A302,'Charriage - Geschiebehaushalt'!$A$4:$AC$275,18,FALSE))</f>
        <v>b</v>
      </c>
      <c r="G302" s="524" t="str">
        <f>IF(VLOOKUP(A302,'Charriage - Geschiebehaushalt'!$A$4:$AC$275,22,FALSE)="","",VLOOKUP(A302,'Charriage - Geschiebehaushalt'!$A$4:$AC$275,22,FALSE))</f>
        <v>0-20%</v>
      </c>
      <c r="H302" s="523" t="str">
        <f>IF(VLOOKUP(A302,'Charriage - Geschiebehaushalt'!$A$4:$AC$275,23,FALSE)="","",VLOOKUP(A302,'Charriage - Geschiebehaushalt'!$A$4:$AC$275,23,FALSE))</f>
        <v>b</v>
      </c>
      <c r="I302" s="524" t="str">
        <f>IF(VLOOKUP(A302,'Charriage - Geschiebehaushalt'!$A$4:$AC$275,28,FALSE)="","",VLOOKUP(A302,'Charriage - Geschiebehaushalt'!$A$4:$AC$275,28,FALSE))</f>
        <v>0-20%</v>
      </c>
      <c r="J302" s="403" t="str">
        <f>IF(VLOOKUP(A302,'Charriage - Geschiebehaushalt'!$A$4:$AC$275,29,FALSE)="","",VLOOKUP(A302,'Charriage - Geschiebehaushalt'!$A$4:$AC$275,29,FALSE))</f>
        <v>b</v>
      </c>
      <c r="K302" s="533" t="str">
        <f>IF(VLOOKUP(A302,'Débit - Abfluss'!$A$4:$AD$275,8,FALSE)="","",VLOOKUP(A302,'Débit - Abfluss'!$A$4:$AD$275,8,FALSE))</f>
        <v>Régime présumé naturel (100%) / Abfluss vermutlich natürlich</v>
      </c>
      <c r="L302" s="468" t="str">
        <f>IF(VLOOKUP(A302,'Débit - Abfluss'!$A$4:$AD$275,10,FALSE)="","",VLOOKUP(A302,'Débit - Abfluss'!$A$4:$AD$275,10,FALSE))</f>
        <v>Régime présumé naturel (100%) / Abfluss vermutlich natürlich</v>
      </c>
      <c r="M302" s="333" t="str">
        <f>IF(VLOOKUP(A302,'Débit - Abfluss'!$A$4:$AD$275,17,FALSE)="","",VLOOKUP(A302,'Débit - Abfluss'!$A$4:$AD$275,17,FALSE))</f>
        <v>Régime présumé naturel (100%) / Abfluss vermutlich natürlich</v>
      </c>
      <c r="N302" s="340" t="str">
        <f>IF(VLOOKUP(A302,'Eclusée - Schwall-Sunk'!$A$2:$F$273,6,FALSE)="","",VLOOKUP(A302,'Eclusée - Schwall-Sunk'!$A$2:$F$273,6,FALSE))</f>
        <v>Non affecté / nicht betroffen</v>
      </c>
      <c r="O302" s="537"/>
      <c r="P302" s="538"/>
      <c r="Q302" s="284" t="str">
        <f>IF(VLOOKUP(A302,'Revitalisation-Revitalisierung'!$A$4:$Z$275,13,FALSE)="","",VLOOKUP(A302,'Revitalisation-Revitalisierung'!$A$4:$Z$275,13,FALSE))</f>
        <v>Non nécessaire / nicht nötig</v>
      </c>
      <c r="R302" s="541" t="str">
        <f>IF(VLOOKUP(A302,'Revitalisation-Revitalisierung'!$A$4:$Z$275,14,FALSE)="","",VLOOKUP(A302,'Revitalisation-Revitalisierung'!$A$4:$Z$275,14,FALSE))</f>
        <v>b</v>
      </c>
      <c r="S302" s="542" t="str">
        <f>IF(VLOOKUP(A302,'Revitalisation-Revitalisierung'!$A$4:$Z$275,19,FALSE)="","",VLOOKUP(A302,'Revitalisation-Revitalisierung'!$A$4:$Z$275,19,FALSE))</f>
        <v>Non nécessaire / nicht nötig</v>
      </c>
      <c r="T302" s="541" t="str">
        <f>IF(VLOOKUP(A302,'Revitalisation-Revitalisierung'!$A$4:$Z$275,20,FALSE)="","",VLOOKUP(A302,'Revitalisation-Revitalisierung'!$A$4:$Z$275,20,FALSE))</f>
        <v>a</v>
      </c>
      <c r="U302" s="542" t="str">
        <f>IF(VLOOKUP(A302,'Revitalisation-Revitalisierung'!$A$4:$Z$275,25,FALSE)="","",VLOOKUP(A302,'Revitalisation-Revitalisierung'!$A$4:$Z$275,25,FALSE))</f>
        <v>Non nécessaire / nicht nötig</v>
      </c>
      <c r="V302" s="406" t="str">
        <f>IF(VLOOKUP(A302,'Revitalisation-Revitalisierung'!$A$4:$Z$275,26,FALSE)="","",VLOOKUP(A302,'Revitalisation-Revitalisierung'!$A$4:$Z$275,26,FALSE))</f>
        <v>a</v>
      </c>
      <c r="Y302" s="529" t="str">
        <f t="shared" si="26"/>
        <v>0-20%</v>
      </c>
      <c r="Z302" s="568" t="str">
        <f t="shared" si="27"/>
        <v>b</v>
      </c>
      <c r="AA302" s="327" t="str">
        <f t="shared" si="28"/>
        <v>Régime présumé naturel (100%) / Abfluss vermutlich natürlich</v>
      </c>
      <c r="AB302" s="327" t="str">
        <f t="shared" si="29"/>
        <v>Non affecté / nicht betroffen</v>
      </c>
      <c r="AC302" s="276" t="str">
        <f t="shared" si="30"/>
        <v>Non nécessaire / nicht nötig</v>
      </c>
      <c r="AD302" s="570" t="str">
        <f t="shared" si="31"/>
        <v>a</v>
      </c>
      <c r="AE302">
        <v>1</v>
      </c>
      <c r="AF302">
        <v>1</v>
      </c>
      <c r="AG302">
        <v>1</v>
      </c>
    </row>
    <row r="303" spans="1:33" ht="16.5" customHeight="1" x14ac:dyDescent="0.25">
      <c r="A303" s="934">
        <v>398</v>
      </c>
      <c r="B303" s="409" t="s">
        <v>550</v>
      </c>
      <c r="C303" s="410" t="s">
        <v>484</v>
      </c>
      <c r="D303" s="411" t="s">
        <v>482</v>
      </c>
      <c r="E303" s="522" t="str">
        <f>IF(VLOOKUP(A303,'Charriage - Geschiebehaushalt'!$A$4:$AC$275,17,FALSE)="","",VLOOKUP(A303,'Charriage - Geschiebehaushalt'!$A$4:$AC$275,17,FALSE))</f>
        <v>La remobilisation des sédiments est perturbée / Mobilisierung von Geschiebe beeinträchtigt</v>
      </c>
      <c r="F303" s="523" t="str">
        <f>IF(VLOOKUP(A303,'Charriage - Geschiebehaushalt'!$A$4:$AC$275,18,FALSE)="","",VLOOKUP(A303,'Charriage - Geschiebehaushalt'!$A$4:$AC$275,18,FALSE))</f>
        <v>b</v>
      </c>
      <c r="G303" s="524" t="str">
        <f>IF(VLOOKUP(A303,'Charriage - Geschiebehaushalt'!$A$4:$AC$275,22,FALSE)="","",VLOOKUP(A303,'Charriage - Geschiebehaushalt'!$A$4:$AC$275,22,FALSE))</f>
        <v>81-100%</v>
      </c>
      <c r="H303" s="523" t="str">
        <f>IF(VLOOKUP(A303,'Charriage - Geschiebehaushalt'!$A$4:$AC$275,23,FALSE)="","",VLOOKUP(A303,'Charriage - Geschiebehaushalt'!$A$4:$AC$275,23,FALSE))</f>
        <v>c</v>
      </c>
      <c r="I303" s="524" t="str">
        <f>IF(VLOOKUP(A303,'Charriage - Geschiebehaushalt'!$A$4:$AC$275,28,FALSE)="","",VLOOKUP(A303,'Charriage - Geschiebehaushalt'!$A$4:$AC$275,28,FALSE))</f>
        <v>81-100%</v>
      </c>
      <c r="J303" s="403" t="str">
        <f>IF(VLOOKUP(A303,'Charriage - Geschiebehaushalt'!$A$4:$AC$275,29,FALSE)="","",VLOOKUP(A303,'Charriage - Geschiebehaushalt'!$A$4:$AC$275,29,FALSE))</f>
        <v>c</v>
      </c>
      <c r="K303" s="533" t="str">
        <f>IF(VLOOKUP(A303,'Débit - Abfluss'!$A$4:$AD$275,8,FALSE)="","",VLOOKUP(A303,'Débit - Abfluss'!$A$4:$AD$275,8,FALSE))</f>
        <v>81-100%</v>
      </c>
      <c r="L303" s="468" t="str">
        <f>IF(VLOOKUP(A303,'Débit - Abfluss'!$A$4:$AD$275,10,FALSE)="","",VLOOKUP(A303,'Débit - Abfluss'!$A$4:$AD$275,10,FALSE))</f>
        <v>81-100%</v>
      </c>
      <c r="M303" s="333" t="str">
        <f>IF(VLOOKUP(A303,'Débit - Abfluss'!$A$4:$AD$275,17,FALSE)="","",VLOOKUP(A303,'Débit - Abfluss'!$A$4:$AD$275,17,FALSE))</f>
        <v>81-100%</v>
      </c>
      <c r="N303" s="340" t="str">
        <f>IF(VLOOKUP(A303,'Eclusée - Schwall-Sunk'!$A$2:$F$273,6,FALSE)="","",VLOOKUP(A303,'Eclusée - Schwall-Sunk'!$A$2:$F$273,6,FALSE))</f>
        <v>Potentiellement affecté / möglicherweise betroffen</v>
      </c>
      <c r="O303" s="537"/>
      <c r="P303" s="538"/>
      <c r="Q303" s="284" t="str">
        <f>IF(VLOOKUP(A303,'Revitalisation-Revitalisierung'!$A$4:$Z$275,13,FALSE)="","",VLOOKUP(A303,'Revitalisation-Revitalisierung'!$A$4:$Z$275,13,FALSE))</f>
        <v>Très nécessaire, facile / unbedingt nötig, einfach</v>
      </c>
      <c r="R303" s="541" t="str">
        <f>IF(VLOOKUP(A303,'Revitalisation-Revitalisierung'!$A$4:$Z$275,14,FALSE)="","",VLOOKUP(A303,'Revitalisation-Revitalisierung'!$A$4:$Z$275,14,FALSE))</f>
        <v>a</v>
      </c>
      <c r="S303" s="542" t="str">
        <f>IF(VLOOKUP(A303,'Revitalisation-Revitalisierung'!$A$4:$Z$275,19,FALSE)="","",VLOOKUP(A303,'Revitalisation-Revitalisierung'!$A$4:$Z$275,19,FALSE))</f>
        <v>Très nécessaire, facile / unbedingt nötig, einfach</v>
      </c>
      <c r="T303" s="541" t="str">
        <f>IF(VLOOKUP(A303,'Revitalisation-Revitalisierung'!$A$4:$Z$275,20,FALSE)="","",VLOOKUP(A303,'Revitalisation-Revitalisierung'!$A$4:$Z$275,20,FALSE))</f>
        <v>d</v>
      </c>
      <c r="U303" s="542" t="str">
        <f>IF(VLOOKUP(A303,'Revitalisation-Revitalisierung'!$A$4:$Z$275,25,FALSE)="","",VLOOKUP(A303,'Revitalisation-Revitalisierung'!$A$4:$Z$275,25,FALSE))</f>
        <v>Très nécessaire, facile / unbedingt nötig, einfach</v>
      </c>
      <c r="V303" s="406" t="str">
        <f>IF(VLOOKUP(A303,'Revitalisation-Revitalisierung'!$A$4:$Z$275,26,FALSE)="","",VLOOKUP(A303,'Revitalisation-Revitalisierung'!$A$4:$Z$275,26,FALSE))</f>
        <v>d</v>
      </c>
      <c r="Y303" s="529" t="str">
        <f t="shared" si="26"/>
        <v>81-100%</v>
      </c>
      <c r="Z303" s="568" t="str">
        <f t="shared" si="27"/>
        <v>c</v>
      </c>
      <c r="AA303" s="327" t="str">
        <f t="shared" si="28"/>
        <v>81-100%</v>
      </c>
      <c r="AB303" s="327" t="str">
        <f t="shared" si="29"/>
        <v>Potentiellement affecté / möglicherweise betroffen</v>
      </c>
      <c r="AC303" s="276" t="str">
        <f t="shared" si="30"/>
        <v>Très nécessaire, facile / unbedingt nötig, einfach</v>
      </c>
      <c r="AD303" s="570" t="str">
        <f t="shared" si="31"/>
        <v>d</v>
      </c>
      <c r="AE303">
        <v>4</v>
      </c>
      <c r="AF303">
        <v>1</v>
      </c>
    </row>
    <row r="304" spans="1:33" ht="16.5" customHeight="1" thickBot="1" x14ac:dyDescent="0.3">
      <c r="A304" s="933">
        <v>399</v>
      </c>
      <c r="B304" s="409" t="s">
        <v>372</v>
      </c>
      <c r="C304" s="410" t="s">
        <v>363</v>
      </c>
      <c r="D304" s="411" t="s">
        <v>361</v>
      </c>
      <c r="E304" s="525" t="str">
        <f>IF(VLOOKUP(A304,'Charriage - Geschiebehaushalt'!$A$4:$AC$275,17,FALSE)="","",VLOOKUP(A304,'Charriage - Geschiebehaushalt'!$A$4:$AC$275,17,FALSE))</f>
        <v>Charriage présumé perturbé / Geschiebehaushalt vermutlich beeinträchtigt</v>
      </c>
      <c r="F304" s="526" t="str">
        <f>IF(VLOOKUP(A304,'Charriage - Geschiebehaushalt'!$A$4:$AC$275,18,FALSE)="","",VLOOKUP(A304,'Charriage - Geschiebehaushalt'!$A$4:$AC$275,18,FALSE))</f>
        <v>b</v>
      </c>
      <c r="G304" s="527" t="str">
        <f>IF(VLOOKUP(A304,'Charriage - Geschiebehaushalt'!$A$4:$AC$275,22,FALSE)="","",VLOOKUP(A304,'Charriage - Geschiebehaushalt'!$A$4:$AC$275,22,FALSE))</f>
        <v>51-80%</v>
      </c>
      <c r="H304" s="526" t="str">
        <f>IF(VLOOKUP(A304,'Charriage - Geschiebehaushalt'!$A$4:$AC$275,23,FALSE)="","",VLOOKUP(A304,'Charriage - Geschiebehaushalt'!$A$4:$AC$275,23,FALSE))</f>
        <v>d</v>
      </c>
      <c r="I304" s="527" t="str">
        <f>IF(VLOOKUP(A304,'Charriage - Geschiebehaushalt'!$A$4:$AC$275,28,FALSE)="","",VLOOKUP(A304,'Charriage - Geschiebehaushalt'!$A$4:$AC$275,28,FALSE))</f>
        <v>21-50%</v>
      </c>
      <c r="J304" s="528" t="str">
        <f>IF(VLOOKUP(A304,'Charriage - Geschiebehaushalt'!$A$4:$AC$275,29,FALSE)="","",VLOOKUP(A304,'Charriage - Geschiebehaushalt'!$A$4:$AC$275,29,FALSE))</f>
        <v>e</v>
      </c>
      <c r="K304" s="534" t="str">
        <f>IF(VLOOKUP(A304,'Débit - Abfluss'!$A$4:$AD$275,8,FALSE)="","",VLOOKUP(A304,'Débit - Abfluss'!$A$4:$AD$275,8,FALSE))</f>
        <v>81-100%</v>
      </c>
      <c r="L304" s="535" t="str">
        <f>IF(VLOOKUP(A304,'Débit - Abfluss'!$A$4:$AD$275,10,FALSE)="","",VLOOKUP(A304,'Débit - Abfluss'!$A$4:$AD$275,10,FALSE))</f>
        <v>81-100%</v>
      </c>
      <c r="M304" s="536" t="str">
        <f>IF(VLOOKUP(A304,'Débit - Abfluss'!$A$4:$AD$275,17,FALSE)="","",VLOOKUP(A304,'Débit - Abfluss'!$A$4:$AD$275,17,FALSE))</f>
        <v>81-100%</v>
      </c>
      <c r="N304" s="340" t="str">
        <f>IF(VLOOKUP(A304,'Eclusée - Schwall-Sunk'!$A$2:$F$273,6,FALSE)="","",VLOOKUP(A304,'Eclusée - Schwall-Sunk'!$A$2:$F$273,6,FALSE))</f>
        <v>Potentiellement affecté / möglicherweise betroffen</v>
      </c>
      <c r="O304" s="539"/>
      <c r="P304" s="540"/>
      <c r="Q304" s="290" t="str">
        <f>IF(VLOOKUP(A304,'Revitalisation-Revitalisierung'!$A$4:$Z$275,13,FALSE)="","",VLOOKUP(A304,'Revitalisation-Revitalisierung'!$A$4:$Z$275,13,FALSE))</f>
        <v>Très nécessaire, facile / unbedingt nötig, einfach</v>
      </c>
      <c r="R304" s="543" t="str">
        <f>IF(VLOOKUP(A304,'Revitalisation-Revitalisierung'!$A$4:$Z$275,14,FALSE)="","",VLOOKUP(A304,'Revitalisation-Revitalisierung'!$A$4:$Z$275,14,FALSE))</f>
        <v>b</v>
      </c>
      <c r="S304" s="544" t="str">
        <f>IF(VLOOKUP(A304,'Revitalisation-Revitalisierung'!$A$4:$Z$275,19,FALSE)="","",VLOOKUP(A304,'Revitalisation-Revitalisierung'!$A$4:$Z$275,19,FALSE))</f>
        <v>Très nécessaire, facile / unbedingt nötig, einfach</v>
      </c>
      <c r="T304" s="543" t="str">
        <f>IF(VLOOKUP(A304,'Revitalisation-Revitalisierung'!$A$4:$Z$275,20,FALSE)="","",VLOOKUP(A304,'Revitalisation-Revitalisierung'!$A$4:$Z$275,20,FALSE))</f>
        <v>b</v>
      </c>
      <c r="U304" s="544" t="str">
        <f>IF(VLOOKUP(A304,'Revitalisation-Revitalisierung'!$A$4:$Z$275,25,FALSE)="","",VLOOKUP(A304,'Revitalisation-Revitalisierung'!$A$4:$Z$275,25,FALSE))</f>
        <v>Très nécessaire, facile / unbedingt nötig, einfach</v>
      </c>
      <c r="V304" s="545" t="str">
        <f>IF(VLOOKUP(A304,'Revitalisation-Revitalisierung'!$A$4:$Z$275,26,FALSE)="","",VLOOKUP(A304,'Revitalisation-Revitalisierung'!$A$4:$Z$275,26,FALSE))</f>
        <v>b</v>
      </c>
      <c r="Y304" s="558" t="str">
        <f t="shared" si="26"/>
        <v>21-50%</v>
      </c>
      <c r="Z304" s="568" t="str">
        <f t="shared" si="27"/>
        <v>e</v>
      </c>
      <c r="AA304" s="562" t="str">
        <f t="shared" si="28"/>
        <v>81-100%</v>
      </c>
      <c r="AB304" s="562" t="str">
        <f t="shared" si="29"/>
        <v>Potentiellement affecté / möglicherweise betroffen</v>
      </c>
      <c r="AC304" s="560" t="str">
        <f>U304</f>
        <v>Très nécessaire, facile / unbedingt nötig, einfach</v>
      </c>
      <c r="AD304" s="571" t="str">
        <f>V304</f>
        <v>b</v>
      </c>
      <c r="AE304">
        <v>4</v>
      </c>
      <c r="AF304">
        <v>1</v>
      </c>
    </row>
    <row r="307" spans="27:28" x14ac:dyDescent="0.25">
      <c r="AA307">
        <v>1</v>
      </c>
      <c r="AB307">
        <f>SUMIFS($AF$33:$AF$304,$AE$33:$AE$304,AA307)</f>
        <v>52</v>
      </c>
    </row>
    <row r="308" spans="27:28" x14ac:dyDescent="0.25">
      <c r="AA308">
        <v>2</v>
      </c>
      <c r="AB308">
        <f>SUMIFS($AF$33:$AF$304,$AE$33:$AE$304,AA308)</f>
        <v>47</v>
      </c>
    </row>
    <row r="309" spans="27:28" x14ac:dyDescent="0.25">
      <c r="AA309">
        <v>3</v>
      </c>
      <c r="AB309">
        <f t="shared" ref="AB309:AB311" si="32">SUMIFS($AF$33:$AF$304,$AE$33:$AE$304,AA309)</f>
        <v>36</v>
      </c>
    </row>
    <row r="310" spans="27:28" x14ac:dyDescent="0.25">
      <c r="AA310">
        <v>4</v>
      </c>
      <c r="AB310">
        <f t="shared" si="32"/>
        <v>95</v>
      </c>
    </row>
    <row r="311" spans="27:28" x14ac:dyDescent="0.25">
      <c r="AA311">
        <v>5</v>
      </c>
      <c r="AB311">
        <f t="shared" si="32"/>
        <v>20</v>
      </c>
    </row>
  </sheetData>
  <mergeCells count="13">
    <mergeCell ref="Y32:Z32"/>
    <mergeCell ref="AC32:AD32"/>
    <mergeCell ref="Y31:AD31"/>
    <mergeCell ref="U32:V32"/>
    <mergeCell ref="E31:J31"/>
    <mergeCell ref="E32:F32"/>
    <mergeCell ref="I32:J32"/>
    <mergeCell ref="Q32:R32"/>
    <mergeCell ref="K31:M31"/>
    <mergeCell ref="N31:P31"/>
    <mergeCell ref="Q31:V31"/>
    <mergeCell ref="G32:H32"/>
    <mergeCell ref="S32:T32"/>
  </mergeCells>
  <conditionalFormatting sqref="F33:F304">
    <cfRule type="cellIs" dxfId="1533" priority="293" stopIfTrue="1" operator="equal">
      <formula>"81 -100%"</formula>
    </cfRule>
    <cfRule type="cellIs" dxfId="1532" priority="294" stopIfTrue="1" operator="equal">
      <formula>"0-20%"</formula>
    </cfRule>
  </conditionalFormatting>
  <conditionalFormatting sqref="F33:F304">
    <cfRule type="cellIs" dxfId="1531" priority="290" stopIfTrue="1" operator="equal">
      <formula>"non pertinent "</formula>
    </cfRule>
    <cfRule type="cellIs" dxfId="1530" priority="291" stopIfTrue="1" operator="equal">
      <formula>"21-50%"</formula>
    </cfRule>
    <cfRule type="cellIs" dxfId="1529" priority="292" stopIfTrue="1" operator="equal">
      <formula>"51-80%"</formula>
    </cfRule>
  </conditionalFormatting>
  <conditionalFormatting sqref="E33:E304">
    <cfRule type="cellIs" dxfId="1528" priority="278" stopIfTrue="1" operator="equal">
      <formula>"81 -100%"</formula>
    </cfRule>
    <cfRule type="cellIs" dxfId="1527" priority="288" stopIfTrue="1" operator="equal">
      <formula>"81-100%"</formula>
    </cfRule>
    <cfRule type="cellIs" dxfId="1526" priority="289" stopIfTrue="1" operator="equal">
      <formula>"0-20%"</formula>
    </cfRule>
  </conditionalFormatting>
  <conditionalFormatting sqref="E33:E304">
    <cfRule type="cellIs" dxfId="1525" priority="279" stopIfTrue="1" operator="equal">
      <formula>"Charriage présumé faiblement perturbé / Geschiebe vermutlich leicht beeinträchtigt"</formula>
    </cfRule>
    <cfRule type="cellIs" dxfId="1524" priority="280" stopIfTrue="1" operator="equal">
      <formula>"La remobilisation des sédiments est perturbée / Mobilisierung von Geschiebe beeinträchtigt"</formula>
    </cfRule>
    <cfRule type="cellIs" dxfId="1523" priority="281" stopIfTrue="1" operator="equal">
      <formula>"Problème lié à un manque de charriage ou à un manque de remobilisation des sédiments / Problem aufgrund Geschiebemangels bzw. mangelnder Mobilisierung von Geschiebe"</formula>
    </cfRule>
    <cfRule type="cellIs" dxfId="1522" priority="282" stopIfTrue="1" operator="equal">
      <formula>"Déficit non apparent en charriage ou en remobilisation des sédiments / kein sichtbares Defizit beim Geschiebehaushalt bzw. bei der Mobilisierung von Geschiebe"</formula>
    </cfRule>
    <cfRule type="cellIs" dxfId="1521" priority="283" stopIfTrue="1" operator="equal">
      <formula>"Charriage présumé perturbé / Geschiebehaushalt vermutlich beeinträchtigt"</formula>
    </cfRule>
    <cfRule type="cellIs" dxfId="1520" priority="284" stopIfTrue="1" operator="equal">
      <formula>"Charriage présumé naturel / Geschiebehaushalt vermutlich natürlich"</formula>
    </cfRule>
    <cfRule type="cellIs" dxfId="1519" priority="285" stopIfTrue="1" operator="equal">
      <formula>"non pertinent / nicht relevant"</formula>
    </cfRule>
    <cfRule type="cellIs" dxfId="1518" priority="286" stopIfTrue="1" operator="equal">
      <formula>"21-50%"</formula>
    </cfRule>
    <cfRule type="cellIs" dxfId="1517" priority="287" stopIfTrue="1" operator="equal">
      <formula>"51-80%"</formula>
    </cfRule>
  </conditionalFormatting>
  <conditionalFormatting sqref="K33:K304">
    <cfRule type="cellIs" dxfId="1516" priority="270" stopIfTrue="1" operator="equal">
      <formula>"Régime présumé naturel (100%) / Abfluss vermutlich natürlich"</formula>
    </cfRule>
    <cfRule type="cellIs" dxfId="1515" priority="271" stopIfTrue="1" operator="equal">
      <formula>"non pertinent / nicht relevant"</formula>
    </cfRule>
    <cfRule type="cellIs" dxfId="1514" priority="272" stopIfTrue="1" operator="equal">
      <formula>"61-80%"</formula>
    </cfRule>
    <cfRule type="cellIs" dxfId="1513" priority="273" stopIfTrue="1" operator="equal">
      <formula>"41-60%"</formula>
    </cfRule>
    <cfRule type="cellIs" dxfId="1512" priority="274" stopIfTrue="1" operator="equal">
      <formula>"21-40%"</formula>
    </cfRule>
    <cfRule type="cellIs" dxfId="1511" priority="275" stopIfTrue="1" operator="equal">
      <formula>"0-20%"</formula>
    </cfRule>
    <cfRule type="cellIs" dxfId="1510" priority="276" stopIfTrue="1" operator="equal">
      <formula>"81-100%"</formula>
    </cfRule>
    <cfRule type="cellIs" dxfId="1509" priority="277" stopIfTrue="1" operator="equal">
      <formula>"100%"</formula>
    </cfRule>
  </conditionalFormatting>
  <conditionalFormatting sqref="Q33:Q304">
    <cfRule type="cellIs" dxfId="1508" priority="264" stopIfTrue="1" operator="equal">
      <formula>"non pertinent / nicht relevant"</formula>
    </cfRule>
    <cfRule type="cellIs" dxfId="1507" priority="265" stopIfTrue="1" operator="equal">
      <formula>"Très nécessaire, difficile / unbedingt nötig, schwierig"</formula>
    </cfRule>
    <cfRule type="cellIs" dxfId="1506" priority="266" stopIfTrue="1" operator="equal">
      <formula>"Partiellement nécessaire, facile / teilweise nötig, einfach"</formula>
    </cfRule>
    <cfRule type="cellIs" dxfId="1505" priority="267" stopIfTrue="1" operator="equal">
      <formula>"Partiellement nécessaire, difficile / teilweise nötig, schwierig"</formula>
    </cfRule>
    <cfRule type="cellIs" dxfId="1504" priority="268" stopIfTrue="1" operator="equal">
      <formula>"Très nécessaire, facile / unbedingt nötig, einfach"</formula>
    </cfRule>
    <cfRule type="cellIs" dxfId="1503" priority="269" stopIfTrue="1" operator="equal">
      <formula>"Non nécessaire / nicht nötig"</formula>
    </cfRule>
  </conditionalFormatting>
  <conditionalFormatting sqref="H33:H304">
    <cfRule type="cellIs" dxfId="1502" priority="262" stopIfTrue="1" operator="equal">
      <formula>"81 -100%"</formula>
    </cfRule>
    <cfRule type="cellIs" dxfId="1501" priority="263" stopIfTrue="1" operator="equal">
      <formula>"0-20%"</formula>
    </cfRule>
  </conditionalFormatting>
  <conditionalFormatting sqref="H33:H304">
    <cfRule type="cellIs" dxfId="1500" priority="259" stopIfTrue="1" operator="equal">
      <formula>"non pertinent "</formula>
    </cfRule>
    <cfRule type="cellIs" dxfId="1499" priority="260" stopIfTrue="1" operator="equal">
      <formula>"21-50%"</formula>
    </cfRule>
    <cfRule type="cellIs" dxfId="1498" priority="261" stopIfTrue="1" operator="equal">
      <formula>"51-80%"</formula>
    </cfRule>
  </conditionalFormatting>
  <conditionalFormatting sqref="G33:G304">
    <cfRule type="cellIs" dxfId="1497" priority="257" stopIfTrue="1" operator="equal">
      <formula>"81-100%"</formula>
    </cfRule>
    <cfRule type="cellIs" dxfId="1496" priority="258" stopIfTrue="1" operator="equal">
      <formula>"0-20%"</formula>
    </cfRule>
  </conditionalFormatting>
  <conditionalFormatting sqref="G33:G304">
    <cfRule type="cellIs" dxfId="1495" priority="248" stopIfTrue="1" operator="equal">
      <formula>"Charriage présumé faiblement perturbé / Geschiebe vermutlich leicht beeinträchtigt"</formula>
    </cfRule>
    <cfRule type="cellIs" dxfId="1494" priority="249" stopIfTrue="1" operator="equal">
      <formula>"La remobilisation des sédiments est perturbée / Mobilisierung von Geschiebe beeinträchtigt"</formula>
    </cfRule>
    <cfRule type="cellIs" dxfId="1493" priority="250" stopIfTrue="1" operator="equal">
      <formula>"Problème lié à un manque de charriage ou à un manque de remobilisation des sédiments / Problem aufgrund Geschiebemangels bzw. mangelnder Mobilisierung von Geschiebe"</formula>
    </cfRule>
    <cfRule type="cellIs" dxfId="1492" priority="251" stopIfTrue="1" operator="equal">
      <formula>"Déficit non apparent en charriage ou en remobilisation des sédiments / kein sichtbares Defizit beim Geschiebehaushalt bzw. bei der Mobilisierung von Geschiebe"</formula>
    </cfRule>
    <cfRule type="cellIs" dxfId="1491" priority="252" stopIfTrue="1" operator="equal">
      <formula>"Charriage présumé perturbé / Geschiebehaushalt vermutlich beeinträchtigt"</formula>
    </cfRule>
    <cfRule type="cellIs" dxfId="1490" priority="253" stopIfTrue="1" operator="equal">
      <formula>"Charriage présumé naturel / Geschiebehaushalt vermutlich natürlich"</formula>
    </cfRule>
    <cfRule type="cellIs" dxfId="1489" priority="254" stopIfTrue="1" operator="equal">
      <formula>"non pertinent / nicht relevant"</formula>
    </cfRule>
    <cfRule type="cellIs" dxfId="1488" priority="255" stopIfTrue="1" operator="equal">
      <formula>"21-50%"</formula>
    </cfRule>
    <cfRule type="cellIs" dxfId="1487" priority="256" stopIfTrue="1" operator="equal">
      <formula>"51-80%"</formula>
    </cfRule>
  </conditionalFormatting>
  <conditionalFormatting sqref="L33:L304">
    <cfRule type="cellIs" dxfId="1486" priority="240" stopIfTrue="1" operator="equal">
      <formula>"Régime présumé naturel (100%) / Abfluss vermutlich natürlich"</formula>
    </cfRule>
    <cfRule type="cellIs" dxfId="1485" priority="241" stopIfTrue="1" operator="equal">
      <formula>"non pertinent / nicht relevant"</formula>
    </cfRule>
    <cfRule type="cellIs" dxfId="1484" priority="242" stopIfTrue="1" operator="equal">
      <formula>"61-80%"</formula>
    </cfRule>
    <cfRule type="cellIs" dxfId="1483" priority="243" stopIfTrue="1" operator="equal">
      <formula>"41-60%"</formula>
    </cfRule>
    <cfRule type="cellIs" dxfId="1482" priority="244" stopIfTrue="1" operator="equal">
      <formula>"21-40%"</formula>
    </cfRule>
    <cfRule type="cellIs" dxfId="1481" priority="245" stopIfTrue="1" operator="equal">
      <formula>"0-20%"</formula>
    </cfRule>
    <cfRule type="cellIs" dxfId="1480" priority="246" stopIfTrue="1" operator="equal">
      <formula>"81-100%"</formula>
    </cfRule>
    <cfRule type="cellIs" dxfId="1479" priority="247" stopIfTrue="1" operator="equal">
      <formula>"100%"</formula>
    </cfRule>
  </conditionalFormatting>
  <conditionalFormatting sqref="S33:S304">
    <cfRule type="cellIs" dxfId="1478" priority="234" stopIfTrue="1" operator="equal">
      <formula>"non pertinent / nicht relevant"</formula>
    </cfRule>
    <cfRule type="cellIs" dxfId="1477" priority="235" stopIfTrue="1" operator="equal">
      <formula>"Très nécessaire, difficile / unbedingt nötig, schwierig"</formula>
    </cfRule>
    <cfRule type="cellIs" dxfId="1476" priority="236" stopIfTrue="1" operator="equal">
      <formula>"Partiellement nécessaire, facile / teilweise nötig, einfach"</formula>
    </cfRule>
    <cfRule type="cellIs" dxfId="1475" priority="237" stopIfTrue="1" operator="equal">
      <formula>"Partiellement nécessaire, difficile / teilweise nötig, schwierig"</formula>
    </cfRule>
    <cfRule type="cellIs" dxfId="1474" priority="238" stopIfTrue="1" operator="equal">
      <formula>"Très nécessaire, facile / unbedingt nötig, einfach"</formula>
    </cfRule>
    <cfRule type="cellIs" dxfId="1473" priority="239" stopIfTrue="1" operator="equal">
      <formula>"Non nécessaire / nicht nötig"</formula>
    </cfRule>
  </conditionalFormatting>
  <conditionalFormatting sqref="J33:J304">
    <cfRule type="cellIs" dxfId="1472" priority="216" stopIfTrue="1" operator="equal">
      <formula>"81 -100%"</formula>
    </cfRule>
    <cfRule type="cellIs" dxfId="1471" priority="217" stopIfTrue="1" operator="equal">
      <formula>"0-20%"</formula>
    </cfRule>
  </conditionalFormatting>
  <conditionalFormatting sqref="J33:J304">
    <cfRule type="cellIs" dxfId="1470" priority="213" stopIfTrue="1" operator="equal">
      <formula>"non pertinent "</formula>
    </cfRule>
    <cfRule type="cellIs" dxfId="1469" priority="214" stopIfTrue="1" operator="equal">
      <formula>"21-50%"</formula>
    </cfRule>
    <cfRule type="cellIs" dxfId="1468" priority="215" stopIfTrue="1" operator="equal">
      <formula>"51-80%"</formula>
    </cfRule>
  </conditionalFormatting>
  <conditionalFormatting sqref="M33:M304">
    <cfRule type="cellIs" dxfId="1467" priority="183" stopIfTrue="1" operator="equal">
      <formula>"Régime présumé naturel (100%) / Abfluss vermutlich natürlich"</formula>
    </cfRule>
    <cfRule type="cellIs" dxfId="1466" priority="184" stopIfTrue="1" operator="equal">
      <formula>"non pertinent / nicht relevant"</formula>
    </cfRule>
    <cfRule type="cellIs" dxfId="1465" priority="185" stopIfTrue="1" operator="equal">
      <formula>"61-80%"</formula>
    </cfRule>
    <cfRule type="cellIs" dxfId="1464" priority="186" stopIfTrue="1" operator="equal">
      <formula>"41-60%"</formula>
    </cfRule>
    <cfRule type="cellIs" dxfId="1463" priority="187" stopIfTrue="1" operator="equal">
      <formula>"21-40%"</formula>
    </cfRule>
    <cfRule type="cellIs" dxfId="1462" priority="188" stopIfTrue="1" operator="equal">
      <formula>"0-20%"</formula>
    </cfRule>
    <cfRule type="cellIs" dxfId="1461" priority="189" stopIfTrue="1" operator="equal">
      <formula>"81-100%"</formula>
    </cfRule>
    <cfRule type="cellIs" dxfId="1460" priority="190" stopIfTrue="1" operator="equal">
      <formula>"100%"</formula>
    </cfRule>
  </conditionalFormatting>
  <conditionalFormatting sqref="U33:U304">
    <cfRule type="cellIs" dxfId="1459" priority="177" stopIfTrue="1" operator="equal">
      <formula>"non pertinent / nicht relevant"</formula>
    </cfRule>
    <cfRule type="cellIs" dxfId="1458" priority="178" stopIfTrue="1" operator="equal">
      <formula>"Très nécessaire, difficile / unbedingt nötig, schwierig"</formula>
    </cfRule>
    <cfRule type="cellIs" dxfId="1457" priority="179" stopIfTrue="1" operator="equal">
      <formula>"Partiellement nécessaire, facile / teilweise nötig, einfach"</formula>
    </cfRule>
    <cfRule type="cellIs" dxfId="1456" priority="180" stopIfTrue="1" operator="equal">
      <formula>"Partiellement nécessaire, difficile / teilweise nötig, schwierig"</formula>
    </cfRule>
    <cfRule type="cellIs" dxfId="1455" priority="181" stopIfTrue="1" operator="equal">
      <formula>"Très nécessaire, facile / unbedingt nötig, einfach"</formula>
    </cfRule>
    <cfRule type="cellIs" dxfId="1454" priority="182" stopIfTrue="1" operator="equal">
      <formula>"Non nécessaire / nicht nötig"</formula>
    </cfRule>
  </conditionalFormatting>
  <conditionalFormatting sqref="I33:I304">
    <cfRule type="cellIs" dxfId="1453" priority="148" stopIfTrue="1" operator="equal">
      <formula>"81-100%"</formula>
    </cfRule>
    <cfRule type="cellIs" dxfId="1452" priority="149" stopIfTrue="1" operator="equal">
      <formula>"0-20%"</formula>
    </cfRule>
  </conditionalFormatting>
  <conditionalFormatting sqref="I33:I304">
    <cfRule type="cellIs" dxfId="1451" priority="139" stopIfTrue="1" operator="equal">
      <formula>"Charriage présumé faiblement perturbé / Geschiebe vermutlich leicht beeinträchtigt"</formula>
    </cfRule>
    <cfRule type="cellIs" dxfId="1450" priority="140" stopIfTrue="1" operator="equal">
      <formula>"La remobilisation des sédiments est perturbée / Mobilisierung von Geschiebe beeinträchtigt"</formula>
    </cfRule>
    <cfRule type="cellIs" dxfId="1449" priority="141" stopIfTrue="1" operator="equal">
      <formula>"Problème lié à un manque de charriage ou à un manque de remobilisation des sédiments / Problem aufgrund Geschiebemangels bzw. mangelnder Mobilisierung von Geschiebe"</formula>
    </cfRule>
    <cfRule type="cellIs" dxfId="1448" priority="142" stopIfTrue="1" operator="equal">
      <formula>"Déficit non apparent en charriage ou en remobilisation des sédiments / kein sichtbares Defizit beim Geschiebehaushalt bzw. bei der Mobilisierung von Geschiebe"</formula>
    </cfRule>
    <cfRule type="cellIs" dxfId="1447" priority="143" stopIfTrue="1" operator="equal">
      <formula>"Charriage présumé perturbé / Geschiebehaushalt vermutlich beeinträchtigt"</formula>
    </cfRule>
    <cfRule type="cellIs" dxfId="1446" priority="144" stopIfTrue="1" operator="equal">
      <formula>"Charriage présumé naturel / Geschiebehaushalt vermutlich natürlich"</formula>
    </cfRule>
    <cfRule type="cellIs" dxfId="1445" priority="145" stopIfTrue="1" operator="equal">
      <formula>"non pertinent / nicht relevant"</formula>
    </cfRule>
    <cfRule type="cellIs" dxfId="1444" priority="146" stopIfTrue="1" operator="equal">
      <formula>"21-50%"</formula>
    </cfRule>
    <cfRule type="cellIs" dxfId="1443" priority="147" stopIfTrue="1" operator="equal">
      <formula>"51-80%"</formula>
    </cfRule>
  </conditionalFormatting>
  <conditionalFormatting sqref="N33:N304">
    <cfRule type="cellIs" dxfId="1442" priority="29" stopIfTrue="1" operator="equal">
      <formula>$A$19</formula>
    </cfRule>
    <cfRule type="cellIs" dxfId="1441" priority="32" stopIfTrue="1" operator="equal">
      <formula>$A$20</formula>
    </cfRule>
    <cfRule type="cellIs" dxfId="1440" priority="34" stopIfTrue="1" operator="equal">
      <formula>$A$21</formula>
    </cfRule>
  </conditionalFormatting>
  <conditionalFormatting sqref="Y33:Y304">
    <cfRule type="cellIs" dxfId="1439" priority="27" stopIfTrue="1" operator="equal">
      <formula>"81-100%"</formula>
    </cfRule>
    <cfRule type="cellIs" dxfId="1438" priority="28" stopIfTrue="1" operator="equal">
      <formula>"0-20%"</formula>
    </cfRule>
  </conditionalFormatting>
  <conditionalFormatting sqref="Y33:Y304">
    <cfRule type="cellIs" dxfId="1437" priority="18" stopIfTrue="1" operator="equal">
      <formula>"Charriage présumé faiblement perturbé / Geschiebe vermutlich leicht beeinträchtigt"</formula>
    </cfRule>
    <cfRule type="cellIs" dxfId="1436" priority="19" stopIfTrue="1" operator="equal">
      <formula>"La remobilisation des sédiments est perturbée / Mobilisierung von Geschiebe beeinträchtigt"</formula>
    </cfRule>
    <cfRule type="cellIs" dxfId="1435" priority="20" stopIfTrue="1" operator="equal">
      <formula>"Problème lié à un manque de charriage ou à un manque de remobilisation des sédiments / Problem aufgrund Geschiebemangels bzw. mangelnder Mobilisierung von Geschiebe"</formula>
    </cfRule>
    <cfRule type="cellIs" dxfId="1434" priority="21" stopIfTrue="1" operator="equal">
      <formula>"Déficit non apparent en charriage ou en remobilisation des sédiments / kein sichtbares Defizit beim Geschiebehaushalt bzw. bei der Mobilisierung von Geschiebe"</formula>
    </cfRule>
    <cfRule type="cellIs" dxfId="1433" priority="22" stopIfTrue="1" operator="equal">
      <formula>"Charriage présumé perturbé / Geschiebehaushalt vermutlich beeinträchtigt"</formula>
    </cfRule>
    <cfRule type="cellIs" dxfId="1432" priority="23" stopIfTrue="1" operator="equal">
      <formula>"Charriage présumé naturel / Geschiebehaushalt vermutlich natürlich"</formula>
    </cfRule>
    <cfRule type="cellIs" dxfId="1431" priority="24" stopIfTrue="1" operator="equal">
      <formula>"non pertinent / nicht relevant"</formula>
    </cfRule>
    <cfRule type="cellIs" dxfId="1430" priority="25" stopIfTrue="1" operator="equal">
      <formula>"21-50%"</formula>
    </cfRule>
    <cfRule type="cellIs" dxfId="1429" priority="26" stopIfTrue="1" operator="equal">
      <formula>"51-80%"</formula>
    </cfRule>
  </conditionalFormatting>
  <conditionalFormatting sqref="AA33:AA304">
    <cfRule type="cellIs" dxfId="1428" priority="10" stopIfTrue="1" operator="equal">
      <formula>"Régime présumé naturel (100%) / Abfluss vermutlich natürlich"</formula>
    </cfRule>
    <cfRule type="cellIs" dxfId="1427" priority="11" stopIfTrue="1" operator="equal">
      <formula>"non pertinent / nicht relevant"</formula>
    </cfRule>
    <cfRule type="cellIs" dxfId="1426" priority="12" stopIfTrue="1" operator="equal">
      <formula>"61-80%"</formula>
    </cfRule>
    <cfRule type="cellIs" dxfId="1425" priority="13" stopIfTrue="1" operator="equal">
      <formula>"41-60%"</formula>
    </cfRule>
    <cfRule type="cellIs" dxfId="1424" priority="14" stopIfTrue="1" operator="equal">
      <formula>"21-40%"</formula>
    </cfRule>
    <cfRule type="cellIs" dxfId="1423" priority="15" stopIfTrue="1" operator="equal">
      <formula>"0-20%"</formula>
    </cfRule>
    <cfRule type="cellIs" dxfId="1422" priority="16" stopIfTrue="1" operator="equal">
      <formula>"81-100%"</formula>
    </cfRule>
    <cfRule type="cellIs" dxfId="1421" priority="17" stopIfTrue="1" operator="equal">
      <formula>"100%"</formula>
    </cfRule>
  </conditionalFormatting>
  <conditionalFormatting sqref="AC33:AC304">
    <cfRule type="cellIs" dxfId="1420" priority="4" stopIfTrue="1" operator="equal">
      <formula>"non pertinent / nicht relevant"</formula>
    </cfRule>
    <cfRule type="cellIs" dxfId="1419" priority="5" stopIfTrue="1" operator="equal">
      <formula>"Très nécessaire, difficile / unbedingt nötig, schwierig"</formula>
    </cfRule>
    <cfRule type="cellIs" dxfId="1418" priority="6" stopIfTrue="1" operator="equal">
      <formula>"Partiellement nécessaire, facile / teilweise nötig, einfach"</formula>
    </cfRule>
    <cfRule type="cellIs" dxfId="1417" priority="7" stopIfTrue="1" operator="equal">
      <formula>"Partiellement nécessaire, difficile / teilweise nötig, schwierig"</formula>
    </cfRule>
    <cfRule type="cellIs" dxfId="1416" priority="8" stopIfTrue="1" operator="equal">
      <formula>"Très nécessaire, facile / unbedingt nötig, einfach"</formula>
    </cfRule>
    <cfRule type="cellIs" dxfId="1415" priority="9" stopIfTrue="1" operator="equal">
      <formula>"Non nécessaire / nicht nötig"</formula>
    </cfRule>
  </conditionalFormatting>
  <conditionalFormatting sqref="AB33:AB304">
    <cfRule type="cellIs" dxfId="1414" priority="1" stopIfTrue="1" operator="equal">
      <formula>$A$19</formula>
    </cfRule>
    <cfRule type="cellIs" dxfId="1413" priority="2" stopIfTrue="1" operator="equal">
      <formula>$A$20</formula>
    </cfRule>
    <cfRule type="cellIs" dxfId="1412" priority="3" stopIfTrue="1" operator="equal">
      <formula>$A$21</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J9" sqref="J9"/>
    </sheetView>
  </sheetViews>
  <sheetFormatPr baseColWidth="10" defaultRowHeight="15" x14ac:dyDescent="0.25"/>
  <cols>
    <col min="1" max="1" width="11.42578125" style="353"/>
    <col min="2" max="2" width="20.28515625" style="361" customWidth="1"/>
    <col min="3" max="7" width="28.42578125" customWidth="1"/>
  </cols>
  <sheetData>
    <row r="1" spans="1:7" s="353" customFormat="1" x14ac:dyDescent="0.25">
      <c r="A1" s="350"/>
      <c r="B1" s="351" t="s">
        <v>1550</v>
      </c>
      <c r="C1" s="352" t="s">
        <v>1551</v>
      </c>
      <c r="D1" s="352" t="s">
        <v>88</v>
      </c>
      <c r="E1" s="352" t="s">
        <v>73</v>
      </c>
      <c r="F1" s="352" t="s">
        <v>67</v>
      </c>
      <c r="G1" s="352" t="s">
        <v>45</v>
      </c>
    </row>
    <row r="2" spans="1:7" x14ac:dyDescent="0.25">
      <c r="A2" s="1409" t="s">
        <v>35</v>
      </c>
      <c r="B2" s="354" t="s">
        <v>1552</v>
      </c>
      <c r="C2" s="355" t="s">
        <v>1553</v>
      </c>
      <c r="D2" s="356" t="s">
        <v>1554</v>
      </c>
      <c r="E2" s="356" t="s">
        <v>1554</v>
      </c>
      <c r="F2" s="355" t="s">
        <v>113</v>
      </c>
      <c r="G2" s="355" t="s">
        <v>54</v>
      </c>
    </row>
    <row r="3" spans="1:7" ht="14.25" customHeight="1" x14ac:dyDescent="0.25">
      <c r="A3" s="1410"/>
      <c r="B3" s="354" t="s">
        <v>1555</v>
      </c>
      <c r="C3" s="355"/>
      <c r="D3" s="355"/>
      <c r="E3" s="355"/>
      <c r="F3" s="355"/>
      <c r="G3" s="355"/>
    </row>
    <row r="4" spans="1:7" x14ac:dyDescent="0.25">
      <c r="A4" s="1409" t="s">
        <v>80</v>
      </c>
      <c r="B4" s="354" t="s">
        <v>1552</v>
      </c>
      <c r="C4" s="355" t="s">
        <v>1553</v>
      </c>
      <c r="D4" s="356" t="s">
        <v>1554</v>
      </c>
      <c r="E4" s="356" t="s">
        <v>1554</v>
      </c>
      <c r="F4" s="356" t="s">
        <v>1554</v>
      </c>
      <c r="G4" s="356" t="s">
        <v>1554</v>
      </c>
    </row>
    <row r="5" spans="1:7" ht="14.25" customHeight="1" x14ac:dyDescent="0.25">
      <c r="A5" s="1410"/>
      <c r="B5" s="354" t="s">
        <v>1555</v>
      </c>
      <c r="C5" s="355"/>
      <c r="D5" s="355"/>
      <c r="E5" s="355"/>
      <c r="F5" s="355"/>
      <c r="G5" s="355"/>
    </row>
    <row r="6" spans="1:7" x14ac:dyDescent="0.25">
      <c r="A6" s="1409" t="s">
        <v>754</v>
      </c>
      <c r="B6" s="354" t="s">
        <v>1552</v>
      </c>
      <c r="C6" s="355" t="s">
        <v>1553</v>
      </c>
      <c r="D6" s="356" t="s">
        <v>1554</v>
      </c>
      <c r="E6" s="356" t="s">
        <v>1554</v>
      </c>
      <c r="F6" s="356" t="s">
        <v>1554</v>
      </c>
      <c r="G6" s="356" t="s">
        <v>1554</v>
      </c>
    </row>
    <row r="7" spans="1:7" ht="14.25" customHeight="1" x14ac:dyDescent="0.25">
      <c r="A7" s="1410"/>
      <c r="B7" s="354" t="s">
        <v>1555</v>
      </c>
      <c r="C7" s="355"/>
      <c r="D7" s="355"/>
      <c r="E7" s="355"/>
      <c r="F7" s="355"/>
      <c r="G7" s="355"/>
    </row>
    <row r="8" spans="1:7" x14ac:dyDescent="0.25">
      <c r="A8" s="1409" t="s">
        <v>92</v>
      </c>
      <c r="B8" s="354" t="s">
        <v>1552</v>
      </c>
      <c r="C8" s="355" t="s">
        <v>1553</v>
      </c>
      <c r="D8" s="355" t="s">
        <v>162</v>
      </c>
      <c r="E8" s="355" t="s">
        <v>186</v>
      </c>
      <c r="F8" s="355" t="s">
        <v>109</v>
      </c>
      <c r="G8" s="355" t="s">
        <v>54</v>
      </c>
    </row>
    <row r="9" spans="1:7" ht="14.25" customHeight="1" x14ac:dyDescent="0.25">
      <c r="A9" s="1410"/>
      <c r="B9" s="354" t="s">
        <v>1555</v>
      </c>
      <c r="C9" s="355"/>
      <c r="D9" s="355"/>
      <c r="E9" s="355"/>
      <c r="F9" s="355"/>
      <c r="G9" s="355"/>
    </row>
    <row r="10" spans="1:7" x14ac:dyDescent="0.25">
      <c r="A10" s="1409" t="s">
        <v>806</v>
      </c>
      <c r="B10" s="354" t="s">
        <v>1552</v>
      </c>
      <c r="C10" s="355" t="s">
        <v>1553</v>
      </c>
      <c r="D10" s="356" t="s">
        <v>1554</v>
      </c>
      <c r="E10" s="355" t="s">
        <v>95</v>
      </c>
      <c r="F10" s="355" t="s">
        <v>95</v>
      </c>
      <c r="G10" s="356" t="s">
        <v>1554</v>
      </c>
    </row>
    <row r="11" spans="1:7" ht="14.25" customHeight="1" x14ac:dyDescent="0.25">
      <c r="A11" s="1410"/>
      <c r="B11" s="354" t="s">
        <v>1555</v>
      </c>
      <c r="C11" s="355"/>
      <c r="D11" s="355"/>
      <c r="E11" s="355"/>
      <c r="F11" s="355"/>
      <c r="G11" s="355"/>
    </row>
    <row r="12" spans="1:7" x14ac:dyDescent="0.25">
      <c r="A12" s="1409" t="s">
        <v>197</v>
      </c>
      <c r="B12" s="354" t="s">
        <v>1552</v>
      </c>
      <c r="C12" s="355" t="s">
        <v>1553</v>
      </c>
      <c r="D12" s="355" t="s">
        <v>162</v>
      </c>
      <c r="E12" s="356" t="s">
        <v>1554</v>
      </c>
      <c r="F12" s="355" t="s">
        <v>113</v>
      </c>
      <c r="G12" s="355" t="s">
        <v>54</v>
      </c>
    </row>
    <row r="13" spans="1:7" ht="14.25" customHeight="1" x14ac:dyDescent="0.25">
      <c r="A13" s="1410"/>
      <c r="B13" s="354" t="s">
        <v>1555</v>
      </c>
      <c r="C13" s="355"/>
      <c r="D13" s="355"/>
      <c r="E13" s="355"/>
      <c r="F13" s="355"/>
      <c r="G13" s="355"/>
    </row>
    <row r="14" spans="1:7" x14ac:dyDescent="0.25">
      <c r="A14" s="1409" t="s">
        <v>241</v>
      </c>
      <c r="B14" s="354" t="s">
        <v>1552</v>
      </c>
      <c r="C14" s="355" t="s">
        <v>1553</v>
      </c>
      <c r="D14" s="355" t="s">
        <v>246</v>
      </c>
      <c r="E14" s="355" t="s">
        <v>1556</v>
      </c>
      <c r="F14" s="355" t="s">
        <v>1557</v>
      </c>
      <c r="G14" s="355" t="s">
        <v>1558</v>
      </c>
    </row>
    <row r="15" spans="1:7" ht="14.25" customHeight="1" x14ac:dyDescent="0.25">
      <c r="A15" s="1410"/>
      <c r="B15" s="354" t="s">
        <v>1555</v>
      </c>
      <c r="C15" s="355"/>
      <c r="D15" s="355"/>
      <c r="E15" s="355"/>
      <c r="F15" s="355"/>
      <c r="G15" s="355"/>
    </row>
    <row r="16" spans="1:7" x14ac:dyDescent="0.25">
      <c r="A16" s="1409" t="s">
        <v>259</v>
      </c>
      <c r="B16" s="354" t="s">
        <v>1552</v>
      </c>
      <c r="C16" s="355" t="s">
        <v>1553</v>
      </c>
      <c r="D16" s="356" t="s">
        <v>1554</v>
      </c>
      <c r="E16" s="356" t="s">
        <v>1554</v>
      </c>
      <c r="F16" s="356" t="s">
        <v>1554</v>
      </c>
      <c r="G16" s="356" t="s">
        <v>1554</v>
      </c>
    </row>
    <row r="17" spans="1:7" ht="14.25" customHeight="1" x14ac:dyDescent="0.25">
      <c r="A17" s="1410"/>
      <c r="B17" s="354" t="s">
        <v>1555</v>
      </c>
      <c r="C17" s="355"/>
      <c r="D17" s="355"/>
      <c r="E17" s="355"/>
      <c r="F17" s="355"/>
      <c r="G17" s="355"/>
    </row>
    <row r="18" spans="1:7" x14ac:dyDescent="0.25">
      <c r="A18" s="1409" t="s">
        <v>274</v>
      </c>
      <c r="B18" s="354" t="s">
        <v>1552</v>
      </c>
      <c r="C18" s="355" t="s">
        <v>1553</v>
      </c>
      <c r="D18" s="355" t="s">
        <v>162</v>
      </c>
      <c r="E18" s="357" t="s">
        <v>276</v>
      </c>
      <c r="F18" s="357" t="s">
        <v>308</v>
      </c>
      <c r="G18" s="357" t="s">
        <v>308</v>
      </c>
    </row>
    <row r="19" spans="1:7" ht="14.25" customHeight="1" x14ac:dyDescent="0.25">
      <c r="A19" s="1410"/>
      <c r="B19" s="354" t="s">
        <v>1555</v>
      </c>
      <c r="C19" s="355"/>
      <c r="D19" s="355"/>
      <c r="E19" s="355"/>
      <c r="F19" s="355"/>
      <c r="G19" s="355"/>
    </row>
    <row r="20" spans="1:7" ht="25.5" customHeight="1" x14ac:dyDescent="0.25">
      <c r="A20" s="1409" t="s">
        <v>361</v>
      </c>
      <c r="B20" s="354" t="s">
        <v>1552</v>
      </c>
      <c r="C20" s="355" t="s">
        <v>1553</v>
      </c>
      <c r="D20" s="356" t="s">
        <v>1554</v>
      </c>
      <c r="E20" s="356" t="s">
        <v>1554</v>
      </c>
      <c r="F20" s="357" t="s">
        <v>364</v>
      </c>
      <c r="G20" s="356" t="s">
        <v>1554</v>
      </c>
    </row>
    <row r="21" spans="1:7" ht="14.25" customHeight="1" x14ac:dyDescent="0.25">
      <c r="A21" s="1410"/>
      <c r="B21" s="354" t="s">
        <v>1555</v>
      </c>
      <c r="C21" s="355"/>
      <c r="D21" s="355"/>
      <c r="E21" s="355"/>
      <c r="F21" s="355"/>
      <c r="G21" s="355"/>
    </row>
    <row r="22" spans="1:7" x14ac:dyDescent="0.25">
      <c r="A22" s="1409" t="s">
        <v>376</v>
      </c>
      <c r="B22" s="354" t="s">
        <v>1552</v>
      </c>
      <c r="C22" s="355" t="s">
        <v>1553</v>
      </c>
      <c r="D22" s="356" t="s">
        <v>1554</v>
      </c>
      <c r="E22" s="355" t="s">
        <v>186</v>
      </c>
      <c r="F22" s="355" t="s">
        <v>1559</v>
      </c>
      <c r="G22" s="355" t="s">
        <v>113</v>
      </c>
    </row>
    <row r="23" spans="1:7" ht="14.25" customHeight="1" x14ac:dyDescent="0.25">
      <c r="A23" s="1410"/>
      <c r="B23" s="354" t="s">
        <v>1555</v>
      </c>
      <c r="C23" s="355"/>
      <c r="D23" s="355"/>
      <c r="E23" s="355"/>
      <c r="F23" s="355"/>
      <c r="G23" s="355"/>
    </row>
    <row r="24" spans="1:7" x14ac:dyDescent="0.25">
      <c r="A24" s="1409" t="s">
        <v>393</v>
      </c>
      <c r="B24" s="354" t="s">
        <v>1552</v>
      </c>
      <c r="C24" s="355" t="s">
        <v>1553</v>
      </c>
      <c r="D24" s="356" t="s">
        <v>1554</v>
      </c>
      <c r="E24" s="356" t="s">
        <v>1554</v>
      </c>
      <c r="F24" s="356" t="s">
        <v>1554</v>
      </c>
      <c r="G24" s="356" t="s">
        <v>1554</v>
      </c>
    </row>
    <row r="25" spans="1:7" ht="14.25" customHeight="1" x14ac:dyDescent="0.25">
      <c r="A25" s="1410"/>
      <c r="B25" s="354" t="s">
        <v>1555</v>
      </c>
      <c r="C25" s="355"/>
      <c r="D25" s="355"/>
      <c r="E25" s="355"/>
      <c r="F25" s="355"/>
      <c r="G25" s="355"/>
    </row>
    <row r="26" spans="1:7" x14ac:dyDescent="0.25">
      <c r="A26" s="1409" t="s">
        <v>395</v>
      </c>
      <c r="B26" s="354" t="s">
        <v>1552</v>
      </c>
      <c r="C26" s="355" t="s">
        <v>1560</v>
      </c>
      <c r="D26" s="356" t="s">
        <v>1554</v>
      </c>
      <c r="E26" s="356" t="s">
        <v>1554</v>
      </c>
      <c r="F26" s="356" t="s">
        <v>1554</v>
      </c>
      <c r="G26" s="356" t="s">
        <v>1554</v>
      </c>
    </row>
    <row r="27" spans="1:7" ht="14.25" customHeight="1" x14ac:dyDescent="0.25">
      <c r="A27" s="1410"/>
      <c r="B27" s="354" t="s">
        <v>1555</v>
      </c>
      <c r="C27" s="355"/>
      <c r="D27" s="355"/>
      <c r="E27" s="355"/>
      <c r="F27" s="355"/>
      <c r="G27" s="355"/>
    </row>
    <row r="28" spans="1:7" x14ac:dyDescent="0.25">
      <c r="A28" s="1409" t="s">
        <v>410</v>
      </c>
      <c r="B28" s="354" t="s">
        <v>1552</v>
      </c>
      <c r="C28" s="355" t="s">
        <v>1553</v>
      </c>
      <c r="D28" s="356" t="s">
        <v>1554</v>
      </c>
      <c r="E28" s="356" t="s">
        <v>1554</v>
      </c>
      <c r="F28" s="355" t="s">
        <v>413</v>
      </c>
      <c r="G28" s="356" t="s">
        <v>1554</v>
      </c>
    </row>
    <row r="29" spans="1:7" ht="14.25" customHeight="1" x14ac:dyDescent="0.25">
      <c r="A29" s="1410"/>
      <c r="B29" s="354" t="s">
        <v>1555</v>
      </c>
      <c r="C29" s="355"/>
      <c r="D29" s="355"/>
      <c r="E29" s="355"/>
      <c r="F29" s="355"/>
      <c r="G29" s="355"/>
    </row>
    <row r="30" spans="1:7" x14ac:dyDescent="0.25">
      <c r="A30" s="1409" t="s">
        <v>439</v>
      </c>
      <c r="B30" s="354" t="s">
        <v>1552</v>
      </c>
      <c r="C30" s="355" t="s">
        <v>1553</v>
      </c>
      <c r="D30" s="355" t="s">
        <v>443</v>
      </c>
      <c r="E30" s="355" t="s">
        <v>95</v>
      </c>
      <c r="F30" s="355" t="s">
        <v>95</v>
      </c>
      <c r="G30" s="356" t="s">
        <v>1554</v>
      </c>
    </row>
    <row r="31" spans="1:7" ht="14.25" customHeight="1" x14ac:dyDescent="0.25">
      <c r="A31" s="1410"/>
      <c r="B31" s="354" t="s">
        <v>1555</v>
      </c>
      <c r="C31" s="355"/>
      <c r="D31" s="355"/>
      <c r="E31" s="355"/>
      <c r="F31" s="355"/>
      <c r="G31" s="355"/>
    </row>
    <row r="32" spans="1:7" x14ac:dyDescent="0.25">
      <c r="A32" s="1409" t="s">
        <v>454</v>
      </c>
      <c r="B32" s="354" t="s">
        <v>1552</v>
      </c>
      <c r="C32" s="355" t="s">
        <v>1553</v>
      </c>
      <c r="D32" s="356" t="s">
        <v>1554</v>
      </c>
      <c r="E32" s="355" t="s">
        <v>721</v>
      </c>
      <c r="F32" s="355" t="s">
        <v>1561</v>
      </c>
      <c r="G32" s="355" t="s">
        <v>54</v>
      </c>
    </row>
    <row r="33" spans="1:7" ht="14.25" customHeight="1" x14ac:dyDescent="0.25">
      <c r="A33" s="1410"/>
      <c r="B33" s="354" t="s">
        <v>1555</v>
      </c>
      <c r="C33" s="355"/>
      <c r="D33" s="355"/>
      <c r="E33" s="355"/>
      <c r="F33" s="355"/>
      <c r="G33" s="355"/>
    </row>
    <row r="34" spans="1:7" x14ac:dyDescent="0.25">
      <c r="A34" s="1409" t="s">
        <v>460</v>
      </c>
      <c r="B34" s="354" t="s">
        <v>1552</v>
      </c>
      <c r="C34" s="355" t="s">
        <v>1553</v>
      </c>
      <c r="D34" s="355" t="s">
        <v>443</v>
      </c>
      <c r="E34" s="355" t="s">
        <v>186</v>
      </c>
      <c r="F34" s="355" t="s">
        <v>95</v>
      </c>
      <c r="G34" s="356" t="s">
        <v>1554</v>
      </c>
    </row>
    <row r="35" spans="1:7" ht="14.25" customHeight="1" x14ac:dyDescent="0.25">
      <c r="A35" s="1410"/>
      <c r="B35" s="354" t="s">
        <v>1555</v>
      </c>
      <c r="C35" s="355"/>
      <c r="D35" s="355"/>
      <c r="E35" s="355"/>
      <c r="F35" s="355"/>
      <c r="G35" s="355"/>
    </row>
    <row r="36" spans="1:7" x14ac:dyDescent="0.25">
      <c r="A36" s="1409" t="s">
        <v>472</v>
      </c>
      <c r="B36" s="354" t="s">
        <v>1552</v>
      </c>
      <c r="C36" s="355" t="s">
        <v>1553</v>
      </c>
      <c r="D36" s="355" t="s">
        <v>162</v>
      </c>
      <c r="E36" s="357" t="s">
        <v>1562</v>
      </c>
      <c r="F36" s="355" t="s">
        <v>1563</v>
      </c>
      <c r="G36" s="356" t="s">
        <v>1554</v>
      </c>
    </row>
    <row r="37" spans="1:7" ht="27" customHeight="1" x14ac:dyDescent="0.25">
      <c r="A37" s="1410"/>
      <c r="B37" s="354" t="s">
        <v>1555</v>
      </c>
      <c r="C37" s="355"/>
      <c r="D37" s="355"/>
      <c r="E37" s="355"/>
      <c r="F37" s="355" t="s">
        <v>1564</v>
      </c>
      <c r="G37" s="355" t="s">
        <v>1564</v>
      </c>
    </row>
    <row r="38" spans="1:7" x14ac:dyDescent="0.25">
      <c r="A38" s="1409" t="s">
        <v>482</v>
      </c>
      <c r="B38" s="354" t="s">
        <v>1552</v>
      </c>
      <c r="C38" s="355" t="s">
        <v>1553</v>
      </c>
      <c r="D38" s="355" t="s">
        <v>1565</v>
      </c>
      <c r="E38" s="355" t="s">
        <v>256</v>
      </c>
      <c r="F38" s="355" t="s">
        <v>527</v>
      </c>
      <c r="G38" s="355" t="s">
        <v>823</v>
      </c>
    </row>
    <row r="39" spans="1:7" ht="14.25" customHeight="1" x14ac:dyDescent="0.25">
      <c r="A39" s="1410"/>
      <c r="B39" s="354" t="s">
        <v>1555</v>
      </c>
      <c r="C39" s="355"/>
      <c r="D39" s="355"/>
      <c r="E39" s="355"/>
      <c r="F39" s="355"/>
      <c r="G39" s="355"/>
    </row>
    <row r="40" spans="1:7" x14ac:dyDescent="0.25">
      <c r="A40" s="1409" t="s">
        <v>551</v>
      </c>
      <c r="B40" s="354" t="s">
        <v>1552</v>
      </c>
      <c r="C40" s="355" t="s">
        <v>1553</v>
      </c>
      <c r="D40" s="356" t="s">
        <v>1554</v>
      </c>
      <c r="E40" s="356" t="s">
        <v>1554</v>
      </c>
      <c r="F40" s="356" t="s">
        <v>1554</v>
      </c>
      <c r="G40" s="356" t="s">
        <v>1554</v>
      </c>
    </row>
    <row r="41" spans="1:7" ht="23.25" customHeight="1" x14ac:dyDescent="0.25">
      <c r="A41" s="1410"/>
      <c r="B41" s="354" t="s">
        <v>1555</v>
      </c>
      <c r="C41" s="355" t="s">
        <v>1566</v>
      </c>
      <c r="D41" s="355"/>
      <c r="E41" s="355"/>
      <c r="F41" s="355"/>
      <c r="G41" s="355"/>
    </row>
    <row r="42" spans="1:7" x14ac:dyDescent="0.25">
      <c r="A42" s="1409" t="s">
        <v>573</v>
      </c>
      <c r="B42" s="354" t="s">
        <v>1552</v>
      </c>
      <c r="C42" s="355" t="s">
        <v>1553</v>
      </c>
      <c r="D42" s="355" t="s">
        <v>587</v>
      </c>
      <c r="E42" s="355" t="s">
        <v>256</v>
      </c>
      <c r="F42" s="355" t="s">
        <v>1557</v>
      </c>
      <c r="G42" s="356" t="s">
        <v>1554</v>
      </c>
    </row>
    <row r="43" spans="1:7" ht="14.25" customHeight="1" x14ac:dyDescent="0.25">
      <c r="A43" s="1410"/>
      <c r="B43" s="354" t="s">
        <v>1555</v>
      </c>
      <c r="C43" s="355"/>
      <c r="D43" s="355"/>
      <c r="E43" s="355"/>
      <c r="F43" s="355"/>
      <c r="G43" s="355"/>
    </row>
    <row r="44" spans="1:7" x14ac:dyDescent="0.25">
      <c r="A44" s="1409" t="s">
        <v>625</v>
      </c>
      <c r="B44" s="354" t="s">
        <v>1552</v>
      </c>
      <c r="C44" s="355" t="s">
        <v>1553</v>
      </c>
      <c r="D44" s="355" t="s">
        <v>637</v>
      </c>
      <c r="E44" s="355" t="s">
        <v>637</v>
      </c>
      <c r="F44" s="355" t="s">
        <v>632</v>
      </c>
      <c r="G44" s="355" t="s">
        <v>632</v>
      </c>
    </row>
    <row r="45" spans="1:7" ht="85.5" customHeight="1" x14ac:dyDescent="0.25">
      <c r="A45" s="1410"/>
      <c r="B45" s="354" t="s">
        <v>1555</v>
      </c>
      <c r="C45" s="355" t="s">
        <v>1567</v>
      </c>
      <c r="D45" s="355" t="s">
        <v>1568</v>
      </c>
      <c r="E45" s="355" t="s">
        <v>1569</v>
      </c>
      <c r="F45" s="355" t="s">
        <v>1570</v>
      </c>
      <c r="G45" s="355" t="s">
        <v>1571</v>
      </c>
    </row>
    <row r="46" spans="1:7" x14ac:dyDescent="0.25">
      <c r="A46" s="1409" t="s">
        <v>687</v>
      </c>
      <c r="B46" s="354" t="s">
        <v>1552</v>
      </c>
      <c r="C46" s="355" t="s">
        <v>1553</v>
      </c>
      <c r="D46" s="356" t="s">
        <v>1554</v>
      </c>
      <c r="E46" s="356" t="s">
        <v>1554</v>
      </c>
      <c r="F46" s="356" t="s">
        <v>1554</v>
      </c>
      <c r="G46" s="356" t="s">
        <v>1554</v>
      </c>
    </row>
    <row r="47" spans="1:7" ht="14.25" customHeight="1" x14ac:dyDescent="0.25">
      <c r="A47" s="1410"/>
      <c r="B47" s="354" t="s">
        <v>1555</v>
      </c>
      <c r="C47" s="355"/>
      <c r="D47" s="355"/>
      <c r="E47" s="355"/>
      <c r="F47" s="355"/>
      <c r="G47" s="355"/>
    </row>
    <row r="48" spans="1:7" x14ac:dyDescent="0.25">
      <c r="A48" s="1409" t="s">
        <v>693</v>
      </c>
      <c r="B48" s="354" t="s">
        <v>1552</v>
      </c>
      <c r="C48" s="355" t="s">
        <v>1553</v>
      </c>
      <c r="D48" s="355" t="s">
        <v>1572</v>
      </c>
      <c r="E48" s="355" t="s">
        <v>1573</v>
      </c>
      <c r="F48" s="355" t="s">
        <v>1574</v>
      </c>
      <c r="G48" s="356" t="s">
        <v>1554</v>
      </c>
    </row>
    <row r="49" spans="1:7" ht="38.25" customHeight="1" x14ac:dyDescent="0.25">
      <c r="A49" s="1410"/>
      <c r="B49" s="354" t="s">
        <v>1555</v>
      </c>
      <c r="C49" s="355"/>
      <c r="D49" s="355" t="s">
        <v>1575</v>
      </c>
      <c r="E49" s="355" t="s">
        <v>1576</v>
      </c>
      <c r="F49" s="355"/>
      <c r="G49" s="355"/>
    </row>
    <row r="51" spans="1:7" x14ac:dyDescent="0.25">
      <c r="B51" s="358"/>
      <c r="C51" s="359" t="s">
        <v>1577</v>
      </c>
      <c r="D51" s="359" t="s">
        <v>26</v>
      </c>
    </row>
    <row r="52" spans="1:7" x14ac:dyDescent="0.25">
      <c r="B52" s="358" t="s">
        <v>1578</v>
      </c>
      <c r="C52" s="360" t="s">
        <v>587</v>
      </c>
      <c r="D52" s="360" t="s">
        <v>162</v>
      </c>
    </row>
    <row r="53" spans="1:7" x14ac:dyDescent="0.25">
      <c r="B53" s="358" t="s">
        <v>1579</v>
      </c>
      <c r="C53" s="360" t="s">
        <v>256</v>
      </c>
      <c r="D53" s="360" t="s">
        <v>118</v>
      </c>
    </row>
    <row r="54" spans="1:7" x14ac:dyDescent="0.25">
      <c r="B54" s="358" t="s">
        <v>1580</v>
      </c>
      <c r="C54" s="360" t="s">
        <v>1557</v>
      </c>
      <c r="D54" s="360" t="s">
        <v>1581</v>
      </c>
    </row>
    <row r="55" spans="1:7" x14ac:dyDescent="0.25">
      <c r="B55" s="358" t="s">
        <v>1582</v>
      </c>
      <c r="C55" s="360" t="s">
        <v>1583</v>
      </c>
      <c r="D55" s="360" t="s">
        <v>1584</v>
      </c>
    </row>
    <row r="56" spans="1:7" x14ac:dyDescent="0.25">
      <c r="B56" s="358" t="s">
        <v>1585</v>
      </c>
      <c r="C56" s="360" t="s">
        <v>251</v>
      </c>
      <c r="D56" s="360" t="s">
        <v>54</v>
      </c>
    </row>
  </sheetData>
  <mergeCells count="24">
    <mergeCell ref="A2:A3"/>
    <mergeCell ref="A4:A5"/>
    <mergeCell ref="A6:A7"/>
    <mergeCell ref="A8:A9"/>
    <mergeCell ref="A32:A33"/>
    <mergeCell ref="A10:A11"/>
    <mergeCell ref="A12:A13"/>
    <mergeCell ref="A14:A15"/>
    <mergeCell ref="A16:A17"/>
    <mergeCell ref="A18:A19"/>
    <mergeCell ref="A20:A21"/>
    <mergeCell ref="A22:A23"/>
    <mergeCell ref="A24:A25"/>
    <mergeCell ref="A26:A27"/>
    <mergeCell ref="A28:A29"/>
    <mergeCell ref="A30:A31"/>
    <mergeCell ref="A46:A47"/>
    <mergeCell ref="A48:A49"/>
    <mergeCell ref="A34:A35"/>
    <mergeCell ref="A36:A37"/>
    <mergeCell ref="A38:A39"/>
    <mergeCell ref="A40:A41"/>
    <mergeCell ref="A42:A43"/>
    <mergeCell ref="A44:A4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7"/>
  <sheetViews>
    <sheetView zoomScale="70" zoomScaleNormal="70" workbookViewId="0">
      <selection activeCell="K15" sqref="K15"/>
    </sheetView>
  </sheetViews>
  <sheetFormatPr baseColWidth="10" defaultRowHeight="15" x14ac:dyDescent="0.25"/>
  <cols>
    <col min="1" max="1" width="3.140625" customWidth="1"/>
    <col min="2" max="2" width="6" customWidth="1"/>
    <col min="6" max="6" width="32.42578125" bestFit="1" customWidth="1"/>
    <col min="7" max="7" width="18.7109375" customWidth="1"/>
    <col min="8" max="8" width="17.140625" bestFit="1" customWidth="1"/>
    <col min="9" max="9" width="21.7109375" customWidth="1"/>
    <col min="10" max="10" width="15.28515625" bestFit="1" customWidth="1"/>
    <col min="11" max="11" width="22" bestFit="1" customWidth="1"/>
    <col min="12" max="12" width="9.140625" customWidth="1"/>
    <col min="13" max="13" width="13.140625" customWidth="1"/>
    <col min="14" max="15" width="9.140625" customWidth="1"/>
    <col min="16" max="16" width="6.7109375" style="430" customWidth="1"/>
    <col min="17" max="17" width="32.28515625" bestFit="1" customWidth="1"/>
    <col min="18" max="18" width="17" bestFit="1" customWidth="1"/>
    <col min="19" max="19" width="35" bestFit="1" customWidth="1"/>
    <col min="20" max="20" width="29.5703125" bestFit="1" customWidth="1"/>
  </cols>
  <sheetData>
    <row r="1" spans="1:20" x14ac:dyDescent="0.25">
      <c r="A1" s="415" t="s">
        <v>20</v>
      </c>
      <c r="B1" s="415" t="s">
        <v>1597</v>
      </c>
      <c r="C1" s="347" t="s">
        <v>1598</v>
      </c>
      <c r="D1" s="347" t="s">
        <v>1599</v>
      </c>
      <c r="E1" s="347"/>
      <c r="F1" s="415" t="s">
        <v>21</v>
      </c>
      <c r="G1" s="415" t="s">
        <v>22</v>
      </c>
      <c r="H1" s="415" t="s">
        <v>1600</v>
      </c>
      <c r="I1" s="415" t="s">
        <v>1601</v>
      </c>
      <c r="J1" s="415" t="s">
        <v>1602</v>
      </c>
      <c r="K1" s="415" t="s">
        <v>1603</v>
      </c>
      <c r="L1" s="415" t="s">
        <v>1604</v>
      </c>
      <c r="M1" s="415" t="s">
        <v>715</v>
      </c>
      <c r="N1" s="415">
        <v>80.2</v>
      </c>
      <c r="O1" s="415" t="s">
        <v>1605</v>
      </c>
      <c r="P1" s="416" t="s">
        <v>1606</v>
      </c>
      <c r="Q1" s="415" t="s">
        <v>1607</v>
      </c>
      <c r="R1" s="415" t="s">
        <v>1608</v>
      </c>
      <c r="S1" s="415"/>
      <c r="T1" s="415"/>
    </row>
    <row r="2" spans="1:20" x14ac:dyDescent="0.25">
      <c r="A2" s="417" t="s">
        <v>472</v>
      </c>
      <c r="B2" s="418">
        <v>9</v>
      </c>
      <c r="C2">
        <f t="shared" ref="C2:C65" si="0">COUNTIF($B$2:$B$166,B2)</f>
        <v>1</v>
      </c>
      <c r="D2">
        <f>COUNTIF($B$2:B2,B2)</f>
        <v>1</v>
      </c>
      <c r="E2" t="str">
        <f t="shared" ref="E2:E65" si="1">CONCATENATE(B2,".",D2)</f>
        <v>9.1</v>
      </c>
      <c r="F2" s="417" t="s">
        <v>480</v>
      </c>
      <c r="G2" s="417" t="s">
        <v>417</v>
      </c>
      <c r="H2" s="417" t="s">
        <v>1449</v>
      </c>
      <c r="I2" s="417" t="s">
        <v>1450</v>
      </c>
      <c r="J2" s="417" t="s">
        <v>1609</v>
      </c>
      <c r="K2" s="417" t="s">
        <v>1355</v>
      </c>
      <c r="L2" s="417" t="s">
        <v>88</v>
      </c>
      <c r="M2" s="417" t="s">
        <v>1610</v>
      </c>
      <c r="N2" s="417"/>
      <c r="O2" s="417" t="s">
        <v>1611</v>
      </c>
      <c r="P2" s="419">
        <v>2010</v>
      </c>
      <c r="Q2" s="417" t="s">
        <v>1612</v>
      </c>
      <c r="R2" s="417" t="s">
        <v>1613</v>
      </c>
      <c r="S2" s="417"/>
      <c r="T2" s="417"/>
    </row>
    <row r="3" spans="1:20" x14ac:dyDescent="0.25">
      <c r="A3" s="417" t="s">
        <v>472</v>
      </c>
      <c r="B3" s="418">
        <v>11</v>
      </c>
      <c r="C3">
        <f t="shared" si="0"/>
        <v>1</v>
      </c>
      <c r="D3">
        <f>COUNTIF($B$2:B3,B3)</f>
        <v>1</v>
      </c>
      <c r="E3" t="str">
        <f t="shared" si="1"/>
        <v>11.1</v>
      </c>
      <c r="F3" s="417" t="s">
        <v>481</v>
      </c>
      <c r="G3" s="417" t="s">
        <v>417</v>
      </c>
      <c r="H3" s="417" t="s">
        <v>1455</v>
      </c>
      <c r="I3" s="417" t="s">
        <v>1456</v>
      </c>
      <c r="J3" s="417" t="s">
        <v>1609</v>
      </c>
      <c r="K3" s="417" t="s">
        <v>1346</v>
      </c>
      <c r="L3" s="417" t="s">
        <v>730</v>
      </c>
      <c r="M3" s="417" t="s">
        <v>1610</v>
      </c>
      <c r="N3" s="417"/>
      <c r="O3" s="417" t="s">
        <v>1611</v>
      </c>
      <c r="P3" s="419">
        <v>2010</v>
      </c>
      <c r="Q3" s="417" t="s">
        <v>1612</v>
      </c>
      <c r="R3" s="417" t="s">
        <v>1613</v>
      </c>
      <c r="S3" s="417"/>
      <c r="T3" s="417"/>
    </row>
    <row r="4" spans="1:20" x14ac:dyDescent="0.25">
      <c r="A4" s="417" t="s">
        <v>410</v>
      </c>
      <c r="B4" s="418">
        <v>14</v>
      </c>
      <c r="C4">
        <f t="shared" si="0"/>
        <v>1</v>
      </c>
      <c r="D4">
        <f>COUNTIF($B$2:B4,B4)</f>
        <v>1</v>
      </c>
      <c r="E4" t="str">
        <f t="shared" si="1"/>
        <v>14.1</v>
      </c>
      <c r="F4" s="417" t="s">
        <v>411</v>
      </c>
      <c r="G4" s="417" t="s">
        <v>412</v>
      </c>
      <c r="H4" s="417" t="s">
        <v>1426</v>
      </c>
      <c r="I4" s="417" t="s">
        <v>1427</v>
      </c>
      <c r="J4" s="417" t="s">
        <v>1609</v>
      </c>
      <c r="K4" s="417" t="s">
        <v>1337</v>
      </c>
      <c r="L4" s="417" t="s">
        <v>746</v>
      </c>
      <c r="M4" s="417"/>
      <c r="N4" s="417"/>
      <c r="O4" s="417"/>
      <c r="P4" s="420">
        <v>2044</v>
      </c>
      <c r="Q4" s="417" t="s">
        <v>1614</v>
      </c>
      <c r="R4" s="417" t="s">
        <v>882</v>
      </c>
      <c r="S4" s="417" t="s">
        <v>1615</v>
      </c>
      <c r="T4" s="417" t="s">
        <v>1616</v>
      </c>
    </row>
    <row r="5" spans="1:20" x14ac:dyDescent="0.25">
      <c r="A5" s="417" t="s">
        <v>410</v>
      </c>
      <c r="B5" s="418">
        <v>19</v>
      </c>
      <c r="C5">
        <f t="shared" si="0"/>
        <v>1</v>
      </c>
      <c r="D5">
        <f>COUNTIF($B$2:B5,B5)</f>
        <v>1</v>
      </c>
      <c r="E5" t="str">
        <f t="shared" si="1"/>
        <v>19.1</v>
      </c>
      <c r="F5" s="417" t="s">
        <v>420</v>
      </c>
      <c r="G5" s="417" t="s">
        <v>421</v>
      </c>
      <c r="H5" s="417" t="s">
        <v>1617</v>
      </c>
      <c r="I5" s="417" t="s">
        <v>1618</v>
      </c>
      <c r="J5" s="417" t="s">
        <v>1619</v>
      </c>
      <c r="K5" s="417" t="s">
        <v>1376</v>
      </c>
      <c r="L5" s="417" t="s">
        <v>746</v>
      </c>
      <c r="M5" s="417"/>
      <c r="N5" s="417"/>
      <c r="O5" s="417"/>
      <c r="P5" s="417" t="s">
        <v>52</v>
      </c>
      <c r="Q5" s="417" t="s">
        <v>52</v>
      </c>
      <c r="R5" s="417" t="s">
        <v>52</v>
      </c>
      <c r="S5" s="417" t="s">
        <v>52</v>
      </c>
      <c r="T5" s="417" t="s">
        <v>52</v>
      </c>
    </row>
    <row r="6" spans="1:20" x14ac:dyDescent="0.25">
      <c r="A6" s="417" t="s">
        <v>274</v>
      </c>
      <c r="B6" s="418">
        <v>28</v>
      </c>
      <c r="C6">
        <f t="shared" si="0"/>
        <v>2</v>
      </c>
      <c r="D6">
        <f>COUNTIF($B$2:B6,B6)</f>
        <v>1</v>
      </c>
      <c r="E6" t="str">
        <f t="shared" si="1"/>
        <v>28.1</v>
      </c>
      <c r="F6" s="417" t="s">
        <v>281</v>
      </c>
      <c r="G6" s="417" t="s">
        <v>282</v>
      </c>
      <c r="H6" s="417" t="s">
        <v>1372</v>
      </c>
      <c r="I6" s="417" t="s">
        <v>1373</v>
      </c>
      <c r="J6" s="417" t="s">
        <v>1609</v>
      </c>
      <c r="K6" s="417" t="s">
        <v>1355</v>
      </c>
      <c r="L6" s="417" t="s">
        <v>88</v>
      </c>
      <c r="M6" s="417"/>
      <c r="N6" s="417"/>
      <c r="O6" s="417"/>
      <c r="P6" s="419">
        <v>2057</v>
      </c>
      <c r="Q6" s="417" t="s">
        <v>1620</v>
      </c>
      <c r="R6" s="417" t="s">
        <v>1621</v>
      </c>
      <c r="S6" s="417" t="s">
        <v>1622</v>
      </c>
      <c r="T6" s="417" t="s">
        <v>1623</v>
      </c>
    </row>
    <row r="7" spans="1:20" x14ac:dyDescent="0.25">
      <c r="A7" s="417" t="s">
        <v>274</v>
      </c>
      <c r="B7" s="418">
        <v>28</v>
      </c>
      <c r="C7">
        <f t="shared" si="0"/>
        <v>2</v>
      </c>
      <c r="D7">
        <f>COUNTIF($B$2:B7,B7)</f>
        <v>2</v>
      </c>
      <c r="E7" t="str">
        <f t="shared" si="1"/>
        <v>28.2</v>
      </c>
      <c r="F7" s="417" t="s">
        <v>281</v>
      </c>
      <c r="G7" s="417" t="s">
        <v>282</v>
      </c>
      <c r="H7" s="417" t="s">
        <v>1624</v>
      </c>
      <c r="I7" s="417" t="s">
        <v>1625</v>
      </c>
      <c r="J7" s="417" t="s">
        <v>1619</v>
      </c>
      <c r="K7" s="417" t="s">
        <v>1376</v>
      </c>
      <c r="L7" s="417" t="s">
        <v>88</v>
      </c>
      <c r="M7" s="417"/>
      <c r="N7" s="417"/>
      <c r="O7" s="417"/>
      <c r="P7" s="417" t="s">
        <v>52</v>
      </c>
      <c r="Q7" s="417" t="s">
        <v>52</v>
      </c>
      <c r="R7" s="417" t="s">
        <v>52</v>
      </c>
      <c r="S7" s="417" t="s">
        <v>52</v>
      </c>
      <c r="T7" s="417" t="s">
        <v>52</v>
      </c>
    </row>
    <row r="8" spans="1:20" x14ac:dyDescent="0.25">
      <c r="A8" s="417" t="s">
        <v>274</v>
      </c>
      <c r="B8" s="418">
        <v>30</v>
      </c>
      <c r="C8">
        <f t="shared" si="0"/>
        <v>2</v>
      </c>
      <c r="D8">
        <f>COUNTIF($B$2:B8,B8)</f>
        <v>1</v>
      </c>
      <c r="E8" t="str">
        <f t="shared" si="1"/>
        <v>30.1</v>
      </c>
      <c r="F8" s="417" t="s">
        <v>285</v>
      </c>
      <c r="G8" s="417" t="s">
        <v>284</v>
      </c>
      <c r="H8" s="417" t="s">
        <v>1374</v>
      </c>
      <c r="I8" s="417" t="s">
        <v>1375</v>
      </c>
      <c r="J8" s="417" t="s">
        <v>1609</v>
      </c>
      <c r="K8" s="417" t="s">
        <v>1334</v>
      </c>
      <c r="L8" s="417" t="s">
        <v>794</v>
      </c>
      <c r="M8" s="417"/>
      <c r="N8" s="417"/>
      <c r="O8" s="417"/>
      <c r="P8" s="420">
        <v>2071</v>
      </c>
      <c r="Q8" s="417" t="s">
        <v>1626</v>
      </c>
      <c r="R8" s="417" t="s">
        <v>882</v>
      </c>
      <c r="S8" s="417" t="s">
        <v>1627</v>
      </c>
      <c r="T8" s="417" t="s">
        <v>1628</v>
      </c>
    </row>
    <row r="9" spans="1:20" x14ac:dyDescent="0.25">
      <c r="A9" s="417" t="s">
        <v>274</v>
      </c>
      <c r="B9" s="418">
        <v>30</v>
      </c>
      <c r="C9">
        <f t="shared" si="0"/>
        <v>2</v>
      </c>
      <c r="D9">
        <f>COUNTIF($B$2:B9,B9)</f>
        <v>2</v>
      </c>
      <c r="E9" t="str">
        <f t="shared" si="1"/>
        <v>30.2</v>
      </c>
      <c r="F9" s="417" t="s">
        <v>285</v>
      </c>
      <c r="G9" s="417" t="s">
        <v>284</v>
      </c>
      <c r="H9" s="417" t="s">
        <v>1629</v>
      </c>
      <c r="I9" s="417" t="s">
        <v>1630</v>
      </c>
      <c r="J9" s="417" t="s">
        <v>1619</v>
      </c>
      <c r="K9" s="417" t="s">
        <v>1376</v>
      </c>
      <c r="L9" s="417" t="s">
        <v>794</v>
      </c>
      <c r="M9" s="417"/>
      <c r="N9" s="417"/>
      <c r="O9" s="417"/>
      <c r="P9" s="420">
        <v>2071</v>
      </c>
      <c r="Q9" s="417" t="s">
        <v>52</v>
      </c>
      <c r="R9" s="417" t="s">
        <v>52</v>
      </c>
      <c r="S9" s="417" t="s">
        <v>52</v>
      </c>
      <c r="T9" s="417" t="s">
        <v>52</v>
      </c>
    </row>
    <row r="10" spans="1:20" x14ac:dyDescent="0.25">
      <c r="A10" s="417" t="s">
        <v>274</v>
      </c>
      <c r="B10" s="418">
        <v>31</v>
      </c>
      <c r="C10">
        <f t="shared" si="0"/>
        <v>2</v>
      </c>
      <c r="D10">
        <f>COUNTIF($B$2:B10,B10)</f>
        <v>1</v>
      </c>
      <c r="E10" t="str">
        <f t="shared" si="1"/>
        <v>31.1</v>
      </c>
      <c r="F10" s="417" t="s">
        <v>286</v>
      </c>
      <c r="G10" s="417" t="s">
        <v>1631</v>
      </c>
      <c r="H10" s="417" t="s">
        <v>1377</v>
      </c>
      <c r="I10" s="417" t="s">
        <v>1378</v>
      </c>
      <c r="J10" s="417" t="s">
        <v>1609</v>
      </c>
      <c r="K10" s="417" t="s">
        <v>1376</v>
      </c>
      <c r="L10" s="417" t="s">
        <v>88</v>
      </c>
      <c r="M10" s="417">
        <v>1</v>
      </c>
      <c r="N10" s="417" t="s">
        <v>1611</v>
      </c>
      <c r="O10" s="417"/>
      <c r="P10" s="419">
        <v>2048</v>
      </c>
      <c r="Q10" s="417" t="s">
        <v>1632</v>
      </c>
      <c r="R10" s="417" t="s">
        <v>1633</v>
      </c>
      <c r="S10" s="417"/>
      <c r="T10" s="417"/>
    </row>
    <row r="11" spans="1:20" x14ac:dyDescent="0.25">
      <c r="A11" s="417" t="s">
        <v>274</v>
      </c>
      <c r="B11" s="418">
        <v>31</v>
      </c>
      <c r="C11">
        <f t="shared" si="0"/>
        <v>2</v>
      </c>
      <c r="D11">
        <f>COUNTIF($B$2:B11,B11)</f>
        <v>2</v>
      </c>
      <c r="E11" t="str">
        <f t="shared" si="1"/>
        <v>31.2</v>
      </c>
      <c r="F11" s="417" t="s">
        <v>286</v>
      </c>
      <c r="G11" s="417" t="s">
        <v>1631</v>
      </c>
      <c r="H11" s="417" t="s">
        <v>1634</v>
      </c>
      <c r="I11" s="417" t="s">
        <v>1378</v>
      </c>
      <c r="J11" s="417" t="s">
        <v>1609</v>
      </c>
      <c r="K11" s="417" t="s">
        <v>1376</v>
      </c>
      <c r="L11" s="417" t="s">
        <v>88</v>
      </c>
      <c r="M11" s="417">
        <v>1</v>
      </c>
      <c r="N11" s="417" t="s">
        <v>1611</v>
      </c>
      <c r="O11" s="417"/>
      <c r="P11" s="419">
        <v>2048</v>
      </c>
      <c r="Q11" s="417" t="s">
        <v>1632</v>
      </c>
      <c r="R11" s="417" t="s">
        <v>1633</v>
      </c>
      <c r="S11" s="417"/>
      <c r="T11" s="417"/>
    </row>
    <row r="12" spans="1:20" x14ac:dyDescent="0.25">
      <c r="A12" s="417" t="s">
        <v>274</v>
      </c>
      <c r="B12" s="418">
        <v>32</v>
      </c>
      <c r="C12">
        <f t="shared" si="0"/>
        <v>2</v>
      </c>
      <c r="D12">
        <f>COUNTIF($B$2:B12,B12)</f>
        <v>1</v>
      </c>
      <c r="E12" t="str">
        <f t="shared" si="1"/>
        <v>32.1</v>
      </c>
      <c r="F12" s="417" t="s">
        <v>288</v>
      </c>
      <c r="G12" s="417" t="s">
        <v>1635</v>
      </c>
      <c r="H12" s="417" t="s">
        <v>1377</v>
      </c>
      <c r="I12" s="417" t="s">
        <v>1378</v>
      </c>
      <c r="J12" s="417" t="s">
        <v>1609</v>
      </c>
      <c r="K12" s="417" t="s">
        <v>1376</v>
      </c>
      <c r="L12" s="417" t="s">
        <v>88</v>
      </c>
      <c r="M12" s="417">
        <v>1</v>
      </c>
      <c r="N12" s="417"/>
      <c r="O12" s="417"/>
      <c r="P12" s="419">
        <v>2048</v>
      </c>
      <c r="Q12" s="417" t="s">
        <v>1632</v>
      </c>
      <c r="R12" s="417" t="s">
        <v>1633</v>
      </c>
      <c r="S12" s="417"/>
      <c r="T12" s="417"/>
    </row>
    <row r="13" spans="1:20" x14ac:dyDescent="0.25">
      <c r="A13" s="417" t="s">
        <v>274</v>
      </c>
      <c r="B13" s="418">
        <v>32</v>
      </c>
      <c r="C13">
        <f t="shared" si="0"/>
        <v>2</v>
      </c>
      <c r="D13">
        <f>COUNTIF($B$2:B13,B13)</f>
        <v>2</v>
      </c>
      <c r="E13" t="str">
        <f t="shared" si="1"/>
        <v>32.2</v>
      </c>
      <c r="F13" s="417" t="s">
        <v>288</v>
      </c>
      <c r="G13" s="417" t="s">
        <v>1635</v>
      </c>
      <c r="H13" s="417" t="s">
        <v>1636</v>
      </c>
      <c r="I13" s="417" t="s">
        <v>1637</v>
      </c>
      <c r="J13" s="417" t="s">
        <v>1619</v>
      </c>
      <c r="K13" s="417" t="s">
        <v>1376</v>
      </c>
      <c r="L13" s="417" t="s">
        <v>88</v>
      </c>
      <c r="M13" s="417"/>
      <c r="N13" s="417"/>
      <c r="O13" s="417"/>
      <c r="P13" s="420">
        <v>2027</v>
      </c>
      <c r="Q13" s="417" t="s">
        <v>52</v>
      </c>
      <c r="R13" s="417" t="s">
        <v>52</v>
      </c>
      <c r="S13" s="417" t="s">
        <v>52</v>
      </c>
      <c r="T13" s="417" t="s">
        <v>52</v>
      </c>
    </row>
    <row r="14" spans="1:20" x14ac:dyDescent="0.25">
      <c r="A14" s="417" t="s">
        <v>274</v>
      </c>
      <c r="B14" s="418">
        <v>33</v>
      </c>
      <c r="C14">
        <f t="shared" si="0"/>
        <v>1</v>
      </c>
      <c r="D14">
        <f>COUNTIF($B$2:B14,B14)</f>
        <v>1</v>
      </c>
      <c r="E14" t="str">
        <f t="shared" si="1"/>
        <v>33.1</v>
      </c>
      <c r="F14" s="417" t="s">
        <v>290</v>
      </c>
      <c r="G14" s="417" t="s">
        <v>1635</v>
      </c>
      <c r="H14" s="417" t="s">
        <v>1377</v>
      </c>
      <c r="I14" s="417" t="s">
        <v>1378</v>
      </c>
      <c r="J14" s="417" t="s">
        <v>1609</v>
      </c>
      <c r="K14" s="417" t="s">
        <v>1376</v>
      </c>
      <c r="L14" s="417" t="s">
        <v>88</v>
      </c>
      <c r="M14" s="417">
        <v>1</v>
      </c>
      <c r="N14" s="417"/>
      <c r="O14" s="417"/>
      <c r="P14" s="419">
        <v>2048</v>
      </c>
      <c r="Q14" s="417" t="s">
        <v>1632</v>
      </c>
      <c r="R14" s="417" t="s">
        <v>1633</v>
      </c>
      <c r="S14" s="417"/>
      <c r="T14" s="417"/>
    </row>
    <row r="15" spans="1:20" x14ac:dyDescent="0.25">
      <c r="A15" s="417" t="s">
        <v>274</v>
      </c>
      <c r="B15" s="418">
        <v>34</v>
      </c>
      <c r="C15">
        <f t="shared" si="0"/>
        <v>2</v>
      </c>
      <c r="D15">
        <f>COUNTIF($B$2:B15,B15)</f>
        <v>1</v>
      </c>
      <c r="E15" t="str">
        <f t="shared" si="1"/>
        <v>34.1</v>
      </c>
      <c r="F15" s="417" t="s">
        <v>291</v>
      </c>
      <c r="G15" s="417" t="s">
        <v>284</v>
      </c>
      <c r="H15" s="417" t="s">
        <v>1379</v>
      </c>
      <c r="I15" s="417" t="s">
        <v>1380</v>
      </c>
      <c r="J15" s="417" t="s">
        <v>1609</v>
      </c>
      <c r="K15" s="417" t="s">
        <v>1376</v>
      </c>
      <c r="L15" s="417" t="s">
        <v>88</v>
      </c>
      <c r="M15" s="417">
        <v>1</v>
      </c>
      <c r="N15" s="417"/>
      <c r="O15" s="417"/>
      <c r="P15" s="419">
        <v>2048</v>
      </c>
      <c r="Q15" s="417" t="s">
        <v>1632</v>
      </c>
      <c r="R15" s="417" t="s">
        <v>1633</v>
      </c>
      <c r="S15" s="417"/>
      <c r="T15" s="417"/>
    </row>
    <row r="16" spans="1:20" x14ac:dyDescent="0.25">
      <c r="A16" s="417" t="s">
        <v>274</v>
      </c>
      <c r="B16" s="418">
        <v>34</v>
      </c>
      <c r="C16">
        <f t="shared" si="0"/>
        <v>2</v>
      </c>
      <c r="D16">
        <f>COUNTIF($B$2:B16,B16)</f>
        <v>2</v>
      </c>
      <c r="E16" t="str">
        <f t="shared" si="1"/>
        <v>34.2</v>
      </c>
      <c r="F16" s="417" t="s">
        <v>291</v>
      </c>
      <c r="G16" s="417" t="s">
        <v>284</v>
      </c>
      <c r="H16" s="417" t="s">
        <v>1638</v>
      </c>
      <c r="I16" s="417" t="s">
        <v>1378</v>
      </c>
      <c r="J16" s="417" t="s">
        <v>1619</v>
      </c>
      <c r="K16" s="417" t="s">
        <v>1376</v>
      </c>
      <c r="L16" s="417" t="s">
        <v>88</v>
      </c>
      <c r="M16" s="417"/>
      <c r="N16" s="417"/>
      <c r="O16" s="417"/>
      <c r="P16" s="420">
        <v>2048</v>
      </c>
      <c r="Q16" s="417" t="s">
        <v>52</v>
      </c>
      <c r="R16" s="417" t="s">
        <v>52</v>
      </c>
      <c r="S16" s="417" t="s">
        <v>52</v>
      </c>
      <c r="T16" s="417" t="s">
        <v>52</v>
      </c>
    </row>
    <row r="17" spans="1:20" x14ac:dyDescent="0.25">
      <c r="A17" s="417" t="s">
        <v>274</v>
      </c>
      <c r="B17" s="418">
        <v>35</v>
      </c>
      <c r="C17">
        <f t="shared" si="0"/>
        <v>3</v>
      </c>
      <c r="D17">
        <f>COUNTIF($B$2:B17,B17)</f>
        <v>1</v>
      </c>
      <c r="E17" t="str">
        <f t="shared" si="1"/>
        <v>35.1</v>
      </c>
      <c r="F17" s="417" t="s">
        <v>292</v>
      </c>
      <c r="G17" s="417" t="s">
        <v>284</v>
      </c>
      <c r="H17" s="417" t="s">
        <v>1374</v>
      </c>
      <c r="I17" s="417" t="s">
        <v>1375</v>
      </c>
      <c r="J17" s="417" t="s">
        <v>1609</v>
      </c>
      <c r="K17" s="417" t="s">
        <v>1334</v>
      </c>
      <c r="L17" s="417" t="s">
        <v>794</v>
      </c>
      <c r="M17" s="417"/>
      <c r="N17" s="417"/>
      <c r="O17" s="417"/>
      <c r="P17" s="420">
        <v>2071</v>
      </c>
      <c r="Q17" s="417" t="s">
        <v>1626</v>
      </c>
      <c r="R17" s="417" t="s">
        <v>882</v>
      </c>
      <c r="S17" s="417" t="s">
        <v>1627</v>
      </c>
      <c r="T17" s="417" t="s">
        <v>1628</v>
      </c>
    </row>
    <row r="18" spans="1:20" x14ac:dyDescent="0.25">
      <c r="A18" s="417" t="s">
        <v>274</v>
      </c>
      <c r="B18" s="418">
        <v>35</v>
      </c>
      <c r="C18">
        <f t="shared" si="0"/>
        <v>3</v>
      </c>
      <c r="D18">
        <f>COUNTIF($B$2:B18,B18)</f>
        <v>2</v>
      </c>
      <c r="E18" t="str">
        <f t="shared" si="1"/>
        <v>35.2</v>
      </c>
      <c r="F18" s="417" t="s">
        <v>292</v>
      </c>
      <c r="G18" s="417" t="s">
        <v>284</v>
      </c>
      <c r="H18" s="417" t="s">
        <v>1639</v>
      </c>
      <c r="I18" s="417" t="s">
        <v>1640</v>
      </c>
      <c r="J18" s="417" t="s">
        <v>1619</v>
      </c>
      <c r="K18" s="417" t="s">
        <v>1376</v>
      </c>
      <c r="L18" s="417" t="s">
        <v>794</v>
      </c>
      <c r="M18" s="417"/>
      <c r="N18" s="417"/>
      <c r="O18" s="417"/>
      <c r="P18" s="420">
        <v>2026</v>
      </c>
      <c r="Q18" s="417" t="s">
        <v>52</v>
      </c>
      <c r="R18" s="417" t="s">
        <v>52</v>
      </c>
      <c r="S18" s="417" t="s">
        <v>52</v>
      </c>
      <c r="T18" s="417" t="s">
        <v>52</v>
      </c>
    </row>
    <row r="19" spans="1:20" x14ac:dyDescent="0.25">
      <c r="A19" s="417" t="s">
        <v>274</v>
      </c>
      <c r="B19" s="418">
        <v>35</v>
      </c>
      <c r="C19">
        <f t="shared" si="0"/>
        <v>3</v>
      </c>
      <c r="D19">
        <f>COUNTIF($B$2:B19,B19)</f>
        <v>3</v>
      </c>
      <c r="E19" t="str">
        <f t="shared" si="1"/>
        <v>35.3</v>
      </c>
      <c r="F19" s="417" t="s">
        <v>292</v>
      </c>
      <c r="G19" s="417" t="s">
        <v>284</v>
      </c>
      <c r="H19" s="417" t="s">
        <v>1641</v>
      </c>
      <c r="I19" s="417" t="s">
        <v>1642</v>
      </c>
      <c r="J19" s="417" t="s">
        <v>1619</v>
      </c>
      <c r="K19" s="417" t="s">
        <v>1376</v>
      </c>
      <c r="L19" s="417" t="s">
        <v>794</v>
      </c>
      <c r="M19" s="417"/>
      <c r="N19" s="417"/>
      <c r="O19" s="417"/>
      <c r="P19" s="420">
        <v>2040</v>
      </c>
      <c r="Q19" s="417" t="s">
        <v>52</v>
      </c>
      <c r="R19" s="417" t="s">
        <v>52</v>
      </c>
      <c r="S19" s="417" t="s">
        <v>52</v>
      </c>
      <c r="T19" s="417" t="s">
        <v>52</v>
      </c>
    </row>
    <row r="20" spans="1:20" x14ac:dyDescent="0.25">
      <c r="A20" s="417" t="s">
        <v>35</v>
      </c>
      <c r="B20" s="418">
        <v>37</v>
      </c>
      <c r="C20">
        <f t="shared" si="0"/>
        <v>3</v>
      </c>
      <c r="D20">
        <f>COUNTIF($B$2:B20,B20)</f>
        <v>1</v>
      </c>
      <c r="E20" t="str">
        <f t="shared" si="1"/>
        <v>37.1</v>
      </c>
      <c r="F20" s="417" t="s">
        <v>56</v>
      </c>
      <c r="G20" s="417" t="s">
        <v>57</v>
      </c>
      <c r="H20" s="417" t="s">
        <v>1335</v>
      </c>
      <c r="I20" s="417" t="s">
        <v>1336</v>
      </c>
      <c r="J20" s="417" t="s">
        <v>1609</v>
      </c>
      <c r="K20" s="417" t="s">
        <v>1334</v>
      </c>
      <c r="L20" s="417" t="s">
        <v>730</v>
      </c>
      <c r="M20" s="417"/>
      <c r="N20" s="417"/>
      <c r="O20" s="417"/>
      <c r="P20" s="420">
        <v>2056</v>
      </c>
      <c r="Q20" s="417" t="s">
        <v>1643</v>
      </c>
      <c r="R20" s="417" t="s">
        <v>1633</v>
      </c>
      <c r="S20" s="417" t="s">
        <v>52</v>
      </c>
      <c r="T20" s="417" t="s">
        <v>52</v>
      </c>
    </row>
    <row r="21" spans="1:20" x14ac:dyDescent="0.25">
      <c r="A21" s="417" t="s">
        <v>35</v>
      </c>
      <c r="B21" s="418">
        <v>37</v>
      </c>
      <c r="C21">
        <f t="shared" si="0"/>
        <v>3</v>
      </c>
      <c r="D21">
        <f>COUNTIF($B$2:B21,B21)</f>
        <v>2</v>
      </c>
      <c r="E21" t="str">
        <f t="shared" si="1"/>
        <v>37.2</v>
      </c>
      <c r="F21" s="417" t="s">
        <v>56</v>
      </c>
      <c r="G21" s="417" t="s">
        <v>57</v>
      </c>
      <c r="H21" s="417" t="s">
        <v>1644</v>
      </c>
      <c r="I21" s="417" t="s">
        <v>1645</v>
      </c>
      <c r="J21" s="417" t="s">
        <v>1619</v>
      </c>
      <c r="K21" s="417" t="s">
        <v>1334</v>
      </c>
      <c r="L21" s="417" t="s">
        <v>730</v>
      </c>
      <c r="M21" s="417"/>
      <c r="N21" s="417"/>
      <c r="O21" s="417"/>
      <c r="P21" s="417" t="s">
        <v>52</v>
      </c>
      <c r="Q21" s="417" t="s">
        <v>52</v>
      </c>
      <c r="R21" s="417" t="s">
        <v>52</v>
      </c>
      <c r="S21" s="417" t="s">
        <v>52</v>
      </c>
      <c r="T21" s="417" t="s">
        <v>52</v>
      </c>
    </row>
    <row r="22" spans="1:20" x14ac:dyDescent="0.25">
      <c r="A22" s="417" t="s">
        <v>35</v>
      </c>
      <c r="B22" s="418">
        <v>37</v>
      </c>
      <c r="C22">
        <f t="shared" si="0"/>
        <v>3</v>
      </c>
      <c r="D22">
        <f>COUNTIF($B$2:B22,B22)</f>
        <v>3</v>
      </c>
      <c r="E22" t="str">
        <f t="shared" si="1"/>
        <v>37.3</v>
      </c>
      <c r="F22" s="417" t="s">
        <v>56</v>
      </c>
      <c r="G22" s="417" t="s">
        <v>57</v>
      </c>
      <c r="H22" s="417" t="s">
        <v>1646</v>
      </c>
      <c r="I22" s="417" t="s">
        <v>1647</v>
      </c>
      <c r="J22" s="417" t="s">
        <v>1619</v>
      </c>
      <c r="K22" s="417" t="s">
        <v>1334</v>
      </c>
      <c r="L22" s="417" t="s">
        <v>730</v>
      </c>
      <c r="M22" s="417"/>
      <c r="N22" s="417"/>
      <c r="O22" s="417"/>
      <c r="P22" s="417" t="s">
        <v>52</v>
      </c>
      <c r="Q22" s="417" t="s">
        <v>52</v>
      </c>
      <c r="R22" s="417" t="s">
        <v>52</v>
      </c>
      <c r="S22" s="417" t="s">
        <v>52</v>
      </c>
      <c r="T22" s="417" t="s">
        <v>52</v>
      </c>
    </row>
    <row r="23" spans="1:20" x14ac:dyDescent="0.25">
      <c r="A23" s="417" t="s">
        <v>35</v>
      </c>
      <c r="B23" s="418">
        <v>40</v>
      </c>
      <c r="C23">
        <f t="shared" si="0"/>
        <v>1</v>
      </c>
      <c r="D23">
        <f>COUNTIF($B$2:B23,B23)</f>
        <v>1</v>
      </c>
      <c r="E23" t="str">
        <f t="shared" si="1"/>
        <v>40.1</v>
      </c>
      <c r="F23" s="417" t="s">
        <v>60</v>
      </c>
      <c r="G23" s="417" t="s">
        <v>50</v>
      </c>
      <c r="H23" s="417" t="s">
        <v>1338</v>
      </c>
      <c r="I23" s="417" t="s">
        <v>1339</v>
      </c>
      <c r="J23" s="417" t="s">
        <v>1609</v>
      </c>
      <c r="K23" s="417" t="s">
        <v>1337</v>
      </c>
      <c r="L23" s="417" t="s">
        <v>88</v>
      </c>
      <c r="M23" s="417" t="s">
        <v>1610</v>
      </c>
      <c r="N23" s="417"/>
      <c r="O23" s="417" t="s">
        <v>1611</v>
      </c>
      <c r="P23" s="420">
        <v>2033</v>
      </c>
      <c r="Q23" s="417" t="s">
        <v>1614</v>
      </c>
      <c r="R23" s="417" t="s">
        <v>1633</v>
      </c>
      <c r="S23" s="417"/>
      <c r="T23" s="417"/>
    </row>
    <row r="24" spans="1:20" x14ac:dyDescent="0.25">
      <c r="A24" s="417" t="s">
        <v>454</v>
      </c>
      <c r="B24" s="418">
        <v>45</v>
      </c>
      <c r="C24">
        <f t="shared" si="0"/>
        <v>1</v>
      </c>
      <c r="D24">
        <f>COUNTIF($B$2:B24,B24)</f>
        <v>1</v>
      </c>
      <c r="E24" t="str">
        <f t="shared" si="1"/>
        <v>45.1</v>
      </c>
      <c r="F24" s="417" t="s">
        <v>455</v>
      </c>
      <c r="G24" s="417" t="s">
        <v>456</v>
      </c>
      <c r="H24" s="417" t="s">
        <v>1438</v>
      </c>
      <c r="I24" s="417" t="s">
        <v>1439</v>
      </c>
      <c r="J24" s="417" t="s">
        <v>1609</v>
      </c>
      <c r="K24" s="417" t="s">
        <v>1337</v>
      </c>
      <c r="L24" s="417" t="s">
        <v>799</v>
      </c>
      <c r="M24" s="417"/>
      <c r="N24" s="417"/>
      <c r="O24" s="417"/>
      <c r="P24" s="417" t="s">
        <v>52</v>
      </c>
      <c r="Q24" s="417" t="s">
        <v>1643</v>
      </c>
      <c r="R24" s="417" t="s">
        <v>1648</v>
      </c>
      <c r="S24" s="417" t="s">
        <v>52</v>
      </c>
      <c r="T24" s="417" t="s">
        <v>52</v>
      </c>
    </row>
    <row r="25" spans="1:20" x14ac:dyDescent="0.25">
      <c r="A25" s="417" t="s">
        <v>92</v>
      </c>
      <c r="B25" s="418">
        <v>46</v>
      </c>
      <c r="C25">
        <f t="shared" si="0"/>
        <v>1</v>
      </c>
      <c r="D25">
        <f>COUNTIF($B$2:B25,B25)</f>
        <v>1</v>
      </c>
      <c r="E25" t="str">
        <f t="shared" si="1"/>
        <v>46.1</v>
      </c>
      <c r="F25" s="417" t="s">
        <v>97</v>
      </c>
      <c r="G25" s="417" t="s">
        <v>94</v>
      </c>
      <c r="H25" s="417" t="s">
        <v>1350</v>
      </c>
      <c r="I25" s="417" t="s">
        <v>1351</v>
      </c>
      <c r="J25" s="417" t="s">
        <v>1609</v>
      </c>
      <c r="K25" s="417" t="s">
        <v>1346</v>
      </c>
      <c r="L25" s="417" t="s">
        <v>730</v>
      </c>
      <c r="M25" s="417"/>
      <c r="N25" s="417"/>
      <c r="O25" s="417"/>
      <c r="P25" s="419">
        <v>2063</v>
      </c>
      <c r="Q25" s="417" t="s">
        <v>1626</v>
      </c>
      <c r="R25" s="417" t="s">
        <v>882</v>
      </c>
      <c r="S25" s="417" t="s">
        <v>1649</v>
      </c>
      <c r="T25" s="417" t="s">
        <v>1650</v>
      </c>
    </row>
    <row r="26" spans="1:20" x14ac:dyDescent="0.25">
      <c r="A26" s="417" t="s">
        <v>197</v>
      </c>
      <c r="B26" s="418">
        <v>62</v>
      </c>
      <c r="C26">
        <f t="shared" si="0"/>
        <v>2</v>
      </c>
      <c r="D26">
        <f>COUNTIF($B$2:B26,B26)</f>
        <v>1</v>
      </c>
      <c r="E26" t="str">
        <f t="shared" si="1"/>
        <v>62.1</v>
      </c>
      <c r="F26" s="417" t="s">
        <v>207</v>
      </c>
      <c r="G26" s="417" t="s">
        <v>208</v>
      </c>
      <c r="H26" s="417" t="s">
        <v>1364</v>
      </c>
      <c r="I26" s="417" t="s">
        <v>1365</v>
      </c>
      <c r="J26" s="417" t="s">
        <v>1609</v>
      </c>
      <c r="K26" s="417" t="s">
        <v>1334</v>
      </c>
      <c r="L26" s="417" t="s">
        <v>88</v>
      </c>
      <c r="M26" s="417"/>
      <c r="N26" s="417"/>
      <c r="O26" s="417"/>
      <c r="P26" s="420">
        <v>2055</v>
      </c>
      <c r="Q26" s="417" t="s">
        <v>1643</v>
      </c>
      <c r="R26" s="417" t="s">
        <v>1651</v>
      </c>
      <c r="S26" s="417" t="s">
        <v>1652</v>
      </c>
      <c r="T26" s="417" t="s">
        <v>52</v>
      </c>
    </row>
    <row r="27" spans="1:20" x14ac:dyDescent="0.25">
      <c r="A27" s="417" t="s">
        <v>197</v>
      </c>
      <c r="B27" s="418">
        <v>62</v>
      </c>
      <c r="C27">
        <f t="shared" si="0"/>
        <v>2</v>
      </c>
      <c r="D27">
        <f>COUNTIF($B$2:B27,B27)</f>
        <v>2</v>
      </c>
      <c r="E27" t="str">
        <f t="shared" si="1"/>
        <v>62.2</v>
      </c>
      <c r="F27" s="417" t="s">
        <v>207</v>
      </c>
      <c r="G27" s="417" t="s">
        <v>208</v>
      </c>
      <c r="H27" s="417" t="s">
        <v>1653</v>
      </c>
      <c r="I27" s="417" t="s">
        <v>1654</v>
      </c>
      <c r="J27" s="417" t="s">
        <v>1609</v>
      </c>
      <c r="K27" s="417" t="s">
        <v>1334</v>
      </c>
      <c r="L27" s="417" t="s">
        <v>88</v>
      </c>
      <c r="M27" s="417"/>
      <c r="N27" s="417"/>
      <c r="O27" s="417"/>
      <c r="P27" s="420">
        <v>2084</v>
      </c>
      <c r="Q27" s="417" t="s">
        <v>13</v>
      </c>
      <c r="R27" s="417" t="s">
        <v>52</v>
      </c>
      <c r="S27" s="417" t="s">
        <v>52</v>
      </c>
      <c r="T27" s="417" t="s">
        <v>52</v>
      </c>
    </row>
    <row r="28" spans="1:20" x14ac:dyDescent="0.25">
      <c r="A28" s="417" t="s">
        <v>92</v>
      </c>
      <c r="B28" s="418">
        <v>70</v>
      </c>
      <c r="C28">
        <f t="shared" si="0"/>
        <v>1</v>
      </c>
      <c r="D28">
        <f>COUNTIF($B$2:B28,B28)</f>
        <v>1</v>
      </c>
      <c r="E28" t="str">
        <f t="shared" si="1"/>
        <v>70.1</v>
      </c>
      <c r="F28" s="417" t="s">
        <v>120</v>
      </c>
      <c r="G28" s="417" t="s">
        <v>1655</v>
      </c>
      <c r="H28" s="417" t="s">
        <v>1352</v>
      </c>
      <c r="I28" s="417" t="s">
        <v>1353</v>
      </c>
      <c r="J28" s="417" t="s">
        <v>1609</v>
      </c>
      <c r="K28" s="417" t="s">
        <v>1337</v>
      </c>
      <c r="L28" s="417" t="s">
        <v>730</v>
      </c>
      <c r="M28" s="417"/>
      <c r="N28" s="417"/>
      <c r="O28" s="417"/>
      <c r="P28" s="420">
        <v>2067</v>
      </c>
      <c r="Q28" s="417" t="s">
        <v>1626</v>
      </c>
      <c r="R28" s="417" t="s">
        <v>1656</v>
      </c>
      <c r="S28" s="417" t="s">
        <v>1657</v>
      </c>
      <c r="T28" s="417" t="s">
        <v>52</v>
      </c>
    </row>
    <row r="29" spans="1:20" x14ac:dyDescent="0.25">
      <c r="A29" s="417" t="s">
        <v>92</v>
      </c>
      <c r="B29" s="418">
        <v>71</v>
      </c>
      <c r="C29">
        <f t="shared" si="0"/>
        <v>2</v>
      </c>
      <c r="D29">
        <f>COUNTIF($B$2:B29,B29)</f>
        <v>1</v>
      </c>
      <c r="E29" t="str">
        <f t="shared" si="1"/>
        <v>71.1</v>
      </c>
      <c r="F29" s="417" t="s">
        <v>122</v>
      </c>
      <c r="G29" s="417" t="s">
        <v>123</v>
      </c>
      <c r="H29" s="417" t="s">
        <v>1658</v>
      </c>
      <c r="I29" s="417" t="s">
        <v>1353</v>
      </c>
      <c r="J29" s="417" t="s">
        <v>1609</v>
      </c>
      <c r="K29" s="417" t="s">
        <v>1355</v>
      </c>
      <c r="L29" s="417" t="s">
        <v>730</v>
      </c>
      <c r="M29" s="417"/>
      <c r="N29" s="417"/>
      <c r="O29" s="417"/>
      <c r="P29" s="419">
        <v>2067</v>
      </c>
      <c r="Q29" s="417" t="s">
        <v>1626</v>
      </c>
      <c r="R29" s="417" t="s">
        <v>1656</v>
      </c>
      <c r="S29" s="417" t="s">
        <v>1657</v>
      </c>
      <c r="T29" s="417" t="s">
        <v>52</v>
      </c>
    </row>
    <row r="30" spans="1:20" x14ac:dyDescent="0.25">
      <c r="A30" s="417" t="s">
        <v>92</v>
      </c>
      <c r="B30" s="418">
        <v>71</v>
      </c>
      <c r="C30">
        <f t="shared" si="0"/>
        <v>2</v>
      </c>
      <c r="D30">
        <f>COUNTIF($B$2:B30,B30)</f>
        <v>2</v>
      </c>
      <c r="E30" t="str">
        <f t="shared" si="1"/>
        <v>71.2</v>
      </c>
      <c r="F30" s="417" t="s">
        <v>122</v>
      </c>
      <c r="G30" s="417" t="s">
        <v>123</v>
      </c>
      <c r="H30" s="417" t="s">
        <v>1352</v>
      </c>
      <c r="I30" s="417" t="s">
        <v>1353</v>
      </c>
      <c r="J30" s="417" t="s">
        <v>1609</v>
      </c>
      <c r="K30" s="417" t="s">
        <v>1337</v>
      </c>
      <c r="L30" s="417" t="s">
        <v>730</v>
      </c>
      <c r="M30" s="417"/>
      <c r="N30" s="417"/>
      <c r="O30" s="417"/>
      <c r="P30" s="420">
        <v>2067</v>
      </c>
      <c r="Q30" s="417" t="s">
        <v>1626</v>
      </c>
      <c r="R30" s="417" t="s">
        <v>1656</v>
      </c>
      <c r="S30" s="417" t="s">
        <v>1657</v>
      </c>
      <c r="T30" s="417" t="s">
        <v>52</v>
      </c>
    </row>
    <row r="31" spans="1:20" x14ac:dyDescent="0.25">
      <c r="A31" s="417" t="s">
        <v>92</v>
      </c>
      <c r="B31" s="418">
        <v>75</v>
      </c>
      <c r="C31">
        <f t="shared" si="0"/>
        <v>1</v>
      </c>
      <c r="D31">
        <f>COUNTIF($B$2:B31,B31)</f>
        <v>1</v>
      </c>
      <c r="E31" t="str">
        <f t="shared" si="1"/>
        <v>75.1</v>
      </c>
      <c r="F31" s="417" t="s">
        <v>129</v>
      </c>
      <c r="G31" s="417" t="s">
        <v>130</v>
      </c>
      <c r="H31" s="417" t="s">
        <v>1356</v>
      </c>
      <c r="I31" s="417" t="s">
        <v>1357</v>
      </c>
      <c r="J31" s="417" t="s">
        <v>1609</v>
      </c>
      <c r="K31" s="417" t="s">
        <v>1355</v>
      </c>
      <c r="L31" s="417" t="s">
        <v>88</v>
      </c>
      <c r="M31" s="417">
        <v>1</v>
      </c>
      <c r="N31" s="421" t="s">
        <v>1611</v>
      </c>
      <c r="O31" s="417"/>
      <c r="P31" s="419">
        <v>2043</v>
      </c>
      <c r="Q31" s="417" t="s">
        <v>1632</v>
      </c>
      <c r="R31" s="417" t="s">
        <v>1656</v>
      </c>
      <c r="S31" s="417"/>
      <c r="T31" s="417"/>
    </row>
    <row r="32" spans="1:20" x14ac:dyDescent="0.25">
      <c r="A32" s="417" t="s">
        <v>92</v>
      </c>
      <c r="B32" s="418">
        <v>76</v>
      </c>
      <c r="C32">
        <f t="shared" si="0"/>
        <v>1</v>
      </c>
      <c r="D32">
        <f>COUNTIF($B$2:B32,B32)</f>
        <v>1</v>
      </c>
      <c r="E32" t="str">
        <f t="shared" si="1"/>
        <v>76.1</v>
      </c>
      <c r="F32" s="417" t="s">
        <v>131</v>
      </c>
      <c r="G32" s="417" t="s">
        <v>130</v>
      </c>
      <c r="H32" s="417" t="s">
        <v>1356</v>
      </c>
      <c r="I32" s="417" t="s">
        <v>1357</v>
      </c>
      <c r="J32" s="417" t="s">
        <v>1609</v>
      </c>
      <c r="K32" s="417" t="s">
        <v>1355</v>
      </c>
      <c r="L32" s="417" t="s">
        <v>88</v>
      </c>
      <c r="M32" s="417">
        <v>1</v>
      </c>
      <c r="N32" s="421" t="s">
        <v>1611</v>
      </c>
      <c r="O32" s="417"/>
      <c r="P32" s="419">
        <v>2043</v>
      </c>
      <c r="Q32" s="417" t="s">
        <v>1632</v>
      </c>
      <c r="R32" s="417" t="s">
        <v>1656</v>
      </c>
      <c r="S32" s="417"/>
      <c r="T32" s="417"/>
    </row>
    <row r="33" spans="1:20" x14ac:dyDescent="0.25">
      <c r="A33" s="417" t="s">
        <v>92</v>
      </c>
      <c r="B33" s="418">
        <v>86</v>
      </c>
      <c r="C33">
        <f t="shared" si="0"/>
        <v>2</v>
      </c>
      <c r="D33">
        <f>COUNTIF($B$2:B33,B33)</f>
        <v>1</v>
      </c>
      <c r="E33" t="str">
        <f t="shared" si="1"/>
        <v>86.1</v>
      </c>
      <c r="F33" s="417" t="s">
        <v>144</v>
      </c>
      <c r="G33" s="417" t="s">
        <v>145</v>
      </c>
      <c r="H33" s="417" t="s">
        <v>1659</v>
      </c>
      <c r="I33" s="417" t="s">
        <v>52</v>
      </c>
      <c r="J33" s="417" t="s">
        <v>1609</v>
      </c>
      <c r="K33" s="417" t="s">
        <v>1337</v>
      </c>
      <c r="L33" s="417" t="s">
        <v>794</v>
      </c>
      <c r="M33" s="417"/>
      <c r="N33" s="417"/>
      <c r="O33" s="417"/>
      <c r="P33" s="417" t="s">
        <v>52</v>
      </c>
      <c r="Q33" s="417" t="s">
        <v>1643</v>
      </c>
      <c r="R33" s="417" t="s">
        <v>1633</v>
      </c>
      <c r="S33" s="417" t="s">
        <v>1660</v>
      </c>
      <c r="T33" s="417" t="s">
        <v>52</v>
      </c>
    </row>
    <row r="34" spans="1:20" x14ac:dyDescent="0.25">
      <c r="A34" s="417" t="s">
        <v>92</v>
      </c>
      <c r="B34" s="418">
        <v>86</v>
      </c>
      <c r="C34">
        <f t="shared" si="0"/>
        <v>2</v>
      </c>
      <c r="D34">
        <f>COUNTIF($B$2:B34,B34)</f>
        <v>2</v>
      </c>
      <c r="E34" t="str">
        <f t="shared" si="1"/>
        <v>86.2</v>
      </c>
      <c r="F34" s="417" t="s">
        <v>144</v>
      </c>
      <c r="G34" s="417" t="s">
        <v>145</v>
      </c>
      <c r="H34" s="417" t="s">
        <v>1661</v>
      </c>
      <c r="I34" s="417" t="s">
        <v>52</v>
      </c>
      <c r="J34" s="417" t="s">
        <v>1609</v>
      </c>
      <c r="K34" s="417" t="s">
        <v>1337</v>
      </c>
      <c r="L34" s="417" t="s">
        <v>794</v>
      </c>
      <c r="M34" s="417"/>
      <c r="N34" s="417"/>
      <c r="O34" s="417"/>
      <c r="P34" s="417" t="s">
        <v>52</v>
      </c>
      <c r="Q34" s="417" t="s">
        <v>1643</v>
      </c>
      <c r="R34" s="417" t="s">
        <v>1633</v>
      </c>
      <c r="S34" s="417" t="s">
        <v>1660</v>
      </c>
      <c r="T34" s="417" t="s">
        <v>1662</v>
      </c>
    </row>
    <row r="35" spans="1:20" x14ac:dyDescent="0.25">
      <c r="A35" s="417" t="s">
        <v>78</v>
      </c>
      <c r="B35" s="418">
        <v>92</v>
      </c>
      <c r="C35">
        <f t="shared" si="0"/>
        <v>1</v>
      </c>
      <c r="D35">
        <f>COUNTIF($B$2:B35,B35)</f>
        <v>1</v>
      </c>
      <c r="E35" t="str">
        <f t="shared" si="1"/>
        <v>92.1</v>
      </c>
      <c r="F35" s="417" t="s">
        <v>79</v>
      </c>
      <c r="G35" s="417" t="s">
        <v>63</v>
      </c>
      <c r="H35" s="417" t="s">
        <v>1347</v>
      </c>
      <c r="I35" s="417" t="s">
        <v>1348</v>
      </c>
      <c r="J35" s="417" t="s">
        <v>1609</v>
      </c>
      <c r="K35" s="417" t="s">
        <v>1346</v>
      </c>
      <c r="L35" s="417" t="s">
        <v>45</v>
      </c>
      <c r="M35" s="417"/>
      <c r="N35" s="417"/>
      <c r="O35" s="417"/>
      <c r="P35" s="417" t="s">
        <v>52</v>
      </c>
      <c r="Q35" s="417" t="s">
        <v>1643</v>
      </c>
      <c r="R35" s="417" t="s">
        <v>1651</v>
      </c>
      <c r="S35" s="417" t="s">
        <v>1663</v>
      </c>
      <c r="T35" s="417" t="s">
        <v>52</v>
      </c>
    </row>
    <row r="36" spans="1:20" x14ac:dyDescent="0.25">
      <c r="A36" s="417" t="s">
        <v>687</v>
      </c>
      <c r="B36" s="418">
        <v>97</v>
      </c>
      <c r="C36">
        <f t="shared" si="0"/>
        <v>1</v>
      </c>
      <c r="D36">
        <f>COUNTIF($B$2:B36,B36)</f>
        <v>1</v>
      </c>
      <c r="E36" t="str">
        <f t="shared" si="1"/>
        <v>97.1</v>
      </c>
      <c r="F36" s="417" t="s">
        <v>688</v>
      </c>
      <c r="G36" s="417" t="s">
        <v>689</v>
      </c>
      <c r="H36" s="417" t="s">
        <v>1511</v>
      </c>
      <c r="I36" s="417" t="s">
        <v>688</v>
      </c>
      <c r="J36" s="417" t="s">
        <v>1609</v>
      </c>
      <c r="K36" s="417" t="s">
        <v>1355</v>
      </c>
      <c r="L36" s="417" t="s">
        <v>45</v>
      </c>
      <c r="M36" s="417"/>
      <c r="N36" s="417"/>
      <c r="O36" s="417"/>
      <c r="P36" s="417" t="s">
        <v>52</v>
      </c>
      <c r="Q36" s="417" t="s">
        <v>1614</v>
      </c>
      <c r="R36" s="417" t="s">
        <v>1651</v>
      </c>
      <c r="S36" s="417" t="s">
        <v>1664</v>
      </c>
      <c r="T36" s="417" t="s">
        <v>1665</v>
      </c>
    </row>
    <row r="37" spans="1:20" x14ac:dyDescent="0.25">
      <c r="A37" s="417" t="s">
        <v>395</v>
      </c>
      <c r="B37" s="418">
        <v>102</v>
      </c>
      <c r="C37">
        <f t="shared" si="0"/>
        <v>1</v>
      </c>
      <c r="D37">
        <f>COUNTIF($B$2:B37,B37)</f>
        <v>1</v>
      </c>
      <c r="E37" t="str">
        <f t="shared" si="1"/>
        <v>102.1</v>
      </c>
      <c r="F37" s="417" t="s">
        <v>404</v>
      </c>
      <c r="G37" s="417" t="s">
        <v>405</v>
      </c>
      <c r="H37" s="417" t="s">
        <v>1666</v>
      </c>
      <c r="I37" s="417" t="s">
        <v>1667</v>
      </c>
      <c r="J37" s="417" t="s">
        <v>1609</v>
      </c>
      <c r="K37" s="417" t="s">
        <v>1346</v>
      </c>
      <c r="L37" s="417" t="s">
        <v>746</v>
      </c>
      <c r="M37" s="417"/>
      <c r="N37" s="417"/>
      <c r="O37" s="417"/>
      <c r="P37" s="420">
        <v>2009</v>
      </c>
      <c r="Q37" s="417" t="s">
        <v>13</v>
      </c>
      <c r="R37" s="417" t="s">
        <v>52</v>
      </c>
      <c r="S37" s="417" t="s">
        <v>52</v>
      </c>
      <c r="T37" s="417" t="s">
        <v>52</v>
      </c>
    </row>
    <row r="38" spans="1:20" x14ac:dyDescent="0.25">
      <c r="A38" s="417" t="s">
        <v>551</v>
      </c>
      <c r="B38" s="418">
        <v>108</v>
      </c>
      <c r="C38">
        <f t="shared" si="0"/>
        <v>1</v>
      </c>
      <c r="D38">
        <f>COUNTIF($B$2:B38,B38)</f>
        <v>1</v>
      </c>
      <c r="E38" t="str">
        <f t="shared" si="1"/>
        <v>108.1</v>
      </c>
      <c r="F38" s="417" t="s">
        <v>556</v>
      </c>
      <c r="G38" s="417" t="s">
        <v>557</v>
      </c>
      <c r="H38" s="417" t="s">
        <v>1482</v>
      </c>
      <c r="I38" s="417" t="s">
        <v>1483</v>
      </c>
      <c r="J38" s="417" t="s">
        <v>1609</v>
      </c>
      <c r="K38" s="417" t="s">
        <v>1346</v>
      </c>
      <c r="L38" s="417" t="s">
        <v>799</v>
      </c>
      <c r="M38" s="417"/>
      <c r="N38" s="417"/>
      <c r="O38" s="417"/>
      <c r="P38" s="420">
        <v>2043</v>
      </c>
      <c r="Q38" s="417" t="s">
        <v>1614</v>
      </c>
      <c r="R38" s="417" t="s">
        <v>1621</v>
      </c>
      <c r="S38" s="417" t="s">
        <v>1668</v>
      </c>
      <c r="T38" s="417" t="s">
        <v>1669</v>
      </c>
    </row>
    <row r="39" spans="1:20" x14ac:dyDescent="0.25">
      <c r="A39" s="417" t="s">
        <v>241</v>
      </c>
      <c r="B39" s="418">
        <v>115</v>
      </c>
      <c r="C39">
        <f t="shared" si="0"/>
        <v>2</v>
      </c>
      <c r="D39">
        <f>COUNTIF($B$2:B39,B39)</f>
        <v>1</v>
      </c>
      <c r="E39" t="str">
        <f t="shared" si="1"/>
        <v>115.1</v>
      </c>
      <c r="F39" s="417" t="s">
        <v>253</v>
      </c>
      <c r="G39" s="417" t="s">
        <v>254</v>
      </c>
      <c r="H39" s="417" t="s">
        <v>1370</v>
      </c>
      <c r="I39" s="417" t="s">
        <v>52</v>
      </c>
      <c r="J39" s="417" t="s">
        <v>1609</v>
      </c>
      <c r="K39" s="417" t="s">
        <v>1334</v>
      </c>
      <c r="L39" s="417" t="s">
        <v>88</v>
      </c>
      <c r="M39" s="417" t="s">
        <v>1610</v>
      </c>
      <c r="N39" s="417"/>
      <c r="O39" s="417" t="s">
        <v>1611</v>
      </c>
      <c r="P39" s="420">
        <v>2032</v>
      </c>
      <c r="Q39" s="417" t="s">
        <v>1614</v>
      </c>
      <c r="R39" s="417" t="s">
        <v>1651</v>
      </c>
      <c r="S39" s="417"/>
      <c r="T39" s="417"/>
    </row>
    <row r="40" spans="1:20" x14ac:dyDescent="0.25">
      <c r="A40" s="417" t="s">
        <v>241</v>
      </c>
      <c r="B40" s="418">
        <v>115</v>
      </c>
      <c r="C40">
        <f t="shared" si="0"/>
        <v>2</v>
      </c>
      <c r="D40">
        <f>COUNTIF($B$2:B40,B40)</f>
        <v>2</v>
      </c>
      <c r="E40" t="str">
        <f t="shared" si="1"/>
        <v>115.2</v>
      </c>
      <c r="F40" s="417" t="s">
        <v>253</v>
      </c>
      <c r="G40" s="417" t="s">
        <v>254</v>
      </c>
      <c r="H40" s="417" t="s">
        <v>1670</v>
      </c>
      <c r="I40" s="417" t="s">
        <v>52</v>
      </c>
      <c r="J40" s="417" t="s">
        <v>1609</v>
      </c>
      <c r="K40" s="417" t="s">
        <v>1376</v>
      </c>
      <c r="L40" s="417" t="s">
        <v>88</v>
      </c>
      <c r="M40" s="417"/>
      <c r="N40" s="417"/>
      <c r="O40" s="417"/>
      <c r="P40" s="417" t="s">
        <v>52</v>
      </c>
      <c r="Q40" s="417" t="s">
        <v>13</v>
      </c>
      <c r="R40" s="417" t="s">
        <v>52</v>
      </c>
      <c r="S40" s="417" t="s">
        <v>52</v>
      </c>
      <c r="T40" s="417" t="s">
        <v>52</v>
      </c>
    </row>
    <row r="41" spans="1:20" x14ac:dyDescent="0.25">
      <c r="A41" s="417" t="s">
        <v>573</v>
      </c>
      <c r="B41" s="418">
        <v>120</v>
      </c>
      <c r="C41">
        <f t="shared" si="0"/>
        <v>1</v>
      </c>
      <c r="D41">
        <f>COUNTIF($B$2:B41,B41)</f>
        <v>1</v>
      </c>
      <c r="E41" t="str">
        <f t="shared" si="1"/>
        <v>120.1</v>
      </c>
      <c r="F41" s="417" t="s">
        <v>588</v>
      </c>
      <c r="G41" s="417" t="s">
        <v>589</v>
      </c>
      <c r="H41" s="417" t="s">
        <v>1488</v>
      </c>
      <c r="I41" s="417" t="s">
        <v>52</v>
      </c>
      <c r="J41" s="417" t="s">
        <v>1609</v>
      </c>
      <c r="K41" s="417" t="s">
        <v>1376</v>
      </c>
      <c r="L41" s="417" t="s">
        <v>746</v>
      </c>
      <c r="M41" s="417"/>
      <c r="N41" s="417"/>
      <c r="O41" s="417"/>
      <c r="P41" s="417" t="s">
        <v>52</v>
      </c>
      <c r="Q41" s="417" t="s">
        <v>1614</v>
      </c>
      <c r="R41" s="417" t="s">
        <v>1651</v>
      </c>
      <c r="S41" s="417" t="s">
        <v>1671</v>
      </c>
      <c r="T41" s="417" t="s">
        <v>52</v>
      </c>
    </row>
    <row r="42" spans="1:20" x14ac:dyDescent="0.25">
      <c r="A42" s="417" t="s">
        <v>573</v>
      </c>
      <c r="B42" s="418">
        <v>121</v>
      </c>
      <c r="C42">
        <f t="shared" si="0"/>
        <v>1</v>
      </c>
      <c r="D42">
        <f>COUNTIF($B$2:B42,B42)</f>
        <v>1</v>
      </c>
      <c r="E42" t="str">
        <f t="shared" si="1"/>
        <v>121.1</v>
      </c>
      <c r="F42" s="417" t="s">
        <v>591</v>
      </c>
      <c r="G42" s="417" t="s">
        <v>589</v>
      </c>
      <c r="H42" s="417" t="s">
        <v>1490</v>
      </c>
      <c r="I42" s="417" t="s">
        <v>52</v>
      </c>
      <c r="J42" s="417" t="s">
        <v>1609</v>
      </c>
      <c r="K42" s="417" t="s">
        <v>1376</v>
      </c>
      <c r="L42" s="417" t="s">
        <v>45</v>
      </c>
      <c r="M42" s="417"/>
      <c r="N42" s="417"/>
      <c r="O42" s="417"/>
      <c r="P42" s="417" t="s">
        <v>52</v>
      </c>
      <c r="Q42" s="417" t="s">
        <v>1614</v>
      </c>
      <c r="R42" s="417" t="s">
        <v>1621</v>
      </c>
      <c r="S42" s="417" t="s">
        <v>1671</v>
      </c>
      <c r="T42" s="417" t="s">
        <v>52</v>
      </c>
    </row>
    <row r="43" spans="1:20" x14ac:dyDescent="0.25">
      <c r="A43" s="417" t="s">
        <v>625</v>
      </c>
      <c r="B43" s="418">
        <v>127</v>
      </c>
      <c r="C43">
        <f t="shared" si="0"/>
        <v>1</v>
      </c>
      <c r="D43">
        <f>COUNTIF($B$2:B43,B43)</f>
        <v>1</v>
      </c>
      <c r="E43" t="str">
        <f t="shared" si="1"/>
        <v>127.1</v>
      </c>
      <c r="F43" s="417" t="s">
        <v>630</v>
      </c>
      <c r="G43" s="417" t="s">
        <v>1672</v>
      </c>
      <c r="H43" s="417" t="s">
        <v>1493</v>
      </c>
      <c r="I43" s="417" t="s">
        <v>1494</v>
      </c>
      <c r="J43" s="417" t="s">
        <v>1609</v>
      </c>
      <c r="K43" s="417" t="s">
        <v>1376</v>
      </c>
      <c r="L43" s="417" t="s">
        <v>794</v>
      </c>
      <c r="M43" s="417">
        <v>1</v>
      </c>
      <c r="N43" s="417"/>
      <c r="O43" s="417"/>
      <c r="P43" s="419">
        <v>2045</v>
      </c>
      <c r="Q43" s="417" t="s">
        <v>1626</v>
      </c>
      <c r="R43" s="417" t="s">
        <v>1651</v>
      </c>
      <c r="S43" s="417"/>
      <c r="T43" s="417"/>
    </row>
    <row r="44" spans="1:20" x14ac:dyDescent="0.25">
      <c r="A44" s="417" t="s">
        <v>625</v>
      </c>
      <c r="B44" s="418">
        <v>128</v>
      </c>
      <c r="C44">
        <f t="shared" si="0"/>
        <v>1</v>
      </c>
      <c r="D44">
        <f>COUNTIF($B$2:B44,B44)</f>
        <v>1</v>
      </c>
      <c r="E44" t="str">
        <f t="shared" si="1"/>
        <v>128.1</v>
      </c>
      <c r="F44" s="417" t="s">
        <v>635</v>
      </c>
      <c r="G44" s="417" t="s">
        <v>636</v>
      </c>
      <c r="H44" s="417" t="s">
        <v>1495</v>
      </c>
      <c r="I44" s="417" t="s">
        <v>1494</v>
      </c>
      <c r="J44" s="417" t="s">
        <v>1609</v>
      </c>
      <c r="K44" s="417" t="s">
        <v>1376</v>
      </c>
      <c r="L44" s="417" t="s">
        <v>794</v>
      </c>
      <c r="M44" s="417">
        <v>1</v>
      </c>
      <c r="N44" s="417"/>
      <c r="O44" s="417"/>
      <c r="P44" s="419">
        <v>2045</v>
      </c>
      <c r="Q44" s="417" t="s">
        <v>1626</v>
      </c>
      <c r="R44" s="417" t="s">
        <v>1651</v>
      </c>
      <c r="S44" s="417"/>
      <c r="T44" s="417"/>
    </row>
    <row r="45" spans="1:20" x14ac:dyDescent="0.25">
      <c r="A45" s="417" t="s">
        <v>625</v>
      </c>
      <c r="B45" s="418">
        <v>129</v>
      </c>
      <c r="C45">
        <f t="shared" si="0"/>
        <v>4</v>
      </c>
      <c r="D45">
        <f>COUNTIF($B$2:B45,B45)</f>
        <v>1</v>
      </c>
      <c r="E45" t="str">
        <f t="shared" si="1"/>
        <v>129.1</v>
      </c>
      <c r="F45" s="417" t="s">
        <v>639</v>
      </c>
      <c r="G45" s="417" t="s">
        <v>636</v>
      </c>
      <c r="H45" s="417" t="s">
        <v>1495</v>
      </c>
      <c r="I45" s="417" t="s">
        <v>1494</v>
      </c>
      <c r="J45" s="417" t="s">
        <v>1609</v>
      </c>
      <c r="K45" s="417" t="s">
        <v>1376</v>
      </c>
      <c r="L45" s="417" t="s">
        <v>88</v>
      </c>
      <c r="M45" s="417">
        <v>1</v>
      </c>
      <c r="N45" s="417"/>
      <c r="O45" s="417"/>
      <c r="P45" s="419">
        <v>2045</v>
      </c>
      <c r="Q45" s="417" t="s">
        <v>1626</v>
      </c>
      <c r="R45" s="417" t="s">
        <v>1651</v>
      </c>
      <c r="S45" s="417"/>
      <c r="T45" s="417"/>
    </row>
    <row r="46" spans="1:20" x14ac:dyDescent="0.25">
      <c r="A46" s="417" t="s">
        <v>625</v>
      </c>
      <c r="B46" s="418">
        <v>129</v>
      </c>
      <c r="C46">
        <f t="shared" si="0"/>
        <v>4</v>
      </c>
      <c r="D46">
        <f>COUNTIF($B$2:B46,B46)</f>
        <v>2</v>
      </c>
      <c r="E46" t="str">
        <f t="shared" si="1"/>
        <v>129.2</v>
      </c>
      <c r="F46" s="417" t="s">
        <v>639</v>
      </c>
      <c r="G46" s="417" t="s">
        <v>636</v>
      </c>
      <c r="H46" s="417" t="s">
        <v>1673</v>
      </c>
      <c r="I46" s="417" t="s">
        <v>1494</v>
      </c>
      <c r="J46" s="417" t="s">
        <v>1619</v>
      </c>
      <c r="K46" s="417" t="s">
        <v>1376</v>
      </c>
      <c r="L46" s="417" t="s">
        <v>88</v>
      </c>
      <c r="M46" s="417"/>
      <c r="N46" s="417"/>
      <c r="O46" s="417"/>
      <c r="P46" s="420">
        <v>2045</v>
      </c>
      <c r="Q46" s="417" t="s">
        <v>52</v>
      </c>
      <c r="R46" s="417" t="s">
        <v>52</v>
      </c>
      <c r="S46" s="417" t="s">
        <v>52</v>
      </c>
      <c r="T46" s="417" t="s">
        <v>52</v>
      </c>
    </row>
    <row r="47" spans="1:20" x14ac:dyDescent="0.25">
      <c r="A47" s="417" t="s">
        <v>625</v>
      </c>
      <c r="B47" s="418">
        <v>129</v>
      </c>
      <c r="C47">
        <f t="shared" si="0"/>
        <v>4</v>
      </c>
      <c r="D47">
        <f>COUNTIF($B$2:B47,B47)</f>
        <v>3</v>
      </c>
      <c r="E47" t="str">
        <f t="shared" si="1"/>
        <v>129.3</v>
      </c>
      <c r="F47" s="417" t="s">
        <v>639</v>
      </c>
      <c r="G47" s="417" t="s">
        <v>636</v>
      </c>
      <c r="H47" s="417" t="s">
        <v>1674</v>
      </c>
      <c r="I47" s="417" t="s">
        <v>1494</v>
      </c>
      <c r="J47" s="417" t="s">
        <v>1619</v>
      </c>
      <c r="K47" s="417" t="s">
        <v>1376</v>
      </c>
      <c r="L47" s="417" t="s">
        <v>88</v>
      </c>
      <c r="M47" s="417"/>
      <c r="N47" s="417"/>
      <c r="O47" s="417"/>
      <c r="P47" s="420">
        <v>2045</v>
      </c>
      <c r="Q47" s="417" t="s">
        <v>52</v>
      </c>
      <c r="R47" s="417" t="s">
        <v>52</v>
      </c>
      <c r="S47" s="417" t="s">
        <v>52</v>
      </c>
      <c r="T47" s="417" t="s">
        <v>52</v>
      </c>
    </row>
    <row r="48" spans="1:20" x14ac:dyDescent="0.25">
      <c r="A48" s="417" t="s">
        <v>625</v>
      </c>
      <c r="B48" s="418">
        <v>129</v>
      </c>
      <c r="C48">
        <f t="shared" si="0"/>
        <v>4</v>
      </c>
      <c r="D48">
        <f>COUNTIF($B$2:B48,B48)</f>
        <v>4</v>
      </c>
      <c r="E48" t="str">
        <f t="shared" si="1"/>
        <v>129.4</v>
      </c>
      <c r="F48" s="417" t="s">
        <v>639</v>
      </c>
      <c r="G48" s="417" t="s">
        <v>636</v>
      </c>
      <c r="H48" s="417" t="s">
        <v>1675</v>
      </c>
      <c r="I48" s="417" t="s">
        <v>1494</v>
      </c>
      <c r="J48" s="417" t="s">
        <v>1619</v>
      </c>
      <c r="K48" s="417" t="s">
        <v>1376</v>
      </c>
      <c r="L48" s="417" t="s">
        <v>88</v>
      </c>
      <c r="M48" s="417"/>
      <c r="N48" s="417"/>
      <c r="O48" s="417"/>
      <c r="P48" s="420">
        <v>2045</v>
      </c>
      <c r="Q48" s="417" t="s">
        <v>52</v>
      </c>
      <c r="R48" s="417" t="s">
        <v>52</v>
      </c>
      <c r="S48" s="417" t="s">
        <v>52</v>
      </c>
      <c r="T48" s="417" t="s">
        <v>52</v>
      </c>
    </row>
    <row r="49" spans="1:20" x14ac:dyDescent="0.25">
      <c r="A49" s="417" t="s">
        <v>625</v>
      </c>
      <c r="B49" s="418">
        <v>130</v>
      </c>
      <c r="C49">
        <f t="shared" si="0"/>
        <v>2</v>
      </c>
      <c r="D49">
        <f>COUNTIF($B$2:B49,B49)</f>
        <v>1</v>
      </c>
      <c r="E49" t="str">
        <f t="shared" si="1"/>
        <v>130.1</v>
      </c>
      <c r="F49" s="417" t="s">
        <v>640</v>
      </c>
      <c r="G49" s="417" t="s">
        <v>641</v>
      </c>
      <c r="H49" s="417" t="s">
        <v>1493</v>
      </c>
      <c r="I49" s="417" t="s">
        <v>1494</v>
      </c>
      <c r="J49" s="417" t="s">
        <v>1609</v>
      </c>
      <c r="K49" s="417" t="s">
        <v>1376</v>
      </c>
      <c r="L49" s="417" t="s">
        <v>88</v>
      </c>
      <c r="M49" s="417">
        <v>1</v>
      </c>
      <c r="N49" s="417"/>
      <c r="O49" s="417"/>
      <c r="P49" s="419">
        <v>2045</v>
      </c>
      <c r="Q49" s="417" t="s">
        <v>1626</v>
      </c>
      <c r="R49" s="417" t="s">
        <v>1651</v>
      </c>
      <c r="S49" s="417"/>
      <c r="T49" s="417"/>
    </row>
    <row r="50" spans="1:20" x14ac:dyDescent="0.25">
      <c r="A50" s="417" t="s">
        <v>625</v>
      </c>
      <c r="B50" s="418">
        <v>130</v>
      </c>
      <c r="C50">
        <f t="shared" si="0"/>
        <v>2</v>
      </c>
      <c r="D50">
        <f>COUNTIF($B$2:B50,B50)</f>
        <v>2</v>
      </c>
      <c r="E50" t="str">
        <f t="shared" si="1"/>
        <v>130.2</v>
      </c>
      <c r="F50" s="417" t="s">
        <v>640</v>
      </c>
      <c r="G50" s="417" t="s">
        <v>641</v>
      </c>
      <c r="H50" s="417" t="s">
        <v>1676</v>
      </c>
      <c r="I50" s="417" t="s">
        <v>1494</v>
      </c>
      <c r="J50" s="417" t="s">
        <v>1619</v>
      </c>
      <c r="K50" s="417" t="s">
        <v>1376</v>
      </c>
      <c r="L50" s="417" t="s">
        <v>88</v>
      </c>
      <c r="M50" s="417"/>
      <c r="N50" s="417"/>
      <c r="O50" s="417"/>
      <c r="P50" s="420">
        <v>2045</v>
      </c>
      <c r="Q50" s="417" t="s">
        <v>52</v>
      </c>
      <c r="R50" s="417" t="s">
        <v>52</v>
      </c>
      <c r="S50" s="417" t="s">
        <v>52</v>
      </c>
      <c r="T50" s="417" t="s">
        <v>52</v>
      </c>
    </row>
    <row r="51" spans="1:20" x14ac:dyDescent="0.25">
      <c r="A51" s="417" t="s">
        <v>625</v>
      </c>
      <c r="B51" s="418">
        <v>131</v>
      </c>
      <c r="C51">
        <f t="shared" si="0"/>
        <v>2</v>
      </c>
      <c r="D51">
        <f>COUNTIF($B$2:B51,B51)</f>
        <v>1</v>
      </c>
      <c r="E51" t="str">
        <f t="shared" si="1"/>
        <v>131.1</v>
      </c>
      <c r="F51" s="417" t="s">
        <v>642</v>
      </c>
      <c r="G51" s="417" t="s">
        <v>1677</v>
      </c>
      <c r="H51" s="417" t="s">
        <v>1678</v>
      </c>
      <c r="I51" s="417" t="s">
        <v>1494</v>
      </c>
      <c r="J51" s="417" t="s">
        <v>1609</v>
      </c>
      <c r="K51" s="417" t="s">
        <v>1376</v>
      </c>
      <c r="L51" s="417" t="s">
        <v>88</v>
      </c>
      <c r="M51" s="417">
        <v>1</v>
      </c>
      <c r="N51" s="417"/>
      <c r="O51" s="417"/>
      <c r="P51" s="419">
        <v>2045</v>
      </c>
      <c r="Q51" s="417" t="s">
        <v>1626</v>
      </c>
      <c r="R51" s="417" t="s">
        <v>1651</v>
      </c>
      <c r="S51" s="417"/>
      <c r="T51" s="417"/>
    </row>
    <row r="52" spans="1:20" x14ac:dyDescent="0.25">
      <c r="A52" s="417" t="s">
        <v>625</v>
      </c>
      <c r="B52" s="418">
        <v>131</v>
      </c>
      <c r="C52">
        <f t="shared" si="0"/>
        <v>2</v>
      </c>
      <c r="D52">
        <f>COUNTIF($B$2:B52,B52)</f>
        <v>2</v>
      </c>
      <c r="E52" t="str">
        <f t="shared" si="1"/>
        <v>131.2</v>
      </c>
      <c r="F52" s="417" t="s">
        <v>642</v>
      </c>
      <c r="G52" s="417" t="s">
        <v>1677</v>
      </c>
      <c r="H52" s="417" t="s">
        <v>1679</v>
      </c>
      <c r="I52" s="417" t="s">
        <v>1494</v>
      </c>
      <c r="J52" s="417" t="s">
        <v>1609</v>
      </c>
      <c r="K52" s="417" t="s">
        <v>1376</v>
      </c>
      <c r="L52" s="417" t="s">
        <v>88</v>
      </c>
      <c r="M52" s="417">
        <v>1</v>
      </c>
      <c r="N52" s="417"/>
      <c r="O52" s="417"/>
      <c r="P52" s="419">
        <v>2045</v>
      </c>
      <c r="Q52" s="417" t="s">
        <v>1626</v>
      </c>
      <c r="R52" s="417" t="s">
        <v>1651</v>
      </c>
      <c r="S52" s="417"/>
      <c r="T52" s="417"/>
    </row>
    <row r="53" spans="1:20" x14ac:dyDescent="0.25">
      <c r="A53" s="417" t="s">
        <v>625</v>
      </c>
      <c r="B53" s="418">
        <v>133</v>
      </c>
      <c r="C53">
        <f t="shared" si="0"/>
        <v>2</v>
      </c>
      <c r="D53">
        <f>COUNTIF($B$2:B53,B53)</f>
        <v>1</v>
      </c>
      <c r="E53" t="str">
        <f t="shared" si="1"/>
        <v>133.1</v>
      </c>
      <c r="F53" s="417" t="s">
        <v>646</v>
      </c>
      <c r="G53" s="417" t="s">
        <v>647</v>
      </c>
      <c r="H53" s="417" t="s">
        <v>1496</v>
      </c>
      <c r="I53" s="417" t="s">
        <v>1497</v>
      </c>
      <c r="J53" s="417" t="s">
        <v>1609</v>
      </c>
      <c r="K53" s="417" t="s">
        <v>1376</v>
      </c>
      <c r="L53" s="417" t="s">
        <v>794</v>
      </c>
      <c r="M53" s="417" t="s">
        <v>1610</v>
      </c>
      <c r="N53" s="417"/>
      <c r="O53" s="417" t="s">
        <v>1611</v>
      </c>
      <c r="P53" s="419">
        <v>2004</v>
      </c>
      <c r="Q53" s="417" t="s">
        <v>1612</v>
      </c>
      <c r="R53" s="417" t="s">
        <v>1651</v>
      </c>
      <c r="S53" s="417"/>
      <c r="T53" s="417"/>
    </row>
    <row r="54" spans="1:20" x14ac:dyDescent="0.25">
      <c r="A54" s="417" t="s">
        <v>625</v>
      </c>
      <c r="B54" s="418">
        <v>133</v>
      </c>
      <c r="C54">
        <f t="shared" si="0"/>
        <v>2</v>
      </c>
      <c r="D54">
        <f>COUNTIF($B$2:B54,B54)</f>
        <v>2</v>
      </c>
      <c r="E54" t="str">
        <f t="shared" si="1"/>
        <v>133.2</v>
      </c>
      <c r="F54" s="417" t="s">
        <v>646</v>
      </c>
      <c r="G54" s="417" t="s">
        <v>647</v>
      </c>
      <c r="H54" s="417" t="s">
        <v>1680</v>
      </c>
      <c r="I54" s="417" t="s">
        <v>1681</v>
      </c>
      <c r="J54" s="417" t="s">
        <v>1619</v>
      </c>
      <c r="K54" s="417" t="s">
        <v>1376</v>
      </c>
      <c r="L54" s="417" t="s">
        <v>794</v>
      </c>
      <c r="M54" s="417"/>
      <c r="N54" s="417"/>
      <c r="O54" s="417"/>
      <c r="P54" s="420">
        <v>2017</v>
      </c>
      <c r="Q54" s="417" t="s">
        <v>52</v>
      </c>
      <c r="R54" s="417" t="s">
        <v>52</v>
      </c>
      <c r="S54" s="417" t="s">
        <v>52</v>
      </c>
      <c r="T54" s="417" t="s">
        <v>52</v>
      </c>
    </row>
    <row r="55" spans="1:20" x14ac:dyDescent="0.25">
      <c r="A55" s="417" t="s">
        <v>625</v>
      </c>
      <c r="B55" s="418">
        <v>138</v>
      </c>
      <c r="C55">
        <f t="shared" si="0"/>
        <v>3</v>
      </c>
      <c r="D55">
        <f>COUNTIF($B$2:B55,B55)</f>
        <v>1</v>
      </c>
      <c r="E55" t="str">
        <f t="shared" si="1"/>
        <v>138.1</v>
      </c>
      <c r="F55" s="417" t="s">
        <v>653</v>
      </c>
      <c r="G55" s="417" t="s">
        <v>654</v>
      </c>
      <c r="H55" s="417" t="s">
        <v>1682</v>
      </c>
      <c r="I55" s="417" t="s">
        <v>1498</v>
      </c>
      <c r="J55" s="417" t="s">
        <v>1609</v>
      </c>
      <c r="K55" s="417" t="s">
        <v>1376</v>
      </c>
      <c r="L55" s="417" t="s">
        <v>88</v>
      </c>
      <c r="M55" s="417">
        <v>1</v>
      </c>
      <c r="N55" s="417"/>
      <c r="O55" s="417" t="s">
        <v>1611</v>
      </c>
      <c r="P55" s="419">
        <v>2022</v>
      </c>
      <c r="Q55" s="417" t="s">
        <v>1643</v>
      </c>
      <c r="R55" s="417" t="s">
        <v>1651</v>
      </c>
      <c r="S55" s="417"/>
      <c r="T55" s="417"/>
    </row>
    <row r="56" spans="1:20" x14ac:dyDescent="0.25">
      <c r="A56" s="417" t="s">
        <v>625</v>
      </c>
      <c r="B56" s="418">
        <v>138</v>
      </c>
      <c r="C56">
        <f t="shared" si="0"/>
        <v>3</v>
      </c>
      <c r="D56">
        <f>COUNTIF($B$2:B56,B56)</f>
        <v>2</v>
      </c>
      <c r="E56" t="str">
        <f t="shared" si="1"/>
        <v>138.2</v>
      </c>
      <c r="F56" s="417" t="s">
        <v>653</v>
      </c>
      <c r="G56" s="417" t="s">
        <v>654</v>
      </c>
      <c r="H56" s="417" t="s">
        <v>1683</v>
      </c>
      <c r="I56" s="417" t="s">
        <v>1684</v>
      </c>
      <c r="J56" s="417" t="s">
        <v>1609</v>
      </c>
      <c r="K56" s="417" t="s">
        <v>1376</v>
      </c>
      <c r="L56" s="417" t="s">
        <v>88</v>
      </c>
      <c r="M56" s="417"/>
      <c r="N56" s="417"/>
      <c r="O56" s="417"/>
      <c r="P56" s="419">
        <v>2074</v>
      </c>
      <c r="Q56" s="417" t="s">
        <v>1614</v>
      </c>
      <c r="R56" s="417" t="s">
        <v>1651</v>
      </c>
      <c r="S56" s="417" t="s">
        <v>1622</v>
      </c>
      <c r="T56" s="417" t="s">
        <v>52</v>
      </c>
    </row>
    <row r="57" spans="1:20" x14ac:dyDescent="0.25">
      <c r="A57" s="417" t="s">
        <v>625</v>
      </c>
      <c r="B57" s="418">
        <v>138</v>
      </c>
      <c r="C57">
        <f t="shared" si="0"/>
        <v>3</v>
      </c>
      <c r="D57">
        <f>COUNTIF($B$2:B57,B57)</f>
        <v>3</v>
      </c>
      <c r="E57" t="str">
        <f t="shared" si="1"/>
        <v>138.3</v>
      </c>
      <c r="F57" s="417" t="s">
        <v>653</v>
      </c>
      <c r="G57" s="417" t="s">
        <v>654</v>
      </c>
      <c r="H57" s="417" t="s">
        <v>1685</v>
      </c>
      <c r="I57" s="417" t="s">
        <v>1498</v>
      </c>
      <c r="J57" s="417" t="s">
        <v>1609</v>
      </c>
      <c r="K57" s="417" t="s">
        <v>1376</v>
      </c>
      <c r="L57" s="417" t="s">
        <v>88</v>
      </c>
      <c r="M57" s="417">
        <v>1</v>
      </c>
      <c r="N57" s="417"/>
      <c r="O57" s="417" t="s">
        <v>1611</v>
      </c>
      <c r="P57" s="419">
        <v>2022</v>
      </c>
      <c r="Q57" s="417" t="s">
        <v>1643</v>
      </c>
      <c r="R57" s="417" t="s">
        <v>1651</v>
      </c>
      <c r="S57" s="417"/>
      <c r="T57" s="417"/>
    </row>
    <row r="58" spans="1:20" x14ac:dyDescent="0.25">
      <c r="A58" s="417" t="s">
        <v>625</v>
      </c>
      <c r="B58" s="418">
        <v>139</v>
      </c>
      <c r="C58">
        <f t="shared" si="0"/>
        <v>1</v>
      </c>
      <c r="D58">
        <f>COUNTIF($B$2:B58,B58)</f>
        <v>1</v>
      </c>
      <c r="E58" t="str">
        <f t="shared" si="1"/>
        <v>139.1</v>
      </c>
      <c r="F58" s="417" t="s">
        <v>656</v>
      </c>
      <c r="G58" s="417" t="s">
        <v>1686</v>
      </c>
      <c r="H58" s="417" t="s">
        <v>1499</v>
      </c>
      <c r="I58" s="417" t="s">
        <v>1500</v>
      </c>
      <c r="J58" s="417" t="s">
        <v>1609</v>
      </c>
      <c r="K58" s="417" t="s">
        <v>1346</v>
      </c>
      <c r="L58" s="417" t="s">
        <v>45</v>
      </c>
      <c r="M58" s="417" t="s">
        <v>1610</v>
      </c>
      <c r="N58" s="417"/>
      <c r="O58" s="417" t="s">
        <v>1611</v>
      </c>
      <c r="P58" s="420">
        <v>2030</v>
      </c>
      <c r="Q58" s="417" t="s">
        <v>1626</v>
      </c>
      <c r="R58" s="417" t="s">
        <v>1651</v>
      </c>
      <c r="S58" s="417"/>
      <c r="T58" s="417"/>
    </row>
    <row r="59" spans="1:20" x14ac:dyDescent="0.25">
      <c r="A59" s="417" t="s">
        <v>625</v>
      </c>
      <c r="B59" s="418">
        <v>140</v>
      </c>
      <c r="C59">
        <f t="shared" si="0"/>
        <v>1</v>
      </c>
      <c r="D59">
        <f>COUNTIF($B$2:B59,B59)</f>
        <v>1</v>
      </c>
      <c r="E59" t="str">
        <f t="shared" si="1"/>
        <v>140.1</v>
      </c>
      <c r="F59" s="417" t="s">
        <v>661</v>
      </c>
      <c r="G59" s="417" t="s">
        <v>1686</v>
      </c>
      <c r="H59" s="417" t="s">
        <v>1501</v>
      </c>
      <c r="I59" s="417" t="s">
        <v>1502</v>
      </c>
      <c r="J59" s="417" t="s">
        <v>1609</v>
      </c>
      <c r="K59" s="417" t="s">
        <v>1376</v>
      </c>
      <c r="L59" s="417" t="s">
        <v>794</v>
      </c>
      <c r="M59" s="417" t="s">
        <v>1610</v>
      </c>
      <c r="N59" s="417"/>
      <c r="O59" s="417" t="s">
        <v>1611</v>
      </c>
      <c r="P59" s="419">
        <v>2023</v>
      </c>
      <c r="Q59" s="417" t="s">
        <v>1614</v>
      </c>
      <c r="R59" s="417" t="s">
        <v>1651</v>
      </c>
      <c r="S59" s="417"/>
      <c r="T59" s="417"/>
    </row>
    <row r="60" spans="1:20" x14ac:dyDescent="0.25">
      <c r="A60" s="417" t="s">
        <v>361</v>
      </c>
      <c r="B60" s="418">
        <v>145</v>
      </c>
      <c r="C60">
        <f t="shared" si="0"/>
        <v>1</v>
      </c>
      <c r="D60">
        <f>COUNTIF($B$2:B60,B60)</f>
        <v>1</v>
      </c>
      <c r="E60" t="str">
        <f t="shared" si="1"/>
        <v>145.1</v>
      </c>
      <c r="F60" s="417" t="s">
        <v>369</v>
      </c>
      <c r="G60" s="417" t="s">
        <v>363</v>
      </c>
      <c r="H60" s="417" t="s">
        <v>1415</v>
      </c>
      <c r="I60" s="417" t="s">
        <v>1416</v>
      </c>
      <c r="J60" s="417" t="s">
        <v>1609</v>
      </c>
      <c r="K60" s="417" t="s">
        <v>1346</v>
      </c>
      <c r="L60" s="417" t="s">
        <v>45</v>
      </c>
      <c r="M60" s="417" t="s">
        <v>1651</v>
      </c>
      <c r="N60" s="417"/>
      <c r="O60" s="417" t="s">
        <v>1651</v>
      </c>
      <c r="P60" s="420">
        <v>1993</v>
      </c>
      <c r="Q60" s="417" t="s">
        <v>1620</v>
      </c>
      <c r="R60" s="417" t="s">
        <v>1687</v>
      </c>
      <c r="S60" s="417"/>
      <c r="T60" s="417"/>
    </row>
    <row r="61" spans="1:20" x14ac:dyDescent="0.25">
      <c r="A61" s="417" t="s">
        <v>482</v>
      </c>
      <c r="B61" s="418">
        <v>146</v>
      </c>
      <c r="C61">
        <f t="shared" si="0"/>
        <v>1</v>
      </c>
      <c r="D61">
        <f>COUNTIF($B$2:B61,B61)</f>
        <v>1</v>
      </c>
      <c r="E61" t="str">
        <f t="shared" si="1"/>
        <v>146.1</v>
      </c>
      <c r="F61" s="417" t="s">
        <v>483</v>
      </c>
      <c r="G61" s="417" t="s">
        <v>484</v>
      </c>
      <c r="H61" s="417" t="s">
        <v>1459</v>
      </c>
      <c r="I61" s="417" t="s">
        <v>514</v>
      </c>
      <c r="J61" s="417" t="s">
        <v>1609</v>
      </c>
      <c r="K61" s="417" t="s">
        <v>1346</v>
      </c>
      <c r="L61" s="417" t="s">
        <v>730</v>
      </c>
      <c r="M61" s="417"/>
      <c r="N61" s="417"/>
      <c r="O61" s="417"/>
      <c r="P61" s="419">
        <v>2048</v>
      </c>
      <c r="Q61" s="417" t="s">
        <v>1643</v>
      </c>
      <c r="R61" s="417" t="s">
        <v>1651</v>
      </c>
      <c r="S61" s="417" t="s">
        <v>52</v>
      </c>
      <c r="T61" s="417" t="s">
        <v>52</v>
      </c>
    </row>
    <row r="62" spans="1:20" x14ac:dyDescent="0.25">
      <c r="A62" s="417" t="s">
        <v>482</v>
      </c>
      <c r="B62" s="418">
        <v>147</v>
      </c>
      <c r="C62">
        <f t="shared" si="0"/>
        <v>1</v>
      </c>
      <c r="D62">
        <f>COUNTIF($B$2:B62,B62)</f>
        <v>1</v>
      </c>
      <c r="E62" t="str">
        <f t="shared" si="1"/>
        <v>147.1</v>
      </c>
      <c r="F62" s="417" t="s">
        <v>485</v>
      </c>
      <c r="G62" s="417" t="s">
        <v>484</v>
      </c>
      <c r="H62" s="417" t="s">
        <v>1459</v>
      </c>
      <c r="I62" s="417" t="s">
        <v>514</v>
      </c>
      <c r="J62" s="417" t="s">
        <v>1609</v>
      </c>
      <c r="K62" s="417" t="s">
        <v>1346</v>
      </c>
      <c r="L62" s="417" t="s">
        <v>730</v>
      </c>
      <c r="M62" s="417"/>
      <c r="N62" s="417"/>
      <c r="O62" s="417"/>
      <c r="P62" s="419">
        <v>2048</v>
      </c>
      <c r="Q62" s="417" t="s">
        <v>1643</v>
      </c>
      <c r="R62" s="417" t="s">
        <v>1651</v>
      </c>
      <c r="S62" s="417" t="s">
        <v>52</v>
      </c>
      <c r="T62" s="417" t="s">
        <v>52</v>
      </c>
    </row>
    <row r="63" spans="1:20" x14ac:dyDescent="0.25">
      <c r="A63" s="417" t="s">
        <v>482</v>
      </c>
      <c r="B63" s="418">
        <v>148</v>
      </c>
      <c r="C63">
        <f t="shared" si="0"/>
        <v>1</v>
      </c>
      <c r="D63">
        <f>COUNTIF($B$2:B63,B63)</f>
        <v>1</v>
      </c>
      <c r="E63" t="str">
        <f t="shared" si="1"/>
        <v>148.1</v>
      </c>
      <c r="F63" s="417" t="s">
        <v>486</v>
      </c>
      <c r="G63" s="417" t="s">
        <v>484</v>
      </c>
      <c r="H63" s="417" t="s">
        <v>1459</v>
      </c>
      <c r="I63" s="417" t="s">
        <v>514</v>
      </c>
      <c r="J63" s="417" t="s">
        <v>1609</v>
      </c>
      <c r="K63" s="417" t="s">
        <v>1346</v>
      </c>
      <c r="L63" s="417" t="s">
        <v>799</v>
      </c>
      <c r="M63" s="417"/>
      <c r="N63" s="417"/>
      <c r="O63" s="417"/>
      <c r="P63" s="420">
        <v>2048</v>
      </c>
      <c r="Q63" s="417" t="s">
        <v>1643</v>
      </c>
      <c r="R63" s="417" t="s">
        <v>1651</v>
      </c>
      <c r="S63" s="417" t="s">
        <v>52</v>
      </c>
      <c r="T63" s="417" t="s">
        <v>52</v>
      </c>
    </row>
    <row r="64" spans="1:20" x14ac:dyDescent="0.25">
      <c r="A64" s="417" t="s">
        <v>482</v>
      </c>
      <c r="B64" s="418">
        <v>149</v>
      </c>
      <c r="C64">
        <f t="shared" si="0"/>
        <v>1</v>
      </c>
      <c r="D64">
        <f>COUNTIF($B$2:B64,B64)</f>
        <v>1</v>
      </c>
      <c r="E64" t="str">
        <f t="shared" si="1"/>
        <v>149.1</v>
      </c>
      <c r="F64" s="417" t="s">
        <v>487</v>
      </c>
      <c r="G64" s="417" t="s">
        <v>484</v>
      </c>
      <c r="H64" s="417" t="s">
        <v>1459</v>
      </c>
      <c r="I64" s="417" t="s">
        <v>514</v>
      </c>
      <c r="J64" s="417" t="s">
        <v>1609</v>
      </c>
      <c r="K64" s="417" t="s">
        <v>1346</v>
      </c>
      <c r="L64" s="417" t="s">
        <v>799</v>
      </c>
      <c r="M64" s="417"/>
      <c r="N64" s="417"/>
      <c r="O64" s="417"/>
      <c r="P64" s="420">
        <v>2048</v>
      </c>
      <c r="Q64" s="417" t="s">
        <v>1643</v>
      </c>
      <c r="R64" s="417" t="s">
        <v>1651</v>
      </c>
      <c r="S64" s="417" t="s">
        <v>52</v>
      </c>
      <c r="T64" s="417" t="s">
        <v>52</v>
      </c>
    </row>
    <row r="65" spans="1:20" x14ac:dyDescent="0.25">
      <c r="A65" s="417" t="s">
        <v>482</v>
      </c>
      <c r="B65" s="418">
        <v>150</v>
      </c>
      <c r="C65">
        <f t="shared" si="0"/>
        <v>2</v>
      </c>
      <c r="D65">
        <f>COUNTIF($B$2:B65,B65)</f>
        <v>1</v>
      </c>
      <c r="E65" t="str">
        <f t="shared" si="1"/>
        <v>150.1</v>
      </c>
      <c r="F65" s="417" t="s">
        <v>488</v>
      </c>
      <c r="G65" s="417" t="s">
        <v>489</v>
      </c>
      <c r="H65" s="417" t="s">
        <v>1461</v>
      </c>
      <c r="I65" s="417" t="s">
        <v>1462</v>
      </c>
      <c r="J65" s="417" t="s">
        <v>1609</v>
      </c>
      <c r="K65" s="417" t="s">
        <v>1355</v>
      </c>
      <c r="L65" s="417" t="s">
        <v>794</v>
      </c>
      <c r="M65" s="417">
        <v>1</v>
      </c>
      <c r="N65" s="422" t="s">
        <v>1688</v>
      </c>
      <c r="O65" s="417"/>
      <c r="P65" s="419">
        <v>2042</v>
      </c>
      <c r="Q65" s="417" t="s">
        <v>1632</v>
      </c>
      <c r="R65" s="417" t="s">
        <v>1689</v>
      </c>
      <c r="S65" s="417"/>
      <c r="T65" s="417"/>
    </row>
    <row r="66" spans="1:20" x14ac:dyDescent="0.25">
      <c r="A66" s="417" t="s">
        <v>482</v>
      </c>
      <c r="B66" s="418">
        <v>150</v>
      </c>
      <c r="C66">
        <f t="shared" ref="C66:C129" si="2">COUNTIF($B$2:$B$166,B66)</f>
        <v>2</v>
      </c>
      <c r="D66">
        <f>COUNTIF($B$2:B66,B66)</f>
        <v>2</v>
      </c>
      <c r="E66" t="str">
        <f t="shared" ref="E66:E129" si="3">CONCATENATE(B66,".",D66)</f>
        <v>150.2</v>
      </c>
      <c r="F66" s="417" t="s">
        <v>488</v>
      </c>
      <c r="G66" s="417" t="s">
        <v>489</v>
      </c>
      <c r="H66" s="417" t="s">
        <v>1463</v>
      </c>
      <c r="I66" s="417" t="s">
        <v>1462</v>
      </c>
      <c r="J66" s="417" t="s">
        <v>1619</v>
      </c>
      <c r="K66" s="417" t="s">
        <v>1346</v>
      </c>
      <c r="L66" s="417" t="s">
        <v>794</v>
      </c>
      <c r="M66" s="417"/>
      <c r="N66" s="417"/>
      <c r="O66" s="417"/>
      <c r="P66" s="420">
        <v>2042</v>
      </c>
      <c r="Q66" s="417" t="s">
        <v>52</v>
      </c>
      <c r="R66" s="417" t="s">
        <v>52</v>
      </c>
      <c r="S66" s="417" t="s">
        <v>52</v>
      </c>
      <c r="T66" s="417" t="s">
        <v>52</v>
      </c>
    </row>
    <row r="67" spans="1:20" x14ac:dyDescent="0.25">
      <c r="A67" s="417" t="s">
        <v>482</v>
      </c>
      <c r="B67" s="418">
        <v>151</v>
      </c>
      <c r="C67">
        <f t="shared" si="2"/>
        <v>3</v>
      </c>
      <c r="D67">
        <f>COUNTIF($B$2:B67,B67)</f>
        <v>1</v>
      </c>
      <c r="E67" t="str">
        <f t="shared" si="3"/>
        <v>151.1</v>
      </c>
      <c r="F67" s="417" t="s">
        <v>490</v>
      </c>
      <c r="G67" s="417" t="s">
        <v>489</v>
      </c>
      <c r="H67" s="417" t="s">
        <v>1690</v>
      </c>
      <c r="I67" s="417" t="s">
        <v>1462</v>
      </c>
      <c r="J67" s="417" t="s">
        <v>1609</v>
      </c>
      <c r="K67" s="417" t="s">
        <v>1346</v>
      </c>
      <c r="L67" s="417" t="s">
        <v>88</v>
      </c>
      <c r="M67" s="417">
        <v>1</v>
      </c>
      <c r="N67" s="422" t="s">
        <v>1688</v>
      </c>
      <c r="O67" s="417"/>
      <c r="P67" s="419">
        <v>2042</v>
      </c>
      <c r="Q67" s="417" t="s">
        <v>1632</v>
      </c>
      <c r="R67" s="417" t="s">
        <v>1689</v>
      </c>
      <c r="S67" s="417"/>
      <c r="T67" s="417"/>
    </row>
    <row r="68" spans="1:20" x14ac:dyDescent="0.25">
      <c r="A68" s="417" t="s">
        <v>482</v>
      </c>
      <c r="B68" s="418">
        <v>151</v>
      </c>
      <c r="C68">
        <f t="shared" si="2"/>
        <v>3</v>
      </c>
      <c r="D68">
        <f>COUNTIF($B$2:B68,B68)</f>
        <v>2</v>
      </c>
      <c r="E68" t="str">
        <f t="shared" si="3"/>
        <v>151.2</v>
      </c>
      <c r="F68" s="417" t="s">
        <v>490</v>
      </c>
      <c r="G68" s="417" t="s">
        <v>489</v>
      </c>
      <c r="H68" s="417" t="s">
        <v>1461</v>
      </c>
      <c r="I68" s="417" t="s">
        <v>1462</v>
      </c>
      <c r="J68" s="417" t="s">
        <v>1609</v>
      </c>
      <c r="K68" s="417" t="s">
        <v>1355</v>
      </c>
      <c r="L68" s="417" t="s">
        <v>88</v>
      </c>
      <c r="M68" s="417">
        <v>1</v>
      </c>
      <c r="N68" s="422" t="s">
        <v>1688</v>
      </c>
      <c r="O68" s="417"/>
      <c r="P68" s="419">
        <v>2042</v>
      </c>
      <c r="Q68" s="417" t="s">
        <v>1632</v>
      </c>
      <c r="R68" s="417" t="s">
        <v>1689</v>
      </c>
      <c r="S68" s="417"/>
      <c r="T68" s="417"/>
    </row>
    <row r="69" spans="1:20" x14ac:dyDescent="0.25">
      <c r="A69" s="417" t="s">
        <v>482</v>
      </c>
      <c r="B69" s="418">
        <v>151</v>
      </c>
      <c r="C69">
        <f t="shared" si="2"/>
        <v>3</v>
      </c>
      <c r="D69">
        <f>COUNTIF($B$2:B69,B69)</f>
        <v>3</v>
      </c>
      <c r="E69" t="str">
        <f t="shared" si="3"/>
        <v>151.3</v>
      </c>
      <c r="F69" s="417" t="s">
        <v>490</v>
      </c>
      <c r="G69" s="417" t="s">
        <v>489</v>
      </c>
      <c r="H69" s="417" t="s">
        <v>1691</v>
      </c>
      <c r="I69" s="417" t="s">
        <v>1462</v>
      </c>
      <c r="J69" s="417" t="s">
        <v>1619</v>
      </c>
      <c r="K69" s="417" t="s">
        <v>1346</v>
      </c>
      <c r="L69" s="417" t="s">
        <v>88</v>
      </c>
      <c r="M69" s="417"/>
      <c r="N69" s="417"/>
      <c r="O69" s="417"/>
      <c r="P69" s="420">
        <v>2042</v>
      </c>
      <c r="Q69" s="417" t="s">
        <v>52</v>
      </c>
      <c r="R69" s="417" t="s">
        <v>52</v>
      </c>
      <c r="S69" s="417" t="s">
        <v>52</v>
      </c>
      <c r="T69" s="417" t="s">
        <v>52</v>
      </c>
    </row>
    <row r="70" spans="1:20" x14ac:dyDescent="0.25">
      <c r="A70" s="417" t="s">
        <v>482</v>
      </c>
      <c r="B70" s="418">
        <v>155</v>
      </c>
      <c r="C70">
        <f t="shared" si="2"/>
        <v>1</v>
      </c>
      <c r="D70">
        <f>COUNTIF($B$2:B70,B70)</f>
        <v>1</v>
      </c>
      <c r="E70" t="str">
        <f t="shared" si="3"/>
        <v>155.1</v>
      </c>
      <c r="F70" s="417" t="s">
        <v>491</v>
      </c>
      <c r="G70" s="417" t="s">
        <v>492</v>
      </c>
      <c r="H70" s="417" t="s">
        <v>1465</v>
      </c>
      <c r="I70" s="417" t="s">
        <v>1466</v>
      </c>
      <c r="J70" s="417" t="s">
        <v>1609</v>
      </c>
      <c r="K70" s="417" t="s">
        <v>1355</v>
      </c>
      <c r="L70" s="417" t="s">
        <v>88</v>
      </c>
      <c r="M70" s="417">
        <v>1</v>
      </c>
      <c r="N70" s="417"/>
      <c r="O70" s="417"/>
      <c r="P70" s="419">
        <v>2042</v>
      </c>
      <c r="Q70" s="417" t="s">
        <v>1643</v>
      </c>
      <c r="R70" s="417" t="s">
        <v>1651</v>
      </c>
      <c r="S70" s="417"/>
      <c r="T70" s="417"/>
    </row>
    <row r="71" spans="1:20" x14ac:dyDescent="0.25">
      <c r="A71" s="417" t="s">
        <v>274</v>
      </c>
      <c r="B71" s="418">
        <v>160</v>
      </c>
      <c r="C71">
        <f t="shared" si="2"/>
        <v>2</v>
      </c>
      <c r="D71">
        <f>COUNTIF($B$2:B71,B71)</f>
        <v>1</v>
      </c>
      <c r="E71" t="str">
        <f t="shared" si="3"/>
        <v>160.1</v>
      </c>
      <c r="F71" s="417" t="s">
        <v>296</v>
      </c>
      <c r="G71" s="417" t="s">
        <v>294</v>
      </c>
      <c r="H71" s="417" t="s">
        <v>1692</v>
      </c>
      <c r="I71" s="417" t="s">
        <v>1693</v>
      </c>
      <c r="J71" s="417" t="s">
        <v>1619</v>
      </c>
      <c r="K71" s="417" t="s">
        <v>1376</v>
      </c>
      <c r="L71" s="417" t="s">
        <v>45</v>
      </c>
      <c r="M71" s="417"/>
      <c r="N71" s="417"/>
      <c r="O71" s="417"/>
      <c r="P71" s="420">
        <v>2044</v>
      </c>
      <c r="Q71" s="417" t="s">
        <v>52</v>
      </c>
      <c r="R71" s="417" t="s">
        <v>52</v>
      </c>
      <c r="S71" s="417" t="s">
        <v>52</v>
      </c>
      <c r="T71" s="417" t="s">
        <v>52</v>
      </c>
    </row>
    <row r="72" spans="1:20" x14ac:dyDescent="0.25">
      <c r="A72" s="417" t="s">
        <v>274</v>
      </c>
      <c r="B72" s="418">
        <v>160</v>
      </c>
      <c r="C72">
        <f t="shared" si="2"/>
        <v>2</v>
      </c>
      <c r="D72">
        <f>COUNTIF($B$2:B72,B72)</f>
        <v>2</v>
      </c>
      <c r="E72" t="str">
        <f t="shared" si="3"/>
        <v>160.2</v>
      </c>
      <c r="F72" s="417" t="s">
        <v>296</v>
      </c>
      <c r="G72" s="417" t="s">
        <v>294</v>
      </c>
      <c r="H72" s="417" t="s">
        <v>1694</v>
      </c>
      <c r="I72" s="417" t="s">
        <v>1693</v>
      </c>
      <c r="J72" s="417" t="s">
        <v>1619</v>
      </c>
      <c r="K72" s="417" t="s">
        <v>1376</v>
      </c>
      <c r="L72" s="417" t="s">
        <v>45</v>
      </c>
      <c r="M72" s="417"/>
      <c r="N72" s="417"/>
      <c r="O72" s="417"/>
      <c r="P72" s="420">
        <v>2044</v>
      </c>
      <c r="Q72" s="417" t="s">
        <v>52</v>
      </c>
      <c r="R72" s="417" t="s">
        <v>52</v>
      </c>
      <c r="S72" s="417" t="s">
        <v>52</v>
      </c>
      <c r="T72" s="417" t="s">
        <v>52</v>
      </c>
    </row>
    <row r="73" spans="1:20" x14ac:dyDescent="0.25">
      <c r="A73" s="417" t="s">
        <v>274</v>
      </c>
      <c r="B73" s="418">
        <v>162</v>
      </c>
      <c r="C73">
        <f t="shared" si="2"/>
        <v>4</v>
      </c>
      <c r="D73">
        <f>COUNTIF($B$2:B73,B73)</f>
        <v>1</v>
      </c>
      <c r="E73" t="str">
        <f t="shared" si="3"/>
        <v>162.1</v>
      </c>
      <c r="F73" s="417" t="s">
        <v>298</v>
      </c>
      <c r="G73" s="417" t="s">
        <v>294</v>
      </c>
      <c r="H73" s="417" t="s">
        <v>1381</v>
      </c>
      <c r="I73" s="417" t="s">
        <v>1382</v>
      </c>
      <c r="J73" s="417" t="s">
        <v>1609</v>
      </c>
      <c r="K73" s="417" t="s">
        <v>1376</v>
      </c>
      <c r="L73" s="417" t="s">
        <v>794</v>
      </c>
      <c r="M73" s="417">
        <v>1</v>
      </c>
      <c r="N73" s="417" t="s">
        <v>1611</v>
      </c>
      <c r="O73" s="417"/>
      <c r="P73" s="419">
        <v>2041</v>
      </c>
      <c r="Q73" s="417" t="s">
        <v>1626</v>
      </c>
      <c r="R73" s="417" t="s">
        <v>1695</v>
      </c>
      <c r="S73" s="417"/>
      <c r="T73" s="417"/>
    </row>
    <row r="74" spans="1:20" x14ac:dyDescent="0.25">
      <c r="A74" s="417" t="s">
        <v>274</v>
      </c>
      <c r="B74" s="418">
        <v>162</v>
      </c>
      <c r="C74">
        <f t="shared" si="2"/>
        <v>4</v>
      </c>
      <c r="D74">
        <f>COUNTIF($B$2:B74,B74)</f>
        <v>2</v>
      </c>
      <c r="E74" t="str">
        <f t="shared" si="3"/>
        <v>162.2</v>
      </c>
      <c r="F74" s="417" t="s">
        <v>298</v>
      </c>
      <c r="G74" s="417" t="s">
        <v>294</v>
      </c>
      <c r="H74" s="417" t="s">
        <v>1696</v>
      </c>
      <c r="I74" s="417" t="s">
        <v>1382</v>
      </c>
      <c r="J74" s="417" t="s">
        <v>1619</v>
      </c>
      <c r="K74" s="417" t="s">
        <v>1355</v>
      </c>
      <c r="L74" s="417" t="s">
        <v>794</v>
      </c>
      <c r="M74" s="417"/>
      <c r="N74" s="417"/>
      <c r="O74" s="417"/>
      <c r="P74" s="420">
        <v>2041</v>
      </c>
      <c r="Q74" s="417" t="s">
        <v>52</v>
      </c>
      <c r="R74" s="417" t="s">
        <v>52</v>
      </c>
      <c r="S74" s="417" t="s">
        <v>52</v>
      </c>
      <c r="T74" s="417" t="s">
        <v>52</v>
      </c>
    </row>
    <row r="75" spans="1:20" x14ac:dyDescent="0.25">
      <c r="A75" s="417" t="s">
        <v>274</v>
      </c>
      <c r="B75" s="418">
        <v>162</v>
      </c>
      <c r="C75">
        <f t="shared" si="2"/>
        <v>4</v>
      </c>
      <c r="D75">
        <f>COUNTIF($B$2:B75,B75)</f>
        <v>3</v>
      </c>
      <c r="E75" t="str">
        <f t="shared" si="3"/>
        <v>162.3</v>
      </c>
      <c r="F75" s="417" t="s">
        <v>298</v>
      </c>
      <c r="G75" s="417" t="s">
        <v>294</v>
      </c>
      <c r="H75" s="417" t="s">
        <v>1697</v>
      </c>
      <c r="I75" s="417" t="s">
        <v>1698</v>
      </c>
      <c r="J75" s="417" t="s">
        <v>1619</v>
      </c>
      <c r="K75" s="417" t="s">
        <v>1376</v>
      </c>
      <c r="L75" s="417" t="s">
        <v>794</v>
      </c>
      <c r="M75" s="417"/>
      <c r="N75" s="417"/>
      <c r="O75" s="417"/>
      <c r="P75" s="420">
        <v>2038</v>
      </c>
      <c r="Q75" s="417" t="s">
        <v>52</v>
      </c>
      <c r="R75" s="417" t="s">
        <v>52</v>
      </c>
      <c r="S75" s="417" t="s">
        <v>52</v>
      </c>
      <c r="T75" s="417" t="s">
        <v>52</v>
      </c>
    </row>
    <row r="76" spans="1:20" x14ac:dyDescent="0.25">
      <c r="A76" s="417" t="s">
        <v>274</v>
      </c>
      <c r="B76" s="418">
        <v>162</v>
      </c>
      <c r="C76">
        <f t="shared" si="2"/>
        <v>4</v>
      </c>
      <c r="D76">
        <f>COUNTIF($B$2:B76,B76)</f>
        <v>4</v>
      </c>
      <c r="E76" t="str">
        <f t="shared" si="3"/>
        <v>162.4</v>
      </c>
      <c r="F76" s="417" t="s">
        <v>298</v>
      </c>
      <c r="G76" s="417" t="s">
        <v>294</v>
      </c>
      <c r="H76" s="417" t="s">
        <v>1699</v>
      </c>
      <c r="I76" s="417" t="s">
        <v>1698</v>
      </c>
      <c r="J76" s="417" t="s">
        <v>1619</v>
      </c>
      <c r="K76" s="417" t="s">
        <v>1376</v>
      </c>
      <c r="L76" s="417" t="s">
        <v>794</v>
      </c>
      <c r="M76" s="417"/>
      <c r="N76" s="417"/>
      <c r="O76" s="417"/>
      <c r="P76" s="420">
        <v>2038</v>
      </c>
      <c r="Q76" s="417" t="s">
        <v>52</v>
      </c>
      <c r="R76" s="417" t="s">
        <v>52</v>
      </c>
      <c r="S76" s="417" t="s">
        <v>52</v>
      </c>
      <c r="T76" s="417" t="s">
        <v>52</v>
      </c>
    </row>
    <row r="77" spans="1:20" x14ac:dyDescent="0.25">
      <c r="A77" s="417" t="s">
        <v>274</v>
      </c>
      <c r="B77" s="418">
        <v>164</v>
      </c>
      <c r="C77">
        <f t="shared" si="2"/>
        <v>2</v>
      </c>
      <c r="D77">
        <f>COUNTIF($B$2:B77,B77)</f>
        <v>1</v>
      </c>
      <c r="E77" t="str">
        <f t="shared" si="3"/>
        <v>164.1</v>
      </c>
      <c r="F77" s="417" t="s">
        <v>299</v>
      </c>
      <c r="G77" s="417" t="s">
        <v>294</v>
      </c>
      <c r="H77" s="417" t="s">
        <v>1381</v>
      </c>
      <c r="I77" s="417" t="s">
        <v>1382</v>
      </c>
      <c r="J77" s="417" t="s">
        <v>1609</v>
      </c>
      <c r="K77" s="417" t="s">
        <v>1376</v>
      </c>
      <c r="L77" s="417" t="s">
        <v>794</v>
      </c>
      <c r="M77" s="417">
        <v>1</v>
      </c>
      <c r="N77" s="417" t="s">
        <v>1611</v>
      </c>
      <c r="O77" s="417"/>
      <c r="P77" s="419">
        <v>2041</v>
      </c>
      <c r="Q77" s="417" t="s">
        <v>1626</v>
      </c>
      <c r="R77" s="417" t="s">
        <v>1695</v>
      </c>
      <c r="S77" s="417"/>
      <c r="T77" s="417"/>
    </row>
    <row r="78" spans="1:20" x14ac:dyDescent="0.25">
      <c r="A78" s="417" t="s">
        <v>274</v>
      </c>
      <c r="B78" s="418">
        <v>164</v>
      </c>
      <c r="C78">
        <f t="shared" si="2"/>
        <v>2</v>
      </c>
      <c r="D78">
        <f>COUNTIF($B$2:B78,B78)</f>
        <v>2</v>
      </c>
      <c r="E78" t="str">
        <f t="shared" si="3"/>
        <v>164.2</v>
      </c>
      <c r="F78" s="417" t="s">
        <v>299</v>
      </c>
      <c r="G78" s="417" t="s">
        <v>294</v>
      </c>
      <c r="H78" s="417" t="s">
        <v>1700</v>
      </c>
      <c r="I78" s="417" t="s">
        <v>1382</v>
      </c>
      <c r="J78" s="417" t="s">
        <v>1619</v>
      </c>
      <c r="K78" s="417" t="s">
        <v>1376</v>
      </c>
      <c r="L78" s="417" t="s">
        <v>794</v>
      </c>
      <c r="M78" s="417"/>
      <c r="N78" s="417"/>
      <c r="O78" s="417"/>
      <c r="P78" s="420">
        <v>2041</v>
      </c>
      <c r="Q78" s="417" t="s">
        <v>52</v>
      </c>
      <c r="R78" s="417" t="s">
        <v>52</v>
      </c>
      <c r="S78" s="417" t="s">
        <v>52</v>
      </c>
      <c r="T78" s="417" t="s">
        <v>52</v>
      </c>
    </row>
    <row r="79" spans="1:20" x14ac:dyDescent="0.25">
      <c r="A79" s="417" t="s">
        <v>274</v>
      </c>
      <c r="B79" s="418">
        <v>166</v>
      </c>
      <c r="C79">
        <f t="shared" si="2"/>
        <v>1</v>
      </c>
      <c r="D79">
        <f>COUNTIF($B$2:B79,B79)</f>
        <v>1</v>
      </c>
      <c r="E79" t="str">
        <f t="shared" si="3"/>
        <v>166.1</v>
      </c>
      <c r="F79" s="417" t="s">
        <v>301</v>
      </c>
      <c r="G79" s="417" t="s">
        <v>302</v>
      </c>
      <c r="H79" s="417" t="s">
        <v>1383</v>
      </c>
      <c r="I79" s="417" t="s">
        <v>1384</v>
      </c>
      <c r="J79" s="417" t="s">
        <v>1609</v>
      </c>
      <c r="K79" s="417" t="s">
        <v>1376</v>
      </c>
      <c r="L79" s="417" t="s">
        <v>730</v>
      </c>
      <c r="M79" s="417"/>
      <c r="N79" s="417"/>
      <c r="O79" s="417"/>
      <c r="P79" s="419">
        <v>2043</v>
      </c>
      <c r="Q79" s="417" t="s">
        <v>1626</v>
      </c>
      <c r="R79" s="417" t="s">
        <v>1695</v>
      </c>
      <c r="S79" s="417" t="s">
        <v>1657</v>
      </c>
      <c r="T79" s="417" t="s">
        <v>1701</v>
      </c>
    </row>
    <row r="80" spans="1:20" x14ac:dyDescent="0.25">
      <c r="A80" s="417" t="s">
        <v>482</v>
      </c>
      <c r="B80" s="418">
        <v>170</v>
      </c>
      <c r="C80">
        <f t="shared" si="2"/>
        <v>1</v>
      </c>
      <c r="D80">
        <f>COUNTIF($B$2:B80,B80)</f>
        <v>1</v>
      </c>
      <c r="E80" t="str">
        <f t="shared" si="3"/>
        <v>170.1</v>
      </c>
      <c r="F80" s="417" t="s">
        <v>502</v>
      </c>
      <c r="G80" s="417" t="s">
        <v>503</v>
      </c>
      <c r="H80" s="417" t="s">
        <v>1467</v>
      </c>
      <c r="I80" s="417" t="s">
        <v>1468</v>
      </c>
      <c r="J80" s="417" t="s">
        <v>1609</v>
      </c>
      <c r="K80" s="417" t="s">
        <v>1337</v>
      </c>
      <c r="L80" s="417" t="s">
        <v>794</v>
      </c>
      <c r="M80" s="417">
        <v>1</v>
      </c>
      <c r="N80" s="422" t="s">
        <v>1688</v>
      </c>
      <c r="O80" s="417" t="s">
        <v>1611</v>
      </c>
      <c r="P80" s="420">
        <v>2035</v>
      </c>
      <c r="Q80" s="417" t="s">
        <v>1632</v>
      </c>
      <c r="R80" s="417" t="s">
        <v>1689</v>
      </c>
      <c r="S80" s="417"/>
      <c r="T80" s="417"/>
    </row>
    <row r="81" spans="1:20" x14ac:dyDescent="0.25">
      <c r="A81" s="417" t="s">
        <v>482</v>
      </c>
      <c r="B81" s="418">
        <v>171</v>
      </c>
      <c r="C81">
        <f t="shared" si="2"/>
        <v>6</v>
      </c>
      <c r="D81">
        <f>COUNTIF($B$2:B81,B81)</f>
        <v>1</v>
      </c>
      <c r="E81" t="str">
        <f t="shared" si="3"/>
        <v>171.1</v>
      </c>
      <c r="F81" s="417" t="s">
        <v>503</v>
      </c>
      <c r="G81" s="417" t="s">
        <v>503</v>
      </c>
      <c r="H81" s="417" t="s">
        <v>1467</v>
      </c>
      <c r="I81" s="417" t="s">
        <v>1468</v>
      </c>
      <c r="J81" s="417" t="s">
        <v>1609</v>
      </c>
      <c r="K81" s="417" t="s">
        <v>1337</v>
      </c>
      <c r="L81" s="417" t="s">
        <v>794</v>
      </c>
      <c r="M81" s="417">
        <v>1</v>
      </c>
      <c r="N81" s="422" t="s">
        <v>1688</v>
      </c>
      <c r="O81" s="417" t="s">
        <v>1611</v>
      </c>
      <c r="P81" s="420">
        <v>2035</v>
      </c>
      <c r="Q81" s="417" t="s">
        <v>1632</v>
      </c>
      <c r="R81" s="417" t="s">
        <v>1689</v>
      </c>
      <c r="S81" s="417"/>
      <c r="T81" s="417"/>
    </row>
    <row r="82" spans="1:20" x14ac:dyDescent="0.25">
      <c r="A82" s="417" t="s">
        <v>482</v>
      </c>
      <c r="B82" s="418">
        <v>171</v>
      </c>
      <c r="C82">
        <f t="shared" si="2"/>
        <v>6</v>
      </c>
      <c r="D82">
        <f>COUNTIF($B$2:B82,B82)</f>
        <v>2</v>
      </c>
      <c r="E82" t="str">
        <f t="shared" si="3"/>
        <v>171.2</v>
      </c>
      <c r="F82" s="417" t="s">
        <v>503</v>
      </c>
      <c r="G82" s="417" t="s">
        <v>503</v>
      </c>
      <c r="H82" s="417" t="s">
        <v>1702</v>
      </c>
      <c r="I82" s="417" t="s">
        <v>1703</v>
      </c>
      <c r="J82" s="417" t="s">
        <v>1619</v>
      </c>
      <c r="K82" s="417" t="s">
        <v>1355</v>
      </c>
      <c r="L82" s="417" t="s">
        <v>794</v>
      </c>
      <c r="M82" s="417"/>
      <c r="N82" s="417"/>
      <c r="O82" s="417"/>
      <c r="P82" s="420">
        <v>2044</v>
      </c>
      <c r="Q82" s="417" t="s">
        <v>52</v>
      </c>
      <c r="R82" s="417" t="s">
        <v>52</v>
      </c>
      <c r="S82" s="417" t="s">
        <v>52</v>
      </c>
      <c r="T82" s="417" t="s">
        <v>52</v>
      </c>
    </row>
    <row r="83" spans="1:20" x14ac:dyDescent="0.25">
      <c r="A83" s="417" t="s">
        <v>482</v>
      </c>
      <c r="B83" s="418">
        <v>171</v>
      </c>
      <c r="C83">
        <f t="shared" si="2"/>
        <v>6</v>
      </c>
      <c r="D83">
        <f>COUNTIF($B$2:B83,B83)</f>
        <v>3</v>
      </c>
      <c r="E83" t="str">
        <f t="shared" si="3"/>
        <v>171.3</v>
      </c>
      <c r="F83" s="417" t="s">
        <v>503</v>
      </c>
      <c r="G83" s="417" t="s">
        <v>503</v>
      </c>
      <c r="H83" s="417" t="s">
        <v>1704</v>
      </c>
      <c r="I83" s="417" t="s">
        <v>1468</v>
      </c>
      <c r="J83" s="417" t="s">
        <v>1619</v>
      </c>
      <c r="K83" s="417" t="s">
        <v>1346</v>
      </c>
      <c r="L83" s="417" t="s">
        <v>794</v>
      </c>
      <c r="M83" s="417"/>
      <c r="N83" s="417"/>
      <c r="O83" s="417"/>
      <c r="P83" s="420">
        <v>2035</v>
      </c>
      <c r="Q83" s="417" t="s">
        <v>52</v>
      </c>
      <c r="R83" s="417" t="s">
        <v>52</v>
      </c>
      <c r="S83" s="417" t="s">
        <v>52</v>
      </c>
      <c r="T83" s="417" t="s">
        <v>52</v>
      </c>
    </row>
    <row r="84" spans="1:20" x14ac:dyDescent="0.25">
      <c r="A84" s="417" t="s">
        <v>482</v>
      </c>
      <c r="B84" s="418">
        <v>171</v>
      </c>
      <c r="C84">
        <f t="shared" si="2"/>
        <v>6</v>
      </c>
      <c r="D84">
        <f>COUNTIF($B$2:B84,B84)</f>
        <v>4</v>
      </c>
      <c r="E84" t="str">
        <f t="shared" si="3"/>
        <v>171.4</v>
      </c>
      <c r="F84" s="417" t="s">
        <v>503</v>
      </c>
      <c r="G84" s="417" t="s">
        <v>503</v>
      </c>
      <c r="H84" s="417" t="s">
        <v>1705</v>
      </c>
      <c r="I84" s="417" t="s">
        <v>1468</v>
      </c>
      <c r="J84" s="417" t="s">
        <v>1619</v>
      </c>
      <c r="K84" s="417" t="s">
        <v>1346</v>
      </c>
      <c r="L84" s="417" t="s">
        <v>794</v>
      </c>
      <c r="M84" s="417"/>
      <c r="N84" s="417"/>
      <c r="O84" s="417"/>
      <c r="P84" s="420">
        <v>2035</v>
      </c>
      <c r="Q84" s="417" t="s">
        <v>52</v>
      </c>
      <c r="R84" s="417" t="s">
        <v>52</v>
      </c>
      <c r="S84" s="417" t="s">
        <v>52</v>
      </c>
      <c r="T84" s="417" t="s">
        <v>52</v>
      </c>
    </row>
    <row r="85" spans="1:20" x14ac:dyDescent="0.25">
      <c r="A85" s="417" t="s">
        <v>482</v>
      </c>
      <c r="B85" s="418">
        <v>171</v>
      </c>
      <c r="C85">
        <f t="shared" si="2"/>
        <v>6</v>
      </c>
      <c r="D85">
        <f>COUNTIF($B$2:B85,B85)</f>
        <v>5</v>
      </c>
      <c r="E85" t="str">
        <f t="shared" si="3"/>
        <v>171.5</v>
      </c>
      <c r="F85" s="417" t="s">
        <v>503</v>
      </c>
      <c r="G85" s="417" t="s">
        <v>503</v>
      </c>
      <c r="H85" s="417" t="s">
        <v>1706</v>
      </c>
      <c r="I85" s="417" t="s">
        <v>1468</v>
      </c>
      <c r="J85" s="417" t="s">
        <v>1619</v>
      </c>
      <c r="K85" s="417" t="s">
        <v>1346</v>
      </c>
      <c r="L85" s="417" t="s">
        <v>794</v>
      </c>
      <c r="M85" s="417"/>
      <c r="N85" s="417"/>
      <c r="O85" s="417"/>
      <c r="P85" s="420">
        <v>2035</v>
      </c>
      <c r="Q85" s="417" t="s">
        <v>52</v>
      </c>
      <c r="R85" s="417" t="s">
        <v>52</v>
      </c>
      <c r="S85" s="417" t="s">
        <v>52</v>
      </c>
      <c r="T85" s="417" t="s">
        <v>52</v>
      </c>
    </row>
    <row r="86" spans="1:20" x14ac:dyDescent="0.25">
      <c r="A86" s="417" t="s">
        <v>482</v>
      </c>
      <c r="B86" s="418">
        <v>171</v>
      </c>
      <c r="C86">
        <f t="shared" si="2"/>
        <v>6</v>
      </c>
      <c r="D86">
        <f>COUNTIF($B$2:B86,B86)</f>
        <v>6</v>
      </c>
      <c r="E86" t="str">
        <f t="shared" si="3"/>
        <v>171.6</v>
      </c>
      <c r="F86" s="417" t="s">
        <v>503</v>
      </c>
      <c r="G86" s="417" t="s">
        <v>503</v>
      </c>
      <c r="H86" s="417" t="s">
        <v>1707</v>
      </c>
      <c r="I86" s="417" t="s">
        <v>1468</v>
      </c>
      <c r="J86" s="417" t="s">
        <v>1619</v>
      </c>
      <c r="K86" s="417" t="s">
        <v>1346</v>
      </c>
      <c r="L86" s="417" t="s">
        <v>794</v>
      </c>
      <c r="M86" s="417"/>
      <c r="N86" s="417"/>
      <c r="O86" s="417"/>
      <c r="P86" s="420">
        <v>2035</v>
      </c>
      <c r="Q86" s="417" t="s">
        <v>52</v>
      </c>
      <c r="R86" s="417" t="s">
        <v>52</v>
      </c>
      <c r="S86" s="417" t="s">
        <v>52</v>
      </c>
      <c r="T86" s="417" t="s">
        <v>52</v>
      </c>
    </row>
    <row r="87" spans="1:20" x14ac:dyDescent="0.25">
      <c r="A87" s="417" t="s">
        <v>482</v>
      </c>
      <c r="B87" s="418">
        <v>172</v>
      </c>
      <c r="C87">
        <f t="shared" si="2"/>
        <v>3</v>
      </c>
      <c r="D87">
        <f>COUNTIF($B$2:B87,B87)</f>
        <v>1</v>
      </c>
      <c r="E87" t="str">
        <f t="shared" si="3"/>
        <v>172.1</v>
      </c>
      <c r="F87" s="417" t="s">
        <v>509</v>
      </c>
      <c r="G87" s="417" t="s">
        <v>503</v>
      </c>
      <c r="H87" s="417" t="s">
        <v>1469</v>
      </c>
      <c r="I87" s="417" t="s">
        <v>1470</v>
      </c>
      <c r="J87" s="417" t="s">
        <v>1609</v>
      </c>
      <c r="K87" s="417" t="s">
        <v>1355</v>
      </c>
      <c r="L87" s="417" t="s">
        <v>88</v>
      </c>
      <c r="M87" s="417">
        <v>1</v>
      </c>
      <c r="N87" s="422" t="s">
        <v>1688</v>
      </c>
      <c r="O87" s="417" t="s">
        <v>1611</v>
      </c>
      <c r="P87" s="419">
        <v>2035</v>
      </c>
      <c r="Q87" s="417" t="s">
        <v>1643</v>
      </c>
      <c r="R87" s="417" t="s">
        <v>1651</v>
      </c>
      <c r="S87" s="417"/>
      <c r="T87" s="417"/>
    </row>
    <row r="88" spans="1:20" x14ac:dyDescent="0.25">
      <c r="A88" s="417" t="s">
        <v>482</v>
      </c>
      <c r="B88" s="418">
        <v>172</v>
      </c>
      <c r="C88">
        <f t="shared" si="2"/>
        <v>3</v>
      </c>
      <c r="D88">
        <f>COUNTIF($B$2:B88,B88)</f>
        <v>2</v>
      </c>
      <c r="E88" t="str">
        <f t="shared" si="3"/>
        <v>172.2</v>
      </c>
      <c r="F88" s="417" t="s">
        <v>509</v>
      </c>
      <c r="G88" s="417" t="s">
        <v>503</v>
      </c>
      <c r="H88" s="417" t="s">
        <v>1708</v>
      </c>
      <c r="I88" s="417" t="s">
        <v>1470</v>
      </c>
      <c r="J88" s="417" t="s">
        <v>1619</v>
      </c>
      <c r="K88" s="417" t="s">
        <v>1346</v>
      </c>
      <c r="L88" s="417" t="s">
        <v>88</v>
      </c>
      <c r="M88" s="417"/>
      <c r="N88" s="417"/>
      <c r="O88" s="417"/>
      <c r="P88" s="420">
        <v>2035</v>
      </c>
      <c r="Q88" s="417" t="s">
        <v>52</v>
      </c>
      <c r="R88" s="417" t="s">
        <v>52</v>
      </c>
      <c r="S88" s="417" t="s">
        <v>52</v>
      </c>
      <c r="T88" s="417" t="s">
        <v>52</v>
      </c>
    </row>
    <row r="89" spans="1:20" x14ac:dyDescent="0.25">
      <c r="A89" s="417" t="s">
        <v>482</v>
      </c>
      <c r="B89" s="418">
        <v>172</v>
      </c>
      <c r="C89">
        <f t="shared" si="2"/>
        <v>3</v>
      </c>
      <c r="D89">
        <f>COUNTIF($B$2:B89,B89)</f>
        <v>3</v>
      </c>
      <c r="E89" t="str">
        <f t="shared" si="3"/>
        <v>172.3</v>
      </c>
      <c r="F89" s="417" t="s">
        <v>509</v>
      </c>
      <c r="G89" s="417" t="s">
        <v>503</v>
      </c>
      <c r="H89" s="417" t="s">
        <v>1709</v>
      </c>
      <c r="I89" s="417" t="s">
        <v>1710</v>
      </c>
      <c r="J89" s="417" t="s">
        <v>1619</v>
      </c>
      <c r="K89" s="417" t="s">
        <v>1346</v>
      </c>
      <c r="L89" s="417" t="s">
        <v>88</v>
      </c>
      <c r="M89" s="417"/>
      <c r="N89" s="417"/>
      <c r="O89" s="417"/>
      <c r="P89" s="420">
        <v>2048</v>
      </c>
      <c r="Q89" s="417" t="s">
        <v>52</v>
      </c>
      <c r="R89" s="417" t="s">
        <v>52</v>
      </c>
      <c r="S89" s="417" t="s">
        <v>52</v>
      </c>
      <c r="T89" s="417" t="s">
        <v>52</v>
      </c>
    </row>
    <row r="90" spans="1:20" x14ac:dyDescent="0.25">
      <c r="A90" s="417" t="s">
        <v>274</v>
      </c>
      <c r="B90" s="418">
        <v>174</v>
      </c>
      <c r="C90">
        <f t="shared" si="2"/>
        <v>1</v>
      </c>
      <c r="D90">
        <f>COUNTIF($B$2:B90,B90)</f>
        <v>1</v>
      </c>
      <c r="E90" t="str">
        <f t="shared" si="3"/>
        <v>174.1</v>
      </c>
      <c r="F90" s="417" t="s">
        <v>303</v>
      </c>
      <c r="G90" s="417" t="s">
        <v>1711</v>
      </c>
      <c r="H90" s="417" t="s">
        <v>1385</v>
      </c>
      <c r="I90" s="417" t="s">
        <v>1386</v>
      </c>
      <c r="J90" s="417" t="s">
        <v>1609</v>
      </c>
      <c r="K90" s="417" t="s">
        <v>1334</v>
      </c>
      <c r="L90" s="417" t="s">
        <v>794</v>
      </c>
      <c r="M90" s="417"/>
      <c r="N90" s="417"/>
      <c r="O90" s="417"/>
      <c r="P90" s="420">
        <v>2074</v>
      </c>
      <c r="Q90" s="417" t="s">
        <v>1620</v>
      </c>
      <c r="R90" s="417" t="s">
        <v>1633</v>
      </c>
      <c r="S90" s="417" t="s">
        <v>1712</v>
      </c>
      <c r="T90" s="417" t="s">
        <v>1713</v>
      </c>
    </row>
    <row r="91" spans="1:20" x14ac:dyDescent="0.25">
      <c r="A91" s="417" t="s">
        <v>274</v>
      </c>
      <c r="B91" s="418">
        <v>176</v>
      </c>
      <c r="C91">
        <f t="shared" si="2"/>
        <v>1</v>
      </c>
      <c r="D91">
        <f>COUNTIF($B$2:B91,B91)</f>
        <v>1</v>
      </c>
      <c r="E91" t="str">
        <f t="shared" si="3"/>
        <v>176.1</v>
      </c>
      <c r="F91" s="417" t="s">
        <v>305</v>
      </c>
      <c r="G91" s="417" t="s">
        <v>1711</v>
      </c>
      <c r="H91" s="417" t="s">
        <v>1385</v>
      </c>
      <c r="I91" s="417" t="s">
        <v>1386</v>
      </c>
      <c r="J91" s="417" t="s">
        <v>1609</v>
      </c>
      <c r="K91" s="417" t="s">
        <v>1334</v>
      </c>
      <c r="L91" s="417" t="s">
        <v>794</v>
      </c>
      <c r="M91" s="417"/>
      <c r="N91" s="417"/>
      <c r="O91" s="417"/>
      <c r="P91" s="420">
        <v>2074</v>
      </c>
      <c r="Q91" s="417" t="s">
        <v>1620</v>
      </c>
      <c r="R91" s="417" t="s">
        <v>1633</v>
      </c>
      <c r="S91" s="417" t="s">
        <v>1712</v>
      </c>
      <c r="T91" s="417" t="s">
        <v>1713</v>
      </c>
    </row>
    <row r="92" spans="1:20" x14ac:dyDescent="0.25">
      <c r="A92" s="417" t="s">
        <v>274</v>
      </c>
      <c r="B92" s="418">
        <v>177</v>
      </c>
      <c r="C92">
        <f t="shared" si="2"/>
        <v>2</v>
      </c>
      <c r="D92">
        <f>COUNTIF($B$2:B92,B92)</f>
        <v>1</v>
      </c>
      <c r="E92" t="str">
        <f t="shared" si="3"/>
        <v>177.1</v>
      </c>
      <c r="F92" s="417" t="s">
        <v>306</v>
      </c>
      <c r="G92" s="417" t="s">
        <v>1711</v>
      </c>
      <c r="H92" s="417" t="s">
        <v>1385</v>
      </c>
      <c r="I92" s="417" t="s">
        <v>1386</v>
      </c>
      <c r="J92" s="417" t="s">
        <v>1609</v>
      </c>
      <c r="K92" s="417" t="s">
        <v>1334</v>
      </c>
      <c r="L92" s="417" t="s">
        <v>794</v>
      </c>
      <c r="M92" s="417"/>
      <c r="N92" s="417"/>
      <c r="O92" s="417"/>
      <c r="P92" s="420">
        <v>2074</v>
      </c>
      <c r="Q92" s="417" t="s">
        <v>1620</v>
      </c>
      <c r="R92" s="417" t="s">
        <v>1633</v>
      </c>
      <c r="S92" s="417" t="s">
        <v>1712</v>
      </c>
      <c r="T92" s="417" t="s">
        <v>1713</v>
      </c>
    </row>
    <row r="93" spans="1:20" x14ac:dyDescent="0.25">
      <c r="A93" s="417" t="s">
        <v>274</v>
      </c>
      <c r="B93" s="418">
        <v>177</v>
      </c>
      <c r="C93">
        <f t="shared" si="2"/>
        <v>2</v>
      </c>
      <c r="D93">
        <f>COUNTIF($B$2:B93,B93)</f>
        <v>2</v>
      </c>
      <c r="E93" t="str">
        <f t="shared" si="3"/>
        <v>177.2</v>
      </c>
      <c r="F93" s="417" t="s">
        <v>306</v>
      </c>
      <c r="G93" s="417" t="s">
        <v>1711</v>
      </c>
      <c r="H93" s="417" t="s">
        <v>1714</v>
      </c>
      <c r="I93" s="417" t="s">
        <v>1386</v>
      </c>
      <c r="J93" s="417" t="s">
        <v>1619</v>
      </c>
      <c r="K93" s="417" t="s">
        <v>1376</v>
      </c>
      <c r="L93" s="417" t="s">
        <v>794</v>
      </c>
      <c r="M93" s="417"/>
      <c r="N93" s="417"/>
      <c r="O93" s="417"/>
      <c r="P93" s="420">
        <v>2074</v>
      </c>
      <c r="Q93" s="417" t="s">
        <v>52</v>
      </c>
      <c r="R93" s="417" t="s">
        <v>52</v>
      </c>
      <c r="S93" s="417" t="s">
        <v>52</v>
      </c>
      <c r="T93" s="417" t="s">
        <v>52</v>
      </c>
    </row>
    <row r="94" spans="1:20" x14ac:dyDescent="0.25">
      <c r="A94" s="417" t="s">
        <v>274</v>
      </c>
      <c r="B94" s="418">
        <v>185</v>
      </c>
      <c r="C94">
        <f t="shared" si="2"/>
        <v>1</v>
      </c>
      <c r="D94">
        <f>COUNTIF($B$2:B94,B94)</f>
        <v>1</v>
      </c>
      <c r="E94" t="str">
        <f t="shared" si="3"/>
        <v>185.1</v>
      </c>
      <c r="F94" s="417" t="s">
        <v>312</v>
      </c>
      <c r="G94" s="417" t="s">
        <v>1711</v>
      </c>
      <c r="H94" s="417" t="s">
        <v>1387</v>
      </c>
      <c r="I94" s="417" t="s">
        <v>1388</v>
      </c>
      <c r="J94" s="417" t="s">
        <v>1609</v>
      </c>
      <c r="K94" s="417" t="s">
        <v>1334</v>
      </c>
      <c r="L94" s="417" t="s">
        <v>794</v>
      </c>
      <c r="M94" s="417"/>
      <c r="N94" s="417"/>
      <c r="O94" s="417"/>
      <c r="P94" s="420">
        <v>2050</v>
      </c>
      <c r="Q94" s="417" t="s">
        <v>1620</v>
      </c>
      <c r="R94" s="417" t="s">
        <v>1633</v>
      </c>
      <c r="S94" s="417" t="s">
        <v>1712</v>
      </c>
      <c r="T94" s="417" t="s">
        <v>1715</v>
      </c>
    </row>
    <row r="95" spans="1:20" x14ac:dyDescent="0.25">
      <c r="A95" s="417" t="s">
        <v>274</v>
      </c>
      <c r="B95" s="418">
        <v>195</v>
      </c>
      <c r="C95">
        <f t="shared" si="2"/>
        <v>2</v>
      </c>
      <c r="D95">
        <f>COUNTIF($B$2:B95,B95)</f>
        <v>1</v>
      </c>
      <c r="E95" t="str">
        <f t="shared" si="3"/>
        <v>195.1</v>
      </c>
      <c r="F95" s="417" t="s">
        <v>322</v>
      </c>
      <c r="G95" s="417" t="s">
        <v>323</v>
      </c>
      <c r="H95" s="417" t="s">
        <v>1716</v>
      </c>
      <c r="I95" s="417" t="s">
        <v>1390</v>
      </c>
      <c r="J95" s="417" t="s">
        <v>1619</v>
      </c>
      <c r="K95" s="417" t="s">
        <v>1376</v>
      </c>
      <c r="L95" s="417" t="s">
        <v>799</v>
      </c>
      <c r="M95" s="417"/>
      <c r="N95" s="417"/>
      <c r="O95" s="417"/>
      <c r="P95" s="420">
        <v>2070</v>
      </c>
      <c r="Q95" s="417" t="s">
        <v>52</v>
      </c>
      <c r="R95" s="417" t="s">
        <v>52</v>
      </c>
      <c r="S95" s="417" t="s">
        <v>52</v>
      </c>
      <c r="T95" s="417" t="s">
        <v>52</v>
      </c>
    </row>
    <row r="96" spans="1:20" x14ac:dyDescent="0.25">
      <c r="A96" s="417" t="s">
        <v>274</v>
      </c>
      <c r="B96" s="418">
        <v>195</v>
      </c>
      <c r="C96">
        <f t="shared" si="2"/>
        <v>2</v>
      </c>
      <c r="D96">
        <f>COUNTIF($B$2:B96,B96)</f>
        <v>2</v>
      </c>
      <c r="E96" t="str">
        <f t="shared" si="3"/>
        <v>195.2</v>
      </c>
      <c r="F96" s="417" t="s">
        <v>322</v>
      </c>
      <c r="G96" s="417" t="s">
        <v>323</v>
      </c>
      <c r="H96" s="417" t="s">
        <v>1717</v>
      </c>
      <c r="I96" s="417" t="s">
        <v>1718</v>
      </c>
      <c r="J96" s="417" t="s">
        <v>1619</v>
      </c>
      <c r="K96" s="417" t="s">
        <v>1355</v>
      </c>
      <c r="L96" s="417" t="s">
        <v>799</v>
      </c>
      <c r="M96" s="417"/>
      <c r="N96" s="417"/>
      <c r="O96" s="417"/>
      <c r="P96" s="420">
        <v>2070</v>
      </c>
      <c r="Q96" s="417" t="s">
        <v>52</v>
      </c>
      <c r="R96" s="417" t="s">
        <v>52</v>
      </c>
      <c r="S96" s="417" t="s">
        <v>52</v>
      </c>
      <c r="T96" s="417" t="s">
        <v>52</v>
      </c>
    </row>
    <row r="97" spans="1:20" x14ac:dyDescent="0.25">
      <c r="A97" s="417" t="s">
        <v>92</v>
      </c>
      <c r="B97" s="418">
        <v>223</v>
      </c>
      <c r="C97">
        <f t="shared" si="2"/>
        <v>1</v>
      </c>
      <c r="D97">
        <f>COUNTIF($B$2:B97,B97)</f>
        <v>1</v>
      </c>
      <c r="E97" t="str">
        <f t="shared" si="3"/>
        <v>223.1</v>
      </c>
      <c r="F97" s="417" t="s">
        <v>148</v>
      </c>
      <c r="G97" s="417" t="s">
        <v>149</v>
      </c>
      <c r="H97" s="417" t="s">
        <v>1360</v>
      </c>
      <c r="I97" s="417" t="s">
        <v>1361</v>
      </c>
      <c r="J97" s="417" t="s">
        <v>1609</v>
      </c>
      <c r="K97" s="417" t="s">
        <v>1355</v>
      </c>
      <c r="L97" s="417" t="s">
        <v>799</v>
      </c>
      <c r="M97" s="417" t="s">
        <v>1610</v>
      </c>
      <c r="N97" s="417"/>
      <c r="O97" s="417" t="s">
        <v>1611</v>
      </c>
      <c r="P97" s="420">
        <v>2004</v>
      </c>
      <c r="Q97" s="417" t="s">
        <v>1612</v>
      </c>
      <c r="R97" s="417" t="s">
        <v>52</v>
      </c>
      <c r="S97" s="417"/>
      <c r="T97" s="417"/>
    </row>
    <row r="98" spans="1:20" x14ac:dyDescent="0.25">
      <c r="A98" s="417" t="s">
        <v>573</v>
      </c>
      <c r="B98" s="418">
        <v>226</v>
      </c>
      <c r="C98">
        <f t="shared" si="2"/>
        <v>1</v>
      </c>
      <c r="D98">
        <f>COUNTIF($B$2:B98,B98)</f>
        <v>1</v>
      </c>
      <c r="E98" t="str">
        <f t="shared" si="3"/>
        <v>226.1</v>
      </c>
      <c r="F98" s="417" t="s">
        <v>609</v>
      </c>
      <c r="G98" s="417" t="s">
        <v>610</v>
      </c>
      <c r="H98" s="417" t="s">
        <v>1491</v>
      </c>
      <c r="I98" s="417" t="s">
        <v>1492</v>
      </c>
      <c r="J98" s="417" t="s">
        <v>1609</v>
      </c>
      <c r="K98" s="417" t="s">
        <v>1376</v>
      </c>
      <c r="L98" s="417" t="s">
        <v>730</v>
      </c>
      <c r="M98" s="417"/>
      <c r="N98" s="417"/>
      <c r="O98" s="417"/>
      <c r="P98" s="419">
        <v>2049</v>
      </c>
      <c r="Q98" s="417" t="s">
        <v>1614</v>
      </c>
      <c r="R98" s="417" t="s">
        <v>1651</v>
      </c>
      <c r="S98" s="417" t="s">
        <v>1671</v>
      </c>
      <c r="T98" s="417" t="s">
        <v>52</v>
      </c>
    </row>
    <row r="99" spans="1:20" x14ac:dyDescent="0.25">
      <c r="A99" s="417" t="s">
        <v>482</v>
      </c>
      <c r="B99" s="418">
        <v>227</v>
      </c>
      <c r="C99">
        <f t="shared" si="2"/>
        <v>2</v>
      </c>
      <c r="D99">
        <f>COUNTIF($B$2:B99,B99)</f>
        <v>1</v>
      </c>
      <c r="E99" t="str">
        <f t="shared" si="3"/>
        <v>227.1</v>
      </c>
      <c r="F99" s="417" t="s">
        <v>513</v>
      </c>
      <c r="G99" s="417" t="s">
        <v>514</v>
      </c>
      <c r="H99" s="417" t="s">
        <v>1719</v>
      </c>
      <c r="I99" s="417" t="s">
        <v>514</v>
      </c>
      <c r="J99" s="417" t="s">
        <v>1609</v>
      </c>
      <c r="K99" s="417" t="s">
        <v>1346</v>
      </c>
      <c r="L99" s="417" t="s">
        <v>794</v>
      </c>
      <c r="M99" s="417">
        <v>1</v>
      </c>
      <c r="N99" s="422" t="s">
        <v>1688</v>
      </c>
      <c r="O99" s="417" t="s">
        <v>1611</v>
      </c>
      <c r="P99" s="419">
        <v>2035</v>
      </c>
      <c r="Q99" s="417" t="s">
        <v>1632</v>
      </c>
      <c r="R99" s="417" t="s">
        <v>1689</v>
      </c>
      <c r="S99" s="417"/>
      <c r="T99" s="417"/>
    </row>
    <row r="100" spans="1:20" x14ac:dyDescent="0.25">
      <c r="A100" s="417" t="s">
        <v>482</v>
      </c>
      <c r="B100" s="418">
        <v>227</v>
      </c>
      <c r="C100">
        <f t="shared" si="2"/>
        <v>2</v>
      </c>
      <c r="D100">
        <f>COUNTIF($B$2:B100,B100)</f>
        <v>2</v>
      </c>
      <c r="E100" t="str">
        <f t="shared" si="3"/>
        <v>227.2</v>
      </c>
      <c r="F100" s="417" t="s">
        <v>513</v>
      </c>
      <c r="G100" s="417" t="s">
        <v>514</v>
      </c>
      <c r="H100" s="417" t="s">
        <v>1720</v>
      </c>
      <c r="I100" s="417" t="s">
        <v>1710</v>
      </c>
      <c r="J100" s="417" t="s">
        <v>1609</v>
      </c>
      <c r="K100" s="417" t="s">
        <v>1355</v>
      </c>
      <c r="L100" s="417" t="s">
        <v>794</v>
      </c>
      <c r="M100" s="417">
        <v>1</v>
      </c>
      <c r="N100" s="422" t="s">
        <v>1688</v>
      </c>
      <c r="O100" s="417"/>
      <c r="P100" s="419">
        <v>2048</v>
      </c>
      <c r="Q100" s="417" t="s">
        <v>1632</v>
      </c>
      <c r="R100" s="417" t="s">
        <v>1689</v>
      </c>
      <c r="S100" s="417"/>
      <c r="T100" s="417"/>
    </row>
    <row r="101" spans="1:20" x14ac:dyDescent="0.25">
      <c r="A101" s="417" t="s">
        <v>573</v>
      </c>
      <c r="B101" s="418">
        <v>302</v>
      </c>
      <c r="C101">
        <f t="shared" si="2"/>
        <v>1</v>
      </c>
      <c r="D101">
        <f>COUNTIF($B$2:B101,B101)</f>
        <v>1</v>
      </c>
      <c r="E101" t="str">
        <f t="shared" si="3"/>
        <v>302.1</v>
      </c>
      <c r="F101" s="417" t="s">
        <v>613</v>
      </c>
      <c r="G101" s="417" t="s">
        <v>589</v>
      </c>
      <c r="H101" s="417" t="s">
        <v>1488</v>
      </c>
      <c r="I101" s="417" t="s">
        <v>52</v>
      </c>
      <c r="J101" s="417" t="s">
        <v>1609</v>
      </c>
      <c r="K101" s="417" t="s">
        <v>1376</v>
      </c>
      <c r="L101" s="417" t="s">
        <v>45</v>
      </c>
      <c r="M101" s="417"/>
      <c r="N101" s="417"/>
      <c r="O101" s="417"/>
      <c r="P101" s="417" t="s">
        <v>52</v>
      </c>
      <c r="Q101" s="417" t="s">
        <v>1614</v>
      </c>
      <c r="R101" s="417" t="s">
        <v>1651</v>
      </c>
      <c r="S101" s="417" t="s">
        <v>1671</v>
      </c>
      <c r="T101" s="417" t="s">
        <v>52</v>
      </c>
    </row>
    <row r="102" spans="1:20" x14ac:dyDescent="0.25">
      <c r="A102" s="417" t="s">
        <v>92</v>
      </c>
      <c r="B102" s="418">
        <v>319</v>
      </c>
      <c r="C102">
        <f t="shared" si="2"/>
        <v>1</v>
      </c>
      <c r="D102">
        <f>COUNTIF($B$2:B102,B102)</f>
        <v>1</v>
      </c>
      <c r="E102" t="str">
        <f t="shared" si="3"/>
        <v>319.1</v>
      </c>
      <c r="F102" s="417" t="s">
        <v>161</v>
      </c>
      <c r="G102" s="417" t="s">
        <v>94</v>
      </c>
      <c r="H102" s="417" t="s">
        <v>1721</v>
      </c>
      <c r="I102" s="417" t="s">
        <v>1722</v>
      </c>
      <c r="J102" s="417" t="s">
        <v>1619</v>
      </c>
      <c r="K102" s="417" t="s">
        <v>1376</v>
      </c>
      <c r="L102" s="417" t="s">
        <v>45</v>
      </c>
      <c r="M102" s="417"/>
      <c r="N102" s="417"/>
      <c r="O102" s="417"/>
      <c r="P102" s="420">
        <v>2038</v>
      </c>
      <c r="Q102" s="417" t="s">
        <v>52</v>
      </c>
      <c r="R102" s="417" t="s">
        <v>52</v>
      </c>
      <c r="S102" s="417" t="s">
        <v>52</v>
      </c>
      <c r="T102" s="417" t="s">
        <v>52</v>
      </c>
    </row>
    <row r="103" spans="1:20" x14ac:dyDescent="0.25">
      <c r="A103" s="417" t="s">
        <v>92</v>
      </c>
      <c r="B103" s="418">
        <v>325</v>
      </c>
      <c r="C103">
        <f t="shared" si="2"/>
        <v>1</v>
      </c>
      <c r="D103">
        <f>COUNTIF($B$2:B103,B103)</f>
        <v>1</v>
      </c>
      <c r="E103" t="str">
        <f t="shared" si="3"/>
        <v>325.1</v>
      </c>
      <c r="F103" s="417" t="s">
        <v>174</v>
      </c>
      <c r="G103" s="417" t="s">
        <v>125</v>
      </c>
      <c r="H103" s="417" t="s">
        <v>1723</v>
      </c>
      <c r="I103" s="417" t="s">
        <v>1724</v>
      </c>
      <c r="J103" s="417" t="s">
        <v>1619</v>
      </c>
      <c r="K103" s="417" t="s">
        <v>1376</v>
      </c>
      <c r="L103" s="417" t="s">
        <v>45</v>
      </c>
      <c r="M103" s="417"/>
      <c r="N103" s="417"/>
      <c r="O103" s="417"/>
      <c r="P103" s="420">
        <v>2073</v>
      </c>
      <c r="Q103" s="417" t="s">
        <v>52</v>
      </c>
      <c r="R103" s="417" t="s">
        <v>52</v>
      </c>
      <c r="S103" s="417" t="s">
        <v>52</v>
      </c>
      <c r="T103" s="417" t="s">
        <v>52</v>
      </c>
    </row>
    <row r="104" spans="1:20" x14ac:dyDescent="0.25">
      <c r="A104" s="417" t="s">
        <v>625</v>
      </c>
      <c r="B104" s="418">
        <v>329</v>
      </c>
      <c r="C104">
        <f t="shared" si="2"/>
        <v>1</v>
      </c>
      <c r="D104">
        <f>COUNTIF($B$2:B104,B104)</f>
        <v>1</v>
      </c>
      <c r="E104" t="str">
        <f t="shared" si="3"/>
        <v>329.1</v>
      </c>
      <c r="F104" s="417" t="s">
        <v>665</v>
      </c>
      <c r="G104" s="417" t="s">
        <v>666</v>
      </c>
      <c r="H104" s="417" t="s">
        <v>1503</v>
      </c>
      <c r="I104" s="417" t="s">
        <v>1504</v>
      </c>
      <c r="J104" s="417" t="s">
        <v>1609</v>
      </c>
      <c r="K104" s="417" t="s">
        <v>1376</v>
      </c>
      <c r="L104" s="417" t="s">
        <v>1725</v>
      </c>
      <c r="M104" s="417"/>
      <c r="N104" s="417"/>
      <c r="O104" s="417"/>
      <c r="P104" s="420">
        <v>2052</v>
      </c>
      <c r="Q104" s="417" t="s">
        <v>13</v>
      </c>
      <c r="R104" s="417" t="s">
        <v>52</v>
      </c>
      <c r="S104" s="417" t="s">
        <v>52</v>
      </c>
      <c r="T104" s="417" t="s">
        <v>52</v>
      </c>
    </row>
    <row r="105" spans="1:20" x14ac:dyDescent="0.25">
      <c r="A105" s="417" t="s">
        <v>625</v>
      </c>
      <c r="B105" s="418">
        <v>332</v>
      </c>
      <c r="C105">
        <f t="shared" si="2"/>
        <v>2</v>
      </c>
      <c r="D105">
        <f>COUNTIF($B$2:B105,B105)</f>
        <v>1</v>
      </c>
      <c r="E105" t="str">
        <f t="shared" si="3"/>
        <v>332.1</v>
      </c>
      <c r="F105" s="417" t="s">
        <v>674</v>
      </c>
      <c r="G105" s="417" t="s">
        <v>1726</v>
      </c>
      <c r="H105" s="417" t="s">
        <v>1505</v>
      </c>
      <c r="I105" s="417" t="s">
        <v>1506</v>
      </c>
      <c r="J105" s="417" t="s">
        <v>1609</v>
      </c>
      <c r="K105" s="417" t="s">
        <v>1337</v>
      </c>
      <c r="L105" s="417" t="s">
        <v>88</v>
      </c>
      <c r="M105" s="417">
        <v>1</v>
      </c>
      <c r="N105" s="423" t="s">
        <v>1688</v>
      </c>
      <c r="O105" s="417"/>
      <c r="P105" s="420">
        <v>2055</v>
      </c>
      <c r="Q105" s="417" t="s">
        <v>1626</v>
      </c>
      <c r="R105" s="417" t="s">
        <v>1651</v>
      </c>
      <c r="S105" s="417"/>
      <c r="T105" s="417"/>
    </row>
    <row r="106" spans="1:20" x14ac:dyDescent="0.25">
      <c r="A106" s="417" t="s">
        <v>625</v>
      </c>
      <c r="B106" s="418">
        <v>332</v>
      </c>
      <c r="C106">
        <f t="shared" si="2"/>
        <v>2</v>
      </c>
      <c r="D106">
        <f>COUNTIF($B$2:B106,B106)</f>
        <v>2</v>
      </c>
      <c r="E106" t="str">
        <f t="shared" si="3"/>
        <v>332.2</v>
      </c>
      <c r="F106" s="417" t="s">
        <v>674</v>
      </c>
      <c r="G106" s="417" t="s">
        <v>1726</v>
      </c>
      <c r="H106" s="417" t="s">
        <v>1727</v>
      </c>
      <c r="I106" s="417" t="s">
        <v>1506</v>
      </c>
      <c r="J106" s="417" t="s">
        <v>1619</v>
      </c>
      <c r="K106" s="417" t="s">
        <v>1376</v>
      </c>
      <c r="L106" s="417" t="s">
        <v>88</v>
      </c>
      <c r="M106" s="417">
        <v>1</v>
      </c>
      <c r="N106" s="423" t="s">
        <v>1688</v>
      </c>
      <c r="O106" s="417"/>
      <c r="P106" s="420">
        <v>2055</v>
      </c>
      <c r="Q106" s="417" t="s">
        <v>52</v>
      </c>
      <c r="R106" s="417" t="s">
        <v>52</v>
      </c>
      <c r="S106" s="417"/>
      <c r="T106" s="417"/>
    </row>
    <row r="107" spans="1:20" x14ac:dyDescent="0.25">
      <c r="A107" s="417" t="s">
        <v>625</v>
      </c>
      <c r="B107" s="418">
        <v>333</v>
      </c>
      <c r="C107">
        <f t="shared" si="2"/>
        <v>2</v>
      </c>
      <c r="D107">
        <f>COUNTIF($B$2:B107,B107)</f>
        <v>1</v>
      </c>
      <c r="E107" t="str">
        <f t="shared" si="3"/>
        <v>333.1</v>
      </c>
      <c r="F107" s="417" t="s">
        <v>677</v>
      </c>
      <c r="G107" s="417" t="s">
        <v>675</v>
      </c>
      <c r="H107" s="417" t="s">
        <v>1728</v>
      </c>
      <c r="I107" s="417" t="s">
        <v>1507</v>
      </c>
      <c r="J107" s="417" t="s">
        <v>1609</v>
      </c>
      <c r="K107" s="417" t="s">
        <v>1376</v>
      </c>
      <c r="L107" s="417" t="s">
        <v>88</v>
      </c>
      <c r="M107" s="417"/>
      <c r="N107" s="417"/>
      <c r="O107" s="417"/>
      <c r="P107" s="419">
        <v>2027</v>
      </c>
      <c r="Q107" s="417" t="s">
        <v>13</v>
      </c>
      <c r="R107" s="417" t="s">
        <v>1729</v>
      </c>
      <c r="S107" s="417" t="s">
        <v>1730</v>
      </c>
      <c r="T107" s="417" t="s">
        <v>1731</v>
      </c>
    </row>
    <row r="108" spans="1:20" x14ac:dyDescent="0.25">
      <c r="A108" s="417" t="s">
        <v>625</v>
      </c>
      <c r="B108" s="418">
        <v>333</v>
      </c>
      <c r="C108">
        <f t="shared" si="2"/>
        <v>2</v>
      </c>
      <c r="D108">
        <f>COUNTIF($B$2:B108,B108)</f>
        <v>2</v>
      </c>
      <c r="E108" t="str">
        <f t="shared" si="3"/>
        <v>333.2</v>
      </c>
      <c r="F108" s="417" t="s">
        <v>677</v>
      </c>
      <c r="G108" s="417" t="s">
        <v>675</v>
      </c>
      <c r="H108" s="417" t="s">
        <v>1732</v>
      </c>
      <c r="I108" s="417" t="s">
        <v>1507</v>
      </c>
      <c r="J108" s="417" t="s">
        <v>1609</v>
      </c>
      <c r="K108" s="417" t="s">
        <v>1376</v>
      </c>
      <c r="L108" s="417" t="s">
        <v>88</v>
      </c>
      <c r="M108" s="417">
        <v>1</v>
      </c>
      <c r="N108" s="423"/>
      <c r="O108" s="417" t="s">
        <v>1611</v>
      </c>
      <c r="P108" s="419">
        <v>2027</v>
      </c>
      <c r="Q108" s="417" t="s">
        <v>1643</v>
      </c>
      <c r="R108" s="423" t="s">
        <v>1729</v>
      </c>
      <c r="S108" s="417"/>
      <c r="T108" s="417"/>
    </row>
    <row r="109" spans="1:20" x14ac:dyDescent="0.25">
      <c r="A109" s="417" t="s">
        <v>625</v>
      </c>
      <c r="B109" s="418">
        <v>335</v>
      </c>
      <c r="C109">
        <f t="shared" si="2"/>
        <v>2</v>
      </c>
      <c r="D109">
        <f>COUNTIF($B$2:B109,B109)</f>
        <v>1</v>
      </c>
      <c r="E109" t="str">
        <f t="shared" si="3"/>
        <v>335.1</v>
      </c>
      <c r="F109" s="417" t="s">
        <v>682</v>
      </c>
      <c r="G109" s="417" t="s">
        <v>683</v>
      </c>
      <c r="H109" s="417" t="s">
        <v>1508</v>
      </c>
      <c r="I109" s="417" t="s">
        <v>1494</v>
      </c>
      <c r="J109" s="417" t="s">
        <v>1609</v>
      </c>
      <c r="K109" s="417" t="s">
        <v>1376</v>
      </c>
      <c r="L109" s="417" t="s">
        <v>88</v>
      </c>
      <c r="M109" s="417">
        <v>1</v>
      </c>
      <c r="N109" s="417"/>
      <c r="O109" s="417"/>
      <c r="P109" s="419">
        <v>2045</v>
      </c>
      <c r="Q109" s="417" t="s">
        <v>1643</v>
      </c>
      <c r="R109" s="417" t="s">
        <v>1651</v>
      </c>
      <c r="S109" s="417"/>
      <c r="T109" s="417"/>
    </row>
    <row r="110" spans="1:20" x14ac:dyDescent="0.25">
      <c r="A110" s="417" t="s">
        <v>625</v>
      </c>
      <c r="B110" s="418">
        <v>335</v>
      </c>
      <c r="C110">
        <f t="shared" si="2"/>
        <v>2</v>
      </c>
      <c r="D110">
        <f>COUNTIF($B$2:B110,B110)</f>
        <v>2</v>
      </c>
      <c r="E110" t="str">
        <f t="shared" si="3"/>
        <v>335.2</v>
      </c>
      <c r="F110" s="417" t="s">
        <v>682</v>
      </c>
      <c r="G110" s="417" t="s">
        <v>683</v>
      </c>
      <c r="H110" s="417" t="s">
        <v>1733</v>
      </c>
      <c r="I110" s="417" t="s">
        <v>1494</v>
      </c>
      <c r="J110" s="417" t="s">
        <v>1619</v>
      </c>
      <c r="K110" s="417" t="s">
        <v>1376</v>
      </c>
      <c r="L110" s="417" t="s">
        <v>88</v>
      </c>
      <c r="M110" s="417"/>
      <c r="N110" s="417"/>
      <c r="O110" s="417"/>
      <c r="P110" s="420">
        <v>2045</v>
      </c>
      <c r="Q110" s="417" t="s">
        <v>52</v>
      </c>
      <c r="R110" s="417" t="s">
        <v>52</v>
      </c>
      <c r="S110" s="417" t="s">
        <v>52</v>
      </c>
      <c r="T110" s="417" t="s">
        <v>52</v>
      </c>
    </row>
    <row r="111" spans="1:20" x14ac:dyDescent="0.25">
      <c r="A111" s="417" t="s">
        <v>625</v>
      </c>
      <c r="B111" s="418">
        <v>336</v>
      </c>
      <c r="C111">
        <f t="shared" si="2"/>
        <v>1</v>
      </c>
      <c r="D111">
        <f>COUNTIF($B$2:B111,B111)</f>
        <v>1</v>
      </c>
      <c r="E111" t="str">
        <f t="shared" si="3"/>
        <v>336.1</v>
      </c>
      <c r="F111" s="417" t="s">
        <v>685</v>
      </c>
      <c r="G111" s="417" t="s">
        <v>1734</v>
      </c>
      <c r="H111" s="417" t="s">
        <v>1509</v>
      </c>
      <c r="I111" s="417" t="s">
        <v>1510</v>
      </c>
      <c r="J111" s="417" t="s">
        <v>1609</v>
      </c>
      <c r="K111" s="417" t="s">
        <v>1346</v>
      </c>
      <c r="L111" s="417" t="s">
        <v>1725</v>
      </c>
      <c r="M111" s="417"/>
      <c r="N111" s="417"/>
      <c r="O111" s="417"/>
      <c r="P111" s="420">
        <v>2061</v>
      </c>
      <c r="Q111" s="417" t="s">
        <v>13</v>
      </c>
      <c r="R111" s="417" t="s">
        <v>52</v>
      </c>
      <c r="S111" s="417" t="s">
        <v>52</v>
      </c>
      <c r="T111" s="417" t="s">
        <v>52</v>
      </c>
    </row>
    <row r="112" spans="1:20" x14ac:dyDescent="0.25">
      <c r="A112" s="417" t="s">
        <v>376</v>
      </c>
      <c r="B112" s="418">
        <v>340</v>
      </c>
      <c r="C112">
        <f t="shared" si="2"/>
        <v>1</v>
      </c>
      <c r="D112">
        <f>COUNTIF($B$2:B112,B112)</f>
        <v>1</v>
      </c>
      <c r="E112" t="str">
        <f t="shared" si="3"/>
        <v>340.1</v>
      </c>
      <c r="F112" s="417" t="s">
        <v>386</v>
      </c>
      <c r="G112" s="417" t="s">
        <v>387</v>
      </c>
      <c r="H112" s="417" t="s">
        <v>1419</v>
      </c>
      <c r="I112" s="417" t="s">
        <v>52</v>
      </c>
      <c r="J112" s="417" t="s">
        <v>1609</v>
      </c>
      <c r="K112" s="417" t="s">
        <v>1376</v>
      </c>
      <c r="L112" s="417" t="s">
        <v>746</v>
      </c>
      <c r="M112" s="417"/>
      <c r="N112" s="417"/>
      <c r="O112" s="417"/>
      <c r="P112" s="420">
        <v>2020</v>
      </c>
      <c r="Q112" s="417" t="s">
        <v>13</v>
      </c>
      <c r="R112" s="417" t="s">
        <v>52</v>
      </c>
      <c r="S112" s="417" t="s">
        <v>52</v>
      </c>
      <c r="T112" s="417" t="s">
        <v>52</v>
      </c>
    </row>
    <row r="113" spans="1:20" x14ac:dyDescent="0.25">
      <c r="A113" s="417" t="s">
        <v>551</v>
      </c>
      <c r="B113" s="418">
        <v>351</v>
      </c>
      <c r="C113">
        <f t="shared" si="2"/>
        <v>2</v>
      </c>
      <c r="D113">
        <f>COUNTIF($B$2:B113,B113)</f>
        <v>1</v>
      </c>
      <c r="E113" t="str">
        <f t="shared" si="3"/>
        <v>351.1</v>
      </c>
      <c r="F113" s="417" t="s">
        <v>563</v>
      </c>
      <c r="G113" s="417" t="s">
        <v>564</v>
      </c>
      <c r="H113" s="417" t="s">
        <v>1484</v>
      </c>
      <c r="I113" s="417" t="s">
        <v>1485</v>
      </c>
      <c r="J113" s="417" t="s">
        <v>1609</v>
      </c>
      <c r="K113" s="417" t="s">
        <v>1355</v>
      </c>
      <c r="L113" s="417" t="s">
        <v>794</v>
      </c>
      <c r="M113" s="417"/>
      <c r="N113" s="417"/>
      <c r="O113" s="417"/>
      <c r="P113" s="419">
        <v>2045</v>
      </c>
      <c r="Q113" s="417" t="s">
        <v>1614</v>
      </c>
      <c r="R113" s="417" t="s">
        <v>1621</v>
      </c>
      <c r="S113" s="417" t="s">
        <v>1668</v>
      </c>
      <c r="T113" s="417" t="s">
        <v>1735</v>
      </c>
    </row>
    <row r="114" spans="1:20" x14ac:dyDescent="0.25">
      <c r="A114" s="417" t="s">
        <v>551</v>
      </c>
      <c r="B114" s="418">
        <v>351</v>
      </c>
      <c r="C114">
        <f t="shared" si="2"/>
        <v>2</v>
      </c>
      <c r="D114">
        <f>COUNTIF($B$2:B114,B114)</f>
        <v>2</v>
      </c>
      <c r="E114" t="str">
        <f t="shared" si="3"/>
        <v>351.2</v>
      </c>
      <c r="F114" s="417" t="s">
        <v>563</v>
      </c>
      <c r="G114" s="417" t="s">
        <v>564</v>
      </c>
      <c r="H114" s="417" t="s">
        <v>1736</v>
      </c>
      <c r="I114" s="417" t="s">
        <v>1737</v>
      </c>
      <c r="J114" s="417" t="s">
        <v>1619</v>
      </c>
      <c r="K114" s="417" t="s">
        <v>1376</v>
      </c>
      <c r="L114" s="417" t="s">
        <v>794</v>
      </c>
      <c r="M114" s="417"/>
      <c r="N114" s="417"/>
      <c r="O114" s="417"/>
      <c r="P114" s="420">
        <v>2050</v>
      </c>
      <c r="Q114" s="417" t="s">
        <v>52</v>
      </c>
      <c r="R114" s="417" t="s">
        <v>52</v>
      </c>
      <c r="S114" s="417" t="s">
        <v>52</v>
      </c>
      <c r="T114" s="417" t="s">
        <v>52</v>
      </c>
    </row>
    <row r="115" spans="1:20" x14ac:dyDescent="0.25">
      <c r="A115" s="417" t="s">
        <v>482</v>
      </c>
      <c r="B115" s="418">
        <v>357</v>
      </c>
      <c r="C115">
        <f t="shared" si="2"/>
        <v>2</v>
      </c>
      <c r="D115">
        <f>COUNTIF($B$2:B115,B115)</f>
        <v>1</v>
      </c>
      <c r="E115" t="str">
        <f t="shared" si="3"/>
        <v>357.1</v>
      </c>
      <c r="F115" s="417" t="s">
        <v>524</v>
      </c>
      <c r="G115" s="417" t="s">
        <v>525</v>
      </c>
      <c r="H115" s="417" t="s">
        <v>1476</v>
      </c>
      <c r="I115" s="417" t="s">
        <v>1466</v>
      </c>
      <c r="J115" s="417" t="s">
        <v>1609</v>
      </c>
      <c r="K115" s="417" t="s">
        <v>1346</v>
      </c>
      <c r="L115" s="417" t="s">
        <v>794</v>
      </c>
      <c r="M115" s="417">
        <v>1</v>
      </c>
      <c r="N115" s="417"/>
      <c r="O115" s="417"/>
      <c r="P115" s="419">
        <v>2042</v>
      </c>
      <c r="Q115" s="417" t="s">
        <v>1643</v>
      </c>
      <c r="R115" s="417" t="s">
        <v>1651</v>
      </c>
      <c r="S115" s="417"/>
      <c r="T115" s="417"/>
    </row>
    <row r="116" spans="1:20" x14ac:dyDescent="0.25">
      <c r="A116" s="417" t="s">
        <v>482</v>
      </c>
      <c r="B116" s="418">
        <v>357</v>
      </c>
      <c r="C116">
        <f t="shared" si="2"/>
        <v>2</v>
      </c>
      <c r="D116">
        <f>COUNTIF($B$2:B116,B116)</f>
        <v>2</v>
      </c>
      <c r="E116" t="str">
        <f t="shared" si="3"/>
        <v>357.2</v>
      </c>
      <c r="F116" s="417" t="s">
        <v>524</v>
      </c>
      <c r="G116" s="417" t="s">
        <v>525</v>
      </c>
      <c r="H116" s="417" t="s">
        <v>1738</v>
      </c>
      <c r="I116" s="417" t="s">
        <v>1466</v>
      </c>
      <c r="J116" s="417" t="s">
        <v>1619</v>
      </c>
      <c r="K116" s="417" t="s">
        <v>1376</v>
      </c>
      <c r="L116" s="417" t="s">
        <v>794</v>
      </c>
      <c r="M116" s="417"/>
      <c r="N116" s="417"/>
      <c r="O116" s="417"/>
      <c r="P116" s="420">
        <v>2042</v>
      </c>
      <c r="Q116" s="417" t="s">
        <v>52</v>
      </c>
      <c r="R116" s="417" t="s">
        <v>52</v>
      </c>
      <c r="S116" s="417" t="s">
        <v>52</v>
      </c>
      <c r="T116" s="417" t="s">
        <v>52</v>
      </c>
    </row>
    <row r="117" spans="1:20" x14ac:dyDescent="0.25">
      <c r="A117" s="417" t="s">
        <v>482</v>
      </c>
      <c r="B117" s="418">
        <v>358</v>
      </c>
      <c r="C117">
        <f t="shared" si="2"/>
        <v>2</v>
      </c>
      <c r="D117">
        <f>COUNTIF($B$2:B117,B117)</f>
        <v>1</v>
      </c>
      <c r="E117" t="str">
        <f t="shared" si="3"/>
        <v>358.1</v>
      </c>
      <c r="F117" s="417" t="s">
        <v>526</v>
      </c>
      <c r="G117" s="417" t="s">
        <v>484</v>
      </c>
      <c r="H117" s="417" t="s">
        <v>1477</v>
      </c>
      <c r="I117" s="417" t="s">
        <v>1478</v>
      </c>
      <c r="J117" s="417" t="s">
        <v>1609</v>
      </c>
      <c r="K117" s="417" t="s">
        <v>1355</v>
      </c>
      <c r="L117" s="417" t="s">
        <v>88</v>
      </c>
      <c r="M117" s="417">
        <v>1</v>
      </c>
      <c r="N117" s="422" t="s">
        <v>1688</v>
      </c>
      <c r="O117" s="417"/>
      <c r="P117" s="424" t="s">
        <v>52</v>
      </c>
      <c r="Q117" s="417" t="s">
        <v>1632</v>
      </c>
      <c r="R117" s="417" t="s">
        <v>1689</v>
      </c>
      <c r="S117" s="417"/>
      <c r="T117" s="417"/>
    </row>
    <row r="118" spans="1:20" x14ac:dyDescent="0.25">
      <c r="A118" s="417" t="s">
        <v>482</v>
      </c>
      <c r="B118" s="418">
        <v>358</v>
      </c>
      <c r="C118">
        <f t="shared" si="2"/>
        <v>2</v>
      </c>
      <c r="D118">
        <f>COUNTIF($B$2:B118,B118)</f>
        <v>2</v>
      </c>
      <c r="E118" t="str">
        <f t="shared" si="3"/>
        <v>358.2</v>
      </c>
      <c r="F118" s="417" t="s">
        <v>526</v>
      </c>
      <c r="G118" s="417" t="s">
        <v>484</v>
      </c>
      <c r="H118" s="417" t="s">
        <v>1739</v>
      </c>
      <c r="I118" s="417" t="s">
        <v>1478</v>
      </c>
      <c r="J118" s="417" t="s">
        <v>1619</v>
      </c>
      <c r="K118" s="417" t="s">
        <v>1346</v>
      </c>
      <c r="L118" s="417" t="s">
        <v>88</v>
      </c>
      <c r="M118" s="417"/>
      <c r="N118" s="417"/>
      <c r="O118" s="417"/>
      <c r="P118" s="417" t="s">
        <v>52</v>
      </c>
      <c r="Q118" s="417" t="s">
        <v>52</v>
      </c>
      <c r="R118" s="417" t="s">
        <v>52</v>
      </c>
      <c r="S118" s="417" t="s">
        <v>52</v>
      </c>
      <c r="T118" s="417" t="s">
        <v>52</v>
      </c>
    </row>
    <row r="119" spans="1:20" x14ac:dyDescent="0.25">
      <c r="A119" s="417" t="s">
        <v>482</v>
      </c>
      <c r="B119" s="418">
        <v>359</v>
      </c>
      <c r="C119">
        <f t="shared" si="2"/>
        <v>1</v>
      </c>
      <c r="D119">
        <f>COUNTIF($B$2:B119,B119)</f>
        <v>1</v>
      </c>
      <c r="E119" t="str">
        <f t="shared" si="3"/>
        <v>359.1</v>
      </c>
      <c r="F119" s="417" t="s">
        <v>528</v>
      </c>
      <c r="G119" s="417" t="s">
        <v>484</v>
      </c>
      <c r="H119" s="417" t="s">
        <v>1479</v>
      </c>
      <c r="I119" s="417" t="s">
        <v>1480</v>
      </c>
      <c r="J119" s="417" t="s">
        <v>1609</v>
      </c>
      <c r="K119" s="417" t="s">
        <v>1346</v>
      </c>
      <c r="L119" s="417" t="s">
        <v>88</v>
      </c>
      <c r="M119" s="417">
        <v>1</v>
      </c>
      <c r="N119" s="422" t="s">
        <v>1611</v>
      </c>
      <c r="O119" s="417"/>
      <c r="P119" s="424" t="s">
        <v>52</v>
      </c>
      <c r="Q119" s="417" t="s">
        <v>1632</v>
      </c>
      <c r="R119" s="417" t="s">
        <v>1689</v>
      </c>
      <c r="S119" s="417"/>
      <c r="T119" s="417"/>
    </row>
    <row r="120" spans="1:20" x14ac:dyDescent="0.25">
      <c r="A120" s="417" t="s">
        <v>482</v>
      </c>
      <c r="B120" s="418">
        <v>360</v>
      </c>
      <c r="C120">
        <f t="shared" si="2"/>
        <v>1</v>
      </c>
      <c r="D120">
        <f>COUNTIF($B$2:B120,B120)</f>
        <v>1</v>
      </c>
      <c r="E120" t="str">
        <f t="shared" si="3"/>
        <v>360.1</v>
      </c>
      <c r="F120" s="417" t="s">
        <v>530</v>
      </c>
      <c r="G120" s="417" t="s">
        <v>531</v>
      </c>
      <c r="H120" s="417" t="s">
        <v>1481</v>
      </c>
      <c r="I120" s="417" t="s">
        <v>1466</v>
      </c>
      <c r="J120" s="417" t="s">
        <v>1609</v>
      </c>
      <c r="K120" s="417" t="s">
        <v>1376</v>
      </c>
      <c r="L120" s="417" t="s">
        <v>45</v>
      </c>
      <c r="M120" s="417"/>
      <c r="N120" s="417"/>
      <c r="O120" s="417"/>
      <c r="P120" s="420">
        <v>2042</v>
      </c>
      <c r="Q120" s="417" t="s">
        <v>1643</v>
      </c>
      <c r="R120" s="417" t="s">
        <v>1651</v>
      </c>
      <c r="S120" s="417" t="s">
        <v>52</v>
      </c>
      <c r="T120" s="417" t="s">
        <v>52</v>
      </c>
    </row>
    <row r="121" spans="1:20" x14ac:dyDescent="0.25">
      <c r="A121" s="417" t="s">
        <v>482</v>
      </c>
      <c r="B121" s="418">
        <v>361</v>
      </c>
      <c r="C121">
        <f t="shared" si="2"/>
        <v>1</v>
      </c>
      <c r="D121">
        <f>COUNTIF($B$2:B121,B121)</f>
        <v>1</v>
      </c>
      <c r="E121" t="str">
        <f t="shared" si="3"/>
        <v>361.1</v>
      </c>
      <c r="F121" s="417" t="s">
        <v>533</v>
      </c>
      <c r="G121" s="417" t="s">
        <v>531</v>
      </c>
      <c r="H121" s="417" t="s">
        <v>1481</v>
      </c>
      <c r="I121" s="417" t="s">
        <v>1466</v>
      </c>
      <c r="J121" s="417" t="s">
        <v>1609</v>
      </c>
      <c r="K121" s="417" t="s">
        <v>1376</v>
      </c>
      <c r="L121" s="417" t="s">
        <v>45</v>
      </c>
      <c r="M121" s="417"/>
      <c r="N121" s="417"/>
      <c r="O121" s="417"/>
      <c r="P121" s="420">
        <v>2042</v>
      </c>
      <c r="Q121" s="417" t="s">
        <v>1643</v>
      </c>
      <c r="R121" s="417" t="s">
        <v>1651</v>
      </c>
      <c r="S121" s="417" t="s">
        <v>52</v>
      </c>
      <c r="T121" s="417" t="s">
        <v>52</v>
      </c>
    </row>
    <row r="122" spans="1:20" x14ac:dyDescent="0.25">
      <c r="A122" s="417" t="s">
        <v>410</v>
      </c>
      <c r="B122" s="418">
        <v>369</v>
      </c>
      <c r="C122">
        <f t="shared" si="2"/>
        <v>1</v>
      </c>
      <c r="D122">
        <f>COUNTIF($B$2:B122,B122)</f>
        <v>1</v>
      </c>
      <c r="E122" t="str">
        <f t="shared" si="3"/>
        <v>369.1</v>
      </c>
      <c r="F122" s="417" t="s">
        <v>424</v>
      </c>
      <c r="G122" s="417" t="s">
        <v>425</v>
      </c>
      <c r="H122" s="417" t="s">
        <v>1432</v>
      </c>
      <c r="I122" s="417" t="s">
        <v>1433</v>
      </c>
      <c r="J122" s="417" t="s">
        <v>1609</v>
      </c>
      <c r="K122" s="417" t="s">
        <v>1334</v>
      </c>
      <c r="L122" s="417" t="s">
        <v>730</v>
      </c>
      <c r="M122" s="417"/>
      <c r="N122" s="417"/>
      <c r="O122" s="417"/>
      <c r="P122" s="420">
        <v>2048</v>
      </c>
      <c r="Q122" s="417" t="s">
        <v>1614</v>
      </c>
      <c r="R122" s="417" t="s">
        <v>882</v>
      </c>
      <c r="S122" s="417" t="s">
        <v>1615</v>
      </c>
      <c r="T122" s="417" t="s">
        <v>1616</v>
      </c>
    </row>
    <row r="123" spans="1:20" x14ac:dyDescent="0.25">
      <c r="A123" s="417" t="s">
        <v>274</v>
      </c>
      <c r="B123" s="418">
        <v>379</v>
      </c>
      <c r="C123">
        <f t="shared" si="2"/>
        <v>1</v>
      </c>
      <c r="D123">
        <f>COUNTIF($B$2:B123,B123)</f>
        <v>1</v>
      </c>
      <c r="E123" t="str">
        <f t="shared" si="3"/>
        <v>379.1</v>
      </c>
      <c r="F123" s="417" t="s">
        <v>325</v>
      </c>
      <c r="G123" s="417" t="s">
        <v>1740</v>
      </c>
      <c r="H123" s="417" t="s">
        <v>1391</v>
      </c>
      <c r="I123" s="417" t="s">
        <v>1392</v>
      </c>
      <c r="J123" s="417" t="s">
        <v>1609</v>
      </c>
      <c r="K123" s="417" t="s">
        <v>1376</v>
      </c>
      <c r="L123" s="417" t="s">
        <v>794</v>
      </c>
      <c r="M123" s="417">
        <v>1</v>
      </c>
      <c r="N123" s="417" t="s">
        <v>1611</v>
      </c>
      <c r="O123" s="417"/>
      <c r="P123" s="419">
        <v>2048</v>
      </c>
      <c r="Q123" s="417" t="s">
        <v>1632</v>
      </c>
      <c r="R123" s="417" t="s">
        <v>1633</v>
      </c>
      <c r="S123" s="417"/>
      <c r="T123" s="417"/>
    </row>
    <row r="124" spans="1:20" x14ac:dyDescent="0.25">
      <c r="A124" s="417" t="s">
        <v>274</v>
      </c>
      <c r="B124" s="418">
        <v>381</v>
      </c>
      <c r="C124">
        <f t="shared" si="2"/>
        <v>1</v>
      </c>
      <c r="D124">
        <f>COUNTIF($B$2:B124,B124)</f>
        <v>1</v>
      </c>
      <c r="E124" t="str">
        <f t="shared" si="3"/>
        <v>381.1</v>
      </c>
      <c r="F124" s="417" t="s">
        <v>329</v>
      </c>
      <c r="G124" s="417" t="s">
        <v>1635</v>
      </c>
      <c r="H124" s="417" t="s">
        <v>1377</v>
      </c>
      <c r="I124" s="417" t="s">
        <v>1378</v>
      </c>
      <c r="J124" s="417" t="s">
        <v>1609</v>
      </c>
      <c r="K124" s="417" t="s">
        <v>1376</v>
      </c>
      <c r="L124" s="417" t="s">
        <v>794</v>
      </c>
      <c r="M124" s="417">
        <v>1</v>
      </c>
      <c r="N124" s="417"/>
      <c r="O124" s="417"/>
      <c r="P124" s="419">
        <v>2048</v>
      </c>
      <c r="Q124" s="417" t="s">
        <v>1632</v>
      </c>
      <c r="R124" s="417" t="s">
        <v>1633</v>
      </c>
      <c r="S124" s="417"/>
      <c r="T124" s="417"/>
    </row>
    <row r="125" spans="1:20" x14ac:dyDescent="0.25">
      <c r="A125" s="417" t="s">
        <v>274</v>
      </c>
      <c r="B125" s="418">
        <v>383</v>
      </c>
      <c r="C125">
        <f t="shared" si="2"/>
        <v>1</v>
      </c>
      <c r="D125">
        <f>COUNTIF($B$2:B125,B125)</f>
        <v>1</v>
      </c>
      <c r="E125" t="str">
        <f t="shared" si="3"/>
        <v>383.1</v>
      </c>
      <c r="F125" s="417" t="s">
        <v>1741</v>
      </c>
      <c r="G125" s="417" t="s">
        <v>1742</v>
      </c>
      <c r="H125" s="417" t="s">
        <v>1393</v>
      </c>
      <c r="I125" s="417" t="s">
        <v>1394</v>
      </c>
      <c r="J125" s="417" t="s">
        <v>1609</v>
      </c>
      <c r="K125" s="417" t="s">
        <v>1376</v>
      </c>
      <c r="L125" s="417" t="s">
        <v>730</v>
      </c>
      <c r="M125" s="417"/>
      <c r="N125" s="417"/>
      <c r="O125" s="417"/>
      <c r="P125" s="419">
        <v>2037</v>
      </c>
      <c r="Q125" s="417" t="s">
        <v>1626</v>
      </c>
      <c r="R125" s="417" t="s">
        <v>1743</v>
      </c>
      <c r="S125" s="417" t="s">
        <v>1744</v>
      </c>
      <c r="T125" s="417" t="s">
        <v>1745</v>
      </c>
    </row>
    <row r="126" spans="1:20" x14ac:dyDescent="0.25">
      <c r="A126" s="417" t="s">
        <v>274</v>
      </c>
      <c r="B126" s="418">
        <v>384</v>
      </c>
      <c r="C126">
        <f t="shared" si="2"/>
        <v>1</v>
      </c>
      <c r="D126">
        <f>COUNTIF($B$2:B126,B126)</f>
        <v>1</v>
      </c>
      <c r="E126" t="str">
        <f t="shared" si="3"/>
        <v>384.1</v>
      </c>
      <c r="F126" s="417" t="s">
        <v>333</v>
      </c>
      <c r="G126" s="417" t="s">
        <v>1742</v>
      </c>
      <c r="H126" s="417" t="s">
        <v>1393</v>
      </c>
      <c r="I126" s="417" t="s">
        <v>1394</v>
      </c>
      <c r="J126" s="417" t="s">
        <v>1609</v>
      </c>
      <c r="K126" s="417" t="s">
        <v>1376</v>
      </c>
      <c r="L126" s="417" t="s">
        <v>799</v>
      </c>
      <c r="M126" s="417"/>
      <c r="N126" s="417"/>
      <c r="O126" s="417"/>
      <c r="P126" s="420">
        <v>2037</v>
      </c>
      <c r="Q126" s="417" t="s">
        <v>1626</v>
      </c>
      <c r="R126" s="417" t="s">
        <v>1743</v>
      </c>
      <c r="S126" s="417" t="s">
        <v>1744</v>
      </c>
      <c r="T126" s="417" t="s">
        <v>1745</v>
      </c>
    </row>
    <row r="127" spans="1:20" x14ac:dyDescent="0.25">
      <c r="A127" s="417" t="s">
        <v>274</v>
      </c>
      <c r="B127" s="418">
        <v>385</v>
      </c>
      <c r="C127">
        <f t="shared" si="2"/>
        <v>1</v>
      </c>
      <c r="D127">
        <f>COUNTIF($B$2:B127,B127)</f>
        <v>1</v>
      </c>
      <c r="E127" t="str">
        <f t="shared" si="3"/>
        <v>385.1</v>
      </c>
      <c r="F127" s="417" t="s">
        <v>334</v>
      </c>
      <c r="G127" s="417" t="s">
        <v>1746</v>
      </c>
      <c r="H127" s="417" t="s">
        <v>1395</v>
      </c>
      <c r="I127" s="417" t="s">
        <v>1396</v>
      </c>
      <c r="J127" s="417" t="s">
        <v>1609</v>
      </c>
      <c r="K127" s="417" t="s">
        <v>1376</v>
      </c>
      <c r="L127" s="417" t="s">
        <v>45</v>
      </c>
      <c r="M127" s="417"/>
      <c r="N127" s="417"/>
      <c r="O127" s="417"/>
      <c r="P127" s="420">
        <v>2037</v>
      </c>
      <c r="Q127" s="417" t="s">
        <v>1626</v>
      </c>
      <c r="R127" s="417" t="s">
        <v>1633</v>
      </c>
      <c r="S127" s="417" t="s">
        <v>1744</v>
      </c>
      <c r="T127" s="417" t="s">
        <v>1747</v>
      </c>
    </row>
    <row r="128" spans="1:20" x14ac:dyDescent="0.25">
      <c r="A128" s="417" t="s">
        <v>274</v>
      </c>
      <c r="B128" s="418">
        <v>387</v>
      </c>
      <c r="C128">
        <f t="shared" si="2"/>
        <v>2</v>
      </c>
      <c r="D128">
        <f>COUNTIF($B$2:B128,B128)</f>
        <v>1</v>
      </c>
      <c r="E128" t="str">
        <f t="shared" si="3"/>
        <v>387.1</v>
      </c>
      <c r="F128" s="417" t="s">
        <v>338</v>
      </c>
      <c r="G128" s="417" t="s">
        <v>337</v>
      </c>
      <c r="H128" s="417" t="s">
        <v>1748</v>
      </c>
      <c r="I128" s="417" t="s">
        <v>1749</v>
      </c>
      <c r="J128" s="417" t="s">
        <v>1609</v>
      </c>
      <c r="K128" s="417" t="s">
        <v>1376</v>
      </c>
      <c r="L128" s="417" t="s">
        <v>88</v>
      </c>
      <c r="M128" s="417">
        <v>1</v>
      </c>
      <c r="N128" s="417"/>
      <c r="O128" s="417"/>
      <c r="P128" s="419">
        <v>2037</v>
      </c>
      <c r="Q128" s="417" t="s">
        <v>1632</v>
      </c>
      <c r="R128" s="417" t="s">
        <v>1633</v>
      </c>
      <c r="S128" s="417"/>
      <c r="T128" s="417"/>
    </row>
    <row r="129" spans="1:20" x14ac:dyDescent="0.25">
      <c r="A129" s="417" t="s">
        <v>274</v>
      </c>
      <c r="B129" s="418">
        <v>387</v>
      </c>
      <c r="C129">
        <f t="shared" si="2"/>
        <v>2</v>
      </c>
      <c r="D129">
        <f>COUNTIF($B$2:B129,B129)</f>
        <v>2</v>
      </c>
      <c r="E129" t="str">
        <f t="shared" si="3"/>
        <v>387.2</v>
      </c>
      <c r="F129" s="417" t="s">
        <v>338</v>
      </c>
      <c r="G129" s="417" t="s">
        <v>337</v>
      </c>
      <c r="H129" s="417" t="s">
        <v>1397</v>
      </c>
      <c r="I129" s="417" t="s">
        <v>1398</v>
      </c>
      <c r="J129" s="417" t="s">
        <v>1609</v>
      </c>
      <c r="K129" s="417" t="s">
        <v>1376</v>
      </c>
      <c r="L129" s="417" t="s">
        <v>88</v>
      </c>
      <c r="M129" s="417">
        <v>1</v>
      </c>
      <c r="N129" s="417"/>
      <c r="O129" s="417"/>
      <c r="P129" s="419">
        <v>2037</v>
      </c>
      <c r="Q129" s="417" t="s">
        <v>1632</v>
      </c>
      <c r="R129" s="417" t="s">
        <v>1633</v>
      </c>
      <c r="S129" s="417"/>
      <c r="T129" s="417"/>
    </row>
    <row r="130" spans="1:20" x14ac:dyDescent="0.25">
      <c r="A130" s="417" t="s">
        <v>274</v>
      </c>
      <c r="B130" s="418">
        <v>388</v>
      </c>
      <c r="C130">
        <f t="shared" ref="C130:C166" si="4">COUNTIF($B$2:$B$166,B130)</f>
        <v>2</v>
      </c>
      <c r="D130">
        <f>COUNTIF($B$2:B130,B130)</f>
        <v>1</v>
      </c>
      <c r="E130" t="str">
        <f t="shared" ref="E130:E166" si="5">CONCATENATE(B130,".",D130)</f>
        <v>388.1</v>
      </c>
      <c r="F130" s="417" t="s">
        <v>339</v>
      </c>
      <c r="G130" s="417" t="s">
        <v>340</v>
      </c>
      <c r="H130" s="417" t="s">
        <v>1399</v>
      </c>
      <c r="I130" s="417" t="s">
        <v>1400</v>
      </c>
      <c r="J130" s="417" t="s">
        <v>1609</v>
      </c>
      <c r="K130" s="417" t="s">
        <v>1376</v>
      </c>
      <c r="L130" s="417" t="s">
        <v>794</v>
      </c>
      <c r="M130" s="417" t="s">
        <v>1610</v>
      </c>
      <c r="N130" s="417"/>
      <c r="O130" s="417" t="s">
        <v>1611</v>
      </c>
      <c r="P130" s="419">
        <v>2063</v>
      </c>
      <c r="Q130" s="417" t="s">
        <v>1612</v>
      </c>
      <c r="R130" s="417" t="s">
        <v>882</v>
      </c>
      <c r="S130" s="417"/>
      <c r="T130" s="417"/>
    </row>
    <row r="131" spans="1:20" x14ac:dyDescent="0.25">
      <c r="A131" s="417" t="s">
        <v>274</v>
      </c>
      <c r="B131" s="418">
        <v>388</v>
      </c>
      <c r="C131">
        <f t="shared" si="4"/>
        <v>2</v>
      </c>
      <c r="D131">
        <f>COUNTIF($B$2:B131,B131)</f>
        <v>2</v>
      </c>
      <c r="E131" t="str">
        <f t="shared" si="5"/>
        <v>388.2</v>
      </c>
      <c r="F131" s="417" t="s">
        <v>339</v>
      </c>
      <c r="G131" s="417" t="s">
        <v>340</v>
      </c>
      <c r="H131" s="417" t="s">
        <v>1750</v>
      </c>
      <c r="I131" s="417" t="s">
        <v>1400</v>
      </c>
      <c r="J131" s="417" t="s">
        <v>1619</v>
      </c>
      <c r="K131" s="417" t="s">
        <v>1376</v>
      </c>
      <c r="L131" s="417" t="s">
        <v>794</v>
      </c>
      <c r="M131" s="417"/>
      <c r="N131" s="417"/>
      <c r="O131" s="417"/>
      <c r="P131" s="420">
        <v>2063</v>
      </c>
      <c r="Q131" s="417" t="s">
        <v>52</v>
      </c>
      <c r="R131" s="417" t="s">
        <v>52</v>
      </c>
      <c r="S131" s="417" t="s">
        <v>52</v>
      </c>
      <c r="T131" s="417" t="s">
        <v>52</v>
      </c>
    </row>
    <row r="132" spans="1:20" x14ac:dyDescent="0.25">
      <c r="A132" s="417" t="s">
        <v>274</v>
      </c>
      <c r="B132" s="418">
        <v>389</v>
      </c>
      <c r="C132">
        <f t="shared" si="4"/>
        <v>2</v>
      </c>
      <c r="D132">
        <f>COUNTIF($B$2:B132,B132)</f>
        <v>1</v>
      </c>
      <c r="E132" t="str">
        <f t="shared" si="5"/>
        <v>389.1</v>
      </c>
      <c r="F132" s="417" t="s">
        <v>341</v>
      </c>
      <c r="G132" s="417" t="s">
        <v>342</v>
      </c>
      <c r="H132" s="417" t="s">
        <v>1401</v>
      </c>
      <c r="I132" s="417" t="s">
        <v>1402</v>
      </c>
      <c r="J132" s="417" t="s">
        <v>1609</v>
      </c>
      <c r="K132" s="417" t="s">
        <v>1334</v>
      </c>
      <c r="L132" s="417" t="s">
        <v>730</v>
      </c>
      <c r="M132" s="417"/>
      <c r="N132" s="417"/>
      <c r="O132" s="417"/>
      <c r="P132" s="420">
        <v>2085</v>
      </c>
      <c r="Q132" s="417" t="s">
        <v>1643</v>
      </c>
      <c r="R132" s="417" t="s">
        <v>882</v>
      </c>
      <c r="S132" s="417" t="s">
        <v>1751</v>
      </c>
      <c r="T132" s="417" t="s">
        <v>1752</v>
      </c>
    </row>
    <row r="133" spans="1:20" x14ac:dyDescent="0.25">
      <c r="A133" s="417" t="s">
        <v>274</v>
      </c>
      <c r="B133" s="418">
        <v>389</v>
      </c>
      <c r="C133">
        <f t="shared" si="4"/>
        <v>2</v>
      </c>
      <c r="D133">
        <f>COUNTIF($B$2:B133,B133)</f>
        <v>2</v>
      </c>
      <c r="E133" t="str">
        <f t="shared" si="5"/>
        <v>389.2</v>
      </c>
      <c r="F133" s="417" t="s">
        <v>341</v>
      </c>
      <c r="G133" s="417" t="s">
        <v>342</v>
      </c>
      <c r="H133" s="417" t="s">
        <v>1753</v>
      </c>
      <c r="I133" s="417" t="s">
        <v>1402</v>
      </c>
      <c r="J133" s="417" t="s">
        <v>1619</v>
      </c>
      <c r="K133" s="417" t="s">
        <v>1376</v>
      </c>
      <c r="L133" s="417" t="s">
        <v>730</v>
      </c>
      <c r="M133" s="417"/>
      <c r="N133" s="417"/>
      <c r="O133" s="417"/>
      <c r="P133" s="420">
        <v>2085</v>
      </c>
      <c r="Q133" s="417" t="s">
        <v>52</v>
      </c>
      <c r="R133" s="417" t="s">
        <v>52</v>
      </c>
      <c r="S133" s="417" t="s">
        <v>52</v>
      </c>
      <c r="T133" s="417" t="s">
        <v>52</v>
      </c>
    </row>
    <row r="134" spans="1:20" x14ac:dyDescent="0.25">
      <c r="A134" s="417" t="s">
        <v>274</v>
      </c>
      <c r="B134" s="418">
        <v>391</v>
      </c>
      <c r="C134">
        <f t="shared" si="4"/>
        <v>2</v>
      </c>
      <c r="D134">
        <f>COUNTIF($B$2:B134,B134)</f>
        <v>1</v>
      </c>
      <c r="E134" t="str">
        <f t="shared" si="5"/>
        <v>391.1</v>
      </c>
      <c r="F134" s="417" t="s">
        <v>345</v>
      </c>
      <c r="G134" s="417" t="s">
        <v>346</v>
      </c>
      <c r="H134" s="417" t="s">
        <v>1403</v>
      </c>
      <c r="I134" s="417" t="s">
        <v>1404</v>
      </c>
      <c r="J134" s="417" t="s">
        <v>1609</v>
      </c>
      <c r="K134" s="417" t="s">
        <v>1346</v>
      </c>
      <c r="L134" s="417" t="s">
        <v>794</v>
      </c>
      <c r="M134" s="417"/>
      <c r="N134" s="417"/>
      <c r="O134" s="417"/>
      <c r="P134" s="419">
        <v>2039</v>
      </c>
      <c r="Q134" s="417" t="s">
        <v>1614</v>
      </c>
      <c r="R134" s="417" t="s">
        <v>1633</v>
      </c>
      <c r="S134" s="417" t="s">
        <v>1712</v>
      </c>
      <c r="T134" s="417" t="s">
        <v>1754</v>
      </c>
    </row>
    <row r="135" spans="1:20" x14ac:dyDescent="0.25">
      <c r="A135" s="417" t="s">
        <v>274</v>
      </c>
      <c r="B135" s="418">
        <v>391</v>
      </c>
      <c r="C135">
        <f t="shared" si="4"/>
        <v>2</v>
      </c>
      <c r="D135">
        <f>COUNTIF($B$2:B135,B135)</f>
        <v>2</v>
      </c>
      <c r="E135" t="str">
        <f t="shared" si="5"/>
        <v>391.2</v>
      </c>
      <c r="F135" s="417" t="s">
        <v>345</v>
      </c>
      <c r="G135" s="417" t="s">
        <v>346</v>
      </c>
      <c r="H135" s="417" t="s">
        <v>1755</v>
      </c>
      <c r="I135" s="417" t="s">
        <v>1756</v>
      </c>
      <c r="J135" s="417" t="s">
        <v>1619</v>
      </c>
      <c r="K135" s="417" t="s">
        <v>1346</v>
      </c>
      <c r="L135" s="417" t="s">
        <v>794</v>
      </c>
      <c r="M135" s="417"/>
      <c r="N135" s="417"/>
      <c r="O135" s="417"/>
      <c r="P135" s="420">
        <v>2039</v>
      </c>
      <c r="Q135" s="417" t="s">
        <v>52</v>
      </c>
      <c r="R135" s="417" t="s">
        <v>52</v>
      </c>
      <c r="S135" s="417" t="s">
        <v>52</v>
      </c>
      <c r="T135" s="417" t="s">
        <v>52</v>
      </c>
    </row>
    <row r="136" spans="1:20" x14ac:dyDescent="0.25">
      <c r="A136" s="417" t="s">
        <v>274</v>
      </c>
      <c r="B136" s="418">
        <v>392</v>
      </c>
      <c r="C136">
        <f t="shared" si="4"/>
        <v>1</v>
      </c>
      <c r="D136">
        <f>COUNTIF($B$2:B136,B136)</f>
        <v>1</v>
      </c>
      <c r="E136" t="str">
        <f t="shared" si="5"/>
        <v>392.1</v>
      </c>
      <c r="F136" s="417" t="s">
        <v>347</v>
      </c>
      <c r="G136" s="417" t="s">
        <v>348</v>
      </c>
      <c r="H136" s="417" t="s">
        <v>1405</v>
      </c>
      <c r="I136" s="417" t="s">
        <v>1406</v>
      </c>
      <c r="J136" s="417" t="s">
        <v>1609</v>
      </c>
      <c r="K136" s="417" t="s">
        <v>1346</v>
      </c>
      <c r="L136" s="417" t="s">
        <v>88</v>
      </c>
      <c r="M136" s="417"/>
      <c r="N136" s="417"/>
      <c r="O136" s="417"/>
      <c r="P136" s="419">
        <v>2039</v>
      </c>
      <c r="Q136" s="417" t="s">
        <v>1620</v>
      </c>
      <c r="R136" s="417" t="s">
        <v>1633</v>
      </c>
      <c r="S136" s="417" t="s">
        <v>1712</v>
      </c>
      <c r="T136" s="417" t="s">
        <v>1757</v>
      </c>
    </row>
    <row r="137" spans="1:20" x14ac:dyDescent="0.25">
      <c r="A137" s="417" t="s">
        <v>274</v>
      </c>
      <c r="B137" s="418">
        <v>394</v>
      </c>
      <c r="C137">
        <f t="shared" si="4"/>
        <v>1</v>
      </c>
      <c r="D137">
        <f>COUNTIF($B$2:B137,B137)</f>
        <v>1</v>
      </c>
      <c r="E137" t="str">
        <f t="shared" si="5"/>
        <v>394.1</v>
      </c>
      <c r="F137" s="417" t="s">
        <v>351</v>
      </c>
      <c r="G137" s="417" t="s">
        <v>1758</v>
      </c>
      <c r="H137" s="417" t="s">
        <v>1409</v>
      </c>
      <c r="I137" s="417" t="s">
        <v>1410</v>
      </c>
      <c r="J137" s="417" t="s">
        <v>1609</v>
      </c>
      <c r="K137" s="417" t="s">
        <v>1346</v>
      </c>
      <c r="L137" s="417" t="s">
        <v>88</v>
      </c>
      <c r="M137" s="417"/>
      <c r="N137" s="417"/>
      <c r="O137" s="417"/>
      <c r="P137" s="424" t="s">
        <v>52</v>
      </c>
      <c r="Q137" s="417" t="s">
        <v>1620</v>
      </c>
      <c r="R137" s="417" t="s">
        <v>882</v>
      </c>
      <c r="S137" s="417" t="s">
        <v>882</v>
      </c>
      <c r="T137" s="417" t="s">
        <v>1759</v>
      </c>
    </row>
    <row r="138" spans="1:20" x14ac:dyDescent="0.25">
      <c r="A138" s="417" t="s">
        <v>482</v>
      </c>
      <c r="B138" s="418">
        <v>398</v>
      </c>
      <c r="C138">
        <f t="shared" si="4"/>
        <v>1</v>
      </c>
      <c r="D138">
        <f>COUNTIF($B$2:B138,B138)</f>
        <v>1</v>
      </c>
      <c r="E138" t="str">
        <f t="shared" si="5"/>
        <v>398.1</v>
      </c>
      <c r="F138" s="417" t="s">
        <v>550</v>
      </c>
      <c r="G138" s="417" t="s">
        <v>484</v>
      </c>
      <c r="H138" s="417" t="s">
        <v>1760</v>
      </c>
      <c r="I138" s="417" t="s">
        <v>1462</v>
      </c>
      <c r="J138" s="417" t="s">
        <v>1619</v>
      </c>
      <c r="K138" s="417" t="s">
        <v>1355</v>
      </c>
      <c r="L138" s="417" t="s">
        <v>45</v>
      </c>
      <c r="M138" s="417"/>
      <c r="N138" s="417"/>
      <c r="O138" s="417"/>
      <c r="P138" s="420">
        <v>2042</v>
      </c>
      <c r="Q138" s="417" t="s">
        <v>52</v>
      </c>
      <c r="R138" s="417" t="s">
        <v>52</v>
      </c>
      <c r="S138" s="417" t="s">
        <v>52</v>
      </c>
      <c r="T138" s="417" t="s">
        <v>52</v>
      </c>
    </row>
    <row r="139" spans="1:20" x14ac:dyDescent="0.25">
      <c r="A139" s="417" t="s">
        <v>693</v>
      </c>
      <c r="B139" s="418">
        <v>400</v>
      </c>
      <c r="C139">
        <f t="shared" si="4"/>
        <v>1</v>
      </c>
      <c r="D139">
        <f>COUNTIF($B$2:B139,B139)</f>
        <v>1</v>
      </c>
      <c r="E139" t="str">
        <f t="shared" si="5"/>
        <v>400.1</v>
      </c>
      <c r="F139" s="417" t="s">
        <v>1761</v>
      </c>
      <c r="G139" s="417" t="s">
        <v>1762</v>
      </c>
      <c r="H139" s="417" t="s">
        <v>1763</v>
      </c>
      <c r="I139" s="417" t="s">
        <v>1764</v>
      </c>
      <c r="J139" s="417" t="s">
        <v>1609</v>
      </c>
      <c r="K139" s="417" t="s">
        <v>1355</v>
      </c>
      <c r="L139" s="417" t="s">
        <v>88</v>
      </c>
      <c r="M139" s="417" t="s">
        <v>1610</v>
      </c>
      <c r="N139" s="417"/>
      <c r="O139" s="417" t="s">
        <v>1611</v>
      </c>
      <c r="P139" s="419">
        <v>2011</v>
      </c>
      <c r="Q139" s="417" t="s">
        <v>1612</v>
      </c>
      <c r="R139" s="417" t="s">
        <v>52</v>
      </c>
      <c r="S139" s="417"/>
      <c r="T139" s="417"/>
    </row>
    <row r="140" spans="1:20" x14ac:dyDescent="0.25">
      <c r="A140" s="417" t="s">
        <v>35</v>
      </c>
      <c r="B140" s="418">
        <v>401</v>
      </c>
      <c r="C140">
        <f t="shared" si="4"/>
        <v>2</v>
      </c>
      <c r="D140">
        <f>COUNTIF($B$2:B140,B140)</f>
        <v>1</v>
      </c>
      <c r="E140" t="str">
        <f t="shared" si="5"/>
        <v>401.1</v>
      </c>
      <c r="F140" s="417" t="s">
        <v>749</v>
      </c>
      <c r="G140" s="417" t="s">
        <v>50</v>
      </c>
      <c r="H140" s="417" t="s">
        <v>1765</v>
      </c>
      <c r="I140" s="417" t="s">
        <v>1766</v>
      </c>
      <c r="J140" s="417" t="s">
        <v>1609</v>
      </c>
      <c r="K140" s="417" t="s">
        <v>1334</v>
      </c>
      <c r="L140" s="417" t="s">
        <v>88</v>
      </c>
      <c r="M140" s="417" t="s">
        <v>1610</v>
      </c>
      <c r="N140" s="417"/>
      <c r="O140" s="417" t="s">
        <v>1611</v>
      </c>
      <c r="P140" s="420">
        <v>2011</v>
      </c>
      <c r="Q140" s="417" t="s">
        <v>1612</v>
      </c>
      <c r="R140" s="417" t="s">
        <v>52</v>
      </c>
      <c r="S140" s="417"/>
      <c r="T140" s="417"/>
    </row>
    <row r="141" spans="1:20" x14ac:dyDescent="0.25">
      <c r="A141" s="417" t="s">
        <v>35</v>
      </c>
      <c r="B141" s="418">
        <v>401</v>
      </c>
      <c r="C141">
        <f t="shared" si="4"/>
        <v>2</v>
      </c>
      <c r="D141">
        <f>COUNTIF($B$2:B141,B141)</f>
        <v>2</v>
      </c>
      <c r="E141" t="str">
        <f t="shared" si="5"/>
        <v>401.2</v>
      </c>
      <c r="F141" s="417" t="s">
        <v>749</v>
      </c>
      <c r="G141" s="417" t="s">
        <v>50</v>
      </c>
      <c r="H141" s="417" t="s">
        <v>1767</v>
      </c>
      <c r="I141" s="417" t="s">
        <v>1768</v>
      </c>
      <c r="J141" s="417" t="s">
        <v>1609</v>
      </c>
      <c r="K141" s="417" t="s">
        <v>1355</v>
      </c>
      <c r="L141" s="417" t="s">
        <v>88</v>
      </c>
      <c r="M141" s="417" t="s">
        <v>1610</v>
      </c>
      <c r="N141" s="417"/>
      <c r="O141" s="417" t="s">
        <v>1611</v>
      </c>
      <c r="P141" s="419">
        <v>2018</v>
      </c>
      <c r="Q141" s="417" t="s">
        <v>1612</v>
      </c>
      <c r="R141" s="417" t="s">
        <v>1633</v>
      </c>
      <c r="S141" s="417"/>
      <c r="T141" s="417"/>
    </row>
    <row r="142" spans="1:20" x14ac:dyDescent="0.25">
      <c r="A142" s="417" t="s">
        <v>806</v>
      </c>
      <c r="B142" s="418">
        <v>403</v>
      </c>
      <c r="C142">
        <f t="shared" si="4"/>
        <v>1</v>
      </c>
      <c r="D142">
        <f>COUNTIF($B$2:B142,B142)</f>
        <v>1</v>
      </c>
      <c r="E142" t="str">
        <f t="shared" si="5"/>
        <v>403.1</v>
      </c>
      <c r="F142" s="417" t="s">
        <v>807</v>
      </c>
      <c r="G142" s="417" t="s">
        <v>1769</v>
      </c>
      <c r="H142" s="417" t="s">
        <v>1770</v>
      </c>
      <c r="I142" s="417" t="s">
        <v>1771</v>
      </c>
      <c r="J142" s="417" t="s">
        <v>1609</v>
      </c>
      <c r="K142" s="417" t="s">
        <v>1334</v>
      </c>
      <c r="L142" s="417" t="s">
        <v>794</v>
      </c>
      <c r="M142" s="417"/>
      <c r="N142" s="417"/>
      <c r="O142" s="417"/>
      <c r="P142" s="420">
        <v>2076</v>
      </c>
      <c r="Q142" s="417" t="s">
        <v>1612</v>
      </c>
      <c r="R142" s="417" t="s">
        <v>52</v>
      </c>
      <c r="S142" s="417" t="s">
        <v>52</v>
      </c>
      <c r="T142" s="417" t="s">
        <v>52</v>
      </c>
    </row>
    <row r="143" spans="1:20" x14ac:dyDescent="0.25">
      <c r="A143" s="417" t="s">
        <v>274</v>
      </c>
      <c r="B143" s="418">
        <v>409</v>
      </c>
      <c r="C143">
        <f t="shared" si="4"/>
        <v>1</v>
      </c>
      <c r="D143">
        <f>COUNTIF($B$2:B143,B143)</f>
        <v>1</v>
      </c>
      <c r="E143" t="str">
        <f t="shared" si="5"/>
        <v>409.1</v>
      </c>
      <c r="F143" s="417" t="s">
        <v>888</v>
      </c>
      <c r="G143" s="417" t="s">
        <v>1772</v>
      </c>
      <c r="H143" s="417" t="s">
        <v>1393</v>
      </c>
      <c r="I143" s="417" t="s">
        <v>1394</v>
      </c>
      <c r="J143" s="417" t="s">
        <v>1609</v>
      </c>
      <c r="K143" s="417" t="s">
        <v>1376</v>
      </c>
      <c r="L143" s="417" t="s">
        <v>730</v>
      </c>
      <c r="M143" s="417"/>
      <c r="N143" s="417"/>
      <c r="O143" s="417"/>
      <c r="P143" s="419">
        <v>2037</v>
      </c>
      <c r="Q143" s="417" t="s">
        <v>1626</v>
      </c>
      <c r="R143" s="417" t="s">
        <v>1743</v>
      </c>
      <c r="S143" s="417" t="s">
        <v>1744</v>
      </c>
      <c r="T143" s="417" t="s">
        <v>1745</v>
      </c>
    </row>
    <row r="144" spans="1:20" x14ac:dyDescent="0.25">
      <c r="A144" s="417" t="s">
        <v>35</v>
      </c>
      <c r="B144" s="418">
        <v>413</v>
      </c>
      <c r="C144">
        <f t="shared" si="4"/>
        <v>1</v>
      </c>
      <c r="D144">
        <f>COUNTIF($B$2:B144,B144)</f>
        <v>1</v>
      </c>
      <c r="E144" t="str">
        <f t="shared" si="5"/>
        <v>413.1</v>
      </c>
      <c r="F144" s="417" t="s">
        <v>1773</v>
      </c>
      <c r="G144" s="417" t="s">
        <v>50</v>
      </c>
      <c r="H144" s="417" t="s">
        <v>1774</v>
      </c>
      <c r="I144" s="417" t="s">
        <v>1775</v>
      </c>
      <c r="J144" s="417" t="s">
        <v>1609</v>
      </c>
      <c r="K144" s="417" t="s">
        <v>1355</v>
      </c>
      <c r="L144" s="417" t="s">
        <v>88</v>
      </c>
      <c r="M144" s="417" t="s">
        <v>1610</v>
      </c>
      <c r="N144" s="417"/>
      <c r="O144" s="417" t="s">
        <v>1611</v>
      </c>
      <c r="P144" s="419">
        <v>2014</v>
      </c>
      <c r="Q144" s="417" t="s">
        <v>1612</v>
      </c>
      <c r="R144" s="417" t="s">
        <v>882</v>
      </c>
      <c r="S144" s="417"/>
      <c r="T144" s="417"/>
    </row>
    <row r="145" spans="1:20" x14ac:dyDescent="0.25">
      <c r="A145" s="417" t="s">
        <v>482</v>
      </c>
      <c r="B145" s="418">
        <v>416</v>
      </c>
      <c r="C145">
        <f t="shared" si="4"/>
        <v>2</v>
      </c>
      <c r="D145">
        <f>COUNTIF($B$2:B145,B145)</f>
        <v>1</v>
      </c>
      <c r="E145" t="str">
        <f t="shared" si="5"/>
        <v>416.1</v>
      </c>
      <c r="F145" s="417" t="s">
        <v>974</v>
      </c>
      <c r="G145" s="417" t="s">
        <v>503</v>
      </c>
      <c r="H145" s="417" t="s">
        <v>1776</v>
      </c>
      <c r="I145" s="417" t="s">
        <v>1470</v>
      </c>
      <c r="J145" s="417" t="s">
        <v>1609</v>
      </c>
      <c r="K145" s="417" t="s">
        <v>1346</v>
      </c>
      <c r="L145" s="417" t="s">
        <v>1651</v>
      </c>
      <c r="M145" s="417">
        <v>1</v>
      </c>
      <c r="N145" s="417"/>
      <c r="O145" s="417" t="s">
        <v>1611</v>
      </c>
      <c r="P145" s="419">
        <v>2035</v>
      </c>
      <c r="Q145" s="417" t="s">
        <v>1643</v>
      </c>
      <c r="R145" s="417" t="s">
        <v>1651</v>
      </c>
      <c r="S145" s="417"/>
      <c r="T145" s="417"/>
    </row>
    <row r="146" spans="1:20" x14ac:dyDescent="0.25">
      <c r="A146" s="417" t="s">
        <v>482</v>
      </c>
      <c r="B146" s="418">
        <v>416</v>
      </c>
      <c r="C146">
        <f t="shared" si="4"/>
        <v>2</v>
      </c>
      <c r="D146">
        <f>COUNTIF($B$2:B146,B146)</f>
        <v>2</v>
      </c>
      <c r="E146" t="str">
        <f t="shared" si="5"/>
        <v>416.2</v>
      </c>
      <c r="F146" s="417" t="s">
        <v>974</v>
      </c>
      <c r="G146" s="417" t="s">
        <v>503</v>
      </c>
      <c r="H146" s="417" t="s">
        <v>1777</v>
      </c>
      <c r="I146" s="417" t="s">
        <v>1470</v>
      </c>
      <c r="J146" s="417" t="s">
        <v>1619</v>
      </c>
      <c r="K146" s="417" t="s">
        <v>1346</v>
      </c>
      <c r="L146" s="417" t="s">
        <v>1651</v>
      </c>
      <c r="M146" s="417"/>
      <c r="N146" s="417"/>
      <c r="O146" s="417"/>
      <c r="P146" s="420">
        <v>2035</v>
      </c>
      <c r="Q146" s="417" t="s">
        <v>52</v>
      </c>
      <c r="R146" s="417" t="s">
        <v>52</v>
      </c>
      <c r="S146" s="417" t="s">
        <v>52</v>
      </c>
      <c r="T146" s="417" t="s">
        <v>52</v>
      </c>
    </row>
    <row r="147" spans="1:20" x14ac:dyDescent="0.25">
      <c r="A147" s="417" t="s">
        <v>482</v>
      </c>
      <c r="B147" s="418">
        <v>419</v>
      </c>
      <c r="C147">
        <f t="shared" si="4"/>
        <v>1</v>
      </c>
      <c r="D147">
        <f>COUNTIF($B$2:B147,B147)</f>
        <v>1</v>
      </c>
      <c r="E147" t="str">
        <f t="shared" si="5"/>
        <v>419.1</v>
      </c>
      <c r="F147" s="417" t="s">
        <v>975</v>
      </c>
      <c r="G147" s="417" t="s">
        <v>503</v>
      </c>
      <c r="H147" s="417" t="s">
        <v>1467</v>
      </c>
      <c r="I147" s="417" t="s">
        <v>1468</v>
      </c>
      <c r="J147" s="417" t="s">
        <v>1609</v>
      </c>
      <c r="K147" s="417" t="s">
        <v>1337</v>
      </c>
      <c r="L147" s="417" t="s">
        <v>88</v>
      </c>
      <c r="M147" s="417">
        <v>1</v>
      </c>
      <c r="N147" s="417"/>
      <c r="O147" s="417" t="s">
        <v>1611</v>
      </c>
      <c r="P147" s="420">
        <v>2035</v>
      </c>
      <c r="Q147" s="417" t="s">
        <v>1632</v>
      </c>
      <c r="R147" s="417" t="s">
        <v>1689</v>
      </c>
      <c r="S147" s="417"/>
      <c r="T147" s="417"/>
    </row>
    <row r="148" spans="1:20" x14ac:dyDescent="0.25">
      <c r="A148" s="417" t="s">
        <v>573</v>
      </c>
      <c r="B148" s="418">
        <v>423</v>
      </c>
      <c r="C148">
        <f t="shared" si="4"/>
        <v>1</v>
      </c>
      <c r="D148">
        <f>COUNTIF($B$2:B148,B148)</f>
        <v>1</v>
      </c>
      <c r="E148" t="str">
        <f t="shared" si="5"/>
        <v>423.1</v>
      </c>
      <c r="F148" s="417" t="s">
        <v>1778</v>
      </c>
      <c r="G148" s="417" t="s">
        <v>1779</v>
      </c>
      <c r="H148" s="417" t="s">
        <v>1780</v>
      </c>
      <c r="I148" s="417" t="s">
        <v>52</v>
      </c>
      <c r="J148" s="417" t="s">
        <v>1609</v>
      </c>
      <c r="K148" s="417" t="s">
        <v>1376</v>
      </c>
      <c r="L148" s="417" t="s">
        <v>1651</v>
      </c>
      <c r="M148" s="417" t="s">
        <v>1610</v>
      </c>
      <c r="N148" s="417"/>
      <c r="O148" s="417" t="s">
        <v>1611</v>
      </c>
      <c r="P148" s="419">
        <v>2034</v>
      </c>
      <c r="Q148" s="417" t="s">
        <v>1614</v>
      </c>
      <c r="R148" s="417" t="s">
        <v>1651</v>
      </c>
      <c r="S148" s="417"/>
      <c r="T148" s="417"/>
    </row>
    <row r="149" spans="1:20" x14ac:dyDescent="0.25">
      <c r="A149" s="417" t="s">
        <v>625</v>
      </c>
      <c r="B149" s="418">
        <v>427</v>
      </c>
      <c r="C149">
        <f t="shared" si="4"/>
        <v>1</v>
      </c>
      <c r="D149">
        <f>COUNTIF($B$2:B149,B149)</f>
        <v>1</v>
      </c>
      <c r="E149" t="str">
        <f t="shared" si="5"/>
        <v>427.1</v>
      </c>
      <c r="F149" s="417" t="s">
        <v>1035</v>
      </c>
      <c r="G149" s="417" t="s">
        <v>1781</v>
      </c>
      <c r="H149" s="417" t="s">
        <v>1683</v>
      </c>
      <c r="I149" s="417" t="s">
        <v>1684</v>
      </c>
      <c r="J149" s="417" t="s">
        <v>1609</v>
      </c>
      <c r="K149" s="417" t="s">
        <v>1376</v>
      </c>
      <c r="L149" s="417" t="s">
        <v>1651</v>
      </c>
      <c r="M149" s="417"/>
      <c r="N149" s="417"/>
      <c r="O149" s="417"/>
      <c r="P149" s="419">
        <v>2074</v>
      </c>
      <c r="Q149" s="417" t="s">
        <v>1614</v>
      </c>
      <c r="R149" s="417" t="s">
        <v>1651</v>
      </c>
      <c r="S149" s="417" t="s">
        <v>1622</v>
      </c>
      <c r="T149" s="417" t="s">
        <v>52</v>
      </c>
    </row>
    <row r="150" spans="1:20" x14ac:dyDescent="0.25">
      <c r="A150" s="417" t="s">
        <v>274</v>
      </c>
      <c r="B150" s="418">
        <v>431</v>
      </c>
      <c r="C150">
        <f t="shared" si="4"/>
        <v>2</v>
      </c>
      <c r="D150">
        <f>COUNTIF($B$2:B150,B150)</f>
        <v>1</v>
      </c>
      <c r="E150" t="str">
        <f t="shared" si="5"/>
        <v>431.1</v>
      </c>
      <c r="F150" s="417" t="s">
        <v>1782</v>
      </c>
      <c r="G150" s="417" t="s">
        <v>279</v>
      </c>
      <c r="H150" s="417" t="s">
        <v>1783</v>
      </c>
      <c r="I150" s="417" t="s">
        <v>1784</v>
      </c>
      <c r="J150" s="417" t="s">
        <v>1609</v>
      </c>
      <c r="K150" s="417" t="s">
        <v>1334</v>
      </c>
      <c r="L150" s="417" t="s">
        <v>88</v>
      </c>
      <c r="M150" s="417"/>
      <c r="N150" s="417"/>
      <c r="O150" s="417"/>
      <c r="P150" s="420">
        <v>2042</v>
      </c>
      <c r="Q150" s="417" t="s">
        <v>1614</v>
      </c>
      <c r="R150" s="417" t="s">
        <v>1633</v>
      </c>
      <c r="S150" s="417" t="s">
        <v>1785</v>
      </c>
      <c r="T150" s="417" t="s">
        <v>52</v>
      </c>
    </row>
    <row r="151" spans="1:20" x14ac:dyDescent="0.25">
      <c r="A151" s="417" t="s">
        <v>274</v>
      </c>
      <c r="B151" s="418">
        <v>431</v>
      </c>
      <c r="C151">
        <f t="shared" si="4"/>
        <v>2</v>
      </c>
      <c r="D151">
        <f>COUNTIF($B$2:B151,B151)</f>
        <v>2</v>
      </c>
      <c r="E151" t="str">
        <f t="shared" si="5"/>
        <v>431.2</v>
      </c>
      <c r="F151" s="417" t="s">
        <v>1782</v>
      </c>
      <c r="G151" s="417" t="s">
        <v>279</v>
      </c>
      <c r="H151" s="417" t="s">
        <v>1786</v>
      </c>
      <c r="I151" s="417" t="s">
        <v>1784</v>
      </c>
      <c r="J151" s="417" t="s">
        <v>1619</v>
      </c>
      <c r="K151" s="417" t="s">
        <v>1346</v>
      </c>
      <c r="L151" s="417" t="s">
        <v>88</v>
      </c>
      <c r="M151" s="417"/>
      <c r="N151" s="417"/>
      <c r="O151" s="417"/>
      <c r="P151" s="420">
        <v>2042</v>
      </c>
      <c r="Q151" s="417" t="s">
        <v>52</v>
      </c>
      <c r="R151" s="417" t="s">
        <v>52</v>
      </c>
      <c r="S151" s="417" t="s">
        <v>52</v>
      </c>
      <c r="T151" s="417" t="s">
        <v>52</v>
      </c>
    </row>
    <row r="152" spans="1:20" x14ac:dyDescent="0.25">
      <c r="A152" s="417" t="s">
        <v>274</v>
      </c>
      <c r="B152" s="418">
        <v>435</v>
      </c>
      <c r="C152">
        <f t="shared" si="4"/>
        <v>1</v>
      </c>
      <c r="D152">
        <f>COUNTIF($B$2:B152,B152)</f>
        <v>1</v>
      </c>
      <c r="E152" t="str">
        <f t="shared" si="5"/>
        <v>435.1</v>
      </c>
      <c r="F152" s="417" t="s">
        <v>1787</v>
      </c>
      <c r="G152" s="417" t="s">
        <v>340</v>
      </c>
      <c r="H152" s="417" t="s">
        <v>1399</v>
      </c>
      <c r="I152" s="417" t="s">
        <v>1400</v>
      </c>
      <c r="J152" s="417" t="s">
        <v>1609</v>
      </c>
      <c r="K152" s="417" t="s">
        <v>1376</v>
      </c>
      <c r="L152" s="417" t="s">
        <v>88</v>
      </c>
      <c r="M152" s="417" t="s">
        <v>1610</v>
      </c>
      <c r="N152" s="417"/>
      <c r="O152" s="417" t="s">
        <v>1611</v>
      </c>
      <c r="P152" s="419">
        <v>2063</v>
      </c>
      <c r="Q152" s="417" t="s">
        <v>1612</v>
      </c>
      <c r="R152" s="417" t="s">
        <v>882</v>
      </c>
      <c r="S152" s="417"/>
      <c r="T152" s="417"/>
    </row>
    <row r="153" spans="1:20" x14ac:dyDescent="0.25">
      <c r="A153" s="417" t="s">
        <v>274</v>
      </c>
      <c r="B153" s="418">
        <v>437</v>
      </c>
      <c r="C153">
        <f t="shared" si="4"/>
        <v>2</v>
      </c>
      <c r="D153">
        <f>COUNTIF($B$2:B153,B153)</f>
        <v>1</v>
      </c>
      <c r="E153" t="str">
        <f t="shared" si="5"/>
        <v>437.1</v>
      </c>
      <c r="F153" s="417" t="s">
        <v>1788</v>
      </c>
      <c r="G153" s="417" t="s">
        <v>1789</v>
      </c>
      <c r="H153" s="417" t="s">
        <v>1790</v>
      </c>
      <c r="I153" s="417" t="s">
        <v>1791</v>
      </c>
      <c r="J153" s="417" t="s">
        <v>1609</v>
      </c>
      <c r="K153" s="417" t="s">
        <v>1355</v>
      </c>
      <c r="L153" s="417" t="s">
        <v>88</v>
      </c>
      <c r="M153" s="417"/>
      <c r="N153" s="417"/>
      <c r="O153" s="417"/>
      <c r="P153" s="419">
        <v>2046</v>
      </c>
      <c r="Q153" s="417" t="s">
        <v>1614</v>
      </c>
      <c r="R153" s="417" t="s">
        <v>1633</v>
      </c>
      <c r="S153" s="417" t="s">
        <v>1712</v>
      </c>
      <c r="T153" s="417" t="s">
        <v>1792</v>
      </c>
    </row>
    <row r="154" spans="1:20" x14ac:dyDescent="0.25">
      <c r="A154" s="417" t="s">
        <v>274</v>
      </c>
      <c r="B154" s="418">
        <v>437</v>
      </c>
      <c r="C154">
        <f t="shared" si="4"/>
        <v>2</v>
      </c>
      <c r="D154">
        <f>COUNTIF($B$2:B154,B154)</f>
        <v>2</v>
      </c>
      <c r="E154" t="str">
        <f t="shared" si="5"/>
        <v>437.2</v>
      </c>
      <c r="F154" s="417" t="s">
        <v>1788</v>
      </c>
      <c r="G154" s="417" t="s">
        <v>1789</v>
      </c>
      <c r="H154" s="417" t="s">
        <v>1793</v>
      </c>
      <c r="I154" s="417" t="s">
        <v>1794</v>
      </c>
      <c r="J154" s="417" t="s">
        <v>1609</v>
      </c>
      <c r="K154" s="417" t="s">
        <v>1334</v>
      </c>
      <c r="L154" s="417" t="s">
        <v>88</v>
      </c>
      <c r="M154" s="417"/>
      <c r="N154" s="417"/>
      <c r="O154" s="417"/>
      <c r="P154" s="420">
        <v>2068</v>
      </c>
      <c r="Q154" s="417" t="s">
        <v>1620</v>
      </c>
      <c r="R154" s="417" t="s">
        <v>1633</v>
      </c>
      <c r="S154" s="417" t="s">
        <v>1712</v>
      </c>
      <c r="T154" s="417" t="s">
        <v>1795</v>
      </c>
    </row>
    <row r="155" spans="1:20" x14ac:dyDescent="0.25">
      <c r="A155" s="417" t="s">
        <v>274</v>
      </c>
      <c r="B155" s="418">
        <v>439</v>
      </c>
      <c r="C155">
        <f t="shared" si="4"/>
        <v>2</v>
      </c>
      <c r="D155">
        <f>COUNTIF($B$2:B155,B155)</f>
        <v>1</v>
      </c>
      <c r="E155" t="str">
        <f t="shared" si="5"/>
        <v>439.1</v>
      </c>
      <c r="F155" s="417" t="s">
        <v>1796</v>
      </c>
      <c r="G155" s="417" t="s">
        <v>1797</v>
      </c>
      <c r="H155" s="417" t="s">
        <v>1798</v>
      </c>
      <c r="I155" s="417" t="s">
        <v>1796</v>
      </c>
      <c r="J155" s="417" t="s">
        <v>1609</v>
      </c>
      <c r="K155" s="417" t="s">
        <v>1376</v>
      </c>
      <c r="L155" s="417" t="s">
        <v>1651</v>
      </c>
      <c r="M155" s="417" t="s">
        <v>1610</v>
      </c>
      <c r="N155" s="417"/>
      <c r="O155" s="417" t="s">
        <v>1611</v>
      </c>
      <c r="P155" s="424" t="s">
        <v>52</v>
      </c>
      <c r="Q155" s="417" t="s">
        <v>1612</v>
      </c>
      <c r="R155" s="417" t="s">
        <v>1799</v>
      </c>
      <c r="S155" s="417"/>
      <c r="T155" s="417"/>
    </row>
    <row r="156" spans="1:20" x14ac:dyDescent="0.25">
      <c r="A156" s="417" t="s">
        <v>274</v>
      </c>
      <c r="B156" s="418">
        <v>439</v>
      </c>
      <c r="C156">
        <f t="shared" si="4"/>
        <v>2</v>
      </c>
      <c r="D156">
        <f>COUNTIF($B$2:B156,B156)</f>
        <v>2</v>
      </c>
      <c r="E156" t="str">
        <f t="shared" si="5"/>
        <v>439.2</v>
      </c>
      <c r="F156" s="417" t="s">
        <v>1796</v>
      </c>
      <c r="G156" s="417" t="s">
        <v>1797</v>
      </c>
      <c r="H156" s="417" t="s">
        <v>1800</v>
      </c>
      <c r="I156" s="417" t="s">
        <v>1801</v>
      </c>
      <c r="J156" s="417" t="s">
        <v>1619</v>
      </c>
      <c r="K156" s="417" t="s">
        <v>1376</v>
      </c>
      <c r="L156" s="417" t="s">
        <v>1651</v>
      </c>
      <c r="M156" s="417"/>
      <c r="N156" s="417"/>
      <c r="O156" s="417"/>
      <c r="P156" s="417" t="s">
        <v>52</v>
      </c>
      <c r="Q156" s="417" t="s">
        <v>52</v>
      </c>
      <c r="R156" s="417" t="s">
        <v>52</v>
      </c>
      <c r="S156" s="417" t="s">
        <v>52</v>
      </c>
      <c r="T156" s="417" t="s">
        <v>52</v>
      </c>
    </row>
    <row r="157" spans="1:20" x14ac:dyDescent="0.25">
      <c r="A157" s="417" t="s">
        <v>625</v>
      </c>
      <c r="B157" s="418">
        <v>1148</v>
      </c>
      <c r="C157">
        <f t="shared" si="4"/>
        <v>1</v>
      </c>
      <c r="D157">
        <f>COUNTIF($B$2:B157,B157)</f>
        <v>1</v>
      </c>
      <c r="E157" t="str">
        <f t="shared" si="5"/>
        <v>1148.1</v>
      </c>
      <c r="F157" s="417" t="s">
        <v>1802</v>
      </c>
      <c r="G157" s="417" t="s">
        <v>1803</v>
      </c>
      <c r="H157" s="417" t="s">
        <v>1804</v>
      </c>
      <c r="I157" s="417" t="s">
        <v>1494</v>
      </c>
      <c r="J157" s="417" t="s">
        <v>1609</v>
      </c>
      <c r="K157" s="417" t="s">
        <v>1376</v>
      </c>
      <c r="L157" s="417" t="s">
        <v>88</v>
      </c>
      <c r="M157" s="417"/>
      <c r="N157" s="417"/>
      <c r="O157" s="417"/>
      <c r="P157" s="420">
        <v>2045</v>
      </c>
      <c r="Q157" s="417" t="s">
        <v>13</v>
      </c>
      <c r="R157" s="417" t="s">
        <v>52</v>
      </c>
      <c r="S157" s="417" t="s">
        <v>52</v>
      </c>
      <c r="T157" s="417" t="s">
        <v>52</v>
      </c>
    </row>
    <row r="158" spans="1:20" x14ac:dyDescent="0.25">
      <c r="A158" s="417" t="s">
        <v>625</v>
      </c>
      <c r="B158" s="418">
        <v>1163</v>
      </c>
      <c r="C158">
        <f t="shared" si="4"/>
        <v>2</v>
      </c>
      <c r="D158">
        <f>COUNTIF($B$2:B158,B158)</f>
        <v>1</v>
      </c>
      <c r="E158" t="str">
        <f t="shared" si="5"/>
        <v>1163.1</v>
      </c>
      <c r="F158" s="417" t="s">
        <v>1805</v>
      </c>
      <c r="G158" s="417" t="s">
        <v>1806</v>
      </c>
      <c r="H158" s="417" t="s">
        <v>1807</v>
      </c>
      <c r="I158" s="417" t="s">
        <v>1808</v>
      </c>
      <c r="J158" s="417" t="s">
        <v>1609</v>
      </c>
      <c r="K158" s="417" t="s">
        <v>1376</v>
      </c>
      <c r="L158" s="417" t="s">
        <v>88</v>
      </c>
      <c r="M158" s="417"/>
      <c r="N158" s="417"/>
      <c r="O158" s="417"/>
      <c r="P158" s="419">
        <v>2041</v>
      </c>
      <c r="Q158" s="417" t="s">
        <v>1620</v>
      </c>
      <c r="R158" s="417" t="s">
        <v>1651</v>
      </c>
      <c r="S158" s="417" t="s">
        <v>1622</v>
      </c>
      <c r="T158" s="417" t="s">
        <v>1809</v>
      </c>
    </row>
    <row r="159" spans="1:20" x14ac:dyDescent="0.25">
      <c r="A159" s="417" t="s">
        <v>625</v>
      </c>
      <c r="B159" s="418">
        <v>1163</v>
      </c>
      <c r="C159">
        <f t="shared" si="4"/>
        <v>2</v>
      </c>
      <c r="D159">
        <f>COUNTIF($B$2:B159,B159)</f>
        <v>2</v>
      </c>
      <c r="E159" t="str">
        <f t="shared" si="5"/>
        <v>1163.2</v>
      </c>
      <c r="F159" s="417" t="s">
        <v>1805</v>
      </c>
      <c r="G159" s="417" t="s">
        <v>1806</v>
      </c>
      <c r="H159" s="417" t="s">
        <v>1810</v>
      </c>
      <c r="I159" s="417" t="s">
        <v>1808</v>
      </c>
      <c r="J159" s="417" t="s">
        <v>1619</v>
      </c>
      <c r="K159" s="417" t="s">
        <v>1376</v>
      </c>
      <c r="L159" s="417" t="s">
        <v>88</v>
      </c>
      <c r="M159" s="417"/>
      <c r="N159" s="417"/>
      <c r="O159" s="417"/>
      <c r="P159" s="420">
        <v>2041</v>
      </c>
      <c r="Q159" s="417" t="s">
        <v>52</v>
      </c>
      <c r="R159" s="417" t="s">
        <v>52</v>
      </c>
      <c r="S159" s="417" t="s">
        <v>52</v>
      </c>
      <c r="T159" s="417" t="s">
        <v>52</v>
      </c>
    </row>
    <row r="160" spans="1:20" x14ac:dyDescent="0.25">
      <c r="A160" s="417" t="s">
        <v>625</v>
      </c>
      <c r="B160" s="418">
        <v>1165</v>
      </c>
      <c r="C160">
        <f t="shared" si="4"/>
        <v>2</v>
      </c>
      <c r="D160">
        <f>COUNTIF($B$2:B160,B160)</f>
        <v>1</v>
      </c>
      <c r="E160" t="str">
        <f t="shared" si="5"/>
        <v>1165.1</v>
      </c>
      <c r="F160" s="417" t="s">
        <v>1811</v>
      </c>
      <c r="G160" s="417" t="s">
        <v>1812</v>
      </c>
      <c r="H160" s="417" t="s">
        <v>1813</v>
      </c>
      <c r="I160" s="417" t="s">
        <v>1808</v>
      </c>
      <c r="J160" s="417" t="s">
        <v>1609</v>
      </c>
      <c r="K160" s="417" t="s">
        <v>1376</v>
      </c>
      <c r="L160" s="417" t="s">
        <v>88</v>
      </c>
      <c r="M160" s="417"/>
      <c r="N160" s="417"/>
      <c r="O160" s="417"/>
      <c r="P160" s="419">
        <v>2041</v>
      </c>
      <c r="Q160" s="417" t="s">
        <v>1620</v>
      </c>
      <c r="R160" s="417" t="s">
        <v>1651</v>
      </c>
      <c r="S160" s="417" t="s">
        <v>1622</v>
      </c>
      <c r="T160" s="417" t="s">
        <v>1809</v>
      </c>
    </row>
    <row r="161" spans="1:20" x14ac:dyDescent="0.25">
      <c r="A161" s="417" t="s">
        <v>625</v>
      </c>
      <c r="B161" s="418">
        <v>1165</v>
      </c>
      <c r="C161">
        <f t="shared" si="4"/>
        <v>2</v>
      </c>
      <c r="D161">
        <f>COUNTIF($B$2:B161,B161)</f>
        <v>2</v>
      </c>
      <c r="E161" t="str">
        <f t="shared" si="5"/>
        <v>1165.2</v>
      </c>
      <c r="F161" s="417" t="s">
        <v>1811</v>
      </c>
      <c r="G161" s="417" t="s">
        <v>1812</v>
      </c>
      <c r="H161" s="417" t="s">
        <v>1807</v>
      </c>
      <c r="I161" s="417" t="s">
        <v>1808</v>
      </c>
      <c r="J161" s="417" t="s">
        <v>1619</v>
      </c>
      <c r="K161" s="417" t="s">
        <v>1376</v>
      </c>
      <c r="L161" s="417" t="s">
        <v>88</v>
      </c>
      <c r="M161" s="417"/>
      <c r="N161" s="417"/>
      <c r="O161" s="417"/>
      <c r="P161" s="420">
        <v>2041</v>
      </c>
      <c r="Q161" s="417" t="s">
        <v>1620</v>
      </c>
      <c r="R161" s="417" t="s">
        <v>1651</v>
      </c>
      <c r="S161" s="417" t="s">
        <v>1622</v>
      </c>
      <c r="T161" s="417" t="s">
        <v>1809</v>
      </c>
    </row>
    <row r="162" spans="1:20" x14ac:dyDescent="0.25">
      <c r="A162" s="417" t="s">
        <v>625</v>
      </c>
      <c r="B162" s="418">
        <v>1168</v>
      </c>
      <c r="C162">
        <f t="shared" si="4"/>
        <v>2</v>
      </c>
      <c r="D162">
        <f>COUNTIF($B$2:B162,B162)</f>
        <v>1</v>
      </c>
      <c r="E162" t="str">
        <f t="shared" si="5"/>
        <v>1168.1</v>
      </c>
      <c r="F162" s="417" t="s">
        <v>1814</v>
      </c>
      <c r="G162" s="417" t="s">
        <v>1815</v>
      </c>
      <c r="H162" s="417" t="s">
        <v>1816</v>
      </c>
      <c r="I162" s="417" t="s">
        <v>1817</v>
      </c>
      <c r="J162" s="417" t="s">
        <v>1609</v>
      </c>
      <c r="K162" s="417" t="s">
        <v>1376</v>
      </c>
      <c r="L162" s="417" t="s">
        <v>88</v>
      </c>
      <c r="M162" s="417"/>
      <c r="N162" s="417"/>
      <c r="O162" s="417"/>
      <c r="P162" s="419">
        <v>2041</v>
      </c>
      <c r="Q162" s="417" t="s">
        <v>1620</v>
      </c>
      <c r="R162" s="417" t="s">
        <v>1651</v>
      </c>
      <c r="S162" s="417" t="s">
        <v>1622</v>
      </c>
      <c r="T162" s="417" t="s">
        <v>1809</v>
      </c>
    </row>
    <row r="163" spans="1:20" x14ac:dyDescent="0.25">
      <c r="A163" s="417" t="s">
        <v>625</v>
      </c>
      <c r="B163" s="418">
        <v>1168</v>
      </c>
      <c r="C163">
        <f t="shared" si="4"/>
        <v>2</v>
      </c>
      <c r="D163">
        <f>COUNTIF($B$2:B163,B163)</f>
        <v>2</v>
      </c>
      <c r="E163" t="str">
        <f t="shared" si="5"/>
        <v>1168.2</v>
      </c>
      <c r="F163" s="417" t="s">
        <v>1814</v>
      </c>
      <c r="G163" s="417" t="s">
        <v>1815</v>
      </c>
      <c r="H163" s="417" t="s">
        <v>1818</v>
      </c>
      <c r="I163" s="417" t="s">
        <v>1817</v>
      </c>
      <c r="J163" s="417" t="s">
        <v>1609</v>
      </c>
      <c r="K163" s="417" t="s">
        <v>1376</v>
      </c>
      <c r="L163" s="417" t="s">
        <v>88</v>
      </c>
      <c r="M163" s="417"/>
      <c r="N163" s="417"/>
      <c r="O163" s="417"/>
      <c r="P163" s="419">
        <v>2041</v>
      </c>
      <c r="Q163" s="417" t="s">
        <v>1620</v>
      </c>
      <c r="R163" s="417" t="s">
        <v>1651</v>
      </c>
      <c r="S163" s="417" t="s">
        <v>1622</v>
      </c>
      <c r="T163" s="417" t="s">
        <v>1809</v>
      </c>
    </row>
    <row r="164" spans="1:20" x14ac:dyDescent="0.25">
      <c r="A164" s="417" t="s">
        <v>625</v>
      </c>
      <c r="B164" s="418">
        <v>1182</v>
      </c>
      <c r="C164">
        <f t="shared" si="4"/>
        <v>2</v>
      </c>
      <c r="D164">
        <f>COUNTIF($B$2:B164,B164)</f>
        <v>1</v>
      </c>
      <c r="E164" t="str">
        <f t="shared" si="5"/>
        <v>1182.1</v>
      </c>
      <c r="F164" s="417" t="s">
        <v>1819</v>
      </c>
      <c r="G164" s="417" t="s">
        <v>1820</v>
      </c>
      <c r="H164" s="417" t="s">
        <v>1821</v>
      </c>
      <c r="I164" s="417" t="s">
        <v>1822</v>
      </c>
      <c r="J164" s="417" t="s">
        <v>1619</v>
      </c>
      <c r="K164" s="417" t="s">
        <v>1376</v>
      </c>
      <c r="L164" s="417" t="s">
        <v>88</v>
      </c>
      <c r="M164" s="417"/>
      <c r="N164" s="417"/>
      <c r="O164" s="417"/>
      <c r="P164" s="420">
        <v>2055</v>
      </c>
      <c r="Q164" s="417" t="s">
        <v>52</v>
      </c>
      <c r="R164" s="417" t="s">
        <v>52</v>
      </c>
      <c r="S164" s="417" t="s">
        <v>52</v>
      </c>
      <c r="T164" s="417" t="s">
        <v>52</v>
      </c>
    </row>
    <row r="165" spans="1:20" x14ac:dyDescent="0.25">
      <c r="A165" s="417" t="s">
        <v>625</v>
      </c>
      <c r="B165" s="418">
        <v>1182</v>
      </c>
      <c r="C165">
        <f t="shared" si="4"/>
        <v>2</v>
      </c>
      <c r="D165">
        <f>COUNTIF($B$2:B165,B165)</f>
        <v>2</v>
      </c>
      <c r="E165" t="str">
        <f t="shared" si="5"/>
        <v>1182.2</v>
      </c>
      <c r="F165" s="417" t="s">
        <v>1819</v>
      </c>
      <c r="G165" s="417" t="s">
        <v>1820</v>
      </c>
      <c r="H165" s="417" t="s">
        <v>1505</v>
      </c>
      <c r="I165" s="417" t="s">
        <v>1822</v>
      </c>
      <c r="J165" s="417" t="s">
        <v>1619</v>
      </c>
      <c r="K165" s="417" t="s">
        <v>1337</v>
      </c>
      <c r="L165" s="417" t="s">
        <v>88</v>
      </c>
      <c r="M165" s="417"/>
      <c r="N165" s="417"/>
      <c r="O165" s="417"/>
      <c r="P165" s="420">
        <v>2055</v>
      </c>
      <c r="Q165" s="417" t="s">
        <v>1626</v>
      </c>
      <c r="R165" s="417" t="s">
        <v>1651</v>
      </c>
      <c r="S165" s="417" t="s">
        <v>1657</v>
      </c>
      <c r="T165" s="417" t="s">
        <v>1823</v>
      </c>
    </row>
    <row r="166" spans="1:20" x14ac:dyDescent="0.25">
      <c r="A166" s="425" t="s">
        <v>274</v>
      </c>
      <c r="B166" s="426">
        <v>1310</v>
      </c>
      <c r="C166">
        <f t="shared" si="4"/>
        <v>1</v>
      </c>
      <c r="D166">
        <f>COUNTIF($B$2:B166,B166)</f>
        <v>1</v>
      </c>
      <c r="E166" t="str">
        <f t="shared" si="5"/>
        <v>1310.1</v>
      </c>
      <c r="F166" s="425" t="s">
        <v>1824</v>
      </c>
      <c r="G166" s="425" t="s">
        <v>337</v>
      </c>
      <c r="H166" s="425" t="s">
        <v>1397</v>
      </c>
      <c r="I166" s="425" t="s">
        <v>1398</v>
      </c>
      <c r="J166" s="425" t="s">
        <v>1609</v>
      </c>
      <c r="K166" s="425" t="s">
        <v>1376</v>
      </c>
      <c r="L166" s="425" t="s">
        <v>1651</v>
      </c>
      <c r="M166" s="425">
        <v>1</v>
      </c>
      <c r="N166" s="425"/>
      <c r="O166" s="425"/>
      <c r="P166" s="427">
        <v>2037</v>
      </c>
      <c r="Q166" s="425" t="s">
        <v>1632</v>
      </c>
      <c r="R166" s="425" t="s">
        <v>1633</v>
      </c>
      <c r="S166" s="425"/>
      <c r="T166" s="425"/>
    </row>
    <row r="167" spans="1:20" x14ac:dyDescent="0.25">
      <c r="A167" s="428"/>
      <c r="B167" s="428"/>
      <c r="F167" s="428"/>
      <c r="G167" s="428"/>
      <c r="H167" s="428"/>
      <c r="I167" s="428"/>
      <c r="J167" s="428"/>
      <c r="K167" s="428"/>
      <c r="L167" s="428"/>
      <c r="M167" s="428">
        <f>SUBTOTAL(9,M1:M166)</f>
        <v>40</v>
      </c>
      <c r="N167" s="428"/>
      <c r="O167" s="428"/>
      <c r="P167" s="429"/>
      <c r="Q167" s="428"/>
      <c r="R167" s="428"/>
      <c r="S167" s="428"/>
      <c r="T167" s="428"/>
    </row>
  </sheetData>
  <autoFilter ref="A1:T1"/>
  <conditionalFormatting sqref="P1:P104857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21"/>
  <sheetViews>
    <sheetView zoomScale="85" zoomScaleNormal="85" workbookViewId="0">
      <pane xSplit="3" ySplit="9" topLeftCell="D10" activePane="bottomRight" state="frozenSplit"/>
      <selection activeCell="K15" sqref="K15"/>
      <selection pane="topRight" activeCell="K15" sqref="K15"/>
      <selection pane="bottomLeft" activeCell="K15" sqref="K15"/>
      <selection pane="bottomRight" activeCell="M2" sqref="M2:P2"/>
    </sheetView>
  </sheetViews>
  <sheetFormatPr baseColWidth="10" defaultRowHeight="18.75" customHeight="1" x14ac:dyDescent="0.25"/>
  <cols>
    <col min="1" max="1" width="8.140625" style="114" customWidth="1"/>
    <col min="2" max="2" width="23.28515625" customWidth="1"/>
    <col min="3" max="3" width="8.85546875" customWidth="1"/>
    <col min="4" max="4" width="12.140625" customWidth="1"/>
    <col min="5" max="9" width="8.85546875" customWidth="1"/>
    <col min="10" max="10" width="22" customWidth="1"/>
    <col min="11" max="11" width="11.85546875" style="259" customWidth="1"/>
    <col min="12" max="12" width="14.42578125" style="259" customWidth="1"/>
    <col min="13" max="13" width="13.140625" style="259" customWidth="1"/>
    <col min="14" max="15" width="15.7109375" style="259" customWidth="1"/>
    <col min="16" max="18" width="13.85546875" style="260" customWidth="1"/>
    <col min="19" max="19" width="255.7109375" style="118" bestFit="1" customWidth="1"/>
    <col min="20" max="20" width="11.42578125" style="114"/>
  </cols>
  <sheetData>
    <row r="1" spans="1:20" ht="18.75" customHeight="1" x14ac:dyDescent="0.3">
      <c r="A1" s="257" t="s">
        <v>1049</v>
      </c>
      <c r="K1" s="258"/>
      <c r="L1" s="258"/>
      <c r="M1" s="258"/>
      <c r="T1"/>
    </row>
    <row r="2" spans="1:20" ht="18.75" customHeight="1" x14ac:dyDescent="0.3">
      <c r="A2" s="257" t="s">
        <v>1986</v>
      </c>
      <c r="K2" s="258"/>
      <c r="L2" s="258"/>
      <c r="M2" s="947"/>
      <c r="N2" s="948"/>
      <c r="O2" s="948"/>
      <c r="T2"/>
    </row>
    <row r="3" spans="1:20" ht="18.75" customHeight="1" x14ac:dyDescent="0.3">
      <c r="A3" s="257"/>
      <c r="K3" s="258"/>
      <c r="L3" s="258"/>
      <c r="M3" s="258"/>
      <c r="T3"/>
    </row>
    <row r="4" spans="1:20" ht="18.75" customHeight="1" x14ac:dyDescent="0.25">
      <c r="A4" s="261" t="s">
        <v>1050</v>
      </c>
      <c r="K4" s="258"/>
      <c r="L4" s="258"/>
      <c r="M4" s="258"/>
      <c r="T4"/>
    </row>
    <row r="5" spans="1:20" ht="18.75" customHeight="1" x14ac:dyDescent="0.25">
      <c r="A5" s="261" t="s">
        <v>1051</v>
      </c>
      <c r="K5" s="258"/>
      <c r="L5" s="258"/>
      <c r="M5" s="258"/>
      <c r="T5"/>
    </row>
    <row r="6" spans="1:20" ht="18.75" customHeight="1" x14ac:dyDescent="0.25">
      <c r="A6" s="261" t="s">
        <v>1052</v>
      </c>
      <c r="K6" s="258"/>
      <c r="L6" s="258"/>
      <c r="M6" s="258"/>
      <c r="T6"/>
    </row>
    <row r="7" spans="1:20" ht="18.75" customHeight="1" thickBot="1" x14ac:dyDescent="0.35">
      <c r="A7" s="257"/>
    </row>
    <row r="8" spans="1:20" ht="18.75" customHeight="1" thickBot="1" x14ac:dyDescent="0.3">
      <c r="E8" s="115" t="s">
        <v>701</v>
      </c>
      <c r="F8" s="116"/>
      <c r="G8" s="115"/>
      <c r="H8" s="116"/>
      <c r="I8" s="115"/>
      <c r="J8" s="117"/>
      <c r="K8" s="1411" t="s">
        <v>702</v>
      </c>
      <c r="L8" s="1412"/>
      <c r="M8" s="1413"/>
      <c r="N8" s="1414" t="s">
        <v>703</v>
      </c>
      <c r="O8" s="1415"/>
      <c r="P8" s="1416" t="s">
        <v>704</v>
      </c>
      <c r="Q8" s="1417"/>
      <c r="R8" s="1418"/>
    </row>
    <row r="9" spans="1:20" ht="18.75" customHeight="1" thickBot="1" x14ac:dyDescent="0.3">
      <c r="A9" s="119" t="s">
        <v>705</v>
      </c>
      <c r="B9" s="120" t="s">
        <v>706</v>
      </c>
      <c r="C9" s="121" t="s">
        <v>707</v>
      </c>
      <c r="D9" s="119" t="s">
        <v>708</v>
      </c>
      <c r="E9" s="122" t="s">
        <v>709</v>
      </c>
      <c r="F9" s="123" t="s">
        <v>709</v>
      </c>
      <c r="G9" s="123" t="s">
        <v>710</v>
      </c>
      <c r="H9" s="123" t="s">
        <v>711</v>
      </c>
      <c r="I9" s="124" t="s">
        <v>712</v>
      </c>
      <c r="J9" s="125" t="s">
        <v>712</v>
      </c>
      <c r="K9" s="126" t="s">
        <v>713</v>
      </c>
      <c r="L9" s="127" t="s">
        <v>714</v>
      </c>
      <c r="M9" s="128" t="s">
        <v>715</v>
      </c>
      <c r="N9" s="129" t="s">
        <v>26</v>
      </c>
      <c r="O9" s="130" t="s">
        <v>716</v>
      </c>
      <c r="P9" s="131" t="s">
        <v>709</v>
      </c>
      <c r="Q9" s="132" t="s">
        <v>712</v>
      </c>
      <c r="R9" s="133" t="s">
        <v>717</v>
      </c>
      <c r="S9" s="134" t="s">
        <v>718</v>
      </c>
    </row>
    <row r="10" spans="1:20" ht="18.75" customHeight="1" x14ac:dyDescent="0.25">
      <c r="A10" s="496" t="s">
        <v>35</v>
      </c>
      <c r="B10" s="497"/>
      <c r="C10" s="498" t="s">
        <v>35</v>
      </c>
      <c r="D10" s="498"/>
      <c r="E10" s="496"/>
      <c r="F10" s="497"/>
      <c r="G10" s="497"/>
      <c r="H10" s="497"/>
      <c r="I10" s="498"/>
      <c r="J10" s="474"/>
      <c r="K10" s="499"/>
      <c r="L10" s="501"/>
      <c r="M10" s="502"/>
      <c r="N10" s="503"/>
      <c r="O10" s="502"/>
      <c r="P10" s="504"/>
      <c r="Q10" s="506"/>
      <c r="R10" s="507"/>
      <c r="S10" s="508"/>
    </row>
    <row r="11" spans="1:20" ht="18.75" customHeight="1" x14ac:dyDescent="0.25">
      <c r="A11" s="135">
        <v>2</v>
      </c>
      <c r="B11" s="136" t="s">
        <v>36</v>
      </c>
      <c r="C11" s="137" t="s">
        <v>35</v>
      </c>
      <c r="D11" s="137" t="s">
        <v>37</v>
      </c>
      <c r="E11" s="138" t="s">
        <v>43</v>
      </c>
      <c r="F11" s="139" t="s">
        <v>39</v>
      </c>
      <c r="G11" s="140" t="s">
        <v>45</v>
      </c>
      <c r="H11" s="141" t="s">
        <v>719</v>
      </c>
      <c r="I11" s="142" t="s">
        <v>72</v>
      </c>
      <c r="J11" s="143" t="s">
        <v>720</v>
      </c>
      <c r="K11" s="518" t="s">
        <v>721</v>
      </c>
      <c r="L11" s="144" t="s">
        <v>721</v>
      </c>
      <c r="M11" s="145" t="s">
        <v>48</v>
      </c>
      <c r="N11" s="519" t="s">
        <v>44</v>
      </c>
      <c r="O11" s="519" t="s">
        <v>44</v>
      </c>
      <c r="P11" s="146" t="s">
        <v>48</v>
      </c>
      <c r="Q11" s="147" t="s">
        <v>48</v>
      </c>
      <c r="R11" s="148"/>
      <c r="S11" s="149"/>
    </row>
    <row r="12" spans="1:20" ht="18.75" customHeight="1" x14ac:dyDescent="0.25">
      <c r="A12" s="135">
        <v>3</v>
      </c>
      <c r="B12" s="136" t="s">
        <v>46</v>
      </c>
      <c r="C12" s="137" t="s">
        <v>35</v>
      </c>
      <c r="D12" s="137" t="s">
        <v>37</v>
      </c>
      <c r="E12" s="138" t="s">
        <v>43</v>
      </c>
      <c r="F12" s="139" t="s">
        <v>39</v>
      </c>
      <c r="G12" s="140" t="s">
        <v>45</v>
      </c>
      <c r="H12" s="141" t="s">
        <v>722</v>
      </c>
      <c r="I12" s="142" t="s">
        <v>72</v>
      </c>
      <c r="J12" s="143" t="s">
        <v>723</v>
      </c>
      <c r="K12" s="150" t="s">
        <v>724</v>
      </c>
      <c r="L12" s="151" t="s">
        <v>725</v>
      </c>
      <c r="M12" s="145" t="s">
        <v>726</v>
      </c>
      <c r="N12" s="152" t="s">
        <v>48</v>
      </c>
      <c r="O12" s="153" t="s">
        <v>48</v>
      </c>
      <c r="P12" s="146" t="s">
        <v>48</v>
      </c>
      <c r="Q12" s="147" t="s">
        <v>48</v>
      </c>
      <c r="R12" s="148"/>
      <c r="S12" s="149" t="s">
        <v>727</v>
      </c>
    </row>
    <row r="13" spans="1:20" ht="18.75" customHeight="1" x14ac:dyDescent="0.25">
      <c r="A13" s="135">
        <v>36</v>
      </c>
      <c r="B13" s="136" t="s">
        <v>49</v>
      </c>
      <c r="C13" s="137" t="s">
        <v>35</v>
      </c>
      <c r="D13" s="137" t="s">
        <v>50</v>
      </c>
      <c r="E13" s="138" t="s">
        <v>43</v>
      </c>
      <c r="F13" s="139" t="s">
        <v>53</v>
      </c>
      <c r="G13" s="140" t="s">
        <v>53</v>
      </c>
      <c r="H13" s="141" t="s">
        <v>719</v>
      </c>
      <c r="I13" s="142" t="s">
        <v>72</v>
      </c>
      <c r="J13" s="143" t="s">
        <v>720</v>
      </c>
      <c r="K13" s="150" t="s">
        <v>724</v>
      </c>
      <c r="L13" s="151" t="s">
        <v>725</v>
      </c>
      <c r="M13" s="145" t="s">
        <v>728</v>
      </c>
      <c r="N13" s="152" t="s">
        <v>54</v>
      </c>
      <c r="O13" s="154" t="s">
        <v>55</v>
      </c>
      <c r="P13" s="146" t="s">
        <v>48</v>
      </c>
      <c r="Q13" s="147" t="s">
        <v>48</v>
      </c>
      <c r="R13" s="148"/>
      <c r="S13" s="149" t="s">
        <v>729</v>
      </c>
    </row>
    <row r="14" spans="1:20" ht="18.75" customHeight="1" x14ac:dyDescent="0.25">
      <c r="A14" s="135">
        <v>37</v>
      </c>
      <c r="B14" s="136" t="s">
        <v>56</v>
      </c>
      <c r="C14" s="137" t="s">
        <v>35</v>
      </c>
      <c r="D14" s="137" t="s">
        <v>57</v>
      </c>
      <c r="E14" s="138" t="s">
        <v>43</v>
      </c>
      <c r="F14" s="139" t="s">
        <v>39</v>
      </c>
      <c r="G14" s="140" t="s">
        <v>730</v>
      </c>
      <c r="H14" s="141" t="s">
        <v>722</v>
      </c>
      <c r="I14" s="142" t="s">
        <v>72</v>
      </c>
      <c r="J14" s="143" t="s">
        <v>723</v>
      </c>
      <c r="K14" s="150" t="s">
        <v>724</v>
      </c>
      <c r="L14" s="155" t="s">
        <v>118</v>
      </c>
      <c r="M14" s="145" t="s">
        <v>48</v>
      </c>
      <c r="N14" s="152" t="s">
        <v>54</v>
      </c>
      <c r="O14" s="154" t="s">
        <v>55</v>
      </c>
      <c r="P14" s="146" t="s">
        <v>48</v>
      </c>
      <c r="Q14" s="147" t="s">
        <v>48</v>
      </c>
      <c r="R14" s="148"/>
      <c r="S14" s="149" t="s">
        <v>731</v>
      </c>
    </row>
    <row r="15" spans="1:20" ht="18.75" customHeight="1" x14ac:dyDescent="0.25">
      <c r="A15" s="135">
        <v>40</v>
      </c>
      <c r="B15" s="136" t="s">
        <v>60</v>
      </c>
      <c r="C15" s="137" t="s">
        <v>35</v>
      </c>
      <c r="D15" s="137" t="s">
        <v>50</v>
      </c>
      <c r="E15" s="138" t="s">
        <v>43</v>
      </c>
      <c r="F15" s="139" t="s">
        <v>39</v>
      </c>
      <c r="G15" s="140" t="s">
        <v>88</v>
      </c>
      <c r="H15" s="141" t="s">
        <v>722</v>
      </c>
      <c r="I15" s="142" t="s">
        <v>72</v>
      </c>
      <c r="J15" s="143" t="s">
        <v>723</v>
      </c>
      <c r="K15" s="156" t="s">
        <v>724</v>
      </c>
      <c r="L15" s="157" t="s">
        <v>724</v>
      </c>
      <c r="M15" s="145" t="s">
        <v>732</v>
      </c>
      <c r="N15" s="152" t="s">
        <v>54</v>
      </c>
      <c r="O15" s="154" t="s">
        <v>55</v>
      </c>
      <c r="P15" s="146" t="s">
        <v>48</v>
      </c>
      <c r="Q15" s="147" t="s">
        <v>48</v>
      </c>
      <c r="R15" s="148"/>
      <c r="S15" s="149" t="s">
        <v>733</v>
      </c>
    </row>
    <row r="16" spans="1:20" ht="18.75" customHeight="1" x14ac:dyDescent="0.25">
      <c r="A16" s="135">
        <v>51</v>
      </c>
      <c r="B16" s="136" t="s">
        <v>62</v>
      </c>
      <c r="C16" s="137" t="s">
        <v>35</v>
      </c>
      <c r="D16" s="137" t="s">
        <v>63</v>
      </c>
      <c r="E16" s="138" t="s">
        <v>43</v>
      </c>
      <c r="F16" s="139" t="s">
        <v>39</v>
      </c>
      <c r="G16" s="140" t="s">
        <v>45</v>
      </c>
      <c r="H16" s="141" t="s">
        <v>722</v>
      </c>
      <c r="I16" s="142" t="s">
        <v>72</v>
      </c>
      <c r="J16" s="143" t="s">
        <v>720</v>
      </c>
      <c r="K16" s="156" t="s">
        <v>413</v>
      </c>
      <c r="L16" s="155" t="s">
        <v>118</v>
      </c>
      <c r="M16" s="145" t="s">
        <v>48</v>
      </c>
      <c r="N16" s="152" t="s">
        <v>48</v>
      </c>
      <c r="O16" s="153" t="s">
        <v>48</v>
      </c>
      <c r="P16" s="146" t="s">
        <v>48</v>
      </c>
      <c r="Q16" s="147" t="s">
        <v>734</v>
      </c>
      <c r="R16" s="148" t="s">
        <v>735</v>
      </c>
      <c r="S16" s="149" t="s">
        <v>736</v>
      </c>
    </row>
    <row r="17" spans="1:20" ht="18.75" customHeight="1" x14ac:dyDescent="0.25">
      <c r="A17" s="135">
        <v>87</v>
      </c>
      <c r="B17" s="136" t="s">
        <v>64</v>
      </c>
      <c r="C17" s="137" t="s">
        <v>35</v>
      </c>
      <c r="D17" s="137" t="s">
        <v>63</v>
      </c>
      <c r="E17" s="138" t="s">
        <v>43</v>
      </c>
      <c r="F17" s="139" t="s">
        <v>39</v>
      </c>
      <c r="G17" s="140" t="s">
        <v>45</v>
      </c>
      <c r="H17" s="141" t="s">
        <v>719</v>
      </c>
      <c r="I17" s="142" t="s">
        <v>72</v>
      </c>
      <c r="J17" s="143" t="s">
        <v>737</v>
      </c>
      <c r="K17" s="156" t="s">
        <v>413</v>
      </c>
      <c r="L17" s="155" t="s">
        <v>118</v>
      </c>
      <c r="M17" s="145" t="s">
        <v>48</v>
      </c>
      <c r="N17" s="152" t="s">
        <v>48</v>
      </c>
      <c r="O17" s="153" t="s">
        <v>48</v>
      </c>
      <c r="P17" s="146" t="s">
        <v>48</v>
      </c>
      <c r="Q17" s="147" t="s">
        <v>734</v>
      </c>
      <c r="R17" s="148" t="s">
        <v>735</v>
      </c>
      <c r="S17" s="149"/>
    </row>
    <row r="18" spans="1:20" ht="18.75" customHeight="1" x14ac:dyDescent="0.25">
      <c r="A18" s="135">
        <v>88</v>
      </c>
      <c r="B18" s="136" t="s">
        <v>65</v>
      </c>
      <c r="C18" s="137" t="s">
        <v>35</v>
      </c>
      <c r="D18" s="137" t="s">
        <v>63</v>
      </c>
      <c r="E18" s="138" t="s">
        <v>43</v>
      </c>
      <c r="F18" s="139" t="s">
        <v>39</v>
      </c>
      <c r="G18" s="140" t="s">
        <v>45</v>
      </c>
      <c r="H18" s="141" t="s">
        <v>719</v>
      </c>
      <c r="I18" s="142" t="s">
        <v>72</v>
      </c>
      <c r="J18" s="143" t="s">
        <v>738</v>
      </c>
      <c r="K18" s="150" t="s">
        <v>724</v>
      </c>
      <c r="L18" s="158" t="s">
        <v>739</v>
      </c>
      <c r="M18" s="145" t="s">
        <v>728</v>
      </c>
      <c r="N18" s="152" t="s">
        <v>48</v>
      </c>
      <c r="O18" s="153" t="s">
        <v>48</v>
      </c>
      <c r="P18" s="146" t="s">
        <v>48</v>
      </c>
      <c r="Q18" s="147" t="s">
        <v>48</v>
      </c>
      <c r="R18" s="148"/>
      <c r="S18" s="149" t="s">
        <v>740</v>
      </c>
    </row>
    <row r="19" spans="1:20" ht="18.75" customHeight="1" x14ac:dyDescent="0.25">
      <c r="A19" s="135">
        <v>91</v>
      </c>
      <c r="B19" s="136" t="s">
        <v>66</v>
      </c>
      <c r="C19" s="137" t="s">
        <v>35</v>
      </c>
      <c r="D19" s="137" t="s">
        <v>63</v>
      </c>
      <c r="E19" s="138" t="s">
        <v>43</v>
      </c>
      <c r="F19" s="139" t="s">
        <v>67</v>
      </c>
      <c r="G19" s="140" t="s">
        <v>53</v>
      </c>
      <c r="H19" s="141" t="s">
        <v>722</v>
      </c>
      <c r="I19" s="142" t="s">
        <v>43</v>
      </c>
      <c r="J19" s="143" t="s">
        <v>737</v>
      </c>
      <c r="K19" s="156" t="s">
        <v>413</v>
      </c>
      <c r="L19" s="155" t="s">
        <v>118</v>
      </c>
      <c r="M19" s="145" t="s">
        <v>48</v>
      </c>
      <c r="N19" s="152" t="s">
        <v>48</v>
      </c>
      <c r="O19" s="153" t="s">
        <v>48</v>
      </c>
      <c r="P19" s="146" t="s">
        <v>48</v>
      </c>
      <c r="Q19" s="147" t="s">
        <v>734</v>
      </c>
      <c r="R19" s="148" t="s">
        <v>735</v>
      </c>
      <c r="S19" s="149"/>
    </row>
    <row r="20" spans="1:20" ht="18.75" customHeight="1" x14ac:dyDescent="0.25">
      <c r="A20" s="135">
        <v>220</v>
      </c>
      <c r="B20" s="136" t="s">
        <v>68</v>
      </c>
      <c r="C20" s="137" t="s">
        <v>35</v>
      </c>
      <c r="D20" s="137" t="s">
        <v>37</v>
      </c>
      <c r="E20" s="138" t="s">
        <v>43</v>
      </c>
      <c r="F20" s="139" t="s">
        <v>39</v>
      </c>
      <c r="G20" s="140" t="s">
        <v>88</v>
      </c>
      <c r="H20" s="141" t="s">
        <v>719</v>
      </c>
      <c r="I20" s="142" t="s">
        <v>43</v>
      </c>
      <c r="J20" s="143" t="s">
        <v>737</v>
      </c>
      <c r="K20" s="150" t="s">
        <v>413</v>
      </c>
      <c r="L20" s="157" t="s">
        <v>413</v>
      </c>
      <c r="M20" s="145" t="s">
        <v>745</v>
      </c>
      <c r="N20" s="152" t="s">
        <v>48</v>
      </c>
      <c r="O20" s="153" t="s">
        <v>48</v>
      </c>
      <c r="P20" s="146" t="s">
        <v>48</v>
      </c>
      <c r="Q20" s="147" t="s">
        <v>48</v>
      </c>
      <c r="R20" s="148"/>
      <c r="S20" s="149"/>
    </row>
    <row r="21" spans="1:20" ht="18.75" customHeight="1" x14ac:dyDescent="0.25">
      <c r="A21" s="135">
        <v>337</v>
      </c>
      <c r="B21" s="136" t="s">
        <v>69</v>
      </c>
      <c r="C21" s="137" t="s">
        <v>35</v>
      </c>
      <c r="D21" s="137" t="s">
        <v>70</v>
      </c>
      <c r="E21" s="138" t="s">
        <v>72</v>
      </c>
      <c r="F21" s="139" t="s">
        <v>71</v>
      </c>
      <c r="G21" s="140" t="s">
        <v>746</v>
      </c>
      <c r="H21" s="141" t="s">
        <v>722</v>
      </c>
      <c r="I21" s="142" t="s">
        <v>43</v>
      </c>
      <c r="J21" s="143" t="s">
        <v>738</v>
      </c>
      <c r="K21" s="156" t="s">
        <v>724</v>
      </c>
      <c r="L21" s="151" t="s">
        <v>747</v>
      </c>
      <c r="M21" s="145" t="s">
        <v>728</v>
      </c>
      <c r="N21" s="152" t="s">
        <v>48</v>
      </c>
      <c r="O21" s="153" t="s">
        <v>48</v>
      </c>
      <c r="P21" s="146" t="s">
        <v>48</v>
      </c>
      <c r="Q21" s="147" t="s">
        <v>48</v>
      </c>
      <c r="R21" s="148"/>
      <c r="S21" s="149" t="s">
        <v>748</v>
      </c>
    </row>
    <row r="22" spans="1:20" ht="18.75" customHeight="1" x14ac:dyDescent="0.25">
      <c r="A22" s="135">
        <v>95</v>
      </c>
      <c r="B22" s="136" t="s">
        <v>75</v>
      </c>
      <c r="C22" s="137" t="s">
        <v>743</v>
      </c>
      <c r="D22" s="137" t="s">
        <v>63</v>
      </c>
      <c r="E22" s="138" t="s">
        <v>43</v>
      </c>
      <c r="F22" s="139" t="s">
        <v>67</v>
      </c>
      <c r="G22" s="140" t="s">
        <v>45</v>
      </c>
      <c r="H22" s="141" t="s">
        <v>722</v>
      </c>
      <c r="I22" s="142" t="s">
        <v>72</v>
      </c>
      <c r="J22" s="143" t="s">
        <v>737</v>
      </c>
      <c r="K22" s="156" t="s">
        <v>413</v>
      </c>
      <c r="L22" s="151" t="s">
        <v>725</v>
      </c>
      <c r="M22" s="145" t="s">
        <v>728</v>
      </c>
      <c r="N22" s="152" t="s">
        <v>48</v>
      </c>
      <c r="O22" s="153" t="s">
        <v>48</v>
      </c>
      <c r="P22" s="146" t="s">
        <v>48</v>
      </c>
      <c r="Q22" s="147" t="s">
        <v>48</v>
      </c>
      <c r="R22" s="148"/>
      <c r="S22" s="149" t="s">
        <v>744</v>
      </c>
    </row>
    <row r="23" spans="1:20" ht="18.75" customHeight="1" x14ac:dyDescent="0.25">
      <c r="A23" s="135">
        <v>92</v>
      </c>
      <c r="B23" s="136" t="s">
        <v>79</v>
      </c>
      <c r="C23" s="137" t="s">
        <v>741</v>
      </c>
      <c r="D23" s="137" t="s">
        <v>63</v>
      </c>
      <c r="E23" s="138" t="s">
        <v>43</v>
      </c>
      <c r="F23" s="139" t="s">
        <v>67</v>
      </c>
      <c r="G23" s="140" t="s">
        <v>45</v>
      </c>
      <c r="H23" s="141" t="s">
        <v>722</v>
      </c>
      <c r="I23" s="142" t="s">
        <v>72</v>
      </c>
      <c r="J23" s="143" t="s">
        <v>737</v>
      </c>
      <c r="K23" s="150" t="s">
        <v>724</v>
      </c>
      <c r="L23" s="158" t="s">
        <v>739</v>
      </c>
      <c r="M23" s="145" t="s">
        <v>728</v>
      </c>
      <c r="N23" s="152" t="s">
        <v>48</v>
      </c>
      <c r="O23" s="153" t="s">
        <v>48</v>
      </c>
      <c r="P23" s="146" t="s">
        <v>48</v>
      </c>
      <c r="Q23" s="147" t="s">
        <v>48</v>
      </c>
      <c r="R23" s="148"/>
      <c r="S23" s="149" t="s">
        <v>742</v>
      </c>
    </row>
    <row r="24" spans="1:20" ht="18.75" customHeight="1" x14ac:dyDescent="0.25">
      <c r="A24" s="163" t="s">
        <v>80</v>
      </c>
      <c r="B24" s="164"/>
      <c r="C24" s="165" t="s">
        <v>80</v>
      </c>
      <c r="D24" s="165"/>
      <c r="E24" s="163"/>
      <c r="F24" s="164"/>
      <c r="G24" s="164"/>
      <c r="H24" s="164"/>
      <c r="I24" s="165"/>
      <c r="J24" s="474"/>
      <c r="K24" s="477"/>
      <c r="L24" s="168"/>
      <c r="M24" s="169"/>
      <c r="N24" s="170"/>
      <c r="O24" s="183"/>
      <c r="P24" s="171"/>
      <c r="Q24" s="172"/>
      <c r="R24" s="173"/>
      <c r="S24" s="174"/>
    </row>
    <row r="25" spans="1:20" ht="18.75" customHeight="1" x14ac:dyDescent="0.25">
      <c r="A25" s="509">
        <v>372</v>
      </c>
      <c r="B25" s="510" t="s">
        <v>81</v>
      </c>
      <c r="C25" s="511" t="s">
        <v>80</v>
      </c>
      <c r="D25" s="511" t="s">
        <v>82</v>
      </c>
      <c r="E25" s="512" t="s">
        <v>43</v>
      </c>
      <c r="F25" s="513" t="s">
        <v>87</v>
      </c>
      <c r="G25" s="514" t="s">
        <v>751</v>
      </c>
      <c r="H25" s="515" t="s">
        <v>722</v>
      </c>
      <c r="I25" s="516" t="s">
        <v>43</v>
      </c>
      <c r="J25" s="517" t="s">
        <v>752</v>
      </c>
      <c r="K25" s="185" t="s">
        <v>118</v>
      </c>
      <c r="L25" s="155" t="s">
        <v>118</v>
      </c>
      <c r="M25" s="457" t="s">
        <v>48</v>
      </c>
      <c r="N25" s="152" t="s">
        <v>48</v>
      </c>
      <c r="O25" s="154" t="s">
        <v>48</v>
      </c>
      <c r="P25" s="201" t="s">
        <v>48</v>
      </c>
      <c r="Q25" s="147" t="s">
        <v>48</v>
      </c>
      <c r="R25" s="148"/>
      <c r="S25" s="521" t="s">
        <v>753</v>
      </c>
    </row>
    <row r="26" spans="1:20" ht="18.75" customHeight="1" x14ac:dyDescent="0.25">
      <c r="A26" s="163" t="s">
        <v>754</v>
      </c>
      <c r="B26" s="164"/>
      <c r="C26" s="165" t="s">
        <v>754</v>
      </c>
      <c r="D26" s="165"/>
      <c r="E26" s="163"/>
      <c r="F26" s="164"/>
      <c r="G26" s="164"/>
      <c r="H26" s="164"/>
      <c r="I26" s="165"/>
      <c r="J26" s="166"/>
      <c r="K26" s="167"/>
      <c r="L26" s="168"/>
      <c r="M26" s="169"/>
      <c r="N26" s="170"/>
      <c r="O26" s="169"/>
      <c r="P26" s="171"/>
      <c r="Q26" s="172"/>
      <c r="R26" s="173"/>
      <c r="S26" s="184"/>
    </row>
    <row r="27" spans="1:20" ht="18.75" customHeight="1" x14ac:dyDescent="0.25">
      <c r="A27" s="451">
        <v>371</v>
      </c>
      <c r="B27" s="452" t="s">
        <v>90</v>
      </c>
      <c r="C27" s="175" t="s">
        <v>755</v>
      </c>
      <c r="D27" s="175" t="s">
        <v>91</v>
      </c>
      <c r="E27" s="176" t="s">
        <v>43</v>
      </c>
      <c r="F27" s="177" t="s">
        <v>88</v>
      </c>
      <c r="G27" s="178" t="s">
        <v>746</v>
      </c>
      <c r="H27" s="179" t="s">
        <v>722</v>
      </c>
      <c r="I27" s="180" t="s">
        <v>43</v>
      </c>
      <c r="J27" s="143" t="s">
        <v>752</v>
      </c>
      <c r="K27" s="476" t="s">
        <v>118</v>
      </c>
      <c r="L27" s="479" t="s">
        <v>118</v>
      </c>
      <c r="M27" s="482" t="s">
        <v>48</v>
      </c>
      <c r="N27" s="152" t="s">
        <v>48</v>
      </c>
      <c r="O27" s="154" t="s">
        <v>48</v>
      </c>
      <c r="P27" s="181" t="s">
        <v>48</v>
      </c>
      <c r="Q27" s="147" t="s">
        <v>48</v>
      </c>
      <c r="R27" s="182"/>
      <c r="S27" s="494" t="s">
        <v>756</v>
      </c>
    </row>
    <row r="28" spans="1:20" ht="18.75" customHeight="1" x14ac:dyDescent="0.25">
      <c r="A28" s="163" t="s">
        <v>92</v>
      </c>
      <c r="B28" s="164"/>
      <c r="C28" s="165" t="s">
        <v>92</v>
      </c>
      <c r="D28" s="165"/>
      <c r="E28" s="163"/>
      <c r="F28" s="164"/>
      <c r="G28" s="164"/>
      <c r="H28" s="164"/>
      <c r="I28" s="165"/>
      <c r="J28" s="166"/>
      <c r="K28" s="167"/>
      <c r="L28" s="168"/>
      <c r="M28" s="169"/>
      <c r="N28" s="170"/>
      <c r="O28" s="183"/>
      <c r="P28" s="490"/>
      <c r="Q28" s="172"/>
      <c r="R28" s="173"/>
      <c r="S28" s="174"/>
    </row>
    <row r="29" spans="1:20" ht="18.75" customHeight="1" x14ac:dyDescent="0.25">
      <c r="A29" s="135">
        <v>44</v>
      </c>
      <c r="B29" s="136" t="s">
        <v>93</v>
      </c>
      <c r="C29" s="137" t="s">
        <v>92</v>
      </c>
      <c r="D29" s="137" t="s">
        <v>94</v>
      </c>
      <c r="E29" s="138" t="s">
        <v>43</v>
      </c>
      <c r="F29" s="139" t="s">
        <v>73</v>
      </c>
      <c r="G29" s="140" t="s">
        <v>746</v>
      </c>
      <c r="H29" s="141" t="s">
        <v>722</v>
      </c>
      <c r="I29" s="142" t="s">
        <v>43</v>
      </c>
      <c r="J29" s="143" t="s">
        <v>737</v>
      </c>
      <c r="K29" s="162" t="s">
        <v>413</v>
      </c>
      <c r="L29" s="151" t="s">
        <v>413</v>
      </c>
      <c r="M29" s="231" t="s">
        <v>758</v>
      </c>
      <c r="N29" s="152" t="s">
        <v>95</v>
      </c>
      <c r="O29" s="154" t="s">
        <v>96</v>
      </c>
      <c r="P29" s="489" t="s">
        <v>95</v>
      </c>
      <c r="Q29" s="147" t="s">
        <v>48</v>
      </c>
      <c r="R29" s="148" t="s">
        <v>735</v>
      </c>
      <c r="S29" s="188" t="s">
        <v>759</v>
      </c>
    </row>
    <row r="30" spans="1:20" ht="18.75" customHeight="1" x14ac:dyDescent="0.25">
      <c r="A30" s="135">
        <v>46</v>
      </c>
      <c r="B30" s="136" t="s">
        <v>97</v>
      </c>
      <c r="C30" s="137" t="s">
        <v>92</v>
      </c>
      <c r="D30" s="137" t="s">
        <v>94</v>
      </c>
      <c r="E30" s="138" t="s">
        <v>43</v>
      </c>
      <c r="F30" s="139" t="s">
        <v>73</v>
      </c>
      <c r="G30" s="140" t="s">
        <v>730</v>
      </c>
      <c r="H30" s="141" t="s">
        <v>722</v>
      </c>
      <c r="I30" s="142" t="s">
        <v>43</v>
      </c>
      <c r="J30" s="249" t="s">
        <v>737</v>
      </c>
      <c r="K30" s="162" t="s">
        <v>413</v>
      </c>
      <c r="L30" s="151" t="s">
        <v>413</v>
      </c>
      <c r="M30" s="145" t="s">
        <v>758</v>
      </c>
      <c r="N30" s="152" t="s">
        <v>95</v>
      </c>
      <c r="O30" s="153" t="s">
        <v>96</v>
      </c>
      <c r="P30" s="187" t="s">
        <v>95</v>
      </c>
      <c r="Q30" s="147" t="s">
        <v>48</v>
      </c>
      <c r="R30" s="148" t="s">
        <v>735</v>
      </c>
      <c r="S30" s="188" t="s">
        <v>759</v>
      </c>
      <c r="T30" s="114" t="s">
        <v>757</v>
      </c>
    </row>
    <row r="31" spans="1:20" ht="18.75" customHeight="1" x14ac:dyDescent="0.25">
      <c r="A31" s="135">
        <v>47.1</v>
      </c>
      <c r="B31" s="136" t="s">
        <v>98</v>
      </c>
      <c r="C31" s="137" t="s">
        <v>92</v>
      </c>
      <c r="D31" s="137" t="s">
        <v>50</v>
      </c>
      <c r="E31" s="138" t="s">
        <v>43</v>
      </c>
      <c r="F31" s="139" t="s">
        <v>99</v>
      </c>
      <c r="G31" s="140" t="s">
        <v>45</v>
      </c>
      <c r="H31" s="141" t="s">
        <v>722</v>
      </c>
      <c r="I31" s="142" t="s">
        <v>72</v>
      </c>
      <c r="J31" s="143" t="s">
        <v>738</v>
      </c>
      <c r="K31" s="162" t="s">
        <v>413</v>
      </c>
      <c r="L31" s="151" t="s">
        <v>760</v>
      </c>
      <c r="M31" s="145" t="s">
        <v>761</v>
      </c>
      <c r="N31" s="152" t="s">
        <v>48</v>
      </c>
      <c r="O31" s="153" t="s">
        <v>48</v>
      </c>
      <c r="P31" s="201" t="s">
        <v>48</v>
      </c>
      <c r="Q31" s="147" t="s">
        <v>48</v>
      </c>
      <c r="R31" s="148"/>
      <c r="S31" s="188" t="s">
        <v>762</v>
      </c>
      <c r="T31" s="114">
        <v>429</v>
      </c>
    </row>
    <row r="32" spans="1:20" ht="18.75" customHeight="1" x14ac:dyDescent="0.25">
      <c r="A32" s="190">
        <v>47.2</v>
      </c>
      <c r="B32" s="191" t="s">
        <v>98</v>
      </c>
      <c r="C32" s="192" t="s">
        <v>92</v>
      </c>
      <c r="D32" s="453" t="s">
        <v>50</v>
      </c>
      <c r="E32" s="138" t="s">
        <v>72</v>
      </c>
      <c r="F32" s="139" t="s">
        <v>71</v>
      </c>
      <c r="G32" s="140" t="s">
        <v>746</v>
      </c>
      <c r="H32" s="141" t="s">
        <v>722</v>
      </c>
      <c r="I32" s="142" t="s">
        <v>72</v>
      </c>
      <c r="J32" s="143" t="s">
        <v>752</v>
      </c>
      <c r="K32" s="190"/>
      <c r="L32" s="191"/>
      <c r="M32" s="193"/>
      <c r="N32" s="194"/>
      <c r="O32" s="195"/>
      <c r="P32" s="196"/>
      <c r="Q32" s="197"/>
      <c r="R32" s="198"/>
      <c r="S32" s="199"/>
      <c r="T32" s="114">
        <v>429</v>
      </c>
    </row>
    <row r="33" spans="1:20" ht="18.75" customHeight="1" x14ac:dyDescent="0.25">
      <c r="A33" s="135">
        <v>48</v>
      </c>
      <c r="B33" s="136" t="s">
        <v>100</v>
      </c>
      <c r="C33" s="137" t="s">
        <v>92</v>
      </c>
      <c r="D33" s="137" t="s">
        <v>101</v>
      </c>
      <c r="E33" s="138" t="s">
        <v>72</v>
      </c>
      <c r="F33" s="139" t="s">
        <v>104</v>
      </c>
      <c r="G33" s="140" t="s">
        <v>746</v>
      </c>
      <c r="H33" s="141" t="s">
        <v>722</v>
      </c>
      <c r="I33" s="142" t="s">
        <v>72</v>
      </c>
      <c r="J33" s="143" t="s">
        <v>720</v>
      </c>
      <c r="K33" s="162" t="s">
        <v>413</v>
      </c>
      <c r="L33" s="151" t="s">
        <v>413</v>
      </c>
      <c r="M33" s="145" t="s">
        <v>758</v>
      </c>
      <c r="N33" s="189" t="s">
        <v>48</v>
      </c>
      <c r="O33" s="154" t="s">
        <v>48</v>
      </c>
      <c r="P33" s="488" t="s">
        <v>764</v>
      </c>
      <c r="Q33" s="147"/>
      <c r="R33" s="148" t="s">
        <v>765</v>
      </c>
      <c r="S33" s="188" t="s">
        <v>766</v>
      </c>
      <c r="T33" s="114" t="s">
        <v>763</v>
      </c>
    </row>
    <row r="34" spans="1:20" ht="18.75" customHeight="1" x14ac:dyDescent="0.25">
      <c r="A34" s="135">
        <v>49</v>
      </c>
      <c r="B34" s="136" t="s">
        <v>105</v>
      </c>
      <c r="C34" s="137" t="s">
        <v>92</v>
      </c>
      <c r="D34" s="454" t="s">
        <v>101</v>
      </c>
      <c r="E34" s="138" t="s">
        <v>72</v>
      </c>
      <c r="F34" s="139" t="s">
        <v>104</v>
      </c>
      <c r="G34" s="140" t="s">
        <v>746</v>
      </c>
      <c r="H34" s="141" t="s">
        <v>722</v>
      </c>
      <c r="I34" s="142" t="s">
        <v>72</v>
      </c>
      <c r="J34" s="143" t="s">
        <v>720</v>
      </c>
      <c r="K34" s="162" t="s">
        <v>413</v>
      </c>
      <c r="L34" s="151" t="s">
        <v>413</v>
      </c>
      <c r="M34" s="145" t="s">
        <v>758</v>
      </c>
      <c r="N34" s="152" t="s">
        <v>48</v>
      </c>
      <c r="O34" s="153" t="s">
        <v>48</v>
      </c>
      <c r="P34" s="200" t="s">
        <v>764</v>
      </c>
      <c r="Q34" s="147"/>
      <c r="R34" s="148" t="s">
        <v>765</v>
      </c>
      <c r="S34" s="188" t="s">
        <v>766</v>
      </c>
    </row>
    <row r="35" spans="1:20" ht="18.75" customHeight="1" x14ac:dyDescent="0.25">
      <c r="A35" s="135">
        <v>53</v>
      </c>
      <c r="B35" s="136" t="s">
        <v>107</v>
      </c>
      <c r="C35" s="137" t="s">
        <v>92</v>
      </c>
      <c r="D35" s="137" t="s">
        <v>108</v>
      </c>
      <c r="E35" s="138" t="s">
        <v>72</v>
      </c>
      <c r="F35" s="139" t="s">
        <v>71</v>
      </c>
      <c r="G35" s="140" t="s">
        <v>53</v>
      </c>
      <c r="H35" s="141" t="s">
        <v>767</v>
      </c>
      <c r="I35" s="142" t="s">
        <v>72</v>
      </c>
      <c r="J35" s="143" t="s">
        <v>737</v>
      </c>
      <c r="K35" s="162" t="s">
        <v>413</v>
      </c>
      <c r="L35" s="151" t="s">
        <v>725</v>
      </c>
      <c r="M35" s="145" t="s">
        <v>768</v>
      </c>
      <c r="N35" s="152" t="s">
        <v>109</v>
      </c>
      <c r="O35" s="153" t="s">
        <v>96</v>
      </c>
      <c r="P35" s="187" t="s">
        <v>95</v>
      </c>
      <c r="Q35" s="147" t="s">
        <v>48</v>
      </c>
      <c r="R35" s="148" t="s">
        <v>735</v>
      </c>
      <c r="S35" s="188" t="s">
        <v>769</v>
      </c>
      <c r="T35" s="114">
        <v>330</v>
      </c>
    </row>
    <row r="36" spans="1:20" ht="18.75" customHeight="1" x14ac:dyDescent="0.25">
      <c r="A36" s="135">
        <v>58</v>
      </c>
      <c r="B36" s="136" t="s">
        <v>111</v>
      </c>
      <c r="C36" s="137" t="s">
        <v>92</v>
      </c>
      <c r="D36" s="137" t="s">
        <v>112</v>
      </c>
      <c r="E36" s="138" t="s">
        <v>43</v>
      </c>
      <c r="F36" s="139" t="s">
        <v>88</v>
      </c>
      <c r="G36" s="140" t="s">
        <v>746</v>
      </c>
      <c r="H36" s="141" t="s">
        <v>722</v>
      </c>
      <c r="I36" s="142" t="s">
        <v>43</v>
      </c>
      <c r="J36" s="143" t="s">
        <v>723</v>
      </c>
      <c r="K36" s="162" t="s">
        <v>413</v>
      </c>
      <c r="L36" s="151" t="s">
        <v>725</v>
      </c>
      <c r="M36" s="145" t="s">
        <v>773</v>
      </c>
      <c r="N36" s="152" t="s">
        <v>113</v>
      </c>
      <c r="O36" s="153" t="s">
        <v>96</v>
      </c>
      <c r="P36" s="187" t="s">
        <v>95</v>
      </c>
      <c r="Q36" s="147" t="s">
        <v>48</v>
      </c>
      <c r="R36" s="148" t="s">
        <v>735</v>
      </c>
      <c r="S36" s="188" t="s">
        <v>774</v>
      </c>
      <c r="T36" s="114">
        <v>330</v>
      </c>
    </row>
    <row r="37" spans="1:20" ht="18.75" customHeight="1" x14ac:dyDescent="0.25">
      <c r="A37" s="135">
        <v>59</v>
      </c>
      <c r="B37" s="136" t="s">
        <v>115</v>
      </c>
      <c r="C37" s="137" t="s">
        <v>92</v>
      </c>
      <c r="D37" s="137" t="s">
        <v>116</v>
      </c>
      <c r="E37" s="138" t="s">
        <v>43</v>
      </c>
      <c r="F37" s="139" t="s">
        <v>67</v>
      </c>
      <c r="G37" s="140" t="s">
        <v>45</v>
      </c>
      <c r="H37" s="141" t="s">
        <v>767</v>
      </c>
      <c r="I37" s="142" t="s">
        <v>43</v>
      </c>
      <c r="J37" s="143" t="s">
        <v>737</v>
      </c>
      <c r="K37" s="162" t="s">
        <v>760</v>
      </c>
      <c r="L37" s="151" t="s">
        <v>413</v>
      </c>
      <c r="M37" s="145" t="s">
        <v>721</v>
      </c>
      <c r="N37" s="152" t="s">
        <v>95</v>
      </c>
      <c r="O37" s="153" t="s">
        <v>96</v>
      </c>
      <c r="P37" s="201" t="s">
        <v>48</v>
      </c>
      <c r="Q37" s="147" t="s">
        <v>48</v>
      </c>
      <c r="R37" s="148"/>
      <c r="S37" s="188" t="s">
        <v>775</v>
      </c>
      <c r="T37" s="114">
        <v>204</v>
      </c>
    </row>
    <row r="38" spans="1:20" ht="18.75" customHeight="1" x14ac:dyDescent="0.25">
      <c r="A38" s="135">
        <v>69</v>
      </c>
      <c r="B38" s="136" t="s">
        <v>117</v>
      </c>
      <c r="C38" s="137" t="s">
        <v>92</v>
      </c>
      <c r="D38" s="137" t="s">
        <v>50</v>
      </c>
      <c r="E38" s="138" t="s">
        <v>43</v>
      </c>
      <c r="F38" s="139" t="s">
        <v>73</v>
      </c>
      <c r="G38" s="140" t="s">
        <v>45</v>
      </c>
      <c r="H38" s="141" t="s">
        <v>722</v>
      </c>
      <c r="I38" s="142" t="s">
        <v>43</v>
      </c>
      <c r="J38" s="143" t="s">
        <v>738</v>
      </c>
      <c r="K38" s="162" t="s">
        <v>413</v>
      </c>
      <c r="L38" s="151" t="s">
        <v>776</v>
      </c>
      <c r="M38" s="145" t="s">
        <v>777</v>
      </c>
      <c r="N38" s="152" t="s">
        <v>118</v>
      </c>
      <c r="O38" s="153" t="s">
        <v>119</v>
      </c>
      <c r="P38" s="201" t="s">
        <v>48</v>
      </c>
      <c r="Q38" s="147" t="s">
        <v>48</v>
      </c>
      <c r="R38" s="148"/>
      <c r="S38" s="188" t="s">
        <v>778</v>
      </c>
      <c r="T38" s="114">
        <v>209</v>
      </c>
    </row>
    <row r="39" spans="1:20" ht="18.75" customHeight="1" x14ac:dyDescent="0.25">
      <c r="A39" s="135">
        <v>70</v>
      </c>
      <c r="B39" s="136" t="s">
        <v>120</v>
      </c>
      <c r="C39" s="137" t="s">
        <v>92</v>
      </c>
      <c r="D39" s="137" t="s">
        <v>121</v>
      </c>
      <c r="E39" s="138" t="s">
        <v>43</v>
      </c>
      <c r="F39" s="139" t="s">
        <v>67</v>
      </c>
      <c r="G39" s="140" t="s">
        <v>730</v>
      </c>
      <c r="H39" s="141" t="s">
        <v>722</v>
      </c>
      <c r="I39" s="142" t="s">
        <v>72</v>
      </c>
      <c r="J39" s="143" t="s">
        <v>737</v>
      </c>
      <c r="K39" s="162" t="s">
        <v>413</v>
      </c>
      <c r="L39" s="202" t="s">
        <v>118</v>
      </c>
      <c r="M39" s="145" t="s">
        <v>48</v>
      </c>
      <c r="N39" s="152" t="s">
        <v>95</v>
      </c>
      <c r="O39" s="153" t="s">
        <v>96</v>
      </c>
      <c r="P39" s="201" t="s">
        <v>48</v>
      </c>
      <c r="Q39" s="161" t="s">
        <v>750</v>
      </c>
      <c r="R39" s="148" t="s">
        <v>735</v>
      </c>
      <c r="S39" s="188"/>
      <c r="T39" s="114">
        <v>222</v>
      </c>
    </row>
    <row r="40" spans="1:20" ht="18.75" customHeight="1" x14ac:dyDescent="0.25">
      <c r="A40" s="135">
        <v>71</v>
      </c>
      <c r="B40" s="136" t="s">
        <v>122</v>
      </c>
      <c r="C40" s="137" t="s">
        <v>92</v>
      </c>
      <c r="D40" s="137" t="s">
        <v>123</v>
      </c>
      <c r="E40" s="138" t="s">
        <v>43</v>
      </c>
      <c r="F40" s="139" t="s">
        <v>67</v>
      </c>
      <c r="G40" s="140" t="s">
        <v>730</v>
      </c>
      <c r="H40" s="141" t="s">
        <v>722</v>
      </c>
      <c r="I40" s="142" t="s">
        <v>72</v>
      </c>
      <c r="J40" s="143" t="s">
        <v>752</v>
      </c>
      <c r="K40" s="162" t="s">
        <v>413</v>
      </c>
      <c r="L40" s="202" t="s">
        <v>118</v>
      </c>
      <c r="M40" s="145" t="s">
        <v>48</v>
      </c>
      <c r="N40" s="152" t="s">
        <v>95</v>
      </c>
      <c r="O40" s="153" t="s">
        <v>96</v>
      </c>
      <c r="P40" s="201" t="s">
        <v>48</v>
      </c>
      <c r="Q40" s="147" t="s">
        <v>48</v>
      </c>
      <c r="R40" s="148"/>
      <c r="S40" s="188" t="s">
        <v>779</v>
      </c>
      <c r="T40" s="114">
        <v>205</v>
      </c>
    </row>
    <row r="41" spans="1:20" ht="18.75" customHeight="1" x14ac:dyDescent="0.25">
      <c r="A41" s="135">
        <v>72</v>
      </c>
      <c r="B41" s="136" t="s">
        <v>124</v>
      </c>
      <c r="C41" s="137" t="s">
        <v>92</v>
      </c>
      <c r="D41" s="137" t="s">
        <v>125</v>
      </c>
      <c r="E41" s="138" t="s">
        <v>43</v>
      </c>
      <c r="F41" s="139" t="s">
        <v>39</v>
      </c>
      <c r="G41" s="140" t="s">
        <v>746</v>
      </c>
      <c r="H41" s="141" t="s">
        <v>722</v>
      </c>
      <c r="I41" s="142" t="s">
        <v>72</v>
      </c>
      <c r="J41" s="143" t="s">
        <v>737</v>
      </c>
      <c r="K41" s="162" t="s">
        <v>413</v>
      </c>
      <c r="L41" s="151" t="s">
        <v>780</v>
      </c>
      <c r="M41" s="145" t="s">
        <v>781</v>
      </c>
      <c r="N41" s="152" t="s">
        <v>118</v>
      </c>
      <c r="O41" s="153" t="s">
        <v>119</v>
      </c>
      <c r="P41" s="200" t="s">
        <v>764</v>
      </c>
      <c r="Q41" s="147" t="s">
        <v>48</v>
      </c>
      <c r="R41" s="148" t="s">
        <v>782</v>
      </c>
      <c r="S41" s="188" t="s">
        <v>783</v>
      </c>
      <c r="T41" s="114">
        <v>240</v>
      </c>
    </row>
    <row r="42" spans="1:20" ht="18.75" customHeight="1" x14ac:dyDescent="0.25">
      <c r="A42" s="135">
        <v>74</v>
      </c>
      <c r="B42" s="136" t="s">
        <v>128</v>
      </c>
      <c r="C42" s="137" t="s">
        <v>92</v>
      </c>
      <c r="D42" s="137" t="s">
        <v>125</v>
      </c>
      <c r="E42" s="138" t="s">
        <v>43</v>
      </c>
      <c r="F42" s="139" t="s">
        <v>88</v>
      </c>
      <c r="G42" s="140" t="s">
        <v>746</v>
      </c>
      <c r="H42" s="141" t="s">
        <v>722</v>
      </c>
      <c r="I42" s="142" t="s">
        <v>72</v>
      </c>
      <c r="J42" s="143" t="s">
        <v>752</v>
      </c>
      <c r="K42" s="203" t="s">
        <v>784</v>
      </c>
      <c r="L42" s="202" t="s">
        <v>118</v>
      </c>
      <c r="M42" s="145" t="s">
        <v>48</v>
      </c>
      <c r="N42" s="152" t="s">
        <v>48</v>
      </c>
      <c r="O42" s="153" t="s">
        <v>48</v>
      </c>
      <c r="P42" s="201" t="s">
        <v>48</v>
      </c>
      <c r="Q42" s="147" t="s">
        <v>48</v>
      </c>
      <c r="R42" s="148"/>
      <c r="S42" s="188"/>
    </row>
    <row r="43" spans="1:20" ht="18.75" customHeight="1" x14ac:dyDescent="0.25">
      <c r="A43" s="135">
        <v>75</v>
      </c>
      <c r="B43" s="136" t="s">
        <v>129</v>
      </c>
      <c r="C43" s="137" t="s">
        <v>92</v>
      </c>
      <c r="D43" s="137" t="s">
        <v>130</v>
      </c>
      <c r="E43" s="138" t="s">
        <v>43</v>
      </c>
      <c r="F43" s="139" t="s">
        <v>73</v>
      </c>
      <c r="G43" s="140" t="s">
        <v>88</v>
      </c>
      <c r="H43" s="141" t="s">
        <v>722</v>
      </c>
      <c r="I43" s="142" t="s">
        <v>43</v>
      </c>
      <c r="J43" s="143" t="s">
        <v>737</v>
      </c>
      <c r="K43" s="203" t="s">
        <v>785</v>
      </c>
      <c r="L43" s="151" t="s">
        <v>760</v>
      </c>
      <c r="M43" s="145" t="s">
        <v>758</v>
      </c>
      <c r="N43" s="152" t="s">
        <v>118</v>
      </c>
      <c r="O43" s="153" t="s">
        <v>119</v>
      </c>
      <c r="P43" s="201" t="s">
        <v>48</v>
      </c>
      <c r="Q43" s="147" t="s">
        <v>48</v>
      </c>
      <c r="R43" s="148"/>
      <c r="S43" s="188" t="s">
        <v>786</v>
      </c>
      <c r="T43" s="114">
        <v>118</v>
      </c>
    </row>
    <row r="44" spans="1:20" ht="18.75" customHeight="1" x14ac:dyDescent="0.25">
      <c r="A44" s="135">
        <v>76</v>
      </c>
      <c r="B44" s="136" t="s">
        <v>131</v>
      </c>
      <c r="C44" s="137" t="s">
        <v>92</v>
      </c>
      <c r="D44" s="137" t="s">
        <v>130</v>
      </c>
      <c r="E44" s="138" t="s">
        <v>43</v>
      </c>
      <c r="F44" s="139" t="s">
        <v>73</v>
      </c>
      <c r="G44" s="140" t="s">
        <v>88</v>
      </c>
      <c r="H44" s="141" t="s">
        <v>722</v>
      </c>
      <c r="I44" s="142" t="s">
        <v>43</v>
      </c>
      <c r="J44" s="249" t="s">
        <v>737</v>
      </c>
      <c r="K44" s="203" t="s">
        <v>721</v>
      </c>
      <c r="L44" s="151" t="s">
        <v>413</v>
      </c>
      <c r="M44" s="145" t="s">
        <v>48</v>
      </c>
      <c r="N44" s="152" t="s">
        <v>118</v>
      </c>
      <c r="O44" s="153" t="s">
        <v>119</v>
      </c>
      <c r="P44" s="201" t="s">
        <v>48</v>
      </c>
      <c r="Q44" s="147" t="s">
        <v>48</v>
      </c>
      <c r="R44" s="148"/>
      <c r="S44" s="188" t="s">
        <v>788</v>
      </c>
    </row>
    <row r="45" spans="1:20" ht="18.75" customHeight="1" x14ac:dyDescent="0.25">
      <c r="A45" s="135">
        <v>77</v>
      </c>
      <c r="B45" s="136" t="s">
        <v>133</v>
      </c>
      <c r="C45" s="137" t="s">
        <v>92</v>
      </c>
      <c r="D45" s="137" t="s">
        <v>130</v>
      </c>
      <c r="E45" s="138" t="s">
        <v>43</v>
      </c>
      <c r="F45" s="139" t="s">
        <v>73</v>
      </c>
      <c r="G45" s="140" t="s">
        <v>746</v>
      </c>
      <c r="H45" s="141" t="s">
        <v>722</v>
      </c>
      <c r="I45" s="142" t="s">
        <v>43</v>
      </c>
      <c r="J45" s="143" t="s">
        <v>720</v>
      </c>
      <c r="K45" s="162" t="s">
        <v>413</v>
      </c>
      <c r="L45" s="144" t="s">
        <v>721</v>
      </c>
      <c r="M45" s="145" t="s">
        <v>48</v>
      </c>
      <c r="N45" s="152" t="s">
        <v>118</v>
      </c>
      <c r="O45" s="153" t="s">
        <v>119</v>
      </c>
      <c r="P45" s="201" t="s">
        <v>48</v>
      </c>
      <c r="Q45" s="147" t="s">
        <v>48</v>
      </c>
      <c r="R45" s="148"/>
      <c r="S45" s="188"/>
      <c r="T45" s="114">
        <v>118</v>
      </c>
    </row>
    <row r="46" spans="1:20" ht="18.75" customHeight="1" x14ac:dyDescent="0.25">
      <c r="A46" s="135">
        <v>78</v>
      </c>
      <c r="B46" s="136" t="s">
        <v>134</v>
      </c>
      <c r="C46" s="137" t="s">
        <v>92</v>
      </c>
      <c r="D46" s="137" t="s">
        <v>135</v>
      </c>
      <c r="E46" s="138" t="s">
        <v>43</v>
      </c>
      <c r="F46" s="139" t="s">
        <v>88</v>
      </c>
      <c r="G46" s="140" t="s">
        <v>746</v>
      </c>
      <c r="H46" s="141" t="s">
        <v>722</v>
      </c>
      <c r="I46" s="142" t="s">
        <v>43</v>
      </c>
      <c r="J46" s="143" t="s">
        <v>720</v>
      </c>
      <c r="K46" s="162" t="s">
        <v>413</v>
      </c>
      <c r="L46" s="202" t="s">
        <v>118</v>
      </c>
      <c r="M46" s="145" t="s">
        <v>48</v>
      </c>
      <c r="N46" s="152" t="s">
        <v>118</v>
      </c>
      <c r="O46" s="153" t="s">
        <v>119</v>
      </c>
      <c r="P46" s="201" t="s">
        <v>48</v>
      </c>
      <c r="Q46" s="147" t="s">
        <v>48</v>
      </c>
      <c r="R46" s="148"/>
      <c r="S46" s="188"/>
    </row>
    <row r="47" spans="1:20" ht="18.75" customHeight="1" x14ac:dyDescent="0.25">
      <c r="A47" s="135">
        <v>79.099999999999994</v>
      </c>
      <c r="B47" s="136" t="s">
        <v>136</v>
      </c>
      <c r="C47" s="137" t="s">
        <v>92</v>
      </c>
      <c r="D47" s="137" t="s">
        <v>137</v>
      </c>
      <c r="E47" s="138" t="s">
        <v>72</v>
      </c>
      <c r="F47" s="139" t="s">
        <v>71</v>
      </c>
      <c r="G47" s="140" t="s">
        <v>730</v>
      </c>
      <c r="H47" s="141" t="s">
        <v>722</v>
      </c>
      <c r="I47" s="142" t="s">
        <v>43</v>
      </c>
      <c r="J47" s="143" t="s">
        <v>737</v>
      </c>
      <c r="K47" s="162" t="s">
        <v>413</v>
      </c>
      <c r="L47" s="151" t="s">
        <v>776</v>
      </c>
      <c r="M47" s="145" t="s">
        <v>777</v>
      </c>
      <c r="N47" s="152" t="s">
        <v>48</v>
      </c>
      <c r="O47" s="153" t="s">
        <v>48</v>
      </c>
      <c r="P47" s="201" t="s">
        <v>48</v>
      </c>
      <c r="Q47" s="147" t="s">
        <v>48</v>
      </c>
      <c r="R47" s="148"/>
      <c r="S47" s="188" t="s">
        <v>789</v>
      </c>
      <c r="T47" s="114" t="s">
        <v>787</v>
      </c>
    </row>
    <row r="48" spans="1:20" ht="18.75" customHeight="1" x14ac:dyDescent="0.25">
      <c r="A48" s="190">
        <v>79.2</v>
      </c>
      <c r="B48" s="191" t="s">
        <v>136</v>
      </c>
      <c r="C48" s="192" t="s">
        <v>92</v>
      </c>
      <c r="D48" s="453" t="s">
        <v>137</v>
      </c>
      <c r="E48" s="138" t="s">
        <v>43</v>
      </c>
      <c r="F48" s="139" t="s">
        <v>53</v>
      </c>
      <c r="G48" s="140" t="s">
        <v>53</v>
      </c>
      <c r="H48" s="141" t="s">
        <v>722</v>
      </c>
      <c r="I48" s="142" t="s">
        <v>72</v>
      </c>
      <c r="J48" s="143" t="s">
        <v>752</v>
      </c>
      <c r="K48" s="190"/>
      <c r="L48" s="191"/>
      <c r="M48" s="204"/>
      <c r="N48" s="194"/>
      <c r="O48" s="195"/>
      <c r="P48" s="196"/>
      <c r="Q48" s="197"/>
      <c r="R48" s="198"/>
      <c r="S48" s="205"/>
      <c r="T48" s="114">
        <v>116</v>
      </c>
    </row>
    <row r="49" spans="1:20" ht="18.75" customHeight="1" x14ac:dyDescent="0.25">
      <c r="A49" s="135">
        <v>80</v>
      </c>
      <c r="B49" s="136" t="s">
        <v>138</v>
      </c>
      <c r="C49" s="137" t="s">
        <v>92</v>
      </c>
      <c r="D49" s="137" t="s">
        <v>139</v>
      </c>
      <c r="E49" s="138" t="s">
        <v>72</v>
      </c>
      <c r="F49" s="139" t="s">
        <v>71</v>
      </c>
      <c r="G49" s="140" t="s">
        <v>746</v>
      </c>
      <c r="H49" s="141" t="s">
        <v>722</v>
      </c>
      <c r="I49" s="142" t="s">
        <v>72</v>
      </c>
      <c r="J49" s="143" t="s">
        <v>738</v>
      </c>
      <c r="K49" s="162" t="s">
        <v>413</v>
      </c>
      <c r="L49" s="151" t="s">
        <v>413</v>
      </c>
      <c r="M49" s="145" t="s">
        <v>758</v>
      </c>
      <c r="N49" s="152" t="s">
        <v>118</v>
      </c>
      <c r="O49" s="153" t="s">
        <v>119</v>
      </c>
      <c r="P49" s="201" t="s">
        <v>48</v>
      </c>
      <c r="Q49" s="147" t="s">
        <v>48</v>
      </c>
      <c r="R49" s="148"/>
      <c r="S49" s="188"/>
    </row>
    <row r="50" spans="1:20" ht="18.75" customHeight="1" x14ac:dyDescent="0.25">
      <c r="A50" s="135">
        <v>81</v>
      </c>
      <c r="B50" s="136" t="s">
        <v>140</v>
      </c>
      <c r="C50" s="137" t="s">
        <v>92</v>
      </c>
      <c r="D50" s="137" t="s">
        <v>141</v>
      </c>
      <c r="E50" s="138" t="s">
        <v>43</v>
      </c>
      <c r="F50" s="139" t="s">
        <v>67</v>
      </c>
      <c r="G50" s="140" t="s">
        <v>746</v>
      </c>
      <c r="H50" s="141" t="s">
        <v>722</v>
      </c>
      <c r="I50" s="142" t="s">
        <v>43</v>
      </c>
      <c r="J50" s="143" t="s">
        <v>737</v>
      </c>
      <c r="K50" s="203" t="s">
        <v>721</v>
      </c>
      <c r="L50" s="151" t="s">
        <v>413</v>
      </c>
      <c r="M50" s="145" t="s">
        <v>758</v>
      </c>
      <c r="N50" s="152" t="s">
        <v>118</v>
      </c>
      <c r="O50" s="153" t="s">
        <v>119</v>
      </c>
      <c r="P50" s="200" t="s">
        <v>764</v>
      </c>
      <c r="Q50" s="147" t="s">
        <v>48</v>
      </c>
      <c r="R50" s="148" t="s">
        <v>735</v>
      </c>
      <c r="S50" s="188" t="s">
        <v>790</v>
      </c>
    </row>
    <row r="51" spans="1:20" ht="18.75" customHeight="1" x14ac:dyDescent="0.25">
      <c r="A51" s="135">
        <v>83</v>
      </c>
      <c r="B51" s="136" t="s">
        <v>142</v>
      </c>
      <c r="C51" s="137" t="s">
        <v>92</v>
      </c>
      <c r="D51" s="137" t="s">
        <v>50</v>
      </c>
      <c r="E51" s="138" t="s">
        <v>43</v>
      </c>
      <c r="F51" s="139" t="s">
        <v>53</v>
      </c>
      <c r="G51" s="140" t="s">
        <v>45</v>
      </c>
      <c r="H51" s="141" t="s">
        <v>767</v>
      </c>
      <c r="I51" s="142" t="s">
        <v>43</v>
      </c>
      <c r="J51" s="143" t="s">
        <v>752</v>
      </c>
      <c r="K51" s="162" t="s">
        <v>413</v>
      </c>
      <c r="L51" s="151" t="s">
        <v>413</v>
      </c>
      <c r="M51" s="145" t="s">
        <v>48</v>
      </c>
      <c r="N51" s="152" t="s">
        <v>48</v>
      </c>
      <c r="O51" s="153" t="s">
        <v>48</v>
      </c>
      <c r="P51" s="201" t="s">
        <v>48</v>
      </c>
      <c r="Q51" s="161" t="s">
        <v>750</v>
      </c>
      <c r="R51" s="148"/>
      <c r="S51" s="188" t="s">
        <v>791</v>
      </c>
      <c r="T51" s="114">
        <v>125</v>
      </c>
    </row>
    <row r="52" spans="1:20" ht="18.75" customHeight="1" x14ac:dyDescent="0.25">
      <c r="A52" s="135">
        <v>84</v>
      </c>
      <c r="B52" s="136" t="s">
        <v>143</v>
      </c>
      <c r="C52" s="137" t="s">
        <v>92</v>
      </c>
      <c r="D52" s="454" t="s">
        <v>50</v>
      </c>
      <c r="E52" s="138" t="s">
        <v>43</v>
      </c>
      <c r="F52" s="139" t="s">
        <v>73</v>
      </c>
      <c r="G52" s="140" t="s">
        <v>45</v>
      </c>
      <c r="H52" s="141" t="s">
        <v>767</v>
      </c>
      <c r="I52" s="142" t="s">
        <v>72</v>
      </c>
      <c r="J52" s="143" t="s">
        <v>738</v>
      </c>
      <c r="K52" s="203" t="s">
        <v>792</v>
      </c>
      <c r="L52" s="151" t="s">
        <v>413</v>
      </c>
      <c r="M52" s="145" t="s">
        <v>761</v>
      </c>
      <c r="N52" s="152" t="s">
        <v>48</v>
      </c>
      <c r="O52" s="153" t="s">
        <v>48</v>
      </c>
      <c r="P52" s="201" t="s">
        <v>48</v>
      </c>
      <c r="Q52" s="147" t="s">
        <v>48</v>
      </c>
      <c r="R52" s="148"/>
      <c r="S52" s="188" t="s">
        <v>793</v>
      </c>
    </row>
    <row r="53" spans="1:20" ht="18.75" customHeight="1" x14ac:dyDescent="0.25">
      <c r="A53" s="135">
        <v>86</v>
      </c>
      <c r="B53" s="136" t="s">
        <v>144</v>
      </c>
      <c r="C53" s="137" t="s">
        <v>92</v>
      </c>
      <c r="D53" s="137" t="s">
        <v>145</v>
      </c>
      <c r="E53" s="138" t="s">
        <v>43</v>
      </c>
      <c r="F53" s="139" t="s">
        <v>99</v>
      </c>
      <c r="G53" s="140" t="s">
        <v>794</v>
      </c>
      <c r="H53" s="141" t="s">
        <v>722</v>
      </c>
      <c r="I53" s="142" t="s">
        <v>72</v>
      </c>
      <c r="J53" s="143" t="s">
        <v>737</v>
      </c>
      <c r="K53" s="203" t="s">
        <v>721</v>
      </c>
      <c r="L53" s="144" t="s">
        <v>721</v>
      </c>
      <c r="M53" s="145" t="s">
        <v>721</v>
      </c>
      <c r="N53" s="152" t="s">
        <v>48</v>
      </c>
      <c r="O53" s="153" t="s">
        <v>48</v>
      </c>
      <c r="P53" s="201" t="s">
        <v>48</v>
      </c>
      <c r="Q53" s="147" t="s">
        <v>48</v>
      </c>
      <c r="R53" s="148"/>
      <c r="S53" s="188"/>
      <c r="T53" s="114">
        <v>126</v>
      </c>
    </row>
    <row r="54" spans="1:20" ht="18.75" customHeight="1" x14ac:dyDescent="0.25">
      <c r="A54" s="190">
        <v>222</v>
      </c>
      <c r="B54" s="191" t="s">
        <v>146</v>
      </c>
      <c r="C54" s="192" t="s">
        <v>92</v>
      </c>
      <c r="D54" s="192" t="s">
        <v>147</v>
      </c>
      <c r="E54" s="138" t="s">
        <v>43</v>
      </c>
      <c r="F54" s="139" t="s">
        <v>53</v>
      </c>
      <c r="G54" s="140" t="s">
        <v>53</v>
      </c>
      <c r="H54" s="141" t="s">
        <v>722</v>
      </c>
      <c r="I54" s="142" t="s">
        <v>43</v>
      </c>
      <c r="J54" s="143" t="s">
        <v>53</v>
      </c>
      <c r="K54" s="206"/>
      <c r="L54" s="207"/>
      <c r="M54" s="208"/>
      <c r="N54" s="209"/>
      <c r="O54" s="210"/>
      <c r="P54" s="211"/>
      <c r="Q54" s="212"/>
      <c r="R54" s="213"/>
      <c r="S54" s="463" t="s">
        <v>796</v>
      </c>
      <c r="T54" s="114">
        <v>132</v>
      </c>
    </row>
    <row r="55" spans="1:20" ht="18.75" customHeight="1" x14ac:dyDescent="0.25">
      <c r="A55" s="135">
        <v>223.1</v>
      </c>
      <c r="B55" s="136" t="s">
        <v>148</v>
      </c>
      <c r="C55" s="137" t="s">
        <v>92</v>
      </c>
      <c r="D55" s="137" t="s">
        <v>149</v>
      </c>
      <c r="E55" s="138" t="s">
        <v>43</v>
      </c>
      <c r="F55" s="139" t="s">
        <v>39</v>
      </c>
      <c r="G55" s="140" t="s">
        <v>799</v>
      </c>
      <c r="H55" s="141" t="s">
        <v>767</v>
      </c>
      <c r="I55" s="142" t="s">
        <v>43</v>
      </c>
      <c r="J55" s="143" t="s">
        <v>752</v>
      </c>
      <c r="K55" s="162" t="s">
        <v>413</v>
      </c>
      <c r="L55" s="151" t="s">
        <v>413</v>
      </c>
      <c r="M55" s="145" t="s">
        <v>48</v>
      </c>
      <c r="N55" s="152" t="s">
        <v>54</v>
      </c>
      <c r="O55" s="153" t="s">
        <v>150</v>
      </c>
      <c r="P55" s="201" t="s">
        <v>48</v>
      </c>
      <c r="Q55" s="147" t="s">
        <v>48</v>
      </c>
      <c r="R55" s="148"/>
      <c r="S55" s="188" t="s">
        <v>800</v>
      </c>
      <c r="T55" s="114">
        <v>135</v>
      </c>
    </row>
    <row r="56" spans="1:20" ht="18.75" customHeight="1" x14ac:dyDescent="0.25">
      <c r="A56" s="190">
        <v>223.2</v>
      </c>
      <c r="B56" s="191" t="s">
        <v>148</v>
      </c>
      <c r="C56" s="192" t="s">
        <v>92</v>
      </c>
      <c r="D56" s="192" t="s">
        <v>149</v>
      </c>
      <c r="E56" s="138" t="s">
        <v>43</v>
      </c>
      <c r="F56" s="139" t="s">
        <v>53</v>
      </c>
      <c r="G56" s="140" t="s">
        <v>53</v>
      </c>
      <c r="H56" s="141" t="s">
        <v>722</v>
      </c>
      <c r="I56" s="142" t="s">
        <v>43</v>
      </c>
      <c r="J56" s="143" t="s">
        <v>53</v>
      </c>
      <c r="K56" s="190"/>
      <c r="L56" s="191"/>
      <c r="M56" s="204"/>
      <c r="N56" s="194"/>
      <c r="O56" s="195"/>
      <c r="P56" s="196"/>
      <c r="Q56" s="197"/>
      <c r="R56" s="198"/>
      <c r="S56" s="205"/>
      <c r="T56" s="114">
        <v>136</v>
      </c>
    </row>
    <row r="57" spans="1:20" ht="18.75" customHeight="1" x14ac:dyDescent="0.25">
      <c r="A57" s="135">
        <v>224</v>
      </c>
      <c r="B57" s="136" t="s">
        <v>151</v>
      </c>
      <c r="C57" s="137" t="s">
        <v>92</v>
      </c>
      <c r="D57" s="137" t="s">
        <v>152</v>
      </c>
      <c r="E57" s="138" t="s">
        <v>72</v>
      </c>
      <c r="F57" s="139" t="s">
        <v>71</v>
      </c>
      <c r="G57" s="140" t="s">
        <v>746</v>
      </c>
      <c r="H57" s="141" t="s">
        <v>722</v>
      </c>
      <c r="I57" s="142" t="s">
        <v>43</v>
      </c>
      <c r="J57" s="143" t="s">
        <v>737</v>
      </c>
      <c r="K57" s="162" t="s">
        <v>413</v>
      </c>
      <c r="L57" s="202" t="s">
        <v>118</v>
      </c>
      <c r="M57" s="145" t="s">
        <v>48</v>
      </c>
      <c r="N57" s="152" t="s">
        <v>48</v>
      </c>
      <c r="O57" s="153" t="s">
        <v>48</v>
      </c>
      <c r="P57" s="201" t="s">
        <v>48</v>
      </c>
      <c r="Q57" s="147" t="s">
        <v>48</v>
      </c>
      <c r="R57" s="148"/>
      <c r="S57" s="188"/>
      <c r="T57" s="114">
        <v>142</v>
      </c>
    </row>
    <row r="58" spans="1:20" ht="18.75" customHeight="1" x14ac:dyDescent="0.25">
      <c r="A58" s="135">
        <v>315</v>
      </c>
      <c r="B58" s="136" t="s">
        <v>153</v>
      </c>
      <c r="C58" s="137" t="s">
        <v>92</v>
      </c>
      <c r="D58" s="137" t="s">
        <v>154</v>
      </c>
      <c r="E58" s="138" t="s">
        <v>43</v>
      </c>
      <c r="F58" s="139" t="s">
        <v>73</v>
      </c>
      <c r="G58" s="140" t="s">
        <v>746</v>
      </c>
      <c r="H58" s="141" t="s">
        <v>722</v>
      </c>
      <c r="I58" s="142" t="s">
        <v>43</v>
      </c>
      <c r="J58" s="143" t="s">
        <v>720</v>
      </c>
      <c r="K58" s="162" t="s">
        <v>413</v>
      </c>
      <c r="L58" s="202" t="s">
        <v>118</v>
      </c>
      <c r="M58" s="145" t="s">
        <v>48</v>
      </c>
      <c r="N58" s="152" t="s">
        <v>48</v>
      </c>
      <c r="O58" s="153" t="s">
        <v>48</v>
      </c>
      <c r="P58" s="201" t="s">
        <v>48</v>
      </c>
      <c r="Q58" s="147" t="s">
        <v>48</v>
      </c>
      <c r="R58" s="148"/>
      <c r="S58" s="495"/>
    </row>
    <row r="59" spans="1:20" ht="18.75" customHeight="1" x14ac:dyDescent="0.25">
      <c r="A59" s="159">
        <v>316</v>
      </c>
      <c r="B59" s="214" t="s">
        <v>155</v>
      </c>
      <c r="C59" s="137" t="s">
        <v>92</v>
      </c>
      <c r="D59" s="137" t="s">
        <v>112</v>
      </c>
      <c r="E59" s="138" t="s">
        <v>43</v>
      </c>
      <c r="F59" s="139" t="s">
        <v>88</v>
      </c>
      <c r="G59" s="140" t="s">
        <v>751</v>
      </c>
      <c r="H59" s="141" t="s">
        <v>722</v>
      </c>
      <c r="I59" s="142" t="s">
        <v>72</v>
      </c>
      <c r="J59" s="249" t="s">
        <v>752</v>
      </c>
      <c r="K59" s="162" t="s">
        <v>760</v>
      </c>
      <c r="L59" s="144" t="s">
        <v>792</v>
      </c>
      <c r="M59" s="145" t="s">
        <v>48</v>
      </c>
      <c r="N59" s="152" t="s">
        <v>48</v>
      </c>
      <c r="O59" s="154" t="s">
        <v>48</v>
      </c>
      <c r="P59" s="181" t="s">
        <v>48</v>
      </c>
      <c r="Q59" s="147" t="s">
        <v>48</v>
      </c>
      <c r="R59" s="148"/>
      <c r="S59" s="188"/>
    </row>
    <row r="60" spans="1:20" ht="18.75" customHeight="1" x14ac:dyDescent="0.25">
      <c r="A60" s="159">
        <v>317</v>
      </c>
      <c r="B60" s="214" t="s">
        <v>156</v>
      </c>
      <c r="C60" s="137" t="s">
        <v>92</v>
      </c>
      <c r="D60" s="137" t="s">
        <v>157</v>
      </c>
      <c r="E60" s="138" t="s">
        <v>72</v>
      </c>
      <c r="F60" s="139" t="s">
        <v>87</v>
      </c>
      <c r="G60" s="140" t="s">
        <v>751</v>
      </c>
      <c r="H60" s="141" t="s">
        <v>722</v>
      </c>
      <c r="I60" s="142" t="s">
        <v>43</v>
      </c>
      <c r="J60" s="143" t="s">
        <v>752</v>
      </c>
      <c r="K60" s="162" t="s">
        <v>760</v>
      </c>
      <c r="L60" s="151" t="s">
        <v>725</v>
      </c>
      <c r="M60" s="145" t="s">
        <v>48</v>
      </c>
      <c r="N60" s="152" t="s">
        <v>48</v>
      </c>
      <c r="O60" s="154" t="s">
        <v>48</v>
      </c>
      <c r="P60" s="181" t="s">
        <v>48</v>
      </c>
      <c r="Q60" s="147" t="s">
        <v>48</v>
      </c>
      <c r="R60" s="148"/>
      <c r="S60" s="188" t="s">
        <v>801</v>
      </c>
      <c r="T60" s="114">
        <v>324</v>
      </c>
    </row>
    <row r="61" spans="1:20" ht="18.75" customHeight="1" x14ac:dyDescent="0.25">
      <c r="A61" s="135">
        <v>319</v>
      </c>
      <c r="B61" s="136" t="s">
        <v>161</v>
      </c>
      <c r="C61" s="137" t="s">
        <v>92</v>
      </c>
      <c r="D61" s="137" t="s">
        <v>94</v>
      </c>
      <c r="E61" s="138" t="s">
        <v>43</v>
      </c>
      <c r="F61" s="139" t="s">
        <v>73</v>
      </c>
      <c r="G61" s="140" t="s">
        <v>45</v>
      </c>
      <c r="H61" s="141" t="s">
        <v>722</v>
      </c>
      <c r="I61" s="142" t="s">
        <v>43</v>
      </c>
      <c r="J61" s="143" t="s">
        <v>752</v>
      </c>
      <c r="K61" s="162" t="s">
        <v>413</v>
      </c>
      <c r="L61" s="202" t="s">
        <v>118</v>
      </c>
      <c r="M61" s="145" t="s">
        <v>48</v>
      </c>
      <c r="N61" s="152" t="s">
        <v>162</v>
      </c>
      <c r="O61" s="153" t="s">
        <v>48</v>
      </c>
      <c r="P61" s="201" t="s">
        <v>48</v>
      </c>
      <c r="Q61" s="147" t="s">
        <v>48</v>
      </c>
      <c r="R61" s="148"/>
      <c r="S61" s="495"/>
    </row>
    <row r="62" spans="1:20" ht="18.75" customHeight="1" x14ac:dyDescent="0.25">
      <c r="A62" s="159">
        <v>320</v>
      </c>
      <c r="B62" s="214" t="s">
        <v>163</v>
      </c>
      <c r="C62" s="137" t="s">
        <v>92</v>
      </c>
      <c r="D62" s="137" t="s">
        <v>164</v>
      </c>
      <c r="E62" s="138" t="s">
        <v>43</v>
      </c>
      <c r="F62" s="139" t="s">
        <v>73</v>
      </c>
      <c r="G62" s="140" t="s">
        <v>751</v>
      </c>
      <c r="H62" s="141" t="s">
        <v>722</v>
      </c>
      <c r="I62" s="142" t="s">
        <v>43</v>
      </c>
      <c r="J62" s="143" t="s">
        <v>752</v>
      </c>
      <c r="K62" s="162" t="s">
        <v>760</v>
      </c>
      <c r="L62" s="202" t="s">
        <v>118</v>
      </c>
      <c r="M62" s="145" t="s">
        <v>48</v>
      </c>
      <c r="N62" s="152" t="s">
        <v>48</v>
      </c>
      <c r="O62" s="153" t="s">
        <v>48</v>
      </c>
      <c r="P62" s="201" t="s">
        <v>48</v>
      </c>
      <c r="Q62" s="147" t="s">
        <v>48</v>
      </c>
      <c r="R62" s="148"/>
      <c r="S62" s="188"/>
    </row>
    <row r="63" spans="1:20" ht="18.75" customHeight="1" x14ac:dyDescent="0.25">
      <c r="A63" s="135">
        <v>321</v>
      </c>
      <c r="B63" s="136" t="s">
        <v>165</v>
      </c>
      <c r="C63" s="137" t="s">
        <v>92</v>
      </c>
      <c r="D63" s="137" t="s">
        <v>94</v>
      </c>
      <c r="E63" s="138" t="s">
        <v>43</v>
      </c>
      <c r="F63" s="139" t="s">
        <v>73</v>
      </c>
      <c r="G63" s="140" t="s">
        <v>746</v>
      </c>
      <c r="H63" s="141" t="s">
        <v>722</v>
      </c>
      <c r="I63" s="142" t="s">
        <v>43</v>
      </c>
      <c r="J63" s="143" t="s">
        <v>752</v>
      </c>
      <c r="K63" s="162" t="s">
        <v>413</v>
      </c>
      <c r="L63" s="202" t="s">
        <v>118</v>
      </c>
      <c r="M63" s="145" t="s">
        <v>48</v>
      </c>
      <c r="N63" s="152" t="s">
        <v>48</v>
      </c>
      <c r="O63" s="153" t="s">
        <v>48</v>
      </c>
      <c r="P63" s="201" t="s">
        <v>48</v>
      </c>
      <c r="Q63" s="147" t="s">
        <v>48</v>
      </c>
      <c r="R63" s="148"/>
      <c r="S63" s="188"/>
    </row>
    <row r="64" spans="1:20" ht="18.75" customHeight="1" x14ac:dyDescent="0.25">
      <c r="A64" s="135">
        <v>322</v>
      </c>
      <c r="B64" s="136" t="s">
        <v>166</v>
      </c>
      <c r="C64" s="137" t="s">
        <v>92</v>
      </c>
      <c r="D64" s="137" t="s">
        <v>167</v>
      </c>
      <c r="E64" s="138" t="s">
        <v>43</v>
      </c>
      <c r="F64" s="139" t="s">
        <v>88</v>
      </c>
      <c r="G64" s="140" t="s">
        <v>746</v>
      </c>
      <c r="H64" s="141" t="s">
        <v>722</v>
      </c>
      <c r="I64" s="142" t="s">
        <v>72</v>
      </c>
      <c r="J64" s="143" t="s">
        <v>752</v>
      </c>
      <c r="K64" s="162" t="s">
        <v>413</v>
      </c>
      <c r="L64" s="202" t="s">
        <v>118</v>
      </c>
      <c r="M64" s="145" t="s">
        <v>48</v>
      </c>
      <c r="N64" s="152" t="s">
        <v>48</v>
      </c>
      <c r="O64" s="153" t="s">
        <v>48</v>
      </c>
      <c r="P64" s="201" t="s">
        <v>48</v>
      </c>
      <c r="Q64" s="147" t="s">
        <v>48</v>
      </c>
      <c r="R64" s="148"/>
      <c r="S64" s="188"/>
    </row>
    <row r="65" spans="1:20" ht="18.75" customHeight="1" x14ac:dyDescent="0.25">
      <c r="A65" s="135">
        <v>323</v>
      </c>
      <c r="B65" s="136" t="s">
        <v>168</v>
      </c>
      <c r="C65" s="137" t="s">
        <v>92</v>
      </c>
      <c r="D65" s="137" t="s">
        <v>169</v>
      </c>
      <c r="E65" s="138" t="s">
        <v>72</v>
      </c>
      <c r="F65" s="139" t="s">
        <v>87</v>
      </c>
      <c r="G65" s="140" t="s">
        <v>746</v>
      </c>
      <c r="H65" s="141" t="s">
        <v>722</v>
      </c>
      <c r="I65" s="142" t="s">
        <v>43</v>
      </c>
      <c r="J65" s="143" t="s">
        <v>720</v>
      </c>
      <c r="K65" s="162" t="s">
        <v>413</v>
      </c>
      <c r="L65" s="151" t="s">
        <v>413</v>
      </c>
      <c r="M65" s="145" t="s">
        <v>48</v>
      </c>
      <c r="N65" s="152" t="s">
        <v>48</v>
      </c>
      <c r="O65" s="153" t="s">
        <v>48</v>
      </c>
      <c r="P65" s="201" t="s">
        <v>48</v>
      </c>
      <c r="Q65" s="147" t="s">
        <v>48</v>
      </c>
      <c r="R65" s="148"/>
      <c r="S65" s="188" t="s">
        <v>802</v>
      </c>
    </row>
    <row r="66" spans="1:20" ht="18.75" customHeight="1" x14ac:dyDescent="0.25">
      <c r="A66" s="135">
        <v>324</v>
      </c>
      <c r="B66" s="136" t="s">
        <v>171</v>
      </c>
      <c r="C66" s="137" t="s">
        <v>92</v>
      </c>
      <c r="D66" s="137" t="s">
        <v>172</v>
      </c>
      <c r="E66" s="138" t="s">
        <v>72</v>
      </c>
      <c r="F66" s="139" t="s">
        <v>87</v>
      </c>
      <c r="G66" s="140" t="s">
        <v>746</v>
      </c>
      <c r="H66" s="141" t="s">
        <v>722</v>
      </c>
      <c r="I66" s="142" t="s">
        <v>43</v>
      </c>
      <c r="J66" s="143" t="s">
        <v>720</v>
      </c>
      <c r="K66" s="203" t="s">
        <v>803</v>
      </c>
      <c r="L66" s="202" t="s">
        <v>118</v>
      </c>
      <c r="M66" s="145" t="s">
        <v>48</v>
      </c>
      <c r="N66" s="152" t="s">
        <v>48</v>
      </c>
      <c r="O66" s="153" t="s">
        <v>48</v>
      </c>
      <c r="P66" s="201" t="s">
        <v>48</v>
      </c>
      <c r="Q66" s="147" t="s">
        <v>48</v>
      </c>
      <c r="R66" s="148"/>
      <c r="S66" s="188"/>
    </row>
    <row r="67" spans="1:20" ht="18.75" customHeight="1" x14ac:dyDescent="0.25">
      <c r="A67" s="135">
        <v>325</v>
      </c>
      <c r="B67" s="136" t="s">
        <v>174</v>
      </c>
      <c r="C67" s="137" t="s">
        <v>92</v>
      </c>
      <c r="D67" s="137" t="s">
        <v>125</v>
      </c>
      <c r="E67" s="138" t="s">
        <v>43</v>
      </c>
      <c r="F67" s="139" t="s">
        <v>88</v>
      </c>
      <c r="G67" s="140" t="s">
        <v>45</v>
      </c>
      <c r="H67" s="141" t="s">
        <v>722</v>
      </c>
      <c r="I67" s="142" t="s">
        <v>72</v>
      </c>
      <c r="J67" s="143" t="s">
        <v>752</v>
      </c>
      <c r="K67" s="203" t="s">
        <v>803</v>
      </c>
      <c r="L67" s="202" t="s">
        <v>118</v>
      </c>
      <c r="M67" s="145" t="s">
        <v>48</v>
      </c>
      <c r="N67" s="152" t="s">
        <v>48</v>
      </c>
      <c r="O67" s="153" t="s">
        <v>48</v>
      </c>
      <c r="P67" s="201" t="s">
        <v>48</v>
      </c>
      <c r="Q67" s="147" t="s">
        <v>48</v>
      </c>
      <c r="R67" s="148"/>
      <c r="S67" s="188"/>
    </row>
    <row r="68" spans="1:20" ht="18.75" customHeight="1" x14ac:dyDescent="0.25">
      <c r="A68" s="135">
        <v>326.10000000000002</v>
      </c>
      <c r="B68" s="136" t="s">
        <v>175</v>
      </c>
      <c r="C68" s="137" t="s">
        <v>92</v>
      </c>
      <c r="D68" s="137" t="s">
        <v>176</v>
      </c>
      <c r="E68" s="138" t="s">
        <v>72</v>
      </c>
      <c r="F68" s="139" t="s">
        <v>87</v>
      </c>
      <c r="G68" s="140" t="s">
        <v>746</v>
      </c>
      <c r="H68" s="141" t="s">
        <v>722</v>
      </c>
      <c r="I68" s="142" t="s">
        <v>72</v>
      </c>
      <c r="J68" s="143" t="s">
        <v>752</v>
      </c>
      <c r="K68" s="162" t="s">
        <v>413</v>
      </c>
      <c r="L68" s="202" t="s">
        <v>118</v>
      </c>
      <c r="M68" s="145" t="s">
        <v>48</v>
      </c>
      <c r="N68" s="152" t="s">
        <v>48</v>
      </c>
      <c r="O68" s="153" t="s">
        <v>48</v>
      </c>
      <c r="P68" s="201" t="s">
        <v>48</v>
      </c>
      <c r="Q68" s="147" t="s">
        <v>48</v>
      </c>
      <c r="R68" s="148"/>
      <c r="S68" s="188"/>
      <c r="T68" s="114">
        <v>224</v>
      </c>
    </row>
    <row r="69" spans="1:20" ht="18.75" customHeight="1" x14ac:dyDescent="0.25">
      <c r="A69" s="190">
        <v>326.2</v>
      </c>
      <c r="B69" s="191" t="s">
        <v>175</v>
      </c>
      <c r="C69" s="465" t="s">
        <v>92</v>
      </c>
      <c r="D69" s="192" t="s">
        <v>176</v>
      </c>
      <c r="E69" s="138" t="s">
        <v>72</v>
      </c>
      <c r="F69" s="139" t="s">
        <v>87</v>
      </c>
      <c r="G69" s="140" t="s">
        <v>746</v>
      </c>
      <c r="H69" s="141" t="s">
        <v>722</v>
      </c>
      <c r="I69" s="142" t="s">
        <v>43</v>
      </c>
      <c r="J69" s="143" t="s">
        <v>752</v>
      </c>
      <c r="K69" s="190"/>
      <c r="L69" s="191"/>
      <c r="M69" s="204"/>
      <c r="N69" s="194"/>
      <c r="O69" s="195"/>
      <c r="P69" s="196"/>
      <c r="Q69" s="197"/>
      <c r="R69" s="198"/>
      <c r="S69" s="205"/>
    </row>
    <row r="70" spans="1:20" ht="18.75" customHeight="1" x14ac:dyDescent="0.25">
      <c r="A70" s="135">
        <v>327</v>
      </c>
      <c r="B70" s="136" t="s">
        <v>177</v>
      </c>
      <c r="C70" s="137" t="s">
        <v>92</v>
      </c>
      <c r="D70" s="137" t="s">
        <v>178</v>
      </c>
      <c r="E70" s="138" t="s">
        <v>72</v>
      </c>
      <c r="F70" s="139" t="s">
        <v>87</v>
      </c>
      <c r="G70" s="140" t="s">
        <v>746</v>
      </c>
      <c r="H70" s="141" t="s">
        <v>722</v>
      </c>
      <c r="I70" s="142" t="s">
        <v>43</v>
      </c>
      <c r="J70" s="143" t="s">
        <v>752</v>
      </c>
      <c r="K70" s="162" t="s">
        <v>413</v>
      </c>
      <c r="L70" s="144" t="s">
        <v>721</v>
      </c>
      <c r="M70" s="145" t="s">
        <v>721</v>
      </c>
      <c r="N70" s="152" t="s">
        <v>48</v>
      </c>
      <c r="O70" s="153" t="s">
        <v>48</v>
      </c>
      <c r="P70" s="201" t="s">
        <v>48</v>
      </c>
      <c r="Q70" s="147" t="s">
        <v>48</v>
      </c>
      <c r="R70" s="148"/>
      <c r="S70" s="188" t="s">
        <v>804</v>
      </c>
    </row>
    <row r="71" spans="1:20" ht="18.75" customHeight="1" x14ac:dyDescent="0.25">
      <c r="A71" s="159">
        <v>328</v>
      </c>
      <c r="B71" s="214" t="s">
        <v>180</v>
      </c>
      <c r="C71" s="137" t="s">
        <v>92</v>
      </c>
      <c r="D71" s="137" t="s">
        <v>181</v>
      </c>
      <c r="E71" s="138" t="s">
        <v>72</v>
      </c>
      <c r="F71" s="139" t="s">
        <v>87</v>
      </c>
      <c r="G71" s="140" t="s">
        <v>751</v>
      </c>
      <c r="H71" s="141" t="s">
        <v>722</v>
      </c>
      <c r="I71" s="142" t="s">
        <v>43</v>
      </c>
      <c r="J71" s="143" t="s">
        <v>752</v>
      </c>
      <c r="K71" s="203" t="s">
        <v>803</v>
      </c>
      <c r="L71" s="202" t="s">
        <v>118</v>
      </c>
      <c r="M71" s="145" t="s">
        <v>48</v>
      </c>
      <c r="N71" s="152" t="s">
        <v>48</v>
      </c>
      <c r="O71" s="153" t="s">
        <v>48</v>
      </c>
      <c r="P71" s="201" t="s">
        <v>48</v>
      </c>
      <c r="Q71" s="147" t="s">
        <v>48</v>
      </c>
      <c r="R71" s="148"/>
      <c r="S71" s="188" t="s">
        <v>805</v>
      </c>
    </row>
    <row r="72" spans="1:20" ht="18.75" customHeight="1" x14ac:dyDescent="0.25">
      <c r="A72" s="135">
        <v>55</v>
      </c>
      <c r="B72" s="136" t="s">
        <v>184</v>
      </c>
      <c r="C72" s="137" t="s">
        <v>770</v>
      </c>
      <c r="D72" s="137" t="s">
        <v>185</v>
      </c>
      <c r="E72" s="138" t="s">
        <v>43</v>
      </c>
      <c r="F72" s="139" t="s">
        <v>88</v>
      </c>
      <c r="G72" s="140" t="s">
        <v>746</v>
      </c>
      <c r="H72" s="141" t="s">
        <v>722</v>
      </c>
      <c r="I72" s="142" t="s">
        <v>43</v>
      </c>
      <c r="J72" s="143" t="s">
        <v>752</v>
      </c>
      <c r="K72" s="162" t="s">
        <v>413</v>
      </c>
      <c r="L72" s="151" t="s">
        <v>725</v>
      </c>
      <c r="M72" s="145" t="s">
        <v>771</v>
      </c>
      <c r="N72" s="152" t="s">
        <v>186</v>
      </c>
      <c r="O72" s="153" t="s">
        <v>96</v>
      </c>
      <c r="P72" s="201" t="s">
        <v>48</v>
      </c>
      <c r="Q72" s="147" t="s">
        <v>48</v>
      </c>
      <c r="R72" s="148"/>
      <c r="S72" s="188" t="s">
        <v>772</v>
      </c>
    </row>
    <row r="73" spans="1:20" ht="18.75" customHeight="1" x14ac:dyDescent="0.25">
      <c r="A73" s="135">
        <v>314</v>
      </c>
      <c r="B73" s="136" t="s">
        <v>154</v>
      </c>
      <c r="C73" s="137" t="s">
        <v>770</v>
      </c>
      <c r="D73" s="137" t="s">
        <v>154</v>
      </c>
      <c r="E73" s="138" t="s">
        <v>43</v>
      </c>
      <c r="F73" s="139" t="s">
        <v>88</v>
      </c>
      <c r="G73" s="140" t="s">
        <v>746</v>
      </c>
      <c r="H73" s="141" t="s">
        <v>722</v>
      </c>
      <c r="I73" s="142" t="s">
        <v>43</v>
      </c>
      <c r="J73" s="143" t="s">
        <v>720</v>
      </c>
      <c r="K73" s="162" t="s">
        <v>760</v>
      </c>
      <c r="L73" s="202" t="s">
        <v>118</v>
      </c>
      <c r="M73" s="145" t="s">
        <v>48</v>
      </c>
      <c r="N73" s="152" t="s">
        <v>48</v>
      </c>
      <c r="O73" s="153" t="s">
        <v>48</v>
      </c>
      <c r="P73" s="201" t="s">
        <v>48</v>
      </c>
      <c r="Q73" s="147" t="s">
        <v>48</v>
      </c>
      <c r="R73" s="148"/>
      <c r="S73" s="188"/>
    </row>
    <row r="74" spans="1:20" ht="18.75" customHeight="1" x14ac:dyDescent="0.25">
      <c r="A74" s="190">
        <v>209</v>
      </c>
      <c r="B74" s="191" t="s">
        <v>190</v>
      </c>
      <c r="C74" s="192" t="s">
        <v>795</v>
      </c>
      <c r="D74" s="192" t="s">
        <v>191</v>
      </c>
      <c r="E74" s="138" t="s">
        <v>43</v>
      </c>
      <c r="F74" s="139" t="s">
        <v>53</v>
      </c>
      <c r="G74" s="140" t="s">
        <v>53</v>
      </c>
      <c r="H74" s="141" t="s">
        <v>722</v>
      </c>
      <c r="I74" s="142" t="s">
        <v>43</v>
      </c>
      <c r="J74" s="249" t="s">
        <v>53</v>
      </c>
      <c r="K74" s="206"/>
      <c r="L74" s="207"/>
      <c r="M74" s="208"/>
      <c r="N74" s="209"/>
      <c r="O74" s="458"/>
      <c r="P74" s="491"/>
      <c r="Q74" s="212"/>
      <c r="R74" s="213"/>
      <c r="S74" s="463" t="s">
        <v>796</v>
      </c>
    </row>
    <row r="75" spans="1:20" ht="18.75" customHeight="1" x14ac:dyDescent="0.25">
      <c r="A75" s="135">
        <v>221</v>
      </c>
      <c r="B75" s="136" t="s">
        <v>193</v>
      </c>
      <c r="C75" s="137" t="s">
        <v>1854</v>
      </c>
      <c r="D75" s="137" t="s">
        <v>50</v>
      </c>
      <c r="E75" s="138" t="s">
        <v>72</v>
      </c>
      <c r="F75" s="139" t="s">
        <v>104</v>
      </c>
      <c r="G75" s="140" t="s">
        <v>45</v>
      </c>
      <c r="H75" s="141" t="s">
        <v>722</v>
      </c>
      <c r="I75" s="142" t="s">
        <v>72</v>
      </c>
      <c r="J75" s="143" t="s">
        <v>738</v>
      </c>
      <c r="K75" s="203" t="s">
        <v>792</v>
      </c>
      <c r="L75" s="144" t="s">
        <v>721</v>
      </c>
      <c r="M75" s="145" t="s">
        <v>721</v>
      </c>
      <c r="N75" s="152" t="s">
        <v>48</v>
      </c>
      <c r="O75" s="153" t="s">
        <v>48</v>
      </c>
      <c r="P75" s="461" t="s">
        <v>797</v>
      </c>
      <c r="Q75" s="147" t="s">
        <v>48</v>
      </c>
      <c r="R75" s="148" t="s">
        <v>735</v>
      </c>
      <c r="S75" s="188" t="s">
        <v>798</v>
      </c>
    </row>
    <row r="76" spans="1:20" ht="18.75" customHeight="1" x14ac:dyDescent="0.25">
      <c r="A76" s="163" t="s">
        <v>806</v>
      </c>
      <c r="B76" s="164"/>
      <c r="C76" s="165" t="s">
        <v>806</v>
      </c>
      <c r="D76" s="165"/>
      <c r="E76" s="163"/>
      <c r="F76" s="164"/>
      <c r="G76" s="164"/>
      <c r="H76" s="164"/>
      <c r="I76" s="165"/>
      <c r="J76" s="474"/>
      <c r="K76" s="167"/>
      <c r="L76" s="168"/>
      <c r="M76" s="169"/>
      <c r="N76" s="170"/>
      <c r="O76" s="169"/>
      <c r="P76" s="171"/>
      <c r="Q76" s="172"/>
      <c r="R76" s="173"/>
      <c r="S76" s="174"/>
    </row>
    <row r="77" spans="1:20" ht="18.75" customHeight="1" x14ac:dyDescent="0.25">
      <c r="A77" s="163" t="s">
        <v>197</v>
      </c>
      <c r="B77" s="164"/>
      <c r="C77" s="165" t="s">
        <v>197</v>
      </c>
      <c r="D77" s="165"/>
      <c r="E77" s="163"/>
      <c r="F77" s="164"/>
      <c r="G77" s="164"/>
      <c r="H77" s="164"/>
      <c r="I77" s="165"/>
      <c r="J77" s="474"/>
      <c r="K77" s="167"/>
      <c r="L77" s="168"/>
      <c r="M77" s="169"/>
      <c r="N77" s="170"/>
      <c r="O77" s="169"/>
      <c r="P77" s="171"/>
      <c r="Q77" s="172"/>
      <c r="R77" s="173"/>
      <c r="S77" s="174"/>
    </row>
    <row r="78" spans="1:20" ht="18.75" customHeight="1" x14ac:dyDescent="0.25">
      <c r="A78" s="135">
        <v>60</v>
      </c>
      <c r="B78" s="136" t="s">
        <v>198</v>
      </c>
      <c r="C78" s="137" t="s">
        <v>197</v>
      </c>
      <c r="D78" s="137" t="s">
        <v>199</v>
      </c>
      <c r="E78" s="138" t="s">
        <v>72</v>
      </c>
      <c r="F78" s="139" t="s">
        <v>202</v>
      </c>
      <c r="G78" s="140" t="s">
        <v>746</v>
      </c>
      <c r="H78" s="141" t="s">
        <v>722</v>
      </c>
      <c r="I78" s="142" t="s">
        <v>72</v>
      </c>
      <c r="J78" s="143" t="s">
        <v>752</v>
      </c>
      <c r="K78" s="150" t="s">
        <v>413</v>
      </c>
      <c r="L78" s="157" t="s">
        <v>413</v>
      </c>
      <c r="M78" s="145" t="s">
        <v>812</v>
      </c>
      <c r="N78" s="152" t="s">
        <v>162</v>
      </c>
      <c r="O78" s="153"/>
      <c r="P78" s="146" t="s">
        <v>48</v>
      </c>
      <c r="Q78" s="147" t="s">
        <v>48</v>
      </c>
      <c r="R78" s="148"/>
      <c r="S78" s="149"/>
    </row>
    <row r="79" spans="1:20" ht="18.75" customHeight="1" x14ac:dyDescent="0.25">
      <c r="A79" s="135">
        <v>61</v>
      </c>
      <c r="B79" s="136" t="s">
        <v>204</v>
      </c>
      <c r="C79" s="137" t="s">
        <v>197</v>
      </c>
      <c r="D79" s="137" t="s">
        <v>205</v>
      </c>
      <c r="E79" s="138" t="s">
        <v>72</v>
      </c>
      <c r="F79" s="139" t="s">
        <v>87</v>
      </c>
      <c r="G79" s="140" t="s">
        <v>746</v>
      </c>
      <c r="H79" s="141" t="s">
        <v>722</v>
      </c>
      <c r="I79" s="142" t="s">
        <v>43</v>
      </c>
      <c r="J79" s="143" t="s">
        <v>720</v>
      </c>
      <c r="K79" s="150" t="s">
        <v>413</v>
      </c>
      <c r="L79" s="216" t="s">
        <v>810</v>
      </c>
      <c r="M79" s="145" t="s">
        <v>811</v>
      </c>
      <c r="N79" s="152" t="s">
        <v>162</v>
      </c>
      <c r="O79" s="153"/>
      <c r="P79" s="146" t="s">
        <v>48</v>
      </c>
      <c r="Q79" s="217" t="s">
        <v>797</v>
      </c>
      <c r="R79" s="148" t="s">
        <v>735</v>
      </c>
      <c r="S79" s="149"/>
      <c r="T79" s="114">
        <v>139</v>
      </c>
    </row>
    <row r="80" spans="1:20" ht="18.75" customHeight="1" x14ac:dyDescent="0.25">
      <c r="A80" s="135">
        <v>62.1</v>
      </c>
      <c r="B80" s="136" t="s">
        <v>207</v>
      </c>
      <c r="C80" s="137" t="s">
        <v>197</v>
      </c>
      <c r="D80" s="137" t="s">
        <v>208</v>
      </c>
      <c r="E80" s="138" t="s">
        <v>43</v>
      </c>
      <c r="F80" s="139" t="s">
        <v>39</v>
      </c>
      <c r="G80" s="140" t="s">
        <v>88</v>
      </c>
      <c r="H80" s="141" t="s">
        <v>722</v>
      </c>
      <c r="I80" s="142" t="s">
        <v>43</v>
      </c>
      <c r="J80" s="143" t="s">
        <v>752</v>
      </c>
      <c r="K80" s="150" t="s">
        <v>413</v>
      </c>
      <c r="L80" s="216" t="s">
        <v>813</v>
      </c>
      <c r="M80" s="145" t="s">
        <v>811</v>
      </c>
      <c r="N80" s="152" t="s">
        <v>54</v>
      </c>
      <c r="O80" s="153" t="s">
        <v>209</v>
      </c>
      <c r="P80" s="146" t="s">
        <v>48</v>
      </c>
      <c r="Q80" s="147" t="s">
        <v>48</v>
      </c>
      <c r="R80" s="148"/>
      <c r="S80" s="149"/>
    </row>
    <row r="81" spans="1:21" ht="18.75" customHeight="1" x14ac:dyDescent="0.25">
      <c r="A81" s="190">
        <v>62.2</v>
      </c>
      <c r="B81" s="191" t="s">
        <v>207</v>
      </c>
      <c r="C81" s="192" t="s">
        <v>197</v>
      </c>
      <c r="D81" s="192" t="s">
        <v>208</v>
      </c>
      <c r="E81" s="138" t="s">
        <v>43</v>
      </c>
      <c r="F81" s="139" t="s">
        <v>39</v>
      </c>
      <c r="G81" s="140" t="s">
        <v>45</v>
      </c>
      <c r="H81" s="141" t="s">
        <v>767</v>
      </c>
      <c r="I81" s="142" t="s">
        <v>72</v>
      </c>
      <c r="J81" s="143" t="s">
        <v>720</v>
      </c>
      <c r="K81" s="150" t="s">
        <v>413</v>
      </c>
      <c r="L81" s="216" t="s">
        <v>813</v>
      </c>
      <c r="M81" s="145" t="s">
        <v>811</v>
      </c>
      <c r="N81" s="152" t="s">
        <v>54</v>
      </c>
      <c r="O81" s="153" t="s">
        <v>209</v>
      </c>
      <c r="P81" s="146" t="s">
        <v>48</v>
      </c>
      <c r="Q81" s="217" t="s">
        <v>797</v>
      </c>
      <c r="R81" s="148" t="s">
        <v>735</v>
      </c>
      <c r="S81" s="149"/>
    </row>
    <row r="82" spans="1:21" ht="18.75" customHeight="1" x14ac:dyDescent="0.25">
      <c r="A82" s="135">
        <v>64</v>
      </c>
      <c r="B82" s="136" t="s">
        <v>210</v>
      </c>
      <c r="C82" s="137" t="s">
        <v>197</v>
      </c>
      <c r="D82" s="137" t="s">
        <v>211</v>
      </c>
      <c r="E82" s="138" t="s">
        <v>72</v>
      </c>
      <c r="F82" s="139" t="s">
        <v>104</v>
      </c>
      <c r="G82" s="140" t="s">
        <v>53</v>
      </c>
      <c r="H82" s="141" t="s">
        <v>767</v>
      </c>
      <c r="I82" s="142" t="s">
        <v>43</v>
      </c>
      <c r="J82" s="143" t="s">
        <v>720</v>
      </c>
      <c r="K82" s="150" t="s">
        <v>413</v>
      </c>
      <c r="L82" s="155" t="s">
        <v>725</v>
      </c>
      <c r="M82" s="145" t="s">
        <v>758</v>
      </c>
      <c r="N82" s="152" t="s">
        <v>113</v>
      </c>
      <c r="O82" s="153" t="s">
        <v>212</v>
      </c>
      <c r="P82" s="146" t="s">
        <v>48</v>
      </c>
      <c r="Q82" s="147" t="s">
        <v>48</v>
      </c>
      <c r="R82" s="148"/>
      <c r="S82" s="149" t="s">
        <v>814</v>
      </c>
      <c r="U82" s="114"/>
    </row>
    <row r="83" spans="1:21" ht="18.75" customHeight="1" x14ac:dyDescent="0.25">
      <c r="A83" s="135">
        <v>65</v>
      </c>
      <c r="B83" s="218" t="s">
        <v>213</v>
      </c>
      <c r="C83" s="137" t="s">
        <v>197</v>
      </c>
      <c r="D83" s="137" t="s">
        <v>208</v>
      </c>
      <c r="E83" s="138" t="s">
        <v>43</v>
      </c>
      <c r="F83" s="139" t="s">
        <v>214</v>
      </c>
      <c r="G83" s="140" t="s">
        <v>45</v>
      </c>
      <c r="H83" s="141" t="s">
        <v>767</v>
      </c>
      <c r="I83" s="142" t="s">
        <v>43</v>
      </c>
      <c r="J83" s="143" t="s">
        <v>737</v>
      </c>
      <c r="K83" s="150" t="s">
        <v>413</v>
      </c>
      <c r="L83" s="155" t="s">
        <v>725</v>
      </c>
      <c r="M83" s="145" t="s">
        <v>758</v>
      </c>
      <c r="N83" s="152" t="s">
        <v>54</v>
      </c>
      <c r="O83" s="153" t="s">
        <v>212</v>
      </c>
      <c r="P83" s="146" t="s">
        <v>48</v>
      </c>
      <c r="Q83" s="147" t="s">
        <v>48</v>
      </c>
      <c r="R83" s="148"/>
      <c r="S83" s="149"/>
      <c r="T83" s="114">
        <v>239</v>
      </c>
    </row>
    <row r="84" spans="1:21" ht="18.75" customHeight="1" x14ac:dyDescent="0.25">
      <c r="A84" s="135">
        <v>66</v>
      </c>
      <c r="B84" s="218" t="s">
        <v>215</v>
      </c>
      <c r="C84" s="137" t="s">
        <v>197</v>
      </c>
      <c r="D84" s="137" t="s">
        <v>208</v>
      </c>
      <c r="E84" s="138" t="s">
        <v>43</v>
      </c>
      <c r="F84" s="139" t="s">
        <v>214</v>
      </c>
      <c r="G84" s="140" t="s">
        <v>45</v>
      </c>
      <c r="H84" s="141" t="s">
        <v>767</v>
      </c>
      <c r="I84" s="142" t="s">
        <v>43</v>
      </c>
      <c r="J84" s="249" t="s">
        <v>737</v>
      </c>
      <c r="K84" s="150" t="s">
        <v>413</v>
      </c>
      <c r="L84" s="155" t="s">
        <v>725</v>
      </c>
      <c r="M84" s="145" t="s">
        <v>758</v>
      </c>
      <c r="N84" s="152" t="s">
        <v>54</v>
      </c>
      <c r="O84" s="153" t="s">
        <v>212</v>
      </c>
      <c r="P84" s="146" t="s">
        <v>48</v>
      </c>
      <c r="Q84" s="147" t="s">
        <v>48</v>
      </c>
      <c r="R84" s="148"/>
      <c r="S84" s="149"/>
    </row>
    <row r="85" spans="1:21" ht="18.75" customHeight="1" x14ac:dyDescent="0.25">
      <c r="A85" s="190">
        <v>204</v>
      </c>
      <c r="B85" s="191" t="s">
        <v>216</v>
      </c>
      <c r="C85" s="192" t="s">
        <v>197</v>
      </c>
      <c r="D85" s="192" t="s">
        <v>217</v>
      </c>
      <c r="E85" s="138" t="s">
        <v>43</v>
      </c>
      <c r="F85" s="139" t="s">
        <v>53</v>
      </c>
      <c r="G85" s="140" t="s">
        <v>53</v>
      </c>
      <c r="H85" s="141" t="s">
        <v>722</v>
      </c>
      <c r="I85" s="142" t="s">
        <v>43</v>
      </c>
      <c r="J85" s="143" t="s">
        <v>53</v>
      </c>
      <c r="K85" s="190"/>
      <c r="L85" s="191"/>
      <c r="M85" s="204"/>
      <c r="N85" s="194"/>
      <c r="O85" s="219"/>
      <c r="P85" s="505"/>
      <c r="Q85" s="197"/>
      <c r="R85" s="198"/>
      <c r="S85" s="205" t="s">
        <v>796</v>
      </c>
    </row>
    <row r="86" spans="1:21" ht="18.75" customHeight="1" x14ac:dyDescent="0.25">
      <c r="A86" s="135">
        <v>217</v>
      </c>
      <c r="B86" s="136" t="s">
        <v>218</v>
      </c>
      <c r="C86" s="137" t="s">
        <v>197</v>
      </c>
      <c r="D86" s="137" t="s">
        <v>219</v>
      </c>
      <c r="E86" s="138" t="s">
        <v>72</v>
      </c>
      <c r="F86" s="139" t="s">
        <v>87</v>
      </c>
      <c r="G86" s="140" t="s">
        <v>746</v>
      </c>
      <c r="H86" s="141" t="s">
        <v>722</v>
      </c>
      <c r="I86" s="142" t="s">
        <v>43</v>
      </c>
      <c r="J86" s="249" t="s">
        <v>752</v>
      </c>
      <c r="K86" s="150" t="s">
        <v>413</v>
      </c>
      <c r="L86" s="216" t="s">
        <v>810</v>
      </c>
      <c r="M86" s="153" t="s">
        <v>811</v>
      </c>
      <c r="N86" s="152" t="s">
        <v>162</v>
      </c>
      <c r="O86" s="153"/>
      <c r="P86" s="146" t="s">
        <v>48</v>
      </c>
      <c r="Q86" s="147" t="s">
        <v>48</v>
      </c>
      <c r="R86" s="148"/>
      <c r="S86" s="149"/>
    </row>
    <row r="87" spans="1:21" ht="18.75" customHeight="1" x14ac:dyDescent="0.25">
      <c r="A87" s="190">
        <v>307</v>
      </c>
      <c r="B87" s="191" t="s">
        <v>221</v>
      </c>
      <c r="C87" s="192" t="s">
        <v>197</v>
      </c>
      <c r="D87" s="192" t="s">
        <v>222</v>
      </c>
      <c r="E87" s="138" t="s">
        <v>43</v>
      </c>
      <c r="F87" s="139" t="s">
        <v>53</v>
      </c>
      <c r="G87" s="140" t="s">
        <v>53</v>
      </c>
      <c r="H87" s="141" t="s">
        <v>722</v>
      </c>
      <c r="I87" s="142" t="s">
        <v>43</v>
      </c>
      <c r="J87" s="143" t="s">
        <v>752</v>
      </c>
      <c r="K87" s="190"/>
      <c r="L87" s="191"/>
      <c r="M87" s="204"/>
      <c r="N87" s="194"/>
      <c r="O87" s="195"/>
      <c r="P87" s="196"/>
      <c r="Q87" s="197"/>
      <c r="R87" s="198"/>
      <c r="S87" s="205" t="s">
        <v>796</v>
      </c>
    </row>
    <row r="88" spans="1:21" ht="18.75" customHeight="1" x14ac:dyDescent="0.25">
      <c r="A88" s="190">
        <v>310</v>
      </c>
      <c r="B88" s="191" t="s">
        <v>223</v>
      </c>
      <c r="C88" s="192" t="s">
        <v>197</v>
      </c>
      <c r="D88" s="192" t="s">
        <v>224</v>
      </c>
      <c r="E88" s="138" t="s">
        <v>43</v>
      </c>
      <c r="F88" s="139" t="s">
        <v>104</v>
      </c>
      <c r="G88" s="140" t="s">
        <v>53</v>
      </c>
      <c r="H88" s="141" t="s">
        <v>722</v>
      </c>
      <c r="I88" s="142" t="s">
        <v>72</v>
      </c>
      <c r="J88" s="143" t="s">
        <v>738</v>
      </c>
      <c r="K88" s="150" t="s">
        <v>413</v>
      </c>
      <c r="L88" s="216" t="s">
        <v>810</v>
      </c>
      <c r="M88" s="204" t="s">
        <v>811</v>
      </c>
      <c r="N88" s="194" t="s">
        <v>113</v>
      </c>
      <c r="O88" s="195" t="s">
        <v>225</v>
      </c>
      <c r="P88" s="196"/>
      <c r="Q88" s="197" t="s">
        <v>797</v>
      </c>
      <c r="R88" s="198" t="s">
        <v>735</v>
      </c>
      <c r="S88" s="205" t="s">
        <v>796</v>
      </c>
    </row>
    <row r="89" spans="1:21" ht="18.75" customHeight="1" x14ac:dyDescent="0.25">
      <c r="A89" s="159">
        <v>311</v>
      </c>
      <c r="B89" s="214" t="s">
        <v>226</v>
      </c>
      <c r="C89" s="137" t="s">
        <v>197</v>
      </c>
      <c r="D89" s="137" t="s">
        <v>227</v>
      </c>
      <c r="E89" s="138" t="s">
        <v>43</v>
      </c>
      <c r="F89" s="139" t="s">
        <v>87</v>
      </c>
      <c r="G89" s="140" t="s">
        <v>751</v>
      </c>
      <c r="H89" s="141" t="s">
        <v>722</v>
      </c>
      <c r="I89" s="142" t="s">
        <v>43</v>
      </c>
      <c r="J89" s="143" t="s">
        <v>752</v>
      </c>
      <c r="K89" s="150" t="s">
        <v>413</v>
      </c>
      <c r="L89" s="216" t="s">
        <v>810</v>
      </c>
      <c r="M89" s="153" t="s">
        <v>811</v>
      </c>
      <c r="N89" s="152" t="s">
        <v>162</v>
      </c>
      <c r="O89" s="153"/>
      <c r="P89" s="146" t="s">
        <v>48</v>
      </c>
      <c r="Q89" s="147" t="s">
        <v>48</v>
      </c>
      <c r="R89" s="148"/>
      <c r="S89" s="149"/>
    </row>
    <row r="90" spans="1:21" ht="18.75" customHeight="1" x14ac:dyDescent="0.25">
      <c r="A90" s="159">
        <v>312</v>
      </c>
      <c r="B90" s="214" t="s">
        <v>229</v>
      </c>
      <c r="C90" s="137" t="s">
        <v>197</v>
      </c>
      <c r="D90" s="137" t="s">
        <v>230</v>
      </c>
      <c r="E90" s="138" t="s">
        <v>72</v>
      </c>
      <c r="F90" s="139" t="s">
        <v>87</v>
      </c>
      <c r="G90" s="140" t="s">
        <v>751</v>
      </c>
      <c r="H90" s="141" t="s">
        <v>722</v>
      </c>
      <c r="I90" s="142" t="s">
        <v>43</v>
      </c>
      <c r="J90" s="143" t="s">
        <v>752</v>
      </c>
      <c r="K90" s="150" t="s">
        <v>413</v>
      </c>
      <c r="L90" s="216" t="s">
        <v>810</v>
      </c>
      <c r="M90" s="153" t="s">
        <v>811</v>
      </c>
      <c r="N90" s="152" t="s">
        <v>162</v>
      </c>
      <c r="O90" s="153"/>
      <c r="P90" s="146" t="s">
        <v>48</v>
      </c>
      <c r="Q90" s="147" t="s">
        <v>48</v>
      </c>
      <c r="R90" s="148"/>
      <c r="S90" s="149"/>
    </row>
    <row r="91" spans="1:21" ht="18.75" customHeight="1" x14ac:dyDescent="0.25">
      <c r="A91" s="135">
        <v>313</v>
      </c>
      <c r="B91" s="136" t="s">
        <v>231</v>
      </c>
      <c r="C91" s="137" t="s">
        <v>197</v>
      </c>
      <c r="D91" s="137" t="s">
        <v>231</v>
      </c>
      <c r="E91" s="138" t="s">
        <v>72</v>
      </c>
      <c r="F91" s="139" t="s">
        <v>87</v>
      </c>
      <c r="G91" s="140" t="s">
        <v>746</v>
      </c>
      <c r="H91" s="141" t="s">
        <v>722</v>
      </c>
      <c r="I91" s="142" t="s">
        <v>43</v>
      </c>
      <c r="J91" s="143" t="s">
        <v>752</v>
      </c>
      <c r="K91" s="150" t="s">
        <v>413</v>
      </c>
      <c r="L91" s="216" t="s">
        <v>810</v>
      </c>
      <c r="M91" s="153" t="s">
        <v>811</v>
      </c>
      <c r="N91" s="152" t="s">
        <v>162</v>
      </c>
      <c r="O91" s="153"/>
      <c r="P91" s="146" t="s">
        <v>48</v>
      </c>
      <c r="Q91" s="147" t="s">
        <v>48</v>
      </c>
      <c r="R91" s="148"/>
      <c r="S91" s="149"/>
    </row>
    <row r="92" spans="1:21" ht="18.75" customHeight="1" x14ac:dyDescent="0.25">
      <c r="A92" s="135">
        <v>55</v>
      </c>
      <c r="B92" s="136" t="s">
        <v>184</v>
      </c>
      <c r="C92" s="137" t="s">
        <v>1834</v>
      </c>
      <c r="D92" s="137" t="s">
        <v>185</v>
      </c>
      <c r="E92" s="138" t="s">
        <v>43</v>
      </c>
      <c r="F92" s="139" t="s">
        <v>88</v>
      </c>
      <c r="G92" s="140" t="s">
        <v>746</v>
      </c>
      <c r="H92" s="141" t="s">
        <v>722</v>
      </c>
      <c r="I92" s="142" t="s">
        <v>43</v>
      </c>
      <c r="J92" s="143" t="s">
        <v>752</v>
      </c>
      <c r="K92" s="150" t="s">
        <v>413</v>
      </c>
      <c r="L92" s="216" t="s">
        <v>810</v>
      </c>
      <c r="M92" s="145" t="s">
        <v>811</v>
      </c>
      <c r="N92" s="152" t="s">
        <v>162</v>
      </c>
      <c r="O92" s="153"/>
      <c r="P92" s="146" t="s">
        <v>48</v>
      </c>
      <c r="Q92" s="147" t="s">
        <v>48</v>
      </c>
      <c r="R92" s="148"/>
      <c r="S92" s="149"/>
    </row>
    <row r="93" spans="1:21" ht="18.75" customHeight="1" x14ac:dyDescent="0.25">
      <c r="A93" s="135">
        <v>314</v>
      </c>
      <c r="B93" s="136" t="s">
        <v>154</v>
      </c>
      <c r="C93" s="137" t="s">
        <v>1834</v>
      </c>
      <c r="D93" s="137" t="s">
        <v>154</v>
      </c>
      <c r="E93" s="138" t="s">
        <v>43</v>
      </c>
      <c r="F93" s="139" t="s">
        <v>88</v>
      </c>
      <c r="G93" s="140" t="s">
        <v>746</v>
      </c>
      <c r="H93" s="141" t="s">
        <v>722</v>
      </c>
      <c r="I93" s="142" t="s">
        <v>43</v>
      </c>
      <c r="J93" s="143" t="s">
        <v>720</v>
      </c>
      <c r="K93" s="150" t="s">
        <v>413</v>
      </c>
      <c r="L93" s="216" t="s">
        <v>810</v>
      </c>
      <c r="M93" s="153" t="s">
        <v>811</v>
      </c>
      <c r="N93" s="152" t="s">
        <v>162</v>
      </c>
      <c r="O93" s="153"/>
      <c r="P93" s="146" t="s">
        <v>48</v>
      </c>
      <c r="Q93" s="217" t="s">
        <v>797</v>
      </c>
      <c r="R93" s="148" t="s">
        <v>735</v>
      </c>
      <c r="S93" s="149"/>
    </row>
    <row r="94" spans="1:21" ht="18.75" customHeight="1" x14ac:dyDescent="0.25">
      <c r="A94" s="135">
        <v>52</v>
      </c>
      <c r="B94" s="136" t="s">
        <v>234</v>
      </c>
      <c r="C94" s="137" t="s">
        <v>808</v>
      </c>
      <c r="D94" s="137" t="s">
        <v>235</v>
      </c>
      <c r="E94" s="138" t="s">
        <v>72</v>
      </c>
      <c r="F94" s="139" t="s">
        <v>214</v>
      </c>
      <c r="G94" s="140" t="s">
        <v>746</v>
      </c>
      <c r="H94" s="141" t="s">
        <v>722</v>
      </c>
      <c r="I94" s="142" t="s">
        <v>43</v>
      </c>
      <c r="J94" s="143" t="s">
        <v>737</v>
      </c>
      <c r="K94" s="150" t="s">
        <v>413</v>
      </c>
      <c r="L94" s="155" t="s">
        <v>118</v>
      </c>
      <c r="M94" s="145" t="s">
        <v>758</v>
      </c>
      <c r="N94" s="152" t="s">
        <v>162</v>
      </c>
      <c r="O94" s="153"/>
      <c r="P94" s="201" t="s">
        <v>809</v>
      </c>
      <c r="Q94" s="147" t="s">
        <v>48</v>
      </c>
      <c r="R94" s="148" t="s">
        <v>735</v>
      </c>
      <c r="S94" s="149"/>
    </row>
    <row r="95" spans="1:21" ht="18.75" customHeight="1" x14ac:dyDescent="0.25">
      <c r="A95" s="190">
        <v>203</v>
      </c>
      <c r="B95" s="191" t="s">
        <v>237</v>
      </c>
      <c r="C95" s="192" t="s">
        <v>808</v>
      </c>
      <c r="D95" s="192" t="s">
        <v>217</v>
      </c>
      <c r="E95" s="138" t="s">
        <v>43</v>
      </c>
      <c r="F95" s="139" t="s">
        <v>53</v>
      </c>
      <c r="G95" s="140" t="s">
        <v>53</v>
      </c>
      <c r="H95" s="141" t="s">
        <v>722</v>
      </c>
      <c r="I95" s="142" t="s">
        <v>43</v>
      </c>
      <c r="J95" s="143" t="s">
        <v>53</v>
      </c>
      <c r="K95" s="190"/>
      <c r="L95" s="191"/>
      <c r="M95" s="204"/>
      <c r="N95" s="194"/>
      <c r="O95" s="195"/>
      <c r="P95" s="196"/>
      <c r="Q95" s="197"/>
      <c r="R95" s="198"/>
      <c r="S95" s="205" t="s">
        <v>796</v>
      </c>
    </row>
    <row r="96" spans="1:21" ht="18.75" customHeight="1" x14ac:dyDescent="0.25">
      <c r="A96" s="190">
        <v>205</v>
      </c>
      <c r="B96" s="191" t="s">
        <v>238</v>
      </c>
      <c r="C96" s="192" t="s">
        <v>808</v>
      </c>
      <c r="D96" s="192" t="s">
        <v>217</v>
      </c>
      <c r="E96" s="138" t="s">
        <v>43</v>
      </c>
      <c r="F96" s="139" t="s">
        <v>53</v>
      </c>
      <c r="G96" s="140" t="s">
        <v>53</v>
      </c>
      <c r="H96" s="141" t="s">
        <v>722</v>
      </c>
      <c r="I96" s="142" t="s">
        <v>43</v>
      </c>
      <c r="J96" s="249" t="s">
        <v>53</v>
      </c>
      <c r="K96" s="190"/>
      <c r="L96" s="191"/>
      <c r="M96" s="204"/>
      <c r="N96" s="194"/>
      <c r="O96" s="219"/>
      <c r="P96" s="196"/>
      <c r="Q96" s="197"/>
      <c r="R96" s="198"/>
      <c r="S96" s="205" t="s">
        <v>796</v>
      </c>
      <c r="T96" s="114">
        <v>38</v>
      </c>
    </row>
    <row r="97" spans="1:20" ht="18.75" customHeight="1" x14ac:dyDescent="0.25">
      <c r="A97" s="190">
        <v>206</v>
      </c>
      <c r="B97" s="191" t="s">
        <v>239</v>
      </c>
      <c r="C97" s="192" t="s">
        <v>808</v>
      </c>
      <c r="D97" s="192" t="s">
        <v>217</v>
      </c>
      <c r="E97" s="138" t="s">
        <v>43</v>
      </c>
      <c r="F97" s="139" t="s">
        <v>53</v>
      </c>
      <c r="G97" s="140" t="s">
        <v>53</v>
      </c>
      <c r="H97" s="141" t="s">
        <v>722</v>
      </c>
      <c r="I97" s="142" t="s">
        <v>43</v>
      </c>
      <c r="J97" s="143" t="s">
        <v>53</v>
      </c>
      <c r="K97" s="190"/>
      <c r="L97" s="191"/>
      <c r="M97" s="204"/>
      <c r="N97" s="194"/>
      <c r="O97" s="219"/>
      <c r="P97" s="196"/>
      <c r="Q97" s="197"/>
      <c r="R97" s="198"/>
      <c r="S97" s="205" t="s">
        <v>796</v>
      </c>
    </row>
    <row r="98" spans="1:20" ht="18.75" customHeight="1" x14ac:dyDescent="0.25">
      <c r="A98" s="190">
        <v>207</v>
      </c>
      <c r="B98" s="191" t="s">
        <v>240</v>
      </c>
      <c r="C98" s="192" t="s">
        <v>808</v>
      </c>
      <c r="D98" s="192" t="s">
        <v>217</v>
      </c>
      <c r="E98" s="138" t="s">
        <v>43</v>
      </c>
      <c r="F98" s="139" t="s">
        <v>53</v>
      </c>
      <c r="G98" s="140" t="s">
        <v>53</v>
      </c>
      <c r="H98" s="141" t="s">
        <v>722</v>
      </c>
      <c r="I98" s="142" t="s">
        <v>43</v>
      </c>
      <c r="J98" s="143" t="s">
        <v>53</v>
      </c>
      <c r="K98" s="190"/>
      <c r="L98" s="191"/>
      <c r="M98" s="204"/>
      <c r="N98" s="194"/>
      <c r="O98" s="219"/>
      <c r="P98" s="196"/>
      <c r="Q98" s="197"/>
      <c r="R98" s="198"/>
      <c r="S98" s="205" t="s">
        <v>796</v>
      </c>
    </row>
    <row r="99" spans="1:20" ht="18.75" customHeight="1" x14ac:dyDescent="0.25">
      <c r="A99" s="163" t="s">
        <v>241</v>
      </c>
      <c r="B99" s="164"/>
      <c r="C99" s="165" t="s">
        <v>241</v>
      </c>
      <c r="D99" s="165"/>
      <c r="E99" s="163"/>
      <c r="F99" s="164"/>
      <c r="G99" s="164"/>
      <c r="H99" s="164"/>
      <c r="I99" s="165"/>
      <c r="J99" s="474"/>
      <c r="K99" s="167"/>
      <c r="L99" s="168"/>
      <c r="M99" s="169"/>
      <c r="N99" s="170"/>
      <c r="O99" s="183"/>
      <c r="P99" s="171"/>
      <c r="Q99" s="172"/>
      <c r="R99" s="173"/>
      <c r="S99" s="174"/>
    </row>
    <row r="100" spans="1:20" ht="18.75" customHeight="1" x14ac:dyDescent="0.25">
      <c r="A100" s="135">
        <v>112</v>
      </c>
      <c r="B100" s="136" t="s">
        <v>242</v>
      </c>
      <c r="C100" s="137" t="s">
        <v>241</v>
      </c>
      <c r="D100" s="137" t="s">
        <v>243</v>
      </c>
      <c r="E100" s="138" t="s">
        <v>72</v>
      </c>
      <c r="F100" s="139" t="s">
        <v>202</v>
      </c>
      <c r="G100" s="140" t="s">
        <v>746</v>
      </c>
      <c r="H100" s="141" t="s">
        <v>722</v>
      </c>
      <c r="I100" s="142" t="s">
        <v>72</v>
      </c>
      <c r="J100" s="249" t="s">
        <v>737</v>
      </c>
      <c r="K100" s="152" t="s">
        <v>498</v>
      </c>
      <c r="L100" s="158" t="s">
        <v>815</v>
      </c>
      <c r="M100" s="153" t="s">
        <v>816</v>
      </c>
      <c r="N100" s="152" t="s">
        <v>245</v>
      </c>
      <c r="O100" s="153" t="s">
        <v>246</v>
      </c>
      <c r="P100" s="201" t="s">
        <v>48</v>
      </c>
      <c r="Q100" s="147" t="s">
        <v>48</v>
      </c>
      <c r="R100" s="148"/>
      <c r="S100" s="149" t="s">
        <v>817</v>
      </c>
      <c r="T100" s="114" t="s">
        <v>757</v>
      </c>
    </row>
    <row r="101" spans="1:20" ht="18.75" customHeight="1" x14ac:dyDescent="0.25">
      <c r="A101" s="135">
        <v>113</v>
      </c>
      <c r="B101" s="136" t="s">
        <v>247</v>
      </c>
      <c r="C101" s="137" t="s">
        <v>241</v>
      </c>
      <c r="D101" s="137" t="s">
        <v>248</v>
      </c>
      <c r="E101" s="138" t="s">
        <v>72</v>
      </c>
      <c r="F101" s="139" t="s">
        <v>71</v>
      </c>
      <c r="G101" s="140" t="s">
        <v>746</v>
      </c>
      <c r="H101" s="141" t="s">
        <v>722</v>
      </c>
      <c r="I101" s="142" t="s">
        <v>72</v>
      </c>
      <c r="J101" s="143" t="s">
        <v>752</v>
      </c>
      <c r="K101" s="152" t="s">
        <v>498</v>
      </c>
      <c r="L101" s="158" t="s">
        <v>256</v>
      </c>
      <c r="M101" s="153" t="s">
        <v>818</v>
      </c>
      <c r="N101" s="152" t="s">
        <v>245</v>
      </c>
      <c r="O101" s="154" t="s">
        <v>246</v>
      </c>
      <c r="P101" s="201" t="s">
        <v>48</v>
      </c>
      <c r="Q101" s="147" t="s">
        <v>48</v>
      </c>
      <c r="R101" s="148"/>
      <c r="S101" s="149" t="s">
        <v>819</v>
      </c>
    </row>
    <row r="102" spans="1:20" ht="18.75" customHeight="1" x14ac:dyDescent="0.25">
      <c r="A102" s="135">
        <v>114</v>
      </c>
      <c r="B102" s="136" t="s">
        <v>249</v>
      </c>
      <c r="C102" s="137" t="s">
        <v>241</v>
      </c>
      <c r="D102" s="137" t="s">
        <v>250</v>
      </c>
      <c r="E102" s="138" t="s">
        <v>43</v>
      </c>
      <c r="F102" s="139" t="s">
        <v>39</v>
      </c>
      <c r="G102" s="140" t="s">
        <v>45</v>
      </c>
      <c r="H102" s="141" t="s">
        <v>767</v>
      </c>
      <c r="I102" s="142" t="s">
        <v>72</v>
      </c>
      <c r="J102" s="143" t="s">
        <v>723</v>
      </c>
      <c r="K102" s="152" t="s">
        <v>498</v>
      </c>
      <c r="L102" s="158" t="s">
        <v>256</v>
      </c>
      <c r="M102" s="153" t="s">
        <v>820</v>
      </c>
      <c r="N102" s="152" t="s">
        <v>251</v>
      </c>
      <c r="O102" s="154" t="s">
        <v>252</v>
      </c>
      <c r="P102" s="201" t="s">
        <v>821</v>
      </c>
      <c r="Q102" s="147" t="s">
        <v>48</v>
      </c>
      <c r="R102" s="148"/>
      <c r="S102" s="149" t="s">
        <v>822</v>
      </c>
    </row>
    <row r="103" spans="1:20" ht="18.75" customHeight="1" x14ac:dyDescent="0.25">
      <c r="A103" s="135">
        <v>115</v>
      </c>
      <c r="B103" s="136" t="s">
        <v>253</v>
      </c>
      <c r="C103" s="137" t="s">
        <v>241</v>
      </c>
      <c r="D103" s="137" t="s">
        <v>254</v>
      </c>
      <c r="E103" s="138" t="s">
        <v>72</v>
      </c>
      <c r="F103" s="139" t="s">
        <v>87</v>
      </c>
      <c r="G103" s="140" t="s">
        <v>88</v>
      </c>
      <c r="H103" s="141" t="s">
        <v>722</v>
      </c>
      <c r="I103" s="142" t="s">
        <v>72</v>
      </c>
      <c r="J103" s="143" t="s">
        <v>737</v>
      </c>
      <c r="K103" s="152" t="s">
        <v>823</v>
      </c>
      <c r="L103" s="158" t="s">
        <v>824</v>
      </c>
      <c r="M103" s="153" t="s">
        <v>825</v>
      </c>
      <c r="N103" s="152" t="s">
        <v>256</v>
      </c>
      <c r="O103" s="153" t="s">
        <v>257</v>
      </c>
      <c r="P103" s="201" t="s">
        <v>48</v>
      </c>
      <c r="Q103" s="147" t="s">
        <v>48</v>
      </c>
      <c r="R103" s="148"/>
      <c r="S103" s="149" t="s">
        <v>826</v>
      </c>
    </row>
    <row r="104" spans="1:20" ht="18.75" customHeight="1" x14ac:dyDescent="0.25">
      <c r="A104" s="135">
        <v>218</v>
      </c>
      <c r="B104" s="136" t="s">
        <v>258</v>
      </c>
      <c r="C104" s="137" t="s">
        <v>241</v>
      </c>
      <c r="D104" s="137" t="s">
        <v>250</v>
      </c>
      <c r="E104" s="138" t="s">
        <v>43</v>
      </c>
      <c r="F104" s="139" t="s">
        <v>39</v>
      </c>
      <c r="G104" s="140" t="s">
        <v>45</v>
      </c>
      <c r="H104" s="141" t="s">
        <v>767</v>
      </c>
      <c r="I104" s="142" t="s">
        <v>72</v>
      </c>
      <c r="J104" s="143" t="s">
        <v>737</v>
      </c>
      <c r="K104" s="152" t="s">
        <v>498</v>
      </c>
      <c r="L104" s="158" t="s">
        <v>815</v>
      </c>
      <c r="M104" s="153" t="s">
        <v>827</v>
      </c>
      <c r="N104" s="152" t="s">
        <v>251</v>
      </c>
      <c r="O104" s="154" t="s">
        <v>252</v>
      </c>
      <c r="P104" s="201" t="s">
        <v>48</v>
      </c>
      <c r="Q104" s="147" t="s">
        <v>48</v>
      </c>
      <c r="R104" s="148"/>
      <c r="S104" s="149" t="s">
        <v>828</v>
      </c>
    </row>
    <row r="105" spans="1:20" ht="18.75" customHeight="1" x14ac:dyDescent="0.25">
      <c r="A105" s="163" t="s">
        <v>259</v>
      </c>
      <c r="B105" s="164"/>
      <c r="C105" s="165" t="s">
        <v>259</v>
      </c>
      <c r="D105" s="165"/>
      <c r="E105" s="163"/>
      <c r="F105" s="164"/>
      <c r="G105" s="164"/>
      <c r="H105" s="164"/>
      <c r="I105" s="165"/>
      <c r="J105" s="474"/>
      <c r="K105" s="167"/>
      <c r="L105" s="168"/>
      <c r="M105" s="169"/>
      <c r="N105" s="170"/>
      <c r="O105" s="183"/>
      <c r="P105" s="171"/>
      <c r="Q105" s="172"/>
      <c r="R105" s="173"/>
      <c r="S105" s="174"/>
    </row>
    <row r="106" spans="1:20" ht="18.75" customHeight="1" x14ac:dyDescent="0.25">
      <c r="A106" s="135">
        <v>109.1</v>
      </c>
      <c r="B106" s="136" t="s">
        <v>260</v>
      </c>
      <c r="C106" s="137" t="s">
        <v>259</v>
      </c>
      <c r="D106" s="137" t="s">
        <v>261</v>
      </c>
      <c r="E106" s="138" t="s">
        <v>72</v>
      </c>
      <c r="F106" s="139" t="s">
        <v>99</v>
      </c>
      <c r="G106" s="140" t="s">
        <v>746</v>
      </c>
      <c r="H106" s="141" t="s">
        <v>722</v>
      </c>
      <c r="I106" s="142" t="s">
        <v>43</v>
      </c>
      <c r="J106" s="143" t="s">
        <v>752</v>
      </c>
      <c r="K106" s="150" t="s">
        <v>413</v>
      </c>
      <c r="L106" s="220" t="s">
        <v>721</v>
      </c>
      <c r="M106" s="153" t="s">
        <v>118</v>
      </c>
      <c r="N106" s="152"/>
      <c r="O106" s="153" t="s">
        <v>265</v>
      </c>
      <c r="P106" s="221" t="s">
        <v>764</v>
      </c>
      <c r="Q106" s="222" t="s">
        <v>48</v>
      </c>
      <c r="R106" s="148" t="s">
        <v>829</v>
      </c>
      <c r="S106" s="149" t="s">
        <v>830</v>
      </c>
    </row>
    <row r="107" spans="1:20" ht="18.75" customHeight="1" x14ac:dyDescent="0.25">
      <c r="A107" s="190">
        <v>109.2</v>
      </c>
      <c r="B107" s="191" t="s">
        <v>260</v>
      </c>
      <c r="C107" s="192" t="s">
        <v>259</v>
      </c>
      <c r="D107" s="192" t="s">
        <v>261</v>
      </c>
      <c r="E107" s="138" t="s">
        <v>72</v>
      </c>
      <c r="F107" s="139" t="s">
        <v>99</v>
      </c>
      <c r="G107" s="140" t="s">
        <v>746</v>
      </c>
      <c r="H107" s="141" t="s">
        <v>722</v>
      </c>
      <c r="I107" s="142" t="s">
        <v>72</v>
      </c>
      <c r="J107" s="143" t="s">
        <v>720</v>
      </c>
      <c r="K107" s="150"/>
      <c r="L107" s="220"/>
      <c r="M107" s="153" t="s">
        <v>48</v>
      </c>
      <c r="N107" s="152"/>
      <c r="O107" s="153" t="s">
        <v>265</v>
      </c>
      <c r="P107" s="187" t="s">
        <v>95</v>
      </c>
      <c r="Q107" s="222" t="s">
        <v>48</v>
      </c>
      <c r="R107" s="148" t="s">
        <v>831</v>
      </c>
      <c r="S107" s="149"/>
    </row>
    <row r="108" spans="1:20" ht="18.75" customHeight="1" x14ac:dyDescent="0.25">
      <c r="A108" s="135">
        <v>216</v>
      </c>
      <c r="B108" s="136" t="s">
        <v>266</v>
      </c>
      <c r="C108" s="137" t="s">
        <v>259</v>
      </c>
      <c r="D108" s="137" t="s">
        <v>267</v>
      </c>
      <c r="E108" s="138" t="s">
        <v>72</v>
      </c>
      <c r="F108" s="139" t="s">
        <v>87</v>
      </c>
      <c r="G108" s="140" t="s">
        <v>746</v>
      </c>
      <c r="H108" s="141" t="s">
        <v>722</v>
      </c>
      <c r="I108" s="142" t="s">
        <v>72</v>
      </c>
      <c r="J108" s="143" t="s">
        <v>752</v>
      </c>
      <c r="K108" s="152" t="s">
        <v>48</v>
      </c>
      <c r="L108" s="158" t="s">
        <v>48</v>
      </c>
      <c r="M108" s="153" t="s">
        <v>48</v>
      </c>
      <c r="N108" s="152"/>
      <c r="O108" s="153" t="s">
        <v>268</v>
      </c>
      <c r="P108" s="146" t="s">
        <v>48</v>
      </c>
      <c r="Q108" s="222" t="s">
        <v>48</v>
      </c>
      <c r="R108" s="148"/>
      <c r="S108" s="149" t="s">
        <v>832</v>
      </c>
    </row>
    <row r="109" spans="1:20" ht="18.75" customHeight="1" x14ac:dyDescent="0.25">
      <c r="A109" s="159">
        <v>348</v>
      </c>
      <c r="B109" s="214" t="s">
        <v>272</v>
      </c>
      <c r="C109" s="137" t="s">
        <v>259</v>
      </c>
      <c r="D109" s="137" t="s">
        <v>273</v>
      </c>
      <c r="E109" s="138" t="s">
        <v>43</v>
      </c>
      <c r="F109" s="139" t="s">
        <v>73</v>
      </c>
      <c r="G109" s="140" t="s">
        <v>45</v>
      </c>
      <c r="H109" s="141" t="s">
        <v>767</v>
      </c>
      <c r="I109" s="142" t="s">
        <v>43</v>
      </c>
      <c r="J109" s="249" t="s">
        <v>738</v>
      </c>
      <c r="K109" s="152" t="s">
        <v>48</v>
      </c>
      <c r="L109" s="158" t="s">
        <v>48</v>
      </c>
      <c r="M109" s="153" t="s">
        <v>48</v>
      </c>
      <c r="N109" s="152"/>
      <c r="O109" s="154"/>
      <c r="P109" s="460" t="s">
        <v>48</v>
      </c>
      <c r="Q109" s="222" t="s">
        <v>48</v>
      </c>
      <c r="R109" s="148"/>
      <c r="S109" s="149" t="s">
        <v>836</v>
      </c>
    </row>
    <row r="110" spans="1:20" ht="18.75" customHeight="1" x14ac:dyDescent="0.25">
      <c r="A110" s="159">
        <v>347</v>
      </c>
      <c r="B110" s="214" t="s">
        <v>833</v>
      </c>
      <c r="C110" s="137" t="s">
        <v>834</v>
      </c>
      <c r="D110" s="137" t="s">
        <v>270</v>
      </c>
      <c r="E110" s="138" t="s">
        <v>72</v>
      </c>
      <c r="F110" s="139" t="s">
        <v>87</v>
      </c>
      <c r="G110" s="140" t="s">
        <v>751</v>
      </c>
      <c r="H110" s="141" t="s">
        <v>722</v>
      </c>
      <c r="I110" s="142" t="s">
        <v>72</v>
      </c>
      <c r="J110" s="249" t="s">
        <v>752</v>
      </c>
      <c r="K110" s="152" t="s">
        <v>48</v>
      </c>
      <c r="L110" s="158" t="s">
        <v>48</v>
      </c>
      <c r="M110" s="153" t="s">
        <v>48</v>
      </c>
      <c r="N110" s="152"/>
      <c r="O110" s="154" t="s">
        <v>268</v>
      </c>
      <c r="P110" s="460" t="s">
        <v>48</v>
      </c>
      <c r="Q110" s="222" t="s">
        <v>48</v>
      </c>
      <c r="R110" s="148"/>
      <c r="S110" s="149" t="s">
        <v>835</v>
      </c>
    </row>
    <row r="111" spans="1:20" ht="18.75" customHeight="1" x14ac:dyDescent="0.25">
      <c r="A111" s="163" t="s">
        <v>274</v>
      </c>
      <c r="B111" s="164"/>
      <c r="C111" s="165" t="s">
        <v>274</v>
      </c>
      <c r="D111" s="165"/>
      <c r="E111" s="163"/>
      <c r="F111" s="164"/>
      <c r="G111" s="164"/>
      <c r="H111" s="164"/>
      <c r="I111" s="165"/>
      <c r="J111" s="474"/>
      <c r="K111" s="167"/>
      <c r="L111" s="168"/>
      <c r="M111" s="169"/>
      <c r="N111" s="170"/>
      <c r="O111" s="169"/>
      <c r="P111" s="171"/>
      <c r="Q111" s="172"/>
      <c r="R111" s="173"/>
      <c r="S111" s="174"/>
    </row>
    <row r="112" spans="1:20" ht="18.75" customHeight="1" x14ac:dyDescent="0.25">
      <c r="A112" s="159">
        <v>22</v>
      </c>
      <c r="B112" s="214" t="s">
        <v>275</v>
      </c>
      <c r="C112" s="137" t="s">
        <v>274</v>
      </c>
      <c r="D112" s="137" t="s">
        <v>37</v>
      </c>
      <c r="E112" s="138" t="s">
        <v>43</v>
      </c>
      <c r="F112" s="139" t="s">
        <v>67</v>
      </c>
      <c r="G112" s="140" t="s">
        <v>45</v>
      </c>
      <c r="H112" s="141" t="s">
        <v>767</v>
      </c>
      <c r="I112" s="142" t="s">
        <v>72</v>
      </c>
      <c r="J112" s="143" t="s">
        <v>720</v>
      </c>
      <c r="K112" s="150" t="s">
        <v>413</v>
      </c>
      <c r="L112" s="157" t="s">
        <v>725</v>
      </c>
      <c r="M112" s="153" t="s">
        <v>837</v>
      </c>
      <c r="N112" s="223" t="s">
        <v>276</v>
      </c>
      <c r="O112" s="153"/>
      <c r="P112" s="146" t="s">
        <v>48</v>
      </c>
      <c r="Q112" s="222" t="s">
        <v>48</v>
      </c>
      <c r="R112" s="148"/>
      <c r="S112" s="149" t="s">
        <v>838</v>
      </c>
    </row>
    <row r="113" spans="1:20" ht="18.75" customHeight="1" x14ac:dyDescent="0.25">
      <c r="A113" s="159">
        <v>25</v>
      </c>
      <c r="B113" s="214" t="s">
        <v>277</v>
      </c>
      <c r="C113" s="137" t="s">
        <v>274</v>
      </c>
      <c r="D113" s="137" t="s">
        <v>37</v>
      </c>
      <c r="E113" s="138" t="s">
        <v>43</v>
      </c>
      <c r="F113" s="139" t="s">
        <v>67</v>
      </c>
      <c r="G113" s="140" t="s">
        <v>45</v>
      </c>
      <c r="H113" s="141" t="s">
        <v>767</v>
      </c>
      <c r="I113" s="142" t="s">
        <v>72</v>
      </c>
      <c r="J113" s="143" t="s">
        <v>737</v>
      </c>
      <c r="K113" s="150" t="s">
        <v>413</v>
      </c>
      <c r="L113" s="157" t="s">
        <v>760</v>
      </c>
      <c r="M113" s="153" t="s">
        <v>721</v>
      </c>
      <c r="N113" s="223" t="s">
        <v>276</v>
      </c>
      <c r="O113" s="153"/>
      <c r="P113" s="146" t="s">
        <v>48</v>
      </c>
      <c r="Q113" s="222" t="s">
        <v>48</v>
      </c>
      <c r="R113" s="148"/>
      <c r="S113" s="149" t="s">
        <v>839</v>
      </c>
    </row>
    <row r="114" spans="1:20" ht="18.75" customHeight="1" x14ac:dyDescent="0.25">
      <c r="A114" s="135">
        <v>27</v>
      </c>
      <c r="B114" s="136" t="s">
        <v>278</v>
      </c>
      <c r="C114" s="137" t="s">
        <v>274</v>
      </c>
      <c r="D114" s="137" t="s">
        <v>279</v>
      </c>
      <c r="E114" s="138" t="s">
        <v>72</v>
      </c>
      <c r="F114" s="139" t="s">
        <v>104</v>
      </c>
      <c r="G114" s="140" t="s">
        <v>45</v>
      </c>
      <c r="H114" s="141" t="s">
        <v>767</v>
      </c>
      <c r="I114" s="142" t="s">
        <v>72</v>
      </c>
      <c r="J114" s="143" t="s">
        <v>720</v>
      </c>
      <c r="K114" s="150" t="s">
        <v>413</v>
      </c>
      <c r="L114" s="157" t="s">
        <v>840</v>
      </c>
      <c r="M114" s="153" t="s">
        <v>837</v>
      </c>
      <c r="N114" s="223" t="s">
        <v>276</v>
      </c>
      <c r="O114" s="153"/>
      <c r="P114" s="146" t="s">
        <v>48</v>
      </c>
      <c r="Q114" s="222" t="s">
        <v>48</v>
      </c>
      <c r="R114" s="148"/>
      <c r="S114" s="149" t="s">
        <v>841</v>
      </c>
    </row>
    <row r="115" spans="1:20" ht="18.75" customHeight="1" x14ac:dyDescent="0.25">
      <c r="A115" s="135">
        <v>28</v>
      </c>
      <c r="B115" s="136" t="s">
        <v>281</v>
      </c>
      <c r="C115" s="137" t="s">
        <v>274</v>
      </c>
      <c r="D115" s="137" t="s">
        <v>282</v>
      </c>
      <c r="E115" s="138" t="s">
        <v>43</v>
      </c>
      <c r="F115" s="139" t="s">
        <v>39</v>
      </c>
      <c r="G115" s="140" t="s">
        <v>88</v>
      </c>
      <c r="H115" s="141" t="s">
        <v>767</v>
      </c>
      <c r="I115" s="142" t="s">
        <v>72</v>
      </c>
      <c r="J115" s="249" t="s">
        <v>738</v>
      </c>
      <c r="K115" s="150" t="s">
        <v>413</v>
      </c>
      <c r="L115" s="157" t="s">
        <v>760</v>
      </c>
      <c r="M115" s="153" t="s">
        <v>758</v>
      </c>
      <c r="N115" s="223" t="s">
        <v>276</v>
      </c>
      <c r="O115" s="154"/>
      <c r="P115" s="181" t="s">
        <v>734</v>
      </c>
      <c r="Q115" s="222" t="s">
        <v>48</v>
      </c>
      <c r="R115" s="148" t="s">
        <v>735</v>
      </c>
      <c r="S115" s="149" t="s">
        <v>842</v>
      </c>
      <c r="T115" s="114">
        <v>2</v>
      </c>
    </row>
    <row r="116" spans="1:20" ht="18.75" customHeight="1" thickBot="1" x14ac:dyDescent="0.3">
      <c r="A116" s="470">
        <v>29</v>
      </c>
      <c r="B116" s="471" t="s">
        <v>283</v>
      </c>
      <c r="C116" s="473" t="s">
        <v>274</v>
      </c>
      <c r="D116" s="473" t="s">
        <v>284</v>
      </c>
      <c r="E116" s="252" t="s">
        <v>43</v>
      </c>
      <c r="F116" s="455" t="s">
        <v>88</v>
      </c>
      <c r="G116" s="253" t="s">
        <v>45</v>
      </c>
      <c r="H116" s="254" t="s">
        <v>767</v>
      </c>
      <c r="I116" s="255" t="s">
        <v>72</v>
      </c>
      <c r="J116" s="249" t="s">
        <v>752</v>
      </c>
      <c r="K116" s="475" t="s">
        <v>413</v>
      </c>
      <c r="L116" s="478" t="s">
        <v>843</v>
      </c>
      <c r="M116" s="480" t="s">
        <v>792</v>
      </c>
      <c r="N116" s="483" t="s">
        <v>276</v>
      </c>
      <c r="O116" s="484"/>
      <c r="P116" s="487" t="s">
        <v>48</v>
      </c>
      <c r="Q116" s="492" t="s">
        <v>48</v>
      </c>
      <c r="R116" s="493"/>
      <c r="S116" s="256" t="s">
        <v>844</v>
      </c>
    </row>
    <row r="117" spans="1:20" ht="18.75" customHeight="1" x14ac:dyDescent="0.25">
      <c r="A117" s="135">
        <v>30</v>
      </c>
      <c r="B117" s="136" t="s">
        <v>285</v>
      </c>
      <c r="C117" s="137" t="s">
        <v>274</v>
      </c>
      <c r="D117" s="137" t="s">
        <v>284</v>
      </c>
      <c r="E117" s="138" t="s">
        <v>43</v>
      </c>
      <c r="F117" s="139" t="s">
        <v>73</v>
      </c>
      <c r="G117" s="140" t="s">
        <v>794</v>
      </c>
      <c r="H117" s="141" t="s">
        <v>722</v>
      </c>
      <c r="I117" s="142" t="s">
        <v>43</v>
      </c>
      <c r="J117" s="249" t="s">
        <v>737</v>
      </c>
      <c r="K117" s="150" t="s">
        <v>413</v>
      </c>
      <c r="L117" s="157" t="s">
        <v>413</v>
      </c>
      <c r="M117" s="153" t="s">
        <v>758</v>
      </c>
      <c r="N117" s="223" t="s">
        <v>276</v>
      </c>
      <c r="O117" s="153"/>
      <c r="P117" s="201" t="s">
        <v>48</v>
      </c>
      <c r="Q117" s="222" t="s">
        <v>48</v>
      </c>
      <c r="R117" s="148"/>
      <c r="S117" s="149" t="s">
        <v>845</v>
      </c>
    </row>
    <row r="118" spans="1:20" ht="18.75" customHeight="1" x14ac:dyDescent="0.25">
      <c r="A118" s="135">
        <v>31</v>
      </c>
      <c r="B118" s="136" t="s">
        <v>286</v>
      </c>
      <c r="C118" s="137" t="s">
        <v>274</v>
      </c>
      <c r="D118" s="137" t="s">
        <v>284</v>
      </c>
      <c r="E118" s="138" t="s">
        <v>43</v>
      </c>
      <c r="F118" s="139" t="s">
        <v>73</v>
      </c>
      <c r="G118" s="140" t="s">
        <v>88</v>
      </c>
      <c r="H118" s="141" t="s">
        <v>722</v>
      </c>
      <c r="I118" s="142" t="s">
        <v>43</v>
      </c>
      <c r="J118" s="143" t="s">
        <v>720</v>
      </c>
      <c r="K118" s="150" t="s">
        <v>413</v>
      </c>
      <c r="L118" s="157" t="s">
        <v>846</v>
      </c>
      <c r="M118" s="153" t="s">
        <v>758</v>
      </c>
      <c r="N118" s="152" t="s">
        <v>287</v>
      </c>
      <c r="O118" s="153"/>
      <c r="P118" s="201" t="s">
        <v>48</v>
      </c>
      <c r="Q118" s="222" t="s">
        <v>48</v>
      </c>
      <c r="R118" s="148"/>
      <c r="S118" s="149" t="s">
        <v>847</v>
      </c>
    </row>
    <row r="119" spans="1:20" ht="18.75" customHeight="1" x14ac:dyDescent="0.25">
      <c r="A119" s="135">
        <v>32</v>
      </c>
      <c r="B119" s="136" t="s">
        <v>288</v>
      </c>
      <c r="C119" s="137" t="s">
        <v>274</v>
      </c>
      <c r="D119" s="137" t="s">
        <v>284</v>
      </c>
      <c r="E119" s="138" t="s">
        <v>43</v>
      </c>
      <c r="F119" s="139" t="s">
        <v>73</v>
      </c>
      <c r="G119" s="140" t="s">
        <v>88</v>
      </c>
      <c r="H119" s="141" t="s">
        <v>722</v>
      </c>
      <c r="I119" s="142" t="s">
        <v>43</v>
      </c>
      <c r="J119" s="143" t="s">
        <v>752</v>
      </c>
      <c r="K119" s="150" t="s">
        <v>413</v>
      </c>
      <c r="L119" s="157" t="s">
        <v>846</v>
      </c>
      <c r="M119" s="153" t="s">
        <v>848</v>
      </c>
      <c r="N119" s="223" t="s">
        <v>289</v>
      </c>
      <c r="O119" s="153"/>
      <c r="P119" s="201" t="s">
        <v>48</v>
      </c>
      <c r="Q119" s="222" t="s">
        <v>48</v>
      </c>
      <c r="R119" s="148"/>
      <c r="S119" s="149" t="s">
        <v>849</v>
      </c>
    </row>
    <row r="120" spans="1:20" ht="18.75" customHeight="1" x14ac:dyDescent="0.25">
      <c r="A120" s="135">
        <v>33</v>
      </c>
      <c r="B120" s="136" t="s">
        <v>290</v>
      </c>
      <c r="C120" s="137" t="s">
        <v>274</v>
      </c>
      <c r="D120" s="137" t="s">
        <v>284</v>
      </c>
      <c r="E120" s="138" t="s">
        <v>43</v>
      </c>
      <c r="F120" s="139" t="s">
        <v>73</v>
      </c>
      <c r="G120" s="140" t="s">
        <v>88</v>
      </c>
      <c r="H120" s="141" t="s">
        <v>722</v>
      </c>
      <c r="I120" s="142" t="s">
        <v>43</v>
      </c>
      <c r="J120" s="143" t="s">
        <v>720</v>
      </c>
      <c r="K120" s="150" t="s">
        <v>413</v>
      </c>
      <c r="L120" s="157" t="s">
        <v>850</v>
      </c>
      <c r="M120" s="153" t="s">
        <v>758</v>
      </c>
      <c r="N120" s="223" t="s">
        <v>276</v>
      </c>
      <c r="O120" s="153"/>
      <c r="P120" s="201" t="s">
        <v>48</v>
      </c>
      <c r="Q120" s="222" t="s">
        <v>48</v>
      </c>
      <c r="R120" s="148"/>
      <c r="S120" s="149" t="s">
        <v>851</v>
      </c>
    </row>
    <row r="121" spans="1:20" ht="18.75" customHeight="1" x14ac:dyDescent="0.25">
      <c r="A121" s="135">
        <v>34</v>
      </c>
      <c r="B121" s="136" t="s">
        <v>291</v>
      </c>
      <c r="C121" s="137" t="s">
        <v>274</v>
      </c>
      <c r="D121" s="137" t="s">
        <v>284</v>
      </c>
      <c r="E121" s="138" t="s">
        <v>43</v>
      </c>
      <c r="F121" s="139" t="s">
        <v>73</v>
      </c>
      <c r="G121" s="140" t="s">
        <v>88</v>
      </c>
      <c r="H121" s="141" t="s">
        <v>722</v>
      </c>
      <c r="I121" s="142" t="s">
        <v>43</v>
      </c>
      <c r="J121" s="143" t="s">
        <v>752</v>
      </c>
      <c r="K121" s="150" t="s">
        <v>413</v>
      </c>
      <c r="L121" s="158" t="s">
        <v>852</v>
      </c>
      <c r="M121" s="153" t="s">
        <v>118</v>
      </c>
      <c r="N121" s="223" t="s">
        <v>276</v>
      </c>
      <c r="O121" s="153"/>
      <c r="P121" s="201" t="s">
        <v>48</v>
      </c>
      <c r="Q121" s="222" t="s">
        <v>48</v>
      </c>
      <c r="R121" s="148"/>
      <c r="S121" s="149"/>
    </row>
    <row r="122" spans="1:20" ht="18.75" customHeight="1" x14ac:dyDescent="0.25">
      <c r="A122" s="135">
        <v>35</v>
      </c>
      <c r="B122" s="136" t="s">
        <v>292</v>
      </c>
      <c r="C122" s="137" t="s">
        <v>274</v>
      </c>
      <c r="D122" s="137" t="s">
        <v>284</v>
      </c>
      <c r="E122" s="138" t="s">
        <v>43</v>
      </c>
      <c r="F122" s="139" t="s">
        <v>73</v>
      </c>
      <c r="G122" s="140" t="s">
        <v>794</v>
      </c>
      <c r="H122" s="141" t="s">
        <v>722</v>
      </c>
      <c r="I122" s="142" t="s">
        <v>43</v>
      </c>
      <c r="J122" s="143" t="s">
        <v>738</v>
      </c>
      <c r="K122" s="150" t="s">
        <v>413</v>
      </c>
      <c r="L122" s="157" t="s">
        <v>843</v>
      </c>
      <c r="M122" s="153" t="s">
        <v>837</v>
      </c>
      <c r="N122" s="223" t="s">
        <v>276</v>
      </c>
      <c r="O122" s="153"/>
      <c r="P122" s="201" t="s">
        <v>48</v>
      </c>
      <c r="Q122" s="222" t="s">
        <v>48</v>
      </c>
      <c r="R122" s="148"/>
      <c r="S122" s="149" t="s">
        <v>853</v>
      </c>
    </row>
    <row r="123" spans="1:20" ht="18.75" customHeight="1" x14ac:dyDescent="0.25">
      <c r="A123" s="135">
        <v>158</v>
      </c>
      <c r="B123" s="136" t="s">
        <v>293</v>
      </c>
      <c r="C123" s="137" t="s">
        <v>274</v>
      </c>
      <c r="D123" s="137" t="s">
        <v>294</v>
      </c>
      <c r="E123" s="138" t="s">
        <v>72</v>
      </c>
      <c r="F123" s="139" t="s">
        <v>71</v>
      </c>
      <c r="G123" s="140" t="s">
        <v>45</v>
      </c>
      <c r="H123" s="141" t="s">
        <v>767</v>
      </c>
      <c r="I123" s="142" t="s">
        <v>72</v>
      </c>
      <c r="J123" s="143" t="s">
        <v>737</v>
      </c>
      <c r="K123" s="150" t="s">
        <v>413</v>
      </c>
      <c r="L123" s="158" t="s">
        <v>855</v>
      </c>
      <c r="M123" s="153" t="s">
        <v>837</v>
      </c>
      <c r="N123" s="223" t="s">
        <v>276</v>
      </c>
      <c r="O123" s="153"/>
      <c r="P123" s="201" t="s">
        <v>48</v>
      </c>
      <c r="Q123" s="222" t="s">
        <v>734</v>
      </c>
      <c r="R123" s="148" t="s">
        <v>735</v>
      </c>
      <c r="S123" s="149" t="s">
        <v>857</v>
      </c>
    </row>
    <row r="124" spans="1:20" ht="18.75" customHeight="1" x14ac:dyDescent="0.25">
      <c r="A124" s="135">
        <v>160</v>
      </c>
      <c r="B124" s="136" t="s">
        <v>296</v>
      </c>
      <c r="C124" s="137" t="s">
        <v>274</v>
      </c>
      <c r="D124" s="137" t="s">
        <v>294</v>
      </c>
      <c r="E124" s="138" t="s">
        <v>72</v>
      </c>
      <c r="F124" s="139" t="s">
        <v>214</v>
      </c>
      <c r="G124" s="140" t="s">
        <v>45</v>
      </c>
      <c r="H124" s="141" t="s">
        <v>767</v>
      </c>
      <c r="I124" s="142" t="s">
        <v>72</v>
      </c>
      <c r="J124" s="249" t="s">
        <v>752</v>
      </c>
      <c r="K124" s="150" t="s">
        <v>413</v>
      </c>
      <c r="L124" s="157" t="s">
        <v>858</v>
      </c>
      <c r="M124" s="153" t="s">
        <v>721</v>
      </c>
      <c r="N124" s="223" t="s">
        <v>276</v>
      </c>
      <c r="O124" s="153"/>
      <c r="P124" s="201" t="s">
        <v>734</v>
      </c>
      <c r="Q124" s="222" t="s">
        <v>48</v>
      </c>
      <c r="R124" s="148" t="s">
        <v>735</v>
      </c>
      <c r="S124" s="149" t="s">
        <v>859</v>
      </c>
    </row>
    <row r="125" spans="1:20" ht="18.75" customHeight="1" x14ac:dyDescent="0.25">
      <c r="A125" s="135">
        <v>161</v>
      </c>
      <c r="B125" s="136" t="s">
        <v>297</v>
      </c>
      <c r="C125" s="137" t="s">
        <v>274</v>
      </c>
      <c r="D125" s="137" t="s">
        <v>294</v>
      </c>
      <c r="E125" s="138" t="s">
        <v>72</v>
      </c>
      <c r="F125" s="139" t="s">
        <v>214</v>
      </c>
      <c r="G125" s="140" t="s">
        <v>45</v>
      </c>
      <c r="H125" s="141" t="s">
        <v>767</v>
      </c>
      <c r="I125" s="142" t="s">
        <v>72</v>
      </c>
      <c r="J125" s="143" t="s">
        <v>737</v>
      </c>
      <c r="K125" s="150" t="s">
        <v>413</v>
      </c>
      <c r="L125" s="157" t="s">
        <v>860</v>
      </c>
      <c r="M125" s="153" t="s">
        <v>861</v>
      </c>
      <c r="N125" s="223" t="s">
        <v>276</v>
      </c>
      <c r="O125" s="153"/>
      <c r="P125" s="201" t="s">
        <v>734</v>
      </c>
      <c r="Q125" s="222" t="s">
        <v>48</v>
      </c>
      <c r="R125" s="148" t="s">
        <v>735</v>
      </c>
      <c r="S125" s="149" t="s">
        <v>862</v>
      </c>
    </row>
    <row r="126" spans="1:20" ht="18.75" customHeight="1" x14ac:dyDescent="0.25">
      <c r="A126" s="135">
        <v>162</v>
      </c>
      <c r="B126" s="136" t="s">
        <v>298</v>
      </c>
      <c r="C126" s="137" t="s">
        <v>274</v>
      </c>
      <c r="D126" s="137" t="s">
        <v>294</v>
      </c>
      <c r="E126" s="138" t="s">
        <v>72</v>
      </c>
      <c r="F126" s="139" t="s">
        <v>71</v>
      </c>
      <c r="G126" s="140" t="s">
        <v>794</v>
      </c>
      <c r="H126" s="141" t="s">
        <v>767</v>
      </c>
      <c r="I126" s="142" t="s">
        <v>72</v>
      </c>
      <c r="J126" s="143" t="s">
        <v>737</v>
      </c>
      <c r="K126" s="150" t="s">
        <v>413</v>
      </c>
      <c r="L126" s="157" t="s">
        <v>860</v>
      </c>
      <c r="M126" s="153" t="s">
        <v>861</v>
      </c>
      <c r="N126" s="223" t="s">
        <v>276</v>
      </c>
      <c r="O126" s="153"/>
      <c r="P126" s="201" t="s">
        <v>48</v>
      </c>
      <c r="Q126" s="222" t="s">
        <v>48</v>
      </c>
      <c r="R126" s="148"/>
      <c r="S126" s="149" t="s">
        <v>863</v>
      </c>
    </row>
    <row r="127" spans="1:20" ht="18.75" customHeight="1" x14ac:dyDescent="0.25">
      <c r="A127" s="135">
        <v>164</v>
      </c>
      <c r="B127" s="136" t="s">
        <v>299</v>
      </c>
      <c r="C127" s="137" t="s">
        <v>274</v>
      </c>
      <c r="D127" s="137" t="s">
        <v>294</v>
      </c>
      <c r="E127" s="138" t="s">
        <v>72</v>
      </c>
      <c r="F127" s="139" t="s">
        <v>202</v>
      </c>
      <c r="G127" s="140" t="s">
        <v>794</v>
      </c>
      <c r="H127" s="141" t="s">
        <v>722</v>
      </c>
      <c r="I127" s="142" t="s">
        <v>43</v>
      </c>
      <c r="J127" s="143" t="s">
        <v>752</v>
      </c>
      <c r="K127" s="150" t="s">
        <v>413</v>
      </c>
      <c r="L127" s="158" t="s">
        <v>852</v>
      </c>
      <c r="M127" s="153" t="s">
        <v>118</v>
      </c>
      <c r="N127" s="223" t="s">
        <v>276</v>
      </c>
      <c r="O127" s="153"/>
      <c r="P127" s="201" t="s">
        <v>48</v>
      </c>
      <c r="Q127" s="222" t="s">
        <v>48</v>
      </c>
      <c r="R127" s="148"/>
      <c r="S127" s="149" t="s">
        <v>864</v>
      </c>
    </row>
    <row r="128" spans="1:20" ht="18.75" customHeight="1" x14ac:dyDescent="0.25">
      <c r="A128" s="135">
        <v>166</v>
      </c>
      <c r="B128" s="136" t="s">
        <v>301</v>
      </c>
      <c r="C128" s="137" t="s">
        <v>274</v>
      </c>
      <c r="D128" s="137" t="s">
        <v>302</v>
      </c>
      <c r="E128" s="138" t="s">
        <v>72</v>
      </c>
      <c r="F128" s="139" t="s">
        <v>71</v>
      </c>
      <c r="G128" s="140" t="s">
        <v>730</v>
      </c>
      <c r="H128" s="141" t="s">
        <v>722</v>
      </c>
      <c r="I128" s="142" t="s">
        <v>43</v>
      </c>
      <c r="J128" s="143" t="s">
        <v>738</v>
      </c>
      <c r="K128" s="150" t="s">
        <v>413</v>
      </c>
      <c r="L128" s="155" t="s">
        <v>118</v>
      </c>
      <c r="M128" s="153" t="s">
        <v>118</v>
      </c>
      <c r="N128" s="152" t="s">
        <v>162</v>
      </c>
      <c r="O128" s="153"/>
      <c r="P128" s="201" t="s">
        <v>48</v>
      </c>
      <c r="Q128" s="222" t="s">
        <v>734</v>
      </c>
      <c r="R128" s="148" t="s">
        <v>735</v>
      </c>
      <c r="S128" s="149" t="s">
        <v>865</v>
      </c>
    </row>
    <row r="129" spans="1:19" ht="18.75" customHeight="1" x14ac:dyDescent="0.25">
      <c r="A129" s="135">
        <v>174</v>
      </c>
      <c r="B129" s="136" t="s">
        <v>303</v>
      </c>
      <c r="C129" s="137" t="s">
        <v>274</v>
      </c>
      <c r="D129" s="137" t="s">
        <v>304</v>
      </c>
      <c r="E129" s="138" t="s">
        <v>72</v>
      </c>
      <c r="F129" s="139" t="s">
        <v>87</v>
      </c>
      <c r="G129" s="140" t="s">
        <v>794</v>
      </c>
      <c r="H129" s="141" t="s">
        <v>722</v>
      </c>
      <c r="I129" s="142" t="s">
        <v>72</v>
      </c>
      <c r="J129" s="143" t="s">
        <v>752</v>
      </c>
      <c r="K129" s="150" t="s">
        <v>413</v>
      </c>
      <c r="L129" s="220" t="s">
        <v>866</v>
      </c>
      <c r="M129" s="153" t="s">
        <v>758</v>
      </c>
      <c r="N129" s="223" t="s">
        <v>276</v>
      </c>
      <c r="O129" s="153"/>
      <c r="P129" s="201" t="s">
        <v>48</v>
      </c>
      <c r="Q129" s="222" t="s">
        <v>48</v>
      </c>
      <c r="R129" s="148"/>
      <c r="S129" s="149" t="s">
        <v>867</v>
      </c>
    </row>
    <row r="130" spans="1:19" ht="18.75" customHeight="1" x14ac:dyDescent="0.25">
      <c r="A130" s="135">
        <v>176</v>
      </c>
      <c r="B130" s="136" t="s">
        <v>305</v>
      </c>
      <c r="C130" s="137" t="s">
        <v>274</v>
      </c>
      <c r="D130" s="137" t="s">
        <v>304</v>
      </c>
      <c r="E130" s="138" t="s">
        <v>72</v>
      </c>
      <c r="F130" s="139" t="s">
        <v>99</v>
      </c>
      <c r="G130" s="140" t="s">
        <v>794</v>
      </c>
      <c r="H130" s="141" t="s">
        <v>722</v>
      </c>
      <c r="I130" s="142" t="s">
        <v>43</v>
      </c>
      <c r="J130" s="143" t="s">
        <v>752</v>
      </c>
      <c r="K130" s="150" t="s">
        <v>413</v>
      </c>
      <c r="L130" s="155" t="s">
        <v>118</v>
      </c>
      <c r="M130" s="153" t="s">
        <v>118</v>
      </c>
      <c r="N130" s="223" t="s">
        <v>276</v>
      </c>
      <c r="O130" s="153"/>
      <c r="P130" s="201" t="s">
        <v>48</v>
      </c>
      <c r="Q130" s="222" t="s">
        <v>48</v>
      </c>
      <c r="R130" s="148"/>
      <c r="S130" s="149"/>
    </row>
    <row r="131" spans="1:19" ht="18.75" customHeight="1" x14ac:dyDescent="0.25">
      <c r="A131" s="135">
        <v>177</v>
      </c>
      <c r="B131" s="136" t="s">
        <v>306</v>
      </c>
      <c r="C131" s="137" t="s">
        <v>274</v>
      </c>
      <c r="D131" s="137" t="s">
        <v>304</v>
      </c>
      <c r="E131" s="138" t="s">
        <v>72</v>
      </c>
      <c r="F131" s="139" t="s">
        <v>104</v>
      </c>
      <c r="G131" s="140" t="s">
        <v>794</v>
      </c>
      <c r="H131" s="141" t="s">
        <v>722</v>
      </c>
      <c r="I131" s="142" t="s">
        <v>43</v>
      </c>
      <c r="J131" s="249" t="s">
        <v>752</v>
      </c>
      <c r="K131" s="150" t="s">
        <v>413</v>
      </c>
      <c r="L131" s="157" t="s">
        <v>868</v>
      </c>
      <c r="M131" s="153" t="s">
        <v>837</v>
      </c>
      <c r="N131" s="152" t="s">
        <v>308</v>
      </c>
      <c r="O131" s="153"/>
      <c r="P131" s="201" t="s">
        <v>48</v>
      </c>
      <c r="Q131" s="222" t="s">
        <v>48</v>
      </c>
      <c r="R131" s="148"/>
      <c r="S131" s="149" t="s">
        <v>869</v>
      </c>
    </row>
    <row r="132" spans="1:19" ht="18.75" customHeight="1" x14ac:dyDescent="0.25">
      <c r="A132" s="135">
        <v>181</v>
      </c>
      <c r="B132" s="136" t="s">
        <v>309</v>
      </c>
      <c r="C132" s="137" t="s">
        <v>274</v>
      </c>
      <c r="D132" s="137" t="s">
        <v>304</v>
      </c>
      <c r="E132" s="138" t="s">
        <v>72</v>
      </c>
      <c r="F132" s="139" t="s">
        <v>202</v>
      </c>
      <c r="G132" s="140" t="s">
        <v>794</v>
      </c>
      <c r="H132" s="141" t="s">
        <v>722</v>
      </c>
      <c r="I132" s="142" t="s">
        <v>43</v>
      </c>
      <c r="J132" s="143" t="s">
        <v>752</v>
      </c>
      <c r="K132" s="150" t="s">
        <v>413</v>
      </c>
      <c r="L132" s="158" t="s">
        <v>852</v>
      </c>
      <c r="M132" s="153" t="s">
        <v>118</v>
      </c>
      <c r="N132" s="223" t="s">
        <v>276</v>
      </c>
      <c r="O132" s="153"/>
      <c r="P132" s="201" t="s">
        <v>48</v>
      </c>
      <c r="Q132" s="222" t="s">
        <v>48</v>
      </c>
      <c r="R132" s="148"/>
      <c r="S132" s="149"/>
    </row>
    <row r="133" spans="1:19" ht="18.75" customHeight="1" x14ac:dyDescent="0.25">
      <c r="A133" s="135">
        <v>185</v>
      </c>
      <c r="B133" s="136" t="s">
        <v>312</v>
      </c>
      <c r="C133" s="137" t="s">
        <v>274</v>
      </c>
      <c r="D133" s="137" t="s">
        <v>304</v>
      </c>
      <c r="E133" s="138" t="s">
        <v>72</v>
      </c>
      <c r="F133" s="139" t="s">
        <v>202</v>
      </c>
      <c r="G133" s="140" t="s">
        <v>794</v>
      </c>
      <c r="H133" s="141" t="s">
        <v>722</v>
      </c>
      <c r="I133" s="142" t="s">
        <v>43</v>
      </c>
      <c r="J133" s="143" t="s">
        <v>752</v>
      </c>
      <c r="K133" s="150" t="s">
        <v>413</v>
      </c>
      <c r="L133" s="220" t="s">
        <v>866</v>
      </c>
      <c r="M133" s="153" t="s">
        <v>118</v>
      </c>
      <c r="N133" s="223" t="s">
        <v>276</v>
      </c>
      <c r="O133" s="153"/>
      <c r="P133" s="201" t="s">
        <v>48</v>
      </c>
      <c r="Q133" s="222" t="s">
        <v>48</v>
      </c>
      <c r="R133" s="148"/>
      <c r="S133" s="149"/>
    </row>
    <row r="134" spans="1:19" ht="18.75" customHeight="1" x14ac:dyDescent="0.25">
      <c r="A134" s="135">
        <v>187</v>
      </c>
      <c r="B134" s="136" t="s">
        <v>314</v>
      </c>
      <c r="C134" s="137" t="s">
        <v>274</v>
      </c>
      <c r="D134" s="137" t="s">
        <v>315</v>
      </c>
      <c r="E134" s="138" t="s">
        <v>72</v>
      </c>
      <c r="F134" s="139" t="s">
        <v>104</v>
      </c>
      <c r="G134" s="140" t="s">
        <v>746</v>
      </c>
      <c r="H134" s="141" t="s">
        <v>722</v>
      </c>
      <c r="I134" s="142" t="s">
        <v>43</v>
      </c>
      <c r="J134" s="143" t="s">
        <v>720</v>
      </c>
      <c r="K134" s="150" t="s">
        <v>413</v>
      </c>
      <c r="L134" s="158" t="s">
        <v>852</v>
      </c>
      <c r="M134" s="153" t="s">
        <v>118</v>
      </c>
      <c r="N134" s="152" t="s">
        <v>48</v>
      </c>
      <c r="O134" s="153"/>
      <c r="P134" s="201" t="s">
        <v>48</v>
      </c>
      <c r="Q134" s="222" t="s">
        <v>48</v>
      </c>
      <c r="R134" s="148"/>
      <c r="S134" s="149" t="s">
        <v>856</v>
      </c>
    </row>
    <row r="135" spans="1:19" ht="18.75" customHeight="1" x14ac:dyDescent="0.25">
      <c r="A135" s="135">
        <v>188</v>
      </c>
      <c r="B135" s="136" t="s">
        <v>317</v>
      </c>
      <c r="C135" s="137" t="s">
        <v>274</v>
      </c>
      <c r="D135" s="137" t="s">
        <v>304</v>
      </c>
      <c r="E135" s="138" t="s">
        <v>43</v>
      </c>
      <c r="F135" s="139" t="s">
        <v>88</v>
      </c>
      <c r="G135" s="140" t="s">
        <v>746</v>
      </c>
      <c r="H135" s="141" t="s">
        <v>719</v>
      </c>
      <c r="I135" s="142" t="s">
        <v>72</v>
      </c>
      <c r="J135" s="143" t="s">
        <v>752</v>
      </c>
      <c r="K135" s="150" t="s">
        <v>413</v>
      </c>
      <c r="L135" s="157" t="s">
        <v>840</v>
      </c>
      <c r="M135" s="153" t="s">
        <v>837</v>
      </c>
      <c r="N135" s="152" t="s">
        <v>162</v>
      </c>
      <c r="O135" s="153"/>
      <c r="P135" s="201" t="s">
        <v>48</v>
      </c>
      <c r="Q135" s="222" t="s">
        <v>48</v>
      </c>
      <c r="R135" s="148"/>
      <c r="S135" s="149" t="s">
        <v>870</v>
      </c>
    </row>
    <row r="136" spans="1:19" ht="18.75" customHeight="1" x14ac:dyDescent="0.25">
      <c r="A136" s="135">
        <v>190</v>
      </c>
      <c r="B136" s="136" t="s">
        <v>318</v>
      </c>
      <c r="C136" s="137" t="s">
        <v>274</v>
      </c>
      <c r="D136" s="137" t="s">
        <v>319</v>
      </c>
      <c r="E136" s="138" t="s">
        <v>43</v>
      </c>
      <c r="F136" s="139" t="s">
        <v>88</v>
      </c>
      <c r="G136" s="140" t="s">
        <v>746</v>
      </c>
      <c r="H136" s="141" t="s">
        <v>719</v>
      </c>
      <c r="I136" s="142" t="s">
        <v>72</v>
      </c>
      <c r="J136" s="143" t="s">
        <v>737</v>
      </c>
      <c r="K136" s="150" t="s">
        <v>413</v>
      </c>
      <c r="L136" s="157" t="s">
        <v>840</v>
      </c>
      <c r="M136" s="153" t="s">
        <v>837</v>
      </c>
      <c r="N136" s="152" t="s">
        <v>162</v>
      </c>
      <c r="O136" s="153"/>
      <c r="P136" s="201" t="s">
        <v>48</v>
      </c>
      <c r="Q136" s="222" t="s">
        <v>48</v>
      </c>
      <c r="R136" s="148"/>
      <c r="S136" s="149" t="s">
        <v>871</v>
      </c>
    </row>
    <row r="137" spans="1:19" ht="18.75" customHeight="1" x14ac:dyDescent="0.25">
      <c r="A137" s="135">
        <v>194</v>
      </c>
      <c r="B137" s="136" t="s">
        <v>320</v>
      </c>
      <c r="C137" s="137" t="s">
        <v>274</v>
      </c>
      <c r="D137" s="137" t="s">
        <v>321</v>
      </c>
      <c r="E137" s="138" t="s">
        <v>43</v>
      </c>
      <c r="F137" s="139" t="s">
        <v>67</v>
      </c>
      <c r="G137" s="140" t="s">
        <v>746</v>
      </c>
      <c r="H137" s="141" t="s">
        <v>767</v>
      </c>
      <c r="I137" s="142" t="s">
        <v>43</v>
      </c>
      <c r="J137" s="143" t="s">
        <v>737</v>
      </c>
      <c r="K137" s="150" t="s">
        <v>413</v>
      </c>
      <c r="L137" s="157" t="s">
        <v>760</v>
      </c>
      <c r="M137" s="153" t="s">
        <v>837</v>
      </c>
      <c r="N137" s="152" t="s">
        <v>162</v>
      </c>
      <c r="O137" s="153"/>
      <c r="P137" s="201" t="s">
        <v>48</v>
      </c>
      <c r="Q137" s="222" t="s">
        <v>48</v>
      </c>
      <c r="R137" s="148"/>
      <c r="S137" s="149" t="s">
        <v>872</v>
      </c>
    </row>
    <row r="138" spans="1:19" ht="18.75" customHeight="1" x14ac:dyDescent="0.25">
      <c r="A138" s="135">
        <v>195</v>
      </c>
      <c r="B138" s="136" t="s">
        <v>322</v>
      </c>
      <c r="C138" s="137" t="s">
        <v>274</v>
      </c>
      <c r="D138" s="137" t="s">
        <v>323</v>
      </c>
      <c r="E138" s="138" t="s">
        <v>72</v>
      </c>
      <c r="F138" s="139" t="s">
        <v>71</v>
      </c>
      <c r="G138" s="140" t="s">
        <v>799</v>
      </c>
      <c r="H138" s="141" t="s">
        <v>722</v>
      </c>
      <c r="I138" s="142" t="s">
        <v>43</v>
      </c>
      <c r="J138" s="143" t="s">
        <v>738</v>
      </c>
      <c r="K138" s="150" t="s">
        <v>413</v>
      </c>
      <c r="L138" s="220" t="s">
        <v>873</v>
      </c>
      <c r="M138" s="153" t="s">
        <v>118</v>
      </c>
      <c r="N138" s="223" t="s">
        <v>276</v>
      </c>
      <c r="O138" s="153"/>
      <c r="P138" s="201" t="s">
        <v>48</v>
      </c>
      <c r="Q138" s="222" t="s">
        <v>734</v>
      </c>
      <c r="R138" s="148" t="s">
        <v>735</v>
      </c>
      <c r="S138" s="149" t="s">
        <v>874</v>
      </c>
    </row>
    <row r="139" spans="1:19" ht="18.75" customHeight="1" x14ac:dyDescent="0.25">
      <c r="A139" s="159">
        <v>375</v>
      </c>
      <c r="B139" s="214" t="s">
        <v>324</v>
      </c>
      <c r="C139" s="137" t="s">
        <v>274</v>
      </c>
      <c r="D139" s="137" t="s">
        <v>37</v>
      </c>
      <c r="E139" s="138" t="s">
        <v>43</v>
      </c>
      <c r="F139" s="139" t="s">
        <v>67</v>
      </c>
      <c r="G139" s="140" t="s">
        <v>45</v>
      </c>
      <c r="H139" s="141" t="s">
        <v>767</v>
      </c>
      <c r="I139" s="142" t="s">
        <v>43</v>
      </c>
      <c r="J139" s="143" t="s">
        <v>737</v>
      </c>
      <c r="K139" s="150" t="s">
        <v>413</v>
      </c>
      <c r="L139" s="157" t="s">
        <v>413</v>
      </c>
      <c r="M139" s="153" t="s">
        <v>758</v>
      </c>
      <c r="N139" s="152" t="s">
        <v>308</v>
      </c>
      <c r="O139" s="153"/>
      <c r="P139" s="201" t="s">
        <v>48</v>
      </c>
      <c r="Q139" s="222" t="s">
        <v>48</v>
      </c>
      <c r="R139" s="148"/>
      <c r="S139" s="149" t="s">
        <v>875</v>
      </c>
    </row>
    <row r="140" spans="1:19" ht="18.75" customHeight="1" x14ac:dyDescent="0.25">
      <c r="A140" s="159">
        <v>379</v>
      </c>
      <c r="B140" s="214" t="s">
        <v>325</v>
      </c>
      <c r="C140" s="137" t="s">
        <v>274</v>
      </c>
      <c r="D140" s="137" t="s">
        <v>326</v>
      </c>
      <c r="E140" s="138" t="s">
        <v>43</v>
      </c>
      <c r="F140" s="139" t="s">
        <v>87</v>
      </c>
      <c r="G140" s="140" t="s">
        <v>794</v>
      </c>
      <c r="H140" s="141" t="s">
        <v>722</v>
      </c>
      <c r="I140" s="142" t="s">
        <v>43</v>
      </c>
      <c r="J140" s="249" t="s">
        <v>752</v>
      </c>
      <c r="K140" s="150" t="s">
        <v>413</v>
      </c>
      <c r="L140" s="158" t="s">
        <v>852</v>
      </c>
      <c r="M140" s="153" t="s">
        <v>118</v>
      </c>
      <c r="N140" s="152" t="s">
        <v>48</v>
      </c>
      <c r="O140" s="154"/>
      <c r="P140" s="181" t="s">
        <v>48</v>
      </c>
      <c r="Q140" s="222" t="s">
        <v>48</v>
      </c>
      <c r="R140" s="148"/>
      <c r="S140" s="149"/>
    </row>
    <row r="141" spans="1:19" ht="18.75" customHeight="1" x14ac:dyDescent="0.25">
      <c r="A141" s="135">
        <v>380</v>
      </c>
      <c r="B141" s="136" t="s">
        <v>327</v>
      </c>
      <c r="C141" s="137" t="s">
        <v>274</v>
      </c>
      <c r="D141" s="137" t="s">
        <v>328</v>
      </c>
      <c r="E141" s="138" t="s">
        <v>43</v>
      </c>
      <c r="F141" s="139" t="s">
        <v>88</v>
      </c>
      <c r="G141" s="140" t="s">
        <v>746</v>
      </c>
      <c r="H141" s="141" t="s">
        <v>722</v>
      </c>
      <c r="I141" s="142" t="s">
        <v>43</v>
      </c>
      <c r="J141" s="143" t="s">
        <v>752</v>
      </c>
      <c r="K141" s="150" t="s">
        <v>413</v>
      </c>
      <c r="L141" s="158" t="s">
        <v>852</v>
      </c>
      <c r="M141" s="153" t="s">
        <v>118</v>
      </c>
      <c r="N141" s="152" t="s">
        <v>48</v>
      </c>
      <c r="O141" s="153"/>
      <c r="P141" s="201" t="s">
        <v>48</v>
      </c>
      <c r="Q141" s="222" t="s">
        <v>48</v>
      </c>
      <c r="R141" s="148"/>
      <c r="S141" s="149"/>
    </row>
    <row r="142" spans="1:19" ht="18.75" customHeight="1" x14ac:dyDescent="0.25">
      <c r="A142" s="159">
        <v>381</v>
      </c>
      <c r="B142" s="214" t="s">
        <v>329</v>
      </c>
      <c r="C142" s="137" t="s">
        <v>274</v>
      </c>
      <c r="D142" s="137" t="s">
        <v>284</v>
      </c>
      <c r="E142" s="138" t="s">
        <v>43</v>
      </c>
      <c r="F142" s="139" t="s">
        <v>73</v>
      </c>
      <c r="G142" s="140" t="s">
        <v>794</v>
      </c>
      <c r="H142" s="141" t="s">
        <v>767</v>
      </c>
      <c r="I142" s="142" t="s">
        <v>43</v>
      </c>
      <c r="J142" s="143" t="s">
        <v>738</v>
      </c>
      <c r="K142" s="150" t="s">
        <v>413</v>
      </c>
      <c r="L142" s="157" t="s">
        <v>760</v>
      </c>
      <c r="M142" s="153" t="s">
        <v>758</v>
      </c>
      <c r="N142" s="223" t="s">
        <v>276</v>
      </c>
      <c r="O142" s="153"/>
      <c r="P142" s="201" t="s">
        <v>48</v>
      </c>
      <c r="Q142" s="222" t="s">
        <v>48</v>
      </c>
      <c r="R142" s="148"/>
      <c r="S142" s="149" t="s">
        <v>876</v>
      </c>
    </row>
    <row r="143" spans="1:19" ht="18.75" customHeight="1" x14ac:dyDescent="0.25">
      <c r="A143" s="159">
        <v>382</v>
      </c>
      <c r="B143" s="214" t="s">
        <v>330</v>
      </c>
      <c r="C143" s="137" t="s">
        <v>274</v>
      </c>
      <c r="D143" s="137" t="s">
        <v>331</v>
      </c>
      <c r="E143" s="138" t="s">
        <v>43</v>
      </c>
      <c r="F143" s="139" t="s">
        <v>88</v>
      </c>
      <c r="G143" s="140" t="s">
        <v>751</v>
      </c>
      <c r="H143" s="141" t="s">
        <v>722</v>
      </c>
      <c r="I143" s="142" t="s">
        <v>43</v>
      </c>
      <c r="J143" s="143" t="s">
        <v>752</v>
      </c>
      <c r="K143" s="150" t="s">
        <v>877</v>
      </c>
      <c r="L143" s="158" t="s">
        <v>48</v>
      </c>
      <c r="M143" s="153" t="s">
        <v>118</v>
      </c>
      <c r="N143" s="152" t="s">
        <v>48</v>
      </c>
      <c r="O143" s="153"/>
      <c r="P143" s="201" t="s">
        <v>48</v>
      </c>
      <c r="Q143" s="222" t="s">
        <v>48</v>
      </c>
      <c r="R143" s="148"/>
      <c r="S143" s="149" t="s">
        <v>878</v>
      </c>
    </row>
    <row r="144" spans="1:19" ht="18.75" customHeight="1" x14ac:dyDescent="0.25">
      <c r="A144" s="159">
        <v>383</v>
      </c>
      <c r="B144" s="214" t="s">
        <v>332</v>
      </c>
      <c r="C144" s="137" t="s">
        <v>274</v>
      </c>
      <c r="D144" s="137" t="s">
        <v>331</v>
      </c>
      <c r="E144" s="138" t="s">
        <v>43</v>
      </c>
      <c r="F144" s="139" t="s">
        <v>88</v>
      </c>
      <c r="G144" s="140" t="s">
        <v>730</v>
      </c>
      <c r="H144" s="141" t="s">
        <v>722</v>
      </c>
      <c r="I144" s="142" t="s">
        <v>43</v>
      </c>
      <c r="J144" s="143" t="s">
        <v>752</v>
      </c>
      <c r="K144" s="150" t="s">
        <v>413</v>
      </c>
      <c r="L144" s="158" t="s">
        <v>852</v>
      </c>
      <c r="M144" s="153" t="s">
        <v>118</v>
      </c>
      <c r="N144" s="152" t="s">
        <v>162</v>
      </c>
      <c r="O144" s="153"/>
      <c r="P144" s="201" t="s">
        <v>48</v>
      </c>
      <c r="Q144" s="222" t="s">
        <v>48</v>
      </c>
      <c r="R144" s="148"/>
      <c r="S144" s="149"/>
    </row>
    <row r="145" spans="1:20" ht="18.75" customHeight="1" x14ac:dyDescent="0.25">
      <c r="A145" s="159">
        <v>384</v>
      </c>
      <c r="B145" s="214" t="s">
        <v>333</v>
      </c>
      <c r="C145" s="137" t="s">
        <v>274</v>
      </c>
      <c r="D145" s="137" t="s">
        <v>331</v>
      </c>
      <c r="E145" s="138" t="s">
        <v>43</v>
      </c>
      <c r="F145" s="139" t="s">
        <v>88</v>
      </c>
      <c r="G145" s="140" t="s">
        <v>799</v>
      </c>
      <c r="H145" s="141" t="s">
        <v>722</v>
      </c>
      <c r="I145" s="142" t="s">
        <v>72</v>
      </c>
      <c r="J145" s="143" t="s">
        <v>738</v>
      </c>
      <c r="K145" s="150" t="s">
        <v>413</v>
      </c>
      <c r="L145" s="220" t="s">
        <v>873</v>
      </c>
      <c r="M145" s="153" t="s">
        <v>758</v>
      </c>
      <c r="N145" s="152" t="s">
        <v>162</v>
      </c>
      <c r="O145" s="153"/>
      <c r="P145" s="201" t="s">
        <v>48</v>
      </c>
      <c r="Q145" s="222" t="s">
        <v>48</v>
      </c>
      <c r="R145" s="148"/>
      <c r="S145" s="149" t="s">
        <v>879</v>
      </c>
    </row>
    <row r="146" spans="1:20" ht="18.75" customHeight="1" x14ac:dyDescent="0.25">
      <c r="A146" s="159">
        <v>385</v>
      </c>
      <c r="B146" s="214" t="s">
        <v>334</v>
      </c>
      <c r="C146" s="137" t="s">
        <v>274</v>
      </c>
      <c r="D146" s="137" t="s">
        <v>335</v>
      </c>
      <c r="E146" s="138" t="s">
        <v>43</v>
      </c>
      <c r="F146" s="139" t="s">
        <v>88</v>
      </c>
      <c r="G146" s="140" t="s">
        <v>45</v>
      </c>
      <c r="H146" s="141" t="s">
        <v>767</v>
      </c>
      <c r="I146" s="142" t="s">
        <v>72</v>
      </c>
      <c r="J146" s="143" t="s">
        <v>723</v>
      </c>
      <c r="K146" s="150" t="s">
        <v>413</v>
      </c>
      <c r="L146" s="158" t="s">
        <v>855</v>
      </c>
      <c r="M146" s="153" t="s">
        <v>118</v>
      </c>
      <c r="N146" s="152" t="s">
        <v>162</v>
      </c>
      <c r="O146" s="153"/>
      <c r="P146" s="201" t="s">
        <v>48</v>
      </c>
      <c r="Q146" s="222" t="s">
        <v>48</v>
      </c>
      <c r="R146" s="148"/>
      <c r="S146" s="149"/>
    </row>
    <row r="147" spans="1:20" ht="18.75" customHeight="1" x14ac:dyDescent="0.25">
      <c r="A147" s="159">
        <v>387</v>
      </c>
      <c r="B147" s="214" t="s">
        <v>338</v>
      </c>
      <c r="C147" s="137" t="s">
        <v>274</v>
      </c>
      <c r="D147" s="137" t="s">
        <v>337</v>
      </c>
      <c r="E147" s="138" t="s">
        <v>43</v>
      </c>
      <c r="F147" s="139" t="s">
        <v>88</v>
      </c>
      <c r="G147" s="140" t="s">
        <v>88</v>
      </c>
      <c r="H147" s="141" t="s">
        <v>722</v>
      </c>
      <c r="I147" s="142" t="s">
        <v>43</v>
      </c>
      <c r="J147" s="143" t="s">
        <v>752</v>
      </c>
      <c r="K147" s="150" t="s">
        <v>413</v>
      </c>
      <c r="L147" s="158" t="s">
        <v>852</v>
      </c>
      <c r="M147" s="153" t="s">
        <v>118</v>
      </c>
      <c r="N147" s="152" t="s">
        <v>162</v>
      </c>
      <c r="O147" s="153"/>
      <c r="P147" s="201" t="s">
        <v>48</v>
      </c>
      <c r="Q147" s="222" t="s">
        <v>48</v>
      </c>
      <c r="R147" s="148"/>
      <c r="S147" s="149" t="s">
        <v>880</v>
      </c>
    </row>
    <row r="148" spans="1:20" ht="18.75" customHeight="1" x14ac:dyDescent="0.25">
      <c r="A148" s="159">
        <v>388</v>
      </c>
      <c r="B148" s="214" t="s">
        <v>339</v>
      </c>
      <c r="C148" s="137" t="s">
        <v>274</v>
      </c>
      <c r="D148" s="137" t="s">
        <v>340</v>
      </c>
      <c r="E148" s="138" t="s">
        <v>43</v>
      </c>
      <c r="F148" s="139" t="s">
        <v>88</v>
      </c>
      <c r="G148" s="140" t="s">
        <v>794</v>
      </c>
      <c r="H148" s="141" t="s">
        <v>767</v>
      </c>
      <c r="I148" s="142" t="s">
        <v>43</v>
      </c>
      <c r="J148" s="143" t="s">
        <v>752</v>
      </c>
      <c r="K148" s="150" t="s">
        <v>413</v>
      </c>
      <c r="L148" s="158" t="s">
        <v>852</v>
      </c>
      <c r="M148" s="153" t="s">
        <v>118</v>
      </c>
      <c r="N148" s="152" t="s">
        <v>162</v>
      </c>
      <c r="O148" s="153"/>
      <c r="P148" s="201" t="s">
        <v>48</v>
      </c>
      <c r="Q148" s="222" t="s">
        <v>48</v>
      </c>
      <c r="R148" s="148"/>
      <c r="S148" s="149"/>
    </row>
    <row r="149" spans="1:20" ht="18.75" customHeight="1" x14ac:dyDescent="0.25">
      <c r="A149" s="159">
        <v>389</v>
      </c>
      <c r="B149" s="214" t="s">
        <v>341</v>
      </c>
      <c r="C149" s="137" t="s">
        <v>274</v>
      </c>
      <c r="D149" s="137" t="s">
        <v>342</v>
      </c>
      <c r="E149" s="138" t="s">
        <v>43</v>
      </c>
      <c r="F149" s="139" t="s">
        <v>88</v>
      </c>
      <c r="G149" s="140" t="s">
        <v>730</v>
      </c>
      <c r="H149" s="141" t="s">
        <v>767</v>
      </c>
      <c r="I149" s="142" t="s">
        <v>72</v>
      </c>
      <c r="J149" s="143" t="s">
        <v>720</v>
      </c>
      <c r="K149" s="150" t="s">
        <v>413</v>
      </c>
      <c r="L149" s="220" t="s">
        <v>873</v>
      </c>
      <c r="M149" s="153" t="s">
        <v>792</v>
      </c>
      <c r="N149" s="223" t="s">
        <v>276</v>
      </c>
      <c r="O149" s="153"/>
      <c r="P149" s="201" t="s">
        <v>48</v>
      </c>
      <c r="Q149" s="222" t="s">
        <v>48</v>
      </c>
      <c r="R149" s="148"/>
      <c r="S149" s="149" t="s">
        <v>881</v>
      </c>
    </row>
    <row r="150" spans="1:20" ht="18.75" customHeight="1" x14ac:dyDescent="0.25">
      <c r="A150" s="159">
        <v>390</v>
      </c>
      <c r="B150" s="214" t="s">
        <v>343</v>
      </c>
      <c r="C150" s="137" t="s">
        <v>274</v>
      </c>
      <c r="D150" s="137" t="s">
        <v>344</v>
      </c>
      <c r="E150" s="138" t="s">
        <v>72</v>
      </c>
      <c r="F150" s="139" t="s">
        <v>99</v>
      </c>
      <c r="G150" s="140" t="s">
        <v>751</v>
      </c>
      <c r="H150" s="141" t="s">
        <v>722</v>
      </c>
      <c r="I150" s="142" t="s">
        <v>43</v>
      </c>
      <c r="J150" s="143" t="s">
        <v>752</v>
      </c>
      <c r="K150" s="152" t="s">
        <v>882</v>
      </c>
      <c r="L150" s="158" t="s">
        <v>882</v>
      </c>
      <c r="M150" s="153" t="s">
        <v>882</v>
      </c>
      <c r="N150" s="152" t="s">
        <v>48</v>
      </c>
      <c r="O150" s="153"/>
      <c r="P150" s="201" t="s">
        <v>48</v>
      </c>
      <c r="Q150" s="222" t="s">
        <v>48</v>
      </c>
      <c r="R150" s="148"/>
      <c r="S150" s="149" t="s">
        <v>883</v>
      </c>
    </row>
    <row r="151" spans="1:20" ht="18.75" customHeight="1" x14ac:dyDescent="0.25">
      <c r="A151" s="159">
        <v>391</v>
      </c>
      <c r="B151" s="214" t="s">
        <v>345</v>
      </c>
      <c r="C151" s="137" t="s">
        <v>274</v>
      </c>
      <c r="D151" s="137" t="s">
        <v>346</v>
      </c>
      <c r="E151" s="138" t="s">
        <v>72</v>
      </c>
      <c r="F151" s="139" t="s">
        <v>71</v>
      </c>
      <c r="G151" s="140" t="s">
        <v>794</v>
      </c>
      <c r="H151" s="141" t="s">
        <v>722</v>
      </c>
      <c r="I151" s="142" t="s">
        <v>72</v>
      </c>
      <c r="J151" s="143" t="s">
        <v>723</v>
      </c>
      <c r="K151" s="150" t="s">
        <v>413</v>
      </c>
      <c r="L151" s="220" t="s">
        <v>866</v>
      </c>
      <c r="M151" s="153" t="s">
        <v>837</v>
      </c>
      <c r="N151" s="223" t="s">
        <v>276</v>
      </c>
      <c r="O151" s="153"/>
      <c r="P151" s="201" t="s">
        <v>48</v>
      </c>
      <c r="Q151" s="222" t="s">
        <v>48</v>
      </c>
      <c r="R151" s="148"/>
      <c r="S151" s="149" t="s">
        <v>884</v>
      </c>
    </row>
    <row r="152" spans="1:20" ht="18.75" customHeight="1" x14ac:dyDescent="0.25">
      <c r="A152" s="159">
        <v>392</v>
      </c>
      <c r="B152" s="214" t="s">
        <v>347</v>
      </c>
      <c r="C152" s="137" t="s">
        <v>274</v>
      </c>
      <c r="D152" s="137" t="s">
        <v>348</v>
      </c>
      <c r="E152" s="138" t="s">
        <v>43</v>
      </c>
      <c r="F152" s="139" t="s">
        <v>88</v>
      </c>
      <c r="G152" s="140" t="s">
        <v>88</v>
      </c>
      <c r="H152" s="141" t="s">
        <v>767</v>
      </c>
      <c r="I152" s="142" t="s">
        <v>72</v>
      </c>
      <c r="J152" s="143" t="s">
        <v>723</v>
      </c>
      <c r="K152" s="150" t="s">
        <v>413</v>
      </c>
      <c r="L152" s="155" t="s">
        <v>118</v>
      </c>
      <c r="M152" s="153" t="s">
        <v>758</v>
      </c>
      <c r="N152" s="223" t="s">
        <v>276</v>
      </c>
      <c r="O152" s="153"/>
      <c r="P152" s="201" t="s">
        <v>48</v>
      </c>
      <c r="Q152" s="222" t="s">
        <v>48</v>
      </c>
      <c r="R152" s="148"/>
      <c r="S152" s="149" t="s">
        <v>885</v>
      </c>
    </row>
    <row r="153" spans="1:20" ht="18.75" customHeight="1" x14ac:dyDescent="0.25">
      <c r="A153" s="135">
        <v>393</v>
      </c>
      <c r="B153" s="136" t="s">
        <v>349</v>
      </c>
      <c r="C153" s="137" t="s">
        <v>274</v>
      </c>
      <c r="D153" s="137" t="s">
        <v>350</v>
      </c>
      <c r="E153" s="138" t="s">
        <v>72</v>
      </c>
      <c r="F153" s="139" t="s">
        <v>99</v>
      </c>
      <c r="G153" s="140" t="s">
        <v>746</v>
      </c>
      <c r="H153" s="141" t="s">
        <v>722</v>
      </c>
      <c r="I153" s="142" t="s">
        <v>43</v>
      </c>
      <c r="J153" s="143" t="s">
        <v>752</v>
      </c>
      <c r="K153" s="150" t="s">
        <v>413</v>
      </c>
      <c r="L153" s="158" t="s">
        <v>852</v>
      </c>
      <c r="M153" s="153" t="s">
        <v>118</v>
      </c>
      <c r="N153" s="152" t="s">
        <v>48</v>
      </c>
      <c r="O153" s="153"/>
      <c r="P153" s="201" t="s">
        <v>48</v>
      </c>
      <c r="Q153" s="222" t="s">
        <v>48</v>
      </c>
      <c r="R153" s="148"/>
      <c r="S153" s="149"/>
    </row>
    <row r="154" spans="1:20" ht="18.75" customHeight="1" x14ac:dyDescent="0.25">
      <c r="A154" s="135">
        <v>394</v>
      </c>
      <c r="B154" s="136" t="s">
        <v>351</v>
      </c>
      <c r="C154" s="137" t="s">
        <v>274</v>
      </c>
      <c r="D154" s="137" t="s">
        <v>351</v>
      </c>
      <c r="E154" s="138" t="s">
        <v>72</v>
      </c>
      <c r="F154" s="139" t="s">
        <v>71</v>
      </c>
      <c r="G154" s="140" t="s">
        <v>88</v>
      </c>
      <c r="H154" s="141" t="s">
        <v>722</v>
      </c>
      <c r="I154" s="142" t="s">
        <v>43</v>
      </c>
      <c r="J154" s="143" t="s">
        <v>737</v>
      </c>
      <c r="K154" s="150" t="s">
        <v>413</v>
      </c>
      <c r="L154" s="158" t="s">
        <v>886</v>
      </c>
      <c r="M154" s="153" t="s">
        <v>118</v>
      </c>
      <c r="N154" s="152" t="s">
        <v>48</v>
      </c>
      <c r="O154" s="153"/>
      <c r="P154" s="201" t="s">
        <v>48</v>
      </c>
      <c r="Q154" s="222" t="s">
        <v>48</v>
      </c>
      <c r="R154" s="148"/>
      <c r="S154" s="149" t="s">
        <v>856</v>
      </c>
    </row>
    <row r="155" spans="1:20" ht="18.75" customHeight="1" x14ac:dyDescent="0.25">
      <c r="A155" s="159">
        <v>395</v>
      </c>
      <c r="B155" s="214" t="s">
        <v>352</v>
      </c>
      <c r="C155" s="137" t="s">
        <v>274</v>
      </c>
      <c r="D155" s="137" t="s">
        <v>353</v>
      </c>
      <c r="E155" s="138" t="s">
        <v>72</v>
      </c>
      <c r="F155" s="139" t="s">
        <v>87</v>
      </c>
      <c r="G155" s="140" t="s">
        <v>88</v>
      </c>
      <c r="H155" s="141" t="s">
        <v>722</v>
      </c>
      <c r="I155" s="142" t="s">
        <v>43</v>
      </c>
      <c r="J155" s="249" t="s">
        <v>752</v>
      </c>
      <c r="K155" s="150" t="s">
        <v>413</v>
      </c>
      <c r="L155" s="220" t="s">
        <v>866</v>
      </c>
      <c r="M155" s="153" t="s">
        <v>118</v>
      </c>
      <c r="N155" s="152" t="s">
        <v>48</v>
      </c>
      <c r="O155" s="154"/>
      <c r="P155" s="201" t="s">
        <v>48</v>
      </c>
      <c r="Q155" s="222" t="s">
        <v>734</v>
      </c>
      <c r="R155" s="148" t="s">
        <v>735</v>
      </c>
      <c r="S155" s="149" t="s">
        <v>887</v>
      </c>
      <c r="T155" s="114">
        <v>38</v>
      </c>
    </row>
    <row r="156" spans="1:20" ht="18.75" customHeight="1" x14ac:dyDescent="0.25">
      <c r="A156" s="135">
        <v>396</v>
      </c>
      <c r="B156" s="136" t="s">
        <v>354</v>
      </c>
      <c r="C156" s="137" t="s">
        <v>274</v>
      </c>
      <c r="D156" s="137" t="s">
        <v>354</v>
      </c>
      <c r="E156" s="138" t="s">
        <v>72</v>
      </c>
      <c r="F156" s="139" t="s">
        <v>87</v>
      </c>
      <c r="G156" s="140" t="s">
        <v>746</v>
      </c>
      <c r="H156" s="141" t="s">
        <v>722</v>
      </c>
      <c r="I156" s="142" t="s">
        <v>43</v>
      </c>
      <c r="J156" s="143" t="s">
        <v>752</v>
      </c>
      <c r="K156" s="152" t="s">
        <v>882</v>
      </c>
      <c r="L156" s="158" t="s">
        <v>882</v>
      </c>
      <c r="M156" s="153" t="s">
        <v>882</v>
      </c>
      <c r="N156" s="152" t="s">
        <v>48</v>
      </c>
      <c r="O156" s="153"/>
      <c r="P156" s="201" t="s">
        <v>48</v>
      </c>
      <c r="Q156" s="222" t="s">
        <v>48</v>
      </c>
      <c r="R156" s="148"/>
      <c r="S156" s="149" t="s">
        <v>883</v>
      </c>
    </row>
    <row r="157" spans="1:20" ht="18.75" customHeight="1" x14ac:dyDescent="0.25">
      <c r="A157" s="159">
        <v>397</v>
      </c>
      <c r="B157" s="214" t="s">
        <v>356</v>
      </c>
      <c r="C157" s="137" t="s">
        <v>274</v>
      </c>
      <c r="D157" s="137" t="s">
        <v>357</v>
      </c>
      <c r="E157" s="138" t="s">
        <v>72</v>
      </c>
      <c r="F157" s="139" t="s">
        <v>87</v>
      </c>
      <c r="G157" s="140" t="s">
        <v>751</v>
      </c>
      <c r="H157" s="141" t="s">
        <v>722</v>
      </c>
      <c r="I157" s="142" t="s">
        <v>72</v>
      </c>
      <c r="J157" s="143" t="s">
        <v>752</v>
      </c>
      <c r="K157" s="150" t="s">
        <v>413</v>
      </c>
      <c r="L157" s="220" t="s">
        <v>721</v>
      </c>
      <c r="M157" s="153" t="s">
        <v>118</v>
      </c>
      <c r="N157" s="152" t="s">
        <v>48</v>
      </c>
      <c r="O157" s="153"/>
      <c r="P157" s="201" t="s">
        <v>48</v>
      </c>
      <c r="Q157" s="222" t="s">
        <v>48</v>
      </c>
      <c r="R157" s="148"/>
      <c r="S157" s="149"/>
    </row>
    <row r="158" spans="1:20" ht="18.75" customHeight="1" x14ac:dyDescent="0.25">
      <c r="A158" s="135">
        <v>157</v>
      </c>
      <c r="B158" s="136" t="s">
        <v>359</v>
      </c>
      <c r="C158" s="137" t="s">
        <v>854</v>
      </c>
      <c r="D158" s="137" t="s">
        <v>294</v>
      </c>
      <c r="E158" s="138" t="s">
        <v>72</v>
      </c>
      <c r="F158" s="139" t="s">
        <v>104</v>
      </c>
      <c r="G158" s="140" t="s">
        <v>45</v>
      </c>
      <c r="H158" s="141" t="s">
        <v>767</v>
      </c>
      <c r="I158" s="142" t="s">
        <v>72</v>
      </c>
      <c r="J158" s="143" t="s">
        <v>738</v>
      </c>
      <c r="K158" s="150" t="s">
        <v>413</v>
      </c>
      <c r="L158" s="158" t="s">
        <v>855</v>
      </c>
      <c r="M158" s="153" t="s">
        <v>118</v>
      </c>
      <c r="N158" s="223" t="s">
        <v>276</v>
      </c>
      <c r="O158" s="153"/>
      <c r="P158" s="201" t="s">
        <v>48</v>
      </c>
      <c r="Q158" s="222" t="s">
        <v>734</v>
      </c>
      <c r="R158" s="148" t="s">
        <v>735</v>
      </c>
      <c r="S158" s="149" t="s">
        <v>856</v>
      </c>
    </row>
    <row r="159" spans="1:20" ht="18.75" customHeight="1" x14ac:dyDescent="0.25">
      <c r="A159" s="163" t="s">
        <v>361</v>
      </c>
      <c r="B159" s="164"/>
      <c r="C159" s="165" t="s">
        <v>361</v>
      </c>
      <c r="D159" s="165"/>
      <c r="E159" s="163"/>
      <c r="F159" s="164"/>
      <c r="G159" s="164"/>
      <c r="H159" s="164"/>
      <c r="I159" s="165"/>
      <c r="J159" s="474"/>
      <c r="K159" s="167"/>
      <c r="L159" s="168"/>
      <c r="M159" s="169"/>
      <c r="N159" s="170"/>
      <c r="O159" s="169"/>
      <c r="P159" s="171"/>
      <c r="Q159" s="172"/>
      <c r="R159" s="173"/>
      <c r="S159" s="174"/>
    </row>
    <row r="160" spans="1:20" ht="18.75" customHeight="1" x14ac:dyDescent="0.25">
      <c r="A160" s="135">
        <v>144</v>
      </c>
      <c r="B160" s="136" t="s">
        <v>362</v>
      </c>
      <c r="C160" s="137" t="s">
        <v>361</v>
      </c>
      <c r="D160" s="137" t="s">
        <v>363</v>
      </c>
      <c r="E160" s="138" t="s">
        <v>72</v>
      </c>
      <c r="F160" s="139" t="s">
        <v>71</v>
      </c>
      <c r="G160" s="140" t="s">
        <v>45</v>
      </c>
      <c r="H160" s="141" t="s">
        <v>767</v>
      </c>
      <c r="I160" s="142" t="s">
        <v>43</v>
      </c>
      <c r="J160" s="143" t="s">
        <v>720</v>
      </c>
      <c r="K160" s="152" t="s">
        <v>498</v>
      </c>
      <c r="L160" s="158" t="s">
        <v>256</v>
      </c>
      <c r="M160" s="153" t="s">
        <v>889</v>
      </c>
      <c r="N160" s="225" t="s">
        <v>364</v>
      </c>
      <c r="O160" s="226" t="s">
        <v>365</v>
      </c>
      <c r="P160" s="201" t="s">
        <v>48</v>
      </c>
      <c r="Q160" s="147" t="s">
        <v>890</v>
      </c>
      <c r="R160" s="148"/>
      <c r="S160" s="149" t="s">
        <v>891</v>
      </c>
    </row>
    <row r="161" spans="1:19" ht="18.75" customHeight="1" x14ac:dyDescent="0.25">
      <c r="A161" s="135">
        <v>145</v>
      </c>
      <c r="B161" s="136" t="s">
        <v>369</v>
      </c>
      <c r="C161" s="137" t="s">
        <v>361</v>
      </c>
      <c r="D161" s="137" t="s">
        <v>363</v>
      </c>
      <c r="E161" s="138" t="s">
        <v>72</v>
      </c>
      <c r="F161" s="139" t="s">
        <v>71</v>
      </c>
      <c r="G161" s="140" t="s">
        <v>45</v>
      </c>
      <c r="H161" s="141" t="s">
        <v>767</v>
      </c>
      <c r="I161" s="142" t="s">
        <v>43</v>
      </c>
      <c r="J161" s="143" t="s">
        <v>752</v>
      </c>
      <c r="K161" s="152" t="s">
        <v>498</v>
      </c>
      <c r="L161" s="158" t="s">
        <v>256</v>
      </c>
      <c r="M161" s="153" t="s">
        <v>889</v>
      </c>
      <c r="N161" s="225" t="s">
        <v>364</v>
      </c>
      <c r="O161" s="226" t="s">
        <v>365</v>
      </c>
      <c r="P161" s="201" t="s">
        <v>48</v>
      </c>
      <c r="Q161" s="147" t="s">
        <v>48</v>
      </c>
      <c r="R161" s="148"/>
      <c r="S161" s="149" t="s">
        <v>892</v>
      </c>
    </row>
    <row r="162" spans="1:19" ht="18.75" customHeight="1" x14ac:dyDescent="0.25">
      <c r="A162" s="135">
        <v>399</v>
      </c>
      <c r="B162" s="136" t="s">
        <v>372</v>
      </c>
      <c r="C162" s="137" t="s">
        <v>361</v>
      </c>
      <c r="D162" s="137" t="s">
        <v>363</v>
      </c>
      <c r="E162" s="138" t="s">
        <v>72</v>
      </c>
      <c r="F162" s="139" t="s">
        <v>104</v>
      </c>
      <c r="G162" s="140" t="s">
        <v>45</v>
      </c>
      <c r="H162" s="141" t="s">
        <v>767</v>
      </c>
      <c r="I162" s="142" t="s">
        <v>72</v>
      </c>
      <c r="J162" s="143" t="s">
        <v>737</v>
      </c>
      <c r="K162" s="152" t="s">
        <v>498</v>
      </c>
      <c r="L162" s="158" t="s">
        <v>256</v>
      </c>
      <c r="M162" s="153" t="s">
        <v>889</v>
      </c>
      <c r="N162" s="225" t="s">
        <v>364</v>
      </c>
      <c r="O162" s="226" t="s">
        <v>365</v>
      </c>
      <c r="P162" s="201" t="s">
        <v>48</v>
      </c>
      <c r="Q162" s="147" t="s">
        <v>893</v>
      </c>
      <c r="R162" s="148" t="s">
        <v>894</v>
      </c>
      <c r="S162" s="149" t="s">
        <v>891</v>
      </c>
    </row>
    <row r="163" spans="1:19" ht="18.75" customHeight="1" x14ac:dyDescent="0.25">
      <c r="A163" s="163" t="s">
        <v>376</v>
      </c>
      <c r="B163" s="164"/>
      <c r="C163" s="165" t="s">
        <v>376</v>
      </c>
      <c r="D163" s="165"/>
      <c r="E163" s="163"/>
      <c r="F163" s="164"/>
      <c r="G163" s="164"/>
      <c r="H163" s="164"/>
      <c r="I163" s="165"/>
      <c r="J163" s="474"/>
      <c r="K163" s="167" t="s">
        <v>895</v>
      </c>
      <c r="L163" s="168"/>
      <c r="M163" s="169"/>
      <c r="N163" s="170"/>
      <c r="O163" s="169"/>
      <c r="P163" s="171"/>
      <c r="Q163" s="172"/>
      <c r="R163" s="173"/>
      <c r="S163" s="184"/>
    </row>
    <row r="164" spans="1:19" ht="18.75" customHeight="1" x14ac:dyDescent="0.25">
      <c r="A164" s="135">
        <v>98</v>
      </c>
      <c r="B164" s="136" t="s">
        <v>377</v>
      </c>
      <c r="C164" s="137" t="s">
        <v>376</v>
      </c>
      <c r="D164" s="137" t="s">
        <v>378</v>
      </c>
      <c r="E164" s="138" t="s">
        <v>43</v>
      </c>
      <c r="F164" s="139" t="s">
        <v>88</v>
      </c>
      <c r="G164" s="140" t="s">
        <v>746</v>
      </c>
      <c r="H164" s="141" t="s">
        <v>722</v>
      </c>
      <c r="I164" s="142" t="s">
        <v>43</v>
      </c>
      <c r="J164" s="143" t="s">
        <v>720</v>
      </c>
      <c r="K164" s="150" t="s">
        <v>413</v>
      </c>
      <c r="L164" s="220" t="s">
        <v>792</v>
      </c>
      <c r="M164" s="153" t="s">
        <v>162</v>
      </c>
      <c r="N164" s="152" t="s">
        <v>379</v>
      </c>
      <c r="O164" s="153" t="s">
        <v>55</v>
      </c>
      <c r="P164" s="187" t="s">
        <v>95</v>
      </c>
      <c r="Q164" s="147" t="s">
        <v>48</v>
      </c>
      <c r="R164" s="148" t="s">
        <v>735</v>
      </c>
      <c r="S164" s="186" t="s">
        <v>896</v>
      </c>
    </row>
    <row r="165" spans="1:19" ht="18.75" customHeight="1" x14ac:dyDescent="0.25">
      <c r="A165" s="135">
        <v>338</v>
      </c>
      <c r="B165" s="136" t="s">
        <v>380</v>
      </c>
      <c r="C165" s="137" t="s">
        <v>376</v>
      </c>
      <c r="D165" s="137" t="s">
        <v>381</v>
      </c>
      <c r="E165" s="138" t="s">
        <v>72</v>
      </c>
      <c r="F165" s="139" t="s">
        <v>87</v>
      </c>
      <c r="G165" s="140" t="s">
        <v>746</v>
      </c>
      <c r="H165" s="141" t="s">
        <v>722</v>
      </c>
      <c r="I165" s="142" t="s">
        <v>72</v>
      </c>
      <c r="J165" s="143" t="s">
        <v>737</v>
      </c>
      <c r="K165" s="150" t="s">
        <v>413</v>
      </c>
      <c r="L165" s="157" t="s">
        <v>725</v>
      </c>
      <c r="M165" s="153" t="s">
        <v>897</v>
      </c>
      <c r="N165" s="152" t="s">
        <v>113</v>
      </c>
      <c r="O165" s="153" t="s">
        <v>55</v>
      </c>
      <c r="P165" s="160" t="s">
        <v>113</v>
      </c>
      <c r="Q165" s="147" t="s">
        <v>48</v>
      </c>
      <c r="R165" s="148" t="s">
        <v>735</v>
      </c>
      <c r="S165" s="186" t="s">
        <v>898</v>
      </c>
    </row>
    <row r="166" spans="1:19" ht="18.75" customHeight="1" x14ac:dyDescent="0.25">
      <c r="A166" s="135">
        <v>339</v>
      </c>
      <c r="B166" s="136" t="s">
        <v>383</v>
      </c>
      <c r="C166" s="137" t="s">
        <v>376</v>
      </c>
      <c r="D166" s="137" t="s">
        <v>384</v>
      </c>
      <c r="E166" s="138" t="s">
        <v>72</v>
      </c>
      <c r="F166" s="139" t="s">
        <v>87</v>
      </c>
      <c r="G166" s="140" t="s">
        <v>746</v>
      </c>
      <c r="H166" s="141" t="s">
        <v>722</v>
      </c>
      <c r="I166" s="142" t="s">
        <v>72</v>
      </c>
      <c r="J166" s="143" t="s">
        <v>720</v>
      </c>
      <c r="K166" s="150" t="s">
        <v>413</v>
      </c>
      <c r="L166" s="155" t="s">
        <v>118</v>
      </c>
      <c r="M166" s="153" t="s">
        <v>162</v>
      </c>
      <c r="N166" s="152" t="s">
        <v>48</v>
      </c>
      <c r="O166" s="153" t="s">
        <v>48</v>
      </c>
      <c r="P166" s="201" t="s">
        <v>48</v>
      </c>
      <c r="Q166" s="147" t="s">
        <v>48</v>
      </c>
      <c r="R166" s="148"/>
      <c r="S166" s="186"/>
    </row>
    <row r="167" spans="1:19" ht="18.75" customHeight="1" x14ac:dyDescent="0.25">
      <c r="A167" s="135">
        <v>340</v>
      </c>
      <c r="B167" s="136" t="s">
        <v>386</v>
      </c>
      <c r="C167" s="137" t="s">
        <v>376</v>
      </c>
      <c r="D167" s="137" t="s">
        <v>387</v>
      </c>
      <c r="E167" s="138" t="s">
        <v>72</v>
      </c>
      <c r="F167" s="139" t="s">
        <v>87</v>
      </c>
      <c r="G167" s="140" t="s">
        <v>746</v>
      </c>
      <c r="H167" s="141" t="s">
        <v>722</v>
      </c>
      <c r="I167" s="142" t="s">
        <v>43</v>
      </c>
      <c r="J167" s="143" t="s">
        <v>752</v>
      </c>
      <c r="K167" s="150" t="s">
        <v>413</v>
      </c>
      <c r="L167" s="155" t="s">
        <v>118</v>
      </c>
      <c r="M167" s="153" t="s">
        <v>162</v>
      </c>
      <c r="N167" s="152" t="s">
        <v>48</v>
      </c>
      <c r="O167" s="153" t="s">
        <v>48</v>
      </c>
      <c r="P167" s="201" t="s">
        <v>48</v>
      </c>
      <c r="Q167" s="147" t="s">
        <v>48</v>
      </c>
      <c r="R167" s="148"/>
      <c r="S167" s="186"/>
    </row>
    <row r="168" spans="1:19" ht="18.75" customHeight="1" x14ac:dyDescent="0.25">
      <c r="A168" s="135">
        <v>341</v>
      </c>
      <c r="B168" s="136" t="s">
        <v>389</v>
      </c>
      <c r="C168" s="137" t="s">
        <v>376</v>
      </c>
      <c r="D168" s="137" t="s">
        <v>390</v>
      </c>
      <c r="E168" s="138" t="s">
        <v>72</v>
      </c>
      <c r="F168" s="139" t="s">
        <v>71</v>
      </c>
      <c r="G168" s="140" t="s">
        <v>746</v>
      </c>
      <c r="H168" s="141" t="s">
        <v>722</v>
      </c>
      <c r="I168" s="142" t="s">
        <v>43</v>
      </c>
      <c r="J168" s="143" t="s">
        <v>738</v>
      </c>
      <c r="K168" s="150" t="s">
        <v>413</v>
      </c>
      <c r="L168" s="155" t="s">
        <v>792</v>
      </c>
      <c r="M168" s="153" t="s">
        <v>162</v>
      </c>
      <c r="N168" s="152" t="s">
        <v>391</v>
      </c>
      <c r="O168" s="153" t="s">
        <v>55</v>
      </c>
      <c r="P168" s="187" t="s">
        <v>95</v>
      </c>
      <c r="Q168" s="147" t="s">
        <v>48</v>
      </c>
      <c r="R168" s="148" t="s">
        <v>735</v>
      </c>
      <c r="S168" s="186" t="s">
        <v>899</v>
      </c>
    </row>
    <row r="169" spans="1:19" ht="18.75" customHeight="1" x14ac:dyDescent="0.25">
      <c r="A169" s="163" t="s">
        <v>393</v>
      </c>
      <c r="B169" s="164"/>
      <c r="C169" s="165" t="s">
        <v>393</v>
      </c>
      <c r="D169" s="165"/>
      <c r="E169" s="163"/>
      <c r="F169" s="164"/>
      <c r="G169" s="164"/>
      <c r="H169" s="164"/>
      <c r="I169" s="165"/>
      <c r="J169" s="474"/>
      <c r="K169" s="167"/>
      <c r="L169" s="168"/>
      <c r="M169" s="169"/>
      <c r="N169" s="170"/>
      <c r="O169" s="169"/>
      <c r="P169" s="171"/>
      <c r="Q169" s="172"/>
      <c r="R169" s="173"/>
      <c r="S169" s="174"/>
    </row>
    <row r="170" spans="1:19" ht="18.75" customHeight="1" x14ac:dyDescent="0.25">
      <c r="A170" s="227">
        <v>306</v>
      </c>
      <c r="B170" s="228" t="s">
        <v>394</v>
      </c>
      <c r="C170" s="192" t="s">
        <v>393</v>
      </c>
      <c r="D170" s="192" t="s">
        <v>217</v>
      </c>
      <c r="E170" s="138" t="s">
        <v>43</v>
      </c>
      <c r="F170" s="139" t="s">
        <v>53</v>
      </c>
      <c r="G170" s="140" t="s">
        <v>53</v>
      </c>
      <c r="H170" s="141" t="s">
        <v>722</v>
      </c>
      <c r="I170" s="142" t="s">
        <v>43</v>
      </c>
      <c r="J170" s="143" t="s">
        <v>53</v>
      </c>
      <c r="K170" s="190"/>
      <c r="L170" s="191"/>
      <c r="M170" s="204"/>
      <c r="N170" s="194"/>
      <c r="O170" s="195"/>
      <c r="P170" s="196"/>
      <c r="Q170" s="197"/>
      <c r="R170" s="198"/>
      <c r="S170" s="205" t="s">
        <v>796</v>
      </c>
    </row>
    <row r="171" spans="1:19" ht="18.75" customHeight="1" x14ac:dyDescent="0.25">
      <c r="A171" s="190">
        <v>209</v>
      </c>
      <c r="B171" s="191" t="s">
        <v>190</v>
      </c>
      <c r="C171" s="192" t="s">
        <v>1853</v>
      </c>
      <c r="D171" s="192" t="s">
        <v>191</v>
      </c>
      <c r="E171" s="138" t="s">
        <v>43</v>
      </c>
      <c r="F171" s="139" t="s">
        <v>53</v>
      </c>
      <c r="G171" s="140" t="s">
        <v>53</v>
      </c>
      <c r="H171" s="141" t="s">
        <v>722</v>
      </c>
      <c r="I171" s="142" t="s">
        <v>43</v>
      </c>
      <c r="J171" s="143" t="s">
        <v>53</v>
      </c>
      <c r="K171" s="190"/>
      <c r="L171" s="191"/>
      <c r="M171" s="204"/>
      <c r="N171" s="194"/>
      <c r="O171" s="195"/>
      <c r="P171" s="196"/>
      <c r="Q171" s="197"/>
      <c r="R171" s="198"/>
      <c r="S171" s="205" t="s">
        <v>796</v>
      </c>
    </row>
    <row r="172" spans="1:19" ht="18.75" customHeight="1" x14ac:dyDescent="0.25">
      <c r="A172" s="163" t="s">
        <v>395</v>
      </c>
      <c r="B172" s="164"/>
      <c r="C172" s="165" t="s">
        <v>395</v>
      </c>
      <c r="D172" s="165"/>
      <c r="E172" s="163"/>
      <c r="F172" s="164"/>
      <c r="G172" s="164"/>
      <c r="H172" s="164"/>
      <c r="I172" s="165"/>
      <c r="J172" s="474"/>
      <c r="K172" s="167"/>
      <c r="L172" s="168"/>
      <c r="M172" s="169"/>
      <c r="N172" s="170"/>
      <c r="O172" s="169"/>
      <c r="P172" s="171"/>
      <c r="Q172" s="172"/>
      <c r="R172" s="173"/>
      <c r="S172" s="174"/>
    </row>
    <row r="173" spans="1:19" ht="18.75" customHeight="1" x14ac:dyDescent="0.25">
      <c r="A173" s="135">
        <v>99</v>
      </c>
      <c r="B173" s="136" t="s">
        <v>396</v>
      </c>
      <c r="C173" s="137" t="s">
        <v>395</v>
      </c>
      <c r="D173" s="137" t="s">
        <v>397</v>
      </c>
      <c r="E173" s="138" t="s">
        <v>72</v>
      </c>
      <c r="F173" s="139" t="s">
        <v>71</v>
      </c>
      <c r="G173" s="140" t="s">
        <v>746</v>
      </c>
      <c r="H173" s="141" t="s">
        <v>722</v>
      </c>
      <c r="I173" s="142" t="s">
        <v>43</v>
      </c>
      <c r="J173" s="143" t="s">
        <v>720</v>
      </c>
      <c r="K173" s="150" t="s">
        <v>413</v>
      </c>
      <c r="L173" s="220" t="s">
        <v>721</v>
      </c>
      <c r="M173" s="153" t="s">
        <v>162</v>
      </c>
      <c r="N173" s="152" t="s">
        <v>162</v>
      </c>
      <c r="O173" s="153"/>
      <c r="P173" s="201" t="s">
        <v>48</v>
      </c>
      <c r="Q173" s="147" t="s">
        <v>48</v>
      </c>
      <c r="R173" s="148"/>
      <c r="S173" s="186" t="s">
        <v>900</v>
      </c>
    </row>
    <row r="174" spans="1:19" ht="18.75" customHeight="1" x14ac:dyDescent="0.25">
      <c r="A174" s="135">
        <v>100</v>
      </c>
      <c r="B174" s="136" t="s">
        <v>398</v>
      </c>
      <c r="C174" s="137" t="s">
        <v>395</v>
      </c>
      <c r="D174" s="137" t="s">
        <v>399</v>
      </c>
      <c r="E174" s="138" t="s">
        <v>43</v>
      </c>
      <c r="F174" s="139" t="s">
        <v>53</v>
      </c>
      <c r="G174" s="140" t="s">
        <v>45</v>
      </c>
      <c r="H174" s="141" t="s">
        <v>767</v>
      </c>
      <c r="I174" s="142" t="s">
        <v>72</v>
      </c>
      <c r="J174" s="143" t="s">
        <v>737</v>
      </c>
      <c r="K174" s="150" t="s">
        <v>413</v>
      </c>
      <c r="L174" s="157" t="s">
        <v>760</v>
      </c>
      <c r="M174" s="153" t="s">
        <v>901</v>
      </c>
      <c r="N174" s="152" t="s">
        <v>162</v>
      </c>
      <c r="O174" s="153"/>
      <c r="P174" s="201" t="s">
        <v>48</v>
      </c>
      <c r="Q174" s="147" t="s">
        <v>48</v>
      </c>
      <c r="R174" s="148"/>
      <c r="S174" s="186" t="s">
        <v>902</v>
      </c>
    </row>
    <row r="175" spans="1:19" ht="18.75" customHeight="1" x14ac:dyDescent="0.25">
      <c r="A175" s="135">
        <v>101</v>
      </c>
      <c r="B175" s="136" t="s">
        <v>400</v>
      </c>
      <c r="C175" s="137" t="s">
        <v>395</v>
      </c>
      <c r="D175" s="137" t="s">
        <v>401</v>
      </c>
      <c r="E175" s="138" t="s">
        <v>43</v>
      </c>
      <c r="F175" s="139" t="s">
        <v>71</v>
      </c>
      <c r="G175" s="140" t="s">
        <v>746</v>
      </c>
      <c r="H175" s="141" t="s">
        <v>722</v>
      </c>
      <c r="I175" s="142" t="s">
        <v>72</v>
      </c>
      <c r="J175" s="143" t="s">
        <v>738</v>
      </c>
      <c r="K175" s="150" t="s">
        <v>413</v>
      </c>
      <c r="L175" s="220" t="s">
        <v>721</v>
      </c>
      <c r="M175" s="153" t="s">
        <v>162</v>
      </c>
      <c r="N175" s="152" t="s">
        <v>402</v>
      </c>
      <c r="O175" s="153"/>
      <c r="P175" s="201" t="s">
        <v>48</v>
      </c>
      <c r="Q175" s="147" t="s">
        <v>48</v>
      </c>
      <c r="R175" s="148"/>
      <c r="S175" s="186" t="s">
        <v>903</v>
      </c>
    </row>
    <row r="176" spans="1:19" ht="18.75" customHeight="1" x14ac:dyDescent="0.25">
      <c r="A176" s="135">
        <v>102</v>
      </c>
      <c r="B176" s="136" t="s">
        <v>404</v>
      </c>
      <c r="C176" s="137" t="s">
        <v>395</v>
      </c>
      <c r="D176" s="137" t="s">
        <v>405</v>
      </c>
      <c r="E176" s="138" t="s">
        <v>43</v>
      </c>
      <c r="F176" s="139" t="s">
        <v>71</v>
      </c>
      <c r="G176" s="140" t="s">
        <v>746</v>
      </c>
      <c r="H176" s="141" t="s">
        <v>722</v>
      </c>
      <c r="I176" s="142" t="s">
        <v>72</v>
      </c>
      <c r="J176" s="143" t="s">
        <v>738</v>
      </c>
      <c r="K176" s="150" t="s">
        <v>413</v>
      </c>
      <c r="L176" s="155" t="s">
        <v>118</v>
      </c>
      <c r="M176" s="153" t="s">
        <v>162</v>
      </c>
      <c r="N176" s="152" t="s">
        <v>162</v>
      </c>
      <c r="O176" s="153"/>
      <c r="P176" s="201" t="s">
        <v>48</v>
      </c>
      <c r="Q176" s="147" t="s">
        <v>48</v>
      </c>
      <c r="R176" s="148"/>
      <c r="S176" s="186" t="s">
        <v>904</v>
      </c>
    </row>
    <row r="177" spans="1:19" ht="18.75" customHeight="1" x14ac:dyDescent="0.25">
      <c r="A177" s="135">
        <v>352</v>
      </c>
      <c r="B177" s="136" t="s">
        <v>408</v>
      </c>
      <c r="C177" s="137" t="s">
        <v>905</v>
      </c>
      <c r="D177" s="137" t="s">
        <v>409</v>
      </c>
      <c r="E177" s="138" t="s">
        <v>72</v>
      </c>
      <c r="F177" s="139" t="s">
        <v>99</v>
      </c>
      <c r="G177" s="140" t="s">
        <v>746</v>
      </c>
      <c r="H177" s="141" t="s">
        <v>722</v>
      </c>
      <c r="I177" s="142" t="s">
        <v>72</v>
      </c>
      <c r="J177" s="143" t="s">
        <v>720</v>
      </c>
      <c r="K177" s="150" t="s">
        <v>413</v>
      </c>
      <c r="L177" s="155" t="s">
        <v>118</v>
      </c>
      <c r="M177" s="153" t="s">
        <v>162</v>
      </c>
      <c r="N177" s="152" t="s">
        <v>162</v>
      </c>
      <c r="O177" s="153"/>
      <c r="P177" s="201" t="s">
        <v>48</v>
      </c>
      <c r="Q177" s="147" t="s">
        <v>48</v>
      </c>
      <c r="R177" s="148"/>
      <c r="S177" s="186" t="s">
        <v>906</v>
      </c>
    </row>
    <row r="178" spans="1:19" ht="18.75" customHeight="1" x14ac:dyDescent="0.25">
      <c r="A178" s="163" t="s">
        <v>410</v>
      </c>
      <c r="B178" s="164"/>
      <c r="C178" s="165" t="s">
        <v>410</v>
      </c>
      <c r="D178" s="165"/>
      <c r="E178" s="163"/>
      <c r="F178" s="164"/>
      <c r="G178" s="164"/>
      <c r="H178" s="164"/>
      <c r="I178" s="165"/>
      <c r="J178" s="474"/>
      <c r="K178" s="167"/>
      <c r="L178" s="168"/>
      <c r="M178" s="169"/>
      <c r="N178" s="170"/>
      <c r="O178" s="169"/>
      <c r="P178" s="171"/>
      <c r="Q178" s="172"/>
      <c r="R178" s="173"/>
      <c r="S178" s="174"/>
    </row>
    <row r="179" spans="1:19" ht="18.75" customHeight="1" x14ac:dyDescent="0.25">
      <c r="A179" s="135">
        <v>14</v>
      </c>
      <c r="B179" s="136" t="s">
        <v>411</v>
      </c>
      <c r="C179" s="137" t="s">
        <v>410</v>
      </c>
      <c r="D179" s="137" t="s">
        <v>412</v>
      </c>
      <c r="E179" s="138" t="s">
        <v>43</v>
      </c>
      <c r="F179" s="139" t="s">
        <v>67</v>
      </c>
      <c r="G179" s="140" t="s">
        <v>746</v>
      </c>
      <c r="H179" s="141" t="s">
        <v>722</v>
      </c>
      <c r="I179" s="142" t="s">
        <v>43</v>
      </c>
      <c r="J179" s="143" t="s">
        <v>723</v>
      </c>
      <c r="K179" s="229" t="s">
        <v>909</v>
      </c>
      <c r="L179" s="230" t="s">
        <v>527</v>
      </c>
      <c r="M179" s="145" t="s">
        <v>413</v>
      </c>
      <c r="N179" s="229" t="s">
        <v>413</v>
      </c>
      <c r="O179" s="153"/>
      <c r="P179" s="201" t="s">
        <v>48</v>
      </c>
      <c r="Q179" s="147" t="s">
        <v>48</v>
      </c>
      <c r="R179" s="148"/>
      <c r="S179" s="149" t="s">
        <v>910</v>
      </c>
    </row>
    <row r="180" spans="1:19" ht="18.75" customHeight="1" x14ac:dyDescent="0.25">
      <c r="A180" s="135">
        <v>16</v>
      </c>
      <c r="B180" s="136" t="s">
        <v>416</v>
      </c>
      <c r="C180" s="137" t="s">
        <v>410</v>
      </c>
      <c r="D180" s="137" t="s">
        <v>417</v>
      </c>
      <c r="E180" s="138" t="s">
        <v>43</v>
      </c>
      <c r="F180" s="139" t="s">
        <v>88</v>
      </c>
      <c r="G180" s="140" t="s">
        <v>746</v>
      </c>
      <c r="H180" s="141" t="s">
        <v>722</v>
      </c>
      <c r="I180" s="142" t="s">
        <v>43</v>
      </c>
      <c r="J180" s="143" t="s">
        <v>737</v>
      </c>
      <c r="K180" s="229" t="s">
        <v>498</v>
      </c>
      <c r="L180" s="230" t="s">
        <v>498</v>
      </c>
      <c r="M180" s="145" t="s">
        <v>413</v>
      </c>
      <c r="N180" s="229" t="s">
        <v>418</v>
      </c>
      <c r="O180" s="153"/>
      <c r="P180" s="201" t="s">
        <v>48</v>
      </c>
      <c r="Q180" s="147" t="s">
        <v>48</v>
      </c>
      <c r="R180" s="148"/>
      <c r="S180" s="149" t="s">
        <v>908</v>
      </c>
    </row>
    <row r="181" spans="1:19" ht="18.75" customHeight="1" x14ac:dyDescent="0.25">
      <c r="A181" s="135">
        <v>18</v>
      </c>
      <c r="B181" s="136" t="s">
        <v>419</v>
      </c>
      <c r="C181" s="137" t="s">
        <v>410</v>
      </c>
      <c r="D181" s="137" t="s">
        <v>417</v>
      </c>
      <c r="E181" s="138" t="s">
        <v>43</v>
      </c>
      <c r="F181" s="139" t="s">
        <v>88</v>
      </c>
      <c r="G181" s="140" t="s">
        <v>746</v>
      </c>
      <c r="H181" s="141" t="s">
        <v>722</v>
      </c>
      <c r="I181" s="142" t="s">
        <v>72</v>
      </c>
      <c r="J181" s="143" t="s">
        <v>737</v>
      </c>
      <c r="K181" s="229" t="s">
        <v>498</v>
      </c>
      <c r="L181" s="230" t="s">
        <v>498</v>
      </c>
      <c r="M181" s="145" t="s">
        <v>413</v>
      </c>
      <c r="N181" s="229" t="s">
        <v>418</v>
      </c>
      <c r="O181" s="153"/>
      <c r="P181" s="201" t="s">
        <v>48</v>
      </c>
      <c r="Q181" s="147" t="s">
        <v>48</v>
      </c>
      <c r="R181" s="148"/>
      <c r="S181" s="149" t="s">
        <v>908</v>
      </c>
    </row>
    <row r="182" spans="1:19" ht="18.75" customHeight="1" x14ac:dyDescent="0.25">
      <c r="A182" s="135">
        <v>19</v>
      </c>
      <c r="B182" s="136" t="s">
        <v>420</v>
      </c>
      <c r="C182" s="137" t="s">
        <v>410</v>
      </c>
      <c r="D182" s="137" t="s">
        <v>421</v>
      </c>
      <c r="E182" s="138" t="s">
        <v>43</v>
      </c>
      <c r="F182" s="139" t="s">
        <v>88</v>
      </c>
      <c r="G182" s="140" t="s">
        <v>746</v>
      </c>
      <c r="H182" s="141" t="s">
        <v>722</v>
      </c>
      <c r="I182" s="142" t="s">
        <v>43</v>
      </c>
      <c r="J182" s="143" t="s">
        <v>752</v>
      </c>
      <c r="K182" s="229" t="s">
        <v>498</v>
      </c>
      <c r="L182" s="230" t="s">
        <v>527</v>
      </c>
      <c r="M182" s="145" t="s">
        <v>413</v>
      </c>
      <c r="N182" s="229" t="s">
        <v>418</v>
      </c>
      <c r="O182" s="153"/>
      <c r="P182" s="201" t="s">
        <v>48</v>
      </c>
      <c r="Q182" s="147" t="s">
        <v>48</v>
      </c>
      <c r="R182" s="148"/>
      <c r="S182" s="149" t="s">
        <v>911</v>
      </c>
    </row>
    <row r="183" spans="1:19" ht="18.75" customHeight="1" x14ac:dyDescent="0.25">
      <c r="A183" s="135">
        <v>219</v>
      </c>
      <c r="B183" s="136" t="s">
        <v>422</v>
      </c>
      <c r="C183" s="137" t="s">
        <v>410</v>
      </c>
      <c r="D183" s="137" t="s">
        <v>423</v>
      </c>
      <c r="E183" s="138" t="s">
        <v>43</v>
      </c>
      <c r="F183" s="139" t="s">
        <v>53</v>
      </c>
      <c r="G183" s="140" t="s">
        <v>53</v>
      </c>
      <c r="H183" s="141" t="s">
        <v>722</v>
      </c>
      <c r="I183" s="142" t="s">
        <v>72</v>
      </c>
      <c r="J183" s="143" t="s">
        <v>752</v>
      </c>
      <c r="K183" s="229" t="s">
        <v>527</v>
      </c>
      <c r="L183" s="230" t="s">
        <v>527</v>
      </c>
      <c r="M183" s="145" t="s">
        <v>912</v>
      </c>
      <c r="N183" s="229" t="s">
        <v>418</v>
      </c>
      <c r="O183" s="153"/>
      <c r="P183" s="201" t="s">
        <v>48</v>
      </c>
      <c r="Q183" s="147" t="s">
        <v>48</v>
      </c>
      <c r="R183" s="148"/>
      <c r="S183" s="149" t="s">
        <v>913</v>
      </c>
    </row>
    <row r="184" spans="1:19" ht="18.75" customHeight="1" x14ac:dyDescent="0.25">
      <c r="A184" s="135">
        <v>369</v>
      </c>
      <c r="B184" s="136" t="s">
        <v>424</v>
      </c>
      <c r="C184" s="137" t="s">
        <v>410</v>
      </c>
      <c r="D184" s="137" t="s">
        <v>425</v>
      </c>
      <c r="E184" s="138" t="s">
        <v>72</v>
      </c>
      <c r="F184" s="139" t="s">
        <v>87</v>
      </c>
      <c r="G184" s="140" t="s">
        <v>730</v>
      </c>
      <c r="H184" s="141" t="s">
        <v>722</v>
      </c>
      <c r="I184" s="142" t="s">
        <v>72</v>
      </c>
      <c r="J184" s="249" t="s">
        <v>723</v>
      </c>
      <c r="K184" s="229" t="s">
        <v>498</v>
      </c>
      <c r="L184" s="230" t="s">
        <v>527</v>
      </c>
      <c r="M184" s="145" t="s">
        <v>413</v>
      </c>
      <c r="N184" s="229" t="s">
        <v>418</v>
      </c>
      <c r="O184" s="153"/>
      <c r="P184" s="201" t="s">
        <v>48</v>
      </c>
      <c r="Q184" s="147" t="s">
        <v>48</v>
      </c>
      <c r="R184" s="148"/>
      <c r="S184" s="149" t="s">
        <v>914</v>
      </c>
    </row>
    <row r="185" spans="1:19" ht="18.75" customHeight="1" x14ac:dyDescent="0.25">
      <c r="A185" s="135">
        <v>373</v>
      </c>
      <c r="B185" s="136" t="s">
        <v>427</v>
      </c>
      <c r="C185" s="137" t="s">
        <v>410</v>
      </c>
      <c r="D185" s="137" t="s">
        <v>428</v>
      </c>
      <c r="E185" s="138" t="s">
        <v>72</v>
      </c>
      <c r="F185" s="139" t="s">
        <v>99</v>
      </c>
      <c r="G185" s="140" t="s">
        <v>746</v>
      </c>
      <c r="H185" s="141" t="s">
        <v>722</v>
      </c>
      <c r="I185" s="142" t="s">
        <v>72</v>
      </c>
      <c r="J185" s="143" t="s">
        <v>752</v>
      </c>
      <c r="K185" s="229" t="s">
        <v>915</v>
      </c>
      <c r="L185" s="230" t="s">
        <v>418</v>
      </c>
      <c r="M185" s="145" t="s">
        <v>912</v>
      </c>
      <c r="N185" s="229" t="s">
        <v>418</v>
      </c>
      <c r="O185" s="153"/>
      <c r="P185" s="201" t="s">
        <v>48</v>
      </c>
      <c r="Q185" s="147" t="s">
        <v>48</v>
      </c>
      <c r="R185" s="148"/>
      <c r="S185" s="149" t="s">
        <v>916</v>
      </c>
    </row>
    <row r="186" spans="1:19" ht="18.75" customHeight="1" x14ac:dyDescent="0.25">
      <c r="A186" s="135">
        <v>374</v>
      </c>
      <c r="B186" s="136" t="s">
        <v>429</v>
      </c>
      <c r="C186" s="137" t="s">
        <v>410</v>
      </c>
      <c r="D186" s="137" t="s">
        <v>430</v>
      </c>
      <c r="E186" s="138" t="s">
        <v>43</v>
      </c>
      <c r="F186" s="139" t="s">
        <v>73</v>
      </c>
      <c r="G186" s="140" t="s">
        <v>45</v>
      </c>
      <c r="H186" s="141" t="s">
        <v>767</v>
      </c>
      <c r="I186" s="142" t="s">
        <v>72</v>
      </c>
      <c r="J186" s="143" t="s">
        <v>737</v>
      </c>
      <c r="K186" s="229" t="s">
        <v>909</v>
      </c>
      <c r="L186" s="230" t="s">
        <v>917</v>
      </c>
      <c r="M186" s="145" t="s">
        <v>413</v>
      </c>
      <c r="N186" s="229" t="s">
        <v>418</v>
      </c>
      <c r="O186" s="153"/>
      <c r="P186" s="201" t="s">
        <v>48</v>
      </c>
      <c r="Q186" s="147" t="s">
        <v>48</v>
      </c>
      <c r="R186" s="148"/>
      <c r="S186" s="149" t="s">
        <v>918</v>
      </c>
    </row>
    <row r="187" spans="1:19" ht="18.75" customHeight="1" x14ac:dyDescent="0.25">
      <c r="A187" s="135">
        <v>376</v>
      </c>
      <c r="B187" s="136" t="s">
        <v>433</v>
      </c>
      <c r="C187" s="137" t="s">
        <v>410</v>
      </c>
      <c r="D187" s="137" t="s">
        <v>37</v>
      </c>
      <c r="E187" s="138" t="s">
        <v>43</v>
      </c>
      <c r="F187" s="139" t="s">
        <v>67</v>
      </c>
      <c r="G187" s="140" t="s">
        <v>45</v>
      </c>
      <c r="H187" s="141" t="s">
        <v>767</v>
      </c>
      <c r="I187" s="142" t="s">
        <v>43</v>
      </c>
      <c r="J187" s="143" t="s">
        <v>737</v>
      </c>
      <c r="K187" s="229" t="s">
        <v>915</v>
      </c>
      <c r="L187" s="230" t="s">
        <v>418</v>
      </c>
      <c r="M187" s="145" t="s">
        <v>413</v>
      </c>
      <c r="N187" s="229" t="s">
        <v>418</v>
      </c>
      <c r="O187" s="153"/>
      <c r="P187" s="201" t="s">
        <v>48</v>
      </c>
      <c r="Q187" s="147" t="s">
        <v>48</v>
      </c>
      <c r="R187" s="148"/>
      <c r="S187" s="149" t="s">
        <v>919</v>
      </c>
    </row>
    <row r="188" spans="1:19" ht="18.75" customHeight="1" x14ac:dyDescent="0.25">
      <c r="A188" s="135">
        <v>371</v>
      </c>
      <c r="B188" s="136" t="s">
        <v>90</v>
      </c>
      <c r="C188" s="137" t="s">
        <v>1861</v>
      </c>
      <c r="D188" s="137" t="s">
        <v>91</v>
      </c>
      <c r="E188" s="138" t="s">
        <v>43</v>
      </c>
      <c r="F188" s="139" t="s">
        <v>88</v>
      </c>
      <c r="G188" s="140" t="s">
        <v>746</v>
      </c>
      <c r="H188" s="141" t="s">
        <v>722</v>
      </c>
      <c r="I188" s="142" t="s">
        <v>43</v>
      </c>
      <c r="J188" s="249" t="s">
        <v>752</v>
      </c>
      <c r="K188" s="229" t="s">
        <v>915</v>
      </c>
      <c r="L188" s="230" t="s">
        <v>418</v>
      </c>
      <c r="M188" s="145" t="s">
        <v>912</v>
      </c>
      <c r="N188" s="229" t="s">
        <v>418</v>
      </c>
      <c r="O188" s="154"/>
      <c r="P188" s="181" t="s">
        <v>48</v>
      </c>
      <c r="Q188" s="147" t="s">
        <v>48</v>
      </c>
      <c r="R188" s="148"/>
      <c r="S188" s="149" t="s">
        <v>916</v>
      </c>
    </row>
    <row r="189" spans="1:19" ht="18.75" customHeight="1" x14ac:dyDescent="0.25">
      <c r="A189" s="135">
        <v>12</v>
      </c>
      <c r="B189" s="136" t="s">
        <v>436</v>
      </c>
      <c r="C189" s="137" t="s">
        <v>907</v>
      </c>
      <c r="D189" s="137" t="s">
        <v>417</v>
      </c>
      <c r="E189" s="138" t="s">
        <v>43</v>
      </c>
      <c r="F189" s="139" t="s">
        <v>88</v>
      </c>
      <c r="G189" s="140" t="s">
        <v>746</v>
      </c>
      <c r="H189" s="141" t="s">
        <v>722</v>
      </c>
      <c r="I189" s="142" t="s">
        <v>43</v>
      </c>
      <c r="J189" s="143" t="s">
        <v>737</v>
      </c>
      <c r="K189" s="234" t="s">
        <v>760</v>
      </c>
      <c r="L189" s="157" t="s">
        <v>760</v>
      </c>
      <c r="M189" s="153" t="s">
        <v>882</v>
      </c>
      <c r="N189" s="152" t="s">
        <v>940</v>
      </c>
      <c r="O189" s="154" t="s">
        <v>940</v>
      </c>
      <c r="P189" s="201" t="s">
        <v>48</v>
      </c>
      <c r="Q189" s="147" t="s">
        <v>48</v>
      </c>
      <c r="R189" s="148"/>
      <c r="S189" s="149" t="s">
        <v>941</v>
      </c>
    </row>
    <row r="190" spans="1:19" ht="18.75" customHeight="1" x14ac:dyDescent="0.25">
      <c r="A190" s="163" t="s">
        <v>439</v>
      </c>
      <c r="B190" s="164"/>
      <c r="C190" s="165" t="s">
        <v>439</v>
      </c>
      <c r="D190" s="165"/>
      <c r="E190" s="163"/>
      <c r="F190" s="164"/>
      <c r="G190" s="164"/>
      <c r="H190" s="164"/>
      <c r="I190" s="165"/>
      <c r="J190" s="474"/>
      <c r="K190" s="167"/>
      <c r="L190" s="168"/>
      <c r="M190" s="169"/>
      <c r="N190" s="170"/>
      <c r="O190" s="183"/>
      <c r="P190" s="171"/>
      <c r="Q190" s="172"/>
      <c r="R190" s="173"/>
      <c r="S190" s="174"/>
    </row>
    <row r="191" spans="1:19" ht="18.75" customHeight="1" x14ac:dyDescent="0.25">
      <c r="A191" s="135">
        <v>4</v>
      </c>
      <c r="B191" s="136" t="s">
        <v>440</v>
      </c>
      <c r="C191" s="137" t="s">
        <v>439</v>
      </c>
      <c r="D191" s="137" t="s">
        <v>441</v>
      </c>
      <c r="E191" s="138" t="s">
        <v>72</v>
      </c>
      <c r="F191" s="139" t="s">
        <v>87</v>
      </c>
      <c r="G191" s="140" t="s">
        <v>746</v>
      </c>
      <c r="H191" s="141" t="s">
        <v>722</v>
      </c>
      <c r="I191" s="142" t="s">
        <v>43</v>
      </c>
      <c r="J191" s="143" t="s">
        <v>752</v>
      </c>
      <c r="K191" s="150" t="s">
        <v>413</v>
      </c>
      <c r="L191" s="155" t="s">
        <v>118</v>
      </c>
      <c r="M191" s="153" t="s">
        <v>920</v>
      </c>
      <c r="N191" s="232" t="s">
        <v>443</v>
      </c>
      <c r="O191" s="154" t="s">
        <v>48</v>
      </c>
      <c r="P191" s="147" t="s">
        <v>48</v>
      </c>
      <c r="Q191" s="147" t="s">
        <v>48</v>
      </c>
      <c r="R191" s="148"/>
      <c r="S191" s="149"/>
    </row>
    <row r="192" spans="1:19" ht="18.75" customHeight="1" x14ac:dyDescent="0.25">
      <c r="A192" s="135">
        <v>342</v>
      </c>
      <c r="B192" s="136" t="s">
        <v>445</v>
      </c>
      <c r="C192" s="137" t="s">
        <v>439</v>
      </c>
      <c r="D192" s="137" t="s">
        <v>446</v>
      </c>
      <c r="E192" s="138" t="s">
        <v>72</v>
      </c>
      <c r="F192" s="139" t="s">
        <v>99</v>
      </c>
      <c r="G192" s="140" t="s">
        <v>746</v>
      </c>
      <c r="H192" s="141" t="s">
        <v>722</v>
      </c>
      <c r="I192" s="142" t="s">
        <v>43</v>
      </c>
      <c r="J192" s="143" t="s">
        <v>720</v>
      </c>
      <c r="K192" s="150" t="s">
        <v>413</v>
      </c>
      <c r="L192" s="157" t="s">
        <v>413</v>
      </c>
      <c r="M192" s="153" t="s">
        <v>923</v>
      </c>
      <c r="N192" s="232" t="s">
        <v>443</v>
      </c>
      <c r="O192" s="154" t="s">
        <v>48</v>
      </c>
      <c r="P192" s="201" t="s">
        <v>48</v>
      </c>
      <c r="Q192" s="147" t="s">
        <v>48</v>
      </c>
      <c r="R192" s="148"/>
      <c r="S192" s="149" t="s">
        <v>924</v>
      </c>
    </row>
    <row r="193" spans="1:19" ht="18.75" customHeight="1" x14ac:dyDescent="0.25">
      <c r="A193" s="135">
        <v>5</v>
      </c>
      <c r="B193" s="136" t="s">
        <v>449</v>
      </c>
      <c r="C193" s="137" t="s">
        <v>921</v>
      </c>
      <c r="D193" s="137" t="s">
        <v>450</v>
      </c>
      <c r="E193" s="138" t="s">
        <v>43</v>
      </c>
      <c r="F193" s="139" t="s">
        <v>88</v>
      </c>
      <c r="G193" s="140" t="s">
        <v>45</v>
      </c>
      <c r="H193" s="141" t="s">
        <v>719</v>
      </c>
      <c r="I193" s="142" t="s">
        <v>72</v>
      </c>
      <c r="J193" s="143" t="s">
        <v>720</v>
      </c>
      <c r="K193" s="150" t="s">
        <v>413</v>
      </c>
      <c r="L193" s="155" t="s">
        <v>840</v>
      </c>
      <c r="M193" s="153" t="s">
        <v>920</v>
      </c>
      <c r="N193" s="232" t="s">
        <v>95</v>
      </c>
      <c r="O193" s="154" t="s">
        <v>451</v>
      </c>
      <c r="P193" s="187" t="s">
        <v>95</v>
      </c>
      <c r="Q193" s="147" t="s">
        <v>48</v>
      </c>
      <c r="R193" s="148" t="s">
        <v>735</v>
      </c>
      <c r="S193" s="149" t="s">
        <v>922</v>
      </c>
    </row>
    <row r="194" spans="1:19" ht="18.75" customHeight="1" x14ac:dyDescent="0.25">
      <c r="A194" s="163" t="s">
        <v>454</v>
      </c>
      <c r="B194" s="164"/>
      <c r="C194" s="165" t="s">
        <v>454</v>
      </c>
      <c r="D194" s="165"/>
      <c r="E194" s="163"/>
      <c r="F194" s="164"/>
      <c r="G194" s="164"/>
      <c r="H194" s="164"/>
      <c r="I194" s="165"/>
      <c r="J194" s="166"/>
      <c r="K194" s="167"/>
      <c r="L194" s="168"/>
      <c r="M194" s="169"/>
      <c r="N194" s="170"/>
      <c r="O194" s="169"/>
      <c r="P194" s="171"/>
      <c r="Q194" s="172"/>
      <c r="R194" s="173"/>
      <c r="S194" s="174"/>
    </row>
    <row r="195" spans="1:19" ht="18.75" customHeight="1" x14ac:dyDescent="0.25">
      <c r="A195" s="135">
        <v>45</v>
      </c>
      <c r="B195" s="136" t="s">
        <v>455</v>
      </c>
      <c r="C195" s="137" t="s">
        <v>454</v>
      </c>
      <c r="D195" s="137" t="s">
        <v>456</v>
      </c>
      <c r="E195" s="138" t="s">
        <v>43</v>
      </c>
      <c r="F195" s="139" t="s">
        <v>73</v>
      </c>
      <c r="G195" s="140" t="s">
        <v>799</v>
      </c>
      <c r="H195" s="141" t="s">
        <v>722</v>
      </c>
      <c r="I195" s="142" t="s">
        <v>43</v>
      </c>
      <c r="J195" s="249" t="s">
        <v>737</v>
      </c>
      <c r="K195" s="150" t="s">
        <v>413</v>
      </c>
      <c r="L195" s="157" t="s">
        <v>413</v>
      </c>
      <c r="M195" s="153" t="s">
        <v>925</v>
      </c>
      <c r="N195" s="152" t="s">
        <v>457</v>
      </c>
      <c r="O195" s="154" t="s">
        <v>458</v>
      </c>
      <c r="P195" s="489" t="s">
        <v>95</v>
      </c>
      <c r="Q195" s="147" t="s">
        <v>48</v>
      </c>
      <c r="R195" s="148" t="s">
        <v>735</v>
      </c>
      <c r="S195" s="149" t="s">
        <v>926</v>
      </c>
    </row>
    <row r="196" spans="1:19" ht="18.75" customHeight="1" x14ac:dyDescent="0.25">
      <c r="A196" s="135">
        <v>221</v>
      </c>
      <c r="B196" s="136" t="s">
        <v>193</v>
      </c>
      <c r="C196" s="137" t="s">
        <v>1855</v>
      </c>
      <c r="D196" s="137" t="s">
        <v>50</v>
      </c>
      <c r="E196" s="138" t="s">
        <v>72</v>
      </c>
      <c r="F196" s="139" t="s">
        <v>104</v>
      </c>
      <c r="G196" s="140" t="s">
        <v>45</v>
      </c>
      <c r="H196" s="141" t="s">
        <v>722</v>
      </c>
      <c r="I196" s="142" t="s">
        <v>72</v>
      </c>
      <c r="J196" s="143" t="s">
        <v>738</v>
      </c>
      <c r="K196" s="224" t="s">
        <v>721</v>
      </c>
      <c r="L196" s="220" t="s">
        <v>721</v>
      </c>
      <c r="M196" s="153" t="s">
        <v>927</v>
      </c>
      <c r="N196" s="152" t="s">
        <v>48</v>
      </c>
      <c r="O196" s="153" t="s">
        <v>48</v>
      </c>
      <c r="P196" s="461" t="s">
        <v>810</v>
      </c>
      <c r="Q196" s="147" t="s">
        <v>48</v>
      </c>
      <c r="R196" s="148" t="s">
        <v>735</v>
      </c>
      <c r="S196" s="149" t="s">
        <v>928</v>
      </c>
    </row>
    <row r="197" spans="1:19" ht="18.75" customHeight="1" x14ac:dyDescent="0.25">
      <c r="A197" s="163" t="s">
        <v>460</v>
      </c>
      <c r="B197" s="164"/>
      <c r="C197" s="165" t="s">
        <v>460</v>
      </c>
      <c r="D197" s="165"/>
      <c r="E197" s="163"/>
      <c r="F197" s="164"/>
      <c r="G197" s="164"/>
      <c r="H197" s="164"/>
      <c r="I197" s="165"/>
      <c r="J197" s="474"/>
      <c r="K197" s="167"/>
      <c r="L197" s="168"/>
      <c r="M197" s="169"/>
      <c r="N197" s="170"/>
      <c r="O197" s="169"/>
      <c r="P197" s="171"/>
      <c r="Q197" s="172"/>
      <c r="R197" s="173"/>
      <c r="S197" s="174"/>
    </row>
    <row r="198" spans="1:19" ht="18.75" customHeight="1" x14ac:dyDescent="0.25">
      <c r="A198" s="135">
        <v>104</v>
      </c>
      <c r="B198" s="136" t="s">
        <v>461</v>
      </c>
      <c r="C198" s="137" t="s">
        <v>460</v>
      </c>
      <c r="D198" s="137" t="s">
        <v>462</v>
      </c>
      <c r="E198" s="138" t="s">
        <v>72</v>
      </c>
      <c r="F198" s="139" t="s">
        <v>71</v>
      </c>
      <c r="G198" s="140" t="s">
        <v>45</v>
      </c>
      <c r="H198" s="141" t="s">
        <v>767</v>
      </c>
      <c r="I198" s="142" t="s">
        <v>72</v>
      </c>
      <c r="J198" s="249" t="s">
        <v>752</v>
      </c>
      <c r="K198" s="234" t="s">
        <v>413</v>
      </c>
      <c r="L198" s="235" t="s">
        <v>413</v>
      </c>
      <c r="M198" s="153" t="s">
        <v>925</v>
      </c>
      <c r="N198" s="236" t="s">
        <v>443</v>
      </c>
      <c r="O198" s="244" t="s">
        <v>48</v>
      </c>
      <c r="P198" s="201" t="s">
        <v>48</v>
      </c>
      <c r="Q198" s="238" t="s">
        <v>750</v>
      </c>
      <c r="R198" s="148" t="s">
        <v>735</v>
      </c>
      <c r="S198" s="239" t="s">
        <v>929</v>
      </c>
    </row>
    <row r="199" spans="1:19" ht="18.75" customHeight="1" x14ac:dyDescent="0.25">
      <c r="A199" s="135">
        <v>225</v>
      </c>
      <c r="B199" s="136" t="s">
        <v>464</v>
      </c>
      <c r="C199" s="137" t="s">
        <v>460</v>
      </c>
      <c r="D199" s="137" t="s">
        <v>465</v>
      </c>
      <c r="E199" s="138" t="s">
        <v>72</v>
      </c>
      <c r="F199" s="139" t="s">
        <v>71</v>
      </c>
      <c r="G199" s="140" t="s">
        <v>45</v>
      </c>
      <c r="H199" s="141" t="s">
        <v>767</v>
      </c>
      <c r="I199" s="142" t="s">
        <v>72</v>
      </c>
      <c r="J199" s="143" t="s">
        <v>737</v>
      </c>
      <c r="K199" s="234" t="s">
        <v>413</v>
      </c>
      <c r="L199" s="235" t="s">
        <v>413</v>
      </c>
      <c r="M199" s="153" t="s">
        <v>925</v>
      </c>
      <c r="N199" s="236" t="s">
        <v>118</v>
      </c>
      <c r="O199" s="237" t="s">
        <v>48</v>
      </c>
      <c r="P199" s="147" t="s">
        <v>48</v>
      </c>
      <c r="Q199" s="147" t="s">
        <v>48</v>
      </c>
      <c r="R199" s="148"/>
      <c r="S199" s="239" t="s">
        <v>932</v>
      </c>
    </row>
    <row r="200" spans="1:19" ht="18.75" customHeight="1" x14ac:dyDescent="0.25">
      <c r="A200" s="215">
        <v>346</v>
      </c>
      <c r="B200" s="214" t="s">
        <v>467</v>
      </c>
      <c r="C200" s="137" t="s">
        <v>460</v>
      </c>
      <c r="D200" s="137" t="s">
        <v>462</v>
      </c>
      <c r="E200" s="138" t="s">
        <v>72</v>
      </c>
      <c r="F200" s="139" t="s">
        <v>104</v>
      </c>
      <c r="G200" s="242" t="s">
        <v>794</v>
      </c>
      <c r="H200" s="141" t="s">
        <v>767</v>
      </c>
      <c r="I200" s="142" t="s">
        <v>72</v>
      </c>
      <c r="J200" s="143" t="s">
        <v>738</v>
      </c>
      <c r="K200" s="234" t="s">
        <v>413</v>
      </c>
      <c r="L200" s="243" t="s">
        <v>792</v>
      </c>
      <c r="M200" s="153" t="s">
        <v>48</v>
      </c>
      <c r="N200" s="236" t="s">
        <v>443</v>
      </c>
      <c r="O200" s="154" t="s">
        <v>55</v>
      </c>
      <c r="P200" s="147" t="s">
        <v>48</v>
      </c>
      <c r="Q200" s="147" t="s">
        <v>48</v>
      </c>
      <c r="R200" s="241"/>
      <c r="S200" s="239" t="s">
        <v>933</v>
      </c>
    </row>
    <row r="201" spans="1:19" ht="18.75" customHeight="1" x14ac:dyDescent="0.25">
      <c r="A201" s="159">
        <v>347</v>
      </c>
      <c r="B201" s="214" t="s">
        <v>833</v>
      </c>
      <c r="C201" s="137" t="s">
        <v>1857</v>
      </c>
      <c r="D201" s="137" t="s">
        <v>270</v>
      </c>
      <c r="E201" s="138" t="s">
        <v>72</v>
      </c>
      <c r="F201" s="139" t="s">
        <v>87</v>
      </c>
      <c r="G201" s="140" t="s">
        <v>751</v>
      </c>
      <c r="H201" s="141" t="s">
        <v>722</v>
      </c>
      <c r="I201" s="142" t="s">
        <v>72</v>
      </c>
      <c r="J201" s="143" t="s">
        <v>752</v>
      </c>
      <c r="K201" s="234" t="s">
        <v>413</v>
      </c>
      <c r="L201" s="235" t="s">
        <v>413</v>
      </c>
      <c r="M201" s="244" t="s">
        <v>48</v>
      </c>
      <c r="N201" s="236" t="s">
        <v>48</v>
      </c>
      <c r="O201" s="237" t="s">
        <v>48</v>
      </c>
      <c r="P201" s="147" t="s">
        <v>48</v>
      </c>
      <c r="Q201" s="147" t="s">
        <v>48</v>
      </c>
      <c r="R201" s="241"/>
      <c r="S201" s="239" t="s">
        <v>934</v>
      </c>
    </row>
    <row r="202" spans="1:19" ht="18.75" customHeight="1" x14ac:dyDescent="0.25">
      <c r="A202" s="135">
        <v>110</v>
      </c>
      <c r="B202" s="136" t="s">
        <v>471</v>
      </c>
      <c r="C202" s="137" t="s">
        <v>930</v>
      </c>
      <c r="D202" s="137" t="s">
        <v>446</v>
      </c>
      <c r="E202" s="138" t="s">
        <v>72</v>
      </c>
      <c r="F202" s="139" t="s">
        <v>99</v>
      </c>
      <c r="G202" s="140" t="s">
        <v>746</v>
      </c>
      <c r="H202" s="141" t="s">
        <v>722</v>
      </c>
      <c r="I202" s="142" t="s">
        <v>43</v>
      </c>
      <c r="J202" s="143" t="s">
        <v>752</v>
      </c>
      <c r="K202" s="234" t="s">
        <v>413</v>
      </c>
      <c r="L202" s="240" t="s">
        <v>931</v>
      </c>
      <c r="M202" s="153" t="s">
        <v>48</v>
      </c>
      <c r="N202" s="236" t="s">
        <v>48</v>
      </c>
      <c r="O202" s="237" t="s">
        <v>48</v>
      </c>
      <c r="P202" s="147" t="s">
        <v>48</v>
      </c>
      <c r="Q202" s="147" t="s">
        <v>48</v>
      </c>
      <c r="R202" s="241"/>
      <c r="S202" s="239"/>
    </row>
    <row r="203" spans="1:19" ht="18.75" customHeight="1" x14ac:dyDescent="0.25">
      <c r="A203" s="163" t="s">
        <v>472</v>
      </c>
      <c r="B203" s="164"/>
      <c r="C203" s="165" t="s">
        <v>472</v>
      </c>
      <c r="D203" s="165"/>
      <c r="E203" s="163"/>
      <c r="F203" s="164"/>
      <c r="G203" s="164"/>
      <c r="H203" s="164"/>
      <c r="I203" s="165"/>
      <c r="J203" s="474"/>
      <c r="K203" s="167"/>
      <c r="L203" s="168"/>
      <c r="M203" s="169"/>
      <c r="N203" s="170"/>
      <c r="O203" s="183"/>
      <c r="P203" s="172"/>
      <c r="Q203" s="172"/>
      <c r="R203" s="173"/>
      <c r="S203" s="174"/>
    </row>
    <row r="204" spans="1:19" ht="18.75" customHeight="1" x14ac:dyDescent="0.25">
      <c r="A204" s="135">
        <v>6</v>
      </c>
      <c r="B204" s="136" t="s">
        <v>473</v>
      </c>
      <c r="C204" s="137" t="s">
        <v>472</v>
      </c>
      <c r="D204" s="137" t="s">
        <v>417</v>
      </c>
      <c r="E204" s="138" t="s">
        <v>43</v>
      </c>
      <c r="F204" s="139" t="s">
        <v>88</v>
      </c>
      <c r="G204" s="140" t="s">
        <v>746</v>
      </c>
      <c r="H204" s="141" t="s">
        <v>719</v>
      </c>
      <c r="I204" s="142" t="s">
        <v>72</v>
      </c>
      <c r="J204" s="249" t="s">
        <v>723</v>
      </c>
      <c r="K204" s="234" t="s">
        <v>413</v>
      </c>
      <c r="L204" s="157" t="s">
        <v>858</v>
      </c>
      <c r="M204" s="153" t="s">
        <v>882</v>
      </c>
      <c r="N204" s="152" t="s">
        <v>162</v>
      </c>
      <c r="O204" s="153" t="s">
        <v>162</v>
      </c>
      <c r="P204" s="201" t="s">
        <v>48</v>
      </c>
      <c r="Q204" s="147" t="s">
        <v>48</v>
      </c>
      <c r="R204" s="148"/>
      <c r="S204" s="149" t="s">
        <v>935</v>
      </c>
    </row>
    <row r="205" spans="1:19" ht="18.75" customHeight="1" x14ac:dyDescent="0.25">
      <c r="A205" s="135">
        <v>7</v>
      </c>
      <c r="B205" s="136" t="s">
        <v>476</v>
      </c>
      <c r="C205" s="137" t="s">
        <v>472</v>
      </c>
      <c r="D205" s="137" t="s">
        <v>417</v>
      </c>
      <c r="E205" s="138" t="s">
        <v>43</v>
      </c>
      <c r="F205" s="139" t="s">
        <v>88</v>
      </c>
      <c r="G205" s="140" t="s">
        <v>746</v>
      </c>
      <c r="H205" s="141" t="s">
        <v>719</v>
      </c>
      <c r="I205" s="142" t="s">
        <v>43</v>
      </c>
      <c r="J205" s="143" t="s">
        <v>737</v>
      </c>
      <c r="K205" s="234" t="s">
        <v>760</v>
      </c>
      <c r="L205" s="157" t="s">
        <v>936</v>
      </c>
      <c r="M205" s="154" t="s">
        <v>882</v>
      </c>
      <c r="N205" s="158" t="s">
        <v>118</v>
      </c>
      <c r="O205" s="154" t="s">
        <v>162</v>
      </c>
      <c r="P205" s="147" t="s">
        <v>48</v>
      </c>
      <c r="Q205" s="147" t="s">
        <v>48</v>
      </c>
      <c r="R205" s="148"/>
      <c r="S205" s="149" t="s">
        <v>937</v>
      </c>
    </row>
    <row r="206" spans="1:19" ht="18.75" customHeight="1" x14ac:dyDescent="0.25">
      <c r="A206" s="135">
        <v>8</v>
      </c>
      <c r="B206" s="136" t="s">
        <v>478</v>
      </c>
      <c r="C206" s="137" t="s">
        <v>472</v>
      </c>
      <c r="D206" s="137" t="s">
        <v>479</v>
      </c>
      <c r="E206" s="138" t="s">
        <v>43</v>
      </c>
      <c r="F206" s="139" t="s">
        <v>88</v>
      </c>
      <c r="G206" s="140" t="s">
        <v>746</v>
      </c>
      <c r="H206" s="141" t="s">
        <v>719</v>
      </c>
      <c r="I206" s="142" t="s">
        <v>43</v>
      </c>
      <c r="J206" s="143" t="s">
        <v>737</v>
      </c>
      <c r="K206" s="234" t="s">
        <v>413</v>
      </c>
      <c r="L206" s="157" t="s">
        <v>760</v>
      </c>
      <c r="M206" s="154" t="s">
        <v>882</v>
      </c>
      <c r="N206" s="158" t="s">
        <v>113</v>
      </c>
      <c r="O206" s="154" t="s">
        <v>162</v>
      </c>
      <c r="P206" s="486" t="s">
        <v>113</v>
      </c>
      <c r="Q206" s="147" t="s">
        <v>48</v>
      </c>
      <c r="R206" s="148" t="s">
        <v>735</v>
      </c>
      <c r="S206" s="149" t="s">
        <v>938</v>
      </c>
    </row>
    <row r="207" spans="1:19" ht="18.75" customHeight="1" x14ac:dyDescent="0.25">
      <c r="A207" s="135">
        <v>9</v>
      </c>
      <c r="B207" s="136" t="s">
        <v>480</v>
      </c>
      <c r="C207" s="137" t="s">
        <v>472</v>
      </c>
      <c r="D207" s="137" t="s">
        <v>417</v>
      </c>
      <c r="E207" s="138" t="s">
        <v>43</v>
      </c>
      <c r="F207" s="139" t="s">
        <v>88</v>
      </c>
      <c r="G207" s="140" t="s">
        <v>88</v>
      </c>
      <c r="H207" s="141" t="s">
        <v>719</v>
      </c>
      <c r="I207" s="142" t="s">
        <v>43</v>
      </c>
      <c r="J207" s="143" t="s">
        <v>737</v>
      </c>
      <c r="K207" s="234" t="s">
        <v>760</v>
      </c>
      <c r="L207" s="157" t="s">
        <v>840</v>
      </c>
      <c r="M207" s="154" t="s">
        <v>882</v>
      </c>
      <c r="N207" s="158" t="s">
        <v>118</v>
      </c>
      <c r="O207" s="154" t="s">
        <v>118</v>
      </c>
      <c r="P207" s="147" t="s">
        <v>48</v>
      </c>
      <c r="Q207" s="147" t="s">
        <v>48</v>
      </c>
      <c r="R207" s="148"/>
      <c r="S207" s="149" t="s">
        <v>938</v>
      </c>
    </row>
    <row r="208" spans="1:19" ht="18.75" customHeight="1" x14ac:dyDescent="0.25">
      <c r="A208" s="135">
        <v>11</v>
      </c>
      <c r="B208" s="136" t="s">
        <v>481</v>
      </c>
      <c r="C208" s="137" t="s">
        <v>472</v>
      </c>
      <c r="D208" s="137" t="s">
        <v>417</v>
      </c>
      <c r="E208" s="138" t="s">
        <v>43</v>
      </c>
      <c r="F208" s="139" t="s">
        <v>88</v>
      </c>
      <c r="G208" s="140" t="s">
        <v>730</v>
      </c>
      <c r="H208" s="141" t="s">
        <v>722</v>
      </c>
      <c r="I208" s="142" t="s">
        <v>72</v>
      </c>
      <c r="J208" s="143" t="s">
        <v>723</v>
      </c>
      <c r="K208" s="234" t="s">
        <v>760</v>
      </c>
      <c r="L208" s="157" t="s">
        <v>840</v>
      </c>
      <c r="M208" s="154" t="s">
        <v>882</v>
      </c>
      <c r="N208" s="158" t="s">
        <v>118</v>
      </c>
      <c r="O208" s="154" t="s">
        <v>162</v>
      </c>
      <c r="P208" s="147" t="s">
        <v>48</v>
      </c>
      <c r="Q208" s="147" t="s">
        <v>48</v>
      </c>
      <c r="R208" s="148"/>
      <c r="S208" s="149" t="s">
        <v>939</v>
      </c>
    </row>
    <row r="209" spans="1:19" ht="18.75" customHeight="1" x14ac:dyDescent="0.25">
      <c r="A209" s="135">
        <v>12</v>
      </c>
      <c r="B209" s="136" t="s">
        <v>436</v>
      </c>
      <c r="C209" s="137" t="s">
        <v>1826</v>
      </c>
      <c r="D209" s="137" t="s">
        <v>417</v>
      </c>
      <c r="E209" s="138" t="s">
        <v>43</v>
      </c>
      <c r="F209" s="139" t="s">
        <v>88</v>
      </c>
      <c r="G209" s="140" t="s">
        <v>746</v>
      </c>
      <c r="H209" s="141" t="s">
        <v>722</v>
      </c>
      <c r="I209" s="142" t="s">
        <v>43</v>
      </c>
      <c r="J209" s="143" t="s">
        <v>737</v>
      </c>
      <c r="K209" s="229" t="s">
        <v>498</v>
      </c>
      <c r="L209" s="230" t="s">
        <v>498</v>
      </c>
      <c r="M209" s="231" t="s">
        <v>413</v>
      </c>
      <c r="N209" s="230" t="s">
        <v>418</v>
      </c>
      <c r="O209" s="154"/>
      <c r="P209" s="147" t="s">
        <v>48</v>
      </c>
      <c r="Q209" s="147" t="s">
        <v>48</v>
      </c>
      <c r="R209" s="148"/>
      <c r="S209" s="149" t="s">
        <v>908</v>
      </c>
    </row>
    <row r="210" spans="1:19" ht="18.75" customHeight="1" x14ac:dyDescent="0.25">
      <c r="A210" s="163" t="s">
        <v>482</v>
      </c>
      <c r="B210" s="164"/>
      <c r="C210" s="165" t="s">
        <v>482</v>
      </c>
      <c r="D210" s="165"/>
      <c r="E210" s="163"/>
      <c r="F210" s="164"/>
      <c r="G210" s="164"/>
      <c r="H210" s="164"/>
      <c r="I210" s="165"/>
      <c r="J210" s="474"/>
      <c r="K210" s="167"/>
      <c r="L210" s="168"/>
      <c r="M210" s="183"/>
      <c r="N210" s="481"/>
      <c r="O210" s="183"/>
      <c r="P210" s="172"/>
      <c r="Q210" s="172"/>
      <c r="R210" s="173"/>
      <c r="S210" s="174"/>
    </row>
    <row r="211" spans="1:19" ht="18.75" customHeight="1" x14ac:dyDescent="0.25">
      <c r="A211" s="135">
        <v>146</v>
      </c>
      <c r="B211" s="136" t="s">
        <v>483</v>
      </c>
      <c r="C211" s="137" t="s">
        <v>482</v>
      </c>
      <c r="D211" s="137" t="s">
        <v>484</v>
      </c>
      <c r="E211" s="138" t="s">
        <v>43</v>
      </c>
      <c r="F211" s="139" t="s">
        <v>71</v>
      </c>
      <c r="G211" s="140" t="s">
        <v>730</v>
      </c>
      <c r="H211" s="141" t="s">
        <v>722</v>
      </c>
      <c r="I211" s="142" t="s">
        <v>43</v>
      </c>
      <c r="J211" s="143" t="s">
        <v>738</v>
      </c>
      <c r="K211" s="152" t="s">
        <v>815</v>
      </c>
      <c r="L211" s="158" t="s">
        <v>256</v>
      </c>
      <c r="M211" s="154" t="s">
        <v>889</v>
      </c>
      <c r="N211" s="158" t="s">
        <v>246</v>
      </c>
      <c r="O211" s="154" t="s">
        <v>246</v>
      </c>
      <c r="P211" s="147" t="s">
        <v>48</v>
      </c>
      <c r="Q211" s="147" t="s">
        <v>942</v>
      </c>
      <c r="R211" s="148"/>
      <c r="S211" s="149" t="s">
        <v>943</v>
      </c>
    </row>
    <row r="212" spans="1:19" ht="18.75" customHeight="1" x14ac:dyDescent="0.25">
      <c r="A212" s="135">
        <v>147</v>
      </c>
      <c r="B212" s="136" t="s">
        <v>485</v>
      </c>
      <c r="C212" s="137" t="s">
        <v>482</v>
      </c>
      <c r="D212" s="137" t="s">
        <v>484</v>
      </c>
      <c r="E212" s="138" t="s">
        <v>72</v>
      </c>
      <c r="F212" s="139" t="s">
        <v>99</v>
      </c>
      <c r="G212" s="140" t="s">
        <v>730</v>
      </c>
      <c r="H212" s="141" t="s">
        <v>722</v>
      </c>
      <c r="I212" s="142" t="s">
        <v>43</v>
      </c>
      <c r="J212" s="143" t="s">
        <v>752</v>
      </c>
      <c r="K212" s="152" t="s">
        <v>527</v>
      </c>
      <c r="L212" s="158" t="s">
        <v>256</v>
      </c>
      <c r="M212" s="154" t="s">
        <v>889</v>
      </c>
      <c r="N212" s="158" t="s">
        <v>246</v>
      </c>
      <c r="O212" s="154" t="s">
        <v>246</v>
      </c>
      <c r="P212" s="147" t="s">
        <v>48</v>
      </c>
      <c r="Q212" s="147" t="s">
        <v>48</v>
      </c>
      <c r="R212" s="148"/>
      <c r="S212" s="149" t="s">
        <v>944</v>
      </c>
    </row>
    <row r="213" spans="1:19" ht="18.75" customHeight="1" x14ac:dyDescent="0.25">
      <c r="A213" s="135">
        <v>148</v>
      </c>
      <c r="B213" s="136" t="s">
        <v>486</v>
      </c>
      <c r="C213" s="137" t="s">
        <v>482</v>
      </c>
      <c r="D213" s="137" t="s">
        <v>484</v>
      </c>
      <c r="E213" s="138" t="s">
        <v>43</v>
      </c>
      <c r="F213" s="139" t="s">
        <v>71</v>
      </c>
      <c r="G213" s="140" t="s">
        <v>799</v>
      </c>
      <c r="H213" s="141" t="s">
        <v>722</v>
      </c>
      <c r="I213" s="142" t="s">
        <v>43</v>
      </c>
      <c r="J213" s="143" t="s">
        <v>737</v>
      </c>
      <c r="K213" s="152" t="s">
        <v>945</v>
      </c>
      <c r="L213" s="158" t="s">
        <v>256</v>
      </c>
      <c r="M213" s="154" t="s">
        <v>889</v>
      </c>
      <c r="N213" s="158" t="s">
        <v>246</v>
      </c>
      <c r="O213" s="154" t="s">
        <v>246</v>
      </c>
      <c r="P213" s="147" t="s">
        <v>48</v>
      </c>
      <c r="Q213" s="147" t="s">
        <v>48</v>
      </c>
      <c r="R213" s="148"/>
      <c r="S213" s="149" t="s">
        <v>946</v>
      </c>
    </row>
    <row r="214" spans="1:19" ht="18.75" customHeight="1" x14ac:dyDescent="0.25">
      <c r="A214" s="135">
        <v>149</v>
      </c>
      <c r="B214" s="136" t="s">
        <v>487</v>
      </c>
      <c r="C214" s="137" t="s">
        <v>482</v>
      </c>
      <c r="D214" s="137" t="s">
        <v>484</v>
      </c>
      <c r="E214" s="138" t="s">
        <v>72</v>
      </c>
      <c r="F214" s="139" t="s">
        <v>99</v>
      </c>
      <c r="G214" s="140" t="s">
        <v>799</v>
      </c>
      <c r="H214" s="141" t="s">
        <v>722</v>
      </c>
      <c r="I214" s="142" t="s">
        <v>43</v>
      </c>
      <c r="J214" s="143" t="s">
        <v>752</v>
      </c>
      <c r="K214" s="152" t="s">
        <v>527</v>
      </c>
      <c r="L214" s="158" t="s">
        <v>256</v>
      </c>
      <c r="M214" s="154" t="s">
        <v>889</v>
      </c>
      <c r="N214" s="158" t="s">
        <v>246</v>
      </c>
      <c r="O214" s="154" t="s">
        <v>246</v>
      </c>
      <c r="P214" s="147" t="s">
        <v>48</v>
      </c>
      <c r="Q214" s="147" t="s">
        <v>48</v>
      </c>
      <c r="R214" s="148"/>
      <c r="S214" s="149" t="s">
        <v>944</v>
      </c>
    </row>
    <row r="215" spans="1:19" ht="18.75" customHeight="1" x14ac:dyDescent="0.25">
      <c r="A215" s="135">
        <v>150.1</v>
      </c>
      <c r="B215" s="136" t="s">
        <v>488</v>
      </c>
      <c r="C215" s="137" t="s">
        <v>482</v>
      </c>
      <c r="D215" s="137" t="s">
        <v>489</v>
      </c>
      <c r="E215" s="138" t="s">
        <v>43</v>
      </c>
      <c r="F215" s="139" t="s">
        <v>73</v>
      </c>
      <c r="G215" s="140" t="s">
        <v>794</v>
      </c>
      <c r="H215" s="141" t="s">
        <v>722</v>
      </c>
      <c r="I215" s="142" t="s">
        <v>43</v>
      </c>
      <c r="J215" s="143" t="s">
        <v>737</v>
      </c>
      <c r="K215" s="152" t="s">
        <v>498</v>
      </c>
      <c r="L215" s="158" t="s">
        <v>947</v>
      </c>
      <c r="M215" s="154" t="s">
        <v>947</v>
      </c>
      <c r="N215" s="158" t="s">
        <v>256</v>
      </c>
      <c r="O215" s="154" t="s">
        <v>246</v>
      </c>
      <c r="P215" s="147" t="s">
        <v>48</v>
      </c>
      <c r="Q215" s="147" t="s">
        <v>48</v>
      </c>
      <c r="R215" s="148"/>
      <c r="S215" s="246" t="s">
        <v>948</v>
      </c>
    </row>
    <row r="216" spans="1:19" ht="18.75" customHeight="1" x14ac:dyDescent="0.25">
      <c r="A216" s="190">
        <v>150.19999999999999</v>
      </c>
      <c r="B216" s="191" t="s">
        <v>488</v>
      </c>
      <c r="C216" s="192" t="s">
        <v>482</v>
      </c>
      <c r="D216" s="192" t="s">
        <v>489</v>
      </c>
      <c r="E216" s="138" t="s">
        <v>43</v>
      </c>
      <c r="F216" s="139" t="s">
        <v>73</v>
      </c>
      <c r="G216" s="140" t="s">
        <v>794</v>
      </c>
      <c r="H216" s="141" t="s">
        <v>722</v>
      </c>
      <c r="I216" s="142" t="s">
        <v>43</v>
      </c>
      <c r="J216" s="143" t="s">
        <v>720</v>
      </c>
      <c r="K216" s="152"/>
      <c r="L216" s="158"/>
      <c r="M216" s="154"/>
      <c r="N216" s="158"/>
      <c r="O216" s="154"/>
      <c r="P216" s="147" t="s">
        <v>48</v>
      </c>
      <c r="Q216" s="222" t="s">
        <v>48</v>
      </c>
      <c r="R216" s="148"/>
      <c r="S216" s="149"/>
    </row>
    <row r="217" spans="1:19" ht="18.75" customHeight="1" x14ac:dyDescent="0.25">
      <c r="A217" s="135">
        <v>151</v>
      </c>
      <c r="B217" s="136" t="s">
        <v>490</v>
      </c>
      <c r="C217" s="137" t="s">
        <v>482</v>
      </c>
      <c r="D217" s="137" t="s">
        <v>489</v>
      </c>
      <c r="E217" s="138" t="s">
        <v>43</v>
      </c>
      <c r="F217" s="139" t="s">
        <v>73</v>
      </c>
      <c r="G217" s="140" t="s">
        <v>88</v>
      </c>
      <c r="H217" s="141" t="s">
        <v>722</v>
      </c>
      <c r="I217" s="142" t="s">
        <v>43</v>
      </c>
      <c r="J217" s="249" t="s">
        <v>723</v>
      </c>
      <c r="K217" s="152" t="s">
        <v>949</v>
      </c>
      <c r="L217" s="158" t="s">
        <v>950</v>
      </c>
      <c r="M217" s="153" t="s">
        <v>951</v>
      </c>
      <c r="N217" s="152" t="s">
        <v>256</v>
      </c>
      <c r="O217" s="153" t="s">
        <v>246</v>
      </c>
      <c r="P217" s="201" t="s">
        <v>48</v>
      </c>
      <c r="Q217" s="147" t="s">
        <v>48</v>
      </c>
      <c r="R217" s="148" t="s">
        <v>952</v>
      </c>
      <c r="S217" s="246" t="s">
        <v>953</v>
      </c>
    </row>
    <row r="218" spans="1:19" ht="18.75" customHeight="1" x14ac:dyDescent="0.25">
      <c r="A218" s="135">
        <v>155</v>
      </c>
      <c r="B218" s="136" t="s">
        <v>491</v>
      </c>
      <c r="C218" s="137" t="s">
        <v>482</v>
      </c>
      <c r="D218" s="137" t="s">
        <v>492</v>
      </c>
      <c r="E218" s="138" t="s">
        <v>72</v>
      </c>
      <c r="F218" s="139" t="s">
        <v>99</v>
      </c>
      <c r="G218" s="140" t="s">
        <v>88</v>
      </c>
      <c r="H218" s="141" t="s">
        <v>722</v>
      </c>
      <c r="I218" s="142" t="s">
        <v>43</v>
      </c>
      <c r="J218" s="143" t="s">
        <v>752</v>
      </c>
      <c r="K218" s="152" t="s">
        <v>498</v>
      </c>
      <c r="L218" s="158" t="s">
        <v>527</v>
      </c>
      <c r="M218" s="153" t="s">
        <v>889</v>
      </c>
      <c r="N218" s="152" t="s">
        <v>256</v>
      </c>
      <c r="O218" s="154" t="s">
        <v>246</v>
      </c>
      <c r="P218" s="233" t="s">
        <v>48</v>
      </c>
      <c r="Q218" s="147" t="s">
        <v>48</v>
      </c>
      <c r="R218" s="148"/>
      <c r="S218" s="149"/>
    </row>
    <row r="219" spans="1:19" ht="18.75" customHeight="1" x14ac:dyDescent="0.25">
      <c r="A219" s="135">
        <v>156</v>
      </c>
      <c r="B219" s="136" t="s">
        <v>493</v>
      </c>
      <c r="C219" s="137" t="s">
        <v>482</v>
      </c>
      <c r="D219" s="137" t="s">
        <v>294</v>
      </c>
      <c r="E219" s="138" t="s">
        <v>72</v>
      </c>
      <c r="F219" s="139" t="s">
        <v>104</v>
      </c>
      <c r="G219" s="140" t="s">
        <v>45</v>
      </c>
      <c r="H219" s="141" t="s">
        <v>767</v>
      </c>
      <c r="I219" s="142" t="s">
        <v>72</v>
      </c>
      <c r="J219" s="143" t="s">
        <v>737</v>
      </c>
      <c r="K219" s="152" t="s">
        <v>527</v>
      </c>
      <c r="L219" s="158" t="s">
        <v>527</v>
      </c>
      <c r="M219" s="153" t="s">
        <v>889</v>
      </c>
      <c r="N219" s="152" t="s">
        <v>495</v>
      </c>
      <c r="O219" s="154"/>
      <c r="P219" s="201" t="s">
        <v>48</v>
      </c>
      <c r="Q219" s="147" t="s">
        <v>954</v>
      </c>
      <c r="R219" s="148"/>
      <c r="S219" s="149" t="s">
        <v>955</v>
      </c>
    </row>
    <row r="220" spans="1:19" ht="18.75" customHeight="1" x14ac:dyDescent="0.25">
      <c r="A220" s="135">
        <v>167</v>
      </c>
      <c r="B220" s="136" t="s">
        <v>497</v>
      </c>
      <c r="C220" s="137" t="s">
        <v>482</v>
      </c>
      <c r="D220" s="137" t="s">
        <v>484</v>
      </c>
      <c r="E220" s="138" t="s">
        <v>72</v>
      </c>
      <c r="F220" s="139" t="s">
        <v>104</v>
      </c>
      <c r="G220" s="140" t="s">
        <v>45</v>
      </c>
      <c r="H220" s="141" t="s">
        <v>767</v>
      </c>
      <c r="I220" s="142" t="s">
        <v>43</v>
      </c>
      <c r="J220" s="143" t="s">
        <v>737</v>
      </c>
      <c r="K220" s="152" t="s">
        <v>498</v>
      </c>
      <c r="L220" s="158" t="s">
        <v>498</v>
      </c>
      <c r="M220" s="153" t="s">
        <v>498</v>
      </c>
      <c r="N220" s="152" t="s">
        <v>498</v>
      </c>
      <c r="O220" s="154"/>
      <c r="P220" s="233" t="s">
        <v>734</v>
      </c>
      <c r="Q220" s="233" t="s">
        <v>48</v>
      </c>
      <c r="R220" s="148" t="s">
        <v>957</v>
      </c>
      <c r="S220" s="149" t="s">
        <v>958</v>
      </c>
    </row>
    <row r="221" spans="1:19" ht="18.75" customHeight="1" x14ac:dyDescent="0.25">
      <c r="A221" s="135">
        <v>168</v>
      </c>
      <c r="B221" s="136" t="s">
        <v>499</v>
      </c>
      <c r="C221" s="137" t="s">
        <v>482</v>
      </c>
      <c r="D221" s="137" t="s">
        <v>484</v>
      </c>
      <c r="E221" s="138" t="s">
        <v>72</v>
      </c>
      <c r="F221" s="139" t="s">
        <v>104</v>
      </c>
      <c r="G221" s="140" t="s">
        <v>45</v>
      </c>
      <c r="H221" s="141" t="s">
        <v>767</v>
      </c>
      <c r="I221" s="142" t="s">
        <v>43</v>
      </c>
      <c r="J221" s="249" t="s">
        <v>737</v>
      </c>
      <c r="K221" s="152" t="s">
        <v>498</v>
      </c>
      <c r="L221" s="158" t="s">
        <v>498</v>
      </c>
      <c r="M221" s="153" t="s">
        <v>949</v>
      </c>
      <c r="N221" s="152" t="s">
        <v>498</v>
      </c>
      <c r="O221" s="153"/>
      <c r="P221" s="201" t="s">
        <v>734</v>
      </c>
      <c r="Q221" s="147"/>
      <c r="R221" s="148" t="s">
        <v>957</v>
      </c>
      <c r="S221" s="149"/>
    </row>
    <row r="222" spans="1:19" ht="18.75" customHeight="1" x14ac:dyDescent="0.25">
      <c r="A222" s="135">
        <v>169.1</v>
      </c>
      <c r="B222" s="136" t="s">
        <v>500</v>
      </c>
      <c r="C222" s="137" t="s">
        <v>482</v>
      </c>
      <c r="D222" s="137" t="s">
        <v>501</v>
      </c>
      <c r="E222" s="138" t="s">
        <v>72</v>
      </c>
      <c r="F222" s="139" t="s">
        <v>104</v>
      </c>
      <c r="G222" s="140" t="s">
        <v>45</v>
      </c>
      <c r="H222" s="141" t="s">
        <v>767</v>
      </c>
      <c r="I222" s="142" t="s">
        <v>43</v>
      </c>
      <c r="J222" s="143" t="s">
        <v>752</v>
      </c>
      <c r="K222" s="152" t="s">
        <v>498</v>
      </c>
      <c r="L222" s="158" t="s">
        <v>498</v>
      </c>
      <c r="M222" s="153" t="s">
        <v>498</v>
      </c>
      <c r="N222" s="152" t="s">
        <v>498</v>
      </c>
      <c r="O222" s="154"/>
      <c r="P222" s="201" t="s">
        <v>734</v>
      </c>
      <c r="Q222" s="147" t="s">
        <v>48</v>
      </c>
      <c r="R222" s="148" t="s">
        <v>957</v>
      </c>
      <c r="S222" s="149" t="s">
        <v>959</v>
      </c>
    </row>
    <row r="223" spans="1:19" ht="18.75" customHeight="1" x14ac:dyDescent="0.25">
      <c r="A223" s="190">
        <v>169.2</v>
      </c>
      <c r="B223" s="191" t="s">
        <v>500</v>
      </c>
      <c r="C223" s="192" t="s">
        <v>482</v>
      </c>
      <c r="D223" s="192" t="s">
        <v>501</v>
      </c>
      <c r="E223" s="138" t="s">
        <v>72</v>
      </c>
      <c r="F223" s="139" t="s">
        <v>104</v>
      </c>
      <c r="G223" s="140" t="s">
        <v>45</v>
      </c>
      <c r="H223" s="141" t="s">
        <v>767</v>
      </c>
      <c r="I223" s="142" t="s">
        <v>72</v>
      </c>
      <c r="J223" s="143" t="s">
        <v>737</v>
      </c>
      <c r="K223" s="152"/>
      <c r="L223" s="158" t="s">
        <v>256</v>
      </c>
      <c r="M223" s="153" t="s">
        <v>889</v>
      </c>
      <c r="N223" s="152"/>
      <c r="O223" s="154"/>
      <c r="P223" s="181" t="s">
        <v>48</v>
      </c>
      <c r="Q223" s="520" t="s">
        <v>48</v>
      </c>
      <c r="R223" s="148"/>
      <c r="S223" s="149"/>
    </row>
    <row r="224" spans="1:19" ht="18.75" customHeight="1" x14ac:dyDescent="0.25">
      <c r="A224" s="135">
        <v>170</v>
      </c>
      <c r="B224" s="136" t="s">
        <v>502</v>
      </c>
      <c r="C224" s="137" t="s">
        <v>482</v>
      </c>
      <c r="D224" s="137" t="s">
        <v>503</v>
      </c>
      <c r="E224" s="138" t="s">
        <v>72</v>
      </c>
      <c r="F224" s="139" t="s">
        <v>104</v>
      </c>
      <c r="G224" s="140" t="s">
        <v>794</v>
      </c>
      <c r="H224" s="141" t="s">
        <v>722</v>
      </c>
      <c r="I224" s="142" t="s">
        <v>72</v>
      </c>
      <c r="J224" s="143" t="s">
        <v>737</v>
      </c>
      <c r="K224" s="152" t="s">
        <v>527</v>
      </c>
      <c r="L224" s="158" t="s">
        <v>947</v>
      </c>
      <c r="M224" s="153" t="s">
        <v>820</v>
      </c>
      <c r="N224" s="152" t="s">
        <v>495</v>
      </c>
      <c r="O224" s="154"/>
      <c r="P224" s="201"/>
      <c r="Q224" s="147" t="s">
        <v>960</v>
      </c>
      <c r="R224" s="148" t="s">
        <v>957</v>
      </c>
      <c r="S224" s="149" t="s">
        <v>961</v>
      </c>
    </row>
    <row r="225" spans="1:19" ht="18.75" customHeight="1" x14ac:dyDescent="0.25">
      <c r="A225" s="135">
        <v>171</v>
      </c>
      <c r="B225" s="136" t="s">
        <v>503</v>
      </c>
      <c r="C225" s="137" t="s">
        <v>482</v>
      </c>
      <c r="D225" s="137" t="s">
        <v>503</v>
      </c>
      <c r="E225" s="138" t="s">
        <v>72</v>
      </c>
      <c r="F225" s="139" t="s">
        <v>104</v>
      </c>
      <c r="G225" s="140" t="s">
        <v>794</v>
      </c>
      <c r="H225" s="141" t="s">
        <v>722</v>
      </c>
      <c r="I225" s="142" t="s">
        <v>43</v>
      </c>
      <c r="J225" s="143" t="s">
        <v>723</v>
      </c>
      <c r="K225" s="152" t="s">
        <v>917</v>
      </c>
      <c r="L225" s="158" t="s">
        <v>947</v>
      </c>
      <c r="M225" s="153" t="s">
        <v>962</v>
      </c>
      <c r="N225" s="152" t="s">
        <v>495</v>
      </c>
      <c r="O225" s="154"/>
      <c r="P225" s="201" t="s">
        <v>734</v>
      </c>
      <c r="Q225" s="147" t="s">
        <v>48</v>
      </c>
      <c r="R225" s="148" t="s">
        <v>957</v>
      </c>
      <c r="S225" s="149" t="s">
        <v>963</v>
      </c>
    </row>
    <row r="226" spans="1:19" ht="18.75" customHeight="1" x14ac:dyDescent="0.25">
      <c r="A226" s="135">
        <v>172</v>
      </c>
      <c r="B226" s="136" t="s">
        <v>509</v>
      </c>
      <c r="C226" s="137" t="s">
        <v>482</v>
      </c>
      <c r="D226" s="137" t="s">
        <v>503</v>
      </c>
      <c r="E226" s="138" t="s">
        <v>72</v>
      </c>
      <c r="F226" s="139" t="s">
        <v>104</v>
      </c>
      <c r="G226" s="140" t="s">
        <v>88</v>
      </c>
      <c r="H226" s="141" t="s">
        <v>722</v>
      </c>
      <c r="I226" s="142" t="s">
        <v>43</v>
      </c>
      <c r="J226" s="249" t="s">
        <v>720</v>
      </c>
      <c r="K226" s="152" t="s">
        <v>527</v>
      </c>
      <c r="L226" s="158" t="s">
        <v>256</v>
      </c>
      <c r="M226" s="153" t="s">
        <v>889</v>
      </c>
      <c r="N226" s="152" t="s">
        <v>256</v>
      </c>
      <c r="O226" s="154"/>
      <c r="P226" s="181" t="s">
        <v>734</v>
      </c>
      <c r="Q226" s="147" t="s">
        <v>48</v>
      </c>
      <c r="R226" s="148" t="s">
        <v>957</v>
      </c>
      <c r="S226" s="149"/>
    </row>
    <row r="227" spans="1:19" ht="18.75" customHeight="1" x14ac:dyDescent="0.25">
      <c r="A227" s="135">
        <v>227</v>
      </c>
      <c r="B227" s="136" t="s">
        <v>513</v>
      </c>
      <c r="C227" s="137" t="s">
        <v>482</v>
      </c>
      <c r="D227" s="137" t="s">
        <v>514</v>
      </c>
      <c r="E227" s="138" t="s">
        <v>72</v>
      </c>
      <c r="F227" s="139" t="s">
        <v>104</v>
      </c>
      <c r="G227" s="140" t="s">
        <v>794</v>
      </c>
      <c r="H227" s="141" t="s">
        <v>722</v>
      </c>
      <c r="I227" s="142" t="s">
        <v>43</v>
      </c>
      <c r="J227" s="249" t="s">
        <v>752</v>
      </c>
      <c r="K227" s="152" t="s">
        <v>527</v>
      </c>
      <c r="L227" s="158" t="s">
        <v>950</v>
      </c>
      <c r="M227" s="153" t="s">
        <v>820</v>
      </c>
      <c r="N227" s="152" t="s">
        <v>517</v>
      </c>
      <c r="O227" s="153"/>
      <c r="P227" s="201" t="s">
        <v>734</v>
      </c>
      <c r="Q227" s="147" t="s">
        <v>48</v>
      </c>
      <c r="R227" s="148" t="s">
        <v>957</v>
      </c>
      <c r="S227" s="149" t="s">
        <v>964</v>
      </c>
    </row>
    <row r="228" spans="1:19" ht="18.75" customHeight="1" x14ac:dyDescent="0.25">
      <c r="A228" s="135">
        <v>228</v>
      </c>
      <c r="B228" s="136" t="s">
        <v>518</v>
      </c>
      <c r="C228" s="137" t="s">
        <v>482</v>
      </c>
      <c r="D228" s="137" t="s">
        <v>519</v>
      </c>
      <c r="E228" s="138" t="s">
        <v>72</v>
      </c>
      <c r="F228" s="139" t="s">
        <v>99</v>
      </c>
      <c r="G228" s="140" t="s">
        <v>794</v>
      </c>
      <c r="H228" s="141" t="s">
        <v>722</v>
      </c>
      <c r="I228" s="142" t="s">
        <v>72</v>
      </c>
      <c r="J228" s="143" t="s">
        <v>737</v>
      </c>
      <c r="K228" s="152" t="s">
        <v>949</v>
      </c>
      <c r="L228" s="158" t="s">
        <v>527</v>
      </c>
      <c r="M228" s="153" t="s">
        <v>889</v>
      </c>
      <c r="N228" s="152" t="s">
        <v>495</v>
      </c>
      <c r="O228" s="154"/>
      <c r="P228" s="147" t="s">
        <v>48</v>
      </c>
      <c r="Q228" s="238" t="s">
        <v>965</v>
      </c>
      <c r="R228" s="148"/>
      <c r="S228" s="149"/>
    </row>
    <row r="229" spans="1:19" ht="18.75" customHeight="1" x14ac:dyDescent="0.25">
      <c r="A229" s="135">
        <v>229</v>
      </c>
      <c r="B229" s="136" t="s">
        <v>520</v>
      </c>
      <c r="C229" s="137" t="s">
        <v>482</v>
      </c>
      <c r="D229" s="137" t="s">
        <v>521</v>
      </c>
      <c r="E229" s="138" t="s">
        <v>72</v>
      </c>
      <c r="F229" s="139" t="s">
        <v>87</v>
      </c>
      <c r="G229" s="140" t="s">
        <v>746</v>
      </c>
      <c r="H229" s="141" t="s">
        <v>722</v>
      </c>
      <c r="I229" s="142" t="s">
        <v>43</v>
      </c>
      <c r="J229" s="143" t="s">
        <v>752</v>
      </c>
      <c r="K229" s="152" t="s">
        <v>498</v>
      </c>
      <c r="L229" s="158" t="s">
        <v>945</v>
      </c>
      <c r="M229" s="153" t="s">
        <v>966</v>
      </c>
      <c r="N229" s="152" t="s">
        <v>523</v>
      </c>
      <c r="O229" s="154" t="s">
        <v>523</v>
      </c>
      <c r="P229" s="181" t="s">
        <v>48</v>
      </c>
      <c r="Q229" s="147" t="s">
        <v>48</v>
      </c>
      <c r="R229" s="148"/>
      <c r="S229" s="149"/>
    </row>
    <row r="230" spans="1:19" ht="18.75" customHeight="1" x14ac:dyDescent="0.25">
      <c r="A230" s="135">
        <v>357</v>
      </c>
      <c r="B230" s="136" t="s">
        <v>524</v>
      </c>
      <c r="C230" s="137" t="s">
        <v>482</v>
      </c>
      <c r="D230" s="137" t="s">
        <v>525</v>
      </c>
      <c r="E230" s="138" t="s">
        <v>72</v>
      </c>
      <c r="F230" s="139" t="s">
        <v>71</v>
      </c>
      <c r="G230" s="140" t="s">
        <v>794</v>
      </c>
      <c r="H230" s="141" t="s">
        <v>722</v>
      </c>
      <c r="I230" s="142" t="s">
        <v>72</v>
      </c>
      <c r="J230" s="143" t="s">
        <v>737</v>
      </c>
      <c r="K230" s="152" t="s">
        <v>527</v>
      </c>
      <c r="L230" s="158" t="s">
        <v>256</v>
      </c>
      <c r="M230" s="153" t="s">
        <v>889</v>
      </c>
      <c r="N230" s="152" t="s">
        <v>256</v>
      </c>
      <c r="O230" s="154" t="s">
        <v>246</v>
      </c>
      <c r="P230" s="181" t="s">
        <v>48</v>
      </c>
      <c r="Q230" s="147" t="s">
        <v>48</v>
      </c>
      <c r="R230" s="148"/>
      <c r="S230" s="149" t="s">
        <v>967</v>
      </c>
    </row>
    <row r="231" spans="1:19" ht="18.75" customHeight="1" x14ac:dyDescent="0.25">
      <c r="A231" s="135">
        <v>358</v>
      </c>
      <c r="B231" s="136" t="s">
        <v>526</v>
      </c>
      <c r="C231" s="137" t="s">
        <v>482</v>
      </c>
      <c r="D231" s="137" t="s">
        <v>484</v>
      </c>
      <c r="E231" s="138" t="s">
        <v>72</v>
      </c>
      <c r="F231" s="139" t="s">
        <v>104</v>
      </c>
      <c r="G231" s="140" t="s">
        <v>88</v>
      </c>
      <c r="H231" s="141" t="s">
        <v>767</v>
      </c>
      <c r="I231" s="142" t="s">
        <v>43</v>
      </c>
      <c r="J231" s="143" t="s">
        <v>723</v>
      </c>
      <c r="K231" s="152" t="s">
        <v>945</v>
      </c>
      <c r="L231" s="158" t="s">
        <v>949</v>
      </c>
      <c r="M231" s="153" t="s">
        <v>968</v>
      </c>
      <c r="N231" s="152" t="s">
        <v>527</v>
      </c>
      <c r="O231" s="154"/>
      <c r="P231" s="181" t="s">
        <v>734</v>
      </c>
      <c r="Q231" s="147" t="s">
        <v>48</v>
      </c>
      <c r="R231" s="148" t="s">
        <v>957</v>
      </c>
      <c r="S231" s="149" t="s">
        <v>969</v>
      </c>
    </row>
    <row r="232" spans="1:19" ht="18.75" customHeight="1" x14ac:dyDescent="0.25">
      <c r="A232" s="135">
        <v>359</v>
      </c>
      <c r="B232" s="136" t="s">
        <v>528</v>
      </c>
      <c r="C232" s="137" t="s">
        <v>482</v>
      </c>
      <c r="D232" s="137" t="s">
        <v>484</v>
      </c>
      <c r="E232" s="138" t="s">
        <v>72</v>
      </c>
      <c r="F232" s="139" t="s">
        <v>104</v>
      </c>
      <c r="G232" s="140" t="s">
        <v>88</v>
      </c>
      <c r="H232" s="141" t="s">
        <v>767</v>
      </c>
      <c r="I232" s="142" t="s">
        <v>43</v>
      </c>
      <c r="J232" s="143" t="s">
        <v>720</v>
      </c>
      <c r="K232" s="152" t="s">
        <v>527</v>
      </c>
      <c r="L232" s="158" t="s">
        <v>527</v>
      </c>
      <c r="M232" s="153" t="s">
        <v>889</v>
      </c>
      <c r="N232" s="152" t="s">
        <v>527</v>
      </c>
      <c r="O232" s="154"/>
      <c r="P232" s="181" t="s">
        <v>734</v>
      </c>
      <c r="Q232" s="147" t="s">
        <v>48</v>
      </c>
      <c r="R232" s="148" t="s">
        <v>957</v>
      </c>
      <c r="S232" s="149" t="s">
        <v>970</v>
      </c>
    </row>
    <row r="233" spans="1:19" ht="18.75" customHeight="1" x14ac:dyDescent="0.25">
      <c r="A233" s="135">
        <v>360</v>
      </c>
      <c r="B233" s="136" t="s">
        <v>530</v>
      </c>
      <c r="C233" s="137" t="s">
        <v>482</v>
      </c>
      <c r="D233" s="137" t="s">
        <v>531</v>
      </c>
      <c r="E233" s="138" t="s">
        <v>72</v>
      </c>
      <c r="F233" s="139" t="s">
        <v>87</v>
      </c>
      <c r="G233" s="140" t="s">
        <v>45</v>
      </c>
      <c r="H233" s="141" t="s">
        <v>722</v>
      </c>
      <c r="I233" s="142" t="s">
        <v>43</v>
      </c>
      <c r="J233" s="143" t="s">
        <v>752</v>
      </c>
      <c r="K233" s="152" t="s">
        <v>945</v>
      </c>
      <c r="L233" s="158" t="s">
        <v>256</v>
      </c>
      <c r="M233" s="153" t="s">
        <v>889</v>
      </c>
      <c r="N233" s="152" t="s">
        <v>523</v>
      </c>
      <c r="O233" s="154" t="s">
        <v>523</v>
      </c>
      <c r="P233" s="181" t="s">
        <v>48</v>
      </c>
      <c r="Q233" s="147" t="s">
        <v>48</v>
      </c>
      <c r="R233" s="148"/>
      <c r="S233" s="149"/>
    </row>
    <row r="234" spans="1:19" ht="18.75" customHeight="1" x14ac:dyDescent="0.25">
      <c r="A234" s="135">
        <v>361</v>
      </c>
      <c r="B234" s="136" t="s">
        <v>533</v>
      </c>
      <c r="C234" s="137" t="s">
        <v>482</v>
      </c>
      <c r="D234" s="137" t="s">
        <v>531</v>
      </c>
      <c r="E234" s="138" t="s">
        <v>72</v>
      </c>
      <c r="F234" s="139" t="s">
        <v>87</v>
      </c>
      <c r="G234" s="140" t="s">
        <v>45</v>
      </c>
      <c r="H234" s="141" t="s">
        <v>722</v>
      </c>
      <c r="I234" s="142" t="s">
        <v>43</v>
      </c>
      <c r="J234" s="143" t="s">
        <v>752</v>
      </c>
      <c r="K234" s="152" t="s">
        <v>527</v>
      </c>
      <c r="L234" s="158" t="s">
        <v>256</v>
      </c>
      <c r="M234" s="153" t="s">
        <v>889</v>
      </c>
      <c r="N234" s="152" t="s">
        <v>523</v>
      </c>
      <c r="O234" s="154" t="s">
        <v>523</v>
      </c>
      <c r="P234" s="181" t="s">
        <v>48</v>
      </c>
      <c r="Q234" s="147" t="s">
        <v>48</v>
      </c>
      <c r="R234" s="148"/>
      <c r="S234" s="149"/>
    </row>
    <row r="235" spans="1:19" ht="18.75" customHeight="1" x14ac:dyDescent="0.25">
      <c r="A235" s="135">
        <v>362</v>
      </c>
      <c r="B235" s="136" t="s">
        <v>534</v>
      </c>
      <c r="C235" s="137" t="s">
        <v>482</v>
      </c>
      <c r="D235" s="137" t="s">
        <v>535</v>
      </c>
      <c r="E235" s="138" t="s">
        <v>72</v>
      </c>
      <c r="F235" s="139" t="s">
        <v>87</v>
      </c>
      <c r="G235" s="140" t="s">
        <v>746</v>
      </c>
      <c r="H235" s="141" t="s">
        <v>722</v>
      </c>
      <c r="I235" s="142" t="s">
        <v>43</v>
      </c>
      <c r="J235" s="249" t="s">
        <v>752</v>
      </c>
      <c r="K235" s="152" t="s">
        <v>527</v>
      </c>
      <c r="L235" s="158" t="s">
        <v>256</v>
      </c>
      <c r="M235" s="153" t="s">
        <v>889</v>
      </c>
      <c r="N235" s="152" t="s">
        <v>523</v>
      </c>
      <c r="O235" s="153" t="s">
        <v>523</v>
      </c>
      <c r="P235" s="201" t="s">
        <v>48</v>
      </c>
      <c r="Q235" s="147" t="s">
        <v>48</v>
      </c>
      <c r="R235" s="148"/>
      <c r="S235" s="149"/>
    </row>
    <row r="236" spans="1:19" ht="18.75" customHeight="1" x14ac:dyDescent="0.25">
      <c r="A236" s="135">
        <v>363</v>
      </c>
      <c r="B236" s="136" t="s">
        <v>537</v>
      </c>
      <c r="C236" s="137" t="s">
        <v>482</v>
      </c>
      <c r="D236" s="137" t="s">
        <v>538</v>
      </c>
      <c r="E236" s="138" t="s">
        <v>72</v>
      </c>
      <c r="F236" s="139" t="s">
        <v>99</v>
      </c>
      <c r="G236" s="140" t="s">
        <v>746</v>
      </c>
      <c r="H236" s="141" t="s">
        <v>722</v>
      </c>
      <c r="I236" s="142" t="s">
        <v>72</v>
      </c>
      <c r="J236" s="143" t="s">
        <v>752</v>
      </c>
      <c r="K236" s="152" t="s">
        <v>527</v>
      </c>
      <c r="L236" s="158" t="s">
        <v>256</v>
      </c>
      <c r="M236" s="158" t="s">
        <v>889</v>
      </c>
      <c r="N236" s="152" t="s">
        <v>523</v>
      </c>
      <c r="O236" s="153" t="s">
        <v>523</v>
      </c>
      <c r="P236" s="201" t="s">
        <v>48</v>
      </c>
      <c r="Q236" s="147" t="s">
        <v>48</v>
      </c>
      <c r="R236" s="148"/>
      <c r="S236" s="149"/>
    </row>
    <row r="237" spans="1:19" ht="18.75" customHeight="1" x14ac:dyDescent="0.25">
      <c r="A237" s="135">
        <v>364</v>
      </c>
      <c r="B237" s="136" t="s">
        <v>539</v>
      </c>
      <c r="C237" s="137" t="s">
        <v>482</v>
      </c>
      <c r="D237" s="137" t="s">
        <v>540</v>
      </c>
      <c r="E237" s="138" t="s">
        <v>72</v>
      </c>
      <c r="F237" s="139" t="s">
        <v>71</v>
      </c>
      <c r="G237" s="140" t="s">
        <v>746</v>
      </c>
      <c r="H237" s="141" t="s">
        <v>722</v>
      </c>
      <c r="I237" s="142" t="s">
        <v>43</v>
      </c>
      <c r="J237" s="143" t="s">
        <v>737</v>
      </c>
      <c r="K237" s="152" t="s">
        <v>527</v>
      </c>
      <c r="L237" s="158" t="s">
        <v>256</v>
      </c>
      <c r="M237" s="158" t="s">
        <v>889</v>
      </c>
      <c r="N237" s="152" t="s">
        <v>246</v>
      </c>
      <c r="O237" s="153"/>
      <c r="P237" s="201" t="s">
        <v>48</v>
      </c>
      <c r="Q237" s="147" t="s">
        <v>48</v>
      </c>
      <c r="R237" s="148"/>
      <c r="S237" s="246" t="s">
        <v>971</v>
      </c>
    </row>
    <row r="238" spans="1:19" ht="18.75" customHeight="1" x14ac:dyDescent="0.25">
      <c r="A238" s="135">
        <v>365</v>
      </c>
      <c r="B238" s="136" t="s">
        <v>541</v>
      </c>
      <c r="C238" s="137" t="s">
        <v>482</v>
      </c>
      <c r="D238" s="137" t="s">
        <v>542</v>
      </c>
      <c r="E238" s="138" t="s">
        <v>72</v>
      </c>
      <c r="F238" s="139" t="s">
        <v>87</v>
      </c>
      <c r="G238" s="140" t="s">
        <v>746</v>
      </c>
      <c r="H238" s="141" t="s">
        <v>722</v>
      </c>
      <c r="I238" s="142" t="s">
        <v>43</v>
      </c>
      <c r="J238" s="143" t="s">
        <v>752</v>
      </c>
      <c r="K238" s="152" t="s">
        <v>945</v>
      </c>
      <c r="L238" s="158" t="s">
        <v>256</v>
      </c>
      <c r="M238" s="158" t="s">
        <v>889</v>
      </c>
      <c r="N238" s="152" t="s">
        <v>523</v>
      </c>
      <c r="O238" s="153" t="s">
        <v>523</v>
      </c>
      <c r="P238" s="201" t="s">
        <v>48</v>
      </c>
      <c r="Q238" s="147" t="s">
        <v>48</v>
      </c>
      <c r="R238" s="148"/>
      <c r="S238" s="149"/>
    </row>
    <row r="239" spans="1:19" ht="18.75" customHeight="1" x14ac:dyDescent="0.25">
      <c r="A239" s="135">
        <v>366</v>
      </c>
      <c r="B239" s="136" t="s">
        <v>543</v>
      </c>
      <c r="C239" s="137" t="s">
        <v>482</v>
      </c>
      <c r="D239" s="137" t="s">
        <v>544</v>
      </c>
      <c r="E239" s="138" t="s">
        <v>72</v>
      </c>
      <c r="F239" s="139" t="s">
        <v>87</v>
      </c>
      <c r="G239" s="140" t="s">
        <v>746</v>
      </c>
      <c r="H239" s="141" t="s">
        <v>722</v>
      </c>
      <c r="I239" s="142" t="s">
        <v>43</v>
      </c>
      <c r="J239" s="143" t="s">
        <v>752</v>
      </c>
      <c r="K239" s="152" t="s">
        <v>945</v>
      </c>
      <c r="L239" s="158" t="s">
        <v>256</v>
      </c>
      <c r="M239" s="158" t="s">
        <v>889</v>
      </c>
      <c r="N239" s="152" t="s">
        <v>523</v>
      </c>
      <c r="O239" s="153" t="s">
        <v>523</v>
      </c>
      <c r="P239" s="201" t="s">
        <v>48</v>
      </c>
      <c r="Q239" s="147" t="s">
        <v>48</v>
      </c>
      <c r="R239" s="148"/>
      <c r="S239" s="149"/>
    </row>
    <row r="240" spans="1:19" ht="18.75" customHeight="1" x14ac:dyDescent="0.25">
      <c r="A240" s="135">
        <v>367</v>
      </c>
      <c r="B240" s="136" t="s">
        <v>545</v>
      </c>
      <c r="C240" s="137" t="s">
        <v>482</v>
      </c>
      <c r="D240" s="137" t="s">
        <v>546</v>
      </c>
      <c r="E240" s="138" t="s">
        <v>72</v>
      </c>
      <c r="F240" s="139" t="s">
        <v>71</v>
      </c>
      <c r="G240" s="140" t="s">
        <v>746</v>
      </c>
      <c r="H240" s="141" t="s">
        <v>722</v>
      </c>
      <c r="I240" s="142" t="s">
        <v>72</v>
      </c>
      <c r="J240" s="143" t="s">
        <v>737</v>
      </c>
      <c r="K240" s="152" t="s">
        <v>527</v>
      </c>
      <c r="L240" s="158" t="s">
        <v>498</v>
      </c>
      <c r="M240" s="158" t="s">
        <v>527</v>
      </c>
      <c r="N240" s="152" t="s">
        <v>523</v>
      </c>
      <c r="O240" s="153" t="s">
        <v>523</v>
      </c>
      <c r="P240" s="201" t="s">
        <v>48</v>
      </c>
      <c r="Q240" s="147" t="s">
        <v>48</v>
      </c>
      <c r="R240" s="148"/>
      <c r="S240" s="149"/>
    </row>
    <row r="241" spans="1:19" ht="18.75" customHeight="1" x14ac:dyDescent="0.25">
      <c r="A241" s="159">
        <v>398</v>
      </c>
      <c r="B241" s="214" t="s">
        <v>972</v>
      </c>
      <c r="C241" s="137" t="s">
        <v>482</v>
      </c>
      <c r="D241" s="137" t="s">
        <v>484</v>
      </c>
      <c r="E241" s="138" t="s">
        <v>72</v>
      </c>
      <c r="F241" s="139" t="s">
        <v>71</v>
      </c>
      <c r="G241" s="140" t="s">
        <v>45</v>
      </c>
      <c r="H241" s="141" t="s">
        <v>767</v>
      </c>
      <c r="I241" s="142" t="s">
        <v>43</v>
      </c>
      <c r="J241" s="143" t="s">
        <v>737</v>
      </c>
      <c r="K241" s="152" t="s">
        <v>917</v>
      </c>
      <c r="L241" s="158" t="s">
        <v>498</v>
      </c>
      <c r="M241" s="158" t="s">
        <v>498</v>
      </c>
      <c r="N241" s="152" t="s">
        <v>498</v>
      </c>
      <c r="O241" s="153"/>
      <c r="P241" s="201" t="s">
        <v>48</v>
      </c>
      <c r="Q241" s="147" t="s">
        <v>48</v>
      </c>
      <c r="R241" s="148"/>
      <c r="S241" s="149" t="s">
        <v>973</v>
      </c>
    </row>
    <row r="242" spans="1:19" ht="18.75" customHeight="1" x14ac:dyDescent="0.25">
      <c r="A242" s="135">
        <v>157</v>
      </c>
      <c r="B242" s="136" t="s">
        <v>359</v>
      </c>
      <c r="C242" s="137" t="s">
        <v>1851</v>
      </c>
      <c r="D242" s="137" t="s">
        <v>294</v>
      </c>
      <c r="E242" s="138" t="s">
        <v>72</v>
      </c>
      <c r="F242" s="139" t="s">
        <v>104</v>
      </c>
      <c r="G242" s="140" t="s">
        <v>45</v>
      </c>
      <c r="H242" s="141" t="s">
        <v>767</v>
      </c>
      <c r="I242" s="142" t="s">
        <v>72</v>
      </c>
      <c r="J242" s="143" t="s">
        <v>738</v>
      </c>
      <c r="K242" s="152" t="s">
        <v>527</v>
      </c>
      <c r="L242" s="158" t="s">
        <v>945</v>
      </c>
      <c r="M242" s="158" t="s">
        <v>889</v>
      </c>
      <c r="N242" s="152" t="s">
        <v>495</v>
      </c>
      <c r="O242" s="153"/>
      <c r="P242" s="201" t="s">
        <v>48</v>
      </c>
      <c r="Q242" s="222" t="s">
        <v>48</v>
      </c>
      <c r="R242" s="148"/>
      <c r="S242" s="246" t="s">
        <v>956</v>
      </c>
    </row>
    <row r="243" spans="1:19" ht="18.75" customHeight="1" x14ac:dyDescent="0.25">
      <c r="A243" s="163" t="s">
        <v>551</v>
      </c>
      <c r="B243" s="164"/>
      <c r="C243" s="165" t="s">
        <v>551</v>
      </c>
      <c r="D243" s="165"/>
      <c r="E243" s="163"/>
      <c r="F243" s="164"/>
      <c r="G243" s="164"/>
      <c r="H243" s="164"/>
      <c r="I243" s="165"/>
      <c r="J243" s="166"/>
      <c r="K243" s="167"/>
      <c r="L243" s="168"/>
      <c r="M243" s="169"/>
      <c r="N243" s="170"/>
      <c r="O243" s="169"/>
      <c r="P243" s="171"/>
      <c r="Q243" s="172"/>
      <c r="R243" s="173"/>
      <c r="S243" s="174"/>
    </row>
    <row r="244" spans="1:19" ht="18.75" customHeight="1" x14ac:dyDescent="0.25">
      <c r="A244" s="135">
        <v>105.1</v>
      </c>
      <c r="B244" s="136" t="s">
        <v>552</v>
      </c>
      <c r="C244" s="137" t="s">
        <v>551</v>
      </c>
      <c r="D244" s="137" t="s">
        <v>553</v>
      </c>
      <c r="E244" s="138" t="s">
        <v>43</v>
      </c>
      <c r="F244" s="139" t="s">
        <v>67</v>
      </c>
      <c r="G244" s="140" t="s">
        <v>45</v>
      </c>
      <c r="H244" s="141" t="s">
        <v>767</v>
      </c>
      <c r="I244" s="142" t="s">
        <v>72</v>
      </c>
      <c r="J244" s="143" t="s">
        <v>752</v>
      </c>
      <c r="K244" s="155" t="s">
        <v>976</v>
      </c>
      <c r="L244" s="155" t="s">
        <v>976</v>
      </c>
      <c r="M244" s="153" t="s">
        <v>977</v>
      </c>
      <c r="N244" s="152"/>
      <c r="O244" s="245"/>
      <c r="P244" s="201" t="s">
        <v>48</v>
      </c>
      <c r="Q244" s="222" t="s">
        <v>48</v>
      </c>
      <c r="R244" s="148"/>
      <c r="S244" s="149" t="s">
        <v>978</v>
      </c>
    </row>
    <row r="245" spans="1:19" ht="18.75" customHeight="1" x14ac:dyDescent="0.25">
      <c r="A245" s="190">
        <v>105.2</v>
      </c>
      <c r="B245" s="191" t="s">
        <v>552</v>
      </c>
      <c r="C245" s="192" t="s">
        <v>551</v>
      </c>
      <c r="D245" s="192" t="s">
        <v>553</v>
      </c>
      <c r="E245" s="138" t="s">
        <v>43</v>
      </c>
      <c r="F245" s="139" t="s">
        <v>53</v>
      </c>
      <c r="G245" s="140" t="s">
        <v>53</v>
      </c>
      <c r="H245" s="141" t="s">
        <v>722</v>
      </c>
      <c r="I245" s="142" t="s">
        <v>72</v>
      </c>
      <c r="J245" s="143" t="s">
        <v>752</v>
      </c>
      <c r="K245" s="185"/>
      <c r="L245" s="155"/>
      <c r="M245" s="153"/>
      <c r="N245" s="152"/>
      <c r="O245" s="245"/>
      <c r="P245" s="201" t="s">
        <v>48</v>
      </c>
      <c r="Q245" s="222" t="s">
        <v>48</v>
      </c>
      <c r="R245" s="148"/>
      <c r="S245" s="149"/>
    </row>
    <row r="246" spans="1:19" ht="18.75" customHeight="1" x14ac:dyDescent="0.25">
      <c r="A246" s="135">
        <v>107</v>
      </c>
      <c r="B246" s="136" t="s">
        <v>554</v>
      </c>
      <c r="C246" s="137" t="s">
        <v>551</v>
      </c>
      <c r="D246" s="137" t="s">
        <v>555</v>
      </c>
      <c r="E246" s="138" t="s">
        <v>43</v>
      </c>
      <c r="F246" s="139" t="s">
        <v>88</v>
      </c>
      <c r="G246" s="140" t="s">
        <v>746</v>
      </c>
      <c r="H246" s="141" t="s">
        <v>722</v>
      </c>
      <c r="I246" s="142" t="s">
        <v>43</v>
      </c>
      <c r="J246" s="143" t="s">
        <v>752</v>
      </c>
      <c r="K246" s="158" t="s">
        <v>882</v>
      </c>
      <c r="L246" s="158" t="s">
        <v>882</v>
      </c>
      <c r="M246" s="153" t="s">
        <v>48</v>
      </c>
      <c r="N246" s="152"/>
      <c r="O246" s="245"/>
      <c r="P246" s="201" t="s">
        <v>48</v>
      </c>
      <c r="Q246" s="222" t="s">
        <v>48</v>
      </c>
      <c r="R246" s="148"/>
      <c r="S246" s="149"/>
    </row>
    <row r="247" spans="1:19" ht="18.75" customHeight="1" x14ac:dyDescent="0.25">
      <c r="A247" s="135">
        <v>108</v>
      </c>
      <c r="B247" s="136" t="s">
        <v>556</v>
      </c>
      <c r="C247" s="137" t="s">
        <v>551</v>
      </c>
      <c r="D247" s="137" t="s">
        <v>557</v>
      </c>
      <c r="E247" s="138" t="s">
        <v>43</v>
      </c>
      <c r="F247" s="139" t="s">
        <v>88</v>
      </c>
      <c r="G247" s="140" t="s">
        <v>799</v>
      </c>
      <c r="H247" s="141" t="s">
        <v>722</v>
      </c>
      <c r="I247" s="142" t="s">
        <v>72</v>
      </c>
      <c r="J247" s="143" t="s">
        <v>737</v>
      </c>
      <c r="K247" s="500" t="s">
        <v>413</v>
      </c>
      <c r="L247" s="248" t="s">
        <v>413</v>
      </c>
      <c r="M247" s="153" t="s">
        <v>758</v>
      </c>
      <c r="N247" s="152"/>
      <c r="O247" s="245"/>
      <c r="P247" s="201" t="s">
        <v>48</v>
      </c>
      <c r="Q247" s="222" t="s">
        <v>48</v>
      </c>
      <c r="R247" s="148"/>
      <c r="S247" s="149" t="s">
        <v>979</v>
      </c>
    </row>
    <row r="248" spans="1:19" ht="18.75" customHeight="1" x14ac:dyDescent="0.25">
      <c r="A248" s="135">
        <v>349</v>
      </c>
      <c r="B248" s="136" t="s">
        <v>558</v>
      </c>
      <c r="C248" s="137" t="s">
        <v>551</v>
      </c>
      <c r="D248" s="137" t="s">
        <v>559</v>
      </c>
      <c r="E248" s="138" t="s">
        <v>72</v>
      </c>
      <c r="F248" s="139" t="s">
        <v>87</v>
      </c>
      <c r="G248" s="140" t="s">
        <v>746</v>
      </c>
      <c r="H248" s="141" t="s">
        <v>722</v>
      </c>
      <c r="I248" s="142" t="s">
        <v>43</v>
      </c>
      <c r="J248" s="143" t="s">
        <v>720</v>
      </c>
      <c r="K248" s="152" t="s">
        <v>882</v>
      </c>
      <c r="L248" s="158" t="s">
        <v>882</v>
      </c>
      <c r="M248" s="153" t="s">
        <v>48</v>
      </c>
      <c r="N248" s="152"/>
      <c r="O248" s="245"/>
      <c r="P248" s="201" t="s">
        <v>48</v>
      </c>
      <c r="Q248" s="222" t="s">
        <v>48</v>
      </c>
      <c r="R248" s="148"/>
      <c r="S248" s="149" t="s">
        <v>980</v>
      </c>
    </row>
    <row r="249" spans="1:19" ht="18.75" customHeight="1" x14ac:dyDescent="0.25">
      <c r="A249" s="215">
        <v>350</v>
      </c>
      <c r="B249" s="214" t="s">
        <v>981</v>
      </c>
      <c r="C249" s="137" t="s">
        <v>551</v>
      </c>
      <c r="D249" s="137" t="s">
        <v>562</v>
      </c>
      <c r="E249" s="138" t="s">
        <v>72</v>
      </c>
      <c r="F249" s="139" t="s">
        <v>71</v>
      </c>
      <c r="G249" s="140" t="s">
        <v>751</v>
      </c>
      <c r="H249" s="141" t="s">
        <v>722</v>
      </c>
      <c r="I249" s="142" t="s">
        <v>43</v>
      </c>
      <c r="J249" s="143" t="s">
        <v>737</v>
      </c>
      <c r="K249" s="224" t="s">
        <v>721</v>
      </c>
      <c r="L249" s="248" t="s">
        <v>413</v>
      </c>
      <c r="M249" s="153" t="s">
        <v>721</v>
      </c>
      <c r="N249" s="152"/>
      <c r="O249" s="247"/>
      <c r="P249" s="201" t="s">
        <v>48</v>
      </c>
      <c r="Q249" s="222" t="s">
        <v>48</v>
      </c>
      <c r="R249" s="148"/>
      <c r="S249" s="149" t="s">
        <v>982</v>
      </c>
    </row>
    <row r="250" spans="1:19" ht="18.75" customHeight="1" x14ac:dyDescent="0.25">
      <c r="A250" s="135">
        <v>351</v>
      </c>
      <c r="B250" s="136" t="s">
        <v>563</v>
      </c>
      <c r="C250" s="137" t="s">
        <v>551</v>
      </c>
      <c r="D250" s="137" t="s">
        <v>564</v>
      </c>
      <c r="E250" s="138" t="s">
        <v>43</v>
      </c>
      <c r="F250" s="139" t="s">
        <v>73</v>
      </c>
      <c r="G250" s="140" t="s">
        <v>794</v>
      </c>
      <c r="H250" s="141" t="s">
        <v>722</v>
      </c>
      <c r="I250" s="142" t="s">
        <v>43</v>
      </c>
      <c r="J250" s="143" t="s">
        <v>720</v>
      </c>
      <c r="K250" s="152" t="s">
        <v>882</v>
      </c>
      <c r="L250" s="158" t="s">
        <v>882</v>
      </c>
      <c r="M250" s="153" t="s">
        <v>48</v>
      </c>
      <c r="N250" s="152"/>
      <c r="O250" s="245"/>
      <c r="P250" s="201" t="s">
        <v>48</v>
      </c>
      <c r="Q250" s="222" t="s">
        <v>48</v>
      </c>
      <c r="R250" s="148"/>
      <c r="S250" s="149" t="s">
        <v>980</v>
      </c>
    </row>
    <row r="251" spans="1:19" ht="18.75" customHeight="1" x14ac:dyDescent="0.25">
      <c r="A251" s="135">
        <v>353</v>
      </c>
      <c r="B251" s="136" t="s">
        <v>565</v>
      </c>
      <c r="C251" s="137" t="s">
        <v>551</v>
      </c>
      <c r="D251" s="137" t="s">
        <v>566</v>
      </c>
      <c r="E251" s="138" t="s">
        <v>72</v>
      </c>
      <c r="F251" s="139" t="s">
        <v>87</v>
      </c>
      <c r="G251" s="140" t="s">
        <v>746</v>
      </c>
      <c r="H251" s="141" t="s">
        <v>722</v>
      </c>
      <c r="I251" s="142" t="s">
        <v>43</v>
      </c>
      <c r="J251" s="143" t="s">
        <v>752</v>
      </c>
      <c r="K251" s="152" t="s">
        <v>882</v>
      </c>
      <c r="L251" s="158" t="s">
        <v>882</v>
      </c>
      <c r="M251" s="153" t="s">
        <v>48</v>
      </c>
      <c r="N251" s="152"/>
      <c r="O251" s="245"/>
      <c r="P251" s="201" t="s">
        <v>48</v>
      </c>
      <c r="Q251" s="222" t="s">
        <v>48</v>
      </c>
      <c r="R251" s="148"/>
      <c r="S251" s="149"/>
    </row>
    <row r="252" spans="1:19" ht="18.75" customHeight="1" x14ac:dyDescent="0.25">
      <c r="A252" s="135">
        <v>354</v>
      </c>
      <c r="B252" s="136" t="s">
        <v>568</v>
      </c>
      <c r="C252" s="137" t="s">
        <v>551</v>
      </c>
      <c r="D252" s="137" t="s">
        <v>569</v>
      </c>
      <c r="E252" s="138" t="s">
        <v>72</v>
      </c>
      <c r="F252" s="139" t="s">
        <v>87</v>
      </c>
      <c r="G252" s="140" t="s">
        <v>746</v>
      </c>
      <c r="H252" s="141" t="s">
        <v>722</v>
      </c>
      <c r="I252" s="142" t="s">
        <v>43</v>
      </c>
      <c r="J252" s="143" t="s">
        <v>720</v>
      </c>
      <c r="K252" s="152" t="s">
        <v>882</v>
      </c>
      <c r="L252" s="158" t="s">
        <v>882</v>
      </c>
      <c r="M252" s="153" t="s">
        <v>48</v>
      </c>
      <c r="N252" s="152"/>
      <c r="O252" s="153"/>
      <c r="P252" s="201" t="s">
        <v>48</v>
      </c>
      <c r="Q252" s="222" t="s">
        <v>48</v>
      </c>
      <c r="R252" s="148"/>
      <c r="S252" s="149" t="s">
        <v>980</v>
      </c>
    </row>
    <row r="253" spans="1:19" ht="18.75" customHeight="1" x14ac:dyDescent="0.25">
      <c r="A253" s="135">
        <v>355</v>
      </c>
      <c r="B253" s="136" t="s">
        <v>570</v>
      </c>
      <c r="C253" s="137" t="s">
        <v>551</v>
      </c>
      <c r="D253" s="137" t="s">
        <v>555</v>
      </c>
      <c r="E253" s="138" t="s">
        <v>43</v>
      </c>
      <c r="F253" s="139" t="s">
        <v>88</v>
      </c>
      <c r="G253" s="140" t="s">
        <v>746</v>
      </c>
      <c r="H253" s="141" t="s">
        <v>722</v>
      </c>
      <c r="I253" s="142" t="s">
        <v>43</v>
      </c>
      <c r="J253" s="143" t="s">
        <v>752</v>
      </c>
      <c r="K253" s="152" t="s">
        <v>882</v>
      </c>
      <c r="L253" s="158" t="s">
        <v>882</v>
      </c>
      <c r="M253" s="153" t="s">
        <v>48</v>
      </c>
      <c r="N253" s="152"/>
      <c r="O253" s="153"/>
      <c r="P253" s="201" t="s">
        <v>48</v>
      </c>
      <c r="Q253" s="222" t="s">
        <v>48</v>
      </c>
      <c r="R253" s="148"/>
      <c r="S253" s="149"/>
    </row>
    <row r="254" spans="1:19" ht="18.75" customHeight="1" x14ac:dyDescent="0.25">
      <c r="A254" s="135">
        <v>356</v>
      </c>
      <c r="B254" s="136" t="s">
        <v>571</v>
      </c>
      <c r="C254" s="137" t="s">
        <v>551</v>
      </c>
      <c r="D254" s="137" t="s">
        <v>572</v>
      </c>
      <c r="E254" s="138" t="s">
        <v>72</v>
      </c>
      <c r="F254" s="139" t="s">
        <v>71</v>
      </c>
      <c r="G254" s="140" t="s">
        <v>730</v>
      </c>
      <c r="H254" s="141" t="s">
        <v>767</v>
      </c>
      <c r="I254" s="142" t="s">
        <v>43</v>
      </c>
      <c r="J254" s="143" t="s">
        <v>737</v>
      </c>
      <c r="K254" s="152" t="s">
        <v>882</v>
      </c>
      <c r="L254" s="158" t="s">
        <v>882</v>
      </c>
      <c r="M254" s="153" t="s">
        <v>48</v>
      </c>
      <c r="N254" s="152"/>
      <c r="O254" s="153"/>
      <c r="P254" s="201" t="s">
        <v>48</v>
      </c>
      <c r="Q254" s="222" t="s">
        <v>48</v>
      </c>
      <c r="R254" s="148"/>
      <c r="S254" s="149" t="s">
        <v>980</v>
      </c>
    </row>
    <row r="255" spans="1:19" ht="18.75" customHeight="1" x14ac:dyDescent="0.25">
      <c r="A255" s="135">
        <v>352</v>
      </c>
      <c r="B255" s="136" t="s">
        <v>408</v>
      </c>
      <c r="C255" s="137" t="s">
        <v>1859</v>
      </c>
      <c r="D255" s="137" t="s">
        <v>409</v>
      </c>
      <c r="E255" s="138" t="s">
        <v>72</v>
      </c>
      <c r="F255" s="139" t="s">
        <v>99</v>
      </c>
      <c r="G255" s="140" t="s">
        <v>746</v>
      </c>
      <c r="H255" s="141" t="s">
        <v>722</v>
      </c>
      <c r="I255" s="142" t="s">
        <v>72</v>
      </c>
      <c r="J255" s="143" t="s">
        <v>720</v>
      </c>
      <c r="K255" s="152" t="s">
        <v>882</v>
      </c>
      <c r="L255" s="158" t="s">
        <v>882</v>
      </c>
      <c r="M255" s="158" t="s">
        <v>48</v>
      </c>
      <c r="N255" s="152"/>
      <c r="O255" s="153"/>
      <c r="P255" s="201" t="s">
        <v>48</v>
      </c>
      <c r="Q255" s="222" t="s">
        <v>48</v>
      </c>
      <c r="R255" s="148"/>
      <c r="S255" s="149" t="s">
        <v>980</v>
      </c>
    </row>
    <row r="256" spans="1:19" ht="18.75" customHeight="1" x14ac:dyDescent="0.25">
      <c r="A256" s="163" t="s">
        <v>573</v>
      </c>
      <c r="B256" s="164"/>
      <c r="C256" s="165" t="s">
        <v>573</v>
      </c>
      <c r="D256" s="165"/>
      <c r="E256" s="163"/>
      <c r="F256" s="164"/>
      <c r="G256" s="164"/>
      <c r="H256" s="164"/>
      <c r="I256" s="165"/>
      <c r="J256" s="474"/>
      <c r="K256" s="167"/>
      <c r="L256" s="168"/>
      <c r="M256" s="169"/>
      <c r="N256" s="170"/>
      <c r="O256" s="169"/>
      <c r="P256" s="171"/>
      <c r="Q256" s="172"/>
      <c r="R256" s="173"/>
      <c r="S256" s="174"/>
    </row>
    <row r="257" spans="1:19" ht="18.75" customHeight="1" x14ac:dyDescent="0.25">
      <c r="A257" s="135">
        <v>50</v>
      </c>
      <c r="B257" s="136" t="s">
        <v>574</v>
      </c>
      <c r="C257" s="137" t="s">
        <v>573</v>
      </c>
      <c r="D257" s="137" t="s">
        <v>575</v>
      </c>
      <c r="E257" s="138" t="s">
        <v>72</v>
      </c>
      <c r="F257" s="139" t="s">
        <v>99</v>
      </c>
      <c r="G257" s="140" t="s">
        <v>746</v>
      </c>
      <c r="H257" s="141" t="s">
        <v>722</v>
      </c>
      <c r="I257" s="142" t="s">
        <v>43</v>
      </c>
      <c r="J257" s="143" t="s">
        <v>752</v>
      </c>
      <c r="K257" s="152" t="s">
        <v>823</v>
      </c>
      <c r="L257" s="158" t="s">
        <v>256</v>
      </c>
      <c r="M257" s="153" t="s">
        <v>983</v>
      </c>
      <c r="N257" s="225" t="s">
        <v>576</v>
      </c>
      <c r="O257" s="153"/>
      <c r="P257" s="201" t="s">
        <v>48</v>
      </c>
      <c r="Q257" s="147" t="s">
        <v>48</v>
      </c>
      <c r="R257" s="148"/>
      <c r="S257" s="149" t="s">
        <v>984</v>
      </c>
    </row>
    <row r="258" spans="1:19" ht="18.75" customHeight="1" x14ac:dyDescent="0.25">
      <c r="A258" s="135">
        <v>68</v>
      </c>
      <c r="B258" s="136" t="s">
        <v>579</v>
      </c>
      <c r="C258" s="137" t="s">
        <v>573</v>
      </c>
      <c r="D258" s="137" t="s">
        <v>208</v>
      </c>
      <c r="E258" s="138" t="s">
        <v>72</v>
      </c>
      <c r="F258" s="139" t="s">
        <v>99</v>
      </c>
      <c r="G258" s="140" t="s">
        <v>45</v>
      </c>
      <c r="H258" s="141" t="s">
        <v>767</v>
      </c>
      <c r="I258" s="142" t="s">
        <v>43</v>
      </c>
      <c r="J258" s="143" t="s">
        <v>720</v>
      </c>
      <c r="K258" s="152" t="s">
        <v>823</v>
      </c>
      <c r="L258" s="158" t="s">
        <v>989</v>
      </c>
      <c r="M258" s="153" t="s">
        <v>990</v>
      </c>
      <c r="N258" s="152" t="s">
        <v>256</v>
      </c>
      <c r="O258" s="153" t="s">
        <v>580</v>
      </c>
      <c r="P258" s="201" t="s">
        <v>48</v>
      </c>
      <c r="Q258" s="147" t="s">
        <v>48</v>
      </c>
      <c r="R258" s="148"/>
      <c r="S258" s="149"/>
    </row>
    <row r="259" spans="1:19" ht="18.75" customHeight="1" x14ac:dyDescent="0.25">
      <c r="A259" s="135">
        <v>118</v>
      </c>
      <c r="B259" s="136" t="s">
        <v>582</v>
      </c>
      <c r="C259" s="137" t="s">
        <v>573</v>
      </c>
      <c r="D259" s="137" t="s">
        <v>254</v>
      </c>
      <c r="E259" s="138" t="s">
        <v>72</v>
      </c>
      <c r="F259" s="139" t="s">
        <v>99</v>
      </c>
      <c r="G259" s="140" t="s">
        <v>746</v>
      </c>
      <c r="H259" s="141" t="s">
        <v>722</v>
      </c>
      <c r="I259" s="142" t="s">
        <v>43</v>
      </c>
      <c r="J259" s="143" t="s">
        <v>752</v>
      </c>
      <c r="K259" s="152" t="s">
        <v>823</v>
      </c>
      <c r="L259" s="158" t="s">
        <v>256</v>
      </c>
      <c r="M259" s="153" t="s">
        <v>889</v>
      </c>
      <c r="N259" s="152" t="s">
        <v>523</v>
      </c>
      <c r="O259" s="153" t="s">
        <v>523</v>
      </c>
      <c r="P259" s="201" t="s">
        <v>48</v>
      </c>
      <c r="Q259" s="147" t="s">
        <v>48</v>
      </c>
      <c r="R259" s="148"/>
      <c r="S259" s="149"/>
    </row>
    <row r="260" spans="1:19" ht="18.75" customHeight="1" x14ac:dyDescent="0.25">
      <c r="A260" s="135">
        <v>119.1</v>
      </c>
      <c r="B260" s="136" t="s">
        <v>584</v>
      </c>
      <c r="C260" s="137" t="s">
        <v>573</v>
      </c>
      <c r="D260" s="137" t="s">
        <v>585</v>
      </c>
      <c r="E260" s="138" t="s">
        <v>72</v>
      </c>
      <c r="F260" s="139" t="s">
        <v>214</v>
      </c>
      <c r="G260" s="140" t="s">
        <v>746</v>
      </c>
      <c r="H260" s="141" t="s">
        <v>767</v>
      </c>
      <c r="I260" s="142" t="s">
        <v>43</v>
      </c>
      <c r="J260" s="143" t="s">
        <v>737</v>
      </c>
      <c r="K260" s="152"/>
      <c r="L260" s="158"/>
      <c r="M260" s="153"/>
      <c r="N260" s="152"/>
      <c r="O260" s="153"/>
      <c r="P260" s="201"/>
      <c r="Q260" s="147"/>
      <c r="R260" s="148"/>
      <c r="S260" s="149"/>
    </row>
    <row r="261" spans="1:19" ht="18.75" customHeight="1" x14ac:dyDescent="0.25">
      <c r="A261" s="135">
        <v>119.2</v>
      </c>
      <c r="B261" s="191" t="s">
        <v>584</v>
      </c>
      <c r="C261" s="192" t="s">
        <v>573</v>
      </c>
      <c r="D261" s="192" t="s">
        <v>585</v>
      </c>
      <c r="E261" s="138" t="s">
        <v>72</v>
      </c>
      <c r="F261" s="139" t="s">
        <v>202</v>
      </c>
      <c r="G261" s="140" t="s">
        <v>746</v>
      </c>
      <c r="H261" s="141" t="s">
        <v>767</v>
      </c>
      <c r="I261" s="142" t="s">
        <v>43</v>
      </c>
      <c r="J261" s="143" t="s">
        <v>720</v>
      </c>
      <c r="K261" s="152" t="s">
        <v>823</v>
      </c>
      <c r="L261" s="158" t="s">
        <v>824</v>
      </c>
      <c r="M261" s="153" t="s">
        <v>962</v>
      </c>
      <c r="N261" s="152" t="s">
        <v>587</v>
      </c>
      <c r="O261" s="153" t="s">
        <v>580</v>
      </c>
      <c r="P261" s="201" t="s">
        <v>48</v>
      </c>
      <c r="Q261" s="147" t="s">
        <v>48</v>
      </c>
      <c r="R261" s="148" t="s">
        <v>991</v>
      </c>
      <c r="S261" s="149" t="s">
        <v>992</v>
      </c>
    </row>
    <row r="262" spans="1:19" ht="18.75" customHeight="1" x14ac:dyDescent="0.25">
      <c r="A262" s="190">
        <v>119.3</v>
      </c>
      <c r="B262" s="191" t="s">
        <v>584</v>
      </c>
      <c r="C262" s="192" t="s">
        <v>573</v>
      </c>
      <c r="D262" s="192" t="s">
        <v>585</v>
      </c>
      <c r="E262" s="138" t="s">
        <v>43</v>
      </c>
      <c r="F262" s="139" t="s">
        <v>53</v>
      </c>
      <c r="G262" s="140" t="s">
        <v>53</v>
      </c>
      <c r="H262" s="141" t="s">
        <v>722</v>
      </c>
      <c r="I262" s="142" t="s">
        <v>72</v>
      </c>
      <c r="J262" s="143" t="s">
        <v>752</v>
      </c>
      <c r="K262" s="456"/>
      <c r="L262" s="191"/>
      <c r="M262" s="204"/>
      <c r="N262" s="456"/>
      <c r="O262" s="204"/>
      <c r="P262" s="456"/>
      <c r="Q262" s="191"/>
      <c r="R262" s="198"/>
      <c r="S262" s="149"/>
    </row>
    <row r="263" spans="1:19" ht="18.75" customHeight="1" x14ac:dyDescent="0.25">
      <c r="A263" s="135">
        <v>120</v>
      </c>
      <c r="B263" s="136" t="s">
        <v>588</v>
      </c>
      <c r="C263" s="137" t="s">
        <v>573</v>
      </c>
      <c r="D263" s="137" t="s">
        <v>589</v>
      </c>
      <c r="E263" s="138" t="s">
        <v>72</v>
      </c>
      <c r="F263" s="139" t="s">
        <v>87</v>
      </c>
      <c r="G263" s="140" t="s">
        <v>746</v>
      </c>
      <c r="H263" s="141" t="s">
        <v>722</v>
      </c>
      <c r="I263" s="142" t="s">
        <v>43</v>
      </c>
      <c r="J263" s="143" t="s">
        <v>752</v>
      </c>
      <c r="K263" s="152" t="s">
        <v>823</v>
      </c>
      <c r="L263" s="158" t="s">
        <v>993</v>
      </c>
      <c r="M263" s="153" t="s">
        <v>994</v>
      </c>
      <c r="N263" s="152" t="s">
        <v>587</v>
      </c>
      <c r="O263" s="245" t="s">
        <v>580</v>
      </c>
      <c r="P263" s="201" t="s">
        <v>48</v>
      </c>
      <c r="Q263" s="147" t="s">
        <v>48</v>
      </c>
      <c r="R263" s="148"/>
      <c r="S263" s="149"/>
    </row>
    <row r="264" spans="1:19" ht="18.75" customHeight="1" x14ac:dyDescent="0.25">
      <c r="A264" s="135">
        <v>121</v>
      </c>
      <c r="B264" s="136" t="s">
        <v>591</v>
      </c>
      <c r="C264" s="137" t="s">
        <v>573</v>
      </c>
      <c r="D264" s="137" t="s">
        <v>589</v>
      </c>
      <c r="E264" s="138" t="s">
        <v>72</v>
      </c>
      <c r="F264" s="139" t="s">
        <v>87</v>
      </c>
      <c r="G264" s="140" t="s">
        <v>45</v>
      </c>
      <c r="H264" s="141" t="s">
        <v>722</v>
      </c>
      <c r="I264" s="142" t="s">
        <v>72</v>
      </c>
      <c r="J264" s="143" t="s">
        <v>720</v>
      </c>
      <c r="K264" s="152" t="s">
        <v>823</v>
      </c>
      <c r="L264" s="158" t="s">
        <v>995</v>
      </c>
      <c r="M264" s="153" t="s">
        <v>996</v>
      </c>
      <c r="N264" s="152" t="s">
        <v>587</v>
      </c>
      <c r="O264" s="153" t="s">
        <v>580</v>
      </c>
      <c r="P264" s="201" t="s">
        <v>48</v>
      </c>
      <c r="Q264" s="147" t="s">
        <v>48</v>
      </c>
      <c r="R264" s="148"/>
      <c r="S264" s="149"/>
    </row>
    <row r="265" spans="1:19" ht="18.75" customHeight="1" x14ac:dyDescent="0.25">
      <c r="A265" s="135">
        <v>122</v>
      </c>
      <c r="B265" s="136" t="s">
        <v>593</v>
      </c>
      <c r="C265" s="137" t="s">
        <v>573</v>
      </c>
      <c r="D265" s="137" t="s">
        <v>589</v>
      </c>
      <c r="E265" s="138" t="s">
        <v>72</v>
      </c>
      <c r="F265" s="139" t="s">
        <v>104</v>
      </c>
      <c r="G265" s="140" t="s">
        <v>746</v>
      </c>
      <c r="H265" s="141" t="s">
        <v>722</v>
      </c>
      <c r="I265" s="142" t="s">
        <v>72</v>
      </c>
      <c r="J265" s="143" t="s">
        <v>737</v>
      </c>
      <c r="K265" s="158" t="s">
        <v>823</v>
      </c>
      <c r="L265" s="158" t="s">
        <v>823</v>
      </c>
      <c r="M265" s="153" t="s">
        <v>823</v>
      </c>
      <c r="N265" s="152" t="s">
        <v>587</v>
      </c>
      <c r="O265" s="153" t="s">
        <v>580</v>
      </c>
      <c r="P265" s="201" t="s">
        <v>48</v>
      </c>
      <c r="Q265" s="147" t="s">
        <v>48</v>
      </c>
      <c r="R265" s="148"/>
      <c r="S265" s="149"/>
    </row>
    <row r="266" spans="1:19" ht="18.75" customHeight="1" x14ac:dyDescent="0.25">
      <c r="A266" s="135">
        <v>123.1</v>
      </c>
      <c r="B266" s="136" t="s">
        <v>596</v>
      </c>
      <c r="C266" s="137" t="s">
        <v>573</v>
      </c>
      <c r="D266" s="137" t="s">
        <v>597</v>
      </c>
      <c r="E266" s="138" t="s">
        <v>43</v>
      </c>
      <c r="F266" s="139" t="s">
        <v>73</v>
      </c>
      <c r="G266" s="140" t="s">
        <v>45</v>
      </c>
      <c r="H266" s="141" t="s">
        <v>767</v>
      </c>
      <c r="I266" s="142" t="s">
        <v>43</v>
      </c>
      <c r="J266" s="143" t="s">
        <v>737</v>
      </c>
      <c r="K266" s="152" t="s">
        <v>997</v>
      </c>
      <c r="L266" s="158" t="s">
        <v>998</v>
      </c>
      <c r="M266" s="153" t="s">
        <v>999</v>
      </c>
      <c r="N266" s="152" t="s">
        <v>587</v>
      </c>
      <c r="O266" s="153" t="s">
        <v>580</v>
      </c>
      <c r="P266" s="201" t="s">
        <v>48</v>
      </c>
      <c r="Q266" s="147" t="s">
        <v>48</v>
      </c>
      <c r="R266" s="148"/>
      <c r="S266" s="149" t="s">
        <v>1000</v>
      </c>
    </row>
    <row r="267" spans="1:19" ht="18.75" customHeight="1" x14ac:dyDescent="0.25">
      <c r="A267" s="190">
        <v>123.2</v>
      </c>
      <c r="B267" s="191" t="s">
        <v>596</v>
      </c>
      <c r="C267" s="192" t="s">
        <v>573</v>
      </c>
      <c r="D267" s="192" t="s">
        <v>597</v>
      </c>
      <c r="E267" s="138" t="s">
        <v>43</v>
      </c>
      <c r="F267" s="139" t="s">
        <v>73</v>
      </c>
      <c r="G267" s="140" t="s">
        <v>45</v>
      </c>
      <c r="H267" s="141" t="s">
        <v>767</v>
      </c>
      <c r="I267" s="142" t="s">
        <v>43</v>
      </c>
      <c r="J267" s="143" t="s">
        <v>737</v>
      </c>
      <c r="K267" s="456"/>
      <c r="L267" s="191"/>
      <c r="M267" s="204"/>
      <c r="N267" s="456"/>
      <c r="O267" s="459"/>
      <c r="P267" s="456"/>
      <c r="Q267" s="191"/>
      <c r="R267" s="198"/>
      <c r="S267" s="149"/>
    </row>
    <row r="268" spans="1:19" ht="18.75" customHeight="1" x14ac:dyDescent="0.25">
      <c r="A268" s="190">
        <v>123.3</v>
      </c>
      <c r="B268" s="191" t="s">
        <v>596</v>
      </c>
      <c r="C268" s="192" t="s">
        <v>573</v>
      </c>
      <c r="D268" s="192" t="s">
        <v>597</v>
      </c>
      <c r="E268" s="138" t="s">
        <v>43</v>
      </c>
      <c r="F268" s="139" t="s">
        <v>53</v>
      </c>
      <c r="G268" s="140" t="s">
        <v>53</v>
      </c>
      <c r="H268" s="141" t="s">
        <v>722</v>
      </c>
      <c r="I268" s="142" t="s">
        <v>43</v>
      </c>
      <c r="J268" s="143" t="s">
        <v>752</v>
      </c>
      <c r="K268" s="456"/>
      <c r="L268" s="191"/>
      <c r="M268" s="204"/>
      <c r="N268" s="456"/>
      <c r="O268" s="459"/>
      <c r="P268" s="456"/>
      <c r="Q268" s="191"/>
      <c r="R268" s="198"/>
      <c r="S268" s="149"/>
    </row>
    <row r="269" spans="1:19" ht="18.75" customHeight="1" x14ac:dyDescent="0.25">
      <c r="A269" s="135">
        <v>124</v>
      </c>
      <c r="B269" s="136" t="s">
        <v>598</v>
      </c>
      <c r="C269" s="137" t="s">
        <v>573</v>
      </c>
      <c r="D269" s="137" t="s">
        <v>599</v>
      </c>
      <c r="E269" s="138" t="s">
        <v>43</v>
      </c>
      <c r="F269" s="139" t="s">
        <v>73</v>
      </c>
      <c r="G269" s="140" t="s">
        <v>45</v>
      </c>
      <c r="H269" s="141" t="s">
        <v>767</v>
      </c>
      <c r="I269" s="142" t="s">
        <v>43</v>
      </c>
      <c r="J269" s="143" t="s">
        <v>737</v>
      </c>
      <c r="K269" s="152" t="s">
        <v>823</v>
      </c>
      <c r="L269" s="158" t="s">
        <v>823</v>
      </c>
      <c r="M269" s="153" t="s">
        <v>823</v>
      </c>
      <c r="N269" s="152" t="s">
        <v>587</v>
      </c>
      <c r="O269" s="245" t="s">
        <v>580</v>
      </c>
      <c r="P269" s="201" t="s">
        <v>48</v>
      </c>
      <c r="Q269" s="147" t="s">
        <v>48</v>
      </c>
      <c r="R269" s="148"/>
      <c r="S269" s="149" t="s">
        <v>1001</v>
      </c>
    </row>
    <row r="270" spans="1:19" ht="18.75" customHeight="1" x14ac:dyDescent="0.25">
      <c r="A270" s="190">
        <v>198</v>
      </c>
      <c r="B270" s="191" t="s">
        <v>601</v>
      </c>
      <c r="C270" s="192" t="s">
        <v>573</v>
      </c>
      <c r="D270" s="192" t="s">
        <v>217</v>
      </c>
      <c r="E270" s="138" t="s">
        <v>43</v>
      </c>
      <c r="F270" s="139" t="s">
        <v>53</v>
      </c>
      <c r="G270" s="140" t="s">
        <v>53</v>
      </c>
      <c r="H270" s="141" t="s">
        <v>722</v>
      </c>
      <c r="I270" s="142" t="s">
        <v>43</v>
      </c>
      <c r="J270" s="143" t="s">
        <v>53</v>
      </c>
      <c r="K270" s="190"/>
      <c r="L270" s="191"/>
      <c r="M270" s="204"/>
      <c r="N270" s="194"/>
      <c r="O270" s="485"/>
      <c r="P270" s="196"/>
      <c r="Q270" s="197"/>
      <c r="R270" s="198"/>
      <c r="S270" s="205" t="s">
        <v>796</v>
      </c>
    </row>
    <row r="271" spans="1:19" ht="18.75" customHeight="1" x14ac:dyDescent="0.25">
      <c r="A271" s="190">
        <v>200</v>
      </c>
      <c r="B271" s="191" t="s">
        <v>602</v>
      </c>
      <c r="C271" s="192" t="s">
        <v>573</v>
      </c>
      <c r="D271" s="192" t="s">
        <v>217</v>
      </c>
      <c r="E271" s="138" t="s">
        <v>43</v>
      </c>
      <c r="F271" s="139" t="s">
        <v>53</v>
      </c>
      <c r="G271" s="140" t="s">
        <v>53</v>
      </c>
      <c r="H271" s="141" t="s">
        <v>722</v>
      </c>
      <c r="I271" s="142" t="s">
        <v>43</v>
      </c>
      <c r="J271" s="143" t="s">
        <v>53</v>
      </c>
      <c r="K271" s="190"/>
      <c r="L271" s="191"/>
      <c r="M271" s="204"/>
      <c r="N271" s="194"/>
      <c r="O271" s="195"/>
      <c r="P271" s="196"/>
      <c r="Q271" s="197"/>
      <c r="R271" s="198"/>
      <c r="S271" s="205" t="s">
        <v>796</v>
      </c>
    </row>
    <row r="272" spans="1:19" ht="18.75" customHeight="1" x14ac:dyDescent="0.25">
      <c r="A272" s="190">
        <v>201</v>
      </c>
      <c r="B272" s="191" t="s">
        <v>603</v>
      </c>
      <c r="C272" s="192" t="s">
        <v>573</v>
      </c>
      <c r="D272" s="192" t="s">
        <v>217</v>
      </c>
      <c r="E272" s="138" t="s">
        <v>43</v>
      </c>
      <c r="F272" s="139" t="s">
        <v>53</v>
      </c>
      <c r="G272" s="140" t="s">
        <v>53</v>
      </c>
      <c r="H272" s="141" t="s">
        <v>722</v>
      </c>
      <c r="I272" s="142" t="s">
        <v>43</v>
      </c>
      <c r="J272" s="143" t="s">
        <v>53</v>
      </c>
      <c r="K272" s="456"/>
      <c r="L272" s="191"/>
      <c r="M272" s="204"/>
      <c r="N272" s="456"/>
      <c r="O272" s="459"/>
      <c r="P272" s="456"/>
      <c r="Q272" s="191"/>
      <c r="R272" s="198"/>
      <c r="S272" s="205" t="s">
        <v>796</v>
      </c>
    </row>
    <row r="273" spans="1:19" ht="18.75" customHeight="1" x14ac:dyDescent="0.25">
      <c r="A273" s="190">
        <v>202</v>
      </c>
      <c r="B273" s="191" t="s">
        <v>604</v>
      </c>
      <c r="C273" s="192" t="s">
        <v>573</v>
      </c>
      <c r="D273" s="192" t="s">
        <v>217</v>
      </c>
      <c r="E273" s="138" t="s">
        <v>43</v>
      </c>
      <c r="F273" s="139" t="s">
        <v>53</v>
      </c>
      <c r="G273" s="140" t="s">
        <v>53</v>
      </c>
      <c r="H273" s="141" t="s">
        <v>722</v>
      </c>
      <c r="I273" s="142" t="s">
        <v>43</v>
      </c>
      <c r="J273" s="143" t="s">
        <v>53</v>
      </c>
      <c r="K273" s="456"/>
      <c r="L273" s="191"/>
      <c r="M273" s="204"/>
      <c r="N273" s="456"/>
      <c r="O273" s="459"/>
      <c r="P273" s="456"/>
      <c r="Q273" s="191"/>
      <c r="R273" s="198"/>
      <c r="S273" s="205" t="s">
        <v>796</v>
      </c>
    </row>
    <row r="274" spans="1:19" ht="18.75" customHeight="1" x14ac:dyDescent="0.25">
      <c r="A274" s="190">
        <v>208</v>
      </c>
      <c r="B274" s="191" t="s">
        <v>605</v>
      </c>
      <c r="C274" s="192" t="s">
        <v>573</v>
      </c>
      <c r="D274" s="192" t="s">
        <v>606</v>
      </c>
      <c r="E274" s="138" t="s">
        <v>43</v>
      </c>
      <c r="F274" s="139" t="s">
        <v>53</v>
      </c>
      <c r="G274" s="140" t="s">
        <v>53</v>
      </c>
      <c r="H274" s="141" t="s">
        <v>722</v>
      </c>
      <c r="I274" s="142" t="s">
        <v>43</v>
      </c>
      <c r="J274" s="143" t="s">
        <v>53</v>
      </c>
      <c r="K274" s="190"/>
      <c r="L274" s="191"/>
      <c r="M274" s="204"/>
      <c r="N274" s="194"/>
      <c r="O274" s="485"/>
      <c r="P274" s="196"/>
      <c r="Q274" s="197"/>
      <c r="R274" s="198"/>
      <c r="S274" s="205" t="s">
        <v>796</v>
      </c>
    </row>
    <row r="275" spans="1:19" ht="18.75" customHeight="1" x14ac:dyDescent="0.25">
      <c r="A275" s="135">
        <v>211</v>
      </c>
      <c r="B275" s="136" t="s">
        <v>607</v>
      </c>
      <c r="C275" s="137" t="s">
        <v>573</v>
      </c>
      <c r="D275" s="137" t="s">
        <v>608</v>
      </c>
      <c r="E275" s="138" t="s">
        <v>72</v>
      </c>
      <c r="F275" s="139" t="s">
        <v>99</v>
      </c>
      <c r="G275" s="140" t="s">
        <v>746</v>
      </c>
      <c r="H275" s="141" t="s">
        <v>722</v>
      </c>
      <c r="I275" s="142" t="s">
        <v>43</v>
      </c>
      <c r="J275" s="143" t="s">
        <v>752</v>
      </c>
      <c r="K275" s="152" t="s">
        <v>823</v>
      </c>
      <c r="L275" s="158" t="s">
        <v>256</v>
      </c>
      <c r="M275" s="153" t="s">
        <v>1002</v>
      </c>
      <c r="N275" s="152" t="s">
        <v>523</v>
      </c>
      <c r="O275" s="153" t="s">
        <v>523</v>
      </c>
      <c r="P275" s="201" t="s">
        <v>48</v>
      </c>
      <c r="Q275" s="147" t="s">
        <v>48</v>
      </c>
      <c r="R275" s="148"/>
      <c r="S275" s="149"/>
    </row>
    <row r="276" spans="1:19" ht="18.75" customHeight="1" x14ac:dyDescent="0.25">
      <c r="A276" s="135">
        <v>226</v>
      </c>
      <c r="B276" s="136" t="s">
        <v>609</v>
      </c>
      <c r="C276" s="137" t="s">
        <v>573</v>
      </c>
      <c r="D276" s="137" t="s">
        <v>610</v>
      </c>
      <c r="E276" s="138" t="s">
        <v>43</v>
      </c>
      <c r="F276" s="139" t="s">
        <v>87</v>
      </c>
      <c r="G276" s="140" t="s">
        <v>730</v>
      </c>
      <c r="H276" s="141" t="s">
        <v>722</v>
      </c>
      <c r="I276" s="142" t="s">
        <v>72</v>
      </c>
      <c r="J276" s="143" t="s">
        <v>737</v>
      </c>
      <c r="K276" s="152" t="s">
        <v>823</v>
      </c>
      <c r="L276" s="158" t="s">
        <v>256</v>
      </c>
      <c r="M276" s="153" t="s">
        <v>889</v>
      </c>
      <c r="N276" s="152" t="s">
        <v>587</v>
      </c>
      <c r="O276" s="153" t="s">
        <v>580</v>
      </c>
      <c r="P276" s="201" t="s">
        <v>48</v>
      </c>
      <c r="Q276" s="147" t="s">
        <v>1003</v>
      </c>
      <c r="R276" s="148"/>
      <c r="S276" s="149" t="s">
        <v>1004</v>
      </c>
    </row>
    <row r="277" spans="1:19" ht="18.75" customHeight="1" x14ac:dyDescent="0.25">
      <c r="A277" s="135">
        <v>301</v>
      </c>
      <c r="B277" s="136" t="s">
        <v>612</v>
      </c>
      <c r="C277" s="137" t="s">
        <v>573</v>
      </c>
      <c r="D277" s="137" t="s">
        <v>254</v>
      </c>
      <c r="E277" s="138" t="s">
        <v>72</v>
      </c>
      <c r="F277" s="139" t="s">
        <v>87</v>
      </c>
      <c r="G277" s="140" t="s">
        <v>746</v>
      </c>
      <c r="H277" s="141" t="s">
        <v>722</v>
      </c>
      <c r="I277" s="142" t="s">
        <v>43</v>
      </c>
      <c r="J277" s="143" t="s">
        <v>752</v>
      </c>
      <c r="K277" s="152" t="s">
        <v>823</v>
      </c>
      <c r="L277" s="158" t="s">
        <v>256</v>
      </c>
      <c r="M277" s="153" t="s">
        <v>889</v>
      </c>
      <c r="N277" s="152" t="s">
        <v>523</v>
      </c>
      <c r="O277" s="245" t="s">
        <v>523</v>
      </c>
      <c r="P277" s="201" t="s">
        <v>48</v>
      </c>
      <c r="Q277" s="147" t="s">
        <v>48</v>
      </c>
      <c r="R277" s="148"/>
      <c r="S277" s="149"/>
    </row>
    <row r="278" spans="1:19" ht="18.75" customHeight="1" x14ac:dyDescent="0.25">
      <c r="A278" s="159">
        <v>302</v>
      </c>
      <c r="B278" s="214" t="s">
        <v>613</v>
      </c>
      <c r="C278" s="137" t="s">
        <v>573</v>
      </c>
      <c r="D278" s="137" t="s">
        <v>589</v>
      </c>
      <c r="E278" s="138" t="s">
        <v>72</v>
      </c>
      <c r="F278" s="139" t="s">
        <v>87</v>
      </c>
      <c r="G278" s="140" t="s">
        <v>45</v>
      </c>
      <c r="H278" s="141" t="s">
        <v>722</v>
      </c>
      <c r="I278" s="142" t="s">
        <v>43</v>
      </c>
      <c r="J278" s="143" t="s">
        <v>720</v>
      </c>
      <c r="K278" s="152" t="s">
        <v>1005</v>
      </c>
      <c r="L278" s="158" t="s">
        <v>1006</v>
      </c>
      <c r="M278" s="153" t="s">
        <v>1006</v>
      </c>
      <c r="N278" s="152" t="s">
        <v>587</v>
      </c>
      <c r="O278" s="245" t="s">
        <v>580</v>
      </c>
      <c r="P278" s="201" t="s">
        <v>48</v>
      </c>
      <c r="Q278" s="147" t="s">
        <v>48</v>
      </c>
      <c r="R278" s="148"/>
      <c r="S278" s="149"/>
    </row>
    <row r="279" spans="1:19" ht="18.75" customHeight="1" x14ac:dyDescent="0.25">
      <c r="A279" s="135">
        <v>303</v>
      </c>
      <c r="B279" s="136" t="s">
        <v>615</v>
      </c>
      <c r="C279" s="137" t="s">
        <v>573</v>
      </c>
      <c r="D279" s="137" t="s">
        <v>616</v>
      </c>
      <c r="E279" s="138" t="s">
        <v>43</v>
      </c>
      <c r="F279" s="139" t="s">
        <v>87</v>
      </c>
      <c r="G279" s="140" t="s">
        <v>746</v>
      </c>
      <c r="H279" s="141" t="s">
        <v>722</v>
      </c>
      <c r="I279" s="142" t="s">
        <v>72</v>
      </c>
      <c r="J279" s="143" t="s">
        <v>737</v>
      </c>
      <c r="K279" s="152" t="s">
        <v>527</v>
      </c>
      <c r="L279" s="158" t="s">
        <v>1007</v>
      </c>
      <c r="M279" s="153" t="s">
        <v>1008</v>
      </c>
      <c r="N279" s="152" t="s">
        <v>587</v>
      </c>
      <c r="O279" s="153" t="s">
        <v>580</v>
      </c>
      <c r="P279" s="201" t="s">
        <v>48</v>
      </c>
      <c r="Q279" s="147" t="s">
        <v>48</v>
      </c>
      <c r="R279" s="148"/>
      <c r="S279" s="149"/>
    </row>
    <row r="280" spans="1:19" ht="18.75" customHeight="1" x14ac:dyDescent="0.25">
      <c r="A280" s="135">
        <v>304</v>
      </c>
      <c r="B280" s="136" t="s">
        <v>620</v>
      </c>
      <c r="C280" s="137" t="s">
        <v>573</v>
      </c>
      <c r="D280" s="137" t="s">
        <v>621</v>
      </c>
      <c r="E280" s="138" t="s">
        <v>72</v>
      </c>
      <c r="F280" s="139" t="s">
        <v>99</v>
      </c>
      <c r="G280" s="140" t="s">
        <v>746</v>
      </c>
      <c r="H280" s="141" t="s">
        <v>722</v>
      </c>
      <c r="I280" s="142" t="s">
        <v>43</v>
      </c>
      <c r="J280" s="249" t="s">
        <v>737</v>
      </c>
      <c r="K280" s="152" t="s">
        <v>823</v>
      </c>
      <c r="L280" s="158" t="s">
        <v>823</v>
      </c>
      <c r="M280" s="153" t="s">
        <v>823</v>
      </c>
      <c r="N280" s="152" t="s">
        <v>587</v>
      </c>
      <c r="O280" s="153" t="s">
        <v>580</v>
      </c>
      <c r="P280" s="201" t="s">
        <v>48</v>
      </c>
      <c r="Q280" s="147" t="s">
        <v>48</v>
      </c>
      <c r="R280" s="148"/>
      <c r="S280" s="149" t="s">
        <v>1009</v>
      </c>
    </row>
    <row r="281" spans="1:19" ht="18.75" customHeight="1" x14ac:dyDescent="0.25">
      <c r="A281" s="135">
        <v>305</v>
      </c>
      <c r="B281" s="136" t="s">
        <v>622</v>
      </c>
      <c r="C281" s="137" t="s">
        <v>573</v>
      </c>
      <c r="D281" s="137" t="s">
        <v>623</v>
      </c>
      <c r="E281" s="138" t="s">
        <v>72</v>
      </c>
      <c r="F281" s="139" t="s">
        <v>87</v>
      </c>
      <c r="G281" s="140" t="s">
        <v>746</v>
      </c>
      <c r="H281" s="141" t="s">
        <v>722</v>
      </c>
      <c r="I281" s="142" t="s">
        <v>72</v>
      </c>
      <c r="J281" s="143" t="s">
        <v>752</v>
      </c>
      <c r="K281" s="152" t="s">
        <v>823</v>
      </c>
      <c r="L281" s="158" t="s">
        <v>256</v>
      </c>
      <c r="M281" s="153" t="s">
        <v>889</v>
      </c>
      <c r="N281" s="152" t="s">
        <v>523</v>
      </c>
      <c r="O281" s="153" t="s">
        <v>523</v>
      </c>
      <c r="P281" s="201" t="s">
        <v>48</v>
      </c>
      <c r="Q281" s="147" t="s">
        <v>48</v>
      </c>
      <c r="R281" s="148"/>
      <c r="S281" s="149"/>
    </row>
    <row r="282" spans="1:19" ht="18.75" customHeight="1" x14ac:dyDescent="0.25">
      <c r="A282" s="135">
        <v>52</v>
      </c>
      <c r="B282" s="136" t="s">
        <v>234</v>
      </c>
      <c r="C282" s="137" t="s">
        <v>1831</v>
      </c>
      <c r="D282" s="137" t="s">
        <v>235</v>
      </c>
      <c r="E282" s="138" t="s">
        <v>72</v>
      </c>
      <c r="F282" s="139" t="s">
        <v>214</v>
      </c>
      <c r="G282" s="140" t="s">
        <v>746</v>
      </c>
      <c r="H282" s="141" t="s">
        <v>722</v>
      </c>
      <c r="I282" s="142" t="s">
        <v>43</v>
      </c>
      <c r="J282" s="143" t="s">
        <v>737</v>
      </c>
      <c r="K282" s="152" t="s">
        <v>985</v>
      </c>
      <c r="L282" s="158" t="s">
        <v>985</v>
      </c>
      <c r="M282" s="153" t="s">
        <v>986</v>
      </c>
      <c r="N282" s="152" t="s">
        <v>987</v>
      </c>
      <c r="O282" s="153" t="s">
        <v>580</v>
      </c>
      <c r="P282" s="201" t="s">
        <v>48</v>
      </c>
      <c r="Q282" s="147" t="s">
        <v>48</v>
      </c>
      <c r="R282" s="148"/>
      <c r="S282" s="149" t="s">
        <v>988</v>
      </c>
    </row>
    <row r="283" spans="1:19" ht="18.75" customHeight="1" x14ac:dyDescent="0.25">
      <c r="A283" s="190">
        <v>203</v>
      </c>
      <c r="B283" s="191" t="s">
        <v>237</v>
      </c>
      <c r="C283" s="192" t="s">
        <v>1831</v>
      </c>
      <c r="D283" s="192" t="s">
        <v>217</v>
      </c>
      <c r="E283" s="138" t="s">
        <v>43</v>
      </c>
      <c r="F283" s="139" t="s">
        <v>53</v>
      </c>
      <c r="G283" s="140" t="s">
        <v>53</v>
      </c>
      <c r="H283" s="141" t="s">
        <v>722</v>
      </c>
      <c r="I283" s="142" t="s">
        <v>43</v>
      </c>
      <c r="J283" s="143" t="s">
        <v>53</v>
      </c>
      <c r="K283" s="190"/>
      <c r="L283" s="191"/>
      <c r="M283" s="204"/>
      <c r="N283" s="194"/>
      <c r="O283" s="195"/>
      <c r="P283" s="196"/>
      <c r="Q283" s="197"/>
      <c r="R283" s="198"/>
      <c r="S283" s="205" t="s">
        <v>796</v>
      </c>
    </row>
    <row r="284" spans="1:19" ht="18.75" customHeight="1" x14ac:dyDescent="0.25">
      <c r="A284" s="190">
        <v>205</v>
      </c>
      <c r="B284" s="191" t="s">
        <v>238</v>
      </c>
      <c r="C284" s="192" t="s">
        <v>1831</v>
      </c>
      <c r="D284" s="192" t="s">
        <v>217</v>
      </c>
      <c r="E284" s="138" t="s">
        <v>43</v>
      </c>
      <c r="F284" s="139" t="s">
        <v>53</v>
      </c>
      <c r="G284" s="140" t="s">
        <v>53</v>
      </c>
      <c r="H284" s="141" t="s">
        <v>722</v>
      </c>
      <c r="I284" s="142" t="s">
        <v>43</v>
      </c>
      <c r="J284" s="143" t="s">
        <v>53</v>
      </c>
      <c r="K284" s="190"/>
      <c r="L284" s="191"/>
      <c r="M284" s="204"/>
      <c r="N284" s="194"/>
      <c r="O284" s="195"/>
      <c r="P284" s="196"/>
      <c r="Q284" s="197"/>
      <c r="R284" s="198"/>
      <c r="S284" s="205" t="s">
        <v>796</v>
      </c>
    </row>
    <row r="285" spans="1:19" ht="18.75" customHeight="1" x14ac:dyDescent="0.25">
      <c r="A285" s="190">
        <v>206</v>
      </c>
      <c r="B285" s="191" t="s">
        <v>239</v>
      </c>
      <c r="C285" s="192" t="s">
        <v>1831</v>
      </c>
      <c r="D285" s="192" t="s">
        <v>217</v>
      </c>
      <c r="E285" s="138" t="s">
        <v>43</v>
      </c>
      <c r="F285" s="139" t="s">
        <v>53</v>
      </c>
      <c r="G285" s="140" t="s">
        <v>53</v>
      </c>
      <c r="H285" s="141" t="s">
        <v>722</v>
      </c>
      <c r="I285" s="142" t="s">
        <v>43</v>
      </c>
      <c r="J285" s="143" t="s">
        <v>53</v>
      </c>
      <c r="K285" s="190"/>
      <c r="L285" s="191"/>
      <c r="M285" s="204"/>
      <c r="N285" s="194"/>
      <c r="O285" s="195"/>
      <c r="P285" s="196"/>
      <c r="Q285" s="197"/>
      <c r="R285" s="198"/>
      <c r="S285" s="205" t="s">
        <v>796</v>
      </c>
    </row>
    <row r="286" spans="1:19" ht="18.75" customHeight="1" x14ac:dyDescent="0.25">
      <c r="A286" s="190">
        <v>207</v>
      </c>
      <c r="B286" s="191" t="s">
        <v>240</v>
      </c>
      <c r="C286" s="192" t="s">
        <v>1831</v>
      </c>
      <c r="D286" s="192" t="s">
        <v>217</v>
      </c>
      <c r="E286" s="138" t="s">
        <v>43</v>
      </c>
      <c r="F286" s="139" t="s">
        <v>53</v>
      </c>
      <c r="G286" s="140" t="s">
        <v>53</v>
      </c>
      <c r="H286" s="141" t="s">
        <v>722</v>
      </c>
      <c r="I286" s="142" t="s">
        <v>43</v>
      </c>
      <c r="J286" s="143" t="s">
        <v>53</v>
      </c>
      <c r="K286" s="190"/>
      <c r="L286" s="191"/>
      <c r="M286" s="204"/>
      <c r="N286" s="194"/>
      <c r="O286" s="195"/>
      <c r="P286" s="196"/>
      <c r="Q286" s="197"/>
      <c r="R286" s="198"/>
      <c r="S286" s="205" t="s">
        <v>796</v>
      </c>
    </row>
    <row r="287" spans="1:19" ht="18.75" customHeight="1" x14ac:dyDescent="0.25">
      <c r="A287" s="163" t="s">
        <v>625</v>
      </c>
      <c r="B287" s="164"/>
      <c r="C287" s="165" t="s">
        <v>625</v>
      </c>
      <c r="D287" s="165"/>
      <c r="E287" s="163"/>
      <c r="F287" s="164"/>
      <c r="G287" s="164"/>
      <c r="H287" s="164"/>
      <c r="I287" s="165"/>
      <c r="J287" s="474"/>
      <c r="K287" s="167"/>
      <c r="L287" s="168"/>
      <c r="M287" s="169"/>
      <c r="N287" s="170"/>
      <c r="O287" s="169"/>
      <c r="P287" s="171"/>
      <c r="Q287" s="172"/>
      <c r="R287" s="173"/>
      <c r="S287" s="174"/>
    </row>
    <row r="288" spans="1:19" ht="18.75" customHeight="1" x14ac:dyDescent="0.25">
      <c r="A288" s="135">
        <v>125</v>
      </c>
      <c r="B288" s="136" t="s">
        <v>626</v>
      </c>
      <c r="C288" s="137" t="s">
        <v>625</v>
      </c>
      <c r="D288" s="137" t="s">
        <v>627</v>
      </c>
      <c r="E288" s="138" t="s">
        <v>72</v>
      </c>
      <c r="F288" s="139" t="s">
        <v>87</v>
      </c>
      <c r="G288" s="140" t="s">
        <v>746</v>
      </c>
      <c r="H288" s="141" t="s">
        <v>722</v>
      </c>
      <c r="I288" s="142" t="s">
        <v>72</v>
      </c>
      <c r="J288" s="143" t="s">
        <v>752</v>
      </c>
      <c r="K288" s="152" t="s">
        <v>523</v>
      </c>
      <c r="L288" s="158" t="s">
        <v>523</v>
      </c>
      <c r="M288" s="153" t="s">
        <v>1010</v>
      </c>
      <c r="N288" s="152" t="s">
        <v>523</v>
      </c>
      <c r="O288" s="153" t="s">
        <v>523</v>
      </c>
      <c r="P288" s="201" t="s">
        <v>48</v>
      </c>
      <c r="Q288" s="147" t="s">
        <v>48</v>
      </c>
      <c r="R288" s="148"/>
      <c r="S288" s="149"/>
    </row>
    <row r="289" spans="1:19" ht="18.75" customHeight="1" x14ac:dyDescent="0.25">
      <c r="A289" s="135">
        <v>127</v>
      </c>
      <c r="B289" s="136" t="s">
        <v>630</v>
      </c>
      <c r="C289" s="137" t="s">
        <v>625</v>
      </c>
      <c r="D289" s="137" t="s">
        <v>631</v>
      </c>
      <c r="E289" s="138" t="s">
        <v>43</v>
      </c>
      <c r="F289" s="139" t="s">
        <v>71</v>
      </c>
      <c r="G289" s="140" t="s">
        <v>794</v>
      </c>
      <c r="H289" s="141" t="s">
        <v>722</v>
      </c>
      <c r="I289" s="142" t="s">
        <v>43</v>
      </c>
      <c r="J289" s="143" t="s">
        <v>737</v>
      </c>
      <c r="K289" s="152" t="s">
        <v>823</v>
      </c>
      <c r="L289" s="158" t="s">
        <v>527</v>
      </c>
      <c r="M289" s="153" t="s">
        <v>1011</v>
      </c>
      <c r="N289" s="152" t="s">
        <v>632</v>
      </c>
      <c r="O289" s="153" t="s">
        <v>633</v>
      </c>
      <c r="P289" s="201" t="s">
        <v>48</v>
      </c>
      <c r="Q289" s="147" t="s">
        <v>48</v>
      </c>
      <c r="R289" s="148"/>
      <c r="S289" s="149" t="s">
        <v>1012</v>
      </c>
    </row>
    <row r="290" spans="1:19" ht="18.75" customHeight="1" x14ac:dyDescent="0.25">
      <c r="A290" s="135">
        <v>128</v>
      </c>
      <c r="B290" s="136" t="s">
        <v>635</v>
      </c>
      <c r="C290" s="137" t="s">
        <v>625</v>
      </c>
      <c r="D290" s="137" t="s">
        <v>636</v>
      </c>
      <c r="E290" s="138" t="s">
        <v>43</v>
      </c>
      <c r="F290" s="139" t="s">
        <v>87</v>
      </c>
      <c r="G290" s="140" t="s">
        <v>794</v>
      </c>
      <c r="H290" s="141" t="s">
        <v>722</v>
      </c>
      <c r="I290" s="142" t="s">
        <v>43</v>
      </c>
      <c r="J290" s="143" t="s">
        <v>752</v>
      </c>
      <c r="K290" s="152" t="s">
        <v>1013</v>
      </c>
      <c r="L290" s="158" t="s">
        <v>1013</v>
      </c>
      <c r="M290" s="153" t="s">
        <v>1011</v>
      </c>
      <c r="N290" s="152" t="s">
        <v>637</v>
      </c>
      <c r="O290" s="153" t="s">
        <v>638</v>
      </c>
      <c r="P290" s="201" t="s">
        <v>48</v>
      </c>
      <c r="Q290" s="147" t="s">
        <v>1014</v>
      </c>
      <c r="R290" s="148"/>
      <c r="S290" s="149" t="s">
        <v>1015</v>
      </c>
    </row>
    <row r="291" spans="1:19" ht="18.75" customHeight="1" x14ac:dyDescent="0.25">
      <c r="A291" s="135">
        <v>129</v>
      </c>
      <c r="B291" s="136" t="s">
        <v>639</v>
      </c>
      <c r="C291" s="137" t="s">
        <v>625</v>
      </c>
      <c r="D291" s="137" t="s">
        <v>636</v>
      </c>
      <c r="E291" s="138" t="s">
        <v>72</v>
      </c>
      <c r="F291" s="139" t="s">
        <v>87</v>
      </c>
      <c r="G291" s="140" t="s">
        <v>88</v>
      </c>
      <c r="H291" s="141" t="s">
        <v>722</v>
      </c>
      <c r="I291" s="142" t="s">
        <v>72</v>
      </c>
      <c r="J291" s="143" t="s">
        <v>752</v>
      </c>
      <c r="K291" s="152" t="s">
        <v>823</v>
      </c>
      <c r="L291" s="158" t="s">
        <v>527</v>
      </c>
      <c r="M291" s="153" t="s">
        <v>1010</v>
      </c>
      <c r="N291" s="152" t="s">
        <v>632</v>
      </c>
      <c r="O291" s="153" t="s">
        <v>633</v>
      </c>
      <c r="P291" s="201" t="s">
        <v>48</v>
      </c>
      <c r="Q291" s="147" t="s">
        <v>48</v>
      </c>
      <c r="R291" s="148"/>
      <c r="S291" s="149" t="s">
        <v>1016</v>
      </c>
    </row>
    <row r="292" spans="1:19" ht="18.75" customHeight="1" x14ac:dyDescent="0.25">
      <c r="A292" s="135">
        <v>130</v>
      </c>
      <c r="B292" s="136" t="s">
        <v>640</v>
      </c>
      <c r="C292" s="137" t="s">
        <v>625</v>
      </c>
      <c r="D292" s="137" t="s">
        <v>641</v>
      </c>
      <c r="E292" s="138" t="s">
        <v>72</v>
      </c>
      <c r="F292" s="139" t="s">
        <v>99</v>
      </c>
      <c r="G292" s="140" t="s">
        <v>88</v>
      </c>
      <c r="H292" s="141" t="s">
        <v>722</v>
      </c>
      <c r="I292" s="142" t="s">
        <v>72</v>
      </c>
      <c r="J292" s="143" t="s">
        <v>752</v>
      </c>
      <c r="K292" s="152" t="s">
        <v>823</v>
      </c>
      <c r="L292" s="158" t="s">
        <v>527</v>
      </c>
      <c r="M292" s="153" t="s">
        <v>1010</v>
      </c>
      <c r="N292" s="152" t="s">
        <v>632</v>
      </c>
      <c r="O292" s="153" t="s">
        <v>633</v>
      </c>
      <c r="P292" s="201" t="s">
        <v>48</v>
      </c>
      <c r="Q292" s="147" t="s">
        <v>48</v>
      </c>
      <c r="R292" s="148"/>
      <c r="S292" s="149" t="s">
        <v>1016</v>
      </c>
    </row>
    <row r="293" spans="1:19" ht="18.75" customHeight="1" x14ac:dyDescent="0.25">
      <c r="A293" s="135">
        <v>131</v>
      </c>
      <c r="B293" s="136" t="s">
        <v>642</v>
      </c>
      <c r="C293" s="137" t="s">
        <v>625</v>
      </c>
      <c r="D293" s="137" t="s">
        <v>641</v>
      </c>
      <c r="E293" s="138" t="s">
        <v>72</v>
      </c>
      <c r="F293" s="139" t="s">
        <v>99</v>
      </c>
      <c r="G293" s="140" t="s">
        <v>88</v>
      </c>
      <c r="H293" s="141" t="s">
        <v>722</v>
      </c>
      <c r="I293" s="142" t="s">
        <v>72</v>
      </c>
      <c r="J293" s="143" t="s">
        <v>752</v>
      </c>
      <c r="K293" s="152" t="s">
        <v>823</v>
      </c>
      <c r="L293" s="158" t="s">
        <v>527</v>
      </c>
      <c r="M293" s="153" t="s">
        <v>1010</v>
      </c>
      <c r="N293" s="152" t="s">
        <v>632</v>
      </c>
      <c r="O293" s="153" t="s">
        <v>633</v>
      </c>
      <c r="P293" s="201" t="s">
        <v>48</v>
      </c>
      <c r="Q293" s="147" t="s">
        <v>48</v>
      </c>
      <c r="R293" s="148"/>
      <c r="S293" s="149" t="s">
        <v>1016</v>
      </c>
    </row>
    <row r="294" spans="1:19" ht="18.75" customHeight="1" x14ac:dyDescent="0.25">
      <c r="A294" s="135">
        <v>132</v>
      </c>
      <c r="B294" s="136" t="s">
        <v>643</v>
      </c>
      <c r="C294" s="137" t="s">
        <v>625</v>
      </c>
      <c r="D294" s="137" t="s">
        <v>644</v>
      </c>
      <c r="E294" s="138" t="s">
        <v>43</v>
      </c>
      <c r="F294" s="139" t="s">
        <v>99</v>
      </c>
      <c r="G294" s="140" t="s">
        <v>746</v>
      </c>
      <c r="H294" s="141" t="s">
        <v>722</v>
      </c>
      <c r="I294" s="142" t="s">
        <v>43</v>
      </c>
      <c r="J294" s="249" t="s">
        <v>752</v>
      </c>
      <c r="K294" s="152" t="s">
        <v>823</v>
      </c>
      <c r="L294" s="158" t="s">
        <v>527</v>
      </c>
      <c r="M294" s="153" t="s">
        <v>1010</v>
      </c>
      <c r="N294" s="152" t="s">
        <v>523</v>
      </c>
      <c r="O294" s="153" t="s">
        <v>523</v>
      </c>
      <c r="P294" s="201" t="s">
        <v>48</v>
      </c>
      <c r="Q294" s="147" t="s">
        <v>48</v>
      </c>
      <c r="R294" s="148"/>
      <c r="S294" s="149"/>
    </row>
    <row r="295" spans="1:19" ht="18.75" customHeight="1" x14ac:dyDescent="0.25">
      <c r="A295" s="135">
        <v>133</v>
      </c>
      <c r="B295" s="136" t="s">
        <v>646</v>
      </c>
      <c r="C295" s="137" t="s">
        <v>625</v>
      </c>
      <c r="D295" s="137" t="s">
        <v>647</v>
      </c>
      <c r="E295" s="138" t="s">
        <v>43</v>
      </c>
      <c r="F295" s="139" t="s">
        <v>67</v>
      </c>
      <c r="G295" s="140" t="s">
        <v>794</v>
      </c>
      <c r="H295" s="141" t="s">
        <v>767</v>
      </c>
      <c r="I295" s="142" t="s">
        <v>72</v>
      </c>
      <c r="J295" s="143" t="s">
        <v>737</v>
      </c>
      <c r="K295" s="152" t="s">
        <v>1017</v>
      </c>
      <c r="L295" s="158" t="s">
        <v>985</v>
      </c>
      <c r="M295" s="153" t="s">
        <v>1011</v>
      </c>
      <c r="N295" s="152" t="s">
        <v>637</v>
      </c>
      <c r="O295" s="153" t="s">
        <v>648</v>
      </c>
      <c r="P295" s="201" t="s">
        <v>48</v>
      </c>
      <c r="Q295" s="147" t="s">
        <v>48</v>
      </c>
      <c r="R295" s="148"/>
      <c r="S295" s="246" t="s">
        <v>1018</v>
      </c>
    </row>
    <row r="296" spans="1:19" ht="18.75" customHeight="1" x14ac:dyDescent="0.25">
      <c r="A296" s="135">
        <v>134</v>
      </c>
      <c r="B296" s="136" t="s">
        <v>649</v>
      </c>
      <c r="C296" s="137" t="s">
        <v>625</v>
      </c>
      <c r="D296" s="137" t="s">
        <v>650</v>
      </c>
      <c r="E296" s="138" t="s">
        <v>43</v>
      </c>
      <c r="F296" s="139" t="s">
        <v>87</v>
      </c>
      <c r="G296" s="140" t="s">
        <v>746</v>
      </c>
      <c r="H296" s="141" t="s">
        <v>722</v>
      </c>
      <c r="I296" s="142" t="s">
        <v>72</v>
      </c>
      <c r="J296" s="143" t="s">
        <v>737</v>
      </c>
      <c r="K296" s="152" t="s">
        <v>823</v>
      </c>
      <c r="L296" s="158" t="s">
        <v>823</v>
      </c>
      <c r="M296" s="153" t="s">
        <v>1011</v>
      </c>
      <c r="N296" s="152" t="s">
        <v>637</v>
      </c>
      <c r="O296" s="153" t="s">
        <v>648</v>
      </c>
      <c r="P296" s="201" t="s">
        <v>48</v>
      </c>
      <c r="Q296" s="147" t="s">
        <v>48</v>
      </c>
      <c r="R296" s="148"/>
      <c r="S296" s="149" t="s">
        <v>1019</v>
      </c>
    </row>
    <row r="297" spans="1:19" ht="18.75" customHeight="1" x14ac:dyDescent="0.25">
      <c r="A297" s="135">
        <v>135</v>
      </c>
      <c r="B297" s="136" t="s">
        <v>652</v>
      </c>
      <c r="C297" s="137" t="s">
        <v>625</v>
      </c>
      <c r="D297" s="137" t="s">
        <v>650</v>
      </c>
      <c r="E297" s="138" t="s">
        <v>43</v>
      </c>
      <c r="F297" s="139" t="s">
        <v>87</v>
      </c>
      <c r="G297" s="140" t="s">
        <v>746</v>
      </c>
      <c r="H297" s="141" t="s">
        <v>722</v>
      </c>
      <c r="I297" s="142" t="s">
        <v>43</v>
      </c>
      <c r="J297" s="143" t="s">
        <v>720</v>
      </c>
      <c r="K297" s="152" t="s">
        <v>823</v>
      </c>
      <c r="L297" s="158" t="s">
        <v>985</v>
      </c>
      <c r="M297" s="153" t="s">
        <v>1010</v>
      </c>
      <c r="N297" s="152" t="s">
        <v>637</v>
      </c>
      <c r="O297" s="153" t="s">
        <v>648</v>
      </c>
      <c r="P297" s="201" t="s">
        <v>48</v>
      </c>
      <c r="Q297" s="147" t="s">
        <v>48</v>
      </c>
      <c r="R297" s="148"/>
      <c r="S297" s="149"/>
    </row>
    <row r="298" spans="1:19" ht="18.75" customHeight="1" x14ac:dyDescent="0.25">
      <c r="A298" s="135">
        <v>138</v>
      </c>
      <c r="B298" s="136" t="s">
        <v>653</v>
      </c>
      <c r="C298" s="472" t="s">
        <v>625</v>
      </c>
      <c r="D298" s="137" t="s">
        <v>654</v>
      </c>
      <c r="E298" s="138" t="s">
        <v>72</v>
      </c>
      <c r="F298" s="139" t="s">
        <v>87</v>
      </c>
      <c r="G298" s="140" t="s">
        <v>88</v>
      </c>
      <c r="H298" s="141" t="s">
        <v>767</v>
      </c>
      <c r="I298" s="142" t="s">
        <v>43</v>
      </c>
      <c r="J298" s="249" t="s">
        <v>752</v>
      </c>
      <c r="K298" s="152" t="s">
        <v>823</v>
      </c>
      <c r="L298" s="158" t="s">
        <v>823</v>
      </c>
      <c r="M298" s="153" t="s">
        <v>1011</v>
      </c>
      <c r="N298" s="152" t="s">
        <v>637</v>
      </c>
      <c r="O298" s="154" t="s">
        <v>648</v>
      </c>
      <c r="P298" s="201" t="s">
        <v>48</v>
      </c>
      <c r="Q298" s="147" t="s">
        <v>48</v>
      </c>
      <c r="R298" s="148"/>
      <c r="S298" s="246" t="s">
        <v>1020</v>
      </c>
    </row>
    <row r="299" spans="1:19" ht="18.75" customHeight="1" x14ac:dyDescent="0.25">
      <c r="A299" s="135">
        <v>139</v>
      </c>
      <c r="B299" s="136" t="s">
        <v>656</v>
      </c>
      <c r="C299" s="472" t="s">
        <v>625</v>
      </c>
      <c r="D299" s="137" t="s">
        <v>657</v>
      </c>
      <c r="E299" s="138" t="s">
        <v>43</v>
      </c>
      <c r="F299" s="139" t="s">
        <v>67</v>
      </c>
      <c r="G299" s="140" t="s">
        <v>45</v>
      </c>
      <c r="H299" s="141" t="s">
        <v>767</v>
      </c>
      <c r="I299" s="142" t="s">
        <v>72</v>
      </c>
      <c r="J299" s="249" t="s">
        <v>738</v>
      </c>
      <c r="K299" s="152" t="s">
        <v>823</v>
      </c>
      <c r="L299" s="158" t="s">
        <v>823</v>
      </c>
      <c r="M299" s="153" t="s">
        <v>1010</v>
      </c>
      <c r="N299" s="152" t="s">
        <v>637</v>
      </c>
      <c r="O299" s="153" t="s">
        <v>659</v>
      </c>
      <c r="P299" s="201" t="s">
        <v>48</v>
      </c>
      <c r="Q299" s="147" t="s">
        <v>1021</v>
      </c>
      <c r="R299" s="148"/>
      <c r="S299" s="246" t="s">
        <v>1022</v>
      </c>
    </row>
    <row r="300" spans="1:19" ht="18.75" customHeight="1" x14ac:dyDescent="0.25">
      <c r="A300" s="135">
        <v>140</v>
      </c>
      <c r="B300" s="136" t="s">
        <v>661</v>
      </c>
      <c r="C300" s="472" t="s">
        <v>625</v>
      </c>
      <c r="D300" s="137" t="s">
        <v>657</v>
      </c>
      <c r="E300" s="138" t="s">
        <v>43</v>
      </c>
      <c r="F300" s="139" t="s">
        <v>73</v>
      </c>
      <c r="G300" s="140" t="s">
        <v>794</v>
      </c>
      <c r="H300" s="141" t="s">
        <v>722</v>
      </c>
      <c r="I300" s="142" t="s">
        <v>72</v>
      </c>
      <c r="J300" s="249" t="s">
        <v>737</v>
      </c>
      <c r="K300" s="152" t="s">
        <v>823</v>
      </c>
      <c r="L300" s="158" t="s">
        <v>823</v>
      </c>
      <c r="M300" s="153" t="s">
        <v>1023</v>
      </c>
      <c r="N300" s="152" t="s">
        <v>637</v>
      </c>
      <c r="O300" s="153" t="s">
        <v>659</v>
      </c>
      <c r="P300" s="201" t="s">
        <v>48</v>
      </c>
      <c r="Q300" s="147" t="s">
        <v>48</v>
      </c>
      <c r="R300" s="148"/>
      <c r="S300" s="149" t="s">
        <v>1024</v>
      </c>
    </row>
    <row r="301" spans="1:19" ht="18.75" customHeight="1" x14ac:dyDescent="0.25">
      <c r="A301" s="135">
        <v>141</v>
      </c>
      <c r="B301" s="136" t="s">
        <v>662</v>
      </c>
      <c r="C301" s="472" t="s">
        <v>625</v>
      </c>
      <c r="D301" s="137" t="s">
        <v>657</v>
      </c>
      <c r="E301" s="138" t="s">
        <v>43</v>
      </c>
      <c r="F301" s="139" t="s">
        <v>73</v>
      </c>
      <c r="G301" s="140" t="s">
        <v>45</v>
      </c>
      <c r="H301" s="141" t="s">
        <v>722</v>
      </c>
      <c r="I301" s="142" t="s">
        <v>43</v>
      </c>
      <c r="J301" s="249" t="s">
        <v>737</v>
      </c>
      <c r="K301" s="152" t="s">
        <v>823</v>
      </c>
      <c r="L301" s="158" t="s">
        <v>823</v>
      </c>
      <c r="M301" s="153" t="s">
        <v>1025</v>
      </c>
      <c r="N301" s="152" t="s">
        <v>637</v>
      </c>
      <c r="O301" s="153" t="s">
        <v>659</v>
      </c>
      <c r="P301" s="201" t="s">
        <v>48</v>
      </c>
      <c r="Q301" s="147" t="s">
        <v>48</v>
      </c>
      <c r="R301" s="148"/>
      <c r="S301" s="149" t="s">
        <v>1026</v>
      </c>
    </row>
    <row r="302" spans="1:19" ht="18.75" customHeight="1" x14ac:dyDescent="0.25">
      <c r="A302" s="135">
        <v>142</v>
      </c>
      <c r="B302" s="136" t="s">
        <v>663</v>
      </c>
      <c r="C302" s="472" t="s">
        <v>625</v>
      </c>
      <c r="D302" s="137" t="s">
        <v>664</v>
      </c>
      <c r="E302" s="138" t="s">
        <v>43</v>
      </c>
      <c r="F302" s="139" t="s">
        <v>73</v>
      </c>
      <c r="G302" s="140" t="s">
        <v>45</v>
      </c>
      <c r="H302" s="141" t="s">
        <v>722</v>
      </c>
      <c r="I302" s="142" t="s">
        <v>72</v>
      </c>
      <c r="J302" s="249" t="s">
        <v>738</v>
      </c>
      <c r="K302" s="152" t="s">
        <v>1027</v>
      </c>
      <c r="L302" s="158" t="s">
        <v>1027</v>
      </c>
      <c r="M302" s="153" t="s">
        <v>1011</v>
      </c>
      <c r="N302" s="152" t="s">
        <v>637</v>
      </c>
      <c r="O302" s="153" t="s">
        <v>659</v>
      </c>
      <c r="P302" s="201" t="s">
        <v>48</v>
      </c>
      <c r="Q302" s="147" t="s">
        <v>48</v>
      </c>
      <c r="R302" s="148"/>
      <c r="S302" s="149" t="s">
        <v>1028</v>
      </c>
    </row>
    <row r="303" spans="1:19" ht="18.75" customHeight="1" x14ac:dyDescent="0.25">
      <c r="A303" s="159">
        <v>329</v>
      </c>
      <c r="B303" s="214" t="s">
        <v>665</v>
      </c>
      <c r="C303" s="472" t="s">
        <v>625</v>
      </c>
      <c r="D303" s="137" t="s">
        <v>666</v>
      </c>
      <c r="E303" s="138" t="s">
        <v>43</v>
      </c>
      <c r="F303" s="139" t="s">
        <v>87</v>
      </c>
      <c r="G303" s="140" t="s">
        <v>751</v>
      </c>
      <c r="H303" s="141" t="s">
        <v>722</v>
      </c>
      <c r="I303" s="142" t="s">
        <v>43</v>
      </c>
      <c r="J303" s="249" t="s">
        <v>752</v>
      </c>
      <c r="K303" s="152" t="s">
        <v>256</v>
      </c>
      <c r="L303" s="158" t="s">
        <v>256</v>
      </c>
      <c r="M303" s="153" t="s">
        <v>1010</v>
      </c>
      <c r="N303" s="152" t="s">
        <v>632</v>
      </c>
      <c r="O303" s="153" t="s">
        <v>648</v>
      </c>
      <c r="P303" s="201" t="s">
        <v>48</v>
      </c>
      <c r="Q303" s="147" t="s">
        <v>48</v>
      </c>
      <c r="R303" s="148"/>
      <c r="S303" s="149"/>
    </row>
    <row r="304" spans="1:19" ht="18.75" customHeight="1" x14ac:dyDescent="0.25">
      <c r="A304" s="159">
        <v>330</v>
      </c>
      <c r="B304" s="214" t="s">
        <v>668</v>
      </c>
      <c r="C304" s="472" t="s">
        <v>625</v>
      </c>
      <c r="D304" s="137" t="s">
        <v>669</v>
      </c>
      <c r="E304" s="138" t="s">
        <v>72</v>
      </c>
      <c r="F304" s="139" t="s">
        <v>87</v>
      </c>
      <c r="G304" s="140" t="s">
        <v>751</v>
      </c>
      <c r="H304" s="141" t="s">
        <v>722</v>
      </c>
      <c r="I304" s="142" t="s">
        <v>43</v>
      </c>
      <c r="J304" s="249" t="s">
        <v>752</v>
      </c>
      <c r="K304" s="152" t="s">
        <v>527</v>
      </c>
      <c r="L304" s="158" t="s">
        <v>256</v>
      </c>
      <c r="M304" s="153" t="s">
        <v>1010</v>
      </c>
      <c r="N304" s="152" t="s">
        <v>523</v>
      </c>
      <c r="O304" s="153" t="s">
        <v>523</v>
      </c>
      <c r="P304" s="201" t="s">
        <v>48</v>
      </c>
      <c r="Q304" s="147" t="s">
        <v>48</v>
      </c>
      <c r="R304" s="148"/>
      <c r="S304" s="149"/>
    </row>
    <row r="305" spans="1:19" ht="18.75" customHeight="1" x14ac:dyDescent="0.25">
      <c r="A305" s="159">
        <v>331</v>
      </c>
      <c r="B305" s="214" t="s">
        <v>671</v>
      </c>
      <c r="C305" s="472" t="s">
        <v>625</v>
      </c>
      <c r="D305" s="137" t="s">
        <v>672</v>
      </c>
      <c r="E305" s="138" t="s">
        <v>72</v>
      </c>
      <c r="F305" s="139" t="s">
        <v>87</v>
      </c>
      <c r="G305" s="140" t="s">
        <v>751</v>
      </c>
      <c r="H305" s="141" t="s">
        <v>722</v>
      </c>
      <c r="I305" s="142" t="s">
        <v>43</v>
      </c>
      <c r="J305" s="249" t="s">
        <v>752</v>
      </c>
      <c r="K305" s="152" t="s">
        <v>527</v>
      </c>
      <c r="L305" s="158" t="s">
        <v>256</v>
      </c>
      <c r="M305" s="153" t="s">
        <v>1010</v>
      </c>
      <c r="N305" s="152" t="s">
        <v>523</v>
      </c>
      <c r="O305" s="153" t="s">
        <v>523</v>
      </c>
      <c r="P305" s="201" t="s">
        <v>48</v>
      </c>
      <c r="Q305" s="147" t="s">
        <v>48</v>
      </c>
      <c r="R305" s="148"/>
      <c r="S305" s="149"/>
    </row>
    <row r="306" spans="1:19" ht="18.75" customHeight="1" x14ac:dyDescent="0.25">
      <c r="A306" s="159">
        <v>332</v>
      </c>
      <c r="B306" s="214" t="s">
        <v>674</v>
      </c>
      <c r="C306" s="472" t="s">
        <v>625</v>
      </c>
      <c r="D306" s="137" t="s">
        <v>675</v>
      </c>
      <c r="E306" s="138" t="s">
        <v>43</v>
      </c>
      <c r="F306" s="139" t="s">
        <v>87</v>
      </c>
      <c r="G306" s="140" t="s">
        <v>88</v>
      </c>
      <c r="H306" s="141" t="s">
        <v>722</v>
      </c>
      <c r="I306" s="142" t="s">
        <v>72</v>
      </c>
      <c r="J306" s="249" t="s">
        <v>737</v>
      </c>
      <c r="K306" s="152" t="s">
        <v>1029</v>
      </c>
      <c r="L306" s="158" t="s">
        <v>256</v>
      </c>
      <c r="M306" s="153" t="s">
        <v>1030</v>
      </c>
      <c r="N306" s="152" t="s">
        <v>632</v>
      </c>
      <c r="O306" s="153" t="s">
        <v>633</v>
      </c>
      <c r="P306" s="201" t="s">
        <v>48</v>
      </c>
      <c r="Q306" s="147" t="s">
        <v>48</v>
      </c>
      <c r="R306" s="148"/>
      <c r="S306" s="149" t="s">
        <v>1031</v>
      </c>
    </row>
    <row r="307" spans="1:19" ht="18.75" customHeight="1" x14ac:dyDescent="0.25">
      <c r="A307" s="159">
        <v>333</v>
      </c>
      <c r="B307" s="214" t="s">
        <v>677</v>
      </c>
      <c r="C307" s="472" t="s">
        <v>625</v>
      </c>
      <c r="D307" s="137" t="s">
        <v>675</v>
      </c>
      <c r="E307" s="138" t="s">
        <v>43</v>
      </c>
      <c r="F307" s="139" t="s">
        <v>87</v>
      </c>
      <c r="G307" s="140" t="s">
        <v>88</v>
      </c>
      <c r="H307" s="141" t="s">
        <v>722</v>
      </c>
      <c r="I307" s="142" t="s">
        <v>72</v>
      </c>
      <c r="J307" s="249" t="s">
        <v>737</v>
      </c>
      <c r="K307" s="152" t="s">
        <v>823</v>
      </c>
      <c r="L307" s="158" t="s">
        <v>823</v>
      </c>
      <c r="M307" s="153" t="s">
        <v>1032</v>
      </c>
      <c r="N307" s="152" t="s">
        <v>632</v>
      </c>
      <c r="O307" s="153" t="s">
        <v>633</v>
      </c>
      <c r="P307" s="201" t="s">
        <v>48</v>
      </c>
      <c r="Q307" s="147" t="s">
        <v>48</v>
      </c>
      <c r="R307" s="148"/>
      <c r="S307" s="246" t="s">
        <v>1033</v>
      </c>
    </row>
    <row r="308" spans="1:19" ht="18.75" customHeight="1" x14ac:dyDescent="0.25">
      <c r="A308" s="159">
        <v>334</v>
      </c>
      <c r="B308" s="214" t="s">
        <v>679</v>
      </c>
      <c r="C308" s="472" t="s">
        <v>625</v>
      </c>
      <c r="D308" s="137" t="s">
        <v>680</v>
      </c>
      <c r="E308" s="138" t="s">
        <v>43</v>
      </c>
      <c r="F308" s="139" t="s">
        <v>87</v>
      </c>
      <c r="G308" s="140" t="s">
        <v>751</v>
      </c>
      <c r="H308" s="141" t="s">
        <v>722</v>
      </c>
      <c r="I308" s="142" t="s">
        <v>43</v>
      </c>
      <c r="J308" s="249" t="s">
        <v>737</v>
      </c>
      <c r="K308" s="152" t="s">
        <v>823</v>
      </c>
      <c r="L308" s="158" t="s">
        <v>823</v>
      </c>
      <c r="M308" s="153" t="s">
        <v>1032</v>
      </c>
      <c r="N308" s="152" t="s">
        <v>632</v>
      </c>
      <c r="O308" s="153" t="s">
        <v>633</v>
      </c>
      <c r="P308" s="201" t="s">
        <v>48</v>
      </c>
      <c r="Q308" s="147" t="s">
        <v>48</v>
      </c>
      <c r="R308" s="148"/>
      <c r="S308" s="149" t="s">
        <v>1034</v>
      </c>
    </row>
    <row r="309" spans="1:19" ht="18.75" customHeight="1" x14ac:dyDescent="0.25">
      <c r="A309" s="159">
        <v>335</v>
      </c>
      <c r="B309" s="214" t="s">
        <v>682</v>
      </c>
      <c r="C309" s="472" t="s">
        <v>625</v>
      </c>
      <c r="D309" s="137" t="s">
        <v>683</v>
      </c>
      <c r="E309" s="138" t="s">
        <v>72</v>
      </c>
      <c r="F309" s="139" t="s">
        <v>87</v>
      </c>
      <c r="G309" s="140" t="s">
        <v>88</v>
      </c>
      <c r="H309" s="141" t="s">
        <v>722</v>
      </c>
      <c r="I309" s="142" t="s">
        <v>43</v>
      </c>
      <c r="J309" s="249" t="s">
        <v>752</v>
      </c>
      <c r="K309" s="152" t="s">
        <v>823</v>
      </c>
      <c r="L309" s="158" t="s">
        <v>527</v>
      </c>
      <c r="M309" s="153" t="s">
        <v>1010</v>
      </c>
      <c r="N309" s="152" t="s">
        <v>637</v>
      </c>
      <c r="O309" s="153" t="s">
        <v>648</v>
      </c>
      <c r="P309" s="201" t="s">
        <v>48</v>
      </c>
      <c r="Q309" s="147" t="s">
        <v>48</v>
      </c>
      <c r="R309" s="148"/>
      <c r="S309" s="149"/>
    </row>
    <row r="310" spans="1:19" ht="18.75" customHeight="1" x14ac:dyDescent="0.25">
      <c r="A310" s="159">
        <v>336</v>
      </c>
      <c r="B310" s="214" t="s">
        <v>685</v>
      </c>
      <c r="C310" s="472" t="s">
        <v>625</v>
      </c>
      <c r="D310" s="137" t="s">
        <v>686</v>
      </c>
      <c r="E310" s="138" t="s">
        <v>72</v>
      </c>
      <c r="F310" s="139" t="s">
        <v>87</v>
      </c>
      <c r="G310" s="140" t="s">
        <v>751</v>
      </c>
      <c r="H310" s="141" t="s">
        <v>722</v>
      </c>
      <c r="I310" s="142" t="s">
        <v>72</v>
      </c>
      <c r="J310" s="249" t="s">
        <v>720</v>
      </c>
      <c r="K310" s="152" t="s">
        <v>823</v>
      </c>
      <c r="L310" s="158" t="s">
        <v>823</v>
      </c>
      <c r="M310" s="153" t="s">
        <v>1010</v>
      </c>
      <c r="N310" s="152" t="s">
        <v>523</v>
      </c>
      <c r="O310" s="153" t="s">
        <v>523</v>
      </c>
      <c r="P310" s="201" t="s">
        <v>48</v>
      </c>
      <c r="Q310" s="147" t="s">
        <v>48</v>
      </c>
      <c r="R310" s="148"/>
      <c r="S310" s="149"/>
    </row>
    <row r="311" spans="1:19" ht="18.75" customHeight="1" x14ac:dyDescent="0.25">
      <c r="A311" s="163" t="s">
        <v>687</v>
      </c>
      <c r="B311" s="164"/>
      <c r="C311" s="163" t="s">
        <v>687</v>
      </c>
      <c r="D311" s="165"/>
      <c r="E311" s="163"/>
      <c r="F311" s="164"/>
      <c r="G311" s="164"/>
      <c r="H311" s="164"/>
      <c r="I311" s="165"/>
      <c r="J311" s="166"/>
      <c r="K311" s="167"/>
      <c r="L311" s="168"/>
      <c r="M311" s="169"/>
      <c r="N311" s="170"/>
      <c r="O311" s="169"/>
      <c r="P311" s="171"/>
      <c r="Q311" s="172"/>
      <c r="R311" s="173"/>
      <c r="S311" s="174"/>
    </row>
    <row r="312" spans="1:19" ht="18.75" customHeight="1" x14ac:dyDescent="0.25">
      <c r="A312" s="135">
        <v>97</v>
      </c>
      <c r="B312" s="136" t="s">
        <v>688</v>
      </c>
      <c r="C312" s="472" t="s">
        <v>687</v>
      </c>
      <c r="D312" s="137" t="s">
        <v>689</v>
      </c>
      <c r="E312" s="138" t="s">
        <v>72</v>
      </c>
      <c r="F312" s="139" t="s">
        <v>104</v>
      </c>
      <c r="G312" s="140" t="s">
        <v>45</v>
      </c>
      <c r="H312" s="141" t="s">
        <v>719</v>
      </c>
      <c r="I312" s="142" t="s">
        <v>43</v>
      </c>
      <c r="J312" s="249" t="s">
        <v>752</v>
      </c>
      <c r="K312" s="152" t="s">
        <v>882</v>
      </c>
      <c r="L312" s="158" t="s">
        <v>882</v>
      </c>
      <c r="M312" s="153" t="s">
        <v>48</v>
      </c>
      <c r="N312" s="236" t="s">
        <v>48</v>
      </c>
      <c r="O312" s="153" t="s">
        <v>48</v>
      </c>
      <c r="P312" s="462" t="s">
        <v>764</v>
      </c>
      <c r="Q312" s="147" t="s">
        <v>48</v>
      </c>
      <c r="R312" s="148" t="s">
        <v>735</v>
      </c>
      <c r="S312" s="186" t="s">
        <v>1038</v>
      </c>
    </row>
    <row r="313" spans="1:19" ht="18.75" customHeight="1" x14ac:dyDescent="0.25">
      <c r="A313" s="135">
        <v>110</v>
      </c>
      <c r="B313" s="136" t="s">
        <v>471</v>
      </c>
      <c r="C313" s="472" t="s">
        <v>1849</v>
      </c>
      <c r="D313" s="137" t="s">
        <v>446</v>
      </c>
      <c r="E313" s="138" t="s">
        <v>72</v>
      </c>
      <c r="F313" s="139" t="s">
        <v>99</v>
      </c>
      <c r="G313" s="140" t="s">
        <v>746</v>
      </c>
      <c r="H313" s="141" t="s">
        <v>722</v>
      </c>
      <c r="I313" s="142" t="s">
        <v>43</v>
      </c>
      <c r="J313" s="249" t="s">
        <v>752</v>
      </c>
      <c r="K313" s="152" t="s">
        <v>882</v>
      </c>
      <c r="L313" s="158" t="s">
        <v>882</v>
      </c>
      <c r="M313" s="153" t="s">
        <v>48</v>
      </c>
      <c r="N313" s="236" t="s">
        <v>48</v>
      </c>
      <c r="O313" s="153" t="s">
        <v>48</v>
      </c>
      <c r="P313" s="201" t="s">
        <v>48</v>
      </c>
      <c r="Q313" s="147" t="s">
        <v>48</v>
      </c>
      <c r="R313" s="148"/>
      <c r="S313" s="186" t="s">
        <v>1038</v>
      </c>
    </row>
    <row r="314" spans="1:19" ht="18.75" customHeight="1" x14ac:dyDescent="0.25">
      <c r="A314" s="135">
        <v>95</v>
      </c>
      <c r="B314" s="136" t="s">
        <v>75</v>
      </c>
      <c r="C314" s="472" t="s">
        <v>1845</v>
      </c>
      <c r="D314" s="137" t="s">
        <v>63</v>
      </c>
      <c r="E314" s="138" t="s">
        <v>43</v>
      </c>
      <c r="F314" s="139" t="s">
        <v>67</v>
      </c>
      <c r="G314" s="140" t="s">
        <v>45</v>
      </c>
      <c r="H314" s="141" t="s">
        <v>722</v>
      </c>
      <c r="I314" s="142" t="s">
        <v>72</v>
      </c>
      <c r="J314" s="249" t="s">
        <v>737</v>
      </c>
      <c r="K314" s="150" t="s">
        <v>413</v>
      </c>
      <c r="L314" s="157" t="s">
        <v>413</v>
      </c>
      <c r="M314" s="153" t="s">
        <v>1036</v>
      </c>
      <c r="N314" s="236" t="s">
        <v>48</v>
      </c>
      <c r="O314" s="153" t="s">
        <v>48</v>
      </c>
      <c r="P314" s="201" t="s">
        <v>48</v>
      </c>
      <c r="Q314" s="147" t="s">
        <v>48</v>
      </c>
      <c r="R314" s="148"/>
      <c r="S314" s="186" t="s">
        <v>1037</v>
      </c>
    </row>
    <row r="315" spans="1:19" ht="18.75" customHeight="1" x14ac:dyDescent="0.25">
      <c r="A315" s="163" t="s">
        <v>693</v>
      </c>
      <c r="B315" s="164"/>
      <c r="C315" s="163" t="s">
        <v>693</v>
      </c>
      <c r="D315" s="165"/>
      <c r="E315" s="163"/>
      <c r="F315" s="164"/>
      <c r="G315" s="164"/>
      <c r="H315" s="164"/>
      <c r="I315" s="165"/>
      <c r="J315" s="166"/>
      <c r="K315" s="167"/>
      <c r="L315" s="168"/>
      <c r="M315" s="169"/>
      <c r="N315" s="170"/>
      <c r="O315" s="169"/>
      <c r="P315" s="171"/>
      <c r="Q315" s="172"/>
      <c r="R315" s="173"/>
      <c r="S315" s="174"/>
    </row>
    <row r="316" spans="1:19" ht="18.75" customHeight="1" x14ac:dyDescent="0.25">
      <c r="A316" s="135">
        <v>343</v>
      </c>
      <c r="B316" s="136" t="s">
        <v>694</v>
      </c>
      <c r="C316" s="472" t="s">
        <v>693</v>
      </c>
      <c r="D316" s="137" t="s">
        <v>695</v>
      </c>
      <c r="E316" s="138" t="s">
        <v>72</v>
      </c>
      <c r="F316" s="139" t="s">
        <v>202</v>
      </c>
      <c r="G316" s="140" t="s">
        <v>746</v>
      </c>
      <c r="H316" s="141" t="s">
        <v>722</v>
      </c>
      <c r="I316" s="142" t="s">
        <v>43</v>
      </c>
      <c r="J316" s="249" t="s">
        <v>720</v>
      </c>
      <c r="K316" s="150" t="s">
        <v>760</v>
      </c>
      <c r="L316" s="155" t="s">
        <v>118</v>
      </c>
      <c r="M316" s="153">
        <v>3</v>
      </c>
      <c r="N316" s="152" t="s">
        <v>527</v>
      </c>
      <c r="O316" s="153" t="s">
        <v>527</v>
      </c>
      <c r="P316" s="201" t="s">
        <v>48</v>
      </c>
      <c r="Q316" s="147" t="s">
        <v>48</v>
      </c>
      <c r="R316" s="148" t="s">
        <v>1042</v>
      </c>
      <c r="S316" s="149"/>
    </row>
    <row r="317" spans="1:19" ht="18.75" customHeight="1" x14ac:dyDescent="0.25">
      <c r="A317" s="135">
        <v>344</v>
      </c>
      <c r="B317" s="136" t="s">
        <v>698</v>
      </c>
      <c r="C317" s="472" t="s">
        <v>693</v>
      </c>
      <c r="D317" s="137" t="s">
        <v>695</v>
      </c>
      <c r="E317" s="138" t="s">
        <v>72</v>
      </c>
      <c r="F317" s="139" t="s">
        <v>202</v>
      </c>
      <c r="G317" s="140" t="s">
        <v>746</v>
      </c>
      <c r="H317" s="141" t="s">
        <v>722</v>
      </c>
      <c r="I317" s="142" t="s">
        <v>43</v>
      </c>
      <c r="J317" s="249" t="s">
        <v>752</v>
      </c>
      <c r="K317" s="150" t="s">
        <v>413</v>
      </c>
      <c r="L317" s="220" t="s">
        <v>792</v>
      </c>
      <c r="M317" s="153">
        <v>3</v>
      </c>
      <c r="N317" s="152" t="s">
        <v>527</v>
      </c>
      <c r="O317" s="153" t="s">
        <v>527</v>
      </c>
      <c r="P317" s="201" t="s">
        <v>48</v>
      </c>
      <c r="Q317" s="147" t="s">
        <v>48</v>
      </c>
      <c r="R317" s="148" t="s">
        <v>1042</v>
      </c>
      <c r="S317" s="149"/>
    </row>
    <row r="318" spans="1:19" ht="18.75" customHeight="1" x14ac:dyDescent="0.25">
      <c r="A318" s="135">
        <v>345</v>
      </c>
      <c r="B318" s="136" t="s">
        <v>700</v>
      </c>
      <c r="C318" s="472" t="s">
        <v>693</v>
      </c>
      <c r="D318" s="137" t="s">
        <v>412</v>
      </c>
      <c r="E318" s="138" t="s">
        <v>72</v>
      </c>
      <c r="F318" s="139" t="s">
        <v>71</v>
      </c>
      <c r="G318" s="140" t="s">
        <v>746</v>
      </c>
      <c r="H318" s="141" t="s">
        <v>722</v>
      </c>
      <c r="I318" s="142" t="s">
        <v>72</v>
      </c>
      <c r="J318" s="249" t="s">
        <v>738</v>
      </c>
      <c r="K318" s="150" t="s">
        <v>413</v>
      </c>
      <c r="L318" s="157" t="s">
        <v>413</v>
      </c>
      <c r="M318" s="153">
        <v>1</v>
      </c>
      <c r="N318" s="152" t="s">
        <v>527</v>
      </c>
      <c r="O318" s="153" t="s">
        <v>527</v>
      </c>
      <c r="P318" s="201" t="s">
        <v>48</v>
      </c>
      <c r="Q318" s="147" t="s">
        <v>48</v>
      </c>
      <c r="R318" s="148" t="s">
        <v>1042</v>
      </c>
      <c r="S318" s="149" t="s">
        <v>1048</v>
      </c>
    </row>
    <row r="319" spans="1:19" ht="18.75" customHeight="1" x14ac:dyDescent="0.25">
      <c r="A319" s="135">
        <v>92</v>
      </c>
      <c r="B319" s="136" t="s">
        <v>79</v>
      </c>
      <c r="C319" s="472" t="s">
        <v>1842</v>
      </c>
      <c r="D319" s="137" t="s">
        <v>63</v>
      </c>
      <c r="E319" s="138" t="s">
        <v>43</v>
      </c>
      <c r="F319" s="139" t="s">
        <v>67</v>
      </c>
      <c r="G319" s="140" t="s">
        <v>45</v>
      </c>
      <c r="H319" s="141" t="s">
        <v>722</v>
      </c>
      <c r="I319" s="142" t="s">
        <v>72</v>
      </c>
      <c r="J319" s="249" t="s">
        <v>737</v>
      </c>
      <c r="K319" s="150" t="s">
        <v>413</v>
      </c>
      <c r="L319" s="157" t="s">
        <v>413</v>
      </c>
      <c r="M319" s="153">
        <v>1</v>
      </c>
      <c r="N319" s="152" t="s">
        <v>1044</v>
      </c>
      <c r="O319" s="153" t="s">
        <v>527</v>
      </c>
      <c r="P319" s="251" t="s">
        <v>43</v>
      </c>
      <c r="Q319" s="147" t="s">
        <v>48</v>
      </c>
      <c r="R319" s="148" t="s">
        <v>1045</v>
      </c>
      <c r="S319" s="149" t="s">
        <v>1046</v>
      </c>
    </row>
    <row r="320" spans="1:19" ht="18.75" customHeight="1" x14ac:dyDescent="0.25">
      <c r="A320" s="135">
        <v>95</v>
      </c>
      <c r="B320" s="136" t="s">
        <v>75</v>
      </c>
      <c r="C320" s="472" t="s">
        <v>1846</v>
      </c>
      <c r="D320" s="137" t="s">
        <v>63</v>
      </c>
      <c r="E320" s="138" t="s">
        <v>43</v>
      </c>
      <c r="F320" s="139" t="s">
        <v>67</v>
      </c>
      <c r="G320" s="140" t="s">
        <v>45</v>
      </c>
      <c r="H320" s="141" t="s">
        <v>722</v>
      </c>
      <c r="I320" s="142" t="s">
        <v>72</v>
      </c>
      <c r="J320" s="249" t="s">
        <v>737</v>
      </c>
      <c r="K320" s="150" t="s">
        <v>413</v>
      </c>
      <c r="L320" s="157" t="s">
        <v>760</v>
      </c>
      <c r="M320" s="153">
        <v>1</v>
      </c>
      <c r="N320" s="152" t="s">
        <v>1044</v>
      </c>
      <c r="O320" s="153" t="s">
        <v>527</v>
      </c>
      <c r="P320" s="251" t="s">
        <v>43</v>
      </c>
      <c r="Q320" s="147" t="s">
        <v>48</v>
      </c>
      <c r="R320" s="148" t="s">
        <v>1045</v>
      </c>
      <c r="S320" s="149" t="s">
        <v>1047</v>
      </c>
    </row>
    <row r="321" spans="1:19" ht="18.75" customHeight="1" x14ac:dyDescent="0.25">
      <c r="A321" s="135">
        <v>5</v>
      </c>
      <c r="B321" s="136" t="s">
        <v>449</v>
      </c>
      <c r="C321" s="472" t="s">
        <v>1825</v>
      </c>
      <c r="D321" s="137" t="s">
        <v>450</v>
      </c>
      <c r="E321" s="138" t="s">
        <v>43</v>
      </c>
      <c r="F321" s="139" t="s">
        <v>88</v>
      </c>
      <c r="G321" s="140" t="s">
        <v>45</v>
      </c>
      <c r="H321" s="141" t="s">
        <v>719</v>
      </c>
      <c r="I321" s="142" t="s">
        <v>72</v>
      </c>
      <c r="J321" s="249" t="s">
        <v>720</v>
      </c>
      <c r="K321" s="150" t="s">
        <v>1039</v>
      </c>
      <c r="L321" s="220" t="s">
        <v>721</v>
      </c>
      <c r="M321" s="153" t="s">
        <v>1040</v>
      </c>
      <c r="N321" s="250" t="s">
        <v>1041</v>
      </c>
      <c r="O321" s="153" t="s">
        <v>498</v>
      </c>
      <c r="P321" s="201" t="s">
        <v>48</v>
      </c>
      <c r="Q321" s="147" t="s">
        <v>48</v>
      </c>
      <c r="R321" s="148" t="s">
        <v>1042</v>
      </c>
      <c r="S321" s="149" t="s">
        <v>1043</v>
      </c>
    </row>
  </sheetData>
  <autoFilter ref="A9:S9">
    <sortState ref="A10:S321">
      <sortCondition ref="C9"/>
    </sortState>
  </autoFilter>
  <mergeCells count="3">
    <mergeCell ref="K8:M8"/>
    <mergeCell ref="N8:O8"/>
    <mergeCell ref="P8:R8"/>
  </mergeCells>
  <conditionalFormatting sqref="G52:G53 G88 G186:G187 G197 G205:G216 G228:G234 G262:G266 G268:G279 G286:G293 G31:G32 G118:G123 G125:G130 G199:G203 G218:G220 G244:G260 G281:G284 G34:G43 G101:G106 G295:G298 G45:G50 G55:G59 G61:G83 G91:G99 G108:G114 G140 G155 G195 G300:G321 G226">
    <cfRule type="cellIs" dxfId="1411" priority="1773" stopIfTrue="1" operator="equal">
      <formula>"Régime présumé naturel (100%) / Abfluss vermutlich natürlich"</formula>
    </cfRule>
    <cfRule type="cellIs" dxfId="1410" priority="1774" stopIfTrue="1" operator="equal">
      <formula>"non pertinent / nicht relevant"</formula>
    </cfRule>
    <cfRule type="cellIs" dxfId="1409" priority="1775" stopIfTrue="1" operator="equal">
      <formula>"61-80%"</formula>
    </cfRule>
    <cfRule type="cellIs" dxfId="1408" priority="1776" stopIfTrue="1" operator="equal">
      <formula>"41-60%"</formula>
    </cfRule>
    <cfRule type="cellIs" dxfId="1407" priority="1777" stopIfTrue="1" operator="equal">
      <formula>"21-40%"</formula>
    </cfRule>
    <cfRule type="cellIs" dxfId="1406" priority="1778" stopIfTrue="1" operator="equal">
      <formula>"0-20%"</formula>
    </cfRule>
    <cfRule type="cellIs" dxfId="1405" priority="1779" stopIfTrue="1" operator="equal">
      <formula>"81-100%"</formula>
    </cfRule>
    <cfRule type="cellIs" dxfId="1404" priority="1780" stopIfTrue="1" operator="equal">
      <formula>"100%"</formula>
    </cfRule>
  </conditionalFormatting>
  <conditionalFormatting sqref="H52:H53 H88 H186:H187 H197 H205:H216 H228:H234 H262:H266 H268:H279 H286:H293 H31:H32 H118:H123 H125:H130 H199:H203 H218:H220 H244:H260 H281:H284 H34:H43 H101:H106 H295:H298 H45:H50 H55:H59 H61:H83 H91:H99 H108:H114 H140 H155 H195 H300:H321 H226">
    <cfRule type="cellIs" dxfId="1403" priority="1770" stopIfTrue="1" operator="equal">
      <formula>"Non affecté / nicht betroffen"</formula>
    </cfRule>
    <cfRule type="cellIs" dxfId="1402" priority="1771" stopIfTrue="1" operator="equal">
      <formula>"Potentiellement affecté mais non plausible / möglicherweise betroffen aber nicht nachweisbar"</formula>
    </cfRule>
    <cfRule type="cellIs" dxfId="1401" priority="1772" stopIfTrue="1" operator="equal">
      <formula>"Potentiellement affecté / möglicherweise betroffen"</formula>
    </cfRule>
  </conditionalFormatting>
  <conditionalFormatting sqref="E52:E53 E88 E186:E187 E197 E205:E216 E228:E234 E262:E266 E268:E279 E286:E293 E31:E32 E118:E123 E125:E130 E199:E203 E218:E220 E244:E260 E281:E284 E101:E106 E295:E298 E45:E50 E34:E43 E55:E59 E61:E83 E91:E99 E108:E114 E140 E155 E195 E300:E321 E226">
    <cfRule type="expression" dxfId="1400" priority="1765">
      <formula>OR(F31="non pertinent / nicht relevant",F31="0")</formula>
    </cfRule>
    <cfRule type="expression" dxfId="1399" priority="1766">
      <formula>OR(F31="0-20%",F31="Charriage présumé naturel / Geschiebehaushalt vermutlich natürlich",F31="Déficit non apparent en charriage ou en remobilisation des sédiments / kein sichtbares Defizit beim Geschiebehaushalt bzw. bei der Mobilisierung von Geschiebe")</formula>
    </cfRule>
    <cfRule type="expression" dxfId="1398" priority="1767">
      <formula>OR(F31="21-50%",F31="La remobilisation des sédiments est perturbée / Mobilisierung von Geschiebe beeinträchtigt",F31="Charriage présumé faiblement perturbé / Geschiebe vermutlich leicht beeinträchtigt")</formula>
    </cfRule>
    <cfRule type="expression" dxfId="1397" priority="1768">
      <formula>OR(F31="51-80%",F31="Charriage présumé perturbé / Geschiebehaushalt vermutlich beeinträchtigt")</formula>
    </cfRule>
    <cfRule type="expression" dxfId="1396" priority="1769">
      <formula>OR(F31="81 -100%",F31="Problème lié à un manque de charriage ou à un manque de remobilisation des sédiments / Problem aufgrund Geschiebemangels bzw. mangelnder Mobilisierung von Geschiebe")</formula>
    </cfRule>
  </conditionalFormatting>
  <conditionalFormatting sqref="I52:I53 I88 I186:I187 I197 I205:I216 I228:I234 I262:I266 I268:I279 I286:I293 I31:I32 I118:I123 I125:I130 I199:I203 I218:I220 I244:I260 I281:I284 I101:I106 I295:I298 I45:I50 I34:I43 I55:I59 I61:I83 I91:I99 P155 P96 I108:I114 I140 I155 I195 I300:I321 I226">
    <cfRule type="expression" dxfId="1395" priority="1759">
      <formula>IF(J31="non pertinent / nicht relevant",TRUE,FALSE)</formula>
    </cfRule>
    <cfRule type="expression" dxfId="1394" priority="1760">
      <formula>IF(J31="Non nécessaire / nicht nötig",TRUE,FALSE)</formula>
    </cfRule>
    <cfRule type="expression" dxfId="1393" priority="1761">
      <formula>IF(J31="Partiellement nécessaire, difficile / teilweise nötig, schwierig",TRUE,FALSE)</formula>
    </cfRule>
    <cfRule type="expression" dxfId="1392" priority="1762">
      <formula>IF(J31="Partiellement nécessaire, facile / teilweise nötig, einfach",TRUE,FALSE)</formula>
    </cfRule>
    <cfRule type="expression" dxfId="1391" priority="1763">
      <formula>IF(J31="Très nécessaire, difficile / unbedingt nötig, schwierig",TRUE,FALSE)</formula>
    </cfRule>
    <cfRule type="expression" dxfId="1390" priority="1764">
      <formula>IF(J31="Très nécessaire, facile / unbedingt nötig, einfach",TRUE,FALSE)</formula>
    </cfRule>
  </conditionalFormatting>
  <conditionalFormatting sqref="F52:F53 F88 F91:F95 F108 F186:F187 F197 F205:F216 F228:F234 F262:F266 F268:F279 F286:F293 F31:F32 F118:F123 F125:F130 F199:F203 F218:F220 F244:F260 F281:F284 F295:F297 F34:F43 F55:F58 F61:F73 F97:F99 F101:F106 F111:F114 F45:F50 F75:F83">
    <cfRule type="cellIs" dxfId="1389" priority="1748" operator="equal">
      <formula>"Charriage présumé faiblement perturbé / Geschiebe vermutlich leicht beeinträchtigt"</formula>
    </cfRule>
    <cfRule type="cellIs" dxfId="1388" priority="1749" operator="equal">
      <formula>"La remobilisation des sédiments est perturbée / Mobilisierung von Geschiebe beeinträchtigt"</formula>
    </cfRule>
    <cfRule type="cellIs" dxfId="1387" priority="1750" operator="equal">
      <formula>"Problème lié à un manque de charriage ou à un manque de remobilisation des sédiments / Problem aufgrund Geschiebemangels bzw. mangelnder Mobilisierung von Geschiebe"</formula>
    </cfRule>
    <cfRule type="cellIs" dxfId="1386" priority="1751" operator="equal">
      <formula>"Déficit non apparent en charriage ou en remobilisation des sédiments / kein sichtbares Defizit beim Geschiebehaushalt bzw. bei der Mobilisierung von Geschiebe"</formula>
    </cfRule>
    <cfRule type="cellIs" dxfId="1385" priority="1752" operator="equal">
      <formula>"Charriage présumé perturbé / Geschiebehaushalt vermutlich beeinträchtigt"</formula>
    </cfRule>
    <cfRule type="cellIs" dxfId="1384" priority="1753" operator="equal">
      <formula>"Charriage présumé naturel / Geschiebehaushalt vermutlich natürlich"</formula>
    </cfRule>
    <cfRule type="cellIs" dxfId="1383" priority="1754" operator="equal">
      <formula>"non pertinent / nicht relevant"</formula>
    </cfRule>
    <cfRule type="cellIs" dxfId="1382" priority="1755" operator="equal">
      <formula>"21-50%"</formula>
    </cfRule>
    <cfRule type="cellIs" dxfId="1381" priority="1756" operator="equal">
      <formula>"51-80%"</formula>
    </cfRule>
  </conditionalFormatting>
  <conditionalFormatting sqref="F52:F53 F88 F91:F95 F108 F186:F187 F197 F205:F216 F228:F234 F262:F266 F268:F279 F286:F293 F31:F32 F118:F123 F125:F130 F199:F203 F218:F220 F244:F260 F281:F284 F295:F297 F34:F43 F55:F58 F61:F73 F97:F99 F101:F106 F111:F114 F45:F50 F75:F83">
    <cfRule type="cellIs" dxfId="1380" priority="1757" operator="equal">
      <formula>"81 -100%"</formula>
    </cfRule>
    <cfRule type="cellIs" dxfId="1379" priority="1758" operator="equal">
      <formula>"0-20%"</formula>
    </cfRule>
  </conditionalFormatting>
  <conditionalFormatting sqref="J10 J52:J53 J88 J91:J95 J108 J197 J205:J216 J228:J234 J262:J266 J268:J279 J286:J293 J31:J32 J118:J123 J125:J130 J185:J187 J199:J203 J218:J220 J244:J260 J281:J284 J295:J297 J34:J43 J55:J58 J61:J73 J97:J99 J101:J106 J111:J114 J45:J50 J75:J83">
    <cfRule type="cellIs" dxfId="1378" priority="1781" stopIfTrue="1" operator="equal">
      <formula>"non pertinent / nicht relevant"</formula>
    </cfRule>
  </conditionalFormatting>
  <conditionalFormatting sqref="I51">
    <cfRule type="expression" dxfId="1377" priority="1709">
      <formula>IF(J51="non pertinent / nicht relevant",TRUE,FALSE)</formula>
    </cfRule>
    <cfRule type="expression" dxfId="1376" priority="1710">
      <formula>IF(J51="Non nécessaire / nicht nötig",TRUE,FALSE)</formula>
    </cfRule>
    <cfRule type="expression" dxfId="1375" priority="1711">
      <formula>IF(J51="Partiellement nécessaire, difficile / teilweise nötig, schwierig",TRUE,FALSE)</formula>
    </cfRule>
    <cfRule type="expression" dxfId="1374" priority="1712">
      <formula>IF(J51="Partiellement nécessaire, facile / teilweise nötig, einfach",TRUE,FALSE)</formula>
    </cfRule>
    <cfRule type="expression" dxfId="1373" priority="1713">
      <formula>IF(J51="Très nécessaire, difficile / unbedingt nötig, schwierig",TRUE,FALSE)</formula>
    </cfRule>
    <cfRule type="expression" dxfId="1372" priority="1714">
      <formula>IF(J51="Très nécessaire, facile / unbedingt nötig, einfach",TRUE,FALSE)</formula>
    </cfRule>
  </conditionalFormatting>
  <conditionalFormatting sqref="G51">
    <cfRule type="cellIs" dxfId="1371" priority="1740" stopIfTrue="1" operator="equal">
      <formula>"Régime présumé naturel (100%) / Abfluss vermutlich natürlich"</formula>
    </cfRule>
    <cfRule type="cellIs" dxfId="1370" priority="1741" stopIfTrue="1" operator="equal">
      <formula>"non pertinent / nicht relevant"</formula>
    </cfRule>
    <cfRule type="cellIs" dxfId="1369" priority="1742" stopIfTrue="1" operator="equal">
      <formula>"61-80%"</formula>
    </cfRule>
    <cfRule type="cellIs" dxfId="1368" priority="1743" stopIfTrue="1" operator="equal">
      <formula>"41-60%"</formula>
    </cfRule>
    <cfRule type="cellIs" dxfId="1367" priority="1744" stopIfTrue="1" operator="equal">
      <formula>"21-40%"</formula>
    </cfRule>
    <cfRule type="cellIs" dxfId="1366" priority="1745" stopIfTrue="1" operator="equal">
      <formula>"0-20%"</formula>
    </cfRule>
    <cfRule type="cellIs" dxfId="1365" priority="1746" stopIfTrue="1" operator="equal">
      <formula>"81-100%"</formula>
    </cfRule>
    <cfRule type="cellIs" dxfId="1364" priority="1747" stopIfTrue="1" operator="equal">
      <formula>"100%"</formula>
    </cfRule>
  </conditionalFormatting>
  <conditionalFormatting sqref="H51">
    <cfRule type="cellIs" dxfId="1363" priority="1737" stopIfTrue="1" operator="equal">
      <formula>"Non affecté / nicht betroffen"</formula>
    </cfRule>
    <cfRule type="cellIs" dxfId="1362" priority="1738" stopIfTrue="1" operator="equal">
      <formula>"Potentiellement affecté mais non plausible / möglicherweise betroffen aber nicht nachweisbar"</formula>
    </cfRule>
    <cfRule type="cellIs" dxfId="1361" priority="1739" stopIfTrue="1" operator="equal">
      <formula>"Potentiellement affecté / möglicherweise betroffen"</formula>
    </cfRule>
  </conditionalFormatting>
  <conditionalFormatting sqref="J51">
    <cfRule type="cellIs" dxfId="1360" priority="1731" stopIfTrue="1" operator="equal">
      <formula>"non pertinent / nicht relevant"</formula>
    </cfRule>
    <cfRule type="cellIs" dxfId="1359" priority="1732" stopIfTrue="1" operator="equal">
      <formula>"Très nécessaire, difficile / unbedingt nötig, schwierig"</formula>
    </cfRule>
    <cfRule type="cellIs" dxfId="1358" priority="1733" stopIfTrue="1" operator="equal">
      <formula>"Partiellement nécessaire, facile / teilweise nötig, einfach"</formula>
    </cfRule>
    <cfRule type="cellIs" dxfId="1357" priority="1734" stopIfTrue="1" operator="equal">
      <formula>"Partiellement nécessaire, difficile / teilweise nötig, schwierig"</formula>
    </cfRule>
    <cfRule type="cellIs" dxfId="1356" priority="1735" stopIfTrue="1" operator="equal">
      <formula>"Très nécessaire, facile / unbedingt nötig, einfach"</formula>
    </cfRule>
    <cfRule type="cellIs" dxfId="1355" priority="1736" stopIfTrue="1" operator="equal">
      <formula>"Non nécessaire / nicht nötig"</formula>
    </cfRule>
  </conditionalFormatting>
  <conditionalFormatting sqref="F51">
    <cfRule type="cellIs" dxfId="1354" priority="1720" operator="equal">
      <formula>"Charriage présumé faiblement perturbé / Geschiebe vermutlich leicht beeinträchtigt"</formula>
    </cfRule>
    <cfRule type="cellIs" dxfId="1353" priority="1721" operator="equal">
      <formula>"La remobilisation des sédiments est perturbée / Mobilisierung von Geschiebe beeinträchtigt"</formula>
    </cfRule>
    <cfRule type="cellIs" dxfId="1352" priority="1722" operator="equal">
      <formula>"Problème lié à un manque de charriage ou à un manque de remobilisation des sédiments / Problem aufgrund Geschiebemangels bzw. mangelnder Mobilisierung von Geschiebe"</formula>
    </cfRule>
    <cfRule type="cellIs" dxfId="1351" priority="1723" operator="equal">
      <formula>"Déficit non apparent en charriage ou en remobilisation des sédiments / kein sichtbares Defizit beim Geschiebehaushalt bzw. bei der Mobilisierung von Geschiebe"</formula>
    </cfRule>
    <cfRule type="cellIs" dxfId="1350" priority="1724" operator="equal">
      <formula>"Charriage présumé perturbé / Geschiebehaushalt vermutlich beeinträchtigt"</formula>
    </cfRule>
    <cfRule type="cellIs" dxfId="1349" priority="1725" operator="equal">
      <formula>"Charriage présumé naturel / Geschiebehaushalt vermutlich natürlich"</formula>
    </cfRule>
    <cfRule type="cellIs" dxfId="1348" priority="1726" operator="equal">
      <formula>"non pertinent / nicht relevant"</formula>
    </cfRule>
    <cfRule type="cellIs" dxfId="1347" priority="1727" operator="equal">
      <formula>"21-50%"</formula>
    </cfRule>
    <cfRule type="cellIs" dxfId="1346" priority="1728" operator="equal">
      <formula>"51-80%"</formula>
    </cfRule>
  </conditionalFormatting>
  <conditionalFormatting sqref="F51">
    <cfRule type="cellIs" dxfId="1345" priority="1729" operator="equal">
      <formula>"81 -100%"</formula>
    </cfRule>
    <cfRule type="cellIs" dxfId="1344" priority="1730" operator="equal">
      <formula>"0-20%"</formula>
    </cfRule>
  </conditionalFormatting>
  <conditionalFormatting sqref="E51">
    <cfRule type="expression" dxfId="1343" priority="1715">
      <formula>OR(F51="non pertinent / nicht relevant",F51="0")</formula>
    </cfRule>
    <cfRule type="expression" dxfId="1342" priority="1716">
      <formula>OR(F51="0-20%",F51="Charriage présumé naturel / Geschiebehaushalt vermutlich natürlich",F51="Déficit non apparent en charriage ou en remobilisation des sédiments / kein sichtbares Defizit beim Geschiebehaushalt bzw. bei der Mobilisierung von Geschiebe")</formula>
    </cfRule>
    <cfRule type="expression" dxfId="1341" priority="1717">
      <formula>OR(F51="21-50%",F51="La remobilisation des sédiments est perturbée / Mobilisierung von Geschiebe beeinträchtigt",F51="Charriage présumé faiblement perturbé / Geschiebe vermutlich leicht beeinträchtigt")</formula>
    </cfRule>
    <cfRule type="expression" dxfId="1340" priority="1718">
      <formula>OR(F51="51-80%",F51="Charriage présumé perturbé / Geschiebehaushalt vermutlich beeinträchtigt")</formula>
    </cfRule>
    <cfRule type="expression" dxfId="1339" priority="1719">
      <formula>OR(F51="81 -100%",F51="Problème lié à un manque de charriage ou à un manque de remobilisation des sédiments / Problem aufgrund Geschiebemangels bzw. mangelnder Mobilisierung von Geschiebe")</formula>
    </cfRule>
  </conditionalFormatting>
  <conditionalFormatting sqref="I285">
    <cfRule type="expression" dxfId="1338" priority="1353">
      <formula>IF(J285="non pertinent / nicht relevant",TRUE,FALSE)</formula>
    </cfRule>
    <cfRule type="expression" dxfId="1337" priority="1354">
      <formula>IF(J285="Non nécessaire / nicht nötig",TRUE,FALSE)</formula>
    </cfRule>
    <cfRule type="expression" dxfId="1336" priority="1355">
      <formula>IF(J285="Partiellement nécessaire, difficile / teilweise nötig, schwierig",TRUE,FALSE)</formula>
    </cfRule>
    <cfRule type="expression" dxfId="1335" priority="1356">
      <formula>IF(J285="Partiellement nécessaire, facile / teilweise nötig, einfach",TRUE,FALSE)</formula>
    </cfRule>
    <cfRule type="expression" dxfId="1334" priority="1357">
      <formula>IF(J285="Très nécessaire, difficile / unbedingt nötig, schwierig",TRUE,FALSE)</formula>
    </cfRule>
    <cfRule type="expression" dxfId="1333" priority="1358">
      <formula>IF(J285="Très nécessaire, facile / unbedingt nötig, einfach",TRUE,FALSE)</formula>
    </cfRule>
  </conditionalFormatting>
  <conditionalFormatting sqref="E54">
    <cfRule type="expression" dxfId="1332" priority="1704">
      <formula>OR(F54="non pertinent / nicht relevant",F54="0")</formula>
    </cfRule>
    <cfRule type="expression" dxfId="1331" priority="1705">
      <formula>OR(F54="0-20%",F54="Charriage présumé naturel / Geschiebehaushalt vermutlich natürlich",F54="Déficit non apparent en charriage ou en remobilisation des sédiments / kein sichtbares Defizit beim Geschiebehaushalt bzw. bei der Mobilisierung von Geschiebe")</formula>
    </cfRule>
    <cfRule type="expression" dxfId="1330" priority="1706">
      <formula>OR(F54="21-50%",F54="La remobilisation des sédiments est perturbée / Mobilisierung von Geschiebe beeinträchtigt",F54="Charriage présumé faiblement perturbé / Geschiebe vermutlich leicht beeinträchtigt")</formula>
    </cfRule>
    <cfRule type="expression" dxfId="1329" priority="1707">
      <formula>OR(F54="51-80%",F54="Charriage présumé perturbé / Geschiebehaushalt vermutlich beeinträchtigt")</formula>
    </cfRule>
    <cfRule type="expression" dxfId="1328" priority="1708">
      <formula>OR(F54="81 -100%",F54="Problème lié à un manque de charriage ou à un manque de remobilisation des sédiments / Problem aufgrund Geschiebemangels bzw. mangelnder Mobilisierung von Geschiebe")</formula>
    </cfRule>
  </conditionalFormatting>
  <conditionalFormatting sqref="F54">
    <cfRule type="cellIs" dxfId="1327" priority="1693" operator="equal">
      <formula>"Charriage présumé faiblement perturbé / Geschiebe vermutlich leicht beeinträchtigt"</formula>
    </cfRule>
    <cfRule type="cellIs" dxfId="1326" priority="1694" operator="equal">
      <formula>"La remobilisation des sédiments est perturbée / Mobilisierung von Geschiebe beeinträchtigt"</formula>
    </cfRule>
    <cfRule type="cellIs" dxfId="1325" priority="1695" operator="equal">
      <formula>"Problème lié à un manque de charriage ou à un manque de remobilisation des sédiments / Problem aufgrund Geschiebemangels bzw. mangelnder Mobilisierung von Geschiebe"</formula>
    </cfRule>
    <cfRule type="cellIs" dxfId="1324" priority="1696" operator="equal">
      <formula>"Déficit non apparent en charriage ou en remobilisation des sédiments / kein sichtbares Defizit beim Geschiebehaushalt bzw. bei der Mobilisierung von Geschiebe"</formula>
    </cfRule>
    <cfRule type="cellIs" dxfId="1323" priority="1697" operator="equal">
      <formula>"Charriage présumé perturbé / Geschiebehaushalt vermutlich beeinträchtigt"</formula>
    </cfRule>
    <cfRule type="cellIs" dxfId="1322" priority="1698" operator="equal">
      <formula>"Charriage présumé naturel / Geschiebehaushalt vermutlich natürlich"</formula>
    </cfRule>
    <cfRule type="cellIs" dxfId="1321" priority="1699" operator="equal">
      <formula>"non pertinent / nicht relevant"</formula>
    </cfRule>
    <cfRule type="cellIs" dxfId="1320" priority="1700" operator="equal">
      <formula>"21-50%"</formula>
    </cfRule>
    <cfRule type="cellIs" dxfId="1319" priority="1701" operator="equal">
      <formula>"51-80%"</formula>
    </cfRule>
  </conditionalFormatting>
  <conditionalFormatting sqref="F54">
    <cfRule type="cellIs" dxfId="1318" priority="1702" operator="equal">
      <formula>"81 -100%"</formula>
    </cfRule>
    <cfRule type="cellIs" dxfId="1317" priority="1703" operator="equal">
      <formula>"0-20%"</formula>
    </cfRule>
  </conditionalFormatting>
  <conditionalFormatting sqref="G54">
    <cfRule type="cellIs" dxfId="1316" priority="1685" stopIfTrue="1" operator="equal">
      <formula>"Régime présumé naturel (100%) / Abfluss vermutlich natürlich"</formula>
    </cfRule>
    <cfRule type="cellIs" dxfId="1315" priority="1686" stopIfTrue="1" operator="equal">
      <formula>"non pertinent / nicht relevant"</formula>
    </cfRule>
    <cfRule type="cellIs" dxfId="1314" priority="1687" stopIfTrue="1" operator="equal">
      <formula>"61-80%"</formula>
    </cfRule>
    <cfRule type="cellIs" dxfId="1313" priority="1688" stopIfTrue="1" operator="equal">
      <formula>"41-60%"</formula>
    </cfRule>
    <cfRule type="cellIs" dxfId="1312" priority="1689" stopIfTrue="1" operator="equal">
      <formula>"21-40%"</formula>
    </cfRule>
    <cfRule type="cellIs" dxfId="1311" priority="1690" stopIfTrue="1" operator="equal">
      <formula>"0-20%"</formula>
    </cfRule>
    <cfRule type="cellIs" dxfId="1310" priority="1691" stopIfTrue="1" operator="equal">
      <formula>"81-100%"</formula>
    </cfRule>
    <cfRule type="cellIs" dxfId="1309" priority="1692" stopIfTrue="1" operator="equal">
      <formula>"100%"</formula>
    </cfRule>
  </conditionalFormatting>
  <conditionalFormatting sqref="H54">
    <cfRule type="cellIs" dxfId="1308" priority="1682" stopIfTrue="1" operator="equal">
      <formula>"Non affecté / nicht betroffen"</formula>
    </cfRule>
    <cfRule type="cellIs" dxfId="1307" priority="1683" stopIfTrue="1" operator="equal">
      <formula>"Potentiellement affecté mais non plausible / möglicherweise betroffen aber nicht nachweisbar"</formula>
    </cfRule>
    <cfRule type="cellIs" dxfId="1306" priority="1684" stopIfTrue="1" operator="equal">
      <formula>"Potentiellement affecté / möglicherweise betroffen"</formula>
    </cfRule>
  </conditionalFormatting>
  <conditionalFormatting sqref="I54">
    <cfRule type="expression" dxfId="1305" priority="1670">
      <formula>IF(J54="non pertinent / nicht relevant",TRUE,FALSE)</formula>
    </cfRule>
    <cfRule type="expression" dxfId="1304" priority="1671">
      <formula>IF(J54="Non nécessaire / nicht nötig",TRUE,FALSE)</formula>
    </cfRule>
    <cfRule type="expression" dxfId="1303" priority="1672">
      <formula>IF(J54="Partiellement nécessaire, difficile / teilweise nötig, schwierig",TRUE,FALSE)</formula>
    </cfRule>
    <cfRule type="expression" dxfId="1302" priority="1673">
      <formula>IF(J54="Partiellement nécessaire, facile / teilweise nötig, einfach",TRUE,FALSE)</formula>
    </cfRule>
    <cfRule type="expression" dxfId="1301" priority="1674">
      <formula>IF(J54="Très nécessaire, difficile / unbedingt nötig, schwierig",TRUE,FALSE)</formula>
    </cfRule>
    <cfRule type="expression" dxfId="1300" priority="1675">
      <formula>IF(J54="Très nécessaire, facile / unbedingt nötig, einfach",TRUE,FALSE)</formula>
    </cfRule>
  </conditionalFormatting>
  <conditionalFormatting sqref="J54">
    <cfRule type="cellIs" dxfId="1299" priority="1676" stopIfTrue="1" operator="equal">
      <formula>"non pertinent / nicht relevant"</formula>
    </cfRule>
    <cfRule type="cellIs" dxfId="1298" priority="1677" stopIfTrue="1" operator="equal">
      <formula>"Très nécessaire, difficile / unbedingt nötig, schwierig"</formula>
    </cfRule>
    <cfRule type="cellIs" dxfId="1297" priority="1678" stopIfTrue="1" operator="equal">
      <formula>"Partiellement nécessaire, facile / teilweise nötig, einfach"</formula>
    </cfRule>
    <cfRule type="cellIs" dxfId="1296" priority="1679" stopIfTrue="1" operator="equal">
      <formula>"Partiellement nécessaire, difficile / teilweise nötig, schwierig"</formula>
    </cfRule>
    <cfRule type="cellIs" dxfId="1295" priority="1680" stopIfTrue="1" operator="equal">
      <formula>"Très nécessaire, facile / unbedingt nötig, einfach"</formula>
    </cfRule>
    <cfRule type="cellIs" dxfId="1294" priority="1681" stopIfTrue="1" operator="equal">
      <formula>"Non nécessaire / nicht nötig"</formula>
    </cfRule>
  </conditionalFormatting>
  <conditionalFormatting sqref="G87">
    <cfRule type="cellIs" dxfId="1293" priority="1662" stopIfTrue="1" operator="equal">
      <formula>"Régime présumé naturel (100%) / Abfluss vermutlich natürlich"</formula>
    </cfRule>
    <cfRule type="cellIs" dxfId="1292" priority="1663" stopIfTrue="1" operator="equal">
      <formula>"non pertinent / nicht relevant"</formula>
    </cfRule>
    <cfRule type="cellIs" dxfId="1291" priority="1664" stopIfTrue="1" operator="equal">
      <formula>"61-80%"</formula>
    </cfRule>
    <cfRule type="cellIs" dxfId="1290" priority="1665" stopIfTrue="1" operator="equal">
      <formula>"41-60%"</formula>
    </cfRule>
    <cfRule type="cellIs" dxfId="1289" priority="1666" stopIfTrue="1" operator="equal">
      <formula>"21-40%"</formula>
    </cfRule>
    <cfRule type="cellIs" dxfId="1288" priority="1667" stopIfTrue="1" operator="equal">
      <formula>"0-20%"</formula>
    </cfRule>
    <cfRule type="cellIs" dxfId="1287" priority="1668" stopIfTrue="1" operator="equal">
      <formula>"81-100%"</formula>
    </cfRule>
    <cfRule type="cellIs" dxfId="1286" priority="1669" stopIfTrue="1" operator="equal">
      <formula>"100%"</formula>
    </cfRule>
  </conditionalFormatting>
  <conditionalFormatting sqref="E87">
    <cfRule type="expression" dxfId="1285" priority="1657">
      <formula>OR(F87="non pertinent / nicht relevant",F87="0")</formula>
    </cfRule>
    <cfRule type="expression" dxfId="1284" priority="1658">
      <formula>OR(F87="0-20%",F87="Charriage présumé naturel / Geschiebehaushalt vermutlich natürlich",F87="Déficit non apparent en charriage ou en remobilisation des sédiments / kein sichtbares Defizit beim Geschiebehaushalt bzw. bei der Mobilisierung von Geschiebe")</formula>
    </cfRule>
    <cfRule type="expression" dxfId="1283" priority="1659">
      <formula>OR(F87="21-50%",F87="La remobilisation des sédiments est perturbée / Mobilisierung von Geschiebe beeinträchtigt",F87="Charriage présumé faiblement perturbé / Geschiebe vermutlich leicht beeinträchtigt")</formula>
    </cfRule>
    <cfRule type="expression" dxfId="1282" priority="1660">
      <formula>OR(F87="51-80%",F87="Charriage présumé perturbé / Geschiebehaushalt vermutlich beeinträchtigt")</formula>
    </cfRule>
    <cfRule type="expression" dxfId="1281" priority="1661">
      <formula>OR(F87="81 -100%",F87="Problème lié à un manque de charriage ou à un manque de remobilisation des sédiments / Problem aufgrund Geschiebemangels bzw. mangelnder Mobilisierung von Geschiebe")</formula>
    </cfRule>
  </conditionalFormatting>
  <conditionalFormatting sqref="F87">
    <cfRule type="cellIs" dxfId="1280" priority="1646" operator="equal">
      <formula>"Charriage présumé faiblement perturbé / Geschiebe vermutlich leicht beeinträchtigt"</formula>
    </cfRule>
    <cfRule type="cellIs" dxfId="1279" priority="1647" operator="equal">
      <formula>"La remobilisation des sédiments est perturbée / Mobilisierung von Geschiebe beeinträchtigt"</formula>
    </cfRule>
    <cfRule type="cellIs" dxfId="1278" priority="1648" operator="equal">
      <formula>"Problème lié à un manque de charriage ou à un manque de remobilisation des sédiments / Problem aufgrund Geschiebemangels bzw. mangelnder Mobilisierung von Geschiebe"</formula>
    </cfRule>
    <cfRule type="cellIs" dxfId="1277" priority="1649" operator="equal">
      <formula>"Déficit non apparent en charriage ou en remobilisation des sédiments / kein sichtbares Defizit beim Geschiebehaushalt bzw. bei der Mobilisierung von Geschiebe"</formula>
    </cfRule>
    <cfRule type="cellIs" dxfId="1276" priority="1650" operator="equal">
      <formula>"Charriage présumé perturbé / Geschiebehaushalt vermutlich beeinträchtigt"</formula>
    </cfRule>
    <cfRule type="cellIs" dxfId="1275" priority="1651" operator="equal">
      <formula>"Charriage présumé naturel / Geschiebehaushalt vermutlich natürlich"</formula>
    </cfRule>
    <cfRule type="cellIs" dxfId="1274" priority="1652" operator="equal">
      <formula>"non pertinent / nicht relevant"</formula>
    </cfRule>
    <cfRule type="cellIs" dxfId="1273" priority="1653" operator="equal">
      <formula>"21-50%"</formula>
    </cfRule>
    <cfRule type="cellIs" dxfId="1272" priority="1654" operator="equal">
      <formula>"51-80%"</formula>
    </cfRule>
  </conditionalFormatting>
  <conditionalFormatting sqref="F87">
    <cfRule type="cellIs" dxfId="1271" priority="1655" operator="equal">
      <formula>"81 -100%"</formula>
    </cfRule>
    <cfRule type="cellIs" dxfId="1270" priority="1656" operator="equal">
      <formula>"0-20%"</formula>
    </cfRule>
  </conditionalFormatting>
  <conditionalFormatting sqref="H87">
    <cfRule type="cellIs" dxfId="1269" priority="1641" stopIfTrue="1" operator="equal">
      <formula>"Non affecté / nicht betroffen"</formula>
    </cfRule>
    <cfRule type="cellIs" dxfId="1268" priority="1642" stopIfTrue="1" operator="equal">
      <formula>"Potentiellement affecté mais non plausible / möglicherweise betroffen aber nicht nachweisbar"</formula>
    </cfRule>
    <cfRule type="cellIs" dxfId="1267" priority="1643" stopIfTrue="1" operator="equal">
      <formula>"Potentiellement affecté / möglicherweise betroffen"</formula>
    </cfRule>
  </conditionalFormatting>
  <conditionalFormatting sqref="I87">
    <cfRule type="expression" dxfId="1266" priority="1634">
      <formula>IF(J87="non pertinent / nicht relevant",TRUE,FALSE)</formula>
    </cfRule>
    <cfRule type="expression" dxfId="1265" priority="1635">
      <formula>IF(J87="Non nécessaire / nicht nötig",TRUE,FALSE)</formula>
    </cfRule>
    <cfRule type="expression" dxfId="1264" priority="1636">
      <formula>IF(J87="Partiellement nécessaire, difficile / teilweise nötig, schwierig",TRUE,FALSE)</formula>
    </cfRule>
    <cfRule type="expression" dxfId="1263" priority="1637">
      <formula>IF(J87="Partiellement nécessaire, facile / teilweise nötig, einfach",TRUE,FALSE)</formula>
    </cfRule>
    <cfRule type="expression" dxfId="1262" priority="1638">
      <formula>IF(J87="Très nécessaire, difficile / unbedingt nötig, schwierig",TRUE,FALSE)</formula>
    </cfRule>
    <cfRule type="expression" dxfId="1261" priority="1639">
      <formula>IF(J87="Très nécessaire, facile / unbedingt nötig, einfach",TRUE,FALSE)</formula>
    </cfRule>
  </conditionalFormatting>
  <conditionalFormatting sqref="J87">
    <cfRule type="cellIs" dxfId="1260" priority="1640" stopIfTrue="1" operator="equal">
      <formula>"non pertinent / nicht relevant"</formula>
    </cfRule>
    <cfRule type="cellIs" dxfId="1259" priority="1644" stopIfTrue="1" operator="equal">
      <formula>"Très nécessaire, facile / unbedingt nötig, einfach"</formula>
    </cfRule>
    <cfRule type="cellIs" dxfId="1258" priority="1645" stopIfTrue="1" operator="equal">
      <formula>"Non nécessaire / nicht nötig"</formula>
    </cfRule>
  </conditionalFormatting>
  <conditionalFormatting sqref="G89">
    <cfRule type="cellIs" dxfId="1257" priority="1626" stopIfTrue="1" operator="equal">
      <formula>"Régime présumé naturel (100%) / Abfluss vermutlich natürlich"</formula>
    </cfRule>
    <cfRule type="cellIs" dxfId="1256" priority="1627" stopIfTrue="1" operator="equal">
      <formula>"non pertinent / nicht relevant"</formula>
    </cfRule>
    <cfRule type="cellIs" dxfId="1255" priority="1628" stopIfTrue="1" operator="equal">
      <formula>"61-80%"</formula>
    </cfRule>
    <cfRule type="cellIs" dxfId="1254" priority="1629" stopIfTrue="1" operator="equal">
      <formula>"41-60%"</formula>
    </cfRule>
    <cfRule type="cellIs" dxfId="1253" priority="1630" stopIfTrue="1" operator="equal">
      <formula>"21-40%"</formula>
    </cfRule>
    <cfRule type="cellIs" dxfId="1252" priority="1631" stopIfTrue="1" operator="equal">
      <formula>"0-20%"</formula>
    </cfRule>
    <cfRule type="cellIs" dxfId="1251" priority="1632" stopIfTrue="1" operator="equal">
      <formula>"81-100%"</formula>
    </cfRule>
    <cfRule type="cellIs" dxfId="1250" priority="1633" stopIfTrue="1" operator="equal">
      <formula>"100%"</formula>
    </cfRule>
  </conditionalFormatting>
  <conditionalFormatting sqref="H89">
    <cfRule type="cellIs" dxfId="1249" priority="1623" stopIfTrue="1" operator="equal">
      <formula>"Non affecté / nicht betroffen"</formula>
    </cfRule>
    <cfRule type="cellIs" dxfId="1248" priority="1624" stopIfTrue="1" operator="equal">
      <formula>"Potentiellement affecté mais non plausible / möglicherweise betroffen aber nicht nachweisbar"</formula>
    </cfRule>
    <cfRule type="cellIs" dxfId="1247" priority="1625" stopIfTrue="1" operator="equal">
      <formula>"Potentiellement affecté / möglicherweise betroffen"</formula>
    </cfRule>
  </conditionalFormatting>
  <conditionalFormatting sqref="E89">
    <cfRule type="expression" dxfId="1246" priority="1618">
      <formula>OR(F89="non pertinent / nicht relevant",F89="0")</formula>
    </cfRule>
    <cfRule type="expression" dxfId="1245" priority="1619">
      <formula>OR(F89="0-20%",F89="Charriage présumé naturel / Geschiebehaushalt vermutlich natürlich",F89="Déficit non apparent en charriage ou en remobilisation des sédiments / kein sichtbares Defizit beim Geschiebehaushalt bzw. bei der Mobilisierung von Geschiebe")</formula>
    </cfRule>
    <cfRule type="expression" dxfId="1244" priority="1620">
      <formula>OR(F89="21-50%",F89="La remobilisation des sédiments est perturbée / Mobilisierung von Geschiebe beeinträchtigt",F89="Charriage présumé faiblement perturbé / Geschiebe vermutlich leicht beeinträchtigt")</formula>
    </cfRule>
    <cfRule type="expression" dxfId="1243" priority="1621">
      <formula>OR(F89="51-80%",F89="Charriage présumé perturbé / Geschiebehaushalt vermutlich beeinträchtigt")</formula>
    </cfRule>
    <cfRule type="expression" dxfId="1242" priority="1622">
      <formula>OR(F89="81 -100%",F89="Problème lié à un manque de charriage ou à un manque de remobilisation des sédiments / Problem aufgrund Geschiebemangels bzw. mangelnder Mobilisierung von Geschiebe")</formula>
    </cfRule>
  </conditionalFormatting>
  <conditionalFormatting sqref="F89">
    <cfRule type="cellIs" dxfId="1241" priority="1607" operator="equal">
      <formula>"Charriage présumé faiblement perturbé / Geschiebe vermutlich leicht beeinträchtigt"</formula>
    </cfRule>
    <cfRule type="cellIs" dxfId="1240" priority="1608" operator="equal">
      <formula>"La remobilisation des sédiments est perturbée / Mobilisierung von Geschiebe beeinträchtigt"</formula>
    </cfRule>
    <cfRule type="cellIs" dxfId="1239" priority="1609" operator="equal">
      <formula>"Problème lié à un manque de charriage ou à un manque de remobilisation des sédiments / Problem aufgrund Geschiebemangels bzw. mangelnder Mobilisierung von Geschiebe"</formula>
    </cfRule>
    <cfRule type="cellIs" dxfId="1238" priority="1610" operator="equal">
      <formula>"Déficit non apparent en charriage ou en remobilisation des sédiments / kein sichtbares Defizit beim Geschiebehaushalt bzw. bei der Mobilisierung von Geschiebe"</formula>
    </cfRule>
    <cfRule type="cellIs" dxfId="1237" priority="1611" operator="equal">
      <formula>"Charriage présumé perturbé / Geschiebehaushalt vermutlich beeinträchtigt"</formula>
    </cfRule>
    <cfRule type="cellIs" dxfId="1236" priority="1612" operator="equal">
      <formula>"Charriage présumé naturel / Geschiebehaushalt vermutlich natürlich"</formula>
    </cfRule>
    <cfRule type="cellIs" dxfId="1235" priority="1613" operator="equal">
      <formula>"non pertinent / nicht relevant"</formula>
    </cfRule>
    <cfRule type="cellIs" dxfId="1234" priority="1614" operator="equal">
      <formula>"21-50%"</formula>
    </cfRule>
    <cfRule type="cellIs" dxfId="1233" priority="1615" operator="equal">
      <formula>"51-80%"</formula>
    </cfRule>
  </conditionalFormatting>
  <conditionalFormatting sqref="F89">
    <cfRule type="cellIs" dxfId="1232" priority="1616" operator="equal">
      <formula>"81 -100%"</formula>
    </cfRule>
    <cfRule type="cellIs" dxfId="1231" priority="1617" operator="equal">
      <formula>"0-20%"</formula>
    </cfRule>
  </conditionalFormatting>
  <conditionalFormatting sqref="G90">
    <cfRule type="cellIs" dxfId="1230" priority="1599" stopIfTrue="1" operator="equal">
      <formula>"Régime présumé naturel (100%) / Abfluss vermutlich natürlich"</formula>
    </cfRule>
    <cfRule type="cellIs" dxfId="1229" priority="1600" stopIfTrue="1" operator="equal">
      <formula>"non pertinent / nicht relevant"</formula>
    </cfRule>
    <cfRule type="cellIs" dxfId="1228" priority="1601" stopIfTrue="1" operator="equal">
      <formula>"61-80%"</formula>
    </cfRule>
    <cfRule type="cellIs" dxfId="1227" priority="1602" stopIfTrue="1" operator="equal">
      <formula>"41-60%"</formula>
    </cfRule>
    <cfRule type="cellIs" dxfId="1226" priority="1603" stopIfTrue="1" operator="equal">
      <formula>"21-40%"</formula>
    </cfRule>
    <cfRule type="cellIs" dxfId="1225" priority="1604" stopIfTrue="1" operator="equal">
      <formula>"0-20%"</formula>
    </cfRule>
    <cfRule type="cellIs" dxfId="1224" priority="1605" stopIfTrue="1" operator="equal">
      <formula>"81-100%"</formula>
    </cfRule>
    <cfRule type="cellIs" dxfId="1223" priority="1606" stopIfTrue="1" operator="equal">
      <formula>"100%"</formula>
    </cfRule>
  </conditionalFormatting>
  <conditionalFormatting sqref="H90">
    <cfRule type="cellIs" dxfId="1222" priority="1596" stopIfTrue="1" operator="equal">
      <formula>"Non affecté / nicht betroffen"</formula>
    </cfRule>
    <cfRule type="cellIs" dxfId="1221" priority="1597" stopIfTrue="1" operator="equal">
      <formula>"Potentiellement affecté mais non plausible / möglicherweise betroffen aber nicht nachweisbar"</formula>
    </cfRule>
    <cfRule type="cellIs" dxfId="1220" priority="1598" stopIfTrue="1" operator="equal">
      <formula>"Potentiellement affecté / möglicherweise betroffen"</formula>
    </cfRule>
  </conditionalFormatting>
  <conditionalFormatting sqref="E90">
    <cfRule type="expression" dxfId="1219" priority="1591">
      <formula>OR(F90="non pertinent / nicht relevant",F90="0")</formula>
    </cfRule>
    <cfRule type="expression" dxfId="1218" priority="1592">
      <formula>OR(F90="0-20%",F90="Charriage présumé naturel / Geschiebehaushalt vermutlich natürlich",F90="Déficit non apparent en charriage ou en remobilisation des sédiments / kein sichtbares Defizit beim Geschiebehaushalt bzw. bei der Mobilisierung von Geschiebe")</formula>
    </cfRule>
    <cfRule type="expression" dxfId="1217" priority="1593">
      <formula>OR(F90="21-50%",F90="La remobilisation des sédiments est perturbée / Mobilisierung von Geschiebe beeinträchtigt",F90="Charriage présumé faiblement perturbé / Geschiebe vermutlich leicht beeinträchtigt")</formula>
    </cfRule>
    <cfRule type="expression" dxfId="1216" priority="1594">
      <formula>OR(F90="51-80%",F90="Charriage présumé perturbé / Geschiebehaushalt vermutlich beeinträchtigt")</formula>
    </cfRule>
    <cfRule type="expression" dxfId="1215" priority="1595">
      <formula>OR(F90="81 -100%",F90="Problème lié à un manque de charriage ou à un manque de remobilisation des sédiments / Problem aufgrund Geschiebemangels bzw. mangelnder Mobilisierung von Geschiebe")</formula>
    </cfRule>
  </conditionalFormatting>
  <conditionalFormatting sqref="F90">
    <cfRule type="cellIs" dxfId="1214" priority="1580" operator="equal">
      <formula>"Charriage présumé faiblement perturbé / Geschiebe vermutlich leicht beeinträchtigt"</formula>
    </cfRule>
    <cfRule type="cellIs" dxfId="1213" priority="1581" operator="equal">
      <formula>"La remobilisation des sédiments est perturbée / Mobilisierung von Geschiebe beeinträchtigt"</formula>
    </cfRule>
    <cfRule type="cellIs" dxfId="1212" priority="1582" operator="equal">
      <formula>"Problème lié à un manque de charriage ou à un manque de remobilisation des sédiments / Problem aufgrund Geschiebemangels bzw. mangelnder Mobilisierung von Geschiebe"</formula>
    </cfRule>
    <cfRule type="cellIs" dxfId="1211" priority="1583" operator="equal">
      <formula>"Déficit non apparent en charriage ou en remobilisation des sédiments / kein sichtbares Defizit beim Geschiebehaushalt bzw. bei der Mobilisierung von Geschiebe"</formula>
    </cfRule>
    <cfRule type="cellIs" dxfId="1210" priority="1584" operator="equal">
      <formula>"Charriage présumé perturbé / Geschiebehaushalt vermutlich beeinträchtigt"</formula>
    </cfRule>
    <cfRule type="cellIs" dxfId="1209" priority="1585" operator="equal">
      <formula>"Charriage présumé naturel / Geschiebehaushalt vermutlich natürlich"</formula>
    </cfRule>
    <cfRule type="cellIs" dxfId="1208" priority="1586" operator="equal">
      <formula>"non pertinent / nicht relevant"</formula>
    </cfRule>
    <cfRule type="cellIs" dxfId="1207" priority="1587" operator="equal">
      <formula>"21-50%"</formula>
    </cfRule>
    <cfRule type="cellIs" dxfId="1206" priority="1588" operator="equal">
      <formula>"51-80%"</formula>
    </cfRule>
  </conditionalFormatting>
  <conditionalFormatting sqref="F90">
    <cfRule type="cellIs" dxfId="1205" priority="1589" operator="equal">
      <formula>"81 -100%"</formula>
    </cfRule>
    <cfRule type="cellIs" dxfId="1204" priority="1590" operator="equal">
      <formula>"0-20%"</formula>
    </cfRule>
  </conditionalFormatting>
  <conditionalFormatting sqref="I89">
    <cfRule type="expression" dxfId="1203" priority="1568">
      <formula>IF(J89="non pertinent / nicht relevant",TRUE,FALSE)</formula>
    </cfRule>
    <cfRule type="expression" dxfId="1202" priority="1569">
      <formula>IF(J89="Non nécessaire / nicht nötig",TRUE,FALSE)</formula>
    </cfRule>
    <cfRule type="expression" dxfId="1201" priority="1570">
      <formula>IF(J89="Partiellement nécessaire, difficile / teilweise nötig, schwierig",TRUE,FALSE)</formula>
    </cfRule>
    <cfRule type="expression" dxfId="1200" priority="1571">
      <formula>IF(J89="Partiellement nécessaire, facile / teilweise nötig, einfach",TRUE,FALSE)</formula>
    </cfRule>
    <cfRule type="expression" dxfId="1199" priority="1572">
      <formula>IF(J89="Très nécessaire, difficile / unbedingt nötig, schwierig",TRUE,FALSE)</formula>
    </cfRule>
    <cfRule type="expression" dxfId="1198" priority="1573">
      <formula>IF(J89="Très nécessaire, facile / unbedingt nötig, einfach",TRUE,FALSE)</formula>
    </cfRule>
  </conditionalFormatting>
  <conditionalFormatting sqref="J89">
    <cfRule type="cellIs" dxfId="1197" priority="1574" stopIfTrue="1" operator="equal">
      <formula>"non pertinent / nicht relevant"</formula>
    </cfRule>
    <cfRule type="cellIs" dxfId="1196" priority="1575" stopIfTrue="1" operator="equal">
      <formula>"Très nécessaire, difficile / unbedingt nötig, schwierig"</formula>
    </cfRule>
    <cfRule type="cellIs" dxfId="1195" priority="1576" stopIfTrue="1" operator="equal">
      <formula>"Partiellement nécessaire, facile / teilweise nötig, einfach"</formula>
    </cfRule>
    <cfRule type="cellIs" dxfId="1194" priority="1577" stopIfTrue="1" operator="equal">
      <formula>"Partiellement nécessaire, difficile / teilweise nötig, schwierig"</formula>
    </cfRule>
    <cfRule type="cellIs" dxfId="1193" priority="1578" stopIfTrue="1" operator="equal">
      <formula>"Très nécessaire, facile / unbedingt nötig, einfach"</formula>
    </cfRule>
    <cfRule type="cellIs" dxfId="1192" priority="1579" stopIfTrue="1" operator="equal">
      <formula>"Non nécessaire / nicht nötig"</formula>
    </cfRule>
  </conditionalFormatting>
  <conditionalFormatting sqref="I90">
    <cfRule type="expression" dxfId="1191" priority="1556">
      <formula>IF(J90="non pertinent / nicht relevant",TRUE,FALSE)</formula>
    </cfRule>
    <cfRule type="expression" dxfId="1190" priority="1557">
      <formula>IF(J90="Non nécessaire / nicht nötig",TRUE,FALSE)</formula>
    </cfRule>
    <cfRule type="expression" dxfId="1189" priority="1558">
      <formula>IF(J90="Partiellement nécessaire, difficile / teilweise nötig, schwierig",TRUE,FALSE)</formula>
    </cfRule>
    <cfRule type="expression" dxfId="1188" priority="1559">
      <formula>IF(J90="Partiellement nécessaire, facile / teilweise nötig, einfach",TRUE,FALSE)</formula>
    </cfRule>
    <cfRule type="expression" dxfId="1187" priority="1560">
      <formula>IF(J90="Très nécessaire, difficile / unbedingt nötig, schwierig",TRUE,FALSE)</formula>
    </cfRule>
    <cfRule type="expression" dxfId="1186" priority="1561">
      <formula>IF(J90="Très nécessaire, facile / unbedingt nötig, einfach",TRUE,FALSE)</formula>
    </cfRule>
  </conditionalFormatting>
  <conditionalFormatting sqref="J90">
    <cfRule type="cellIs" dxfId="1185" priority="1562" stopIfTrue="1" operator="equal">
      <formula>"non pertinent / nicht relevant"</formula>
    </cfRule>
    <cfRule type="cellIs" dxfId="1184" priority="1563" stopIfTrue="1" operator="equal">
      <formula>"Très nécessaire, difficile / unbedingt nötig, schwierig"</formula>
    </cfRule>
    <cfRule type="cellIs" dxfId="1183" priority="1564" stopIfTrue="1" operator="equal">
      <formula>"Partiellement nécessaire, facile / teilweise nötig, einfach"</formula>
    </cfRule>
    <cfRule type="cellIs" dxfId="1182" priority="1565" stopIfTrue="1" operator="equal">
      <formula>"Partiellement nécessaire, difficile / teilweise nötig, schwierig"</formula>
    </cfRule>
    <cfRule type="cellIs" dxfId="1181" priority="1566" stopIfTrue="1" operator="equal">
      <formula>"Très nécessaire, facile / unbedingt nötig, einfach"</formula>
    </cfRule>
    <cfRule type="cellIs" dxfId="1180" priority="1567" stopIfTrue="1" operator="equal">
      <formula>"Non nécessaire / nicht nötig"</formula>
    </cfRule>
  </conditionalFormatting>
  <conditionalFormatting sqref="E107">
    <cfRule type="expression" dxfId="1179" priority="1551">
      <formula>OR(F107="non pertinent / nicht relevant",F107="0")</formula>
    </cfRule>
    <cfRule type="expression" dxfId="1178" priority="1552">
      <formula>OR(F107="0-20%",F107="Charriage présumé naturel / Geschiebehaushalt vermutlich natürlich",F107="Déficit non apparent en charriage ou en remobilisation des sédiments / kein sichtbares Defizit beim Geschiebehaushalt bzw. bei der Mobilisierung von Geschiebe")</formula>
    </cfRule>
    <cfRule type="expression" dxfId="1177" priority="1553">
      <formula>OR(F107="21-50%",F107="La remobilisation des sédiments est perturbée / Mobilisierung von Geschiebe beeinträchtigt",F107="Charriage présumé faiblement perturbé / Geschiebe vermutlich leicht beeinträchtigt")</formula>
    </cfRule>
    <cfRule type="expression" dxfId="1176" priority="1554">
      <formula>OR(F107="51-80%",F107="Charriage présumé perturbé / Geschiebehaushalt vermutlich beeinträchtigt")</formula>
    </cfRule>
    <cfRule type="expression" dxfId="1175" priority="1555">
      <formula>OR(F107="81 -100%",F107="Problème lié à un manque de charriage ou à un manque de remobilisation des sédiments / Problem aufgrund Geschiebemangels bzw. mangelnder Mobilisierung von Geschiebe")</formula>
    </cfRule>
  </conditionalFormatting>
  <conditionalFormatting sqref="F107">
    <cfRule type="cellIs" dxfId="1174" priority="1540" operator="equal">
      <formula>"Charriage présumé faiblement perturbé / Geschiebe vermutlich leicht beeinträchtigt"</formula>
    </cfRule>
    <cfRule type="cellIs" dxfId="1173" priority="1541" operator="equal">
      <formula>"La remobilisation des sédiments est perturbée / Mobilisierung von Geschiebe beeinträchtigt"</formula>
    </cfRule>
    <cfRule type="cellIs" dxfId="1172" priority="1542" operator="equal">
      <formula>"Problème lié à un manque de charriage ou à un manque de remobilisation des sédiments / Problem aufgrund Geschiebemangels bzw. mangelnder Mobilisierung von Geschiebe"</formula>
    </cfRule>
    <cfRule type="cellIs" dxfId="1171" priority="1543" operator="equal">
      <formula>"Déficit non apparent en charriage ou en remobilisation des sédiments / kein sichtbares Defizit beim Geschiebehaushalt bzw. bei der Mobilisierung von Geschiebe"</formula>
    </cfRule>
    <cfRule type="cellIs" dxfId="1170" priority="1544" operator="equal">
      <formula>"Charriage présumé perturbé / Geschiebehaushalt vermutlich beeinträchtigt"</formula>
    </cfRule>
    <cfRule type="cellIs" dxfId="1169" priority="1545" operator="equal">
      <formula>"Charriage présumé naturel / Geschiebehaushalt vermutlich natürlich"</formula>
    </cfRule>
    <cfRule type="cellIs" dxfId="1168" priority="1546" operator="equal">
      <formula>"non pertinent / nicht relevant"</formula>
    </cfRule>
    <cfRule type="cellIs" dxfId="1167" priority="1547" operator="equal">
      <formula>"21-50%"</formula>
    </cfRule>
    <cfRule type="cellIs" dxfId="1166" priority="1548" operator="equal">
      <formula>"51-80%"</formula>
    </cfRule>
  </conditionalFormatting>
  <conditionalFormatting sqref="F107">
    <cfRule type="cellIs" dxfId="1165" priority="1549" operator="equal">
      <formula>"81 -100%"</formula>
    </cfRule>
    <cfRule type="cellIs" dxfId="1164" priority="1550" operator="equal">
      <formula>"0-20%"</formula>
    </cfRule>
  </conditionalFormatting>
  <conditionalFormatting sqref="G107">
    <cfRule type="cellIs" dxfId="1163" priority="1532" stopIfTrue="1" operator="equal">
      <formula>"Régime présumé naturel (100%) / Abfluss vermutlich natürlich"</formula>
    </cfRule>
    <cfRule type="cellIs" dxfId="1162" priority="1533" stopIfTrue="1" operator="equal">
      <formula>"non pertinent / nicht relevant"</formula>
    </cfRule>
    <cfRule type="cellIs" dxfId="1161" priority="1534" stopIfTrue="1" operator="equal">
      <formula>"61-80%"</formula>
    </cfRule>
    <cfRule type="cellIs" dxfId="1160" priority="1535" stopIfTrue="1" operator="equal">
      <formula>"41-60%"</formula>
    </cfRule>
    <cfRule type="cellIs" dxfId="1159" priority="1536" stopIfTrue="1" operator="equal">
      <formula>"21-40%"</formula>
    </cfRule>
    <cfRule type="cellIs" dxfId="1158" priority="1537" stopIfTrue="1" operator="equal">
      <formula>"0-20%"</formula>
    </cfRule>
    <cfRule type="cellIs" dxfId="1157" priority="1538" stopIfTrue="1" operator="equal">
      <formula>"81-100%"</formula>
    </cfRule>
    <cfRule type="cellIs" dxfId="1156" priority="1539" stopIfTrue="1" operator="equal">
      <formula>"100%"</formula>
    </cfRule>
  </conditionalFormatting>
  <conditionalFormatting sqref="H107">
    <cfRule type="cellIs" dxfId="1155" priority="1529" stopIfTrue="1" operator="equal">
      <formula>"Non affecté / nicht betroffen"</formula>
    </cfRule>
    <cfRule type="cellIs" dxfId="1154" priority="1530" stopIfTrue="1" operator="equal">
      <formula>"Potentiellement affecté mais non plausible / möglicherweise betroffen aber nicht nachweisbar"</formula>
    </cfRule>
    <cfRule type="cellIs" dxfId="1153" priority="1531" stopIfTrue="1" operator="equal">
      <formula>"Potentiellement affecté / möglicherweise betroffen"</formula>
    </cfRule>
  </conditionalFormatting>
  <conditionalFormatting sqref="I107">
    <cfRule type="expression" dxfId="1152" priority="1522">
      <formula>IF(J107="non pertinent / nicht relevant",TRUE,FALSE)</formula>
    </cfRule>
    <cfRule type="expression" dxfId="1151" priority="1523">
      <formula>IF(J107="Non nécessaire / nicht nötig",TRUE,FALSE)</formula>
    </cfRule>
    <cfRule type="expression" dxfId="1150" priority="1524">
      <formula>IF(J107="Partiellement nécessaire, difficile / teilweise nötig, schwierig",TRUE,FALSE)</formula>
    </cfRule>
    <cfRule type="expression" dxfId="1149" priority="1525">
      <formula>IF(J107="Partiellement nécessaire, facile / teilweise nötig, einfach",TRUE,FALSE)</formula>
    </cfRule>
    <cfRule type="expression" dxfId="1148" priority="1526">
      <formula>IF(J107="Très nécessaire, difficile / unbedingt nötig, schwierig",TRUE,FALSE)</formula>
    </cfRule>
    <cfRule type="expression" dxfId="1147" priority="1527">
      <formula>IF(J107="Très nécessaire, facile / unbedingt nötig, einfach",TRUE,FALSE)</formula>
    </cfRule>
  </conditionalFormatting>
  <conditionalFormatting sqref="J107">
    <cfRule type="cellIs" dxfId="1146" priority="1528" stopIfTrue="1" operator="equal">
      <formula>"non pertinent / nicht relevant"</formula>
    </cfRule>
  </conditionalFormatting>
  <conditionalFormatting sqref="G185">
    <cfRule type="cellIs" dxfId="1145" priority="1514" stopIfTrue="1" operator="equal">
      <formula>"Régime présumé naturel (100%) / Abfluss vermutlich natürlich"</formula>
    </cfRule>
    <cfRule type="cellIs" dxfId="1144" priority="1515" stopIfTrue="1" operator="equal">
      <formula>"non pertinent / nicht relevant"</formula>
    </cfRule>
    <cfRule type="cellIs" dxfId="1143" priority="1516" stopIfTrue="1" operator="equal">
      <formula>"61-80%"</formula>
    </cfRule>
    <cfRule type="cellIs" dxfId="1142" priority="1517" stopIfTrue="1" operator="equal">
      <formula>"41-60%"</formula>
    </cfRule>
    <cfRule type="cellIs" dxfId="1141" priority="1518" stopIfTrue="1" operator="equal">
      <formula>"21-40%"</formula>
    </cfRule>
    <cfRule type="cellIs" dxfId="1140" priority="1519" stopIfTrue="1" operator="equal">
      <formula>"0-20%"</formula>
    </cfRule>
    <cfRule type="cellIs" dxfId="1139" priority="1520" stopIfTrue="1" operator="equal">
      <formula>"81-100%"</formula>
    </cfRule>
    <cfRule type="cellIs" dxfId="1138" priority="1521" stopIfTrue="1" operator="equal">
      <formula>"100%"</formula>
    </cfRule>
  </conditionalFormatting>
  <conditionalFormatting sqref="H185">
    <cfRule type="cellIs" dxfId="1137" priority="1511" stopIfTrue="1" operator="equal">
      <formula>"Non affecté / nicht betroffen"</formula>
    </cfRule>
    <cfRule type="cellIs" dxfId="1136" priority="1512" stopIfTrue="1" operator="equal">
      <formula>"Potentiellement affecté mais non plausible / möglicherweise betroffen aber nicht nachweisbar"</formula>
    </cfRule>
    <cfRule type="cellIs" dxfId="1135" priority="1513" stopIfTrue="1" operator="equal">
      <formula>"Potentiellement affecté / möglicherweise betroffen"</formula>
    </cfRule>
  </conditionalFormatting>
  <conditionalFormatting sqref="E185">
    <cfRule type="expression" dxfId="1134" priority="1506">
      <formula>OR(F185="non pertinent / nicht relevant",F185="0")</formula>
    </cfRule>
    <cfRule type="expression" dxfId="1133" priority="1507">
      <formula>OR(F185="0-20%",F185="Charriage présumé naturel / Geschiebehaushalt vermutlich natürlich",F185="Déficit non apparent en charriage ou en remobilisation des sédiments / kein sichtbares Defizit beim Geschiebehaushalt bzw. bei der Mobilisierung von Geschiebe")</formula>
    </cfRule>
    <cfRule type="expression" dxfId="1132" priority="1508">
      <formula>OR(F185="21-50%",F185="La remobilisation des sédiments est perturbée / Mobilisierung von Geschiebe beeinträchtigt",F185="Charriage présumé faiblement perturbé / Geschiebe vermutlich leicht beeinträchtigt")</formula>
    </cfRule>
    <cfRule type="expression" dxfId="1131" priority="1509">
      <formula>OR(F185="51-80%",F185="Charriage présumé perturbé / Geschiebehaushalt vermutlich beeinträchtigt")</formula>
    </cfRule>
    <cfRule type="expression" dxfId="1130" priority="1510">
      <formula>OR(F185="81 -100%",F185="Problème lié à un manque de charriage ou à un manque de remobilisation des sédiments / Problem aufgrund Geschiebemangels bzw. mangelnder Mobilisierung von Geschiebe")</formula>
    </cfRule>
  </conditionalFormatting>
  <conditionalFormatting sqref="I185">
    <cfRule type="expression" dxfId="1129" priority="1500">
      <formula>IF(J185="non pertinent / nicht relevant",TRUE,FALSE)</formula>
    </cfRule>
    <cfRule type="expression" dxfId="1128" priority="1501">
      <formula>IF(J185="Non nécessaire / nicht nötig",TRUE,FALSE)</formula>
    </cfRule>
    <cfRule type="expression" dxfId="1127" priority="1502">
      <formula>IF(J185="Partiellement nécessaire, difficile / teilweise nötig, schwierig",TRUE,FALSE)</formula>
    </cfRule>
    <cfRule type="expression" dxfId="1126" priority="1503">
      <formula>IF(J185="Partiellement nécessaire, facile / teilweise nötig, einfach",TRUE,FALSE)</formula>
    </cfRule>
    <cfRule type="expression" dxfId="1125" priority="1504">
      <formula>IF(J185="Très nécessaire, difficile / unbedingt nötig, schwierig",TRUE,FALSE)</formula>
    </cfRule>
    <cfRule type="expression" dxfId="1124" priority="1505">
      <formula>IF(J185="Très nécessaire, facile / unbedingt nötig, einfach",TRUE,FALSE)</formula>
    </cfRule>
  </conditionalFormatting>
  <conditionalFormatting sqref="F185">
    <cfRule type="cellIs" dxfId="1123" priority="1489" operator="equal">
      <formula>"Charriage présumé faiblement perturbé / Geschiebe vermutlich leicht beeinträchtigt"</formula>
    </cfRule>
    <cfRule type="cellIs" dxfId="1122" priority="1490" operator="equal">
      <formula>"La remobilisation des sédiments est perturbée / Mobilisierung von Geschiebe beeinträchtigt"</formula>
    </cfRule>
    <cfRule type="cellIs" dxfId="1121" priority="1491" operator="equal">
      <formula>"Problème lié à un manque de charriage ou à un manque de remobilisation des sédiments / Problem aufgrund Geschiebemangels bzw. mangelnder Mobilisierung von Geschiebe"</formula>
    </cfRule>
    <cfRule type="cellIs" dxfId="1120" priority="1492" operator="equal">
      <formula>"Déficit non apparent en charriage ou en remobilisation des sédiments / kein sichtbares Defizit beim Geschiebehaushalt bzw. bei der Mobilisierung von Geschiebe"</formula>
    </cfRule>
    <cfRule type="cellIs" dxfId="1119" priority="1493" operator="equal">
      <formula>"Charriage présumé perturbé / Geschiebehaushalt vermutlich beeinträchtigt"</formula>
    </cfRule>
    <cfRule type="cellIs" dxfId="1118" priority="1494" operator="equal">
      <formula>"Charriage présumé naturel / Geschiebehaushalt vermutlich natürlich"</formula>
    </cfRule>
    <cfRule type="cellIs" dxfId="1117" priority="1495" operator="equal">
      <formula>"non pertinent / nicht relevant"</formula>
    </cfRule>
    <cfRule type="cellIs" dxfId="1116" priority="1496" operator="equal">
      <formula>"21-50%"</formula>
    </cfRule>
    <cfRule type="cellIs" dxfId="1115" priority="1497" operator="equal">
      <formula>"51-80%"</formula>
    </cfRule>
  </conditionalFormatting>
  <conditionalFormatting sqref="F185">
    <cfRule type="cellIs" dxfId="1114" priority="1498" operator="equal">
      <formula>"81 -100%"</formula>
    </cfRule>
    <cfRule type="cellIs" dxfId="1113" priority="1499" operator="equal">
      <formula>"0-20%"</formula>
    </cfRule>
  </conditionalFormatting>
  <conditionalFormatting sqref="E196">
    <cfRule type="expression" dxfId="1112" priority="1484">
      <formula>OR(F196="non pertinent / nicht relevant",F196="0")</formula>
    </cfRule>
    <cfRule type="expression" dxfId="1111" priority="1485">
      <formula>OR(F196="0-20%",F196="Charriage présumé naturel / Geschiebehaushalt vermutlich natürlich",F196="Déficit non apparent en charriage ou en remobilisation des sédiments / kein sichtbares Defizit beim Geschiebehaushalt bzw. bei der Mobilisierung von Geschiebe")</formula>
    </cfRule>
    <cfRule type="expression" dxfId="1110" priority="1486">
      <formula>OR(F196="21-50%",F196="La remobilisation des sédiments est perturbée / Mobilisierung von Geschiebe beeinträchtigt",F196="Charriage présumé faiblement perturbé / Geschiebe vermutlich leicht beeinträchtigt")</formula>
    </cfRule>
    <cfRule type="expression" dxfId="1109" priority="1487">
      <formula>OR(F196="51-80%",F196="Charriage présumé perturbé / Geschiebehaushalt vermutlich beeinträchtigt")</formula>
    </cfRule>
    <cfRule type="expression" dxfId="1108" priority="1488">
      <formula>OR(F196="81 -100%",F196="Problème lié à un manque de charriage ou à un manque de remobilisation des sédiments / Problem aufgrund Geschiebemangels bzw. mangelnder Mobilisierung von Geschiebe")</formula>
    </cfRule>
  </conditionalFormatting>
  <conditionalFormatting sqref="F196">
    <cfRule type="cellIs" dxfId="1107" priority="1473" operator="equal">
      <formula>"Charriage présumé faiblement perturbé / Geschiebe vermutlich leicht beeinträchtigt"</formula>
    </cfRule>
    <cfRule type="cellIs" dxfId="1106" priority="1474" operator="equal">
      <formula>"La remobilisation des sédiments est perturbée / Mobilisierung von Geschiebe beeinträchtigt"</formula>
    </cfRule>
    <cfRule type="cellIs" dxfId="1105" priority="1475" operator="equal">
      <formula>"Problème lié à un manque de charriage ou à un manque de remobilisation des sédiments / Problem aufgrund Geschiebemangels bzw. mangelnder Mobilisierung von Geschiebe"</formula>
    </cfRule>
    <cfRule type="cellIs" dxfId="1104" priority="1476" operator="equal">
      <formula>"Déficit non apparent en charriage ou en remobilisation des sédiments / kein sichtbares Defizit beim Geschiebehaushalt bzw. bei der Mobilisierung von Geschiebe"</formula>
    </cfRule>
    <cfRule type="cellIs" dxfId="1103" priority="1477" operator="equal">
      <formula>"Charriage présumé perturbé / Geschiebehaushalt vermutlich beeinträchtigt"</formula>
    </cfRule>
    <cfRule type="cellIs" dxfId="1102" priority="1478" operator="equal">
      <formula>"Charriage présumé naturel / Geschiebehaushalt vermutlich natürlich"</formula>
    </cfRule>
    <cfRule type="cellIs" dxfId="1101" priority="1479" operator="equal">
      <formula>"non pertinent / nicht relevant"</formula>
    </cfRule>
    <cfRule type="cellIs" dxfId="1100" priority="1480" operator="equal">
      <formula>"21-50%"</formula>
    </cfRule>
    <cfRule type="cellIs" dxfId="1099" priority="1481" operator="equal">
      <formula>"51-80%"</formula>
    </cfRule>
  </conditionalFormatting>
  <conditionalFormatting sqref="F196">
    <cfRule type="cellIs" dxfId="1098" priority="1482" operator="equal">
      <formula>"81 -100%"</formula>
    </cfRule>
    <cfRule type="cellIs" dxfId="1097" priority="1483" operator="equal">
      <formula>"0-20%"</formula>
    </cfRule>
  </conditionalFormatting>
  <conditionalFormatting sqref="G196">
    <cfRule type="cellIs" dxfId="1096" priority="1465" stopIfTrue="1" operator="equal">
      <formula>"Régime présumé naturel (100%) / Abfluss vermutlich natürlich"</formula>
    </cfRule>
    <cfRule type="cellIs" dxfId="1095" priority="1466" stopIfTrue="1" operator="equal">
      <formula>"non pertinent / nicht relevant"</formula>
    </cfRule>
    <cfRule type="cellIs" dxfId="1094" priority="1467" stopIfTrue="1" operator="equal">
      <formula>"61-80%"</formula>
    </cfRule>
    <cfRule type="cellIs" dxfId="1093" priority="1468" stopIfTrue="1" operator="equal">
      <formula>"41-60%"</formula>
    </cfRule>
    <cfRule type="cellIs" dxfId="1092" priority="1469" stopIfTrue="1" operator="equal">
      <formula>"21-40%"</formula>
    </cfRule>
    <cfRule type="cellIs" dxfId="1091" priority="1470" stopIfTrue="1" operator="equal">
      <formula>"0-20%"</formula>
    </cfRule>
    <cfRule type="cellIs" dxfId="1090" priority="1471" stopIfTrue="1" operator="equal">
      <formula>"81-100%"</formula>
    </cfRule>
    <cfRule type="cellIs" dxfId="1089" priority="1472" stopIfTrue="1" operator="equal">
      <formula>"100%"</formula>
    </cfRule>
  </conditionalFormatting>
  <conditionalFormatting sqref="H196">
    <cfRule type="cellIs" dxfId="1088" priority="1462" stopIfTrue="1" operator="equal">
      <formula>"Non affecté / nicht betroffen"</formula>
    </cfRule>
    <cfRule type="cellIs" dxfId="1087" priority="1463" stopIfTrue="1" operator="equal">
      <formula>"Potentiellement affecté mais non plausible / möglicherweise betroffen aber nicht nachweisbar"</formula>
    </cfRule>
    <cfRule type="cellIs" dxfId="1086" priority="1464" stopIfTrue="1" operator="equal">
      <formula>"Potentiellement affecté / möglicherweise betroffen"</formula>
    </cfRule>
  </conditionalFormatting>
  <conditionalFormatting sqref="I196">
    <cfRule type="expression" dxfId="1085" priority="1455">
      <formula>IF(J196="non pertinent / nicht relevant",TRUE,FALSE)</formula>
    </cfRule>
    <cfRule type="expression" dxfId="1084" priority="1456">
      <formula>IF(J196="Non nécessaire / nicht nötig",TRUE,FALSE)</formula>
    </cfRule>
    <cfRule type="expression" dxfId="1083" priority="1457">
      <formula>IF(J196="Partiellement nécessaire, difficile / teilweise nötig, schwierig",TRUE,FALSE)</formula>
    </cfRule>
    <cfRule type="expression" dxfId="1082" priority="1458">
      <formula>IF(J196="Partiellement nécessaire, facile / teilweise nötig, einfach",TRUE,FALSE)</formula>
    </cfRule>
    <cfRule type="expression" dxfId="1081" priority="1459">
      <formula>IF(J196="Très nécessaire, difficile / unbedingt nötig, schwierig",TRUE,FALSE)</formula>
    </cfRule>
    <cfRule type="expression" dxfId="1080" priority="1460">
      <formula>IF(J196="Très nécessaire, facile / unbedingt nötig, einfach",TRUE,FALSE)</formula>
    </cfRule>
  </conditionalFormatting>
  <conditionalFormatting sqref="J196">
    <cfRule type="cellIs" dxfId="1079" priority="1461" stopIfTrue="1" operator="equal">
      <formula>"non pertinent / nicht relevant"</formula>
    </cfRule>
  </conditionalFormatting>
  <conditionalFormatting sqref="E261">
    <cfRule type="expression" dxfId="1078" priority="1450">
      <formula>OR(F261="non pertinent / nicht relevant",F261="0")</formula>
    </cfRule>
    <cfRule type="expression" dxfId="1077" priority="1451">
      <formula>OR(F261="0-20%",F261="Charriage présumé naturel / Geschiebehaushalt vermutlich natürlich",F261="Déficit non apparent en charriage ou en remobilisation des sédiments / kein sichtbares Defizit beim Geschiebehaushalt bzw. bei der Mobilisierung von Geschiebe")</formula>
    </cfRule>
    <cfRule type="expression" dxfId="1076" priority="1452">
      <formula>OR(F261="21-50%",F261="La remobilisation des sédiments est perturbée / Mobilisierung von Geschiebe beeinträchtigt",F261="Charriage présumé faiblement perturbé / Geschiebe vermutlich leicht beeinträchtigt")</formula>
    </cfRule>
    <cfRule type="expression" dxfId="1075" priority="1453">
      <formula>OR(F261="51-80%",F261="Charriage présumé perturbé / Geschiebehaushalt vermutlich beeinträchtigt")</formula>
    </cfRule>
    <cfRule type="expression" dxfId="1074" priority="1454">
      <formula>OR(F261="81 -100%",F261="Problème lié à un manque de charriage ou à un manque de remobilisation des sédiments / Problem aufgrund Geschiebemangels bzw. mangelnder Mobilisierung von Geschiebe")</formula>
    </cfRule>
  </conditionalFormatting>
  <conditionalFormatting sqref="F261">
    <cfRule type="cellIs" dxfId="1073" priority="1439" operator="equal">
      <formula>"Charriage présumé faiblement perturbé / Geschiebe vermutlich leicht beeinträchtigt"</formula>
    </cfRule>
    <cfRule type="cellIs" dxfId="1072" priority="1440" operator="equal">
      <formula>"La remobilisation des sédiments est perturbée / Mobilisierung von Geschiebe beeinträchtigt"</formula>
    </cfRule>
    <cfRule type="cellIs" dxfId="1071" priority="1441" operator="equal">
      <formula>"Problème lié à un manque de charriage ou à un manque de remobilisation des sédiments / Problem aufgrund Geschiebemangels bzw. mangelnder Mobilisierung von Geschiebe"</formula>
    </cfRule>
    <cfRule type="cellIs" dxfId="1070" priority="1442" operator="equal">
      <formula>"Déficit non apparent en charriage ou en remobilisation des sédiments / kein sichtbares Defizit beim Geschiebehaushalt bzw. bei der Mobilisierung von Geschiebe"</formula>
    </cfRule>
    <cfRule type="cellIs" dxfId="1069" priority="1443" operator="equal">
      <formula>"Charriage présumé perturbé / Geschiebehaushalt vermutlich beeinträchtigt"</formula>
    </cfRule>
    <cfRule type="cellIs" dxfId="1068" priority="1444" operator="equal">
      <formula>"Charriage présumé naturel / Geschiebehaushalt vermutlich natürlich"</formula>
    </cfRule>
    <cfRule type="cellIs" dxfId="1067" priority="1445" operator="equal">
      <formula>"non pertinent / nicht relevant"</formula>
    </cfRule>
    <cfRule type="cellIs" dxfId="1066" priority="1446" operator="equal">
      <formula>"21-50%"</formula>
    </cfRule>
    <cfRule type="cellIs" dxfId="1065" priority="1447" operator="equal">
      <formula>"51-80%"</formula>
    </cfRule>
  </conditionalFormatting>
  <conditionalFormatting sqref="F261">
    <cfRule type="cellIs" dxfId="1064" priority="1448" operator="equal">
      <formula>"81 -100%"</formula>
    </cfRule>
    <cfRule type="cellIs" dxfId="1063" priority="1449" operator="equal">
      <formula>"0-20%"</formula>
    </cfRule>
  </conditionalFormatting>
  <conditionalFormatting sqref="G261">
    <cfRule type="cellIs" dxfId="1062" priority="1431" stopIfTrue="1" operator="equal">
      <formula>"Régime présumé naturel (100%) / Abfluss vermutlich natürlich"</formula>
    </cfRule>
    <cfRule type="cellIs" dxfId="1061" priority="1432" stopIfTrue="1" operator="equal">
      <formula>"non pertinent / nicht relevant"</formula>
    </cfRule>
    <cfRule type="cellIs" dxfId="1060" priority="1433" stopIfTrue="1" operator="equal">
      <formula>"61-80%"</formula>
    </cfRule>
    <cfRule type="cellIs" dxfId="1059" priority="1434" stopIfTrue="1" operator="equal">
      <formula>"41-60%"</formula>
    </cfRule>
    <cfRule type="cellIs" dxfId="1058" priority="1435" stopIfTrue="1" operator="equal">
      <formula>"21-40%"</formula>
    </cfRule>
    <cfRule type="cellIs" dxfId="1057" priority="1436" stopIfTrue="1" operator="equal">
      <formula>"0-20%"</formula>
    </cfRule>
    <cfRule type="cellIs" dxfId="1056" priority="1437" stopIfTrue="1" operator="equal">
      <formula>"81-100%"</formula>
    </cfRule>
    <cfRule type="cellIs" dxfId="1055" priority="1438" stopIfTrue="1" operator="equal">
      <formula>"100%"</formula>
    </cfRule>
  </conditionalFormatting>
  <conditionalFormatting sqref="H261">
    <cfRule type="cellIs" dxfId="1054" priority="1428" stopIfTrue="1" operator="equal">
      <formula>"Non affecté / nicht betroffen"</formula>
    </cfRule>
    <cfRule type="cellIs" dxfId="1053" priority="1429" stopIfTrue="1" operator="equal">
      <formula>"Potentiellement affecté mais non plausible / möglicherweise betroffen aber nicht nachweisbar"</formula>
    </cfRule>
    <cfRule type="cellIs" dxfId="1052" priority="1430" stopIfTrue="1" operator="equal">
      <formula>"Potentiellement affecté / möglicherweise betroffen"</formula>
    </cfRule>
  </conditionalFormatting>
  <conditionalFormatting sqref="I261">
    <cfRule type="expression" dxfId="1051" priority="1421">
      <formula>IF(J261="non pertinent / nicht relevant",TRUE,FALSE)</formula>
    </cfRule>
    <cfRule type="expression" dxfId="1050" priority="1422">
      <formula>IF(J261="Non nécessaire / nicht nötig",TRUE,FALSE)</formula>
    </cfRule>
    <cfRule type="expression" dxfId="1049" priority="1423">
      <formula>IF(J261="Partiellement nécessaire, difficile / teilweise nötig, schwierig",TRUE,FALSE)</formula>
    </cfRule>
    <cfRule type="expression" dxfId="1048" priority="1424">
      <formula>IF(J261="Partiellement nécessaire, facile / teilweise nötig, einfach",TRUE,FALSE)</formula>
    </cfRule>
    <cfRule type="expression" dxfId="1047" priority="1425">
      <formula>IF(J261="Très nécessaire, difficile / unbedingt nötig, schwierig",TRUE,FALSE)</formula>
    </cfRule>
    <cfRule type="expression" dxfId="1046" priority="1426">
      <formula>IF(J261="Très nécessaire, facile / unbedingt nötig, einfach",TRUE,FALSE)</formula>
    </cfRule>
  </conditionalFormatting>
  <conditionalFormatting sqref="J261">
    <cfRule type="cellIs" dxfId="1045" priority="1427" stopIfTrue="1" operator="equal">
      <formula>"non pertinent / nicht relevant"</formula>
    </cfRule>
  </conditionalFormatting>
  <conditionalFormatting sqref="E267">
    <cfRule type="expression" dxfId="1044" priority="1416">
      <formula>OR(F267="non pertinent / nicht relevant",F267="0")</formula>
    </cfRule>
    <cfRule type="expression" dxfId="1043" priority="1417">
      <formula>OR(F267="0-20%",F267="Charriage présumé naturel / Geschiebehaushalt vermutlich natürlich",F267="Déficit non apparent en charriage ou en remobilisation des sédiments / kein sichtbares Defizit beim Geschiebehaushalt bzw. bei der Mobilisierung von Geschiebe")</formula>
    </cfRule>
    <cfRule type="expression" dxfId="1042" priority="1418">
      <formula>OR(F267="21-50%",F267="La remobilisation des sédiments est perturbée / Mobilisierung von Geschiebe beeinträchtigt",F267="Charriage présumé faiblement perturbé / Geschiebe vermutlich leicht beeinträchtigt")</formula>
    </cfRule>
    <cfRule type="expression" dxfId="1041" priority="1419">
      <formula>OR(F267="51-80%",F267="Charriage présumé perturbé / Geschiebehaushalt vermutlich beeinträchtigt")</formula>
    </cfRule>
    <cfRule type="expression" dxfId="1040" priority="1420">
      <formula>OR(F267="81 -100%",F267="Problème lié à un manque de charriage ou à un manque de remobilisation des sédiments / Problem aufgrund Geschiebemangels bzw. mangelnder Mobilisierung von Geschiebe")</formula>
    </cfRule>
  </conditionalFormatting>
  <conditionalFormatting sqref="F267">
    <cfRule type="cellIs" dxfId="1039" priority="1405" operator="equal">
      <formula>"Charriage présumé faiblement perturbé / Geschiebe vermutlich leicht beeinträchtigt"</formula>
    </cfRule>
    <cfRule type="cellIs" dxfId="1038" priority="1406" operator="equal">
      <formula>"La remobilisation des sédiments est perturbée / Mobilisierung von Geschiebe beeinträchtigt"</formula>
    </cfRule>
    <cfRule type="cellIs" dxfId="1037" priority="1407" operator="equal">
      <formula>"Problème lié à un manque de charriage ou à un manque de remobilisation des sédiments / Problem aufgrund Geschiebemangels bzw. mangelnder Mobilisierung von Geschiebe"</formula>
    </cfRule>
    <cfRule type="cellIs" dxfId="1036" priority="1408" operator="equal">
      <formula>"Déficit non apparent en charriage ou en remobilisation des sédiments / kein sichtbares Defizit beim Geschiebehaushalt bzw. bei der Mobilisierung von Geschiebe"</formula>
    </cfRule>
    <cfRule type="cellIs" dxfId="1035" priority="1409" operator="equal">
      <formula>"Charriage présumé perturbé / Geschiebehaushalt vermutlich beeinträchtigt"</formula>
    </cfRule>
    <cfRule type="cellIs" dxfId="1034" priority="1410" operator="equal">
      <formula>"Charriage présumé naturel / Geschiebehaushalt vermutlich natürlich"</formula>
    </cfRule>
    <cfRule type="cellIs" dxfId="1033" priority="1411" operator="equal">
      <formula>"non pertinent / nicht relevant"</formula>
    </cfRule>
    <cfRule type="cellIs" dxfId="1032" priority="1412" operator="equal">
      <formula>"21-50%"</formula>
    </cfRule>
    <cfRule type="cellIs" dxfId="1031" priority="1413" operator="equal">
      <formula>"51-80%"</formula>
    </cfRule>
  </conditionalFormatting>
  <conditionalFormatting sqref="F267">
    <cfRule type="cellIs" dxfId="1030" priority="1414" operator="equal">
      <formula>"81 -100%"</formula>
    </cfRule>
    <cfRule type="cellIs" dxfId="1029" priority="1415" operator="equal">
      <formula>"0-20%"</formula>
    </cfRule>
  </conditionalFormatting>
  <conditionalFormatting sqref="G267">
    <cfRule type="cellIs" dxfId="1028" priority="1397" stopIfTrue="1" operator="equal">
      <formula>"Régime présumé naturel (100%) / Abfluss vermutlich natürlich"</formula>
    </cfRule>
    <cfRule type="cellIs" dxfId="1027" priority="1398" stopIfTrue="1" operator="equal">
      <formula>"non pertinent / nicht relevant"</formula>
    </cfRule>
    <cfRule type="cellIs" dxfId="1026" priority="1399" stopIfTrue="1" operator="equal">
      <formula>"61-80%"</formula>
    </cfRule>
    <cfRule type="cellIs" dxfId="1025" priority="1400" stopIfTrue="1" operator="equal">
      <formula>"41-60%"</formula>
    </cfRule>
    <cfRule type="cellIs" dxfId="1024" priority="1401" stopIfTrue="1" operator="equal">
      <formula>"21-40%"</formula>
    </cfRule>
    <cfRule type="cellIs" dxfId="1023" priority="1402" stopIfTrue="1" operator="equal">
      <formula>"0-20%"</formula>
    </cfRule>
    <cfRule type="cellIs" dxfId="1022" priority="1403" stopIfTrue="1" operator="equal">
      <formula>"81-100%"</formula>
    </cfRule>
    <cfRule type="cellIs" dxfId="1021" priority="1404" stopIfTrue="1" operator="equal">
      <formula>"100%"</formula>
    </cfRule>
  </conditionalFormatting>
  <conditionalFormatting sqref="H267">
    <cfRule type="cellIs" dxfId="1020" priority="1394" stopIfTrue="1" operator="equal">
      <formula>"Non affecté / nicht betroffen"</formula>
    </cfRule>
    <cfRule type="cellIs" dxfId="1019" priority="1395" stopIfTrue="1" operator="equal">
      <formula>"Potentiellement affecté mais non plausible / möglicherweise betroffen aber nicht nachweisbar"</formula>
    </cfRule>
    <cfRule type="cellIs" dxfId="1018" priority="1396" stopIfTrue="1" operator="equal">
      <formula>"Potentiellement affecté / möglicherweise betroffen"</formula>
    </cfRule>
  </conditionalFormatting>
  <conditionalFormatting sqref="I267">
    <cfRule type="expression" dxfId="1017" priority="1387">
      <formula>IF(J267="non pertinent / nicht relevant",TRUE,FALSE)</formula>
    </cfRule>
    <cfRule type="expression" dxfId="1016" priority="1388">
      <formula>IF(J267="Non nécessaire / nicht nötig",TRUE,FALSE)</formula>
    </cfRule>
    <cfRule type="expression" dxfId="1015" priority="1389">
      <formula>IF(J267="Partiellement nécessaire, difficile / teilweise nötig, schwierig",TRUE,FALSE)</formula>
    </cfRule>
    <cfRule type="expression" dxfId="1014" priority="1390">
      <formula>IF(J267="Partiellement nécessaire, facile / teilweise nötig, einfach",TRUE,FALSE)</formula>
    </cfRule>
    <cfRule type="expression" dxfId="1013" priority="1391">
      <formula>IF(J267="Très nécessaire, difficile / unbedingt nötig, schwierig",TRUE,FALSE)</formula>
    </cfRule>
    <cfRule type="expression" dxfId="1012" priority="1392">
      <formula>IF(J267="Très nécessaire, facile / unbedingt nötig, einfach",TRUE,FALSE)</formula>
    </cfRule>
  </conditionalFormatting>
  <conditionalFormatting sqref="J267">
    <cfRule type="cellIs" dxfId="1011" priority="1393" stopIfTrue="1" operator="equal">
      <formula>"non pertinent / nicht relevant"</formula>
    </cfRule>
  </conditionalFormatting>
  <conditionalFormatting sqref="E285">
    <cfRule type="expression" dxfId="1010" priority="1382">
      <formula>OR(F285="non pertinent / nicht relevant",F285="0")</formula>
    </cfRule>
    <cfRule type="expression" dxfId="1009" priority="1383">
      <formula>OR(F285="0-20%",F285="Charriage présumé naturel / Geschiebehaushalt vermutlich natürlich",F285="Déficit non apparent en charriage ou en remobilisation des sédiments / kein sichtbares Defizit beim Geschiebehaushalt bzw. bei der Mobilisierung von Geschiebe")</formula>
    </cfRule>
    <cfRule type="expression" dxfId="1008" priority="1384">
      <formula>OR(F285="21-50%",F285="La remobilisation des sédiments est perturbée / Mobilisierung von Geschiebe beeinträchtigt",F285="Charriage présumé faiblement perturbé / Geschiebe vermutlich leicht beeinträchtigt")</formula>
    </cfRule>
    <cfRule type="expression" dxfId="1007" priority="1385">
      <formula>OR(F285="51-80%",F285="Charriage présumé perturbé / Geschiebehaushalt vermutlich beeinträchtigt")</formula>
    </cfRule>
    <cfRule type="expression" dxfId="1006" priority="1386">
      <formula>OR(F285="81 -100%",F285="Problème lié à un manque de charriage ou à un manque de remobilisation des sédiments / Problem aufgrund Geschiebemangels bzw. mangelnder Mobilisierung von Geschiebe")</formula>
    </cfRule>
  </conditionalFormatting>
  <conditionalFormatting sqref="F285">
    <cfRule type="cellIs" dxfId="1005" priority="1371" operator="equal">
      <formula>"Charriage présumé faiblement perturbé / Geschiebe vermutlich leicht beeinträchtigt"</formula>
    </cfRule>
    <cfRule type="cellIs" dxfId="1004" priority="1372" operator="equal">
      <formula>"La remobilisation des sédiments est perturbée / Mobilisierung von Geschiebe beeinträchtigt"</formula>
    </cfRule>
    <cfRule type="cellIs" dxfId="1003" priority="1373" operator="equal">
      <formula>"Problème lié à un manque de charriage ou à un manque de remobilisation des sédiments / Problem aufgrund Geschiebemangels bzw. mangelnder Mobilisierung von Geschiebe"</formula>
    </cfRule>
    <cfRule type="cellIs" dxfId="1002" priority="1374" operator="equal">
      <formula>"Déficit non apparent en charriage ou en remobilisation des sédiments / kein sichtbares Defizit beim Geschiebehaushalt bzw. bei der Mobilisierung von Geschiebe"</formula>
    </cfRule>
    <cfRule type="cellIs" dxfId="1001" priority="1375" operator="equal">
      <formula>"Charriage présumé perturbé / Geschiebehaushalt vermutlich beeinträchtigt"</formula>
    </cfRule>
    <cfRule type="cellIs" dxfId="1000" priority="1376" operator="equal">
      <formula>"Charriage présumé naturel / Geschiebehaushalt vermutlich natürlich"</formula>
    </cfRule>
    <cfRule type="cellIs" dxfId="999" priority="1377" operator="equal">
      <formula>"non pertinent / nicht relevant"</formula>
    </cfRule>
    <cfRule type="cellIs" dxfId="998" priority="1378" operator="equal">
      <formula>"21-50%"</formula>
    </cfRule>
    <cfRule type="cellIs" dxfId="997" priority="1379" operator="equal">
      <formula>"51-80%"</formula>
    </cfRule>
  </conditionalFormatting>
  <conditionalFormatting sqref="F285">
    <cfRule type="cellIs" dxfId="996" priority="1380" operator="equal">
      <formula>"81 -100%"</formula>
    </cfRule>
    <cfRule type="cellIs" dxfId="995" priority="1381" operator="equal">
      <formula>"0-20%"</formula>
    </cfRule>
  </conditionalFormatting>
  <conditionalFormatting sqref="G285">
    <cfRule type="cellIs" dxfId="994" priority="1363" stopIfTrue="1" operator="equal">
      <formula>"Régime présumé naturel (100%) / Abfluss vermutlich natürlich"</formula>
    </cfRule>
    <cfRule type="cellIs" dxfId="993" priority="1364" stopIfTrue="1" operator="equal">
      <formula>"non pertinent / nicht relevant"</formula>
    </cfRule>
    <cfRule type="cellIs" dxfId="992" priority="1365" stopIfTrue="1" operator="equal">
      <formula>"61-80%"</formula>
    </cfRule>
    <cfRule type="cellIs" dxfId="991" priority="1366" stopIfTrue="1" operator="equal">
      <formula>"41-60%"</formula>
    </cfRule>
    <cfRule type="cellIs" dxfId="990" priority="1367" stopIfTrue="1" operator="equal">
      <formula>"21-40%"</formula>
    </cfRule>
    <cfRule type="cellIs" dxfId="989" priority="1368" stopIfTrue="1" operator="equal">
      <formula>"0-20%"</formula>
    </cfRule>
    <cfRule type="cellIs" dxfId="988" priority="1369" stopIfTrue="1" operator="equal">
      <formula>"81-100%"</formula>
    </cfRule>
    <cfRule type="cellIs" dxfId="987" priority="1370" stopIfTrue="1" operator="equal">
      <formula>"100%"</formula>
    </cfRule>
  </conditionalFormatting>
  <conditionalFormatting sqref="H285">
    <cfRule type="cellIs" dxfId="986" priority="1360" stopIfTrue="1" operator="equal">
      <formula>"Non affecté / nicht betroffen"</formula>
    </cfRule>
    <cfRule type="cellIs" dxfId="985" priority="1361" stopIfTrue="1" operator="equal">
      <formula>"Potentiellement affecté mais non plausible / möglicherweise betroffen aber nicht nachweisbar"</formula>
    </cfRule>
    <cfRule type="cellIs" dxfId="984" priority="1362" stopIfTrue="1" operator="equal">
      <formula>"Potentiellement affecté / möglicherweise betroffen"</formula>
    </cfRule>
  </conditionalFormatting>
  <conditionalFormatting sqref="J285">
    <cfRule type="cellIs" dxfId="983" priority="1359" stopIfTrue="1" operator="equal">
      <formula>"non pertinent / nicht relevant"</formula>
    </cfRule>
  </conditionalFormatting>
  <conditionalFormatting sqref="P32">
    <cfRule type="cellIs" dxfId="982" priority="1323" stopIfTrue="1" operator="equal">
      <formula>"Régime présumé naturel (100%) / Abfluss vermutlich natürlich"</formula>
    </cfRule>
    <cfRule type="cellIs" dxfId="981" priority="1324" stopIfTrue="1" operator="equal">
      <formula>"non pertinent / nicht relevant"</formula>
    </cfRule>
    <cfRule type="cellIs" dxfId="980" priority="1325" stopIfTrue="1" operator="equal">
      <formula>"61-80%"</formula>
    </cfRule>
    <cfRule type="cellIs" dxfId="979" priority="1326" stopIfTrue="1" operator="equal">
      <formula>"41-60%"</formula>
    </cfRule>
    <cfRule type="cellIs" dxfId="978" priority="1327" stopIfTrue="1" operator="equal">
      <formula>"21-40%"</formula>
    </cfRule>
    <cfRule type="cellIs" dxfId="977" priority="1328" stopIfTrue="1" operator="equal">
      <formula>"0-20%"</formula>
    </cfRule>
    <cfRule type="cellIs" dxfId="976" priority="1329" stopIfTrue="1" operator="equal">
      <formula>"81-100%"</formula>
    </cfRule>
    <cfRule type="cellIs" dxfId="975" priority="1330" stopIfTrue="1" operator="equal">
      <formula>"100%"</formula>
    </cfRule>
  </conditionalFormatting>
  <conditionalFormatting sqref="P37">
    <cfRule type="cellIs" dxfId="974" priority="1315" stopIfTrue="1" operator="equal">
      <formula>"Régime présumé naturel (100%) / Abfluss vermutlich natürlich"</formula>
    </cfRule>
    <cfRule type="cellIs" dxfId="973" priority="1316" stopIfTrue="1" operator="equal">
      <formula>"non pertinent / nicht relevant"</formula>
    </cfRule>
    <cfRule type="cellIs" dxfId="972" priority="1317" stopIfTrue="1" operator="equal">
      <formula>"61-80%"</formula>
    </cfRule>
    <cfRule type="cellIs" dxfId="971" priority="1318" stopIfTrue="1" operator="equal">
      <formula>"41-60%"</formula>
    </cfRule>
    <cfRule type="cellIs" dxfId="970" priority="1319" stopIfTrue="1" operator="equal">
      <formula>"21-40%"</formula>
    </cfRule>
    <cfRule type="cellIs" dxfId="969" priority="1320" stopIfTrue="1" operator="equal">
      <formula>"0-20%"</formula>
    </cfRule>
    <cfRule type="cellIs" dxfId="968" priority="1321" stopIfTrue="1" operator="equal">
      <formula>"81-100%"</formula>
    </cfRule>
    <cfRule type="cellIs" dxfId="967" priority="1322" stopIfTrue="1" operator="equal">
      <formula>"100%"</formula>
    </cfRule>
  </conditionalFormatting>
  <conditionalFormatting sqref="P39">
    <cfRule type="cellIs" dxfId="966" priority="1307" stopIfTrue="1" operator="equal">
      <formula>"Régime présumé naturel (100%) / Abfluss vermutlich natürlich"</formula>
    </cfRule>
    <cfRule type="cellIs" dxfId="965" priority="1308" stopIfTrue="1" operator="equal">
      <formula>"non pertinent / nicht relevant"</formula>
    </cfRule>
    <cfRule type="cellIs" dxfId="964" priority="1309" stopIfTrue="1" operator="equal">
      <formula>"61-80%"</formula>
    </cfRule>
    <cfRule type="cellIs" dxfId="963" priority="1310" stopIfTrue="1" operator="equal">
      <formula>"41-60%"</formula>
    </cfRule>
    <cfRule type="cellIs" dxfId="962" priority="1311" stopIfTrue="1" operator="equal">
      <formula>"21-40%"</formula>
    </cfRule>
    <cfRule type="cellIs" dxfId="961" priority="1312" stopIfTrue="1" operator="equal">
      <formula>"0-20%"</formula>
    </cfRule>
    <cfRule type="cellIs" dxfId="960" priority="1313" stopIfTrue="1" operator="equal">
      <formula>"81-100%"</formula>
    </cfRule>
    <cfRule type="cellIs" dxfId="959" priority="1314" stopIfTrue="1" operator="equal">
      <formula>"100%"</formula>
    </cfRule>
  </conditionalFormatting>
  <conditionalFormatting sqref="J26">
    <cfRule type="cellIs" dxfId="958" priority="1306" stopIfTrue="1" operator="equal">
      <formula>"non pertinent / nicht relevant"</formula>
    </cfRule>
  </conditionalFormatting>
  <conditionalFormatting sqref="J30">
    <cfRule type="cellIs" dxfId="957" priority="1301" stopIfTrue="1" operator="equal">
      <formula>"Très nécessaire, difficile / unbedingt nötig, schwierig"</formula>
    </cfRule>
    <cfRule type="cellIs" dxfId="956" priority="1302" stopIfTrue="1" operator="equal">
      <formula>"Partiellement nécessaire, facile / teilweise nötig, einfach"</formula>
    </cfRule>
    <cfRule type="cellIs" dxfId="955" priority="1303" stopIfTrue="1" operator="equal">
      <formula>"Partiellement nécessaire, difficile / teilweise nötig, schwierig"</formula>
    </cfRule>
    <cfRule type="cellIs" dxfId="954" priority="1304" stopIfTrue="1" operator="equal">
      <formula>"Très nécessaire, facile / unbedingt nötig, einfach"</formula>
    </cfRule>
    <cfRule type="cellIs" dxfId="953" priority="1305" stopIfTrue="1" operator="equal">
      <formula>"Non nécessaire / nicht nötig"</formula>
    </cfRule>
  </conditionalFormatting>
  <conditionalFormatting sqref="J84">
    <cfRule type="cellIs" dxfId="952" priority="1296" stopIfTrue="1" operator="equal">
      <formula>"non pertinent / nicht relevant"</formula>
    </cfRule>
    <cfRule type="cellIs" dxfId="951" priority="1297" stopIfTrue="1" operator="equal">
      <formula>"Partiellement nécessaire, facile / teilweise nötig, einfach"</formula>
    </cfRule>
    <cfRule type="cellIs" dxfId="950" priority="1298" stopIfTrue="1" operator="equal">
      <formula>"Partiellement nécessaire, difficile / teilweise nötig, schwierig"</formula>
    </cfRule>
    <cfRule type="cellIs" dxfId="949" priority="1299" stopIfTrue="1" operator="equal">
      <formula>"Très nécessaire, facile / unbedingt nötig, einfach"</formula>
    </cfRule>
    <cfRule type="cellIs" dxfId="948" priority="1300" stopIfTrue="1" operator="equal">
      <formula>"Non nécessaire / nicht nötig"</formula>
    </cfRule>
  </conditionalFormatting>
  <conditionalFormatting sqref="J86">
    <cfRule type="cellIs" dxfId="947" priority="1291" stopIfTrue="1" operator="equal">
      <formula>"non pertinent / nicht relevant"</formula>
    </cfRule>
    <cfRule type="cellIs" dxfId="946" priority="1292" stopIfTrue="1" operator="equal">
      <formula>"Partiellement nécessaire, facile / teilweise nötig, einfach"</formula>
    </cfRule>
    <cfRule type="cellIs" dxfId="945" priority="1293" stopIfTrue="1" operator="equal">
      <formula>"Partiellement nécessaire, difficile / teilweise nötig, schwierig"</formula>
    </cfRule>
    <cfRule type="cellIs" dxfId="944" priority="1294" stopIfTrue="1" operator="equal">
      <formula>"Très nécessaire, facile / unbedingt nötig, einfach"</formula>
    </cfRule>
    <cfRule type="cellIs" dxfId="943" priority="1295" stopIfTrue="1" operator="equal">
      <formula>"Non nécessaire / nicht nötig"</formula>
    </cfRule>
  </conditionalFormatting>
  <conditionalFormatting sqref="J117">
    <cfRule type="cellIs" dxfId="942" priority="1286" stopIfTrue="1" operator="equal">
      <formula>"Très nécessaire, difficile / unbedingt nötig, schwierig"</formula>
    </cfRule>
    <cfRule type="cellIs" dxfId="941" priority="1287" stopIfTrue="1" operator="equal">
      <formula>"Partiellement nécessaire, facile / teilweise nötig, einfach"</formula>
    </cfRule>
    <cfRule type="cellIs" dxfId="940" priority="1288" stopIfTrue="1" operator="equal">
      <formula>"Partiellement nécessaire, difficile / teilweise nötig, schwierig"</formula>
    </cfRule>
    <cfRule type="cellIs" dxfId="939" priority="1289" stopIfTrue="1" operator="equal">
      <formula>"Très nécessaire, facile / unbedingt nötig, einfach"</formula>
    </cfRule>
    <cfRule type="cellIs" dxfId="938" priority="1290" stopIfTrue="1" operator="equal">
      <formula>"Non nécessaire / nicht nötig"</formula>
    </cfRule>
  </conditionalFormatting>
  <conditionalFormatting sqref="J124">
    <cfRule type="cellIs" dxfId="937" priority="1281" stopIfTrue="1" operator="equal">
      <formula>"Très nécessaire, difficile / unbedingt nötig, schwierig"</formula>
    </cfRule>
    <cfRule type="cellIs" dxfId="936" priority="1282" stopIfTrue="1" operator="equal">
      <formula>"Partiellement nécessaire, facile / teilweise nötig, einfach"</formula>
    </cfRule>
    <cfRule type="cellIs" dxfId="935" priority="1283" stopIfTrue="1" operator="equal">
      <formula>"Partiellement nécessaire, difficile / teilweise nötig, schwierig"</formula>
    </cfRule>
    <cfRule type="cellIs" dxfId="934" priority="1284" stopIfTrue="1" operator="equal">
      <formula>"Très nécessaire, facile / unbedingt nötig, einfach"</formula>
    </cfRule>
    <cfRule type="cellIs" dxfId="933" priority="1285" stopIfTrue="1" operator="equal">
      <formula>"Non nécessaire / nicht nötig"</formula>
    </cfRule>
  </conditionalFormatting>
  <conditionalFormatting sqref="J131">
    <cfRule type="cellIs" dxfId="932" priority="1276" stopIfTrue="1" operator="equal">
      <formula>"non pertinent / nicht relevant"</formula>
    </cfRule>
    <cfRule type="cellIs" dxfId="931" priority="1277" stopIfTrue="1" operator="equal">
      <formula>"Partiellement nécessaire, facile / teilweise nötig, einfach"</formula>
    </cfRule>
    <cfRule type="cellIs" dxfId="930" priority="1278" stopIfTrue="1" operator="equal">
      <formula>"Partiellement nécessaire, difficile / teilweise nötig, schwierig"</formula>
    </cfRule>
    <cfRule type="cellIs" dxfId="929" priority="1279" stopIfTrue="1" operator="equal">
      <formula>"Très nécessaire, facile / unbedingt nötig, einfach"</formula>
    </cfRule>
    <cfRule type="cellIs" dxfId="928" priority="1280" stopIfTrue="1" operator="equal">
      <formula>"Non nécessaire / nicht nötig"</formula>
    </cfRule>
  </conditionalFormatting>
  <conditionalFormatting sqref="J184">
    <cfRule type="cellIs" dxfId="927" priority="1271" stopIfTrue="1" operator="equal">
      <formula>"non pertinent / nicht relevant"</formula>
    </cfRule>
    <cfRule type="cellIs" dxfId="926" priority="1272" stopIfTrue="1" operator="equal">
      <formula>"Partiellement nécessaire, facile / teilweise nötig, einfach"</formula>
    </cfRule>
    <cfRule type="cellIs" dxfId="925" priority="1273" stopIfTrue="1" operator="equal">
      <formula>"Partiellement nécessaire, difficile / teilweise nötig, schwierig"</formula>
    </cfRule>
    <cfRule type="cellIs" dxfId="924" priority="1274" stopIfTrue="1" operator="equal">
      <formula>"Très nécessaire, facile / unbedingt nötig, einfach"</formula>
    </cfRule>
    <cfRule type="cellIs" dxfId="923" priority="1275" stopIfTrue="1" operator="equal">
      <formula>"Non nécessaire / nicht nötig"</formula>
    </cfRule>
  </conditionalFormatting>
  <conditionalFormatting sqref="J194">
    <cfRule type="cellIs" dxfId="922" priority="1266" stopIfTrue="1" operator="equal">
      <formula>"Très nécessaire, difficile / unbedingt nötig, schwierig"</formula>
    </cfRule>
    <cfRule type="cellIs" dxfId="921" priority="1267" stopIfTrue="1" operator="equal">
      <formula>"Partiellement nécessaire, facile / teilweise nötig, einfach"</formula>
    </cfRule>
    <cfRule type="cellIs" dxfId="920" priority="1268" stopIfTrue="1" operator="equal">
      <formula>"Partiellement nécessaire, difficile / teilweise nötig, schwierig"</formula>
    </cfRule>
    <cfRule type="cellIs" dxfId="919" priority="1269" stopIfTrue="1" operator="equal">
      <formula>"Très nécessaire, facile / unbedingt nötig, einfach"</formula>
    </cfRule>
    <cfRule type="cellIs" dxfId="918" priority="1270" stopIfTrue="1" operator="equal">
      <formula>"Non nécessaire / nicht nötig"</formula>
    </cfRule>
  </conditionalFormatting>
  <conditionalFormatting sqref="J198">
    <cfRule type="cellIs" dxfId="917" priority="1261" stopIfTrue="1" operator="equal">
      <formula>"non pertinent / nicht relevant"</formula>
    </cfRule>
    <cfRule type="cellIs" dxfId="916" priority="1262" stopIfTrue="1" operator="equal">
      <formula>"Partiellement nécessaire, facile / teilweise nötig, einfach"</formula>
    </cfRule>
    <cfRule type="cellIs" dxfId="915" priority="1263" stopIfTrue="1" operator="equal">
      <formula>"Partiellement nécessaire, difficile / teilweise nötig, schwierig"</formula>
    </cfRule>
    <cfRule type="cellIs" dxfId="914" priority="1264" stopIfTrue="1" operator="equal">
      <formula>"Très nécessaire, facile / unbedingt nötig, einfach"</formula>
    </cfRule>
    <cfRule type="cellIs" dxfId="913" priority="1265" stopIfTrue="1" operator="equal">
      <formula>"Non nécessaire / nicht nötig"</formula>
    </cfRule>
  </conditionalFormatting>
  <conditionalFormatting sqref="J204">
    <cfRule type="cellIs" dxfId="912" priority="1256" stopIfTrue="1" operator="equal">
      <formula>"non pertinent / nicht relevant"</formula>
    </cfRule>
    <cfRule type="cellIs" dxfId="911" priority="1257" stopIfTrue="1" operator="equal">
      <formula>"Partiellement nécessaire, facile / teilweise nötig, einfach"</formula>
    </cfRule>
    <cfRule type="cellIs" dxfId="910" priority="1258" stopIfTrue="1" operator="equal">
      <formula>"Partiellement nécessaire, difficile / teilweise nötig, schwierig"</formula>
    </cfRule>
    <cfRule type="cellIs" dxfId="909" priority="1259" stopIfTrue="1" operator="equal">
      <formula>"Très nécessaire, facile / unbedingt nötig, einfach"</formula>
    </cfRule>
    <cfRule type="cellIs" dxfId="908" priority="1260" stopIfTrue="1" operator="equal">
      <formula>"Non nécessaire / nicht nötig"</formula>
    </cfRule>
  </conditionalFormatting>
  <conditionalFormatting sqref="J217">
    <cfRule type="cellIs" dxfId="907" priority="1251" stopIfTrue="1" operator="equal">
      <formula>"Très nécessaire, difficile / unbedingt nötig, schwierig"</formula>
    </cfRule>
    <cfRule type="cellIs" dxfId="906" priority="1252" stopIfTrue="1" operator="equal">
      <formula>"Partiellement nécessaire, facile / teilweise nötig, einfach"</formula>
    </cfRule>
    <cfRule type="cellIs" dxfId="905" priority="1253" stopIfTrue="1" operator="equal">
      <formula>"Partiellement nécessaire, difficile / teilweise nötig, schwierig"</formula>
    </cfRule>
    <cfRule type="cellIs" dxfId="904" priority="1254" stopIfTrue="1" operator="equal">
      <formula>"Très nécessaire, facile / unbedingt nötig, einfach"</formula>
    </cfRule>
    <cfRule type="cellIs" dxfId="903" priority="1255" stopIfTrue="1" operator="equal">
      <formula>"Non nécessaire / nicht nötig"</formula>
    </cfRule>
  </conditionalFormatting>
  <conditionalFormatting sqref="J221">
    <cfRule type="cellIs" dxfId="902" priority="1246" stopIfTrue="1" operator="equal">
      <formula>"Très nécessaire, difficile / unbedingt nötig, schwierig"</formula>
    </cfRule>
    <cfRule type="cellIs" dxfId="901" priority="1247" stopIfTrue="1" operator="equal">
      <formula>"Partiellement nécessaire, facile / teilweise nötig, einfach"</formula>
    </cfRule>
    <cfRule type="cellIs" dxfId="900" priority="1248" stopIfTrue="1" operator="equal">
      <formula>"Partiellement nécessaire, difficile / teilweise nötig, schwierig"</formula>
    </cfRule>
    <cfRule type="cellIs" dxfId="899" priority="1249" stopIfTrue="1" operator="equal">
      <formula>"Très nécessaire, facile / unbedingt nötig, einfach"</formula>
    </cfRule>
    <cfRule type="cellIs" dxfId="898" priority="1250" stopIfTrue="1" operator="equal">
      <formula>"Non nécessaire / nicht nötig"</formula>
    </cfRule>
  </conditionalFormatting>
  <conditionalFormatting sqref="J227">
    <cfRule type="cellIs" dxfId="897" priority="1241" stopIfTrue="1" operator="equal">
      <formula>"non pertinent / nicht relevant"</formula>
    </cfRule>
    <cfRule type="cellIs" dxfId="896" priority="1242" stopIfTrue="1" operator="equal">
      <formula>"Partiellement nécessaire, facile / teilweise nötig, einfach"</formula>
    </cfRule>
    <cfRule type="cellIs" dxfId="895" priority="1243" stopIfTrue="1" operator="equal">
      <formula>"Partiellement nécessaire, difficile / teilweise nötig, schwierig"</formula>
    </cfRule>
    <cfRule type="cellIs" dxfId="894" priority="1244" stopIfTrue="1" operator="equal">
      <formula>"Très nécessaire, facile / unbedingt nötig, einfach"</formula>
    </cfRule>
    <cfRule type="cellIs" dxfId="893" priority="1245" stopIfTrue="1" operator="equal">
      <formula>"Non nécessaire / nicht nötig"</formula>
    </cfRule>
  </conditionalFormatting>
  <conditionalFormatting sqref="J235">
    <cfRule type="cellIs" dxfId="892" priority="1236" stopIfTrue="1" operator="equal">
      <formula>"non pertinent / nicht relevant"</formula>
    </cfRule>
    <cfRule type="cellIs" dxfId="891" priority="1237" stopIfTrue="1" operator="equal">
      <formula>"Partiellement nécessaire, facile / teilweise nötig, einfach"</formula>
    </cfRule>
    <cfRule type="cellIs" dxfId="890" priority="1238" stopIfTrue="1" operator="equal">
      <formula>"Partiellement nécessaire, difficile / teilweise nötig, schwierig"</formula>
    </cfRule>
    <cfRule type="cellIs" dxfId="889" priority="1239" stopIfTrue="1" operator="equal">
      <formula>"Très nécessaire, facile / unbedingt nötig, einfach"</formula>
    </cfRule>
    <cfRule type="cellIs" dxfId="888" priority="1240" stopIfTrue="1" operator="equal">
      <formula>"Non nécessaire / nicht nötig"</formula>
    </cfRule>
  </conditionalFormatting>
  <conditionalFormatting sqref="J243">
    <cfRule type="cellIs" dxfId="887" priority="1231" stopIfTrue="1" operator="equal">
      <formula>"Très nécessaire, difficile / unbedingt nötig, schwierig"</formula>
    </cfRule>
    <cfRule type="cellIs" dxfId="886" priority="1232" stopIfTrue="1" operator="equal">
      <formula>"Partiellement nécessaire, facile / teilweise nötig, einfach"</formula>
    </cfRule>
    <cfRule type="cellIs" dxfId="885" priority="1233" stopIfTrue="1" operator="equal">
      <formula>"Partiellement nécessaire, difficile / teilweise nötig, schwierig"</formula>
    </cfRule>
    <cfRule type="cellIs" dxfId="884" priority="1234" stopIfTrue="1" operator="equal">
      <formula>"Très nécessaire, facile / unbedingt nötig, einfach"</formula>
    </cfRule>
    <cfRule type="cellIs" dxfId="883" priority="1235" stopIfTrue="1" operator="equal">
      <formula>"Non nécessaire / nicht nötig"</formula>
    </cfRule>
  </conditionalFormatting>
  <conditionalFormatting sqref="J280">
    <cfRule type="cellIs" dxfId="882" priority="1226" stopIfTrue="1" operator="equal">
      <formula>"Très nécessaire, difficile / unbedingt nötig, schwierig"</formula>
    </cfRule>
    <cfRule type="cellIs" dxfId="881" priority="1227" stopIfTrue="1" operator="equal">
      <formula>"Partiellement nécessaire, facile / teilweise nötig, einfach"</formula>
    </cfRule>
    <cfRule type="cellIs" dxfId="880" priority="1228" stopIfTrue="1" operator="equal">
      <formula>"Partiellement nécessaire, difficile / teilweise nötig, schwierig"</formula>
    </cfRule>
    <cfRule type="cellIs" dxfId="879" priority="1229" stopIfTrue="1" operator="equal">
      <formula>"Très nécessaire, facile / unbedingt nötig, einfach"</formula>
    </cfRule>
    <cfRule type="cellIs" dxfId="878" priority="1230" stopIfTrue="1" operator="equal">
      <formula>"Non nécessaire / nicht nötig"</formula>
    </cfRule>
  </conditionalFormatting>
  <conditionalFormatting sqref="J294">
    <cfRule type="cellIs" dxfId="877" priority="1221" stopIfTrue="1" operator="equal">
      <formula>"non pertinent / nicht relevant"</formula>
    </cfRule>
    <cfRule type="cellIs" dxfId="876" priority="1222" stopIfTrue="1" operator="equal">
      <formula>"Partiellement nécessaire, facile / teilweise nötig, einfach"</formula>
    </cfRule>
    <cfRule type="cellIs" dxfId="875" priority="1223" stopIfTrue="1" operator="equal">
      <formula>"Partiellement nécessaire, difficile / teilweise nötig, schwierig"</formula>
    </cfRule>
    <cfRule type="cellIs" dxfId="874" priority="1224" stopIfTrue="1" operator="equal">
      <formula>"Très nécessaire, facile / unbedingt nötig, einfach"</formula>
    </cfRule>
    <cfRule type="cellIs" dxfId="873" priority="1225" stopIfTrue="1" operator="equal">
      <formula>"Non nécessaire / nicht nötig"</formula>
    </cfRule>
  </conditionalFormatting>
  <conditionalFormatting sqref="J299">
    <cfRule type="cellIs" dxfId="872" priority="1216" stopIfTrue="1" operator="equal">
      <formula>"non pertinent / nicht relevant"</formula>
    </cfRule>
    <cfRule type="cellIs" dxfId="871" priority="1217" stopIfTrue="1" operator="equal">
      <formula>"Partiellement nécessaire, facile / teilweise nötig, einfach"</formula>
    </cfRule>
    <cfRule type="cellIs" dxfId="870" priority="1218" stopIfTrue="1" operator="equal">
      <formula>"Partiellement nécessaire, difficile / teilweise nötig, schwierig"</formula>
    </cfRule>
    <cfRule type="cellIs" dxfId="869" priority="1219" stopIfTrue="1" operator="equal">
      <formula>"Très nécessaire, facile / unbedingt nötig, einfach"</formula>
    </cfRule>
    <cfRule type="cellIs" dxfId="868" priority="1220" stopIfTrue="1" operator="equal">
      <formula>"Non nécessaire / nicht nötig"</formula>
    </cfRule>
  </conditionalFormatting>
  <conditionalFormatting sqref="J100">
    <cfRule type="cellIs" dxfId="867" priority="1206" stopIfTrue="1" operator="equal">
      <formula>"Très nécessaire, difficile / unbedingt nötig, schwierig"</formula>
    </cfRule>
    <cfRule type="cellIs" dxfId="866" priority="1207" stopIfTrue="1" operator="equal">
      <formula>"Partiellement nécessaire, facile / teilweise nötig, einfach"</formula>
    </cfRule>
    <cfRule type="cellIs" dxfId="865" priority="1208" stopIfTrue="1" operator="equal">
      <formula>"Partiellement nécessaire, difficile / teilweise nötig, schwierig"</formula>
    </cfRule>
    <cfRule type="cellIs" dxfId="864" priority="1209" stopIfTrue="1" operator="equal">
      <formula>"Très nécessaire, facile / unbedingt nötig, einfach"</formula>
    </cfRule>
    <cfRule type="cellIs" dxfId="863" priority="1210" stopIfTrue="1" operator="equal">
      <formula>"Non nécessaire / nicht nötig"</formula>
    </cfRule>
  </conditionalFormatting>
  <conditionalFormatting sqref="G11:G12 G21:G23 G16:G19">
    <cfRule type="cellIs" dxfId="862" priority="1197" stopIfTrue="1" operator="equal">
      <formula>"Régime présumé naturel (100%) / Abfluss vermutlich natürlich"</formula>
    </cfRule>
    <cfRule type="cellIs" dxfId="861" priority="1198" stopIfTrue="1" operator="equal">
      <formula>"non pertinent / nicht relevant"</formula>
    </cfRule>
    <cfRule type="cellIs" dxfId="860" priority="1199" stopIfTrue="1" operator="equal">
      <formula>"61-80%"</formula>
    </cfRule>
    <cfRule type="cellIs" dxfId="859" priority="1200" stopIfTrue="1" operator="equal">
      <formula>"41-60%"</formula>
    </cfRule>
    <cfRule type="cellIs" dxfId="858" priority="1201" stopIfTrue="1" operator="equal">
      <formula>"21-40%"</formula>
    </cfRule>
    <cfRule type="cellIs" dxfId="857" priority="1202" stopIfTrue="1" operator="equal">
      <formula>"0-20%"</formula>
    </cfRule>
    <cfRule type="cellIs" dxfId="856" priority="1203" stopIfTrue="1" operator="equal">
      <formula>"81-100%"</formula>
    </cfRule>
    <cfRule type="cellIs" dxfId="855" priority="1204" stopIfTrue="1" operator="equal">
      <formula>"100%"</formula>
    </cfRule>
  </conditionalFormatting>
  <conditionalFormatting sqref="H11:H12 H21:H23 H16:H19">
    <cfRule type="cellIs" dxfId="854" priority="1194" stopIfTrue="1" operator="equal">
      <formula>"Non affecté / nicht betroffen"</formula>
    </cfRule>
    <cfRule type="cellIs" dxfId="853" priority="1195" stopIfTrue="1" operator="equal">
      <formula>"Potentiellement affecté mais non plausible / möglicherweise betroffen aber nicht nachweisbar"</formula>
    </cfRule>
    <cfRule type="cellIs" dxfId="852" priority="1196" stopIfTrue="1" operator="equal">
      <formula>"Potentiellement affecté / möglicherweise betroffen"</formula>
    </cfRule>
  </conditionalFormatting>
  <conditionalFormatting sqref="E11:E12 E21:E23 E16:E19">
    <cfRule type="expression" dxfId="851" priority="1189">
      <formula>OR(F11="non pertinent / nicht relevant",F11="0")</formula>
    </cfRule>
    <cfRule type="expression" dxfId="850" priority="1190">
      <formula>OR(F11="0-20%",F11="Charriage présumé naturel / Geschiebehaushalt vermutlich natürlich",F11="Déficit non apparent en charriage ou en remobilisation des sédiments / kein sichtbares Defizit beim Geschiebehaushalt bzw. bei der Mobilisierung von Geschiebe")</formula>
    </cfRule>
    <cfRule type="expression" dxfId="849" priority="1191">
      <formula>OR(F11="21-50%",F11="La remobilisation des sédiments est perturbée / Mobilisierung von Geschiebe beeinträchtigt",F11="Charriage présumé faiblement perturbé / Geschiebe vermutlich leicht beeinträchtigt")</formula>
    </cfRule>
    <cfRule type="expression" dxfId="848" priority="1192">
      <formula>OR(F11="51-80%",F11="Charriage présumé perturbé / Geschiebehaushalt vermutlich beeinträchtigt")</formula>
    </cfRule>
    <cfRule type="expression" dxfId="847" priority="1193">
      <formula>OR(F11="81 -100%",F11="Problème lié à un manque de charriage ou à un manque de remobilisation des sédiments / Problem aufgrund Geschiebemangels bzw. mangelnder Mobilisierung von Geschiebe")</formula>
    </cfRule>
  </conditionalFormatting>
  <conditionalFormatting sqref="I11:I12 I21:I23 I16:I19">
    <cfRule type="expression" dxfId="846" priority="1183">
      <formula>IF(J11="non pertinent / nicht relevant",TRUE,FALSE)</formula>
    </cfRule>
    <cfRule type="expression" dxfId="845" priority="1184">
      <formula>IF(J11="Non nécessaire / nicht nötig",TRUE,FALSE)</formula>
    </cfRule>
    <cfRule type="expression" dxfId="844" priority="1185">
      <formula>IF(J11="Partiellement nécessaire, difficile / teilweise nötig, schwierig",TRUE,FALSE)</formula>
    </cfRule>
    <cfRule type="expression" dxfId="843" priority="1186">
      <formula>IF(J11="Partiellement nécessaire, facile / teilweise nötig, einfach",TRUE,FALSE)</formula>
    </cfRule>
    <cfRule type="expression" dxfId="842" priority="1187">
      <formula>IF(J11="Très nécessaire, difficile / unbedingt nötig, schwierig",TRUE,FALSE)</formula>
    </cfRule>
    <cfRule type="expression" dxfId="841" priority="1188">
      <formula>IF(J11="Très nécessaire, facile / unbedingt nötig, einfach",TRUE,FALSE)</formula>
    </cfRule>
  </conditionalFormatting>
  <conditionalFormatting sqref="F11:F12 F21:F23 F16:F19">
    <cfRule type="cellIs" dxfId="840" priority="1172" operator="equal">
      <formula>"Charriage présumé faiblement perturbé / Geschiebe vermutlich leicht beeinträchtigt"</formula>
    </cfRule>
    <cfRule type="cellIs" dxfId="839" priority="1173" operator="equal">
      <formula>"La remobilisation des sédiments est perturbée / Mobilisierung von Geschiebe beeinträchtigt"</formula>
    </cfRule>
    <cfRule type="cellIs" dxfId="838" priority="1174" operator="equal">
      <formula>"Problème lié à un manque de charriage ou à un manque de remobilisation des sédiments / Problem aufgrund Geschiebemangels bzw. mangelnder Mobilisierung von Geschiebe"</formula>
    </cfRule>
    <cfRule type="cellIs" dxfId="837" priority="1175" operator="equal">
      <formula>"Déficit non apparent en charriage ou en remobilisation des sédiments / kein sichtbares Defizit beim Geschiebehaushalt bzw. bei der Mobilisierung von Geschiebe"</formula>
    </cfRule>
    <cfRule type="cellIs" dxfId="836" priority="1176" operator="equal">
      <formula>"Charriage présumé perturbé / Geschiebehaushalt vermutlich beeinträchtigt"</formula>
    </cfRule>
    <cfRule type="cellIs" dxfId="835" priority="1177" operator="equal">
      <formula>"Charriage présumé naturel / Geschiebehaushalt vermutlich natürlich"</formula>
    </cfRule>
    <cfRule type="cellIs" dxfId="834" priority="1178" operator="equal">
      <formula>"non pertinent / nicht relevant"</formula>
    </cfRule>
    <cfRule type="cellIs" dxfId="833" priority="1179" operator="equal">
      <formula>"21-50%"</formula>
    </cfRule>
    <cfRule type="cellIs" dxfId="832" priority="1180" operator="equal">
      <formula>"51-80%"</formula>
    </cfRule>
  </conditionalFormatting>
  <conditionalFormatting sqref="F11:F12 F21:F23 F16:F19">
    <cfRule type="cellIs" dxfId="831" priority="1181" operator="equal">
      <formula>"81 -100%"</formula>
    </cfRule>
    <cfRule type="cellIs" dxfId="830" priority="1182" operator="equal">
      <formula>"0-20%"</formula>
    </cfRule>
  </conditionalFormatting>
  <conditionalFormatting sqref="J21:J23 J11:J12 J16:J19">
    <cfRule type="cellIs" dxfId="829" priority="1205" stopIfTrue="1" operator="equal">
      <formula>"non pertinent / nicht relevant"</formula>
    </cfRule>
  </conditionalFormatting>
  <conditionalFormatting sqref="F20">
    <cfRule type="cellIs" dxfId="828" priority="1139" operator="equal">
      <formula>"Charriage présumé faiblement perturbé / Geschiebe vermutlich leicht beeinträchtigt"</formula>
    </cfRule>
    <cfRule type="cellIs" dxfId="827" priority="1140" operator="equal">
      <formula>"La remobilisation des sédiments est perturbée / Mobilisierung von Geschiebe beeinträchtigt"</formula>
    </cfRule>
    <cfRule type="cellIs" dxfId="826" priority="1141" operator="equal">
      <formula>"Problème lié à un manque de charriage ou à un manque de remobilisation des sédiments / Problem aufgrund Geschiebemangels bzw. mangelnder Mobilisierung von Geschiebe"</formula>
    </cfRule>
    <cfRule type="cellIs" dxfId="825" priority="1142" operator="equal">
      <formula>"Déficit non apparent en charriage ou en remobilisation des sédiments / kein sichtbares Defizit beim Geschiebehaushalt bzw. bei der Mobilisierung von Geschiebe"</formula>
    </cfRule>
    <cfRule type="cellIs" dxfId="824" priority="1143" operator="equal">
      <formula>"Charriage présumé perturbé / Geschiebehaushalt vermutlich beeinträchtigt"</formula>
    </cfRule>
    <cfRule type="cellIs" dxfId="823" priority="1144" operator="equal">
      <formula>"Charriage présumé naturel / Geschiebehaushalt vermutlich natürlich"</formula>
    </cfRule>
    <cfRule type="cellIs" dxfId="822" priority="1145" operator="equal">
      <formula>"non pertinent / nicht relevant"</formula>
    </cfRule>
    <cfRule type="cellIs" dxfId="821" priority="1146" operator="equal">
      <formula>"21-50%"</formula>
    </cfRule>
    <cfRule type="cellIs" dxfId="820" priority="1147" operator="equal">
      <formula>"51-80%"</formula>
    </cfRule>
  </conditionalFormatting>
  <conditionalFormatting sqref="F20">
    <cfRule type="cellIs" dxfId="819" priority="1148" operator="equal">
      <formula>"81 -100%"</formula>
    </cfRule>
    <cfRule type="cellIs" dxfId="818" priority="1149" operator="equal">
      <formula>"0-20%"</formula>
    </cfRule>
  </conditionalFormatting>
  <conditionalFormatting sqref="E20">
    <cfRule type="expression" dxfId="817" priority="1167">
      <formula>OR(F20="non pertinent / nicht relevant",F20="0")</formula>
    </cfRule>
    <cfRule type="expression" dxfId="816" priority="1168">
      <formula>OR(F20="0-20%",F20="Charriage présumé naturel / Geschiebehaushalt vermutlich natürlich",F20="Déficit non apparent en charriage ou en remobilisation des sédiments / kein sichtbares Defizit beim Geschiebehaushalt bzw. bei der Mobilisierung von Geschiebe")</formula>
    </cfRule>
    <cfRule type="expression" dxfId="815" priority="1169">
      <formula>OR(F20="21-50%",F20="La remobilisation des sédiments est perturbée / Mobilisierung von Geschiebe beeinträchtigt",F20="Charriage présumé faiblement perturbé / Geschiebe vermutlich leicht beeinträchtigt")</formula>
    </cfRule>
    <cfRule type="expression" dxfId="814" priority="1170">
      <formula>OR(F20="51-80%",F20="Charriage présumé perturbé / Geschiebehaushalt vermutlich beeinträchtigt")</formula>
    </cfRule>
    <cfRule type="expression" dxfId="813" priority="1171">
      <formula>OR(F20="81 -100%",F20="Problème lié à un manque de charriage ou à un manque de remobilisation des sédiments / Problem aufgrund Geschiebemangels bzw. mangelnder Mobilisierung von Geschiebe")</formula>
    </cfRule>
  </conditionalFormatting>
  <conditionalFormatting sqref="G20">
    <cfRule type="cellIs" dxfId="812" priority="1159" stopIfTrue="1" operator="equal">
      <formula>"Régime présumé naturel (100%) / Abfluss vermutlich natürlich"</formula>
    </cfRule>
    <cfRule type="cellIs" dxfId="811" priority="1160" stopIfTrue="1" operator="equal">
      <formula>"non pertinent / nicht relevant"</formula>
    </cfRule>
    <cfRule type="cellIs" dxfId="810" priority="1161" stopIfTrue="1" operator="equal">
      <formula>"61-80%"</formula>
    </cfRule>
    <cfRule type="cellIs" dxfId="809" priority="1162" stopIfTrue="1" operator="equal">
      <formula>"41-60%"</formula>
    </cfRule>
    <cfRule type="cellIs" dxfId="808" priority="1163" stopIfTrue="1" operator="equal">
      <formula>"21-40%"</formula>
    </cfRule>
    <cfRule type="cellIs" dxfId="807" priority="1164" stopIfTrue="1" operator="equal">
      <formula>"0-20%"</formula>
    </cfRule>
    <cfRule type="cellIs" dxfId="806" priority="1165" stopIfTrue="1" operator="equal">
      <formula>"81-100%"</formula>
    </cfRule>
    <cfRule type="cellIs" dxfId="805" priority="1166" stopIfTrue="1" operator="equal">
      <formula>"100%"</formula>
    </cfRule>
  </conditionalFormatting>
  <conditionalFormatting sqref="I20">
    <cfRule type="expression" dxfId="804" priority="1153">
      <formula>IF(J20="non pertinent / nicht relevant",TRUE,FALSE)</formula>
    </cfRule>
    <cfRule type="expression" dxfId="803" priority="1154">
      <formula>IF(J20="Non nécessaire / nicht nötig",TRUE,FALSE)</formula>
    </cfRule>
    <cfRule type="expression" dxfId="802" priority="1155">
      <formula>IF(J20="Partiellement nécessaire, difficile / teilweise nötig, schwierig",TRUE,FALSE)</formula>
    </cfRule>
    <cfRule type="expression" dxfId="801" priority="1156">
      <formula>IF(J20="Partiellement nécessaire, facile / teilweise nötig, einfach",TRUE,FALSE)</formula>
    </cfRule>
    <cfRule type="expression" dxfId="800" priority="1157">
      <formula>IF(J20="Très nécessaire, difficile / unbedingt nötig, schwierig",TRUE,FALSE)</formula>
    </cfRule>
    <cfRule type="expression" dxfId="799" priority="1158">
      <formula>IF(J20="Très nécessaire, facile / unbedingt nötig, einfach",TRUE,FALSE)</formula>
    </cfRule>
  </conditionalFormatting>
  <conditionalFormatting sqref="H20">
    <cfRule type="cellIs" dxfId="798" priority="1150" stopIfTrue="1" operator="equal">
      <formula>"Non affecté / nicht betroffen"</formula>
    </cfRule>
    <cfRule type="cellIs" dxfId="797" priority="1151" stopIfTrue="1" operator="equal">
      <formula>"Potentiellement affecté mais non plausible / möglicherweise betroffen aber nicht nachweisbar"</formula>
    </cfRule>
    <cfRule type="cellIs" dxfId="796" priority="1152" stopIfTrue="1" operator="equal">
      <formula>"Potentiellement affecté / möglicherweise betroffen"</formula>
    </cfRule>
  </conditionalFormatting>
  <conditionalFormatting sqref="G24">
    <cfRule type="cellIs" dxfId="795" priority="1124" stopIfTrue="1" operator="equal">
      <formula>"Régime présumé naturel (100%) / Abfluss vermutlich natürlich"</formula>
    </cfRule>
    <cfRule type="cellIs" dxfId="794" priority="1125" stopIfTrue="1" operator="equal">
      <formula>"non pertinent / nicht relevant"</formula>
    </cfRule>
    <cfRule type="cellIs" dxfId="793" priority="1126" stopIfTrue="1" operator="equal">
      <formula>"61-80%"</formula>
    </cfRule>
    <cfRule type="cellIs" dxfId="792" priority="1127" stopIfTrue="1" operator="equal">
      <formula>"41-60%"</formula>
    </cfRule>
    <cfRule type="cellIs" dxfId="791" priority="1128" stopIfTrue="1" operator="equal">
      <formula>"21-40%"</formula>
    </cfRule>
    <cfRule type="cellIs" dxfId="790" priority="1129" stopIfTrue="1" operator="equal">
      <formula>"0-20%"</formula>
    </cfRule>
    <cfRule type="cellIs" dxfId="789" priority="1130" stopIfTrue="1" operator="equal">
      <formula>"81-100%"</formula>
    </cfRule>
    <cfRule type="cellIs" dxfId="788" priority="1131" stopIfTrue="1" operator="equal">
      <formula>"100%"</formula>
    </cfRule>
  </conditionalFormatting>
  <conditionalFormatting sqref="H24">
    <cfRule type="cellIs" dxfId="787" priority="1121" stopIfTrue="1" operator="equal">
      <formula>"Non affecté / nicht betroffen"</formula>
    </cfRule>
    <cfRule type="cellIs" dxfId="786" priority="1122" stopIfTrue="1" operator="equal">
      <formula>"Potentiellement affecté mais non plausible / möglicherweise betroffen aber nicht nachweisbar"</formula>
    </cfRule>
    <cfRule type="cellIs" dxfId="785" priority="1123" stopIfTrue="1" operator="equal">
      <formula>"Potentiellement affecté / möglicherweise betroffen"</formula>
    </cfRule>
  </conditionalFormatting>
  <conditionalFormatting sqref="E24">
    <cfRule type="expression" dxfId="784" priority="1116">
      <formula>OR(F24="non pertinent / nicht relevant",F24="0")</formula>
    </cfRule>
    <cfRule type="expression" dxfId="783" priority="1117">
      <formula>OR(F24="0-20%",F24="Charriage présumé naturel / Geschiebehaushalt vermutlich natürlich",F24="Déficit non apparent en charriage ou en remobilisation des sédiments / kein sichtbares Defizit beim Geschiebehaushalt bzw. bei der Mobilisierung von Geschiebe")</formula>
    </cfRule>
    <cfRule type="expression" dxfId="782" priority="1118">
      <formula>OR(F24="21-50%",F24="La remobilisation des sédiments est perturbée / Mobilisierung von Geschiebe beeinträchtigt",F24="Charriage présumé faiblement perturbé / Geschiebe vermutlich leicht beeinträchtigt")</formula>
    </cfRule>
    <cfRule type="expression" dxfId="781" priority="1119">
      <formula>OR(F24="51-80%",F24="Charriage présumé perturbé / Geschiebehaushalt vermutlich beeinträchtigt")</formula>
    </cfRule>
    <cfRule type="expression" dxfId="780" priority="1120">
      <formula>OR(F24="81 -100%",F24="Problème lié à un manque de charriage ou à un manque de remobilisation des sédiments / Problem aufgrund Geschiebemangels bzw. mangelnder Mobilisierung von Geschiebe")</formula>
    </cfRule>
  </conditionalFormatting>
  <conditionalFormatting sqref="I24">
    <cfRule type="expression" dxfId="779" priority="1110">
      <formula>IF(J24="non pertinent / nicht relevant",TRUE,FALSE)</formula>
    </cfRule>
    <cfRule type="expression" dxfId="778" priority="1111">
      <formula>IF(J24="Non nécessaire / nicht nötig",TRUE,FALSE)</formula>
    </cfRule>
    <cfRule type="expression" dxfId="777" priority="1112">
      <formula>IF(J24="Partiellement nécessaire, difficile / teilweise nötig, schwierig",TRUE,FALSE)</formula>
    </cfRule>
    <cfRule type="expression" dxfId="776" priority="1113">
      <formula>IF(J24="Partiellement nécessaire, facile / teilweise nötig, einfach",TRUE,FALSE)</formula>
    </cfRule>
    <cfRule type="expression" dxfId="775" priority="1114">
      <formula>IF(J24="Très nécessaire, difficile / unbedingt nötig, schwierig",TRUE,FALSE)</formula>
    </cfRule>
    <cfRule type="expression" dxfId="774" priority="1115">
      <formula>IF(J24="Très nécessaire, facile / unbedingt nötig, einfach",TRUE,FALSE)</formula>
    </cfRule>
  </conditionalFormatting>
  <conditionalFormatting sqref="F24">
    <cfRule type="cellIs" dxfId="773" priority="1099" operator="equal">
      <formula>"Charriage présumé faiblement perturbé / Geschiebe vermutlich leicht beeinträchtigt"</formula>
    </cfRule>
    <cfRule type="cellIs" dxfId="772" priority="1100" operator="equal">
      <formula>"La remobilisation des sédiments est perturbée / Mobilisierung von Geschiebe beeinträchtigt"</formula>
    </cfRule>
    <cfRule type="cellIs" dxfId="771" priority="1101" operator="equal">
      <formula>"Problème lié à un manque de charriage ou à un manque de remobilisation des sédiments / Problem aufgrund Geschiebemangels bzw. mangelnder Mobilisierung von Geschiebe"</formula>
    </cfRule>
    <cfRule type="cellIs" dxfId="770" priority="1102" operator="equal">
      <formula>"Déficit non apparent en charriage ou en remobilisation des sédiments / kein sichtbares Defizit beim Geschiebehaushalt bzw. bei der Mobilisierung von Geschiebe"</formula>
    </cfRule>
    <cfRule type="cellIs" dxfId="769" priority="1103" operator="equal">
      <formula>"Charriage présumé perturbé / Geschiebehaushalt vermutlich beeinträchtigt"</formula>
    </cfRule>
    <cfRule type="cellIs" dxfId="768" priority="1104" operator="equal">
      <formula>"Charriage présumé naturel / Geschiebehaushalt vermutlich natürlich"</formula>
    </cfRule>
    <cfRule type="cellIs" dxfId="767" priority="1105" operator="equal">
      <formula>"non pertinent / nicht relevant"</formula>
    </cfRule>
    <cfRule type="cellIs" dxfId="766" priority="1106" operator="equal">
      <formula>"21-50%"</formula>
    </cfRule>
    <cfRule type="cellIs" dxfId="765" priority="1107" operator="equal">
      <formula>"51-80%"</formula>
    </cfRule>
  </conditionalFormatting>
  <conditionalFormatting sqref="F24">
    <cfRule type="cellIs" dxfId="764" priority="1108" operator="equal">
      <formula>"81 -100%"</formula>
    </cfRule>
    <cfRule type="cellIs" dxfId="763" priority="1109" operator="equal">
      <formula>"0-20%"</formula>
    </cfRule>
  </conditionalFormatting>
  <conditionalFormatting sqref="J24">
    <cfRule type="cellIs" dxfId="762" priority="1132" stopIfTrue="1" operator="equal">
      <formula>"non pertinent / nicht relevant"</formula>
    </cfRule>
    <cfRule type="cellIs" dxfId="761" priority="1782" stopIfTrue="1" operator="equal">
      <formula>"Très nécessaire, difficile / unbedingt nötig, schwierig"</formula>
    </cfRule>
  </conditionalFormatting>
  <conditionalFormatting sqref="G15">
    <cfRule type="cellIs" dxfId="760" priority="1090" stopIfTrue="1" operator="equal">
      <formula>"Régime présumé naturel (100%) / Abfluss vermutlich natürlich"</formula>
    </cfRule>
    <cfRule type="cellIs" dxfId="759" priority="1091" stopIfTrue="1" operator="equal">
      <formula>"non pertinent / nicht relevant"</formula>
    </cfRule>
    <cfRule type="cellIs" dxfId="758" priority="1092" stopIfTrue="1" operator="equal">
      <formula>"61-80%"</formula>
    </cfRule>
    <cfRule type="cellIs" dxfId="757" priority="1093" stopIfTrue="1" operator="equal">
      <formula>"41-60%"</formula>
    </cfRule>
    <cfRule type="cellIs" dxfId="756" priority="1094" stopIfTrue="1" operator="equal">
      <formula>"21-40%"</formula>
    </cfRule>
    <cfRule type="cellIs" dxfId="755" priority="1095" stopIfTrue="1" operator="equal">
      <formula>"0-20%"</formula>
    </cfRule>
    <cfRule type="cellIs" dxfId="754" priority="1096" stopIfTrue="1" operator="equal">
      <formula>"81-100%"</formula>
    </cfRule>
    <cfRule type="cellIs" dxfId="753" priority="1097" stopIfTrue="1" operator="equal">
      <formula>"100%"</formula>
    </cfRule>
  </conditionalFormatting>
  <conditionalFormatting sqref="H15">
    <cfRule type="cellIs" dxfId="752" priority="1087" stopIfTrue="1" operator="equal">
      <formula>"Non affecté / nicht betroffen"</formula>
    </cfRule>
    <cfRule type="cellIs" dxfId="751" priority="1088" stopIfTrue="1" operator="equal">
      <formula>"Potentiellement affecté mais non plausible / möglicherweise betroffen aber nicht nachweisbar"</formula>
    </cfRule>
    <cfRule type="cellIs" dxfId="750" priority="1089" stopIfTrue="1" operator="equal">
      <formula>"Potentiellement affecté / möglicherweise betroffen"</formula>
    </cfRule>
  </conditionalFormatting>
  <conditionalFormatting sqref="E15">
    <cfRule type="expression" dxfId="749" priority="1082">
      <formula>OR(F15="non pertinent / nicht relevant",F15="0")</formula>
    </cfRule>
    <cfRule type="expression" dxfId="748" priority="1083">
      <formula>OR(F15="0-20%",F15="Charriage présumé naturel / Geschiebehaushalt vermutlich natürlich",F15="Déficit non apparent en charriage ou en remobilisation des sédiments / kein sichtbares Defizit beim Geschiebehaushalt bzw. bei der Mobilisierung von Geschiebe")</formula>
    </cfRule>
    <cfRule type="expression" dxfId="747" priority="1084">
      <formula>OR(F15="21-50%",F15="La remobilisation des sédiments est perturbée / Mobilisierung von Geschiebe beeinträchtigt",F15="Charriage présumé faiblement perturbé / Geschiebe vermutlich leicht beeinträchtigt")</formula>
    </cfRule>
    <cfRule type="expression" dxfId="746" priority="1085">
      <formula>OR(F15="51-80%",F15="Charriage présumé perturbé / Geschiebehaushalt vermutlich beeinträchtigt")</formula>
    </cfRule>
    <cfRule type="expression" dxfId="745" priority="1086">
      <formula>OR(F15="81 -100%",F15="Problème lié à un manque de charriage ou à un manque de remobilisation des sédiments / Problem aufgrund Geschiebemangels bzw. mangelnder Mobilisierung von Geschiebe")</formula>
    </cfRule>
  </conditionalFormatting>
  <conditionalFormatting sqref="I15">
    <cfRule type="expression" dxfId="744" priority="1076">
      <formula>IF(J15="non pertinent / nicht relevant",TRUE,FALSE)</formula>
    </cfRule>
    <cfRule type="expression" dxfId="743" priority="1077">
      <formula>IF(J15="Non nécessaire / nicht nötig",TRUE,FALSE)</formula>
    </cfRule>
    <cfRule type="expression" dxfId="742" priority="1078">
      <formula>IF(J15="Partiellement nécessaire, difficile / teilweise nötig, schwierig",TRUE,FALSE)</formula>
    </cfRule>
    <cfRule type="expression" dxfId="741" priority="1079">
      <formula>IF(J15="Partiellement nécessaire, facile / teilweise nötig, einfach",TRUE,FALSE)</formula>
    </cfRule>
    <cfRule type="expression" dxfId="740" priority="1080">
      <formula>IF(J15="Très nécessaire, difficile / unbedingt nötig, schwierig",TRUE,FALSE)</formula>
    </cfRule>
    <cfRule type="expression" dxfId="739" priority="1081">
      <formula>IF(J15="Très nécessaire, facile / unbedingt nötig, einfach",TRUE,FALSE)</formula>
    </cfRule>
  </conditionalFormatting>
  <conditionalFormatting sqref="F15">
    <cfRule type="cellIs" dxfId="738" priority="1065" operator="equal">
      <formula>"Charriage présumé faiblement perturbé / Geschiebe vermutlich leicht beeinträchtigt"</formula>
    </cfRule>
    <cfRule type="cellIs" dxfId="737" priority="1066" operator="equal">
      <formula>"La remobilisation des sédiments est perturbée / Mobilisierung von Geschiebe beeinträchtigt"</formula>
    </cfRule>
    <cfRule type="cellIs" dxfId="736" priority="1067" operator="equal">
      <formula>"Problème lié à un manque de charriage ou à un manque de remobilisation des sédiments / Problem aufgrund Geschiebemangels bzw. mangelnder Mobilisierung von Geschiebe"</formula>
    </cfRule>
    <cfRule type="cellIs" dxfId="735" priority="1068" operator="equal">
      <formula>"Déficit non apparent en charriage ou en remobilisation des sédiments / kein sichtbares Defizit beim Geschiebehaushalt bzw. bei der Mobilisierung von Geschiebe"</formula>
    </cfRule>
    <cfRule type="cellIs" dxfId="734" priority="1069" operator="equal">
      <formula>"Charriage présumé perturbé / Geschiebehaushalt vermutlich beeinträchtigt"</formula>
    </cfRule>
    <cfRule type="cellIs" dxfId="733" priority="1070" operator="equal">
      <formula>"Charriage présumé naturel / Geschiebehaushalt vermutlich natürlich"</formula>
    </cfRule>
    <cfRule type="cellIs" dxfId="732" priority="1071" operator="equal">
      <formula>"non pertinent / nicht relevant"</formula>
    </cfRule>
    <cfRule type="cellIs" dxfId="731" priority="1072" operator="equal">
      <formula>"21-50%"</formula>
    </cfRule>
    <cfRule type="cellIs" dxfId="730" priority="1073" operator="equal">
      <formula>"51-80%"</formula>
    </cfRule>
  </conditionalFormatting>
  <conditionalFormatting sqref="F15">
    <cfRule type="cellIs" dxfId="729" priority="1074" operator="equal">
      <formula>"81 -100%"</formula>
    </cfRule>
    <cfRule type="cellIs" dxfId="728" priority="1075" operator="equal">
      <formula>"0-20%"</formula>
    </cfRule>
  </conditionalFormatting>
  <conditionalFormatting sqref="J15">
    <cfRule type="cellIs" dxfId="727" priority="1098" stopIfTrue="1" operator="equal">
      <formula>"non pertinent / nicht relevant"</formula>
    </cfRule>
    <cfRule type="cellIs" dxfId="726" priority="1783" stopIfTrue="1" operator="equal">
      <formula>"Très nécessaire, difficile / unbedingt nötig, schwierig"</formula>
    </cfRule>
  </conditionalFormatting>
  <conditionalFormatting sqref="G14">
    <cfRule type="cellIs" dxfId="725" priority="1056" stopIfTrue="1" operator="equal">
      <formula>"Régime présumé naturel (100%) / Abfluss vermutlich natürlich"</formula>
    </cfRule>
    <cfRule type="cellIs" dxfId="724" priority="1057" stopIfTrue="1" operator="equal">
      <formula>"non pertinent / nicht relevant"</formula>
    </cfRule>
    <cfRule type="cellIs" dxfId="723" priority="1058" stopIfTrue="1" operator="equal">
      <formula>"61-80%"</formula>
    </cfRule>
    <cfRule type="cellIs" dxfId="722" priority="1059" stopIfTrue="1" operator="equal">
      <formula>"41-60%"</formula>
    </cfRule>
    <cfRule type="cellIs" dxfId="721" priority="1060" stopIfTrue="1" operator="equal">
      <formula>"21-40%"</formula>
    </cfRule>
    <cfRule type="cellIs" dxfId="720" priority="1061" stopIfTrue="1" operator="equal">
      <formula>"0-20%"</formula>
    </cfRule>
    <cfRule type="cellIs" dxfId="719" priority="1062" stopIfTrue="1" operator="equal">
      <formula>"81-100%"</formula>
    </cfRule>
    <cfRule type="cellIs" dxfId="718" priority="1063" stopIfTrue="1" operator="equal">
      <formula>"100%"</formula>
    </cfRule>
  </conditionalFormatting>
  <conditionalFormatting sqref="H14">
    <cfRule type="cellIs" dxfId="717" priority="1053" stopIfTrue="1" operator="equal">
      <formula>"Non affecté / nicht betroffen"</formula>
    </cfRule>
    <cfRule type="cellIs" dxfId="716" priority="1054" stopIfTrue="1" operator="equal">
      <formula>"Potentiellement affecté mais non plausible / möglicherweise betroffen aber nicht nachweisbar"</formula>
    </cfRule>
    <cfRule type="cellIs" dxfId="715" priority="1055" stopIfTrue="1" operator="equal">
      <formula>"Potentiellement affecté / möglicherweise betroffen"</formula>
    </cfRule>
  </conditionalFormatting>
  <conditionalFormatting sqref="E14">
    <cfRule type="expression" dxfId="714" priority="1048">
      <formula>OR(F14="non pertinent / nicht relevant",F14="0")</formula>
    </cfRule>
    <cfRule type="expression" dxfId="713" priority="1049">
      <formula>OR(F14="0-20%",F14="Charriage présumé naturel / Geschiebehaushalt vermutlich natürlich",F14="Déficit non apparent en charriage ou en remobilisation des sédiments / kein sichtbares Defizit beim Geschiebehaushalt bzw. bei der Mobilisierung von Geschiebe")</formula>
    </cfRule>
    <cfRule type="expression" dxfId="712" priority="1050">
      <formula>OR(F14="21-50%",F14="La remobilisation des sédiments est perturbée / Mobilisierung von Geschiebe beeinträchtigt",F14="Charriage présumé faiblement perturbé / Geschiebe vermutlich leicht beeinträchtigt")</formula>
    </cfRule>
    <cfRule type="expression" dxfId="711" priority="1051">
      <formula>OR(F14="51-80%",F14="Charriage présumé perturbé / Geschiebehaushalt vermutlich beeinträchtigt")</formula>
    </cfRule>
    <cfRule type="expression" dxfId="710" priority="1052">
      <formula>OR(F14="81 -100%",F14="Problème lié à un manque de charriage ou à un manque de remobilisation des sédiments / Problem aufgrund Geschiebemangels bzw. mangelnder Mobilisierung von Geschiebe")</formula>
    </cfRule>
  </conditionalFormatting>
  <conditionalFormatting sqref="I14">
    <cfRule type="expression" dxfId="709" priority="1042">
      <formula>IF(J14="non pertinent / nicht relevant",TRUE,FALSE)</formula>
    </cfRule>
    <cfRule type="expression" dxfId="708" priority="1043">
      <formula>IF(J14="Non nécessaire / nicht nötig",TRUE,FALSE)</formula>
    </cfRule>
    <cfRule type="expression" dxfId="707" priority="1044">
      <formula>IF(J14="Partiellement nécessaire, difficile / teilweise nötig, schwierig",TRUE,FALSE)</formula>
    </cfRule>
    <cfRule type="expression" dxfId="706" priority="1045">
      <formula>IF(J14="Partiellement nécessaire, facile / teilweise nötig, einfach",TRUE,FALSE)</formula>
    </cfRule>
    <cfRule type="expression" dxfId="705" priority="1046">
      <formula>IF(J14="Très nécessaire, difficile / unbedingt nötig, schwierig",TRUE,FALSE)</formula>
    </cfRule>
    <cfRule type="expression" dxfId="704" priority="1047">
      <formula>IF(J14="Très nécessaire, facile / unbedingt nötig, einfach",TRUE,FALSE)</formula>
    </cfRule>
  </conditionalFormatting>
  <conditionalFormatting sqref="F14">
    <cfRule type="cellIs" dxfId="703" priority="1031" operator="equal">
      <formula>"Charriage présumé faiblement perturbé / Geschiebe vermutlich leicht beeinträchtigt"</formula>
    </cfRule>
    <cfRule type="cellIs" dxfId="702" priority="1032" operator="equal">
      <formula>"La remobilisation des sédiments est perturbée / Mobilisierung von Geschiebe beeinträchtigt"</formula>
    </cfRule>
    <cfRule type="cellIs" dxfId="701" priority="1033" operator="equal">
      <formula>"Problème lié à un manque de charriage ou à un manque de remobilisation des sédiments / Problem aufgrund Geschiebemangels bzw. mangelnder Mobilisierung von Geschiebe"</formula>
    </cfRule>
    <cfRule type="cellIs" dxfId="700" priority="1034" operator="equal">
      <formula>"Déficit non apparent en charriage ou en remobilisation des sédiments / kein sichtbares Defizit beim Geschiebehaushalt bzw. bei der Mobilisierung von Geschiebe"</formula>
    </cfRule>
    <cfRule type="cellIs" dxfId="699" priority="1035" operator="equal">
      <formula>"Charriage présumé perturbé / Geschiebehaushalt vermutlich beeinträchtigt"</formula>
    </cfRule>
    <cfRule type="cellIs" dxfId="698" priority="1036" operator="equal">
      <formula>"Charriage présumé naturel / Geschiebehaushalt vermutlich natürlich"</formula>
    </cfRule>
    <cfRule type="cellIs" dxfId="697" priority="1037" operator="equal">
      <formula>"non pertinent / nicht relevant"</formula>
    </cfRule>
    <cfRule type="cellIs" dxfId="696" priority="1038" operator="equal">
      <formula>"21-50%"</formula>
    </cfRule>
    <cfRule type="cellIs" dxfId="695" priority="1039" operator="equal">
      <formula>"51-80%"</formula>
    </cfRule>
  </conditionalFormatting>
  <conditionalFormatting sqref="F14">
    <cfRule type="cellIs" dxfId="694" priority="1040" operator="equal">
      <formula>"81 -100%"</formula>
    </cfRule>
    <cfRule type="cellIs" dxfId="693" priority="1041" operator="equal">
      <formula>"0-20%"</formula>
    </cfRule>
  </conditionalFormatting>
  <conditionalFormatting sqref="J14">
    <cfRule type="cellIs" dxfId="692" priority="1064" stopIfTrue="1" operator="equal">
      <formula>"non pertinent / nicht relevant"</formula>
    </cfRule>
    <cfRule type="cellIs" dxfId="691" priority="1784" stopIfTrue="1" operator="equal">
      <formula>"Très nécessaire, difficile / unbedingt nötig, schwierig"</formula>
    </cfRule>
  </conditionalFormatting>
  <conditionalFormatting sqref="G13">
    <cfRule type="cellIs" dxfId="690" priority="1023" stopIfTrue="1" operator="equal">
      <formula>"Régime présumé naturel (100%) / Abfluss vermutlich natürlich"</formula>
    </cfRule>
    <cfRule type="cellIs" dxfId="689" priority="1024" stopIfTrue="1" operator="equal">
      <formula>"non pertinent / nicht relevant"</formula>
    </cfRule>
    <cfRule type="cellIs" dxfId="688" priority="1025" stopIfTrue="1" operator="equal">
      <formula>"61-80%"</formula>
    </cfRule>
    <cfRule type="cellIs" dxfId="687" priority="1026" stopIfTrue="1" operator="equal">
      <formula>"41-60%"</formula>
    </cfRule>
    <cfRule type="cellIs" dxfId="686" priority="1027" stopIfTrue="1" operator="equal">
      <formula>"21-40%"</formula>
    </cfRule>
    <cfRule type="cellIs" dxfId="685" priority="1028" stopIfTrue="1" operator="equal">
      <formula>"0-20%"</formula>
    </cfRule>
    <cfRule type="cellIs" dxfId="684" priority="1029" stopIfTrue="1" operator="equal">
      <formula>"81-100%"</formula>
    </cfRule>
    <cfRule type="cellIs" dxfId="683" priority="1030" stopIfTrue="1" operator="equal">
      <formula>"100%"</formula>
    </cfRule>
  </conditionalFormatting>
  <conditionalFormatting sqref="H13">
    <cfRule type="cellIs" dxfId="682" priority="1020" stopIfTrue="1" operator="equal">
      <formula>"Non affecté / nicht betroffen"</formula>
    </cfRule>
    <cfRule type="cellIs" dxfId="681" priority="1021" stopIfTrue="1" operator="equal">
      <formula>"Potentiellement affecté mais non plausible / möglicherweise betroffen aber nicht nachweisbar"</formula>
    </cfRule>
    <cfRule type="cellIs" dxfId="680" priority="1022" stopIfTrue="1" operator="equal">
      <formula>"Potentiellement affecté / möglicherweise betroffen"</formula>
    </cfRule>
  </conditionalFormatting>
  <conditionalFormatting sqref="E13">
    <cfRule type="expression" dxfId="679" priority="1015">
      <formula>OR(F13="non pertinent / nicht relevant",F13="0")</formula>
    </cfRule>
    <cfRule type="expression" dxfId="678" priority="1016">
      <formula>OR(F13="0-20%",F13="Charriage présumé naturel / Geschiebehaushalt vermutlich natürlich",F13="Déficit non apparent en charriage ou en remobilisation des sédiments / kein sichtbares Defizit beim Geschiebehaushalt bzw. bei der Mobilisierung von Geschiebe")</formula>
    </cfRule>
    <cfRule type="expression" dxfId="677" priority="1017">
      <formula>OR(F13="21-50%",F13="La remobilisation des sédiments est perturbée / Mobilisierung von Geschiebe beeinträchtigt",F13="Charriage présumé faiblement perturbé / Geschiebe vermutlich leicht beeinträchtigt")</formula>
    </cfRule>
    <cfRule type="expression" dxfId="676" priority="1018">
      <formula>OR(F13="51-80%",F13="Charriage présumé perturbé / Geschiebehaushalt vermutlich beeinträchtigt")</formula>
    </cfRule>
    <cfRule type="expression" dxfId="675" priority="1019">
      <formula>OR(F13="81 -100%",F13="Problème lié à un manque de charriage ou à un manque de remobilisation des sédiments / Problem aufgrund Geschiebemangels bzw. mangelnder Mobilisierung von Geschiebe")</formula>
    </cfRule>
  </conditionalFormatting>
  <conditionalFormatting sqref="I13">
    <cfRule type="expression" dxfId="674" priority="1009">
      <formula>IF(J13="non pertinent / nicht relevant",TRUE,FALSE)</formula>
    </cfRule>
    <cfRule type="expression" dxfId="673" priority="1010">
      <formula>IF(J13="Non nécessaire / nicht nötig",TRUE,FALSE)</formula>
    </cfRule>
    <cfRule type="expression" dxfId="672" priority="1011">
      <formula>IF(J13="Partiellement nécessaire, difficile / teilweise nötig, schwierig",TRUE,FALSE)</formula>
    </cfRule>
    <cfRule type="expression" dxfId="671" priority="1012">
      <formula>IF(J13="Partiellement nécessaire, facile / teilweise nötig, einfach",TRUE,FALSE)</formula>
    </cfRule>
    <cfRule type="expression" dxfId="670" priority="1013">
      <formula>IF(J13="Très nécessaire, difficile / unbedingt nötig, schwierig",TRUE,FALSE)</formula>
    </cfRule>
    <cfRule type="expression" dxfId="669" priority="1014">
      <formula>IF(J13="Très nécessaire, facile / unbedingt nötig, einfach",TRUE,FALSE)</formula>
    </cfRule>
  </conditionalFormatting>
  <conditionalFormatting sqref="F13">
    <cfRule type="cellIs" dxfId="668" priority="998" operator="equal">
      <formula>"Charriage présumé faiblement perturbé / Geschiebe vermutlich leicht beeinträchtigt"</formula>
    </cfRule>
    <cfRule type="cellIs" dxfId="667" priority="999" operator="equal">
      <formula>"La remobilisation des sédiments est perturbée / Mobilisierung von Geschiebe beeinträchtigt"</formula>
    </cfRule>
    <cfRule type="cellIs" dxfId="666" priority="1000" operator="equal">
      <formula>"Problème lié à un manque de charriage ou à un manque de remobilisation des sédiments / Problem aufgrund Geschiebemangels bzw. mangelnder Mobilisierung von Geschiebe"</formula>
    </cfRule>
    <cfRule type="cellIs" dxfId="665" priority="1001" operator="equal">
      <formula>"Déficit non apparent en charriage ou en remobilisation des sédiments / kein sichtbares Defizit beim Geschiebehaushalt bzw. bei der Mobilisierung von Geschiebe"</formula>
    </cfRule>
    <cfRule type="cellIs" dxfId="664" priority="1002" operator="equal">
      <formula>"Charriage présumé perturbé / Geschiebehaushalt vermutlich beeinträchtigt"</formula>
    </cfRule>
    <cfRule type="cellIs" dxfId="663" priority="1003" operator="equal">
      <formula>"Charriage présumé naturel / Geschiebehaushalt vermutlich natürlich"</formula>
    </cfRule>
    <cfRule type="cellIs" dxfId="662" priority="1004" operator="equal">
      <formula>"non pertinent / nicht relevant"</formula>
    </cfRule>
    <cfRule type="cellIs" dxfId="661" priority="1005" operator="equal">
      <formula>"21-50%"</formula>
    </cfRule>
    <cfRule type="cellIs" dxfId="660" priority="1006" operator="equal">
      <formula>"51-80%"</formula>
    </cfRule>
  </conditionalFormatting>
  <conditionalFormatting sqref="F13">
    <cfRule type="cellIs" dxfId="659" priority="1007" operator="equal">
      <formula>"81 -100%"</formula>
    </cfRule>
    <cfRule type="cellIs" dxfId="658" priority="1008" operator="equal">
      <formula>"0-20%"</formula>
    </cfRule>
  </conditionalFormatting>
  <conditionalFormatting sqref="G25">
    <cfRule type="cellIs" dxfId="657" priority="989" stopIfTrue="1" operator="equal">
      <formula>"Régime présumé naturel (100%) / Abfluss vermutlich natürlich"</formula>
    </cfRule>
    <cfRule type="cellIs" dxfId="656" priority="990" stopIfTrue="1" operator="equal">
      <formula>"non pertinent / nicht relevant"</formula>
    </cfRule>
    <cfRule type="cellIs" dxfId="655" priority="991" stopIfTrue="1" operator="equal">
      <formula>"61-80%"</formula>
    </cfRule>
    <cfRule type="cellIs" dxfId="654" priority="992" stopIfTrue="1" operator="equal">
      <formula>"41-60%"</formula>
    </cfRule>
    <cfRule type="cellIs" dxfId="653" priority="993" stopIfTrue="1" operator="equal">
      <formula>"21-40%"</formula>
    </cfRule>
    <cfRule type="cellIs" dxfId="652" priority="994" stopIfTrue="1" operator="equal">
      <formula>"0-20%"</formula>
    </cfRule>
    <cfRule type="cellIs" dxfId="651" priority="995" stopIfTrue="1" operator="equal">
      <formula>"81-100%"</formula>
    </cfRule>
    <cfRule type="cellIs" dxfId="650" priority="996" stopIfTrue="1" operator="equal">
      <formula>"100%"</formula>
    </cfRule>
  </conditionalFormatting>
  <conditionalFormatting sqref="H25">
    <cfRule type="cellIs" dxfId="649" priority="986" stopIfTrue="1" operator="equal">
      <formula>"Non affecté / nicht betroffen"</formula>
    </cfRule>
    <cfRule type="cellIs" dxfId="648" priority="987" stopIfTrue="1" operator="equal">
      <formula>"Potentiellement affecté mais non plausible / möglicherweise betroffen aber nicht nachweisbar"</formula>
    </cfRule>
    <cfRule type="cellIs" dxfId="647" priority="988" stopIfTrue="1" operator="equal">
      <formula>"Potentiellement affecté / möglicherweise betroffen"</formula>
    </cfRule>
  </conditionalFormatting>
  <conditionalFormatting sqref="E25">
    <cfRule type="expression" dxfId="646" priority="981">
      <formula>OR(F25="non pertinent / nicht relevant",F25="0")</formula>
    </cfRule>
    <cfRule type="expression" dxfId="645" priority="982">
      <formula>OR(F25="0-20%",F25="Charriage présumé naturel / Geschiebehaushalt vermutlich natürlich",F25="Déficit non apparent en charriage ou en remobilisation des sédiments / kein sichtbares Defizit beim Geschiebehaushalt bzw. bei der Mobilisierung von Geschiebe")</formula>
    </cfRule>
    <cfRule type="expression" dxfId="644" priority="983">
      <formula>OR(F25="21-50%",F25="La remobilisation des sédiments est perturbée / Mobilisierung von Geschiebe beeinträchtigt",F25="Charriage présumé faiblement perturbé / Geschiebe vermutlich leicht beeinträchtigt")</formula>
    </cfRule>
    <cfRule type="expression" dxfId="643" priority="984">
      <formula>OR(F25="51-80%",F25="Charriage présumé perturbé / Geschiebehaushalt vermutlich beeinträchtigt")</formula>
    </cfRule>
    <cfRule type="expression" dxfId="642" priority="985">
      <formula>OR(F25="81 -100%",F25="Problème lié à un manque de charriage ou à un manque de remobilisation des sédiments / Problem aufgrund Geschiebemangels bzw. mangelnder Mobilisierung von Geschiebe")</formula>
    </cfRule>
  </conditionalFormatting>
  <conditionalFormatting sqref="I25">
    <cfRule type="expression" dxfId="641" priority="975">
      <formula>IF(J25="non pertinent / nicht relevant",TRUE,FALSE)</formula>
    </cfRule>
    <cfRule type="expression" dxfId="640" priority="976">
      <formula>IF(J25="Non nécessaire / nicht nötig",TRUE,FALSE)</formula>
    </cfRule>
    <cfRule type="expression" dxfId="639" priority="977">
      <formula>IF(J25="Partiellement nécessaire, difficile / teilweise nötig, schwierig",TRUE,FALSE)</formula>
    </cfRule>
    <cfRule type="expression" dxfId="638" priority="978">
      <formula>IF(J25="Partiellement nécessaire, facile / teilweise nötig, einfach",TRUE,FALSE)</formula>
    </cfRule>
    <cfRule type="expression" dxfId="637" priority="979">
      <formula>IF(J25="Très nécessaire, difficile / unbedingt nötig, schwierig",TRUE,FALSE)</formula>
    </cfRule>
    <cfRule type="expression" dxfId="636" priority="980">
      <formula>IF(J25="Très nécessaire, facile / unbedingt nötig, einfach",TRUE,FALSE)</formula>
    </cfRule>
  </conditionalFormatting>
  <conditionalFormatting sqref="F25">
    <cfRule type="cellIs" dxfId="635" priority="964" operator="equal">
      <formula>"Charriage présumé faiblement perturbé / Geschiebe vermutlich leicht beeinträchtigt"</formula>
    </cfRule>
    <cfRule type="cellIs" dxfId="634" priority="965" operator="equal">
      <formula>"La remobilisation des sédiments est perturbée / Mobilisierung von Geschiebe beeinträchtigt"</formula>
    </cfRule>
    <cfRule type="cellIs" dxfId="633" priority="966" operator="equal">
      <formula>"Problème lié à un manque de charriage ou à un manque de remobilisation des sédiments / Problem aufgrund Geschiebemangels bzw. mangelnder Mobilisierung von Geschiebe"</formula>
    </cfRule>
    <cfRule type="cellIs" dxfId="632" priority="967" operator="equal">
      <formula>"Déficit non apparent en charriage ou en remobilisation des sédiments / kein sichtbares Defizit beim Geschiebehaushalt bzw. bei der Mobilisierung von Geschiebe"</formula>
    </cfRule>
    <cfRule type="cellIs" dxfId="631" priority="968" operator="equal">
      <formula>"Charriage présumé perturbé / Geschiebehaushalt vermutlich beeinträchtigt"</formula>
    </cfRule>
    <cfRule type="cellIs" dxfId="630" priority="969" operator="equal">
      <formula>"Charriage présumé naturel / Geschiebehaushalt vermutlich natürlich"</formula>
    </cfRule>
    <cfRule type="cellIs" dxfId="629" priority="970" operator="equal">
      <formula>"non pertinent / nicht relevant"</formula>
    </cfRule>
    <cfRule type="cellIs" dxfId="628" priority="971" operator="equal">
      <formula>"21-50%"</formula>
    </cfRule>
    <cfRule type="cellIs" dxfId="627" priority="972" operator="equal">
      <formula>"51-80%"</formula>
    </cfRule>
  </conditionalFormatting>
  <conditionalFormatting sqref="F25">
    <cfRule type="cellIs" dxfId="626" priority="973" operator="equal">
      <formula>"81 -100%"</formula>
    </cfRule>
    <cfRule type="cellIs" dxfId="625" priority="974" operator="equal">
      <formula>"0-20%"</formula>
    </cfRule>
  </conditionalFormatting>
  <conditionalFormatting sqref="J25">
    <cfRule type="cellIs" dxfId="624" priority="997" stopIfTrue="1" operator="equal">
      <formula>"non pertinent / nicht relevant"</formula>
    </cfRule>
  </conditionalFormatting>
  <conditionalFormatting sqref="G33">
    <cfRule type="cellIs" dxfId="623" priority="955" stopIfTrue="1" operator="equal">
      <formula>"Régime présumé naturel (100%) / Abfluss vermutlich natürlich"</formula>
    </cfRule>
    <cfRule type="cellIs" dxfId="622" priority="956" stopIfTrue="1" operator="equal">
      <formula>"non pertinent / nicht relevant"</formula>
    </cfRule>
    <cfRule type="cellIs" dxfId="621" priority="957" stopIfTrue="1" operator="equal">
      <formula>"61-80%"</formula>
    </cfRule>
    <cfRule type="cellIs" dxfId="620" priority="958" stopIfTrue="1" operator="equal">
      <formula>"41-60%"</formula>
    </cfRule>
    <cfRule type="cellIs" dxfId="619" priority="959" stopIfTrue="1" operator="equal">
      <formula>"21-40%"</formula>
    </cfRule>
    <cfRule type="cellIs" dxfId="618" priority="960" stopIfTrue="1" operator="equal">
      <formula>"0-20%"</formula>
    </cfRule>
    <cfRule type="cellIs" dxfId="617" priority="961" stopIfTrue="1" operator="equal">
      <formula>"81-100%"</formula>
    </cfRule>
    <cfRule type="cellIs" dxfId="616" priority="962" stopIfTrue="1" operator="equal">
      <formula>"100%"</formula>
    </cfRule>
  </conditionalFormatting>
  <conditionalFormatting sqref="H33">
    <cfRule type="cellIs" dxfId="615" priority="952" stopIfTrue="1" operator="equal">
      <formula>"Non affecté / nicht betroffen"</formula>
    </cfRule>
    <cfRule type="cellIs" dxfId="614" priority="953" stopIfTrue="1" operator="equal">
      <formula>"Potentiellement affecté mais non plausible / möglicherweise betroffen aber nicht nachweisbar"</formula>
    </cfRule>
    <cfRule type="cellIs" dxfId="613" priority="954" stopIfTrue="1" operator="equal">
      <formula>"Potentiellement affecté / möglicherweise betroffen"</formula>
    </cfRule>
  </conditionalFormatting>
  <conditionalFormatting sqref="E33">
    <cfRule type="expression" dxfId="612" priority="947">
      <formula>OR(F33="non pertinent / nicht relevant",F33="0")</formula>
    </cfRule>
    <cfRule type="expression" dxfId="611" priority="948">
      <formula>OR(F33="0-20%",F33="Charriage présumé naturel / Geschiebehaushalt vermutlich natürlich",F33="Déficit non apparent en charriage ou en remobilisation des sédiments / kein sichtbares Defizit beim Geschiebehaushalt bzw. bei der Mobilisierung von Geschiebe")</formula>
    </cfRule>
    <cfRule type="expression" dxfId="610" priority="949">
      <formula>OR(F33="21-50%",F33="La remobilisation des sédiments est perturbée / Mobilisierung von Geschiebe beeinträchtigt",F33="Charriage présumé faiblement perturbé / Geschiebe vermutlich leicht beeinträchtigt")</formula>
    </cfRule>
    <cfRule type="expression" dxfId="609" priority="950">
      <formula>OR(F33="51-80%",F33="Charriage présumé perturbé / Geschiebehaushalt vermutlich beeinträchtigt")</formula>
    </cfRule>
    <cfRule type="expression" dxfId="608" priority="951">
      <formula>OR(F33="81 -100%",F33="Problème lié à un manque de charriage ou à un manque de remobilisation des sédiments / Problem aufgrund Geschiebemangels bzw. mangelnder Mobilisierung von Geschiebe")</formula>
    </cfRule>
  </conditionalFormatting>
  <conditionalFormatting sqref="I33">
    <cfRule type="expression" dxfId="607" priority="941">
      <formula>IF(J33="non pertinent / nicht relevant",TRUE,FALSE)</formula>
    </cfRule>
    <cfRule type="expression" dxfId="606" priority="942">
      <formula>IF(J33="Non nécessaire / nicht nötig",TRUE,FALSE)</formula>
    </cfRule>
    <cfRule type="expression" dxfId="605" priority="943">
      <formula>IF(J33="Partiellement nécessaire, difficile / teilweise nötig, schwierig",TRUE,FALSE)</formula>
    </cfRule>
    <cfRule type="expression" dxfId="604" priority="944">
      <formula>IF(J33="Partiellement nécessaire, facile / teilweise nötig, einfach",TRUE,FALSE)</formula>
    </cfRule>
    <cfRule type="expression" dxfId="603" priority="945">
      <formula>IF(J33="Très nécessaire, difficile / unbedingt nötig, schwierig",TRUE,FALSE)</formula>
    </cfRule>
    <cfRule type="expression" dxfId="602" priority="946">
      <formula>IF(J33="Très nécessaire, facile / unbedingt nötig, einfach",TRUE,FALSE)</formula>
    </cfRule>
  </conditionalFormatting>
  <conditionalFormatting sqref="F33">
    <cfRule type="cellIs" dxfId="601" priority="930" operator="equal">
      <formula>"Charriage présumé faiblement perturbé / Geschiebe vermutlich leicht beeinträchtigt"</formula>
    </cfRule>
    <cfRule type="cellIs" dxfId="600" priority="931" operator="equal">
      <formula>"La remobilisation des sédiments est perturbée / Mobilisierung von Geschiebe beeinträchtigt"</formula>
    </cfRule>
    <cfRule type="cellIs" dxfId="599" priority="932" operator="equal">
      <formula>"Problème lié à un manque de charriage ou à un manque de remobilisation des sédiments / Problem aufgrund Geschiebemangels bzw. mangelnder Mobilisierung von Geschiebe"</formula>
    </cfRule>
    <cfRule type="cellIs" dxfId="598" priority="933" operator="equal">
      <formula>"Déficit non apparent en charriage ou en remobilisation des sédiments / kein sichtbares Defizit beim Geschiebehaushalt bzw. bei der Mobilisierung von Geschiebe"</formula>
    </cfRule>
    <cfRule type="cellIs" dxfId="597" priority="934" operator="equal">
      <formula>"Charriage présumé perturbé / Geschiebehaushalt vermutlich beeinträchtigt"</formula>
    </cfRule>
    <cfRule type="cellIs" dxfId="596" priority="935" operator="equal">
      <formula>"Charriage présumé naturel / Geschiebehaushalt vermutlich natürlich"</formula>
    </cfRule>
    <cfRule type="cellIs" dxfId="595" priority="936" operator="equal">
      <formula>"non pertinent / nicht relevant"</formula>
    </cfRule>
    <cfRule type="cellIs" dxfId="594" priority="937" operator="equal">
      <formula>"21-50%"</formula>
    </cfRule>
    <cfRule type="cellIs" dxfId="593" priority="938" operator="equal">
      <formula>"51-80%"</formula>
    </cfRule>
  </conditionalFormatting>
  <conditionalFormatting sqref="F33">
    <cfRule type="cellIs" dxfId="592" priority="939" operator="equal">
      <formula>"81 -100%"</formula>
    </cfRule>
    <cfRule type="cellIs" dxfId="591" priority="940" operator="equal">
      <formula>"0-20%"</formula>
    </cfRule>
  </conditionalFormatting>
  <conditionalFormatting sqref="J33">
    <cfRule type="cellIs" dxfId="590" priority="963" stopIfTrue="1" operator="equal">
      <formula>"non pertinent / nicht relevant"</formula>
    </cfRule>
  </conditionalFormatting>
  <conditionalFormatting sqref="G60">
    <cfRule type="cellIs" dxfId="589" priority="922" stopIfTrue="1" operator="equal">
      <formula>"Régime présumé naturel (100%) / Abfluss vermutlich natürlich"</formula>
    </cfRule>
    <cfRule type="cellIs" dxfId="588" priority="923" stopIfTrue="1" operator="equal">
      <formula>"non pertinent / nicht relevant"</formula>
    </cfRule>
    <cfRule type="cellIs" dxfId="587" priority="924" stopIfTrue="1" operator="equal">
      <formula>"61-80%"</formula>
    </cfRule>
    <cfRule type="cellIs" dxfId="586" priority="925" stopIfTrue="1" operator="equal">
      <formula>"41-60%"</formula>
    </cfRule>
    <cfRule type="cellIs" dxfId="585" priority="926" stopIfTrue="1" operator="equal">
      <formula>"21-40%"</formula>
    </cfRule>
    <cfRule type="cellIs" dxfId="584" priority="927" stopIfTrue="1" operator="equal">
      <formula>"0-20%"</formula>
    </cfRule>
    <cfRule type="cellIs" dxfId="583" priority="928" stopIfTrue="1" operator="equal">
      <formula>"81-100%"</formula>
    </cfRule>
    <cfRule type="cellIs" dxfId="582" priority="929" stopIfTrue="1" operator="equal">
      <formula>"100%"</formula>
    </cfRule>
  </conditionalFormatting>
  <conditionalFormatting sqref="H60">
    <cfRule type="cellIs" dxfId="581" priority="919" stopIfTrue="1" operator="equal">
      <formula>"Non affecté / nicht betroffen"</formula>
    </cfRule>
    <cfRule type="cellIs" dxfId="580" priority="920" stopIfTrue="1" operator="equal">
      <formula>"Potentiellement affecté mais non plausible / möglicherweise betroffen aber nicht nachweisbar"</formula>
    </cfRule>
    <cfRule type="cellIs" dxfId="579" priority="921" stopIfTrue="1" operator="equal">
      <formula>"Potentiellement affecté / möglicherweise betroffen"</formula>
    </cfRule>
  </conditionalFormatting>
  <conditionalFormatting sqref="E60">
    <cfRule type="expression" dxfId="578" priority="914">
      <formula>OR(F60="non pertinent / nicht relevant",F60="0")</formula>
    </cfRule>
    <cfRule type="expression" dxfId="577" priority="915">
      <formula>OR(F60="0-20%",F60="Charriage présumé naturel / Geschiebehaushalt vermutlich natürlich",F60="Déficit non apparent en charriage ou en remobilisation des sédiments / kein sichtbares Defizit beim Geschiebehaushalt bzw. bei der Mobilisierung von Geschiebe")</formula>
    </cfRule>
    <cfRule type="expression" dxfId="576" priority="916">
      <formula>OR(F60="21-50%",F60="La remobilisation des sédiments est perturbée / Mobilisierung von Geschiebe beeinträchtigt",F60="Charriage présumé faiblement perturbé / Geschiebe vermutlich leicht beeinträchtigt")</formula>
    </cfRule>
    <cfRule type="expression" dxfId="575" priority="917">
      <formula>OR(F60="51-80%",F60="Charriage présumé perturbé / Geschiebehaushalt vermutlich beeinträchtigt")</formula>
    </cfRule>
    <cfRule type="expression" dxfId="574" priority="918">
      <formula>OR(F60="81 -100%",F60="Problème lié à un manque de charriage ou à un manque de remobilisation des sédiments / Problem aufgrund Geschiebemangels bzw. mangelnder Mobilisierung von Geschiebe")</formula>
    </cfRule>
  </conditionalFormatting>
  <conditionalFormatting sqref="I60">
    <cfRule type="expression" dxfId="573" priority="908">
      <formula>IF(J60="non pertinent / nicht relevant",TRUE,FALSE)</formula>
    </cfRule>
    <cfRule type="expression" dxfId="572" priority="909">
      <formula>IF(J60="Non nécessaire / nicht nötig",TRUE,FALSE)</formula>
    </cfRule>
    <cfRule type="expression" dxfId="571" priority="910">
      <formula>IF(J60="Partiellement nécessaire, difficile / teilweise nötig, schwierig",TRUE,FALSE)</formula>
    </cfRule>
    <cfRule type="expression" dxfId="570" priority="911">
      <formula>IF(J60="Partiellement nécessaire, facile / teilweise nötig, einfach",TRUE,FALSE)</formula>
    </cfRule>
    <cfRule type="expression" dxfId="569" priority="912">
      <formula>IF(J60="Très nécessaire, difficile / unbedingt nötig, schwierig",TRUE,FALSE)</formula>
    </cfRule>
    <cfRule type="expression" dxfId="568" priority="913">
      <formula>IF(J60="Très nécessaire, facile / unbedingt nötig, einfach",TRUE,FALSE)</formula>
    </cfRule>
  </conditionalFormatting>
  <conditionalFormatting sqref="F60">
    <cfRule type="cellIs" dxfId="567" priority="897" operator="equal">
      <formula>"Charriage présumé faiblement perturbé / Geschiebe vermutlich leicht beeinträchtigt"</formula>
    </cfRule>
    <cfRule type="cellIs" dxfId="566" priority="898" operator="equal">
      <formula>"La remobilisation des sédiments est perturbée / Mobilisierung von Geschiebe beeinträchtigt"</formula>
    </cfRule>
    <cfRule type="cellIs" dxfId="565" priority="899" operator="equal">
      <formula>"Problème lié à un manque de charriage ou à un manque de remobilisation des sédiments / Problem aufgrund Geschiebemangels bzw. mangelnder Mobilisierung von Geschiebe"</formula>
    </cfRule>
    <cfRule type="cellIs" dxfId="564" priority="900" operator="equal">
      <formula>"Déficit non apparent en charriage ou en remobilisation des sédiments / kein sichtbares Defizit beim Geschiebehaushalt bzw. bei der Mobilisierung von Geschiebe"</formula>
    </cfRule>
    <cfRule type="cellIs" dxfId="563" priority="901" operator="equal">
      <formula>"Charriage présumé perturbé / Geschiebehaushalt vermutlich beeinträchtigt"</formula>
    </cfRule>
    <cfRule type="cellIs" dxfId="562" priority="902" operator="equal">
      <formula>"Charriage présumé naturel / Geschiebehaushalt vermutlich natürlich"</formula>
    </cfRule>
    <cfRule type="cellIs" dxfId="561" priority="903" operator="equal">
      <formula>"non pertinent / nicht relevant"</formula>
    </cfRule>
    <cfRule type="cellIs" dxfId="560" priority="904" operator="equal">
      <formula>"21-50%"</formula>
    </cfRule>
    <cfRule type="cellIs" dxfId="559" priority="905" operator="equal">
      <formula>"51-80%"</formula>
    </cfRule>
  </conditionalFormatting>
  <conditionalFormatting sqref="F60">
    <cfRule type="cellIs" dxfId="558" priority="906" operator="equal">
      <formula>"81 -100%"</formula>
    </cfRule>
    <cfRule type="cellIs" dxfId="557" priority="907" operator="equal">
      <formula>"0-20%"</formula>
    </cfRule>
  </conditionalFormatting>
  <conditionalFormatting sqref="J60">
    <cfRule type="cellIs" dxfId="556" priority="896" stopIfTrue="1" operator="equal">
      <formula>"non pertinent / nicht relevant"</formula>
    </cfRule>
  </conditionalFormatting>
  <conditionalFormatting sqref="G223">
    <cfRule type="cellIs" dxfId="555" priority="887" stopIfTrue="1" operator="equal">
      <formula>"Régime présumé naturel (100%) / Abfluss vermutlich natürlich"</formula>
    </cfRule>
    <cfRule type="cellIs" dxfId="554" priority="888" stopIfTrue="1" operator="equal">
      <formula>"non pertinent / nicht relevant"</formula>
    </cfRule>
    <cfRule type="cellIs" dxfId="553" priority="889" stopIfTrue="1" operator="equal">
      <formula>"61-80%"</formula>
    </cfRule>
    <cfRule type="cellIs" dxfId="552" priority="890" stopIfTrue="1" operator="equal">
      <formula>"41-60%"</formula>
    </cfRule>
    <cfRule type="cellIs" dxfId="551" priority="891" stopIfTrue="1" operator="equal">
      <formula>"21-40%"</formula>
    </cfRule>
    <cfRule type="cellIs" dxfId="550" priority="892" stopIfTrue="1" operator="equal">
      <formula>"0-20%"</formula>
    </cfRule>
    <cfRule type="cellIs" dxfId="549" priority="893" stopIfTrue="1" operator="equal">
      <formula>"81-100%"</formula>
    </cfRule>
    <cfRule type="cellIs" dxfId="548" priority="894" stopIfTrue="1" operator="equal">
      <formula>"100%"</formula>
    </cfRule>
  </conditionalFormatting>
  <conditionalFormatting sqref="H223">
    <cfRule type="cellIs" dxfId="547" priority="884" stopIfTrue="1" operator="equal">
      <formula>"Non affecté / nicht betroffen"</formula>
    </cfRule>
    <cfRule type="cellIs" dxfId="546" priority="885" stopIfTrue="1" operator="equal">
      <formula>"Potentiellement affecté mais non plausible / möglicherweise betroffen aber nicht nachweisbar"</formula>
    </cfRule>
    <cfRule type="cellIs" dxfId="545" priority="886" stopIfTrue="1" operator="equal">
      <formula>"Potentiellement affecté / möglicherweise betroffen"</formula>
    </cfRule>
  </conditionalFormatting>
  <conditionalFormatting sqref="E223">
    <cfRule type="expression" dxfId="544" priority="879">
      <formula>OR(F223="non pertinent / nicht relevant",F223="0")</formula>
    </cfRule>
    <cfRule type="expression" dxfId="543" priority="880">
      <formula>OR(F223="0-20%",F223="Charriage présumé naturel / Geschiebehaushalt vermutlich natürlich",F223="Déficit non apparent en charriage ou en remobilisation des sédiments / kein sichtbares Defizit beim Geschiebehaushalt bzw. bei der Mobilisierung von Geschiebe")</formula>
    </cfRule>
    <cfRule type="expression" dxfId="542" priority="881">
      <formula>OR(F223="21-50%",F223="La remobilisation des sédiments est perturbée / Mobilisierung von Geschiebe beeinträchtigt",F223="Charriage présumé faiblement perturbé / Geschiebe vermutlich leicht beeinträchtigt")</formula>
    </cfRule>
    <cfRule type="expression" dxfId="541" priority="882">
      <formula>OR(F223="51-80%",F223="Charriage présumé perturbé / Geschiebehaushalt vermutlich beeinträchtigt")</formula>
    </cfRule>
    <cfRule type="expression" dxfId="540" priority="883">
      <formula>OR(F223="81 -100%",F223="Problème lié à un manque de charriage ou à un manque de remobilisation des sédiments / Problem aufgrund Geschiebemangels bzw. mangelnder Mobilisierung von Geschiebe")</formula>
    </cfRule>
  </conditionalFormatting>
  <conditionalFormatting sqref="I223">
    <cfRule type="expression" dxfId="539" priority="873">
      <formula>IF(J223="non pertinent / nicht relevant",TRUE,FALSE)</formula>
    </cfRule>
    <cfRule type="expression" dxfId="538" priority="874">
      <formula>IF(J223="Non nécessaire / nicht nötig",TRUE,FALSE)</formula>
    </cfRule>
    <cfRule type="expression" dxfId="537" priority="875">
      <formula>IF(J223="Partiellement nécessaire, difficile / teilweise nötig, schwierig",TRUE,FALSE)</formula>
    </cfRule>
    <cfRule type="expression" dxfId="536" priority="876">
      <formula>IF(J223="Partiellement nécessaire, facile / teilweise nötig, einfach",TRUE,FALSE)</formula>
    </cfRule>
    <cfRule type="expression" dxfId="535" priority="877">
      <formula>IF(J223="Très nécessaire, difficile / unbedingt nötig, schwierig",TRUE,FALSE)</formula>
    </cfRule>
    <cfRule type="expression" dxfId="534" priority="878">
      <formula>IF(J223="Très nécessaire, facile / unbedingt nötig, einfach",TRUE,FALSE)</formula>
    </cfRule>
  </conditionalFormatting>
  <conditionalFormatting sqref="F223">
    <cfRule type="cellIs" dxfId="533" priority="862" operator="equal">
      <formula>"Charriage présumé faiblement perturbé / Geschiebe vermutlich leicht beeinträchtigt"</formula>
    </cfRule>
    <cfRule type="cellIs" dxfId="532" priority="863" operator="equal">
      <formula>"La remobilisation des sédiments est perturbée / Mobilisierung von Geschiebe beeinträchtigt"</formula>
    </cfRule>
    <cfRule type="cellIs" dxfId="531" priority="864" operator="equal">
      <formula>"Problème lié à un manque de charriage ou à un manque de remobilisation des sédiments / Problem aufgrund Geschiebemangels bzw. mangelnder Mobilisierung von Geschiebe"</formula>
    </cfRule>
    <cfRule type="cellIs" dxfId="530" priority="865" operator="equal">
      <formula>"Déficit non apparent en charriage ou en remobilisation des sédiments / kein sichtbares Defizit beim Geschiebehaushalt bzw. bei der Mobilisierung von Geschiebe"</formula>
    </cfRule>
    <cfRule type="cellIs" dxfId="529" priority="866" operator="equal">
      <formula>"Charriage présumé perturbé / Geschiebehaushalt vermutlich beeinträchtigt"</formula>
    </cfRule>
    <cfRule type="cellIs" dxfId="528" priority="867" operator="equal">
      <formula>"Charriage présumé naturel / Geschiebehaushalt vermutlich natürlich"</formula>
    </cfRule>
    <cfRule type="cellIs" dxfId="527" priority="868" operator="equal">
      <formula>"non pertinent / nicht relevant"</formula>
    </cfRule>
    <cfRule type="cellIs" dxfId="526" priority="869" operator="equal">
      <formula>"21-50%"</formula>
    </cfRule>
    <cfRule type="cellIs" dxfId="525" priority="870" operator="equal">
      <formula>"51-80%"</formula>
    </cfRule>
  </conditionalFormatting>
  <conditionalFormatting sqref="F223">
    <cfRule type="cellIs" dxfId="524" priority="871" operator="equal">
      <formula>"81 -100%"</formula>
    </cfRule>
    <cfRule type="cellIs" dxfId="523" priority="872" operator="equal">
      <formula>"0-20%"</formula>
    </cfRule>
  </conditionalFormatting>
  <conditionalFormatting sqref="J223">
    <cfRule type="cellIs" dxfId="522" priority="895" stopIfTrue="1" operator="equal">
      <formula>"non pertinent / nicht relevant"</formula>
    </cfRule>
  </conditionalFormatting>
  <conditionalFormatting sqref="P223">
    <cfRule type="cellIs" dxfId="521" priority="854" stopIfTrue="1" operator="equal">
      <formula>"Régime présumé naturel (100%) / Abfluss vermutlich natürlich"</formula>
    </cfRule>
    <cfRule type="cellIs" dxfId="520" priority="855" stopIfTrue="1" operator="equal">
      <formula>"non pertinent / nicht relevant"</formula>
    </cfRule>
    <cfRule type="cellIs" dxfId="519" priority="856" stopIfTrue="1" operator="equal">
      <formula>"61-80%"</formula>
    </cfRule>
    <cfRule type="cellIs" dxfId="518" priority="857" stopIfTrue="1" operator="equal">
      <formula>"41-60%"</formula>
    </cfRule>
    <cfRule type="cellIs" dxfId="517" priority="858" stopIfTrue="1" operator="equal">
      <formula>"21-40%"</formula>
    </cfRule>
    <cfRule type="cellIs" dxfId="516" priority="859" stopIfTrue="1" operator="equal">
      <formula>"0-20%"</formula>
    </cfRule>
    <cfRule type="cellIs" dxfId="515" priority="860" stopIfTrue="1" operator="equal">
      <formula>"81-100%"</formula>
    </cfRule>
    <cfRule type="cellIs" dxfId="514" priority="861" stopIfTrue="1" operator="equal">
      <formula>"100%"</formula>
    </cfRule>
  </conditionalFormatting>
  <conditionalFormatting sqref="G222">
    <cfRule type="cellIs" dxfId="513" priority="846" stopIfTrue="1" operator="equal">
      <formula>"Régime présumé naturel (100%) / Abfluss vermutlich natürlich"</formula>
    </cfRule>
    <cfRule type="cellIs" dxfId="512" priority="847" stopIfTrue="1" operator="equal">
      <formula>"non pertinent / nicht relevant"</formula>
    </cfRule>
    <cfRule type="cellIs" dxfId="511" priority="848" stopIfTrue="1" operator="equal">
      <formula>"61-80%"</formula>
    </cfRule>
    <cfRule type="cellIs" dxfId="510" priority="849" stopIfTrue="1" operator="equal">
      <formula>"41-60%"</formula>
    </cfRule>
    <cfRule type="cellIs" dxfId="509" priority="850" stopIfTrue="1" operator="equal">
      <formula>"21-40%"</formula>
    </cfRule>
    <cfRule type="cellIs" dxfId="508" priority="851" stopIfTrue="1" operator="equal">
      <formula>"0-20%"</formula>
    </cfRule>
    <cfRule type="cellIs" dxfId="507" priority="852" stopIfTrue="1" operator="equal">
      <formula>"81-100%"</formula>
    </cfRule>
    <cfRule type="cellIs" dxfId="506" priority="853" stopIfTrue="1" operator="equal">
      <formula>"100%"</formula>
    </cfRule>
  </conditionalFormatting>
  <conditionalFormatting sqref="H222">
    <cfRule type="cellIs" dxfId="505" priority="843" stopIfTrue="1" operator="equal">
      <formula>"Non affecté / nicht betroffen"</formula>
    </cfRule>
    <cfRule type="cellIs" dxfId="504" priority="844" stopIfTrue="1" operator="equal">
      <formula>"Potentiellement affecté mais non plausible / möglicherweise betroffen aber nicht nachweisbar"</formula>
    </cfRule>
    <cfRule type="cellIs" dxfId="503" priority="845" stopIfTrue="1" operator="equal">
      <formula>"Potentiellement affecté / möglicherweise betroffen"</formula>
    </cfRule>
  </conditionalFormatting>
  <conditionalFormatting sqref="E222">
    <cfRule type="expression" dxfId="502" priority="838">
      <formula>OR(F222="non pertinent / nicht relevant",F222="0")</formula>
    </cfRule>
    <cfRule type="expression" dxfId="501" priority="839">
      <formula>OR(F222="0-20%",F222="Charriage présumé naturel / Geschiebehaushalt vermutlich natürlich",F222="Déficit non apparent en charriage ou en remobilisation des sédiments / kein sichtbares Defizit beim Geschiebehaushalt bzw. bei der Mobilisierung von Geschiebe")</formula>
    </cfRule>
    <cfRule type="expression" dxfId="500" priority="840">
      <formula>OR(F222="21-50%",F222="La remobilisation des sédiments est perturbée / Mobilisierung von Geschiebe beeinträchtigt",F222="Charriage présumé faiblement perturbé / Geschiebe vermutlich leicht beeinträchtigt")</formula>
    </cfRule>
    <cfRule type="expression" dxfId="499" priority="841">
      <formula>OR(F222="51-80%",F222="Charriage présumé perturbé / Geschiebehaushalt vermutlich beeinträchtigt")</formula>
    </cfRule>
    <cfRule type="expression" dxfId="498" priority="842">
      <formula>OR(F222="81 -100%",F222="Problème lié à un manque de charriage ou à un manque de remobilisation des sédiments / Problem aufgrund Geschiebemangels bzw. mangelnder Mobilisierung von Geschiebe")</formula>
    </cfRule>
  </conditionalFormatting>
  <conditionalFormatting sqref="I222">
    <cfRule type="expression" dxfId="497" priority="832">
      <formula>IF(J222="non pertinent / nicht relevant",TRUE,FALSE)</formula>
    </cfRule>
    <cfRule type="expression" dxfId="496" priority="833">
      <formula>IF(J222="Non nécessaire / nicht nötig",TRUE,FALSE)</formula>
    </cfRule>
    <cfRule type="expression" dxfId="495" priority="834">
      <formula>IF(J222="Partiellement nécessaire, difficile / teilweise nötig, schwierig",TRUE,FALSE)</formula>
    </cfRule>
    <cfRule type="expression" dxfId="494" priority="835">
      <formula>IF(J222="Partiellement nécessaire, facile / teilweise nötig, einfach",TRUE,FALSE)</formula>
    </cfRule>
    <cfRule type="expression" dxfId="493" priority="836">
      <formula>IF(J222="Très nécessaire, difficile / unbedingt nötig, schwierig",TRUE,FALSE)</formula>
    </cfRule>
    <cfRule type="expression" dxfId="492" priority="837">
      <formula>IF(J222="Très nécessaire, facile / unbedingt nötig, einfach",TRUE,FALSE)</formula>
    </cfRule>
  </conditionalFormatting>
  <conditionalFormatting sqref="F222">
    <cfRule type="cellIs" dxfId="491" priority="821" operator="equal">
      <formula>"Charriage présumé faiblement perturbé / Geschiebe vermutlich leicht beeinträchtigt"</formula>
    </cfRule>
    <cfRule type="cellIs" dxfId="490" priority="822" operator="equal">
      <formula>"La remobilisation des sédiments est perturbée / Mobilisierung von Geschiebe beeinträchtigt"</formula>
    </cfRule>
    <cfRule type="cellIs" dxfId="489" priority="823" operator="equal">
      <formula>"Problème lié à un manque de charriage ou à un manque de remobilisation des sédiments / Problem aufgrund Geschiebemangels bzw. mangelnder Mobilisierung von Geschiebe"</formula>
    </cfRule>
    <cfRule type="cellIs" dxfId="488" priority="824" operator="equal">
      <formula>"Déficit non apparent en charriage ou en remobilisation des sédiments / kein sichtbares Defizit beim Geschiebehaushalt bzw. bei der Mobilisierung von Geschiebe"</formula>
    </cfRule>
    <cfRule type="cellIs" dxfId="487" priority="825" operator="equal">
      <formula>"Charriage présumé perturbé / Geschiebehaushalt vermutlich beeinträchtigt"</formula>
    </cfRule>
    <cfRule type="cellIs" dxfId="486" priority="826" operator="equal">
      <formula>"Charriage présumé naturel / Geschiebehaushalt vermutlich natürlich"</formula>
    </cfRule>
    <cfRule type="cellIs" dxfId="485" priority="827" operator="equal">
      <formula>"non pertinent / nicht relevant"</formula>
    </cfRule>
    <cfRule type="cellIs" dxfId="484" priority="828" operator="equal">
      <formula>"21-50%"</formula>
    </cfRule>
    <cfRule type="cellIs" dxfId="483" priority="829" operator="equal">
      <formula>"51-80%"</formula>
    </cfRule>
  </conditionalFormatting>
  <conditionalFormatting sqref="F222">
    <cfRule type="cellIs" dxfId="482" priority="830" operator="equal">
      <formula>"81 -100%"</formula>
    </cfRule>
    <cfRule type="cellIs" dxfId="481" priority="831" operator="equal">
      <formula>"0-20%"</formula>
    </cfRule>
  </conditionalFormatting>
  <conditionalFormatting sqref="J222">
    <cfRule type="cellIs" dxfId="480" priority="820" stopIfTrue="1" operator="equal">
      <formula>"non pertinent / nicht relevant"</formula>
    </cfRule>
  </conditionalFormatting>
  <conditionalFormatting sqref="G224">
    <cfRule type="cellIs" dxfId="479" priority="811" stopIfTrue="1" operator="equal">
      <formula>"Régime présumé naturel (100%) / Abfluss vermutlich natürlich"</formula>
    </cfRule>
    <cfRule type="cellIs" dxfId="478" priority="812" stopIfTrue="1" operator="equal">
      <formula>"non pertinent / nicht relevant"</formula>
    </cfRule>
    <cfRule type="cellIs" dxfId="477" priority="813" stopIfTrue="1" operator="equal">
      <formula>"61-80%"</formula>
    </cfRule>
    <cfRule type="cellIs" dxfId="476" priority="814" stopIfTrue="1" operator="equal">
      <formula>"41-60%"</formula>
    </cfRule>
    <cfRule type="cellIs" dxfId="475" priority="815" stopIfTrue="1" operator="equal">
      <formula>"21-40%"</formula>
    </cfRule>
    <cfRule type="cellIs" dxfId="474" priority="816" stopIfTrue="1" operator="equal">
      <formula>"0-20%"</formula>
    </cfRule>
    <cfRule type="cellIs" dxfId="473" priority="817" stopIfTrue="1" operator="equal">
      <formula>"81-100%"</formula>
    </cfRule>
    <cfRule type="cellIs" dxfId="472" priority="818" stopIfTrue="1" operator="equal">
      <formula>"100%"</formula>
    </cfRule>
  </conditionalFormatting>
  <conditionalFormatting sqref="H224">
    <cfRule type="cellIs" dxfId="471" priority="808" stopIfTrue="1" operator="equal">
      <formula>"Non affecté / nicht betroffen"</formula>
    </cfRule>
    <cfRule type="cellIs" dxfId="470" priority="809" stopIfTrue="1" operator="equal">
      <formula>"Potentiellement affecté mais non plausible / möglicherweise betroffen aber nicht nachweisbar"</formula>
    </cfRule>
    <cfRule type="cellIs" dxfId="469" priority="810" stopIfTrue="1" operator="equal">
      <formula>"Potentiellement affecté / möglicherweise betroffen"</formula>
    </cfRule>
  </conditionalFormatting>
  <conditionalFormatting sqref="E224">
    <cfRule type="expression" dxfId="468" priority="803">
      <formula>OR(F224="non pertinent / nicht relevant",F224="0")</formula>
    </cfRule>
    <cfRule type="expression" dxfId="467" priority="804">
      <formula>OR(F224="0-20%",F224="Charriage présumé naturel / Geschiebehaushalt vermutlich natürlich",F224="Déficit non apparent en charriage ou en remobilisation des sédiments / kein sichtbares Defizit beim Geschiebehaushalt bzw. bei der Mobilisierung von Geschiebe")</formula>
    </cfRule>
    <cfRule type="expression" dxfId="466" priority="805">
      <formula>OR(F224="21-50%",F224="La remobilisation des sédiments est perturbée / Mobilisierung von Geschiebe beeinträchtigt",F224="Charriage présumé faiblement perturbé / Geschiebe vermutlich leicht beeinträchtigt")</formula>
    </cfRule>
    <cfRule type="expression" dxfId="465" priority="806">
      <formula>OR(F224="51-80%",F224="Charriage présumé perturbé / Geschiebehaushalt vermutlich beeinträchtigt")</formula>
    </cfRule>
    <cfRule type="expression" dxfId="464" priority="807">
      <formula>OR(F224="81 -100%",F224="Problème lié à un manque de charriage ou à un manque de remobilisation des sédiments / Problem aufgrund Geschiebemangels bzw. mangelnder Mobilisierung von Geschiebe")</formula>
    </cfRule>
  </conditionalFormatting>
  <conditionalFormatting sqref="I224">
    <cfRule type="expression" dxfId="463" priority="797">
      <formula>IF(J224="non pertinent / nicht relevant",TRUE,FALSE)</formula>
    </cfRule>
    <cfRule type="expression" dxfId="462" priority="798">
      <formula>IF(J224="Non nécessaire / nicht nötig",TRUE,FALSE)</formula>
    </cfRule>
    <cfRule type="expression" dxfId="461" priority="799">
      <formula>IF(J224="Partiellement nécessaire, difficile / teilweise nötig, schwierig",TRUE,FALSE)</formula>
    </cfRule>
    <cfRule type="expression" dxfId="460" priority="800">
      <formula>IF(J224="Partiellement nécessaire, facile / teilweise nötig, einfach",TRUE,FALSE)</formula>
    </cfRule>
    <cfRule type="expression" dxfId="459" priority="801">
      <formula>IF(J224="Très nécessaire, difficile / unbedingt nötig, schwierig",TRUE,FALSE)</formula>
    </cfRule>
    <cfRule type="expression" dxfId="458" priority="802">
      <formula>IF(J224="Très nécessaire, facile / unbedingt nötig, einfach",TRUE,FALSE)</formula>
    </cfRule>
  </conditionalFormatting>
  <conditionalFormatting sqref="F224">
    <cfRule type="cellIs" dxfId="457" priority="786" operator="equal">
      <formula>"Charriage présumé faiblement perturbé / Geschiebe vermutlich leicht beeinträchtigt"</formula>
    </cfRule>
    <cfRule type="cellIs" dxfId="456" priority="787" operator="equal">
      <formula>"La remobilisation des sédiments est perturbée / Mobilisierung von Geschiebe beeinträchtigt"</formula>
    </cfRule>
    <cfRule type="cellIs" dxfId="455" priority="788" operator="equal">
      <formula>"Problème lié à un manque de charriage ou à un manque de remobilisation des sédiments / Problem aufgrund Geschiebemangels bzw. mangelnder Mobilisierung von Geschiebe"</formula>
    </cfRule>
    <cfRule type="cellIs" dxfId="454" priority="789" operator="equal">
      <formula>"Déficit non apparent en charriage ou en remobilisation des sédiments / kein sichtbares Defizit beim Geschiebehaushalt bzw. bei der Mobilisierung von Geschiebe"</formula>
    </cfRule>
    <cfRule type="cellIs" dxfId="453" priority="790" operator="equal">
      <formula>"Charriage présumé perturbé / Geschiebehaushalt vermutlich beeinträchtigt"</formula>
    </cfRule>
    <cfRule type="cellIs" dxfId="452" priority="791" operator="equal">
      <formula>"Charriage présumé naturel / Geschiebehaushalt vermutlich natürlich"</formula>
    </cfRule>
    <cfRule type="cellIs" dxfId="451" priority="792" operator="equal">
      <formula>"non pertinent / nicht relevant"</formula>
    </cfRule>
    <cfRule type="cellIs" dxfId="450" priority="793" operator="equal">
      <formula>"21-50%"</formula>
    </cfRule>
    <cfRule type="cellIs" dxfId="449" priority="794" operator="equal">
      <formula>"51-80%"</formula>
    </cfRule>
  </conditionalFormatting>
  <conditionalFormatting sqref="F224">
    <cfRule type="cellIs" dxfId="448" priority="795" operator="equal">
      <formula>"81 -100%"</formula>
    </cfRule>
    <cfRule type="cellIs" dxfId="447" priority="796" operator="equal">
      <formula>"0-20%"</formula>
    </cfRule>
  </conditionalFormatting>
  <conditionalFormatting sqref="J224">
    <cfRule type="cellIs" dxfId="446" priority="819" stopIfTrue="1" operator="equal">
      <formula>"non pertinent / nicht relevant"</formula>
    </cfRule>
  </conditionalFormatting>
  <conditionalFormatting sqref="G225">
    <cfRule type="cellIs" dxfId="445" priority="777" stopIfTrue="1" operator="equal">
      <formula>"Régime présumé naturel (100%) / Abfluss vermutlich natürlich"</formula>
    </cfRule>
    <cfRule type="cellIs" dxfId="444" priority="778" stopIfTrue="1" operator="equal">
      <formula>"non pertinent / nicht relevant"</formula>
    </cfRule>
    <cfRule type="cellIs" dxfId="443" priority="779" stopIfTrue="1" operator="equal">
      <formula>"61-80%"</formula>
    </cfRule>
    <cfRule type="cellIs" dxfId="442" priority="780" stopIfTrue="1" operator="equal">
      <formula>"41-60%"</formula>
    </cfRule>
    <cfRule type="cellIs" dxfId="441" priority="781" stopIfTrue="1" operator="equal">
      <formula>"21-40%"</formula>
    </cfRule>
    <cfRule type="cellIs" dxfId="440" priority="782" stopIfTrue="1" operator="equal">
      <formula>"0-20%"</formula>
    </cfRule>
    <cfRule type="cellIs" dxfId="439" priority="783" stopIfTrue="1" operator="equal">
      <formula>"81-100%"</formula>
    </cfRule>
    <cfRule type="cellIs" dxfId="438" priority="784" stopIfTrue="1" operator="equal">
      <formula>"100%"</formula>
    </cfRule>
  </conditionalFormatting>
  <conditionalFormatting sqref="H225">
    <cfRule type="cellIs" dxfId="437" priority="774" stopIfTrue="1" operator="equal">
      <formula>"Non affecté / nicht betroffen"</formula>
    </cfRule>
    <cfRule type="cellIs" dxfId="436" priority="775" stopIfTrue="1" operator="equal">
      <formula>"Potentiellement affecté mais non plausible / möglicherweise betroffen aber nicht nachweisbar"</formula>
    </cfRule>
    <cfRule type="cellIs" dxfId="435" priority="776" stopIfTrue="1" operator="equal">
      <formula>"Potentiellement affecté / möglicherweise betroffen"</formula>
    </cfRule>
  </conditionalFormatting>
  <conditionalFormatting sqref="E225">
    <cfRule type="expression" dxfId="434" priority="769">
      <formula>OR(F225="non pertinent / nicht relevant",F225="0")</formula>
    </cfRule>
    <cfRule type="expression" dxfId="433" priority="770">
      <formula>OR(F225="0-20%",F225="Charriage présumé naturel / Geschiebehaushalt vermutlich natürlich",F225="Déficit non apparent en charriage ou en remobilisation des sédiments / kein sichtbares Defizit beim Geschiebehaushalt bzw. bei der Mobilisierung von Geschiebe")</formula>
    </cfRule>
    <cfRule type="expression" dxfId="432" priority="771">
      <formula>OR(F225="21-50%",F225="La remobilisation des sédiments est perturbée / Mobilisierung von Geschiebe beeinträchtigt",F225="Charriage présumé faiblement perturbé / Geschiebe vermutlich leicht beeinträchtigt")</formula>
    </cfRule>
    <cfRule type="expression" dxfId="431" priority="772">
      <formula>OR(F225="51-80%",F225="Charriage présumé perturbé / Geschiebehaushalt vermutlich beeinträchtigt")</formula>
    </cfRule>
    <cfRule type="expression" dxfId="430" priority="773">
      <formula>OR(F225="81 -100%",F225="Problème lié à un manque de charriage ou à un manque de remobilisation des sédiments / Problem aufgrund Geschiebemangels bzw. mangelnder Mobilisierung von Geschiebe")</formula>
    </cfRule>
  </conditionalFormatting>
  <conditionalFormatting sqref="I225">
    <cfRule type="expression" dxfId="429" priority="763">
      <formula>IF(J225="non pertinent / nicht relevant",TRUE,FALSE)</formula>
    </cfRule>
    <cfRule type="expression" dxfId="428" priority="764">
      <formula>IF(J225="Non nécessaire / nicht nötig",TRUE,FALSE)</formula>
    </cfRule>
    <cfRule type="expression" dxfId="427" priority="765">
      <formula>IF(J225="Partiellement nécessaire, difficile / teilweise nötig, schwierig",TRUE,FALSE)</formula>
    </cfRule>
    <cfRule type="expression" dxfId="426" priority="766">
      <formula>IF(J225="Partiellement nécessaire, facile / teilweise nötig, einfach",TRUE,FALSE)</formula>
    </cfRule>
    <cfRule type="expression" dxfId="425" priority="767">
      <formula>IF(J225="Très nécessaire, difficile / unbedingt nötig, schwierig",TRUE,FALSE)</formula>
    </cfRule>
    <cfRule type="expression" dxfId="424" priority="768">
      <formula>IF(J225="Très nécessaire, facile / unbedingt nötig, einfach",TRUE,FALSE)</formula>
    </cfRule>
  </conditionalFormatting>
  <conditionalFormatting sqref="F225">
    <cfRule type="cellIs" dxfId="423" priority="752" operator="equal">
      <formula>"Charriage présumé faiblement perturbé / Geschiebe vermutlich leicht beeinträchtigt"</formula>
    </cfRule>
    <cfRule type="cellIs" dxfId="422" priority="753" operator="equal">
      <formula>"La remobilisation des sédiments est perturbée / Mobilisierung von Geschiebe beeinträchtigt"</formula>
    </cfRule>
    <cfRule type="cellIs" dxfId="421" priority="754" operator="equal">
      <formula>"Problème lié à un manque de charriage ou à un manque de remobilisation des sédiments / Problem aufgrund Geschiebemangels bzw. mangelnder Mobilisierung von Geschiebe"</formula>
    </cfRule>
    <cfRule type="cellIs" dxfId="420" priority="755" operator="equal">
      <formula>"Déficit non apparent en charriage ou en remobilisation des sédiments / kein sichtbares Defizit beim Geschiebehaushalt bzw. bei der Mobilisierung von Geschiebe"</formula>
    </cfRule>
    <cfRule type="cellIs" dxfId="419" priority="756" operator="equal">
      <formula>"Charriage présumé perturbé / Geschiebehaushalt vermutlich beeinträchtigt"</formula>
    </cfRule>
    <cfRule type="cellIs" dxfId="418" priority="757" operator="equal">
      <formula>"Charriage présumé naturel / Geschiebehaushalt vermutlich natürlich"</formula>
    </cfRule>
    <cfRule type="cellIs" dxfId="417" priority="758" operator="equal">
      <formula>"non pertinent / nicht relevant"</formula>
    </cfRule>
    <cfRule type="cellIs" dxfId="416" priority="759" operator="equal">
      <formula>"21-50%"</formula>
    </cfRule>
    <cfRule type="cellIs" dxfId="415" priority="760" operator="equal">
      <formula>"51-80%"</formula>
    </cfRule>
  </conditionalFormatting>
  <conditionalFormatting sqref="F225">
    <cfRule type="cellIs" dxfId="414" priority="761" operator="equal">
      <formula>"81 -100%"</formula>
    </cfRule>
    <cfRule type="cellIs" dxfId="413" priority="762" operator="equal">
      <formula>"0-20%"</formula>
    </cfRule>
  </conditionalFormatting>
  <conditionalFormatting sqref="J225">
    <cfRule type="cellIs" dxfId="412" priority="785" stopIfTrue="1" operator="equal">
      <formula>"non pertinent / nicht relevant"</formula>
    </cfRule>
  </conditionalFormatting>
  <conditionalFormatting sqref="G157:G183 G132:G139 G141:G154">
    <cfRule type="cellIs" dxfId="411" priority="743" stopIfTrue="1" operator="equal">
      <formula>"Régime présumé naturel (100%) / Abfluss vermutlich natürlich"</formula>
    </cfRule>
    <cfRule type="cellIs" dxfId="410" priority="744" stopIfTrue="1" operator="equal">
      <formula>"non pertinent / nicht relevant"</formula>
    </cfRule>
    <cfRule type="cellIs" dxfId="409" priority="745" stopIfTrue="1" operator="equal">
      <formula>"61-80%"</formula>
    </cfRule>
    <cfRule type="cellIs" dxfId="408" priority="746" stopIfTrue="1" operator="equal">
      <formula>"41-60%"</formula>
    </cfRule>
    <cfRule type="cellIs" dxfId="407" priority="747" stopIfTrue="1" operator="equal">
      <formula>"21-40%"</formula>
    </cfRule>
    <cfRule type="cellIs" dxfId="406" priority="748" stopIfTrue="1" operator="equal">
      <formula>"0-20%"</formula>
    </cfRule>
    <cfRule type="cellIs" dxfId="405" priority="749" stopIfTrue="1" operator="equal">
      <formula>"81-100%"</formula>
    </cfRule>
    <cfRule type="cellIs" dxfId="404" priority="750" stopIfTrue="1" operator="equal">
      <formula>"100%"</formula>
    </cfRule>
  </conditionalFormatting>
  <conditionalFormatting sqref="H157:H183 H132:H139 H141:H154">
    <cfRule type="cellIs" dxfId="403" priority="740" stopIfTrue="1" operator="equal">
      <formula>"Non affecté / nicht betroffen"</formula>
    </cfRule>
    <cfRule type="cellIs" dxfId="402" priority="741" stopIfTrue="1" operator="equal">
      <formula>"Potentiellement affecté mais non plausible / möglicherweise betroffen aber nicht nachweisbar"</formula>
    </cfRule>
    <cfRule type="cellIs" dxfId="401" priority="742" stopIfTrue="1" operator="equal">
      <formula>"Potentiellement affecté / möglicherweise betroffen"</formula>
    </cfRule>
  </conditionalFormatting>
  <conditionalFormatting sqref="E157:E183 E132:E139 E141:E154">
    <cfRule type="expression" dxfId="400" priority="735">
      <formula>OR(F132="non pertinent / nicht relevant",F132="0")</formula>
    </cfRule>
    <cfRule type="expression" dxfId="399" priority="736">
      <formula>OR(F132="0-20%",F132="Charriage présumé naturel / Geschiebehaushalt vermutlich natürlich",F132="Déficit non apparent en charriage ou en remobilisation des sédiments / kein sichtbares Defizit beim Geschiebehaushalt bzw. bei der Mobilisierung von Geschiebe")</formula>
    </cfRule>
    <cfRule type="expression" dxfId="398" priority="737">
      <formula>OR(F132="21-50%",F132="La remobilisation des sédiments est perturbée / Mobilisierung von Geschiebe beeinträchtigt",F132="Charriage présumé faiblement perturbé / Geschiebe vermutlich leicht beeinträchtigt")</formula>
    </cfRule>
    <cfRule type="expression" dxfId="397" priority="738">
      <formula>OR(F132="51-80%",F132="Charriage présumé perturbé / Geschiebehaushalt vermutlich beeinträchtigt")</formula>
    </cfRule>
    <cfRule type="expression" dxfId="396" priority="739">
      <formula>OR(F132="81 -100%",F132="Problème lié à un manque de charriage ou à un manque de remobilisation des sédiments / Problem aufgrund Geschiebemangels bzw. mangelnder Mobilisierung von Geschiebe")</formula>
    </cfRule>
  </conditionalFormatting>
  <conditionalFormatting sqref="I157:I183 I132:I139 I141:I154">
    <cfRule type="expression" dxfId="395" priority="729">
      <formula>IF(J132="non pertinent / nicht relevant",TRUE,FALSE)</formula>
    </cfRule>
    <cfRule type="expression" dxfId="394" priority="730">
      <formula>IF(J132="Non nécessaire / nicht nötig",TRUE,FALSE)</formula>
    </cfRule>
    <cfRule type="expression" dxfId="393" priority="731">
      <formula>IF(J132="Partiellement nécessaire, difficile / teilweise nötig, schwierig",TRUE,FALSE)</formula>
    </cfRule>
    <cfRule type="expression" dxfId="392" priority="732">
      <formula>IF(J132="Partiellement nécessaire, facile / teilweise nötig, einfach",TRUE,FALSE)</formula>
    </cfRule>
    <cfRule type="expression" dxfId="391" priority="733">
      <formula>IF(J132="Très nécessaire, difficile / unbedingt nötig, schwierig",TRUE,FALSE)</formula>
    </cfRule>
    <cfRule type="expression" dxfId="390" priority="734">
      <formula>IF(J132="Très nécessaire, facile / unbedingt nötig, einfach",TRUE,FALSE)</formula>
    </cfRule>
  </conditionalFormatting>
  <conditionalFormatting sqref="F157:F183 F132:F139 F141:F154">
    <cfRule type="cellIs" dxfId="389" priority="718" operator="equal">
      <formula>"Charriage présumé faiblement perturbé / Geschiebe vermutlich leicht beeinträchtigt"</formula>
    </cfRule>
    <cfRule type="cellIs" dxfId="388" priority="719" operator="equal">
      <formula>"La remobilisation des sédiments est perturbée / Mobilisierung von Geschiebe beeinträchtigt"</formula>
    </cfRule>
    <cfRule type="cellIs" dxfId="387" priority="720" operator="equal">
      <formula>"Problème lié à un manque de charriage ou à un manque de remobilisation des sédiments / Problem aufgrund Geschiebemangels bzw. mangelnder Mobilisierung von Geschiebe"</formula>
    </cfRule>
    <cfRule type="cellIs" dxfId="386" priority="721" operator="equal">
      <formula>"Déficit non apparent en charriage ou en remobilisation des sédiments / kein sichtbares Defizit beim Geschiebehaushalt bzw. bei der Mobilisierung von Geschiebe"</formula>
    </cfRule>
    <cfRule type="cellIs" dxfId="385" priority="722" operator="equal">
      <formula>"Charriage présumé perturbé / Geschiebehaushalt vermutlich beeinträchtigt"</formula>
    </cfRule>
    <cfRule type="cellIs" dxfId="384" priority="723" operator="equal">
      <formula>"Charriage présumé naturel / Geschiebehaushalt vermutlich natürlich"</formula>
    </cfRule>
    <cfRule type="cellIs" dxfId="383" priority="724" operator="equal">
      <formula>"non pertinent / nicht relevant"</formula>
    </cfRule>
    <cfRule type="cellIs" dxfId="382" priority="725" operator="equal">
      <formula>"21-50%"</formula>
    </cfRule>
    <cfRule type="cellIs" dxfId="381" priority="726" operator="equal">
      <formula>"51-80%"</formula>
    </cfRule>
  </conditionalFormatting>
  <conditionalFormatting sqref="F157:F183 F132:F139 F141:F154">
    <cfRule type="cellIs" dxfId="380" priority="727" operator="equal">
      <formula>"81 -100%"</formula>
    </cfRule>
    <cfRule type="cellIs" dxfId="379" priority="728" operator="equal">
      <formula>"0-20%"</formula>
    </cfRule>
  </conditionalFormatting>
  <conditionalFormatting sqref="J157:J183 J132:J139 J141:J154">
    <cfRule type="cellIs" dxfId="378" priority="751" stopIfTrue="1" operator="equal">
      <formula>"non pertinent / nicht relevant"</formula>
    </cfRule>
  </conditionalFormatting>
  <conditionalFormatting sqref="G156">
    <cfRule type="cellIs" dxfId="377" priority="710" stopIfTrue="1" operator="equal">
      <formula>"Régime présumé naturel (100%) / Abfluss vermutlich natürlich"</formula>
    </cfRule>
    <cfRule type="cellIs" dxfId="376" priority="711" stopIfTrue="1" operator="equal">
      <formula>"non pertinent / nicht relevant"</formula>
    </cfRule>
    <cfRule type="cellIs" dxfId="375" priority="712" stopIfTrue="1" operator="equal">
      <formula>"61-80%"</formula>
    </cfRule>
    <cfRule type="cellIs" dxfId="374" priority="713" stopIfTrue="1" operator="equal">
      <formula>"41-60%"</formula>
    </cfRule>
    <cfRule type="cellIs" dxfId="373" priority="714" stopIfTrue="1" operator="equal">
      <formula>"21-40%"</formula>
    </cfRule>
    <cfRule type="cellIs" dxfId="372" priority="715" stopIfTrue="1" operator="equal">
      <formula>"0-20%"</formula>
    </cfRule>
    <cfRule type="cellIs" dxfId="371" priority="716" stopIfTrue="1" operator="equal">
      <formula>"81-100%"</formula>
    </cfRule>
    <cfRule type="cellIs" dxfId="370" priority="717" stopIfTrue="1" operator="equal">
      <formula>"100%"</formula>
    </cfRule>
  </conditionalFormatting>
  <conditionalFormatting sqref="H156">
    <cfRule type="cellIs" dxfId="369" priority="707" stopIfTrue="1" operator="equal">
      <formula>"Non affecté / nicht betroffen"</formula>
    </cfRule>
    <cfRule type="cellIs" dxfId="368" priority="708" stopIfTrue="1" operator="equal">
      <formula>"Potentiellement affecté mais non plausible / möglicherweise betroffen aber nicht nachweisbar"</formula>
    </cfRule>
    <cfRule type="cellIs" dxfId="367" priority="709" stopIfTrue="1" operator="equal">
      <formula>"Potentiellement affecté / möglicherweise betroffen"</formula>
    </cfRule>
  </conditionalFormatting>
  <conditionalFormatting sqref="E156">
    <cfRule type="expression" dxfId="366" priority="702">
      <formula>OR(F156="non pertinent / nicht relevant",F156="0")</formula>
    </cfRule>
    <cfRule type="expression" dxfId="365" priority="703">
      <formula>OR(F156="0-20%",F156="Charriage présumé naturel / Geschiebehaushalt vermutlich natürlich",F156="Déficit non apparent en charriage ou en remobilisation des sédiments / kein sichtbares Defizit beim Geschiebehaushalt bzw. bei der Mobilisierung von Geschiebe")</formula>
    </cfRule>
    <cfRule type="expression" dxfId="364" priority="704">
      <formula>OR(F156="21-50%",F156="La remobilisation des sédiments est perturbée / Mobilisierung von Geschiebe beeinträchtigt",F156="Charriage présumé faiblement perturbé / Geschiebe vermutlich leicht beeinträchtigt")</formula>
    </cfRule>
    <cfRule type="expression" dxfId="363" priority="705">
      <formula>OR(F156="51-80%",F156="Charriage présumé perturbé / Geschiebehaushalt vermutlich beeinträchtigt")</formula>
    </cfRule>
    <cfRule type="expression" dxfId="362" priority="706">
      <formula>OR(F156="81 -100%",F156="Problème lié à un manque de charriage ou à un manque de remobilisation des sédiments / Problem aufgrund Geschiebemangels bzw. mangelnder Mobilisierung von Geschiebe")</formula>
    </cfRule>
  </conditionalFormatting>
  <conditionalFormatting sqref="F156">
    <cfRule type="cellIs" dxfId="361" priority="691" operator="equal">
      <formula>"Charriage présumé faiblement perturbé / Geschiebe vermutlich leicht beeinträchtigt"</formula>
    </cfRule>
    <cfRule type="cellIs" dxfId="360" priority="692" operator="equal">
      <formula>"La remobilisation des sédiments est perturbée / Mobilisierung von Geschiebe beeinträchtigt"</formula>
    </cfRule>
    <cfRule type="cellIs" dxfId="359" priority="693" operator="equal">
      <formula>"Problème lié à un manque de charriage ou à un manque de remobilisation des sédiments / Problem aufgrund Geschiebemangels bzw. mangelnder Mobilisierung von Geschiebe"</formula>
    </cfRule>
    <cfRule type="cellIs" dxfId="358" priority="694" operator="equal">
      <formula>"Déficit non apparent en charriage ou en remobilisation des sédiments / kein sichtbares Defizit beim Geschiebehaushalt bzw. bei der Mobilisierung von Geschiebe"</formula>
    </cfRule>
    <cfRule type="cellIs" dxfId="357" priority="695" operator="equal">
      <formula>"Charriage présumé perturbé / Geschiebehaushalt vermutlich beeinträchtigt"</formula>
    </cfRule>
    <cfRule type="cellIs" dxfId="356" priority="696" operator="equal">
      <formula>"Charriage présumé naturel / Geschiebehaushalt vermutlich natürlich"</formula>
    </cfRule>
    <cfRule type="cellIs" dxfId="355" priority="697" operator="equal">
      <formula>"non pertinent / nicht relevant"</formula>
    </cfRule>
    <cfRule type="cellIs" dxfId="354" priority="698" operator="equal">
      <formula>"21-50%"</formula>
    </cfRule>
    <cfRule type="cellIs" dxfId="353" priority="699" operator="equal">
      <formula>"51-80%"</formula>
    </cfRule>
  </conditionalFormatting>
  <conditionalFormatting sqref="F156">
    <cfRule type="cellIs" dxfId="352" priority="700" operator="equal">
      <formula>"81 -100%"</formula>
    </cfRule>
    <cfRule type="cellIs" dxfId="351" priority="701" operator="equal">
      <formula>"0-20%"</formula>
    </cfRule>
  </conditionalFormatting>
  <conditionalFormatting sqref="I156">
    <cfRule type="expression" dxfId="350" priority="679">
      <formula>IF(J156="non pertinent / nicht relevant",TRUE,FALSE)</formula>
    </cfRule>
    <cfRule type="expression" dxfId="349" priority="680">
      <formula>IF(J156="Non nécessaire / nicht nötig",TRUE,FALSE)</formula>
    </cfRule>
    <cfRule type="expression" dxfId="348" priority="681">
      <formula>IF(J156="Partiellement nécessaire, difficile / teilweise nötig, schwierig",TRUE,FALSE)</formula>
    </cfRule>
    <cfRule type="expression" dxfId="347" priority="682">
      <formula>IF(J156="Partiellement nécessaire, facile / teilweise nötig, einfach",TRUE,FALSE)</formula>
    </cfRule>
    <cfRule type="expression" dxfId="346" priority="683">
      <formula>IF(J156="Très nécessaire, difficile / unbedingt nötig, schwierig",TRUE,FALSE)</formula>
    </cfRule>
    <cfRule type="expression" dxfId="345" priority="684">
      <formula>IF(J156="Très nécessaire, facile / unbedingt nötig, einfach",TRUE,FALSE)</formula>
    </cfRule>
  </conditionalFormatting>
  <conditionalFormatting sqref="J156">
    <cfRule type="cellIs" dxfId="344" priority="685" stopIfTrue="1" operator="equal">
      <formula>"non pertinent / nicht relevant"</formula>
    </cfRule>
    <cfRule type="cellIs" dxfId="343" priority="686" stopIfTrue="1" operator="equal">
      <formula>"Très nécessaire, difficile / unbedingt nötig, schwierig"</formula>
    </cfRule>
    <cfRule type="cellIs" dxfId="342" priority="687" stopIfTrue="1" operator="equal">
      <formula>"Partiellement nécessaire, facile / teilweise nötig, einfach"</formula>
    </cfRule>
    <cfRule type="cellIs" dxfId="341" priority="688" stopIfTrue="1" operator="equal">
      <formula>"Partiellement nécessaire, difficile / teilweise nötig, schwierig"</formula>
    </cfRule>
    <cfRule type="cellIs" dxfId="340" priority="689" stopIfTrue="1" operator="equal">
      <formula>"Très nécessaire, facile / unbedingt nötig, einfach"</formula>
    </cfRule>
    <cfRule type="cellIs" dxfId="339" priority="690" stopIfTrue="1" operator="equal">
      <formula>"Non nécessaire / nicht nötig"</formula>
    </cfRule>
  </conditionalFormatting>
  <conditionalFormatting sqref="G236:G242">
    <cfRule type="cellIs" dxfId="338" priority="670" stopIfTrue="1" operator="equal">
      <formula>"Régime présumé naturel (100%) / Abfluss vermutlich natürlich"</formula>
    </cfRule>
    <cfRule type="cellIs" dxfId="337" priority="671" stopIfTrue="1" operator="equal">
      <formula>"non pertinent / nicht relevant"</formula>
    </cfRule>
    <cfRule type="cellIs" dxfId="336" priority="672" stopIfTrue="1" operator="equal">
      <formula>"61-80%"</formula>
    </cfRule>
    <cfRule type="cellIs" dxfId="335" priority="673" stopIfTrue="1" operator="equal">
      <formula>"41-60%"</formula>
    </cfRule>
    <cfRule type="cellIs" dxfId="334" priority="674" stopIfTrue="1" operator="equal">
      <formula>"21-40%"</formula>
    </cfRule>
    <cfRule type="cellIs" dxfId="333" priority="675" stopIfTrue="1" operator="equal">
      <formula>"0-20%"</formula>
    </cfRule>
    <cfRule type="cellIs" dxfId="332" priority="676" stopIfTrue="1" operator="equal">
      <formula>"81-100%"</formula>
    </cfRule>
    <cfRule type="cellIs" dxfId="331" priority="677" stopIfTrue="1" operator="equal">
      <formula>"100%"</formula>
    </cfRule>
  </conditionalFormatting>
  <conditionalFormatting sqref="H236:H242">
    <cfRule type="cellIs" dxfId="330" priority="667" stopIfTrue="1" operator="equal">
      <formula>"Non affecté / nicht betroffen"</formula>
    </cfRule>
    <cfRule type="cellIs" dxfId="329" priority="668" stopIfTrue="1" operator="equal">
      <formula>"Potentiellement affecté mais non plausible / möglicherweise betroffen aber nicht nachweisbar"</formula>
    </cfRule>
    <cfRule type="cellIs" dxfId="328" priority="669" stopIfTrue="1" operator="equal">
      <formula>"Potentiellement affecté / möglicherweise betroffen"</formula>
    </cfRule>
  </conditionalFormatting>
  <conditionalFormatting sqref="E236:E242">
    <cfRule type="expression" dxfId="327" priority="662">
      <formula>OR(F236="non pertinent / nicht relevant",F236="0")</formula>
    </cfRule>
    <cfRule type="expression" dxfId="326" priority="663">
      <formula>OR(F236="0-20%",F236="Charriage présumé naturel / Geschiebehaushalt vermutlich natürlich",F236="Déficit non apparent en charriage ou en remobilisation des sédiments / kein sichtbares Defizit beim Geschiebehaushalt bzw. bei der Mobilisierung von Geschiebe")</formula>
    </cfRule>
    <cfRule type="expression" dxfId="325" priority="664">
      <formula>OR(F236="21-50%",F236="La remobilisation des sédiments est perturbée / Mobilisierung von Geschiebe beeinträchtigt",F236="Charriage présumé faiblement perturbé / Geschiebe vermutlich leicht beeinträchtigt")</formula>
    </cfRule>
    <cfRule type="expression" dxfId="324" priority="665">
      <formula>OR(F236="51-80%",F236="Charriage présumé perturbé / Geschiebehaushalt vermutlich beeinträchtigt")</formula>
    </cfRule>
    <cfRule type="expression" dxfId="323" priority="666">
      <formula>OR(F236="81 -100%",F236="Problème lié à un manque de charriage ou à un manque de remobilisation des sédiments / Problem aufgrund Geschiebemangels bzw. mangelnder Mobilisierung von Geschiebe")</formula>
    </cfRule>
  </conditionalFormatting>
  <conditionalFormatting sqref="I236:I242">
    <cfRule type="expression" dxfId="322" priority="656">
      <formula>IF(J236="non pertinent / nicht relevant",TRUE,FALSE)</formula>
    </cfRule>
    <cfRule type="expression" dxfId="321" priority="657">
      <formula>IF(J236="Non nécessaire / nicht nötig",TRUE,FALSE)</formula>
    </cfRule>
    <cfRule type="expression" dxfId="320" priority="658">
      <formula>IF(J236="Partiellement nécessaire, difficile / teilweise nötig, schwierig",TRUE,FALSE)</formula>
    </cfRule>
    <cfRule type="expression" dxfId="319" priority="659">
      <formula>IF(J236="Partiellement nécessaire, facile / teilweise nötig, einfach",TRUE,FALSE)</formula>
    </cfRule>
    <cfRule type="expression" dxfId="318" priority="660">
      <formula>IF(J236="Très nécessaire, difficile / unbedingt nötig, schwierig",TRUE,FALSE)</formula>
    </cfRule>
    <cfRule type="expression" dxfId="317" priority="661">
      <formula>IF(J236="Très nécessaire, facile / unbedingt nötig, einfach",TRUE,FALSE)</formula>
    </cfRule>
  </conditionalFormatting>
  <conditionalFormatting sqref="F236:F242">
    <cfRule type="cellIs" dxfId="316" priority="645" operator="equal">
      <formula>"Charriage présumé faiblement perturbé / Geschiebe vermutlich leicht beeinträchtigt"</formula>
    </cfRule>
    <cfRule type="cellIs" dxfId="315" priority="646" operator="equal">
      <formula>"La remobilisation des sédiments est perturbée / Mobilisierung von Geschiebe beeinträchtigt"</formula>
    </cfRule>
    <cfRule type="cellIs" dxfId="314" priority="647" operator="equal">
      <formula>"Problème lié à un manque de charriage ou à un manque de remobilisation des sédiments / Problem aufgrund Geschiebemangels bzw. mangelnder Mobilisierung von Geschiebe"</formula>
    </cfRule>
    <cfRule type="cellIs" dxfId="313" priority="648" operator="equal">
      <formula>"Déficit non apparent en charriage ou en remobilisation des sédiments / kein sichtbares Defizit beim Geschiebehaushalt bzw. bei der Mobilisierung von Geschiebe"</formula>
    </cfRule>
    <cfRule type="cellIs" dxfId="312" priority="649" operator="equal">
      <formula>"Charriage présumé perturbé / Geschiebehaushalt vermutlich beeinträchtigt"</formula>
    </cfRule>
    <cfRule type="cellIs" dxfId="311" priority="650" operator="equal">
      <formula>"Charriage présumé naturel / Geschiebehaushalt vermutlich natürlich"</formula>
    </cfRule>
    <cfRule type="cellIs" dxfId="310" priority="651" operator="equal">
      <formula>"non pertinent / nicht relevant"</formula>
    </cfRule>
    <cfRule type="cellIs" dxfId="309" priority="652" operator="equal">
      <formula>"21-50%"</formula>
    </cfRule>
    <cfRule type="cellIs" dxfId="308" priority="653" operator="equal">
      <formula>"51-80%"</formula>
    </cfRule>
  </conditionalFormatting>
  <conditionalFormatting sqref="F236:F242">
    <cfRule type="cellIs" dxfId="307" priority="654" operator="equal">
      <formula>"81 -100%"</formula>
    </cfRule>
    <cfRule type="cellIs" dxfId="306" priority="655" operator="equal">
      <formula>"0-20%"</formula>
    </cfRule>
  </conditionalFormatting>
  <conditionalFormatting sqref="J236:J242">
    <cfRule type="cellIs" dxfId="305" priority="678" stopIfTrue="1" operator="equal">
      <formula>"non pertinent / nicht relevant"</formula>
    </cfRule>
  </conditionalFormatting>
  <conditionalFormatting sqref="G85">
    <cfRule type="cellIs" dxfId="304" priority="636" stopIfTrue="1" operator="equal">
      <formula>"Régime présumé naturel (100%) / Abfluss vermutlich natürlich"</formula>
    </cfRule>
    <cfRule type="cellIs" dxfId="303" priority="637" stopIfTrue="1" operator="equal">
      <formula>"non pertinent / nicht relevant"</formula>
    </cfRule>
    <cfRule type="cellIs" dxfId="302" priority="638" stopIfTrue="1" operator="equal">
      <formula>"61-80%"</formula>
    </cfRule>
    <cfRule type="cellIs" dxfId="301" priority="639" stopIfTrue="1" operator="equal">
      <formula>"41-60%"</formula>
    </cfRule>
    <cfRule type="cellIs" dxfId="300" priority="640" stopIfTrue="1" operator="equal">
      <formula>"21-40%"</formula>
    </cfRule>
    <cfRule type="cellIs" dxfId="299" priority="641" stopIfTrue="1" operator="equal">
      <formula>"0-20%"</formula>
    </cfRule>
    <cfRule type="cellIs" dxfId="298" priority="642" stopIfTrue="1" operator="equal">
      <formula>"81-100%"</formula>
    </cfRule>
    <cfRule type="cellIs" dxfId="297" priority="643" stopIfTrue="1" operator="equal">
      <formula>"100%"</formula>
    </cfRule>
  </conditionalFormatting>
  <conditionalFormatting sqref="H85">
    <cfRule type="cellIs" dxfId="296" priority="633" stopIfTrue="1" operator="equal">
      <formula>"Non affecté / nicht betroffen"</formula>
    </cfRule>
    <cfRule type="cellIs" dxfId="295" priority="634" stopIfTrue="1" operator="equal">
      <formula>"Potentiellement affecté mais non plausible / möglicherweise betroffen aber nicht nachweisbar"</formula>
    </cfRule>
    <cfRule type="cellIs" dxfId="294" priority="635" stopIfTrue="1" operator="equal">
      <formula>"Potentiellement affecté / möglicherweise betroffen"</formula>
    </cfRule>
  </conditionalFormatting>
  <conditionalFormatting sqref="E85">
    <cfRule type="expression" dxfId="293" priority="628">
      <formula>OR(F85="non pertinent / nicht relevant",F85="0")</formula>
    </cfRule>
    <cfRule type="expression" dxfId="292" priority="629">
      <formula>OR(F85="0-20%",F85="Charriage présumé naturel / Geschiebehaushalt vermutlich natürlich",F85="Déficit non apparent en charriage ou en remobilisation des sédiments / kein sichtbares Defizit beim Geschiebehaushalt bzw. bei der Mobilisierung von Geschiebe")</formula>
    </cfRule>
    <cfRule type="expression" dxfId="291" priority="630">
      <formula>OR(F85="21-50%",F85="La remobilisation des sédiments est perturbée / Mobilisierung von Geschiebe beeinträchtigt",F85="Charriage présumé faiblement perturbé / Geschiebe vermutlich leicht beeinträchtigt")</formula>
    </cfRule>
    <cfRule type="expression" dxfId="290" priority="631">
      <formula>OR(F85="51-80%",F85="Charriage présumé perturbé / Geschiebehaushalt vermutlich beeinträchtigt")</formula>
    </cfRule>
    <cfRule type="expression" dxfId="289" priority="632">
      <formula>OR(F85="81 -100%",F85="Problème lié à un manque de charriage ou à un manque de remobilisation des sédiments / Problem aufgrund Geschiebemangels bzw. mangelnder Mobilisierung von Geschiebe")</formula>
    </cfRule>
  </conditionalFormatting>
  <conditionalFormatting sqref="I85">
    <cfRule type="expression" dxfId="288" priority="622">
      <formula>IF(J85="non pertinent / nicht relevant",TRUE,FALSE)</formula>
    </cfRule>
    <cfRule type="expression" dxfId="287" priority="623">
      <formula>IF(J85="Non nécessaire / nicht nötig",TRUE,FALSE)</formula>
    </cfRule>
    <cfRule type="expression" dxfId="286" priority="624">
      <formula>IF(J85="Partiellement nécessaire, difficile / teilweise nötig, schwierig",TRUE,FALSE)</formula>
    </cfRule>
    <cfRule type="expression" dxfId="285" priority="625">
      <formula>IF(J85="Partiellement nécessaire, facile / teilweise nötig, einfach",TRUE,FALSE)</formula>
    </cfRule>
    <cfRule type="expression" dxfId="284" priority="626">
      <formula>IF(J85="Très nécessaire, difficile / unbedingt nötig, schwierig",TRUE,FALSE)</formula>
    </cfRule>
    <cfRule type="expression" dxfId="283" priority="627">
      <formula>IF(J85="Très nécessaire, facile / unbedingt nötig, einfach",TRUE,FALSE)</formula>
    </cfRule>
  </conditionalFormatting>
  <conditionalFormatting sqref="F85">
    <cfRule type="cellIs" dxfId="282" priority="611" operator="equal">
      <formula>"Charriage présumé faiblement perturbé / Geschiebe vermutlich leicht beeinträchtigt"</formula>
    </cfRule>
    <cfRule type="cellIs" dxfId="281" priority="612" operator="equal">
      <formula>"La remobilisation des sédiments est perturbée / Mobilisierung von Geschiebe beeinträchtigt"</formula>
    </cfRule>
    <cfRule type="cellIs" dxfId="280" priority="613" operator="equal">
      <formula>"Problème lié à un manque de charriage ou à un manque de remobilisation des sédiments / Problem aufgrund Geschiebemangels bzw. mangelnder Mobilisierung von Geschiebe"</formula>
    </cfRule>
    <cfRule type="cellIs" dxfId="279" priority="614" operator="equal">
      <formula>"Déficit non apparent en charriage ou en remobilisation des sédiments / kein sichtbares Defizit beim Geschiebehaushalt bzw. bei der Mobilisierung von Geschiebe"</formula>
    </cfRule>
    <cfRule type="cellIs" dxfId="278" priority="615" operator="equal">
      <formula>"Charriage présumé perturbé / Geschiebehaushalt vermutlich beeinträchtigt"</formula>
    </cfRule>
    <cfRule type="cellIs" dxfId="277" priority="616" operator="equal">
      <formula>"Charriage présumé naturel / Geschiebehaushalt vermutlich natürlich"</formula>
    </cfRule>
    <cfRule type="cellIs" dxfId="276" priority="617" operator="equal">
      <formula>"non pertinent / nicht relevant"</formula>
    </cfRule>
    <cfRule type="cellIs" dxfId="275" priority="618" operator="equal">
      <formula>"21-50%"</formula>
    </cfRule>
    <cfRule type="cellIs" dxfId="274" priority="619" operator="equal">
      <formula>"51-80%"</formula>
    </cfRule>
  </conditionalFormatting>
  <conditionalFormatting sqref="F85">
    <cfRule type="cellIs" dxfId="273" priority="620" operator="equal">
      <formula>"81 -100%"</formula>
    </cfRule>
    <cfRule type="cellIs" dxfId="272" priority="621" operator="equal">
      <formula>"0-20%"</formula>
    </cfRule>
  </conditionalFormatting>
  <conditionalFormatting sqref="J85">
    <cfRule type="cellIs" dxfId="271" priority="644" stopIfTrue="1" operator="equal">
      <formula>"non pertinent / nicht relevant"</formula>
    </cfRule>
  </conditionalFormatting>
  <conditionalFormatting sqref="G189 G191 G193">
    <cfRule type="cellIs" dxfId="270" priority="602" stopIfTrue="1" operator="equal">
      <formula>"Régime présumé naturel (100%) / Abfluss vermutlich natürlich"</formula>
    </cfRule>
    <cfRule type="cellIs" dxfId="269" priority="603" stopIfTrue="1" operator="equal">
      <formula>"non pertinent / nicht relevant"</formula>
    </cfRule>
    <cfRule type="cellIs" dxfId="268" priority="604" stopIfTrue="1" operator="equal">
      <formula>"61-80%"</formula>
    </cfRule>
    <cfRule type="cellIs" dxfId="267" priority="605" stopIfTrue="1" operator="equal">
      <formula>"41-60%"</formula>
    </cfRule>
    <cfRule type="cellIs" dxfId="266" priority="606" stopIfTrue="1" operator="equal">
      <formula>"21-40%"</formula>
    </cfRule>
    <cfRule type="cellIs" dxfId="265" priority="607" stopIfTrue="1" operator="equal">
      <formula>"0-20%"</formula>
    </cfRule>
    <cfRule type="cellIs" dxfId="264" priority="608" stopIfTrue="1" operator="equal">
      <formula>"81-100%"</formula>
    </cfRule>
    <cfRule type="cellIs" dxfId="263" priority="609" stopIfTrue="1" operator="equal">
      <formula>"100%"</formula>
    </cfRule>
  </conditionalFormatting>
  <conditionalFormatting sqref="H189 H191 H193">
    <cfRule type="cellIs" dxfId="262" priority="599" stopIfTrue="1" operator="equal">
      <formula>"Non affecté / nicht betroffen"</formula>
    </cfRule>
    <cfRule type="cellIs" dxfId="261" priority="600" stopIfTrue="1" operator="equal">
      <formula>"Potentiellement affecté mais non plausible / möglicherweise betroffen aber nicht nachweisbar"</formula>
    </cfRule>
    <cfRule type="cellIs" dxfId="260" priority="601" stopIfTrue="1" operator="equal">
      <formula>"Potentiellement affecté / möglicherweise betroffen"</formula>
    </cfRule>
  </conditionalFormatting>
  <conditionalFormatting sqref="E189 E191 E193">
    <cfRule type="expression" dxfId="259" priority="594">
      <formula>OR(F189="non pertinent / nicht relevant",F189="0")</formula>
    </cfRule>
    <cfRule type="expression" dxfId="258" priority="595">
      <formula>OR(F189="0-20%",F189="Charriage présumé naturel / Geschiebehaushalt vermutlich natürlich",F189="Déficit non apparent en charriage ou en remobilisation des sédiments / kein sichtbares Defizit beim Geschiebehaushalt bzw. bei der Mobilisierung von Geschiebe")</formula>
    </cfRule>
    <cfRule type="expression" dxfId="257" priority="596">
      <formula>OR(F189="21-50%",F189="La remobilisation des sédiments est perturbée / Mobilisierung von Geschiebe beeinträchtigt",F189="Charriage présumé faiblement perturbé / Geschiebe vermutlich leicht beeinträchtigt")</formula>
    </cfRule>
    <cfRule type="expression" dxfId="256" priority="597">
      <formula>OR(F189="51-80%",F189="Charriage présumé perturbé / Geschiebehaushalt vermutlich beeinträchtigt")</formula>
    </cfRule>
    <cfRule type="expression" dxfId="255" priority="598">
      <formula>OR(F189="81 -100%",F189="Problème lié à un manque de charriage ou à un manque de remobilisation des sédiments / Problem aufgrund Geschiebemangels bzw. mangelnder Mobilisierung von Geschiebe")</formula>
    </cfRule>
  </conditionalFormatting>
  <conditionalFormatting sqref="I189 I191 I193">
    <cfRule type="expression" dxfId="254" priority="588">
      <formula>IF(J189="non pertinent / nicht relevant",TRUE,FALSE)</formula>
    </cfRule>
    <cfRule type="expression" dxfId="253" priority="589">
      <formula>IF(J189="Non nécessaire / nicht nötig",TRUE,FALSE)</formula>
    </cfRule>
    <cfRule type="expression" dxfId="252" priority="590">
      <formula>IF(J189="Partiellement nécessaire, difficile / teilweise nötig, schwierig",TRUE,FALSE)</formula>
    </cfRule>
    <cfRule type="expression" dxfId="251" priority="591">
      <formula>IF(J189="Partiellement nécessaire, facile / teilweise nötig, einfach",TRUE,FALSE)</formula>
    </cfRule>
    <cfRule type="expression" dxfId="250" priority="592">
      <formula>IF(J189="Très nécessaire, difficile / unbedingt nötig, schwierig",TRUE,FALSE)</formula>
    </cfRule>
    <cfRule type="expression" dxfId="249" priority="593">
      <formula>IF(J189="Très nécessaire, facile / unbedingt nötig, einfach",TRUE,FALSE)</formula>
    </cfRule>
  </conditionalFormatting>
  <conditionalFormatting sqref="F189 F191 F193">
    <cfRule type="cellIs" dxfId="248" priority="577" operator="equal">
      <formula>"Charriage présumé faiblement perturbé / Geschiebe vermutlich leicht beeinträchtigt"</formula>
    </cfRule>
    <cfRule type="cellIs" dxfId="247" priority="578" operator="equal">
      <formula>"La remobilisation des sédiments est perturbée / Mobilisierung von Geschiebe beeinträchtigt"</formula>
    </cfRule>
    <cfRule type="cellIs" dxfId="246" priority="579" operator="equal">
      <formula>"Problème lié à un manque de charriage ou à un manque de remobilisation des sédiments / Problem aufgrund Geschiebemangels bzw. mangelnder Mobilisierung von Geschiebe"</formula>
    </cfRule>
    <cfRule type="cellIs" dxfId="245" priority="580" operator="equal">
      <formula>"Déficit non apparent en charriage ou en remobilisation des sédiments / kein sichtbares Defizit beim Geschiebehaushalt bzw. bei der Mobilisierung von Geschiebe"</formula>
    </cfRule>
    <cfRule type="cellIs" dxfId="244" priority="581" operator="equal">
      <formula>"Charriage présumé perturbé / Geschiebehaushalt vermutlich beeinträchtigt"</formula>
    </cfRule>
    <cfRule type="cellIs" dxfId="243" priority="582" operator="equal">
      <formula>"Charriage présumé naturel / Geschiebehaushalt vermutlich natürlich"</formula>
    </cfRule>
    <cfRule type="cellIs" dxfId="242" priority="583" operator="equal">
      <formula>"non pertinent / nicht relevant"</formula>
    </cfRule>
    <cfRule type="cellIs" dxfId="241" priority="584" operator="equal">
      <formula>"21-50%"</formula>
    </cfRule>
    <cfRule type="cellIs" dxfId="240" priority="585" operator="equal">
      <formula>"51-80%"</formula>
    </cfRule>
  </conditionalFormatting>
  <conditionalFormatting sqref="F189 F191 F193">
    <cfRule type="cellIs" dxfId="239" priority="586" operator="equal">
      <formula>"81 -100%"</formula>
    </cfRule>
    <cfRule type="cellIs" dxfId="238" priority="587" operator="equal">
      <formula>"0-20%"</formula>
    </cfRule>
  </conditionalFormatting>
  <conditionalFormatting sqref="J189 J191 J193">
    <cfRule type="cellIs" dxfId="237" priority="610" stopIfTrue="1" operator="equal">
      <formula>"non pertinent / nicht relevant"</formula>
    </cfRule>
  </conditionalFormatting>
  <conditionalFormatting sqref="E190">
    <cfRule type="expression" dxfId="236" priority="572">
      <formula>OR(F190="non pertinent / nicht relevant",F190="0")</formula>
    </cfRule>
    <cfRule type="expression" dxfId="235" priority="573">
      <formula>OR(F190="0-20%",F190="Charriage présumé naturel / Geschiebehaushalt vermutlich natürlich",F190="Déficit non apparent en charriage ou en remobilisation des sédiments / kein sichtbares Defizit beim Geschiebehaushalt bzw. bei der Mobilisierung von Geschiebe")</formula>
    </cfRule>
    <cfRule type="expression" dxfId="234" priority="574">
      <formula>OR(F190="21-50%",F190="La remobilisation des sédiments est perturbée / Mobilisierung von Geschiebe beeinträchtigt",F190="Charriage présumé faiblement perturbé / Geschiebe vermutlich leicht beeinträchtigt")</formula>
    </cfRule>
    <cfRule type="expression" dxfId="233" priority="575">
      <formula>OR(F190="51-80%",F190="Charriage présumé perturbé / Geschiebehaushalt vermutlich beeinträchtigt")</formula>
    </cfRule>
    <cfRule type="expression" dxfId="232" priority="576">
      <formula>OR(F190="81 -100%",F190="Problème lié à un manque de charriage ou à un manque de remobilisation des sédiments / Problem aufgrund Geschiebemangels bzw. mangelnder Mobilisierung von Geschiebe")</formula>
    </cfRule>
  </conditionalFormatting>
  <conditionalFormatting sqref="F190">
    <cfRule type="cellIs" dxfId="231" priority="561" operator="equal">
      <formula>"Charriage présumé faiblement perturbé / Geschiebe vermutlich leicht beeinträchtigt"</formula>
    </cfRule>
    <cfRule type="cellIs" dxfId="230" priority="562" operator="equal">
      <formula>"La remobilisation des sédiments est perturbée / Mobilisierung von Geschiebe beeinträchtigt"</formula>
    </cfRule>
    <cfRule type="cellIs" dxfId="229" priority="563" operator="equal">
      <formula>"Problème lié à un manque de charriage ou à un manque de remobilisation des sédiments / Problem aufgrund Geschiebemangels bzw. mangelnder Mobilisierung von Geschiebe"</formula>
    </cfRule>
    <cfRule type="cellIs" dxfId="228" priority="564" operator="equal">
      <formula>"Déficit non apparent en charriage ou en remobilisation des sédiments / kein sichtbares Defizit beim Geschiebehaushalt bzw. bei der Mobilisierung von Geschiebe"</formula>
    </cfRule>
    <cfRule type="cellIs" dxfId="227" priority="565" operator="equal">
      <formula>"Charriage présumé perturbé / Geschiebehaushalt vermutlich beeinträchtigt"</formula>
    </cfRule>
    <cfRule type="cellIs" dxfId="226" priority="566" operator="equal">
      <formula>"Charriage présumé naturel / Geschiebehaushalt vermutlich natürlich"</formula>
    </cfRule>
    <cfRule type="cellIs" dxfId="225" priority="567" operator="equal">
      <formula>"non pertinent / nicht relevant"</formula>
    </cfRule>
    <cfRule type="cellIs" dxfId="224" priority="568" operator="equal">
      <formula>"21-50%"</formula>
    </cfRule>
    <cfRule type="cellIs" dxfId="223" priority="569" operator="equal">
      <formula>"51-80%"</formula>
    </cfRule>
  </conditionalFormatting>
  <conditionalFormatting sqref="F190">
    <cfRule type="cellIs" dxfId="222" priority="570" operator="equal">
      <formula>"81 -100%"</formula>
    </cfRule>
    <cfRule type="cellIs" dxfId="221" priority="571" operator="equal">
      <formula>"0-20%"</formula>
    </cfRule>
  </conditionalFormatting>
  <conditionalFormatting sqref="E192">
    <cfRule type="expression" dxfId="220" priority="556">
      <formula>OR(F192="non pertinent / nicht relevant",F192="0")</formula>
    </cfRule>
    <cfRule type="expression" dxfId="219" priority="557">
      <formula>OR(F192="0-20%",F192="Charriage présumé naturel / Geschiebehaushalt vermutlich natürlich",F192="Déficit non apparent en charriage ou en remobilisation des sédiments / kein sichtbares Defizit beim Geschiebehaushalt bzw. bei der Mobilisierung von Geschiebe")</formula>
    </cfRule>
    <cfRule type="expression" dxfId="218" priority="558">
      <formula>OR(F192="21-50%",F192="La remobilisation des sédiments est perturbée / Mobilisierung von Geschiebe beeinträchtigt",F192="Charriage présumé faiblement perturbé / Geschiebe vermutlich leicht beeinträchtigt")</formula>
    </cfRule>
    <cfRule type="expression" dxfId="217" priority="559">
      <formula>OR(F192="51-80%",F192="Charriage présumé perturbé / Geschiebehaushalt vermutlich beeinträchtigt")</formula>
    </cfRule>
    <cfRule type="expression" dxfId="216" priority="560">
      <formula>OR(F192="81 -100%",F192="Problème lié à un manque de charriage ou à un manque de remobilisation des sédiments / Problem aufgrund Geschiebemangels bzw. mangelnder Mobilisierung von Geschiebe")</formula>
    </cfRule>
  </conditionalFormatting>
  <conditionalFormatting sqref="F192">
    <cfRule type="cellIs" dxfId="215" priority="545" operator="equal">
      <formula>"Charriage présumé faiblement perturbé / Geschiebe vermutlich leicht beeinträchtigt"</formula>
    </cfRule>
    <cfRule type="cellIs" dxfId="214" priority="546" operator="equal">
      <formula>"La remobilisation des sédiments est perturbée / Mobilisierung von Geschiebe beeinträchtigt"</formula>
    </cfRule>
    <cfRule type="cellIs" dxfId="213" priority="547" operator="equal">
      <formula>"Problème lié à un manque de charriage ou à un manque de remobilisation des sédiments / Problem aufgrund Geschiebemangels bzw. mangelnder Mobilisierung von Geschiebe"</formula>
    </cfRule>
    <cfRule type="cellIs" dxfId="212" priority="548" operator="equal">
      <formula>"Déficit non apparent en charriage ou en remobilisation des sédiments / kein sichtbares Defizit beim Geschiebehaushalt bzw. bei der Mobilisierung von Geschiebe"</formula>
    </cfRule>
    <cfRule type="cellIs" dxfId="211" priority="549" operator="equal">
      <formula>"Charriage présumé perturbé / Geschiebehaushalt vermutlich beeinträchtigt"</formula>
    </cfRule>
    <cfRule type="cellIs" dxfId="210" priority="550" operator="equal">
      <formula>"Charriage présumé naturel / Geschiebehaushalt vermutlich natürlich"</formula>
    </cfRule>
    <cfRule type="cellIs" dxfId="209" priority="551" operator="equal">
      <formula>"non pertinent / nicht relevant"</formula>
    </cfRule>
    <cfRule type="cellIs" dxfId="208" priority="552" operator="equal">
      <formula>"21-50%"</formula>
    </cfRule>
    <cfRule type="cellIs" dxfId="207" priority="553" operator="equal">
      <formula>"51-80%"</formula>
    </cfRule>
  </conditionalFormatting>
  <conditionalFormatting sqref="F192">
    <cfRule type="cellIs" dxfId="206" priority="554" operator="equal">
      <formula>"81 -100%"</formula>
    </cfRule>
    <cfRule type="cellIs" dxfId="205" priority="555" operator="equal">
      <formula>"0-20%"</formula>
    </cfRule>
  </conditionalFormatting>
  <conditionalFormatting sqref="G190">
    <cfRule type="cellIs" dxfId="204" priority="537" stopIfTrue="1" operator="equal">
      <formula>"Régime présumé naturel (100%) / Abfluss vermutlich natürlich"</formula>
    </cfRule>
    <cfRule type="cellIs" dxfId="203" priority="538" stopIfTrue="1" operator="equal">
      <formula>"non pertinent / nicht relevant"</formula>
    </cfRule>
    <cfRule type="cellIs" dxfId="202" priority="539" stopIfTrue="1" operator="equal">
      <formula>"61-80%"</formula>
    </cfRule>
    <cfRule type="cellIs" dxfId="201" priority="540" stopIfTrue="1" operator="equal">
      <formula>"41-60%"</formula>
    </cfRule>
    <cfRule type="cellIs" dxfId="200" priority="541" stopIfTrue="1" operator="equal">
      <formula>"21-40%"</formula>
    </cfRule>
    <cfRule type="cellIs" dxfId="199" priority="542" stopIfTrue="1" operator="equal">
      <formula>"0-20%"</formula>
    </cfRule>
    <cfRule type="cellIs" dxfId="198" priority="543" stopIfTrue="1" operator="equal">
      <formula>"81-100%"</formula>
    </cfRule>
    <cfRule type="cellIs" dxfId="197" priority="544" stopIfTrue="1" operator="equal">
      <formula>"100%"</formula>
    </cfRule>
  </conditionalFormatting>
  <conditionalFormatting sqref="H190">
    <cfRule type="cellIs" dxfId="196" priority="534" stopIfTrue="1" operator="equal">
      <formula>"Non affecté / nicht betroffen"</formula>
    </cfRule>
    <cfRule type="cellIs" dxfId="195" priority="535" stopIfTrue="1" operator="equal">
      <formula>"Potentiellement affecté mais non plausible / möglicherweise betroffen aber nicht nachweisbar"</formula>
    </cfRule>
    <cfRule type="cellIs" dxfId="194" priority="536" stopIfTrue="1" operator="equal">
      <formula>"Potentiellement affecté / möglicherweise betroffen"</formula>
    </cfRule>
  </conditionalFormatting>
  <conditionalFormatting sqref="I190">
    <cfRule type="expression" dxfId="193" priority="527">
      <formula>IF(J190="non pertinent / nicht relevant",TRUE,FALSE)</formula>
    </cfRule>
    <cfRule type="expression" dxfId="192" priority="528">
      <formula>IF(J190="Non nécessaire / nicht nötig",TRUE,FALSE)</formula>
    </cfRule>
    <cfRule type="expression" dxfId="191" priority="529">
      <formula>IF(J190="Partiellement nécessaire, difficile / teilweise nötig, schwierig",TRUE,FALSE)</formula>
    </cfRule>
    <cfRule type="expression" dxfId="190" priority="530">
      <formula>IF(J190="Partiellement nécessaire, facile / teilweise nötig, einfach",TRUE,FALSE)</formula>
    </cfRule>
    <cfRule type="expression" dxfId="189" priority="531">
      <formula>IF(J190="Très nécessaire, difficile / unbedingt nötig, schwierig",TRUE,FALSE)</formula>
    </cfRule>
    <cfRule type="expression" dxfId="188" priority="532">
      <formula>IF(J190="Très nécessaire, facile / unbedingt nötig, einfach",TRUE,FALSE)</formula>
    </cfRule>
  </conditionalFormatting>
  <conditionalFormatting sqref="J190">
    <cfRule type="cellIs" dxfId="187" priority="533" stopIfTrue="1" operator="equal">
      <formula>"non pertinent / nicht relevant"</formula>
    </cfRule>
  </conditionalFormatting>
  <conditionalFormatting sqref="G192">
    <cfRule type="cellIs" dxfId="186" priority="519" stopIfTrue="1" operator="equal">
      <formula>"Régime présumé naturel (100%) / Abfluss vermutlich natürlich"</formula>
    </cfRule>
    <cfRule type="cellIs" dxfId="185" priority="520" stopIfTrue="1" operator="equal">
      <formula>"non pertinent / nicht relevant"</formula>
    </cfRule>
    <cfRule type="cellIs" dxfId="184" priority="521" stopIfTrue="1" operator="equal">
      <formula>"61-80%"</formula>
    </cfRule>
    <cfRule type="cellIs" dxfId="183" priority="522" stopIfTrue="1" operator="equal">
      <formula>"41-60%"</formula>
    </cfRule>
    <cfRule type="cellIs" dxfId="182" priority="523" stopIfTrue="1" operator="equal">
      <formula>"21-40%"</formula>
    </cfRule>
    <cfRule type="cellIs" dxfId="181" priority="524" stopIfTrue="1" operator="equal">
      <formula>"0-20%"</formula>
    </cfRule>
    <cfRule type="cellIs" dxfId="180" priority="525" stopIfTrue="1" operator="equal">
      <formula>"81-100%"</formula>
    </cfRule>
    <cfRule type="cellIs" dxfId="179" priority="526" stopIfTrue="1" operator="equal">
      <formula>"100%"</formula>
    </cfRule>
  </conditionalFormatting>
  <conditionalFormatting sqref="H192">
    <cfRule type="cellIs" dxfId="178" priority="516" stopIfTrue="1" operator="equal">
      <formula>"Non affecté / nicht betroffen"</formula>
    </cfRule>
    <cfRule type="cellIs" dxfId="177" priority="517" stopIfTrue="1" operator="equal">
      <formula>"Potentiellement affecté mais non plausible / möglicherweise betroffen aber nicht nachweisbar"</formula>
    </cfRule>
    <cfRule type="cellIs" dxfId="176" priority="518" stopIfTrue="1" operator="equal">
      <formula>"Potentiellement affecté / möglicherweise betroffen"</formula>
    </cfRule>
  </conditionalFormatting>
  <conditionalFormatting sqref="I192">
    <cfRule type="expression" dxfId="175" priority="509">
      <formula>IF(J192="non pertinent / nicht relevant",TRUE,FALSE)</formula>
    </cfRule>
    <cfRule type="expression" dxfId="174" priority="510">
      <formula>IF(J192="Non nécessaire / nicht nötig",TRUE,FALSE)</formula>
    </cfRule>
    <cfRule type="expression" dxfId="173" priority="511">
      <formula>IF(J192="Partiellement nécessaire, difficile / teilweise nötig, schwierig",TRUE,FALSE)</formula>
    </cfRule>
    <cfRule type="expression" dxfId="172" priority="512">
      <formula>IF(J192="Partiellement nécessaire, facile / teilweise nötig, einfach",TRUE,FALSE)</formula>
    </cfRule>
    <cfRule type="expression" dxfId="171" priority="513">
      <formula>IF(J192="Très nécessaire, difficile / unbedingt nötig, schwierig",TRUE,FALSE)</formula>
    </cfRule>
    <cfRule type="expression" dxfId="170" priority="514">
      <formula>IF(J192="Très nécessaire, facile / unbedingt nötig, einfach",TRUE,FALSE)</formula>
    </cfRule>
  </conditionalFormatting>
  <conditionalFormatting sqref="J192">
    <cfRule type="cellIs" dxfId="169" priority="515" stopIfTrue="1" operator="equal">
      <formula>"non pertinent / nicht relevant"</formula>
    </cfRule>
  </conditionalFormatting>
  <conditionalFormatting sqref="J188">
    <cfRule type="cellIs" dxfId="168" priority="504" stopIfTrue="1" operator="equal">
      <formula>"Très nécessaire, difficile / unbedingt nötig, schwierig"</formula>
    </cfRule>
    <cfRule type="cellIs" dxfId="167" priority="505" stopIfTrue="1" operator="equal">
      <formula>"Partiellement nécessaire, facile / teilweise nötig, einfach"</formula>
    </cfRule>
    <cfRule type="cellIs" dxfId="166" priority="506" stopIfTrue="1" operator="equal">
      <formula>"Partiellement nécessaire, difficile / teilweise nötig, schwierig"</formula>
    </cfRule>
    <cfRule type="cellIs" dxfId="165" priority="507" stopIfTrue="1" operator="equal">
      <formula>"Très nécessaire, facile / unbedingt nötig, einfach"</formula>
    </cfRule>
    <cfRule type="cellIs" dxfId="164" priority="508" stopIfTrue="1" operator="equal">
      <formula>"Non nécessaire / nicht nötig"</formula>
    </cfRule>
  </conditionalFormatting>
  <conditionalFormatting sqref="G27 G29">
    <cfRule type="cellIs" dxfId="163" priority="495" stopIfTrue="1" operator="equal">
      <formula>"Régime présumé naturel (100%) / Abfluss vermutlich natürlich"</formula>
    </cfRule>
    <cfRule type="cellIs" dxfId="162" priority="496" stopIfTrue="1" operator="equal">
      <formula>"non pertinent / nicht relevant"</formula>
    </cfRule>
    <cfRule type="cellIs" dxfId="161" priority="497" stopIfTrue="1" operator="equal">
      <formula>"61-80%"</formula>
    </cfRule>
    <cfRule type="cellIs" dxfId="160" priority="498" stopIfTrue="1" operator="equal">
      <formula>"41-60%"</formula>
    </cfRule>
    <cfRule type="cellIs" dxfId="159" priority="499" stopIfTrue="1" operator="equal">
      <formula>"21-40%"</formula>
    </cfRule>
    <cfRule type="cellIs" dxfId="158" priority="500" stopIfTrue="1" operator="equal">
      <formula>"0-20%"</formula>
    </cfRule>
    <cfRule type="cellIs" dxfId="157" priority="501" stopIfTrue="1" operator="equal">
      <formula>"81-100%"</formula>
    </cfRule>
    <cfRule type="cellIs" dxfId="156" priority="502" stopIfTrue="1" operator="equal">
      <formula>"100%"</formula>
    </cfRule>
  </conditionalFormatting>
  <conditionalFormatting sqref="H27 H29">
    <cfRule type="cellIs" dxfId="155" priority="492" stopIfTrue="1" operator="equal">
      <formula>"Non affecté / nicht betroffen"</formula>
    </cfRule>
    <cfRule type="cellIs" dxfId="154" priority="493" stopIfTrue="1" operator="equal">
      <formula>"Potentiellement affecté mais non plausible / möglicherweise betroffen aber nicht nachweisbar"</formula>
    </cfRule>
    <cfRule type="cellIs" dxfId="153" priority="494" stopIfTrue="1" operator="equal">
      <formula>"Potentiellement affecté / möglicherweise betroffen"</formula>
    </cfRule>
  </conditionalFormatting>
  <conditionalFormatting sqref="E27 E29">
    <cfRule type="expression" dxfId="152" priority="487">
      <formula>OR(F27="non pertinent / nicht relevant",F27="0")</formula>
    </cfRule>
    <cfRule type="expression" dxfId="151" priority="488">
      <formula>OR(F27="0-20%",F27="Charriage présumé naturel / Geschiebehaushalt vermutlich natürlich",F27="Déficit non apparent en charriage ou en remobilisation des sédiments / kein sichtbares Defizit beim Geschiebehaushalt bzw. bei der Mobilisierung von Geschiebe")</formula>
    </cfRule>
    <cfRule type="expression" dxfId="150" priority="489">
      <formula>OR(F27="21-50%",F27="La remobilisation des sédiments est perturbée / Mobilisierung von Geschiebe beeinträchtigt",F27="Charriage présumé faiblement perturbé / Geschiebe vermutlich leicht beeinträchtigt")</formula>
    </cfRule>
    <cfRule type="expression" dxfId="149" priority="490">
      <formula>OR(F27="51-80%",F27="Charriage présumé perturbé / Geschiebehaushalt vermutlich beeinträchtigt")</formula>
    </cfRule>
    <cfRule type="expression" dxfId="148" priority="491">
      <formula>OR(F27="81 -100%",F27="Problème lié à un manque de charriage ou à un manque de remobilisation des sédiments / Problem aufgrund Geschiebemangels bzw. mangelnder Mobilisierung von Geschiebe")</formula>
    </cfRule>
  </conditionalFormatting>
  <conditionalFormatting sqref="I27 I29">
    <cfRule type="expression" dxfId="147" priority="481">
      <formula>IF(J27="non pertinent / nicht relevant",TRUE,FALSE)</formula>
    </cfRule>
    <cfRule type="expression" dxfId="146" priority="482">
      <formula>IF(J27="Non nécessaire / nicht nötig",TRUE,FALSE)</formula>
    </cfRule>
    <cfRule type="expression" dxfId="145" priority="483">
      <formula>IF(J27="Partiellement nécessaire, difficile / teilweise nötig, schwierig",TRUE,FALSE)</formula>
    </cfRule>
    <cfRule type="expression" dxfId="144" priority="484">
      <formula>IF(J27="Partiellement nécessaire, facile / teilweise nötig, einfach",TRUE,FALSE)</formula>
    </cfRule>
    <cfRule type="expression" dxfId="143" priority="485">
      <formula>IF(J27="Très nécessaire, difficile / unbedingt nötig, schwierig",TRUE,FALSE)</formula>
    </cfRule>
    <cfRule type="expression" dxfId="142" priority="486">
      <formula>IF(J27="Très nécessaire, facile / unbedingt nötig, einfach",TRUE,FALSE)</formula>
    </cfRule>
  </conditionalFormatting>
  <conditionalFormatting sqref="F27 F29">
    <cfRule type="cellIs" dxfId="141" priority="470" operator="equal">
      <formula>"Charriage présumé faiblement perturbé / Geschiebe vermutlich leicht beeinträchtigt"</formula>
    </cfRule>
    <cfRule type="cellIs" dxfId="140" priority="471" operator="equal">
      <formula>"La remobilisation des sédiments est perturbée / Mobilisierung von Geschiebe beeinträchtigt"</formula>
    </cfRule>
    <cfRule type="cellIs" dxfId="139" priority="472" operator="equal">
      <formula>"Problème lié à un manque de charriage ou à un manque de remobilisation des sédiments / Problem aufgrund Geschiebemangels bzw. mangelnder Mobilisierung von Geschiebe"</formula>
    </cfRule>
    <cfRule type="cellIs" dxfId="138" priority="473" operator="equal">
      <formula>"Déficit non apparent en charriage ou en remobilisation des sédiments / kein sichtbares Defizit beim Geschiebehaushalt bzw. bei der Mobilisierung von Geschiebe"</formula>
    </cfRule>
    <cfRule type="cellIs" dxfId="137" priority="474" operator="equal">
      <formula>"Charriage présumé perturbé / Geschiebehaushalt vermutlich beeinträchtigt"</formula>
    </cfRule>
    <cfRule type="cellIs" dxfId="136" priority="475" operator="equal">
      <formula>"Charriage présumé naturel / Geschiebehaushalt vermutlich natürlich"</formula>
    </cfRule>
    <cfRule type="cellIs" dxfId="135" priority="476" operator="equal">
      <formula>"non pertinent / nicht relevant"</formula>
    </cfRule>
    <cfRule type="cellIs" dxfId="134" priority="477" operator="equal">
      <formula>"21-50%"</formula>
    </cfRule>
    <cfRule type="cellIs" dxfId="133" priority="478" operator="equal">
      <formula>"51-80%"</formula>
    </cfRule>
  </conditionalFormatting>
  <conditionalFormatting sqref="F27 F29">
    <cfRule type="cellIs" dxfId="132" priority="479" operator="equal">
      <formula>"81 -100%"</formula>
    </cfRule>
    <cfRule type="cellIs" dxfId="131" priority="480" operator="equal">
      <formula>"0-20%"</formula>
    </cfRule>
  </conditionalFormatting>
  <conditionalFormatting sqref="J27 J29">
    <cfRule type="cellIs" dxfId="130" priority="503" stopIfTrue="1" operator="equal">
      <formula>"non pertinent / nicht relevant"</formula>
    </cfRule>
  </conditionalFormatting>
  <conditionalFormatting sqref="J28">
    <cfRule type="cellIs" dxfId="129" priority="465" stopIfTrue="1" operator="equal">
      <formula>"Très nécessaire, difficile / unbedingt nötig, schwierig"</formula>
    </cfRule>
    <cfRule type="cellIs" dxfId="128" priority="466" stopIfTrue="1" operator="equal">
      <formula>"Partiellement nécessaire, facile / teilweise nötig, einfach"</formula>
    </cfRule>
    <cfRule type="cellIs" dxfId="127" priority="467" stopIfTrue="1" operator="equal">
      <formula>"Partiellement nécessaire, difficile / teilweise nötig, schwierig"</formula>
    </cfRule>
    <cfRule type="cellIs" dxfId="126" priority="468" stopIfTrue="1" operator="equal">
      <formula>"Très nécessaire, facile / unbedingt nötig, einfach"</formula>
    </cfRule>
    <cfRule type="cellIs" dxfId="125" priority="469" stopIfTrue="1" operator="equal">
      <formula>"Non nécessaire / nicht nötig"</formula>
    </cfRule>
  </conditionalFormatting>
  <conditionalFormatting sqref="P31">
    <cfRule type="cellIs" dxfId="124" priority="429" stopIfTrue="1" operator="equal">
      <formula>"Régime présumé naturel (100%) / Abfluss vermutlich natürlich"</formula>
    </cfRule>
    <cfRule type="cellIs" dxfId="123" priority="430" stopIfTrue="1" operator="equal">
      <formula>"non pertinent / nicht relevant"</formula>
    </cfRule>
    <cfRule type="cellIs" dxfId="122" priority="431" stopIfTrue="1" operator="equal">
      <formula>"61-80%"</formula>
    </cfRule>
    <cfRule type="cellIs" dxfId="121" priority="432" stopIfTrue="1" operator="equal">
      <formula>"41-60%"</formula>
    </cfRule>
    <cfRule type="cellIs" dxfId="120" priority="433" stopIfTrue="1" operator="equal">
      <formula>"21-40%"</formula>
    </cfRule>
    <cfRule type="cellIs" dxfId="119" priority="434" stopIfTrue="1" operator="equal">
      <formula>"0-20%"</formula>
    </cfRule>
    <cfRule type="cellIs" dxfId="118" priority="435" stopIfTrue="1" operator="equal">
      <formula>"81-100%"</formula>
    </cfRule>
    <cfRule type="cellIs" dxfId="117" priority="436" stopIfTrue="1" operator="equal">
      <formula>"100%"</formula>
    </cfRule>
  </conditionalFormatting>
  <conditionalFormatting sqref="P126">
    <cfRule type="cellIs" dxfId="116" priority="421" stopIfTrue="1" operator="equal">
      <formula>"Régime présumé naturel (100%) / Abfluss vermutlich natürlich"</formula>
    </cfRule>
    <cfRule type="cellIs" dxfId="115" priority="422" stopIfTrue="1" operator="equal">
      <formula>"non pertinent / nicht relevant"</formula>
    </cfRule>
    <cfRule type="cellIs" dxfId="114" priority="423" stopIfTrue="1" operator="equal">
      <formula>"61-80%"</formula>
    </cfRule>
    <cfRule type="cellIs" dxfId="113" priority="424" stopIfTrue="1" operator="equal">
      <formula>"41-60%"</formula>
    </cfRule>
    <cfRule type="cellIs" dxfId="112" priority="425" stopIfTrue="1" operator="equal">
      <formula>"21-40%"</formula>
    </cfRule>
    <cfRule type="cellIs" dxfId="111" priority="426" stopIfTrue="1" operator="equal">
      <formula>"0-20%"</formula>
    </cfRule>
    <cfRule type="cellIs" dxfId="110" priority="427" stopIfTrue="1" operator="equal">
      <formula>"81-100%"</formula>
    </cfRule>
    <cfRule type="cellIs" dxfId="109" priority="428" stopIfTrue="1" operator="equal">
      <formula>"100%"</formula>
    </cfRule>
  </conditionalFormatting>
  <conditionalFormatting sqref="P125">
    <cfRule type="cellIs" dxfId="108" priority="413" stopIfTrue="1" operator="equal">
      <formula>"Régime présumé naturel (100%) / Abfluss vermutlich natürlich"</formula>
    </cfRule>
    <cfRule type="cellIs" dxfId="107" priority="414" stopIfTrue="1" operator="equal">
      <formula>"non pertinent / nicht relevant"</formula>
    </cfRule>
    <cfRule type="cellIs" dxfId="106" priority="415" stopIfTrue="1" operator="equal">
      <formula>"61-80%"</formula>
    </cfRule>
    <cfRule type="cellIs" dxfId="105" priority="416" stopIfTrue="1" operator="equal">
      <formula>"41-60%"</formula>
    </cfRule>
    <cfRule type="cellIs" dxfId="104" priority="417" stopIfTrue="1" operator="equal">
      <formula>"21-40%"</formula>
    </cfRule>
    <cfRule type="cellIs" dxfId="103" priority="418" stopIfTrue="1" operator="equal">
      <formula>"0-20%"</formula>
    </cfRule>
    <cfRule type="cellIs" dxfId="102" priority="419" stopIfTrue="1" operator="equal">
      <formula>"81-100%"</formula>
    </cfRule>
    <cfRule type="cellIs" dxfId="101" priority="420" stopIfTrue="1" operator="equal">
      <formula>"100%"</formula>
    </cfRule>
  </conditionalFormatting>
  <conditionalFormatting sqref="P189">
    <cfRule type="cellIs" dxfId="100" priority="405" stopIfTrue="1" operator="equal">
      <formula>"Régime présumé naturel (100%) / Abfluss vermutlich natürlich"</formula>
    </cfRule>
    <cfRule type="cellIs" dxfId="99" priority="406" stopIfTrue="1" operator="equal">
      <formula>"non pertinent / nicht relevant"</formula>
    </cfRule>
    <cfRule type="cellIs" dxfId="98" priority="407" stopIfTrue="1" operator="equal">
      <formula>"61-80%"</formula>
    </cfRule>
    <cfRule type="cellIs" dxfId="97" priority="408" stopIfTrue="1" operator="equal">
      <formula>"41-60%"</formula>
    </cfRule>
    <cfRule type="cellIs" dxfId="96" priority="409" stopIfTrue="1" operator="equal">
      <formula>"21-40%"</formula>
    </cfRule>
    <cfRule type="cellIs" dxfId="95" priority="410" stopIfTrue="1" operator="equal">
      <formula>"0-20%"</formula>
    </cfRule>
    <cfRule type="cellIs" dxfId="94" priority="411" stopIfTrue="1" operator="equal">
      <formula>"81-100%"</formula>
    </cfRule>
    <cfRule type="cellIs" dxfId="93" priority="412" stopIfTrue="1" operator="equal">
      <formula>"100%"</formula>
    </cfRule>
  </conditionalFormatting>
  <conditionalFormatting sqref="P193">
    <cfRule type="cellIs" dxfId="92" priority="397" stopIfTrue="1" operator="equal">
      <formula>"Régime présumé naturel (100%) / Abfluss vermutlich natürlich"</formula>
    </cfRule>
    <cfRule type="cellIs" dxfId="91" priority="398" stopIfTrue="1" operator="equal">
      <formula>"non pertinent / nicht relevant"</formula>
    </cfRule>
    <cfRule type="cellIs" dxfId="90" priority="399" stopIfTrue="1" operator="equal">
      <formula>"61-80%"</formula>
    </cfRule>
    <cfRule type="cellIs" dxfId="89" priority="400" stopIfTrue="1" operator="equal">
      <formula>"41-60%"</formula>
    </cfRule>
    <cfRule type="cellIs" dxfId="88" priority="401" stopIfTrue="1" operator="equal">
      <formula>"21-40%"</formula>
    </cfRule>
    <cfRule type="cellIs" dxfId="87" priority="402" stopIfTrue="1" operator="equal">
      <formula>"0-20%"</formula>
    </cfRule>
    <cfRule type="cellIs" dxfId="86" priority="403" stopIfTrue="1" operator="equal">
      <formula>"81-100%"</formula>
    </cfRule>
    <cfRule type="cellIs" dxfId="85" priority="404" stopIfTrue="1" operator="equal">
      <formula>"100%"</formula>
    </cfRule>
  </conditionalFormatting>
  <conditionalFormatting sqref="P219">
    <cfRule type="cellIs" dxfId="84" priority="389" stopIfTrue="1" operator="equal">
      <formula>"Régime présumé naturel (100%) / Abfluss vermutlich natürlich"</formula>
    </cfRule>
    <cfRule type="cellIs" dxfId="83" priority="390" stopIfTrue="1" operator="equal">
      <formula>"non pertinent / nicht relevant"</formula>
    </cfRule>
    <cfRule type="cellIs" dxfId="82" priority="391" stopIfTrue="1" operator="equal">
      <formula>"61-80%"</formula>
    </cfRule>
    <cfRule type="cellIs" dxfId="81" priority="392" stopIfTrue="1" operator="equal">
      <formula>"41-60%"</formula>
    </cfRule>
    <cfRule type="cellIs" dxfId="80" priority="393" stopIfTrue="1" operator="equal">
      <formula>"21-40%"</formula>
    </cfRule>
    <cfRule type="cellIs" dxfId="79" priority="394" stopIfTrue="1" operator="equal">
      <formula>"0-20%"</formula>
    </cfRule>
    <cfRule type="cellIs" dxfId="78" priority="395" stopIfTrue="1" operator="equal">
      <formula>"81-100%"</formula>
    </cfRule>
    <cfRule type="cellIs" dxfId="77" priority="396" stopIfTrue="1" operator="equal">
      <formula>"100%"</formula>
    </cfRule>
  </conditionalFormatting>
  <conditionalFormatting sqref="P222">
    <cfRule type="cellIs" dxfId="76" priority="381" stopIfTrue="1" operator="equal">
      <formula>"Régime présumé naturel (100%) / Abfluss vermutlich natürlich"</formula>
    </cfRule>
    <cfRule type="cellIs" dxfId="75" priority="382" stopIfTrue="1" operator="equal">
      <formula>"non pertinent / nicht relevant"</formula>
    </cfRule>
    <cfRule type="cellIs" dxfId="74" priority="383" stopIfTrue="1" operator="equal">
      <formula>"61-80%"</formula>
    </cfRule>
    <cfRule type="cellIs" dxfId="73" priority="384" stopIfTrue="1" operator="equal">
      <formula>"41-60%"</formula>
    </cfRule>
    <cfRule type="cellIs" dxfId="72" priority="385" stopIfTrue="1" operator="equal">
      <formula>"21-40%"</formula>
    </cfRule>
    <cfRule type="cellIs" dxfId="71" priority="386" stopIfTrue="1" operator="equal">
      <formula>"0-20%"</formula>
    </cfRule>
    <cfRule type="cellIs" dxfId="70" priority="387" stopIfTrue="1" operator="equal">
      <formula>"81-100%"</formula>
    </cfRule>
    <cfRule type="cellIs" dxfId="69" priority="388" stopIfTrue="1" operator="equal">
      <formula>"100%"</formula>
    </cfRule>
  </conditionalFormatting>
  <conditionalFormatting sqref="P60">
    <cfRule type="cellIs" dxfId="68" priority="373" stopIfTrue="1" operator="equal">
      <formula>"Régime présumé naturel (100%) / Abfluss vermutlich natürlich"</formula>
    </cfRule>
    <cfRule type="cellIs" dxfId="67" priority="374" stopIfTrue="1" operator="equal">
      <formula>"non pertinent / nicht relevant"</formula>
    </cfRule>
    <cfRule type="cellIs" dxfId="66" priority="375" stopIfTrue="1" operator="equal">
      <formula>"61-80%"</formula>
    </cfRule>
    <cfRule type="cellIs" dxfId="65" priority="376" stopIfTrue="1" operator="equal">
      <formula>"41-60%"</formula>
    </cfRule>
    <cfRule type="cellIs" dxfId="64" priority="377" stopIfTrue="1" operator="equal">
      <formula>"21-40%"</formula>
    </cfRule>
    <cfRule type="cellIs" dxfId="63" priority="378" stopIfTrue="1" operator="equal">
      <formula>"0-20%"</formula>
    </cfRule>
    <cfRule type="cellIs" dxfId="62" priority="379" stopIfTrue="1" operator="equal">
      <formula>"81-100%"</formula>
    </cfRule>
    <cfRule type="cellIs" dxfId="61" priority="380" stopIfTrue="1" operator="equal">
      <formula>"100%"</formula>
    </cfRule>
  </conditionalFormatting>
  <conditionalFormatting sqref="J44">
    <cfRule type="cellIs" dxfId="60" priority="57" stopIfTrue="1" operator="equal">
      <formula>"Très nécessaire, difficile / unbedingt nötig, schwierig"</formula>
    </cfRule>
    <cfRule type="cellIs" dxfId="59" priority="58" stopIfTrue="1" operator="equal">
      <formula>"Partiellement nécessaire, facile / teilweise nötig, einfach"</formula>
    </cfRule>
    <cfRule type="cellIs" dxfId="58" priority="59" stopIfTrue="1" operator="equal">
      <formula>"Partiellement nécessaire, difficile / teilweise nötig, schwierig"</formula>
    </cfRule>
    <cfRule type="cellIs" dxfId="57" priority="60" stopIfTrue="1" operator="equal">
      <formula>"Très nécessaire, facile / unbedingt nötig, einfach"</formula>
    </cfRule>
    <cfRule type="cellIs" dxfId="56" priority="61" stopIfTrue="1" operator="equal">
      <formula>"Non nécessaire / nicht nötig"</formula>
    </cfRule>
  </conditionalFormatting>
  <conditionalFormatting sqref="G115:G116">
    <cfRule type="cellIs" dxfId="55" priority="49" stopIfTrue="1" operator="equal">
      <formula>"Régime présumé naturel (100%) / Abfluss vermutlich natürlich"</formula>
    </cfRule>
    <cfRule type="cellIs" dxfId="54" priority="50" stopIfTrue="1" operator="equal">
      <formula>"non pertinent / nicht relevant"</formula>
    </cfRule>
    <cfRule type="cellIs" dxfId="53" priority="51" stopIfTrue="1" operator="equal">
      <formula>"61-80%"</formula>
    </cfRule>
    <cfRule type="cellIs" dxfId="52" priority="52" stopIfTrue="1" operator="equal">
      <formula>"41-60%"</formula>
    </cfRule>
    <cfRule type="cellIs" dxfId="51" priority="53" stopIfTrue="1" operator="equal">
      <formula>"21-40%"</formula>
    </cfRule>
    <cfRule type="cellIs" dxfId="50" priority="54" stopIfTrue="1" operator="equal">
      <formula>"0-20%"</formula>
    </cfRule>
    <cfRule type="cellIs" dxfId="49" priority="55" stopIfTrue="1" operator="equal">
      <formula>"81-100%"</formula>
    </cfRule>
    <cfRule type="cellIs" dxfId="48" priority="56" stopIfTrue="1" operator="equal">
      <formula>"100%"</formula>
    </cfRule>
  </conditionalFormatting>
  <conditionalFormatting sqref="H115:H116">
    <cfRule type="cellIs" dxfId="47" priority="46" stopIfTrue="1" operator="equal">
      <formula>"Non affecté / nicht betroffen"</formula>
    </cfRule>
    <cfRule type="cellIs" dxfId="46" priority="47" stopIfTrue="1" operator="equal">
      <formula>"Potentiellement affecté mais non plausible / möglicherweise betroffen aber nicht nachweisbar"</formula>
    </cfRule>
    <cfRule type="cellIs" dxfId="45" priority="48" stopIfTrue="1" operator="equal">
      <formula>"Potentiellement affecté / möglicherweise betroffen"</formula>
    </cfRule>
  </conditionalFormatting>
  <conditionalFormatting sqref="E115:E116">
    <cfRule type="expression" dxfId="44" priority="41">
      <formula>OR(F115="non pertinent / nicht relevant",F115="0")</formula>
    </cfRule>
    <cfRule type="expression" dxfId="43" priority="42">
      <formula>OR(F115="0-20%",F115="Charriage présumé naturel / Geschiebehaushalt vermutlich natürlich",F115="Déficit non apparent en charriage ou en remobilisation des sédiments / kein sichtbares Defizit beim Geschiebehaushalt bzw. bei der Mobilisierung von Geschiebe")</formula>
    </cfRule>
    <cfRule type="expression" dxfId="42" priority="43">
      <formula>OR(F115="21-50%",F115="La remobilisation des sédiments est perturbée / Mobilisierung von Geschiebe beeinträchtigt",F115="Charriage présumé faiblement perturbé / Geschiebe vermutlich leicht beeinträchtigt")</formula>
    </cfRule>
    <cfRule type="expression" dxfId="41" priority="44">
      <formula>OR(F115="51-80%",F115="Charriage présumé perturbé / Geschiebehaushalt vermutlich beeinträchtigt")</formula>
    </cfRule>
    <cfRule type="expression" dxfId="40" priority="45">
      <formula>OR(F115="81 -100%",F115="Problème lié à un manque de charriage ou à un manque de remobilisation des sédiments / Problem aufgrund Geschiebemangels bzw. mangelnder Mobilisierung von Geschiebe")</formula>
    </cfRule>
  </conditionalFormatting>
  <conditionalFormatting sqref="I115:I116">
    <cfRule type="expression" dxfId="39" priority="35">
      <formula>IF(J115="non pertinent / nicht relevant",TRUE,FALSE)</formula>
    </cfRule>
    <cfRule type="expression" dxfId="38" priority="36">
      <formula>IF(J115="Non nécessaire / nicht nötig",TRUE,FALSE)</formula>
    </cfRule>
    <cfRule type="expression" dxfId="37" priority="37">
      <formula>IF(J115="Partiellement nécessaire, difficile / teilweise nötig, schwierig",TRUE,FALSE)</formula>
    </cfRule>
    <cfRule type="expression" dxfId="36" priority="38">
      <formula>IF(J115="Partiellement nécessaire, facile / teilweise nötig, einfach",TRUE,FALSE)</formula>
    </cfRule>
    <cfRule type="expression" dxfId="35" priority="39">
      <formula>IF(J115="Très nécessaire, difficile / unbedingt nötig, schwierig",TRUE,FALSE)</formula>
    </cfRule>
    <cfRule type="expression" dxfId="34" priority="40">
      <formula>IF(J115="Très nécessaire, facile / unbedingt nötig, einfach",TRUE,FALSE)</formula>
    </cfRule>
  </conditionalFormatting>
  <conditionalFormatting sqref="J20">
    <cfRule type="cellIs" dxfId="33" priority="34" stopIfTrue="1" operator="equal">
      <formula>"non pertinent / nicht relevant"</formula>
    </cfRule>
  </conditionalFormatting>
  <conditionalFormatting sqref="G184">
    <cfRule type="cellIs" dxfId="32" priority="26" stopIfTrue="1" operator="equal">
      <formula>"Régime présumé naturel (100%) / Abfluss vermutlich natürlich"</formula>
    </cfRule>
    <cfRule type="cellIs" dxfId="31" priority="27" stopIfTrue="1" operator="equal">
      <formula>"non pertinent / nicht relevant"</formula>
    </cfRule>
    <cfRule type="cellIs" dxfId="30" priority="28" stopIfTrue="1" operator="equal">
      <formula>"61-80%"</formula>
    </cfRule>
    <cfRule type="cellIs" dxfId="29" priority="29" stopIfTrue="1" operator="equal">
      <formula>"41-60%"</formula>
    </cfRule>
    <cfRule type="cellIs" dxfId="28" priority="30" stopIfTrue="1" operator="equal">
      <formula>"21-40%"</formula>
    </cfRule>
    <cfRule type="cellIs" dxfId="27" priority="31" stopIfTrue="1" operator="equal">
      <formula>"0-20%"</formula>
    </cfRule>
    <cfRule type="cellIs" dxfId="26" priority="32" stopIfTrue="1" operator="equal">
      <formula>"81-100%"</formula>
    </cfRule>
    <cfRule type="cellIs" dxfId="25" priority="33" stopIfTrue="1" operator="equal">
      <formula>"100%"</formula>
    </cfRule>
  </conditionalFormatting>
  <conditionalFormatting sqref="H184">
    <cfRule type="cellIs" dxfId="24" priority="23" stopIfTrue="1" operator="equal">
      <formula>"Non affecté / nicht betroffen"</formula>
    </cfRule>
    <cfRule type="cellIs" dxfId="23" priority="24" stopIfTrue="1" operator="equal">
      <formula>"Potentiellement affecté mais non plausible / möglicherweise betroffen aber nicht nachweisbar"</formula>
    </cfRule>
    <cfRule type="cellIs" dxfId="22" priority="25" stopIfTrue="1" operator="equal">
      <formula>"Potentiellement affecté / möglicherweise betroffen"</formula>
    </cfRule>
  </conditionalFormatting>
  <conditionalFormatting sqref="E184">
    <cfRule type="expression" dxfId="21" priority="18">
      <formula>OR(F184="non pertinent / nicht relevant",F184="0")</formula>
    </cfRule>
    <cfRule type="expression" dxfId="20" priority="19">
      <formula>OR(F184="0-20%",F184="Charriage présumé naturel / Geschiebehaushalt vermutlich natürlich",F184="Déficit non apparent en charriage ou en remobilisation des sédiments / kein sichtbares Defizit beim Geschiebehaushalt bzw. bei der Mobilisierung von Geschiebe")</formula>
    </cfRule>
    <cfRule type="expression" dxfId="19" priority="20">
      <formula>OR(F184="21-50%",F184="La remobilisation des sédiments est perturbée / Mobilisierung von Geschiebe beeinträchtigt",F184="Charriage présumé faiblement perturbé / Geschiebe vermutlich leicht beeinträchtigt")</formula>
    </cfRule>
    <cfRule type="expression" dxfId="18" priority="21">
      <formula>OR(F184="51-80%",F184="Charriage présumé perturbé / Geschiebehaushalt vermutlich beeinträchtigt")</formula>
    </cfRule>
    <cfRule type="expression" dxfId="17" priority="22">
      <formula>OR(F184="81 -100%",F184="Problème lié à un manque de charriage ou à un manque de remobilisation des sédiments / Problem aufgrund Geschiebemangels bzw. mangelnder Mobilisierung von Geschiebe")</formula>
    </cfRule>
  </conditionalFormatting>
  <conditionalFormatting sqref="I184">
    <cfRule type="expression" dxfId="16" priority="12">
      <formula>IF(J184="non pertinent / nicht relevant",TRUE,FALSE)</formula>
    </cfRule>
    <cfRule type="expression" dxfId="15" priority="13">
      <formula>IF(J184="Non nécessaire / nicht nötig",TRUE,FALSE)</formula>
    </cfRule>
    <cfRule type="expression" dxfId="14" priority="14">
      <formula>IF(J184="Partiellement nécessaire, difficile / teilweise nötig, schwierig",TRUE,FALSE)</formula>
    </cfRule>
    <cfRule type="expression" dxfId="13" priority="15">
      <formula>IF(J184="Partiellement nécessaire, facile / teilweise nötig, einfach",TRUE,FALSE)</formula>
    </cfRule>
    <cfRule type="expression" dxfId="12" priority="16">
      <formula>IF(J184="Très nécessaire, difficile / unbedingt nötig, schwierig",TRUE,FALSE)</formula>
    </cfRule>
    <cfRule type="expression" dxfId="11" priority="17">
      <formula>IF(J184="Très nécessaire, facile / unbedingt nötig, einfach",TRUE,FALSE)</formula>
    </cfRule>
  </conditionalFormatting>
  <conditionalFormatting sqref="F184">
    <cfRule type="cellIs" dxfId="10" priority="1" operator="equal">
      <formula>"Charriage présumé faiblement perturbé / Geschiebe vermutlich leicht beeinträchtigt"</formula>
    </cfRule>
    <cfRule type="cellIs" dxfId="9" priority="2" operator="equal">
      <formula>"La remobilisation des sédiments est perturbée / Mobilisierung von Geschiebe beeinträchtigt"</formula>
    </cfRule>
    <cfRule type="cellIs" dxfId="8" priority="3" operator="equal">
      <formula>"Problème lié à un manque de charriage ou à un manque de remobilisation des sédiments / Problem aufgrund Geschiebemangels bzw. mangelnder Mobilisierung von Geschiebe"</formula>
    </cfRule>
    <cfRule type="cellIs" dxfId="7" priority="4" operator="equal">
      <formula>"Déficit non apparent en charriage ou en remobilisation des sédiments / kein sichtbares Defizit beim Geschiebehaushalt bzw. bei der Mobilisierung von Geschiebe"</formula>
    </cfRule>
    <cfRule type="cellIs" dxfId="6" priority="5" operator="equal">
      <formula>"Charriage présumé perturbé / Geschiebehaushalt vermutlich beeinträchtigt"</formula>
    </cfRule>
    <cfRule type="cellIs" dxfId="5" priority="6" operator="equal">
      <formula>"Charriage présumé naturel / Geschiebehaushalt vermutlich natürlich"</formula>
    </cfRule>
    <cfRule type="cellIs" dxfId="4" priority="7" operator="equal">
      <formula>"non pertinent / nicht relevant"</formula>
    </cfRule>
    <cfRule type="cellIs" dxfId="3" priority="8" operator="equal">
      <formula>"21-50%"</formula>
    </cfRule>
    <cfRule type="cellIs" dxfId="2" priority="9" operator="equal">
      <formula>"51-80%"</formula>
    </cfRule>
  </conditionalFormatting>
  <conditionalFormatting sqref="F184">
    <cfRule type="cellIs" dxfId="1" priority="10" operator="equal">
      <formula>"81 -100%"</formula>
    </cfRule>
    <cfRule type="cellIs" dxfId="0" priority="11" operator="equal">
      <formula>"0-20%"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3"/>
  <sheetViews>
    <sheetView zoomScale="85" zoomScaleNormal="85" workbookViewId="0">
      <pane xSplit="1" ySplit="1" topLeftCell="B2" activePane="bottomRight" state="frozenSplit"/>
      <selection activeCell="B30" sqref="B30"/>
      <selection pane="topRight" activeCell="B30" sqref="B30"/>
      <selection pane="bottomLeft" activeCell="B30" sqref="B30"/>
      <selection pane="bottomRight" activeCell="B30" sqref="B30"/>
    </sheetView>
  </sheetViews>
  <sheetFormatPr baseColWidth="10" defaultColWidth="11.42578125" defaultRowHeight="15" x14ac:dyDescent="0.25"/>
  <cols>
    <col min="1" max="1" width="5.5703125" style="315" customWidth="1"/>
    <col min="2" max="2" width="3.140625" style="292" customWidth="1"/>
    <col min="3" max="3" width="12.28515625" style="292" customWidth="1"/>
    <col min="4" max="4" width="12.5703125" style="292" customWidth="1"/>
    <col min="5" max="5" width="6.7109375" style="292" customWidth="1"/>
    <col min="6" max="6" width="13.7109375" style="292" customWidth="1"/>
    <col min="7" max="7" width="9.7109375" style="292" customWidth="1"/>
    <col min="8" max="8" width="7.42578125" style="292" customWidth="1"/>
    <col min="9" max="9" width="6.5703125" style="292" customWidth="1"/>
    <col min="10" max="10" width="4" style="292" customWidth="1"/>
    <col min="11" max="11" width="18.42578125" style="292" customWidth="1"/>
    <col min="12" max="12" width="10.85546875" style="292" customWidth="1"/>
    <col min="13" max="13" width="11.42578125" style="292" customWidth="1"/>
    <col min="14" max="16384" width="11.42578125" style="292"/>
  </cols>
  <sheetData>
    <row r="1" spans="1:13" ht="139.5" customHeight="1" x14ac:dyDescent="0.25">
      <c r="A1" s="265" t="s">
        <v>1053</v>
      </c>
      <c r="B1" s="265" t="s">
        <v>1207</v>
      </c>
      <c r="C1" s="265" t="s">
        <v>21</v>
      </c>
      <c r="D1" s="265" t="s">
        <v>22</v>
      </c>
      <c r="E1" s="265" t="s">
        <v>20</v>
      </c>
      <c r="F1" s="265" t="s">
        <v>1208</v>
      </c>
      <c r="G1" s="265" t="s">
        <v>1209</v>
      </c>
      <c r="H1" s="265" t="s">
        <v>1210</v>
      </c>
      <c r="I1" s="265" t="s">
        <v>1211</v>
      </c>
      <c r="J1" s="265" t="s">
        <v>1212</v>
      </c>
      <c r="K1" s="265" t="s">
        <v>1213</v>
      </c>
      <c r="L1" s="265" t="s">
        <v>1214</v>
      </c>
      <c r="M1" s="265" t="s">
        <v>1215</v>
      </c>
    </row>
    <row r="2" spans="1:13" ht="40.9" customHeight="1" x14ac:dyDescent="0.25">
      <c r="A2" s="293">
        <v>2</v>
      </c>
      <c r="B2" s="294">
        <v>1</v>
      </c>
      <c r="C2" s="295" t="s">
        <v>36</v>
      </c>
      <c r="D2" s="295" t="s">
        <v>37</v>
      </c>
      <c r="E2" s="295" t="s">
        <v>35</v>
      </c>
      <c r="F2" s="296" t="s">
        <v>1216</v>
      </c>
      <c r="G2" s="296" t="s">
        <v>1217</v>
      </c>
      <c r="H2" s="297">
        <v>282</v>
      </c>
      <c r="I2" s="298">
        <v>1992</v>
      </c>
      <c r="J2" s="299">
        <v>51</v>
      </c>
      <c r="K2" s="300" t="s">
        <v>1218</v>
      </c>
      <c r="L2" s="299" t="s">
        <v>1219</v>
      </c>
      <c r="M2" s="299" t="s">
        <v>1219</v>
      </c>
    </row>
    <row r="3" spans="1:13" ht="45" customHeight="1" x14ac:dyDescent="0.25">
      <c r="A3" s="293">
        <v>3</v>
      </c>
      <c r="B3" s="294">
        <v>1</v>
      </c>
      <c r="C3" s="295" t="s">
        <v>46</v>
      </c>
      <c r="D3" s="295" t="s">
        <v>37</v>
      </c>
      <c r="E3" s="295" t="s">
        <v>35</v>
      </c>
      <c r="F3" s="296" t="s">
        <v>1216</v>
      </c>
      <c r="G3" s="296" t="s">
        <v>1217</v>
      </c>
      <c r="H3" s="297">
        <v>318</v>
      </c>
      <c r="I3" s="298">
        <v>1992</v>
      </c>
      <c r="J3" s="299">
        <v>52</v>
      </c>
      <c r="K3" s="300" t="s">
        <v>1220</v>
      </c>
      <c r="L3" s="299" t="s">
        <v>1219</v>
      </c>
      <c r="M3" s="299" t="s">
        <v>1221</v>
      </c>
    </row>
    <row r="4" spans="1:13" ht="27" x14ac:dyDescent="0.25">
      <c r="A4" s="293">
        <v>4</v>
      </c>
      <c r="B4" s="294">
        <v>1</v>
      </c>
      <c r="C4" s="295" t="s">
        <v>440</v>
      </c>
      <c r="D4" s="295" t="s">
        <v>441</v>
      </c>
      <c r="E4" s="295" t="s">
        <v>439</v>
      </c>
      <c r="F4" s="296" t="s">
        <v>1222</v>
      </c>
      <c r="G4" s="296" t="s">
        <v>1217</v>
      </c>
      <c r="H4" s="297">
        <v>470</v>
      </c>
      <c r="I4" s="298">
        <v>1992</v>
      </c>
      <c r="J4" s="299">
        <v>51</v>
      </c>
      <c r="K4" s="300" t="s">
        <v>1218</v>
      </c>
      <c r="L4" s="299" t="s">
        <v>1223</v>
      </c>
      <c r="M4" s="299" t="s">
        <v>1223</v>
      </c>
    </row>
    <row r="5" spans="1:13" ht="27" x14ac:dyDescent="0.25">
      <c r="A5" s="293">
        <v>5</v>
      </c>
      <c r="B5" s="294">
        <v>1</v>
      </c>
      <c r="C5" s="295" t="s">
        <v>449</v>
      </c>
      <c r="D5" s="295" t="s">
        <v>450</v>
      </c>
      <c r="E5" s="295" t="s">
        <v>448</v>
      </c>
      <c r="F5" s="296" t="s">
        <v>1224</v>
      </c>
      <c r="G5" s="296" t="s">
        <v>1217</v>
      </c>
      <c r="H5" s="297">
        <v>347</v>
      </c>
      <c r="I5" s="298">
        <v>1992</v>
      </c>
      <c r="J5" s="299">
        <v>52</v>
      </c>
      <c r="K5" s="300" t="s">
        <v>1220</v>
      </c>
      <c r="L5" s="299" t="s">
        <v>1219</v>
      </c>
      <c r="M5" s="299" t="s">
        <v>1223</v>
      </c>
    </row>
    <row r="6" spans="1:13" ht="54" customHeight="1" x14ac:dyDescent="0.25">
      <c r="A6" s="293">
        <v>6</v>
      </c>
      <c r="B6" s="294">
        <v>1</v>
      </c>
      <c r="C6" s="295" t="s">
        <v>473</v>
      </c>
      <c r="D6" s="295" t="s">
        <v>417</v>
      </c>
      <c r="E6" s="295" t="s">
        <v>472</v>
      </c>
      <c r="F6" s="296" t="s">
        <v>1216</v>
      </c>
      <c r="G6" s="296" t="s">
        <v>1217</v>
      </c>
      <c r="H6" s="297">
        <v>380</v>
      </c>
      <c r="I6" s="298">
        <v>1992</v>
      </c>
      <c r="J6" s="299">
        <v>52</v>
      </c>
      <c r="K6" s="300" t="s">
        <v>1220</v>
      </c>
      <c r="L6" s="299" t="s">
        <v>1225</v>
      </c>
      <c r="M6" s="299" t="s">
        <v>1223</v>
      </c>
    </row>
    <row r="7" spans="1:13" ht="27" x14ac:dyDescent="0.25">
      <c r="A7" s="293">
        <v>7</v>
      </c>
      <c r="B7" s="294">
        <v>1</v>
      </c>
      <c r="C7" s="295" t="s">
        <v>476</v>
      </c>
      <c r="D7" s="295" t="s">
        <v>417</v>
      </c>
      <c r="E7" s="295" t="s">
        <v>472</v>
      </c>
      <c r="F7" s="296" t="s">
        <v>1216</v>
      </c>
      <c r="G7" s="296" t="s">
        <v>1217</v>
      </c>
      <c r="H7" s="297">
        <v>380</v>
      </c>
      <c r="I7" s="298">
        <v>1992</v>
      </c>
      <c r="J7" s="299">
        <v>52</v>
      </c>
      <c r="K7" s="300" t="s">
        <v>1220</v>
      </c>
      <c r="L7" s="299" t="s">
        <v>1225</v>
      </c>
      <c r="M7" s="299" t="s">
        <v>1223</v>
      </c>
    </row>
    <row r="8" spans="1:13" ht="27" x14ac:dyDescent="0.25">
      <c r="A8" s="293">
        <v>8</v>
      </c>
      <c r="B8" s="294">
        <v>1</v>
      </c>
      <c r="C8" s="295" t="s">
        <v>478</v>
      </c>
      <c r="D8" s="295" t="s">
        <v>479</v>
      </c>
      <c r="E8" s="295" t="s">
        <v>472</v>
      </c>
      <c r="F8" s="296" t="s">
        <v>1216</v>
      </c>
      <c r="G8" s="296" t="s">
        <v>1217</v>
      </c>
      <c r="H8" s="297">
        <v>390</v>
      </c>
      <c r="I8" s="298">
        <v>1992</v>
      </c>
      <c r="J8" s="299">
        <v>52</v>
      </c>
      <c r="K8" s="300" t="s">
        <v>1220</v>
      </c>
      <c r="L8" s="299" t="s">
        <v>1225</v>
      </c>
      <c r="M8" s="299" t="s">
        <v>1223</v>
      </c>
    </row>
    <row r="9" spans="1:13" ht="27" x14ac:dyDescent="0.25">
      <c r="A9" s="293">
        <v>9</v>
      </c>
      <c r="B9" s="294">
        <v>1</v>
      </c>
      <c r="C9" s="295" t="s">
        <v>480</v>
      </c>
      <c r="D9" s="295" t="s">
        <v>417</v>
      </c>
      <c r="E9" s="301" t="s">
        <v>472</v>
      </c>
      <c r="F9" s="296" t="s">
        <v>1226</v>
      </c>
      <c r="G9" s="296" t="s">
        <v>1217</v>
      </c>
      <c r="H9" s="297">
        <v>400</v>
      </c>
      <c r="I9" s="298">
        <v>1992</v>
      </c>
      <c r="J9" s="299">
        <v>52</v>
      </c>
      <c r="K9" s="300" t="s">
        <v>1220</v>
      </c>
      <c r="L9" s="299" t="s">
        <v>1225</v>
      </c>
      <c r="M9" s="299" t="s">
        <v>1223</v>
      </c>
    </row>
    <row r="10" spans="1:13" ht="35.25" customHeight="1" x14ac:dyDescent="0.25">
      <c r="A10" s="293">
        <v>11</v>
      </c>
      <c r="B10" s="294">
        <v>1</v>
      </c>
      <c r="C10" s="295" t="s">
        <v>481</v>
      </c>
      <c r="D10" s="295" t="s">
        <v>417</v>
      </c>
      <c r="E10" s="295" t="s">
        <v>472</v>
      </c>
      <c r="F10" s="296" t="s">
        <v>1226</v>
      </c>
      <c r="G10" s="296" t="s">
        <v>1217</v>
      </c>
      <c r="H10" s="297">
        <v>465</v>
      </c>
      <c r="I10" s="298">
        <v>1992</v>
      </c>
      <c r="J10" s="299">
        <v>52</v>
      </c>
      <c r="K10" s="300" t="s">
        <v>1220</v>
      </c>
      <c r="L10" s="299" t="s">
        <v>1227</v>
      </c>
      <c r="M10" s="299" t="s">
        <v>1227</v>
      </c>
    </row>
    <row r="11" spans="1:13" ht="27" x14ac:dyDescent="0.25">
      <c r="A11" s="293">
        <v>12</v>
      </c>
      <c r="B11" s="294">
        <v>1</v>
      </c>
      <c r="C11" s="295" t="s">
        <v>436</v>
      </c>
      <c r="D11" s="295" t="s">
        <v>417</v>
      </c>
      <c r="E11" s="295" t="s">
        <v>435</v>
      </c>
      <c r="F11" s="296" t="s">
        <v>1226</v>
      </c>
      <c r="G11" s="296" t="s">
        <v>1217</v>
      </c>
      <c r="H11" s="297">
        <v>480</v>
      </c>
      <c r="I11" s="298">
        <v>1992</v>
      </c>
      <c r="J11" s="299">
        <v>52</v>
      </c>
      <c r="K11" s="300" t="s">
        <v>1220</v>
      </c>
      <c r="L11" s="299" t="s">
        <v>1227</v>
      </c>
      <c r="M11" s="299" t="s">
        <v>1223</v>
      </c>
    </row>
    <row r="12" spans="1:13" ht="27" x14ac:dyDescent="0.25">
      <c r="A12" s="293">
        <v>14</v>
      </c>
      <c r="B12" s="294">
        <v>1</v>
      </c>
      <c r="C12" s="295" t="s">
        <v>411</v>
      </c>
      <c r="D12" s="295" t="s">
        <v>412</v>
      </c>
      <c r="E12" s="295" t="s">
        <v>410</v>
      </c>
      <c r="F12" s="296" t="s">
        <v>1226</v>
      </c>
      <c r="G12" s="296" t="s">
        <v>1217</v>
      </c>
      <c r="H12" s="297">
        <v>530</v>
      </c>
      <c r="I12" s="298">
        <v>1992</v>
      </c>
      <c r="J12" s="299">
        <v>51</v>
      </c>
      <c r="K12" s="300" t="s">
        <v>1218</v>
      </c>
      <c r="L12" s="299" t="s">
        <v>1228</v>
      </c>
      <c r="M12" s="299" t="s">
        <v>1228</v>
      </c>
    </row>
    <row r="13" spans="1:13" ht="27" x14ac:dyDescent="0.25">
      <c r="A13" s="293">
        <v>16</v>
      </c>
      <c r="B13" s="294">
        <v>1</v>
      </c>
      <c r="C13" s="295" t="s">
        <v>416</v>
      </c>
      <c r="D13" s="295" t="s">
        <v>417</v>
      </c>
      <c r="E13" s="295" t="s">
        <v>410</v>
      </c>
      <c r="F13" s="296" t="s">
        <v>1226</v>
      </c>
      <c r="G13" s="296" t="s">
        <v>1217</v>
      </c>
      <c r="H13" s="297">
        <v>500</v>
      </c>
      <c r="I13" s="298">
        <v>1992</v>
      </c>
      <c r="J13" s="299">
        <v>52</v>
      </c>
      <c r="K13" s="300" t="s">
        <v>1220</v>
      </c>
      <c r="L13" s="299" t="s">
        <v>1225</v>
      </c>
      <c r="M13" s="299" t="s">
        <v>1223</v>
      </c>
    </row>
    <row r="14" spans="1:13" ht="27" x14ac:dyDescent="0.25">
      <c r="A14" s="293">
        <v>18</v>
      </c>
      <c r="B14" s="294">
        <v>1</v>
      </c>
      <c r="C14" s="295" t="s">
        <v>419</v>
      </c>
      <c r="D14" s="295" t="s">
        <v>417</v>
      </c>
      <c r="E14" s="295" t="s">
        <v>410</v>
      </c>
      <c r="F14" s="296" t="s">
        <v>1226</v>
      </c>
      <c r="G14" s="296" t="s">
        <v>1217</v>
      </c>
      <c r="H14" s="297">
        <v>520</v>
      </c>
      <c r="I14" s="298">
        <v>1992</v>
      </c>
      <c r="J14" s="299">
        <v>52</v>
      </c>
      <c r="K14" s="300" t="s">
        <v>1220</v>
      </c>
      <c r="L14" s="299" t="s">
        <v>1225</v>
      </c>
      <c r="M14" s="299" t="s">
        <v>1223</v>
      </c>
    </row>
    <row r="15" spans="1:13" ht="27" x14ac:dyDescent="0.25">
      <c r="A15" s="293">
        <v>19</v>
      </c>
      <c r="B15" s="294">
        <v>1</v>
      </c>
      <c r="C15" s="295" t="s">
        <v>420</v>
      </c>
      <c r="D15" s="295" t="s">
        <v>421</v>
      </c>
      <c r="E15" s="295" t="s">
        <v>410</v>
      </c>
      <c r="F15" s="296" t="s">
        <v>1229</v>
      </c>
      <c r="G15" s="296" t="s">
        <v>1217</v>
      </c>
      <c r="H15" s="297">
        <v>560</v>
      </c>
      <c r="I15" s="298">
        <v>1992</v>
      </c>
      <c r="J15" s="299">
        <v>51</v>
      </c>
      <c r="K15" s="300" t="s">
        <v>1218</v>
      </c>
      <c r="L15" s="299" t="s">
        <v>1227</v>
      </c>
      <c r="M15" s="299" t="s">
        <v>1227</v>
      </c>
    </row>
    <row r="16" spans="1:13" ht="18" x14ac:dyDescent="0.25">
      <c r="A16" s="922">
        <v>22</v>
      </c>
      <c r="B16" s="294">
        <v>1</v>
      </c>
      <c r="C16" s="295" t="s">
        <v>275</v>
      </c>
      <c r="D16" s="295" t="s">
        <v>37</v>
      </c>
      <c r="E16" s="302" t="s">
        <v>274</v>
      </c>
      <c r="F16" s="296" t="s">
        <v>1230</v>
      </c>
      <c r="G16" s="296" t="s">
        <v>1217</v>
      </c>
      <c r="H16" s="297" t="s">
        <v>1231</v>
      </c>
      <c r="I16" s="295" t="s">
        <v>1232</v>
      </c>
      <c r="J16" s="299">
        <v>70</v>
      </c>
      <c r="K16" s="300" t="s">
        <v>1233</v>
      </c>
      <c r="L16" s="299" t="s">
        <v>1225</v>
      </c>
      <c r="M16" s="299" t="s">
        <v>1225</v>
      </c>
    </row>
    <row r="17" spans="1:13" ht="18" x14ac:dyDescent="0.25">
      <c r="A17" s="922">
        <v>25</v>
      </c>
      <c r="B17" s="294">
        <v>1</v>
      </c>
      <c r="C17" s="295" t="s">
        <v>277</v>
      </c>
      <c r="D17" s="295" t="s">
        <v>37</v>
      </c>
      <c r="E17" s="302" t="s">
        <v>274</v>
      </c>
      <c r="F17" s="296" t="s">
        <v>1230</v>
      </c>
      <c r="G17" s="296" t="s">
        <v>1217</v>
      </c>
      <c r="H17" s="297" t="s">
        <v>1234</v>
      </c>
      <c r="I17" s="295" t="s">
        <v>1232</v>
      </c>
      <c r="J17" s="299">
        <v>70</v>
      </c>
      <c r="K17" s="300" t="s">
        <v>1233</v>
      </c>
      <c r="L17" s="299" t="s">
        <v>1225</v>
      </c>
      <c r="M17" s="299" t="s">
        <v>1223</v>
      </c>
    </row>
    <row r="18" spans="1:13" ht="18" x14ac:dyDescent="0.25">
      <c r="A18" s="293">
        <v>27</v>
      </c>
      <c r="B18" s="294">
        <v>1</v>
      </c>
      <c r="C18" s="295" t="s">
        <v>278</v>
      </c>
      <c r="D18" s="295" t="s">
        <v>279</v>
      </c>
      <c r="E18" s="295" t="s">
        <v>274</v>
      </c>
      <c r="F18" s="296" t="s">
        <v>1235</v>
      </c>
      <c r="G18" s="296" t="s">
        <v>1236</v>
      </c>
      <c r="H18" s="297">
        <v>600</v>
      </c>
      <c r="I18" s="298">
        <v>1992</v>
      </c>
      <c r="J18" s="299">
        <v>70</v>
      </c>
      <c r="K18" s="300" t="s">
        <v>1233</v>
      </c>
      <c r="L18" s="299" t="s">
        <v>1225</v>
      </c>
      <c r="M18" s="299" t="s">
        <v>1225</v>
      </c>
    </row>
    <row r="19" spans="1:13" ht="44.45" customHeight="1" x14ac:dyDescent="0.25">
      <c r="A19" s="293">
        <v>28</v>
      </c>
      <c r="B19" s="294">
        <v>1</v>
      </c>
      <c r="C19" s="295" t="s">
        <v>281</v>
      </c>
      <c r="D19" s="295" t="s">
        <v>282</v>
      </c>
      <c r="E19" s="295" t="s">
        <v>274</v>
      </c>
      <c r="F19" s="296" t="s">
        <v>1235</v>
      </c>
      <c r="G19" s="296" t="s">
        <v>1236</v>
      </c>
      <c r="H19" s="297">
        <v>670</v>
      </c>
      <c r="I19" s="298">
        <v>1992</v>
      </c>
      <c r="J19" s="299">
        <v>42</v>
      </c>
      <c r="K19" s="300" t="s">
        <v>1237</v>
      </c>
      <c r="L19" s="299" t="s">
        <v>1225</v>
      </c>
      <c r="M19" s="299" t="s">
        <v>1223</v>
      </c>
    </row>
    <row r="20" spans="1:13" ht="18" x14ac:dyDescent="0.25">
      <c r="A20" s="293">
        <v>29</v>
      </c>
      <c r="B20" s="294">
        <v>1</v>
      </c>
      <c r="C20" s="295" t="s">
        <v>283</v>
      </c>
      <c r="D20" s="295" t="s">
        <v>284</v>
      </c>
      <c r="E20" s="295" t="s">
        <v>274</v>
      </c>
      <c r="F20" s="296" t="s">
        <v>1235</v>
      </c>
      <c r="G20" s="296" t="s">
        <v>1236</v>
      </c>
      <c r="H20" s="297">
        <v>690</v>
      </c>
      <c r="I20" s="298">
        <v>1992</v>
      </c>
      <c r="J20" s="299">
        <v>70</v>
      </c>
      <c r="K20" s="300" t="s">
        <v>1233</v>
      </c>
      <c r="L20" s="299" t="s">
        <v>1225</v>
      </c>
      <c r="M20" s="299" t="s">
        <v>1225</v>
      </c>
    </row>
    <row r="21" spans="1:13" ht="18" x14ac:dyDescent="0.25">
      <c r="A21" s="293">
        <v>30</v>
      </c>
      <c r="B21" s="294">
        <v>1</v>
      </c>
      <c r="C21" s="295" t="s">
        <v>285</v>
      </c>
      <c r="D21" s="295" t="s">
        <v>284</v>
      </c>
      <c r="E21" s="295" t="s">
        <v>274</v>
      </c>
      <c r="F21" s="296" t="s">
        <v>1235</v>
      </c>
      <c r="G21" s="296" t="s">
        <v>1236</v>
      </c>
      <c r="H21" s="297">
        <v>710</v>
      </c>
      <c r="I21" s="298">
        <v>1992</v>
      </c>
      <c r="J21" s="299">
        <v>70</v>
      </c>
      <c r="K21" s="300" t="s">
        <v>1233</v>
      </c>
      <c r="L21" s="299" t="s">
        <v>1225</v>
      </c>
      <c r="M21" s="299" t="s">
        <v>1223</v>
      </c>
    </row>
    <row r="22" spans="1:13" ht="18" x14ac:dyDescent="0.25">
      <c r="A22" s="293">
        <v>31</v>
      </c>
      <c r="B22" s="294">
        <v>1</v>
      </c>
      <c r="C22" s="295" t="s">
        <v>286</v>
      </c>
      <c r="D22" s="295" t="s">
        <v>284</v>
      </c>
      <c r="E22" s="295" t="s">
        <v>274</v>
      </c>
      <c r="F22" s="296" t="s">
        <v>1235</v>
      </c>
      <c r="G22" s="296" t="s">
        <v>1236</v>
      </c>
      <c r="H22" s="297">
        <v>880</v>
      </c>
      <c r="I22" s="298">
        <v>1992</v>
      </c>
      <c r="J22" s="299">
        <v>70</v>
      </c>
      <c r="K22" s="300" t="s">
        <v>1233</v>
      </c>
      <c r="L22" s="299" t="s">
        <v>1225</v>
      </c>
      <c r="M22" s="299" t="s">
        <v>1238</v>
      </c>
    </row>
    <row r="23" spans="1:13" ht="18" x14ac:dyDescent="0.25">
      <c r="A23" s="293">
        <v>32</v>
      </c>
      <c r="B23" s="294">
        <v>1</v>
      </c>
      <c r="C23" s="295" t="s">
        <v>288</v>
      </c>
      <c r="D23" s="295" t="s">
        <v>284</v>
      </c>
      <c r="E23" s="295" t="s">
        <v>274</v>
      </c>
      <c r="F23" s="296" t="s">
        <v>1235</v>
      </c>
      <c r="G23" s="296" t="s">
        <v>1239</v>
      </c>
      <c r="H23" s="297">
        <v>980</v>
      </c>
      <c r="I23" s="298">
        <v>1992</v>
      </c>
      <c r="J23" s="299">
        <v>41</v>
      </c>
      <c r="K23" s="300" t="s">
        <v>1240</v>
      </c>
      <c r="L23" s="299" t="s">
        <v>1225</v>
      </c>
      <c r="M23" s="299" t="s">
        <v>1238</v>
      </c>
    </row>
    <row r="24" spans="1:13" ht="18" x14ac:dyDescent="0.25">
      <c r="A24" s="293">
        <v>33</v>
      </c>
      <c r="B24" s="294">
        <v>1</v>
      </c>
      <c r="C24" s="295" t="s">
        <v>290</v>
      </c>
      <c r="D24" s="295" t="s">
        <v>284</v>
      </c>
      <c r="E24" s="295" t="s">
        <v>274</v>
      </c>
      <c r="F24" s="296" t="s">
        <v>1235</v>
      </c>
      <c r="G24" s="296" t="s">
        <v>1239</v>
      </c>
      <c r="H24" s="297">
        <v>1040</v>
      </c>
      <c r="I24" s="298">
        <v>1992</v>
      </c>
      <c r="J24" s="299">
        <v>42</v>
      </c>
      <c r="K24" s="300" t="s">
        <v>1237</v>
      </c>
      <c r="L24" s="299" t="s">
        <v>1225</v>
      </c>
      <c r="M24" s="299" t="s">
        <v>1225</v>
      </c>
    </row>
    <row r="25" spans="1:13" ht="18" x14ac:dyDescent="0.25">
      <c r="A25" s="293">
        <v>34</v>
      </c>
      <c r="B25" s="294">
        <v>1</v>
      </c>
      <c r="C25" s="295" t="s">
        <v>291</v>
      </c>
      <c r="D25" s="295" t="s">
        <v>284</v>
      </c>
      <c r="E25" s="295" t="s">
        <v>274</v>
      </c>
      <c r="F25" s="296" t="s">
        <v>1235</v>
      </c>
      <c r="G25" s="296" t="s">
        <v>1241</v>
      </c>
      <c r="H25" s="297">
        <v>1250</v>
      </c>
      <c r="I25" s="298">
        <v>1992</v>
      </c>
      <c r="J25" s="299">
        <v>41</v>
      </c>
      <c r="K25" s="300" t="s">
        <v>1240</v>
      </c>
      <c r="L25" s="299" t="s">
        <v>1225</v>
      </c>
      <c r="M25" s="299" t="s">
        <v>1225</v>
      </c>
    </row>
    <row r="26" spans="1:13" ht="18" x14ac:dyDescent="0.25">
      <c r="A26" s="293">
        <v>35</v>
      </c>
      <c r="B26" s="294">
        <v>1</v>
      </c>
      <c r="C26" s="295" t="s">
        <v>292</v>
      </c>
      <c r="D26" s="295" t="s">
        <v>284</v>
      </c>
      <c r="E26" s="295" t="s">
        <v>274</v>
      </c>
      <c r="F26" s="296" t="s">
        <v>1235</v>
      </c>
      <c r="G26" s="296" t="s">
        <v>1236</v>
      </c>
      <c r="H26" s="297">
        <v>750</v>
      </c>
      <c r="I26" s="298">
        <v>1992</v>
      </c>
      <c r="J26" s="299">
        <v>42</v>
      </c>
      <c r="K26" s="300" t="s">
        <v>1237</v>
      </c>
      <c r="L26" s="299" t="s">
        <v>1225</v>
      </c>
      <c r="M26" s="299" t="s">
        <v>1223</v>
      </c>
    </row>
    <row r="27" spans="1:13" ht="27" x14ac:dyDescent="0.25">
      <c r="A27" s="293">
        <v>36</v>
      </c>
      <c r="B27" s="294">
        <v>1</v>
      </c>
      <c r="C27" s="295" t="s">
        <v>49</v>
      </c>
      <c r="D27" s="295" t="s">
        <v>50</v>
      </c>
      <c r="E27" s="295" t="s">
        <v>35</v>
      </c>
      <c r="F27" s="296" t="s">
        <v>1216</v>
      </c>
      <c r="G27" s="296" t="s">
        <v>1217</v>
      </c>
      <c r="H27" s="297">
        <v>320</v>
      </c>
      <c r="I27" s="298">
        <v>1992</v>
      </c>
      <c r="J27" s="299">
        <v>102</v>
      </c>
      <c r="K27" s="300" t="s">
        <v>1242</v>
      </c>
      <c r="L27" s="299" t="s">
        <v>1225</v>
      </c>
      <c r="M27" s="299" t="s">
        <v>1243</v>
      </c>
    </row>
    <row r="28" spans="1:13" ht="27" x14ac:dyDescent="0.25">
      <c r="A28" s="293">
        <v>37</v>
      </c>
      <c r="B28" s="294">
        <v>1</v>
      </c>
      <c r="C28" s="295" t="s">
        <v>56</v>
      </c>
      <c r="D28" s="295" t="s">
        <v>57</v>
      </c>
      <c r="E28" s="295" t="s">
        <v>35</v>
      </c>
      <c r="F28" s="296" t="s">
        <v>1216</v>
      </c>
      <c r="G28" s="296" t="s">
        <v>1217</v>
      </c>
      <c r="H28" s="297">
        <v>330</v>
      </c>
      <c r="I28" s="298">
        <v>1992</v>
      </c>
      <c r="J28" s="299">
        <v>52</v>
      </c>
      <c r="K28" s="300" t="s">
        <v>1220</v>
      </c>
      <c r="L28" s="299" t="s">
        <v>1225</v>
      </c>
      <c r="M28" s="299" t="s">
        <v>1219</v>
      </c>
    </row>
    <row r="29" spans="1:13" ht="27" x14ac:dyDescent="0.25">
      <c r="A29" s="293">
        <v>40</v>
      </c>
      <c r="B29" s="294">
        <v>1</v>
      </c>
      <c r="C29" s="295" t="s">
        <v>60</v>
      </c>
      <c r="D29" s="295" t="s">
        <v>50</v>
      </c>
      <c r="E29" s="295" t="s">
        <v>35</v>
      </c>
      <c r="F29" s="296" t="s">
        <v>1244</v>
      </c>
      <c r="G29" s="296" t="s">
        <v>1217</v>
      </c>
      <c r="H29" s="297">
        <v>340</v>
      </c>
      <c r="I29" s="298">
        <v>1992</v>
      </c>
      <c r="J29" s="299">
        <v>51</v>
      </c>
      <c r="K29" s="300" t="s">
        <v>1218</v>
      </c>
      <c r="L29" s="299" t="s">
        <v>1225</v>
      </c>
      <c r="M29" s="299" t="s">
        <v>1245</v>
      </c>
    </row>
    <row r="30" spans="1:13" ht="27" x14ac:dyDescent="0.25">
      <c r="A30" s="293">
        <v>44</v>
      </c>
      <c r="B30" s="294">
        <v>1</v>
      </c>
      <c r="C30" s="295" t="s">
        <v>93</v>
      </c>
      <c r="D30" s="295" t="s">
        <v>94</v>
      </c>
      <c r="E30" s="295" t="s">
        <v>92</v>
      </c>
      <c r="F30" s="296" t="s">
        <v>1246</v>
      </c>
      <c r="G30" s="296" t="s">
        <v>1217</v>
      </c>
      <c r="H30" s="297">
        <v>560</v>
      </c>
      <c r="I30" s="298">
        <v>1992</v>
      </c>
      <c r="J30" s="299">
        <v>52</v>
      </c>
      <c r="K30" s="300" t="s">
        <v>1220</v>
      </c>
      <c r="L30" s="299" t="s">
        <v>1223</v>
      </c>
      <c r="M30" s="299" t="s">
        <v>1223</v>
      </c>
    </row>
    <row r="31" spans="1:13" ht="27" x14ac:dyDescent="0.25">
      <c r="A31" s="293">
        <v>45</v>
      </c>
      <c r="B31" s="294">
        <v>1</v>
      </c>
      <c r="C31" s="295" t="s">
        <v>455</v>
      </c>
      <c r="D31" s="295" t="s">
        <v>456</v>
      </c>
      <c r="E31" s="295" t="s">
        <v>454</v>
      </c>
      <c r="F31" s="296" t="s">
        <v>1246</v>
      </c>
      <c r="G31" s="296" t="s">
        <v>1217</v>
      </c>
      <c r="H31" s="297">
        <v>430</v>
      </c>
      <c r="I31" s="298">
        <v>1992</v>
      </c>
      <c r="J31" s="299">
        <v>52</v>
      </c>
      <c r="K31" s="300" t="s">
        <v>1220</v>
      </c>
      <c r="L31" s="299" t="s">
        <v>1225</v>
      </c>
      <c r="M31" s="299" t="s">
        <v>1223</v>
      </c>
    </row>
    <row r="32" spans="1:13" ht="27" x14ac:dyDescent="0.25">
      <c r="A32" s="293">
        <v>46</v>
      </c>
      <c r="B32" s="294">
        <v>1</v>
      </c>
      <c r="C32" s="295" t="s">
        <v>97</v>
      </c>
      <c r="D32" s="295" t="s">
        <v>94</v>
      </c>
      <c r="E32" s="295" t="s">
        <v>92</v>
      </c>
      <c r="F32" s="296" t="s">
        <v>1246</v>
      </c>
      <c r="G32" s="296" t="s">
        <v>1217</v>
      </c>
      <c r="H32" s="297">
        <v>480</v>
      </c>
      <c r="I32" s="298">
        <v>1992</v>
      </c>
      <c r="J32" s="299">
        <v>52</v>
      </c>
      <c r="K32" s="300" t="s">
        <v>1220</v>
      </c>
      <c r="L32" s="299" t="s">
        <v>1223</v>
      </c>
      <c r="M32" s="299" t="s">
        <v>1223</v>
      </c>
    </row>
    <row r="33" spans="1:13" ht="27" x14ac:dyDescent="0.25">
      <c r="A33" s="303">
        <v>47.1</v>
      </c>
      <c r="B33" s="294">
        <v>1</v>
      </c>
      <c r="C33" s="295" t="s">
        <v>98</v>
      </c>
      <c r="D33" s="295" t="s">
        <v>50</v>
      </c>
      <c r="E33" s="295" t="s">
        <v>92</v>
      </c>
      <c r="F33" s="296" t="s">
        <v>1246</v>
      </c>
      <c r="G33" s="296" t="s">
        <v>1217</v>
      </c>
      <c r="H33" s="297">
        <v>430</v>
      </c>
      <c r="I33" s="298">
        <v>1992</v>
      </c>
      <c r="J33" s="299">
        <v>51</v>
      </c>
      <c r="K33" s="300" t="s">
        <v>1218</v>
      </c>
      <c r="L33" s="299" t="s">
        <v>1227</v>
      </c>
      <c r="M33" s="299" t="s">
        <v>1247</v>
      </c>
    </row>
    <row r="34" spans="1:13" ht="27" x14ac:dyDescent="0.25">
      <c r="A34" s="303">
        <v>47.2</v>
      </c>
      <c r="B34" s="294">
        <v>2</v>
      </c>
      <c r="C34" s="295" t="s">
        <v>98</v>
      </c>
      <c r="D34" s="295" t="s">
        <v>50</v>
      </c>
      <c r="E34" s="295" t="s">
        <v>92</v>
      </c>
      <c r="F34" s="296" t="s">
        <v>1246</v>
      </c>
      <c r="G34" s="296" t="s">
        <v>1217</v>
      </c>
      <c r="H34" s="297">
        <v>430</v>
      </c>
      <c r="I34" s="298">
        <v>1992</v>
      </c>
      <c r="J34" s="299">
        <v>51</v>
      </c>
      <c r="K34" s="300" t="s">
        <v>1218</v>
      </c>
      <c r="L34" s="299" t="s">
        <v>1238</v>
      </c>
      <c r="M34" s="299" t="s">
        <v>1248</v>
      </c>
    </row>
    <row r="35" spans="1:13" ht="27" x14ac:dyDescent="0.25">
      <c r="A35" s="293">
        <v>48</v>
      </c>
      <c r="B35" s="294">
        <v>1</v>
      </c>
      <c r="C35" s="295" t="s">
        <v>100</v>
      </c>
      <c r="D35" s="295" t="s">
        <v>101</v>
      </c>
      <c r="E35" s="295" t="s">
        <v>92</v>
      </c>
      <c r="F35" s="296" t="s">
        <v>1246</v>
      </c>
      <c r="G35" s="296" t="s">
        <v>1217</v>
      </c>
      <c r="H35" s="297">
        <v>430</v>
      </c>
      <c r="I35" s="298">
        <v>1992</v>
      </c>
      <c r="J35" s="299">
        <v>51</v>
      </c>
      <c r="K35" s="300" t="s">
        <v>1218</v>
      </c>
      <c r="L35" s="299" t="s">
        <v>1225</v>
      </c>
      <c r="M35" s="299" t="s">
        <v>1238</v>
      </c>
    </row>
    <row r="36" spans="1:13" ht="27" x14ac:dyDescent="0.25">
      <c r="A36" s="293">
        <v>49</v>
      </c>
      <c r="B36" s="294">
        <v>1</v>
      </c>
      <c r="C36" s="295" t="s">
        <v>105</v>
      </c>
      <c r="D36" s="295" t="s">
        <v>101</v>
      </c>
      <c r="E36" s="295" t="s">
        <v>92</v>
      </c>
      <c r="F36" s="296" t="s">
        <v>1246</v>
      </c>
      <c r="G36" s="296" t="s">
        <v>1217</v>
      </c>
      <c r="H36" s="297">
        <v>440</v>
      </c>
      <c r="I36" s="298">
        <v>1992</v>
      </c>
      <c r="J36" s="299">
        <v>51</v>
      </c>
      <c r="K36" s="300" t="s">
        <v>1218</v>
      </c>
      <c r="L36" s="299" t="s">
        <v>1225</v>
      </c>
      <c r="M36" s="299" t="s">
        <v>1238</v>
      </c>
    </row>
    <row r="37" spans="1:13" ht="18" x14ac:dyDescent="0.25">
      <c r="A37" s="293">
        <v>50</v>
      </c>
      <c r="B37" s="294">
        <v>1</v>
      </c>
      <c r="C37" s="295" t="s">
        <v>574</v>
      </c>
      <c r="D37" s="295" t="s">
        <v>575</v>
      </c>
      <c r="E37" s="295" t="s">
        <v>573</v>
      </c>
      <c r="F37" s="296" t="s">
        <v>1222</v>
      </c>
      <c r="G37" s="296" t="s">
        <v>1239</v>
      </c>
      <c r="H37" s="297">
        <v>1040</v>
      </c>
      <c r="I37" s="298">
        <v>1992</v>
      </c>
      <c r="J37" s="299">
        <v>82</v>
      </c>
      <c r="K37" s="300" t="s">
        <v>1249</v>
      </c>
      <c r="L37" s="299" t="s">
        <v>1238</v>
      </c>
      <c r="M37" s="299" t="s">
        <v>1238</v>
      </c>
    </row>
    <row r="38" spans="1:13" ht="34.9" customHeight="1" x14ac:dyDescent="0.25">
      <c r="A38" s="293">
        <v>51</v>
      </c>
      <c r="B38" s="294">
        <v>1</v>
      </c>
      <c r="C38" s="295" t="s">
        <v>62</v>
      </c>
      <c r="D38" s="295" t="s">
        <v>63</v>
      </c>
      <c r="E38" s="295" t="s">
        <v>35</v>
      </c>
      <c r="F38" s="296" t="s">
        <v>1226</v>
      </c>
      <c r="G38" s="296" t="s">
        <v>1217</v>
      </c>
      <c r="H38" s="297">
        <v>350</v>
      </c>
      <c r="I38" s="298">
        <v>1992</v>
      </c>
      <c r="J38" s="299">
        <v>52</v>
      </c>
      <c r="K38" s="300" t="s">
        <v>1220</v>
      </c>
      <c r="L38" s="299" t="s">
        <v>1223</v>
      </c>
      <c r="M38" s="299" t="s">
        <v>1223</v>
      </c>
    </row>
    <row r="39" spans="1:13" ht="27" x14ac:dyDescent="0.25">
      <c r="A39" s="293">
        <v>52</v>
      </c>
      <c r="B39" s="294">
        <v>1</v>
      </c>
      <c r="C39" s="295" t="s">
        <v>234</v>
      </c>
      <c r="D39" s="295" t="s">
        <v>235</v>
      </c>
      <c r="E39" s="295" t="s">
        <v>233</v>
      </c>
      <c r="F39" s="296" t="s">
        <v>1246</v>
      </c>
      <c r="G39" s="296" t="s">
        <v>1217</v>
      </c>
      <c r="H39" s="297">
        <v>475</v>
      </c>
      <c r="I39" s="298">
        <v>1992</v>
      </c>
      <c r="J39" s="299">
        <v>52</v>
      </c>
      <c r="K39" s="300" t="s">
        <v>1220</v>
      </c>
      <c r="L39" s="299" t="s">
        <v>1223</v>
      </c>
      <c r="M39" s="299" t="s">
        <v>1223</v>
      </c>
    </row>
    <row r="40" spans="1:13" ht="27" x14ac:dyDescent="0.25">
      <c r="A40" s="293">
        <v>53</v>
      </c>
      <c r="B40" s="294">
        <v>1</v>
      </c>
      <c r="C40" s="295" t="s">
        <v>107</v>
      </c>
      <c r="D40" s="295" t="s">
        <v>108</v>
      </c>
      <c r="E40" s="295" t="s">
        <v>92</v>
      </c>
      <c r="F40" s="296" t="s">
        <v>1246</v>
      </c>
      <c r="G40" s="296" t="s">
        <v>1217</v>
      </c>
      <c r="H40" s="297">
        <v>460</v>
      </c>
      <c r="I40" s="298">
        <v>1992</v>
      </c>
      <c r="J40" s="299">
        <v>102</v>
      </c>
      <c r="K40" s="300" t="s">
        <v>1242</v>
      </c>
      <c r="L40" s="299" t="s">
        <v>1225</v>
      </c>
      <c r="M40" s="299" t="s">
        <v>1250</v>
      </c>
    </row>
    <row r="41" spans="1:13" ht="18" x14ac:dyDescent="0.25">
      <c r="A41" s="293">
        <v>55</v>
      </c>
      <c r="B41" s="294">
        <v>1</v>
      </c>
      <c r="C41" s="295" t="s">
        <v>184</v>
      </c>
      <c r="D41" s="295" t="s">
        <v>185</v>
      </c>
      <c r="E41" s="295" t="s">
        <v>183</v>
      </c>
      <c r="F41" s="296" t="s">
        <v>1251</v>
      </c>
      <c r="G41" s="296" t="s">
        <v>1236</v>
      </c>
      <c r="H41" s="297">
        <v>810</v>
      </c>
      <c r="I41" s="298">
        <v>1992</v>
      </c>
      <c r="J41" s="299">
        <v>41</v>
      </c>
      <c r="K41" s="300" t="s">
        <v>1240</v>
      </c>
      <c r="L41" s="299" t="s">
        <v>1225</v>
      </c>
      <c r="M41" s="299" t="s">
        <v>1225</v>
      </c>
    </row>
    <row r="42" spans="1:13" ht="18" x14ac:dyDescent="0.25">
      <c r="A42" s="293">
        <v>58</v>
      </c>
      <c r="B42" s="294">
        <v>1</v>
      </c>
      <c r="C42" s="295" t="s">
        <v>111</v>
      </c>
      <c r="D42" s="295" t="s">
        <v>112</v>
      </c>
      <c r="E42" s="295" t="s">
        <v>92</v>
      </c>
      <c r="F42" s="296" t="s">
        <v>1251</v>
      </c>
      <c r="G42" s="296" t="s">
        <v>1236</v>
      </c>
      <c r="H42" s="297">
        <v>750</v>
      </c>
      <c r="I42" s="298">
        <v>1992</v>
      </c>
      <c r="J42" s="299">
        <v>41</v>
      </c>
      <c r="K42" s="300" t="s">
        <v>1240</v>
      </c>
      <c r="L42" s="299" t="s">
        <v>1225</v>
      </c>
      <c r="M42" s="299" t="s">
        <v>1225</v>
      </c>
    </row>
    <row r="43" spans="1:13" ht="27" x14ac:dyDescent="0.25">
      <c r="A43" s="293">
        <v>59</v>
      </c>
      <c r="B43" s="294">
        <v>1</v>
      </c>
      <c r="C43" s="295" t="s">
        <v>115</v>
      </c>
      <c r="D43" s="295" t="s">
        <v>116</v>
      </c>
      <c r="E43" s="295" t="s">
        <v>92</v>
      </c>
      <c r="F43" s="296" t="s">
        <v>1246</v>
      </c>
      <c r="G43" s="296" t="s">
        <v>1217</v>
      </c>
      <c r="H43" s="297">
        <v>480</v>
      </c>
      <c r="I43" s="298">
        <v>1992</v>
      </c>
      <c r="J43" s="299">
        <v>52</v>
      </c>
      <c r="K43" s="300" t="s">
        <v>1220</v>
      </c>
      <c r="L43" s="299" t="s">
        <v>1223</v>
      </c>
      <c r="M43" s="299" t="s">
        <v>1223</v>
      </c>
    </row>
    <row r="44" spans="1:13" ht="18" x14ac:dyDescent="0.25">
      <c r="A44" s="293">
        <v>60</v>
      </c>
      <c r="B44" s="294">
        <v>1</v>
      </c>
      <c r="C44" s="295" t="s">
        <v>198</v>
      </c>
      <c r="D44" s="295" t="s">
        <v>199</v>
      </c>
      <c r="E44" s="295" t="s">
        <v>197</v>
      </c>
      <c r="F44" s="296" t="s">
        <v>1246</v>
      </c>
      <c r="G44" s="296" t="s">
        <v>1217</v>
      </c>
      <c r="H44" s="297">
        <v>573</v>
      </c>
      <c r="I44" s="298">
        <v>1992</v>
      </c>
      <c r="J44" s="299">
        <v>41</v>
      </c>
      <c r="K44" s="300" t="s">
        <v>1240</v>
      </c>
      <c r="L44" s="299" t="s">
        <v>1225</v>
      </c>
      <c r="M44" s="299" t="s">
        <v>1225</v>
      </c>
    </row>
    <row r="45" spans="1:13" ht="18" x14ac:dyDescent="0.25">
      <c r="A45" s="293">
        <v>61</v>
      </c>
      <c r="B45" s="294">
        <v>1</v>
      </c>
      <c r="C45" s="295" t="s">
        <v>204</v>
      </c>
      <c r="D45" s="295" t="s">
        <v>205</v>
      </c>
      <c r="E45" s="295" t="s">
        <v>197</v>
      </c>
      <c r="F45" s="296" t="s">
        <v>1252</v>
      </c>
      <c r="G45" s="296" t="s">
        <v>1236</v>
      </c>
      <c r="H45" s="297">
        <v>750</v>
      </c>
      <c r="I45" s="298">
        <v>1992</v>
      </c>
      <c r="J45" s="299">
        <v>41</v>
      </c>
      <c r="K45" s="300" t="s">
        <v>1240</v>
      </c>
      <c r="L45" s="299" t="s">
        <v>1225</v>
      </c>
      <c r="M45" s="299" t="s">
        <v>1225</v>
      </c>
    </row>
    <row r="46" spans="1:13" ht="18" x14ac:dyDescent="0.25">
      <c r="A46" s="303">
        <v>62.1</v>
      </c>
      <c r="B46" s="294">
        <v>1</v>
      </c>
      <c r="C46" s="295" t="s">
        <v>207</v>
      </c>
      <c r="D46" s="295" t="s">
        <v>208</v>
      </c>
      <c r="E46" s="295" t="s">
        <v>197</v>
      </c>
      <c r="F46" s="296" t="s">
        <v>1251</v>
      </c>
      <c r="G46" s="296" t="s">
        <v>1217</v>
      </c>
      <c r="H46" s="297">
        <v>560</v>
      </c>
      <c r="I46" s="298">
        <v>1992</v>
      </c>
      <c r="J46" s="299">
        <v>41</v>
      </c>
      <c r="K46" s="300" t="s">
        <v>1240</v>
      </c>
      <c r="L46" s="299" t="s">
        <v>1253</v>
      </c>
      <c r="M46" s="299" t="s">
        <v>1253</v>
      </c>
    </row>
    <row r="47" spans="1:13" ht="18" x14ac:dyDescent="0.25">
      <c r="A47" s="303">
        <v>62.2</v>
      </c>
      <c r="B47" s="294">
        <v>2</v>
      </c>
      <c r="C47" s="295" t="s">
        <v>207</v>
      </c>
      <c r="D47" s="295" t="s">
        <v>208</v>
      </c>
      <c r="E47" s="295" t="s">
        <v>197</v>
      </c>
      <c r="F47" s="296"/>
      <c r="G47" s="296"/>
      <c r="H47" s="297"/>
      <c r="I47" s="295"/>
      <c r="J47" s="299">
        <v>41</v>
      </c>
      <c r="K47" s="300" t="s">
        <v>1240</v>
      </c>
      <c r="L47" s="299" t="s">
        <v>1253</v>
      </c>
      <c r="M47" s="299" t="s">
        <v>1253</v>
      </c>
    </row>
    <row r="48" spans="1:13" ht="27" x14ac:dyDescent="0.25">
      <c r="A48" s="293">
        <v>64</v>
      </c>
      <c r="B48" s="294">
        <v>1</v>
      </c>
      <c r="C48" s="295" t="s">
        <v>210</v>
      </c>
      <c r="D48" s="295" t="s">
        <v>211</v>
      </c>
      <c r="E48" s="295" t="s">
        <v>197</v>
      </c>
      <c r="F48" s="296" t="s">
        <v>1251</v>
      </c>
      <c r="G48" s="296" t="s">
        <v>1236</v>
      </c>
      <c r="H48" s="297">
        <v>670</v>
      </c>
      <c r="I48" s="298">
        <v>2003</v>
      </c>
      <c r="J48" s="299">
        <v>102</v>
      </c>
      <c r="K48" s="300" t="s">
        <v>1242</v>
      </c>
      <c r="L48" s="299" t="s">
        <v>1254</v>
      </c>
      <c r="M48" s="299" t="s">
        <v>1254</v>
      </c>
    </row>
    <row r="49" spans="1:13" ht="18" x14ac:dyDescent="0.25">
      <c r="A49" s="293">
        <v>65</v>
      </c>
      <c r="B49" s="294">
        <v>1</v>
      </c>
      <c r="C49" s="295" t="s">
        <v>213</v>
      </c>
      <c r="D49" s="295" t="s">
        <v>208</v>
      </c>
      <c r="E49" s="295" t="s">
        <v>197</v>
      </c>
      <c r="F49" s="296" t="s">
        <v>1255</v>
      </c>
      <c r="G49" s="296" t="s">
        <v>1236</v>
      </c>
      <c r="H49" s="297">
        <v>700</v>
      </c>
      <c r="I49" s="298">
        <v>1992</v>
      </c>
      <c r="J49" s="299">
        <v>42</v>
      </c>
      <c r="K49" s="300" t="s">
        <v>1237</v>
      </c>
      <c r="L49" s="299" t="s">
        <v>1225</v>
      </c>
      <c r="M49" s="299" t="s">
        <v>1223</v>
      </c>
    </row>
    <row r="50" spans="1:13" ht="18" x14ac:dyDescent="0.25">
      <c r="A50" s="293">
        <v>66</v>
      </c>
      <c r="B50" s="294">
        <v>1</v>
      </c>
      <c r="C50" s="295" t="s">
        <v>215</v>
      </c>
      <c r="D50" s="295" t="s">
        <v>208</v>
      </c>
      <c r="E50" s="295" t="s">
        <v>197</v>
      </c>
      <c r="F50" s="296" t="s">
        <v>1255</v>
      </c>
      <c r="G50" s="296" t="s">
        <v>1236</v>
      </c>
      <c r="H50" s="297">
        <v>750</v>
      </c>
      <c r="I50" s="298">
        <v>1992</v>
      </c>
      <c r="J50" s="299">
        <v>41</v>
      </c>
      <c r="K50" s="300" t="s">
        <v>1240</v>
      </c>
      <c r="L50" s="299" t="s">
        <v>1225</v>
      </c>
      <c r="M50" s="299" t="s">
        <v>1219</v>
      </c>
    </row>
    <row r="51" spans="1:13" ht="18" x14ac:dyDescent="0.25">
      <c r="A51" s="293">
        <v>68</v>
      </c>
      <c r="B51" s="294">
        <v>1</v>
      </c>
      <c r="C51" s="295" t="s">
        <v>579</v>
      </c>
      <c r="D51" s="295" t="s">
        <v>208</v>
      </c>
      <c r="E51" s="295" t="s">
        <v>573</v>
      </c>
      <c r="F51" s="296" t="s">
        <v>1230</v>
      </c>
      <c r="G51" s="296" t="s">
        <v>1239</v>
      </c>
      <c r="H51" s="297">
        <v>910</v>
      </c>
      <c r="I51" s="298">
        <v>1992</v>
      </c>
      <c r="J51" s="299">
        <v>41</v>
      </c>
      <c r="K51" s="300" t="s">
        <v>1240</v>
      </c>
      <c r="L51" s="299" t="s">
        <v>1225</v>
      </c>
      <c r="M51" s="299" t="s">
        <v>1225</v>
      </c>
    </row>
    <row r="52" spans="1:13" ht="27" x14ac:dyDescent="0.25">
      <c r="A52" s="304">
        <v>69</v>
      </c>
      <c r="B52" s="294">
        <v>1</v>
      </c>
      <c r="C52" s="295" t="s">
        <v>117</v>
      </c>
      <c r="D52" s="295" t="s">
        <v>50</v>
      </c>
      <c r="E52" s="295" t="s">
        <v>92</v>
      </c>
      <c r="F52" s="296" t="s">
        <v>1246</v>
      </c>
      <c r="G52" s="296" t="s">
        <v>1217</v>
      </c>
      <c r="H52" s="297">
        <v>520</v>
      </c>
      <c r="I52" s="298">
        <v>1992</v>
      </c>
      <c r="J52" s="299">
        <v>52</v>
      </c>
      <c r="K52" s="300" t="s">
        <v>1220</v>
      </c>
      <c r="L52" s="299" t="s">
        <v>1219</v>
      </c>
      <c r="M52" s="299" t="s">
        <v>1219</v>
      </c>
    </row>
    <row r="53" spans="1:13" x14ac:dyDescent="0.25">
      <c r="A53" s="293">
        <v>70</v>
      </c>
      <c r="B53" s="294">
        <v>1</v>
      </c>
      <c r="C53" s="295" t="s">
        <v>120</v>
      </c>
      <c r="D53" s="295" t="s">
        <v>121</v>
      </c>
      <c r="E53" s="295" t="s">
        <v>92</v>
      </c>
      <c r="F53" s="296" t="s">
        <v>1255</v>
      </c>
      <c r="G53" s="296" t="s">
        <v>1217</v>
      </c>
      <c r="H53" s="297">
        <v>560</v>
      </c>
      <c r="I53" s="298">
        <v>1992</v>
      </c>
      <c r="J53" s="299">
        <v>90</v>
      </c>
      <c r="K53" s="300" t="s">
        <v>1256</v>
      </c>
      <c r="L53" s="299" t="s">
        <v>1257</v>
      </c>
      <c r="M53" s="299" t="s">
        <v>1258</v>
      </c>
    </row>
    <row r="54" spans="1:13" ht="18" x14ac:dyDescent="0.25">
      <c r="A54" s="293">
        <v>71</v>
      </c>
      <c r="B54" s="294">
        <v>1</v>
      </c>
      <c r="C54" s="295" t="s">
        <v>122</v>
      </c>
      <c r="D54" s="295" t="s">
        <v>123</v>
      </c>
      <c r="E54" s="295" t="s">
        <v>92</v>
      </c>
      <c r="F54" s="296" t="s">
        <v>1255</v>
      </c>
      <c r="G54" s="296" t="s">
        <v>1217</v>
      </c>
      <c r="H54" s="297">
        <v>580</v>
      </c>
      <c r="I54" s="298">
        <v>1992</v>
      </c>
      <c r="J54" s="299">
        <v>42</v>
      </c>
      <c r="K54" s="300" t="s">
        <v>1237</v>
      </c>
      <c r="L54" s="299" t="s">
        <v>1225</v>
      </c>
      <c r="M54" s="299" t="s">
        <v>1219</v>
      </c>
    </row>
    <row r="55" spans="1:13" ht="18" x14ac:dyDescent="0.25">
      <c r="A55" s="293">
        <v>72</v>
      </c>
      <c r="B55" s="294">
        <v>1</v>
      </c>
      <c r="C55" s="295" t="s">
        <v>124</v>
      </c>
      <c r="D55" s="295" t="s">
        <v>125</v>
      </c>
      <c r="E55" s="295" t="s">
        <v>92</v>
      </c>
      <c r="F55" s="296" t="s">
        <v>1259</v>
      </c>
      <c r="G55" s="296" t="s">
        <v>1236</v>
      </c>
      <c r="H55" s="297">
        <v>675</v>
      </c>
      <c r="I55" s="298">
        <v>1992</v>
      </c>
      <c r="J55" s="299">
        <v>42</v>
      </c>
      <c r="K55" s="300" t="s">
        <v>1237</v>
      </c>
      <c r="L55" s="299" t="s">
        <v>1223</v>
      </c>
      <c r="M55" s="299" t="s">
        <v>1223</v>
      </c>
    </row>
    <row r="56" spans="1:13" ht="18" x14ac:dyDescent="0.25">
      <c r="A56" s="293">
        <v>74</v>
      </c>
      <c r="B56" s="294">
        <v>1</v>
      </c>
      <c r="C56" s="295" t="s">
        <v>128</v>
      </c>
      <c r="D56" s="295" t="s">
        <v>125</v>
      </c>
      <c r="E56" s="295" t="s">
        <v>92</v>
      </c>
      <c r="F56" s="296" t="s">
        <v>1230</v>
      </c>
      <c r="G56" s="296" t="s">
        <v>1241</v>
      </c>
      <c r="H56" s="297">
        <v>1370</v>
      </c>
      <c r="I56" s="298">
        <v>1992</v>
      </c>
      <c r="J56" s="299">
        <v>41</v>
      </c>
      <c r="K56" s="300" t="s">
        <v>1240</v>
      </c>
      <c r="L56" s="299" t="s">
        <v>1225</v>
      </c>
      <c r="M56" s="299" t="s">
        <v>1225</v>
      </c>
    </row>
    <row r="57" spans="1:13" ht="27" x14ac:dyDescent="0.25">
      <c r="A57" s="293">
        <v>75</v>
      </c>
      <c r="B57" s="294">
        <v>1</v>
      </c>
      <c r="C57" s="295" t="s">
        <v>129</v>
      </c>
      <c r="D57" s="295" t="s">
        <v>130</v>
      </c>
      <c r="E57" s="295" t="s">
        <v>92</v>
      </c>
      <c r="F57" s="296" t="s">
        <v>1260</v>
      </c>
      <c r="G57" s="296" t="s">
        <v>1236</v>
      </c>
      <c r="H57" s="297">
        <v>640</v>
      </c>
      <c r="I57" s="298">
        <v>1992</v>
      </c>
      <c r="J57" s="299">
        <v>42</v>
      </c>
      <c r="K57" s="300" t="s">
        <v>1237</v>
      </c>
      <c r="L57" s="299" t="s">
        <v>1225</v>
      </c>
      <c r="M57" s="299" t="s">
        <v>1223</v>
      </c>
    </row>
    <row r="58" spans="1:13" ht="27" x14ac:dyDescent="0.25">
      <c r="A58" s="293">
        <v>76</v>
      </c>
      <c r="B58" s="294">
        <v>1</v>
      </c>
      <c r="C58" s="295" t="s">
        <v>131</v>
      </c>
      <c r="D58" s="295" t="s">
        <v>130</v>
      </c>
      <c r="E58" s="295" t="s">
        <v>92</v>
      </c>
      <c r="F58" s="296" t="s">
        <v>1260</v>
      </c>
      <c r="G58" s="296" t="s">
        <v>1236</v>
      </c>
      <c r="H58" s="297">
        <v>690</v>
      </c>
      <c r="I58" s="298">
        <v>1992</v>
      </c>
      <c r="J58" s="299">
        <v>41</v>
      </c>
      <c r="K58" s="300" t="s">
        <v>1240</v>
      </c>
      <c r="L58" s="299" t="s">
        <v>1219</v>
      </c>
      <c r="M58" s="299" t="s">
        <v>1219</v>
      </c>
    </row>
    <row r="59" spans="1:13" ht="18" x14ac:dyDescent="0.25">
      <c r="A59" s="293">
        <v>77</v>
      </c>
      <c r="B59" s="294">
        <v>1</v>
      </c>
      <c r="C59" s="295" t="s">
        <v>133</v>
      </c>
      <c r="D59" s="295" t="s">
        <v>130</v>
      </c>
      <c r="E59" s="295" t="s">
        <v>92</v>
      </c>
      <c r="F59" s="296" t="s">
        <v>1255</v>
      </c>
      <c r="G59" s="296" t="s">
        <v>1236</v>
      </c>
      <c r="H59" s="297">
        <v>710</v>
      </c>
      <c r="I59" s="298">
        <v>1992</v>
      </c>
      <c r="J59" s="299">
        <v>41</v>
      </c>
      <c r="K59" s="300" t="s">
        <v>1240</v>
      </c>
      <c r="L59" s="299" t="s">
        <v>1219</v>
      </c>
      <c r="M59" s="299" t="s">
        <v>1219</v>
      </c>
    </row>
    <row r="60" spans="1:13" ht="18" x14ac:dyDescent="0.25">
      <c r="A60" s="293">
        <v>78</v>
      </c>
      <c r="B60" s="294">
        <v>1</v>
      </c>
      <c r="C60" s="295" t="s">
        <v>134</v>
      </c>
      <c r="D60" s="295" t="s">
        <v>135</v>
      </c>
      <c r="E60" s="295" t="s">
        <v>92</v>
      </c>
      <c r="F60" s="296" t="s">
        <v>1230</v>
      </c>
      <c r="G60" s="296" t="s">
        <v>1239</v>
      </c>
      <c r="H60" s="297">
        <v>900</v>
      </c>
      <c r="I60" s="298">
        <v>1992</v>
      </c>
      <c r="J60" s="299">
        <v>41</v>
      </c>
      <c r="K60" s="300" t="s">
        <v>1240</v>
      </c>
      <c r="L60" s="299" t="s">
        <v>1225</v>
      </c>
      <c r="M60" s="299" t="s">
        <v>1225</v>
      </c>
    </row>
    <row r="61" spans="1:13" ht="18" x14ac:dyDescent="0.25">
      <c r="A61" s="303">
        <v>79.099999999999994</v>
      </c>
      <c r="B61" s="294">
        <v>1</v>
      </c>
      <c r="C61" s="295" t="s">
        <v>136</v>
      </c>
      <c r="D61" s="295" t="s">
        <v>137</v>
      </c>
      <c r="E61" s="295" t="s">
        <v>92</v>
      </c>
      <c r="F61" s="296" t="s">
        <v>1230</v>
      </c>
      <c r="G61" s="296" t="s">
        <v>1217</v>
      </c>
      <c r="H61" s="297">
        <v>560</v>
      </c>
      <c r="I61" s="298">
        <v>1992</v>
      </c>
      <c r="J61" s="299">
        <v>90</v>
      </c>
      <c r="K61" s="300" t="s">
        <v>1256</v>
      </c>
      <c r="L61" s="299" t="s">
        <v>1225</v>
      </c>
      <c r="M61" s="299" t="s">
        <v>1223</v>
      </c>
    </row>
    <row r="62" spans="1:13" ht="27" x14ac:dyDescent="0.25">
      <c r="A62" s="303">
        <v>79.2</v>
      </c>
      <c r="B62" s="294">
        <v>2</v>
      </c>
      <c r="C62" s="295" t="s">
        <v>136</v>
      </c>
      <c r="D62" s="295" t="s">
        <v>137</v>
      </c>
      <c r="E62" s="295" t="s">
        <v>92</v>
      </c>
      <c r="F62" s="296" t="s">
        <v>1230</v>
      </c>
      <c r="G62" s="296" t="s">
        <v>1217</v>
      </c>
      <c r="H62" s="297">
        <v>560</v>
      </c>
      <c r="I62" s="298">
        <v>1992</v>
      </c>
      <c r="J62" s="299">
        <v>101</v>
      </c>
      <c r="K62" s="300" t="s">
        <v>1261</v>
      </c>
      <c r="L62" s="299" t="s">
        <v>1262</v>
      </c>
      <c r="M62" s="299" t="s">
        <v>1243</v>
      </c>
    </row>
    <row r="63" spans="1:13" ht="18" x14ac:dyDescent="0.25">
      <c r="A63" s="293">
        <v>80</v>
      </c>
      <c r="B63" s="294">
        <v>1</v>
      </c>
      <c r="C63" s="295" t="s">
        <v>138</v>
      </c>
      <c r="D63" s="295" t="s">
        <v>139</v>
      </c>
      <c r="E63" s="295" t="s">
        <v>92</v>
      </c>
      <c r="F63" s="296" t="s">
        <v>1230</v>
      </c>
      <c r="G63" s="296" t="s">
        <v>1236</v>
      </c>
      <c r="H63" s="297">
        <v>640</v>
      </c>
      <c r="I63" s="298">
        <v>1992</v>
      </c>
      <c r="J63" s="299">
        <v>42</v>
      </c>
      <c r="K63" s="300" t="s">
        <v>1237</v>
      </c>
      <c r="L63" s="299" t="s">
        <v>1219</v>
      </c>
      <c r="M63" s="299" t="s">
        <v>1219</v>
      </c>
    </row>
    <row r="64" spans="1:13" ht="27" x14ac:dyDescent="0.25">
      <c r="A64" s="293">
        <v>81</v>
      </c>
      <c r="B64" s="294">
        <v>1</v>
      </c>
      <c r="C64" s="295" t="s">
        <v>140</v>
      </c>
      <c r="D64" s="295" t="s">
        <v>141</v>
      </c>
      <c r="E64" s="295" t="s">
        <v>92</v>
      </c>
      <c r="F64" s="296" t="s">
        <v>1230</v>
      </c>
      <c r="G64" s="296" t="s">
        <v>1239</v>
      </c>
      <c r="H64" s="297">
        <v>960</v>
      </c>
      <c r="I64" s="298">
        <v>1992</v>
      </c>
      <c r="J64" s="299">
        <v>42</v>
      </c>
      <c r="K64" s="300" t="s">
        <v>1237</v>
      </c>
      <c r="L64" s="299" t="s">
        <v>1225</v>
      </c>
      <c r="M64" s="299" t="s">
        <v>1263</v>
      </c>
    </row>
    <row r="65" spans="1:13" ht="27" x14ac:dyDescent="0.25">
      <c r="A65" s="293">
        <v>83</v>
      </c>
      <c r="B65" s="294">
        <v>1</v>
      </c>
      <c r="C65" s="295" t="s">
        <v>142</v>
      </c>
      <c r="D65" s="295" t="s">
        <v>50</v>
      </c>
      <c r="E65" s="295" t="s">
        <v>92</v>
      </c>
      <c r="F65" s="296" t="s">
        <v>1230</v>
      </c>
      <c r="G65" s="296" t="s">
        <v>1217</v>
      </c>
      <c r="H65" s="297">
        <v>567</v>
      </c>
      <c r="I65" s="298">
        <v>1992</v>
      </c>
      <c r="J65" s="299">
        <v>51</v>
      </c>
      <c r="K65" s="300" t="s">
        <v>1218</v>
      </c>
      <c r="L65" s="299" t="s">
        <v>1219</v>
      </c>
      <c r="M65" s="299" t="s">
        <v>1221</v>
      </c>
    </row>
    <row r="66" spans="1:13" ht="18" x14ac:dyDescent="0.25">
      <c r="A66" s="293">
        <v>84</v>
      </c>
      <c r="B66" s="294">
        <v>1</v>
      </c>
      <c r="C66" s="295" t="s">
        <v>143</v>
      </c>
      <c r="D66" s="295" t="s">
        <v>50</v>
      </c>
      <c r="E66" s="295" t="s">
        <v>92</v>
      </c>
      <c r="F66" s="296" t="s">
        <v>1230</v>
      </c>
      <c r="G66" s="296" t="s">
        <v>1217</v>
      </c>
      <c r="H66" s="297">
        <v>580</v>
      </c>
      <c r="I66" s="298">
        <v>1992</v>
      </c>
      <c r="J66" s="299">
        <v>42</v>
      </c>
      <c r="K66" s="300" t="s">
        <v>1237</v>
      </c>
      <c r="L66" s="299" t="s">
        <v>1223</v>
      </c>
      <c r="M66" s="299" t="s">
        <v>1223</v>
      </c>
    </row>
    <row r="67" spans="1:13" ht="18" x14ac:dyDescent="0.25">
      <c r="A67" s="293">
        <v>86</v>
      </c>
      <c r="B67" s="294">
        <v>1</v>
      </c>
      <c r="C67" s="295" t="s">
        <v>144</v>
      </c>
      <c r="D67" s="295" t="s">
        <v>145</v>
      </c>
      <c r="E67" s="295" t="s">
        <v>92</v>
      </c>
      <c r="F67" s="296" t="s">
        <v>1230</v>
      </c>
      <c r="G67" s="296" t="s">
        <v>1236</v>
      </c>
      <c r="H67" s="297">
        <v>800</v>
      </c>
      <c r="I67" s="298">
        <v>1992</v>
      </c>
      <c r="J67" s="299">
        <v>41</v>
      </c>
      <c r="K67" s="300" t="s">
        <v>1240</v>
      </c>
      <c r="L67" s="299" t="s">
        <v>1219</v>
      </c>
      <c r="M67" s="299" t="s">
        <v>1225</v>
      </c>
    </row>
    <row r="68" spans="1:13" ht="27" x14ac:dyDescent="0.25">
      <c r="A68" s="293">
        <v>87</v>
      </c>
      <c r="B68" s="294">
        <v>1</v>
      </c>
      <c r="C68" s="295" t="s">
        <v>64</v>
      </c>
      <c r="D68" s="295" t="s">
        <v>63</v>
      </c>
      <c r="E68" s="295" t="s">
        <v>35</v>
      </c>
      <c r="F68" s="296" t="s">
        <v>1226</v>
      </c>
      <c r="G68" s="296" t="s">
        <v>1217</v>
      </c>
      <c r="H68" s="297">
        <v>345</v>
      </c>
      <c r="I68" s="298">
        <v>1992</v>
      </c>
      <c r="J68" s="299">
        <v>51</v>
      </c>
      <c r="K68" s="300" t="s">
        <v>1218</v>
      </c>
      <c r="L68" s="299" t="s">
        <v>1219</v>
      </c>
      <c r="M68" s="299" t="s">
        <v>1219</v>
      </c>
    </row>
    <row r="69" spans="1:13" ht="27" x14ac:dyDescent="0.25">
      <c r="A69" s="293">
        <v>88</v>
      </c>
      <c r="B69" s="294">
        <v>1</v>
      </c>
      <c r="C69" s="295" t="s">
        <v>65</v>
      </c>
      <c r="D69" s="295" t="s">
        <v>63</v>
      </c>
      <c r="E69" s="295" t="s">
        <v>35</v>
      </c>
      <c r="F69" s="296" t="s">
        <v>1226</v>
      </c>
      <c r="G69" s="296" t="s">
        <v>1217</v>
      </c>
      <c r="H69" s="297">
        <v>360</v>
      </c>
      <c r="I69" s="298">
        <v>1992</v>
      </c>
      <c r="J69" s="299">
        <v>51</v>
      </c>
      <c r="K69" s="300" t="s">
        <v>1218</v>
      </c>
      <c r="L69" s="299" t="s">
        <v>1264</v>
      </c>
      <c r="M69" s="299" t="s">
        <v>1264</v>
      </c>
    </row>
    <row r="70" spans="1:13" ht="27" x14ac:dyDescent="0.25">
      <c r="A70" s="293">
        <v>91</v>
      </c>
      <c r="B70" s="294">
        <v>1</v>
      </c>
      <c r="C70" s="295" t="s">
        <v>66</v>
      </c>
      <c r="D70" s="295" t="s">
        <v>63</v>
      </c>
      <c r="E70" s="295" t="s">
        <v>35</v>
      </c>
      <c r="F70" s="296" t="s">
        <v>1226</v>
      </c>
      <c r="G70" s="296" t="s">
        <v>1217</v>
      </c>
      <c r="H70" s="297">
        <v>380</v>
      </c>
      <c r="I70" s="298">
        <v>1992</v>
      </c>
      <c r="J70" s="299">
        <v>102</v>
      </c>
      <c r="K70" s="300" t="s">
        <v>1242</v>
      </c>
      <c r="L70" s="299" t="s">
        <v>1225</v>
      </c>
      <c r="M70" s="299" t="s">
        <v>1243</v>
      </c>
    </row>
    <row r="71" spans="1:13" ht="27" x14ac:dyDescent="0.25">
      <c r="A71" s="293">
        <v>92</v>
      </c>
      <c r="B71" s="294">
        <v>1</v>
      </c>
      <c r="C71" s="295" t="s">
        <v>79</v>
      </c>
      <c r="D71" s="295" t="s">
        <v>63</v>
      </c>
      <c r="E71" s="295" t="s">
        <v>78</v>
      </c>
      <c r="F71" s="296" t="s">
        <v>1226</v>
      </c>
      <c r="G71" s="296" t="s">
        <v>1217</v>
      </c>
      <c r="H71" s="297">
        <v>380</v>
      </c>
      <c r="I71" s="298">
        <v>1992</v>
      </c>
      <c r="J71" s="299">
        <v>52</v>
      </c>
      <c r="K71" s="300" t="s">
        <v>1220</v>
      </c>
      <c r="L71" s="299" t="s">
        <v>1219</v>
      </c>
      <c r="M71" s="299" t="s">
        <v>1219</v>
      </c>
    </row>
    <row r="72" spans="1:13" ht="27" x14ac:dyDescent="0.25">
      <c r="A72" s="293">
        <v>95</v>
      </c>
      <c r="B72" s="294">
        <v>1</v>
      </c>
      <c r="C72" s="295" t="s">
        <v>75</v>
      </c>
      <c r="D72" s="295" t="s">
        <v>63</v>
      </c>
      <c r="E72" s="295" t="s">
        <v>74</v>
      </c>
      <c r="F72" s="296" t="s">
        <v>1226</v>
      </c>
      <c r="G72" s="296" t="s">
        <v>1217</v>
      </c>
      <c r="H72" s="297">
        <v>390</v>
      </c>
      <c r="I72" s="298">
        <v>1992</v>
      </c>
      <c r="J72" s="299">
        <v>52</v>
      </c>
      <c r="K72" s="300" t="s">
        <v>1220</v>
      </c>
      <c r="L72" s="299" t="s">
        <v>1219</v>
      </c>
      <c r="M72" s="299" t="s">
        <v>1219</v>
      </c>
    </row>
    <row r="73" spans="1:13" ht="27" x14ac:dyDescent="0.25">
      <c r="A73" s="293">
        <v>97</v>
      </c>
      <c r="B73" s="294">
        <v>1</v>
      </c>
      <c r="C73" s="295" t="s">
        <v>688</v>
      </c>
      <c r="D73" s="295" t="s">
        <v>689</v>
      </c>
      <c r="E73" s="295" t="s">
        <v>687</v>
      </c>
      <c r="F73" s="296" t="s">
        <v>1226</v>
      </c>
      <c r="G73" s="296" t="s">
        <v>1217</v>
      </c>
      <c r="H73" s="297">
        <v>394</v>
      </c>
      <c r="I73" s="298">
        <v>1992</v>
      </c>
      <c r="J73" s="299">
        <v>52</v>
      </c>
      <c r="K73" s="300" t="s">
        <v>1220</v>
      </c>
      <c r="L73" s="299" t="s">
        <v>1219</v>
      </c>
      <c r="M73" s="299" t="s">
        <v>1219</v>
      </c>
    </row>
    <row r="74" spans="1:13" ht="18" x14ac:dyDescent="0.25">
      <c r="A74" s="293">
        <v>98</v>
      </c>
      <c r="B74" s="294">
        <v>1</v>
      </c>
      <c r="C74" s="295" t="s">
        <v>377</v>
      </c>
      <c r="D74" s="295" t="s">
        <v>378</v>
      </c>
      <c r="E74" s="295" t="s">
        <v>376</v>
      </c>
      <c r="F74" s="296" t="s">
        <v>1259</v>
      </c>
      <c r="G74" s="296" t="s">
        <v>1236</v>
      </c>
      <c r="H74" s="297">
        <v>650</v>
      </c>
      <c r="I74" s="298">
        <v>1992</v>
      </c>
      <c r="J74" s="299">
        <v>41</v>
      </c>
      <c r="K74" s="300" t="s">
        <v>1240</v>
      </c>
      <c r="L74" s="299" t="s">
        <v>1225</v>
      </c>
      <c r="M74" s="299" t="s">
        <v>1219</v>
      </c>
    </row>
    <row r="75" spans="1:13" ht="27" x14ac:dyDescent="0.25">
      <c r="A75" s="293">
        <v>99</v>
      </c>
      <c r="B75" s="294">
        <v>1</v>
      </c>
      <c r="C75" s="295" t="s">
        <v>396</v>
      </c>
      <c r="D75" s="295" t="s">
        <v>397</v>
      </c>
      <c r="E75" s="295" t="s">
        <v>395</v>
      </c>
      <c r="F75" s="296" t="s">
        <v>1230</v>
      </c>
      <c r="G75" s="296" t="s">
        <v>1217</v>
      </c>
      <c r="H75" s="297">
        <v>445</v>
      </c>
      <c r="I75" s="298">
        <v>1992</v>
      </c>
      <c r="J75" s="299">
        <v>52</v>
      </c>
      <c r="K75" s="300" t="s">
        <v>1220</v>
      </c>
      <c r="L75" s="299" t="s">
        <v>1225</v>
      </c>
      <c r="M75" s="299" t="s">
        <v>1225</v>
      </c>
    </row>
    <row r="76" spans="1:13" ht="18" x14ac:dyDescent="0.25">
      <c r="A76" s="293">
        <v>100</v>
      </c>
      <c r="B76" s="294">
        <v>1</v>
      </c>
      <c r="C76" s="295" t="s">
        <v>398</v>
      </c>
      <c r="D76" s="295" t="s">
        <v>399</v>
      </c>
      <c r="E76" s="295" t="s">
        <v>395</v>
      </c>
      <c r="F76" s="296" t="s">
        <v>1230</v>
      </c>
      <c r="G76" s="296" t="s">
        <v>1217</v>
      </c>
      <c r="H76" s="297">
        <v>440</v>
      </c>
      <c r="I76" s="298">
        <v>1992</v>
      </c>
      <c r="J76" s="299">
        <v>90</v>
      </c>
      <c r="K76" s="300" t="s">
        <v>1256</v>
      </c>
      <c r="L76" s="299" t="s">
        <v>1225</v>
      </c>
      <c r="M76" s="299" t="s">
        <v>1223</v>
      </c>
    </row>
    <row r="77" spans="1:13" ht="27" x14ac:dyDescent="0.25">
      <c r="A77" s="293">
        <v>101</v>
      </c>
      <c r="B77" s="294">
        <v>1</v>
      </c>
      <c r="C77" s="295" t="s">
        <v>400</v>
      </c>
      <c r="D77" s="295" t="s">
        <v>401</v>
      </c>
      <c r="E77" s="295" t="s">
        <v>395</v>
      </c>
      <c r="F77" s="296" t="s">
        <v>1230</v>
      </c>
      <c r="G77" s="296" t="s">
        <v>1217</v>
      </c>
      <c r="H77" s="297">
        <v>520</v>
      </c>
      <c r="I77" s="298">
        <v>1992</v>
      </c>
      <c r="J77" s="299">
        <v>81</v>
      </c>
      <c r="K77" s="300" t="s">
        <v>1265</v>
      </c>
      <c r="L77" s="299" t="s">
        <v>1238</v>
      </c>
      <c r="M77" s="299" t="s">
        <v>1225</v>
      </c>
    </row>
    <row r="78" spans="1:13" ht="27" x14ac:dyDescent="0.25">
      <c r="A78" s="293">
        <v>102</v>
      </c>
      <c r="B78" s="294">
        <v>1</v>
      </c>
      <c r="C78" s="295" t="s">
        <v>404</v>
      </c>
      <c r="D78" s="295" t="s">
        <v>405</v>
      </c>
      <c r="E78" s="295" t="s">
        <v>395</v>
      </c>
      <c r="F78" s="296" t="s">
        <v>1230</v>
      </c>
      <c r="G78" s="296" t="s">
        <v>1217</v>
      </c>
      <c r="H78" s="297">
        <v>500</v>
      </c>
      <c r="I78" s="298">
        <v>1992</v>
      </c>
      <c r="J78" s="299">
        <v>81</v>
      </c>
      <c r="K78" s="300" t="s">
        <v>1265</v>
      </c>
      <c r="L78" s="299" t="s">
        <v>1238</v>
      </c>
      <c r="M78" s="299" t="s">
        <v>1225</v>
      </c>
    </row>
    <row r="79" spans="1:13" ht="27" x14ac:dyDescent="0.25">
      <c r="A79" s="293">
        <v>104</v>
      </c>
      <c r="B79" s="294">
        <v>1</v>
      </c>
      <c r="C79" s="295" t="s">
        <v>461</v>
      </c>
      <c r="D79" s="295" t="s">
        <v>462</v>
      </c>
      <c r="E79" s="295" t="s">
        <v>460</v>
      </c>
      <c r="F79" s="296" t="s">
        <v>1230</v>
      </c>
      <c r="G79" s="296" t="s">
        <v>1217</v>
      </c>
      <c r="H79" s="297">
        <v>595</v>
      </c>
      <c r="I79" s="298">
        <v>1992</v>
      </c>
      <c r="J79" s="299">
        <v>52</v>
      </c>
      <c r="K79" s="300" t="s">
        <v>1220</v>
      </c>
      <c r="L79" s="299" t="s">
        <v>1219</v>
      </c>
      <c r="M79" s="299" t="s">
        <v>1219</v>
      </c>
    </row>
    <row r="80" spans="1:13" ht="18" x14ac:dyDescent="0.25">
      <c r="A80" s="303">
        <v>105.1</v>
      </c>
      <c r="B80" s="294">
        <v>1</v>
      </c>
      <c r="C80" s="295" t="s">
        <v>552</v>
      </c>
      <c r="D80" s="295" t="s">
        <v>553</v>
      </c>
      <c r="E80" s="295" t="s">
        <v>551</v>
      </c>
      <c r="F80" s="296" t="s">
        <v>1230</v>
      </c>
      <c r="G80" s="296" t="s">
        <v>1217</v>
      </c>
      <c r="H80" s="297">
        <v>435</v>
      </c>
      <c r="I80" s="298">
        <v>1992</v>
      </c>
      <c r="J80" s="299">
        <v>90</v>
      </c>
      <c r="K80" s="300" t="s">
        <v>1256</v>
      </c>
      <c r="L80" s="299" t="s">
        <v>1225</v>
      </c>
      <c r="M80" s="299" t="s">
        <v>1225</v>
      </c>
    </row>
    <row r="81" spans="1:13" ht="18" x14ac:dyDescent="0.25">
      <c r="A81" s="303">
        <v>105.2</v>
      </c>
      <c r="B81" s="294">
        <v>2</v>
      </c>
      <c r="C81" s="295" t="s">
        <v>552</v>
      </c>
      <c r="D81" s="295" t="s">
        <v>553</v>
      </c>
      <c r="E81" s="295" t="s">
        <v>551</v>
      </c>
      <c r="F81" s="296" t="s">
        <v>1230</v>
      </c>
      <c r="G81" s="296" t="s">
        <v>1217</v>
      </c>
      <c r="H81" s="297">
        <v>435</v>
      </c>
      <c r="I81" s="298">
        <v>1992</v>
      </c>
      <c r="J81" s="299">
        <v>101</v>
      </c>
      <c r="K81" s="300" t="s">
        <v>1261</v>
      </c>
      <c r="L81" s="299" t="s">
        <v>1243</v>
      </c>
      <c r="M81" s="299" t="s">
        <v>1243</v>
      </c>
    </row>
    <row r="82" spans="1:13" ht="18" x14ac:dyDescent="0.25">
      <c r="A82" s="293">
        <v>107</v>
      </c>
      <c r="B82" s="294">
        <v>1</v>
      </c>
      <c r="C82" s="295" t="s">
        <v>554</v>
      </c>
      <c r="D82" s="295" t="s">
        <v>555</v>
      </c>
      <c r="E82" s="295" t="s">
        <v>551</v>
      </c>
      <c r="F82" s="296" t="s">
        <v>1230</v>
      </c>
      <c r="G82" s="296" t="s">
        <v>1239</v>
      </c>
      <c r="H82" s="297">
        <v>1160</v>
      </c>
      <c r="I82" s="298">
        <v>1992</v>
      </c>
      <c r="J82" s="299">
        <v>41</v>
      </c>
      <c r="K82" s="300" t="s">
        <v>1240</v>
      </c>
      <c r="L82" s="299" t="s">
        <v>1219</v>
      </c>
      <c r="M82" s="299" t="s">
        <v>1219</v>
      </c>
    </row>
    <row r="83" spans="1:13" ht="18" x14ac:dyDescent="0.25">
      <c r="A83" s="293">
        <v>108</v>
      </c>
      <c r="B83" s="294">
        <v>1</v>
      </c>
      <c r="C83" s="295" t="s">
        <v>556</v>
      </c>
      <c r="D83" s="295" t="s">
        <v>557</v>
      </c>
      <c r="E83" s="295" t="s">
        <v>551</v>
      </c>
      <c r="F83" s="296" t="s">
        <v>1235</v>
      </c>
      <c r="G83" s="296" t="s">
        <v>1266</v>
      </c>
      <c r="H83" s="297">
        <v>1510</v>
      </c>
      <c r="I83" s="298">
        <v>1992</v>
      </c>
      <c r="J83" s="299">
        <v>31</v>
      </c>
      <c r="K83" s="300" t="s">
        <v>1267</v>
      </c>
      <c r="L83" s="299" t="s">
        <v>1219</v>
      </c>
      <c r="M83" s="299" t="s">
        <v>1219</v>
      </c>
    </row>
    <row r="84" spans="1:13" ht="18" x14ac:dyDescent="0.25">
      <c r="A84" s="303">
        <v>109.1</v>
      </c>
      <c r="B84" s="294">
        <v>1</v>
      </c>
      <c r="C84" s="295" t="s">
        <v>260</v>
      </c>
      <c r="D84" s="295" t="s">
        <v>261</v>
      </c>
      <c r="E84" s="295" t="s">
        <v>259</v>
      </c>
      <c r="F84" s="296" t="s">
        <v>1230</v>
      </c>
      <c r="G84" s="296" t="s">
        <v>1236</v>
      </c>
      <c r="H84" s="297">
        <v>850</v>
      </c>
      <c r="I84" s="298">
        <v>1992</v>
      </c>
      <c r="J84" s="299">
        <v>90</v>
      </c>
      <c r="K84" s="300" t="s">
        <v>1256</v>
      </c>
      <c r="L84" s="299" t="s">
        <v>1219</v>
      </c>
      <c r="M84" s="299" t="s">
        <v>1243</v>
      </c>
    </row>
    <row r="85" spans="1:13" ht="18" x14ac:dyDescent="0.25">
      <c r="A85" s="303">
        <v>109.2</v>
      </c>
      <c r="B85" s="294">
        <v>2</v>
      </c>
      <c r="C85" s="295" t="s">
        <v>260</v>
      </c>
      <c r="D85" s="295" t="s">
        <v>261</v>
      </c>
      <c r="E85" s="295" t="s">
        <v>259</v>
      </c>
      <c r="F85" s="296" t="s">
        <v>1230</v>
      </c>
      <c r="G85" s="296" t="s">
        <v>1236</v>
      </c>
      <c r="H85" s="297">
        <v>850</v>
      </c>
      <c r="I85" s="298">
        <v>1992</v>
      </c>
      <c r="J85" s="299">
        <v>41</v>
      </c>
      <c r="K85" s="300" t="s">
        <v>1240</v>
      </c>
      <c r="L85" s="299" t="s">
        <v>1219</v>
      </c>
      <c r="M85" s="299" t="s">
        <v>1219</v>
      </c>
    </row>
    <row r="86" spans="1:13" ht="18" x14ac:dyDescent="0.25">
      <c r="A86" s="293">
        <v>110</v>
      </c>
      <c r="B86" s="294">
        <v>1</v>
      </c>
      <c r="C86" s="295" t="s">
        <v>471</v>
      </c>
      <c r="D86" s="295" t="s">
        <v>446</v>
      </c>
      <c r="E86" s="295" t="s">
        <v>470</v>
      </c>
      <c r="F86" s="296" t="s">
        <v>1259</v>
      </c>
      <c r="G86" s="296" t="s">
        <v>1239</v>
      </c>
      <c r="H86" s="297">
        <v>900</v>
      </c>
      <c r="I86" s="298">
        <v>1992</v>
      </c>
      <c r="J86" s="299">
        <v>82</v>
      </c>
      <c r="K86" s="300" t="s">
        <v>1249</v>
      </c>
      <c r="L86" s="299" t="s">
        <v>1219</v>
      </c>
      <c r="M86" s="299" t="s">
        <v>1219</v>
      </c>
    </row>
    <row r="87" spans="1:13" ht="27" x14ac:dyDescent="0.25">
      <c r="A87" s="293">
        <v>112</v>
      </c>
      <c r="B87" s="294">
        <v>1</v>
      </c>
      <c r="C87" s="295" t="s">
        <v>242</v>
      </c>
      <c r="D87" s="295" t="s">
        <v>243</v>
      </c>
      <c r="E87" s="295" t="s">
        <v>241</v>
      </c>
      <c r="F87" s="296" t="s">
        <v>1216</v>
      </c>
      <c r="G87" s="296" t="s">
        <v>1217</v>
      </c>
      <c r="H87" s="297">
        <v>350</v>
      </c>
      <c r="I87" s="298">
        <v>1992</v>
      </c>
      <c r="J87" s="299">
        <v>61</v>
      </c>
      <c r="K87" s="300" t="s">
        <v>1268</v>
      </c>
      <c r="L87" s="299" t="s">
        <v>1219</v>
      </c>
      <c r="M87" s="299" t="s">
        <v>1219</v>
      </c>
    </row>
    <row r="88" spans="1:13" ht="27" x14ac:dyDescent="0.25">
      <c r="A88" s="293">
        <v>113</v>
      </c>
      <c r="B88" s="294">
        <v>1</v>
      </c>
      <c r="C88" s="295" t="s">
        <v>247</v>
      </c>
      <c r="D88" s="295" t="s">
        <v>248</v>
      </c>
      <c r="E88" s="295" t="s">
        <v>241</v>
      </c>
      <c r="F88" s="296" t="s">
        <v>1216</v>
      </c>
      <c r="G88" s="296" t="s">
        <v>1217</v>
      </c>
      <c r="H88" s="297">
        <v>380</v>
      </c>
      <c r="I88" s="298">
        <v>1992</v>
      </c>
      <c r="J88" s="299">
        <v>61</v>
      </c>
      <c r="K88" s="300" t="s">
        <v>1268</v>
      </c>
      <c r="L88" s="299" t="s">
        <v>1225</v>
      </c>
      <c r="M88" s="299" t="s">
        <v>1225</v>
      </c>
    </row>
    <row r="89" spans="1:13" ht="27" x14ac:dyDescent="0.25">
      <c r="A89" s="293">
        <v>114</v>
      </c>
      <c r="B89" s="294">
        <v>1</v>
      </c>
      <c r="C89" s="295" t="s">
        <v>249</v>
      </c>
      <c r="D89" s="295" t="s">
        <v>250</v>
      </c>
      <c r="E89" s="295" t="s">
        <v>241</v>
      </c>
      <c r="F89" s="296" t="s">
        <v>1216</v>
      </c>
      <c r="G89" s="296" t="s">
        <v>1217</v>
      </c>
      <c r="H89" s="297">
        <v>350</v>
      </c>
      <c r="I89" s="298">
        <v>1992</v>
      </c>
      <c r="J89" s="299">
        <v>61</v>
      </c>
      <c r="K89" s="300" t="s">
        <v>1268</v>
      </c>
      <c r="L89" s="299" t="s">
        <v>1219</v>
      </c>
      <c r="M89" s="299" t="s">
        <v>1221</v>
      </c>
    </row>
    <row r="90" spans="1:13" ht="27" x14ac:dyDescent="0.25">
      <c r="A90" s="293">
        <v>115</v>
      </c>
      <c r="B90" s="294">
        <v>1</v>
      </c>
      <c r="C90" s="295" t="s">
        <v>253</v>
      </c>
      <c r="D90" s="295" t="s">
        <v>254</v>
      </c>
      <c r="E90" s="295" t="s">
        <v>241</v>
      </c>
      <c r="F90" s="296" t="s">
        <v>1216</v>
      </c>
      <c r="G90" s="296" t="s">
        <v>1217</v>
      </c>
      <c r="H90" s="297">
        <v>390</v>
      </c>
      <c r="I90" s="298">
        <v>1992</v>
      </c>
      <c r="J90" s="299">
        <v>51</v>
      </c>
      <c r="K90" s="300" t="s">
        <v>1218</v>
      </c>
      <c r="L90" s="299" t="s">
        <v>1219</v>
      </c>
      <c r="M90" s="299" t="s">
        <v>1219</v>
      </c>
    </row>
    <row r="91" spans="1:13" ht="18" x14ac:dyDescent="0.25">
      <c r="A91" s="293">
        <v>118</v>
      </c>
      <c r="B91" s="294">
        <v>1</v>
      </c>
      <c r="C91" s="295" t="s">
        <v>582</v>
      </c>
      <c r="D91" s="295" t="s">
        <v>254</v>
      </c>
      <c r="E91" s="295" t="s">
        <v>573</v>
      </c>
      <c r="F91" s="296" t="s">
        <v>1216</v>
      </c>
      <c r="G91" s="296" t="s">
        <v>1217</v>
      </c>
      <c r="H91" s="297">
        <v>460</v>
      </c>
      <c r="I91" s="298">
        <v>1992</v>
      </c>
      <c r="J91" s="299">
        <v>82</v>
      </c>
      <c r="K91" s="300" t="s">
        <v>1249</v>
      </c>
      <c r="L91" s="299" t="s">
        <v>1219</v>
      </c>
      <c r="M91" s="299" t="s">
        <v>1219</v>
      </c>
    </row>
    <row r="92" spans="1:13" ht="96.4" customHeight="1" x14ac:dyDescent="0.25">
      <c r="A92" s="303">
        <v>119.1</v>
      </c>
      <c r="B92" s="294">
        <v>1</v>
      </c>
      <c r="C92" s="295" t="s">
        <v>584</v>
      </c>
      <c r="D92" s="295" t="s">
        <v>585</v>
      </c>
      <c r="E92" s="295" t="s">
        <v>573</v>
      </c>
      <c r="F92" s="296" t="s">
        <v>1216</v>
      </c>
      <c r="G92" s="296" t="s">
        <v>1217</v>
      </c>
      <c r="H92" s="297">
        <v>375</v>
      </c>
      <c r="I92" s="298">
        <v>1992</v>
      </c>
      <c r="J92" s="299">
        <v>90</v>
      </c>
      <c r="K92" s="300" t="s">
        <v>1256</v>
      </c>
      <c r="L92" s="299" t="s">
        <v>1225</v>
      </c>
      <c r="M92" s="299" t="s">
        <v>1223</v>
      </c>
    </row>
    <row r="93" spans="1:13" ht="96.4" customHeight="1" x14ac:dyDescent="0.25">
      <c r="A93" s="303">
        <v>119.2</v>
      </c>
      <c r="B93" s="294">
        <v>2</v>
      </c>
      <c r="C93" s="295" t="s">
        <v>584</v>
      </c>
      <c r="D93" s="295" t="s">
        <v>585</v>
      </c>
      <c r="E93" s="295" t="s">
        <v>573</v>
      </c>
      <c r="F93" s="296" t="s">
        <v>1216</v>
      </c>
      <c r="G93" s="296" t="s">
        <v>1217</v>
      </c>
      <c r="H93" s="297">
        <v>375</v>
      </c>
      <c r="I93" s="298">
        <v>1992</v>
      </c>
      <c r="J93" s="299">
        <v>51</v>
      </c>
      <c r="K93" s="300" t="s">
        <v>1218</v>
      </c>
      <c r="L93" s="299" t="s">
        <v>1219</v>
      </c>
      <c r="M93" s="299" t="s">
        <v>1219</v>
      </c>
    </row>
    <row r="94" spans="1:13" ht="18" x14ac:dyDescent="0.25">
      <c r="A94" s="303">
        <v>119.3</v>
      </c>
      <c r="B94" s="294">
        <v>3</v>
      </c>
      <c r="C94" s="295" t="s">
        <v>584</v>
      </c>
      <c r="D94" s="295" t="s">
        <v>585</v>
      </c>
      <c r="E94" s="295" t="s">
        <v>573</v>
      </c>
      <c r="F94" s="296" t="s">
        <v>1216</v>
      </c>
      <c r="G94" s="296" t="s">
        <v>1217</v>
      </c>
      <c r="H94" s="297">
        <v>375</v>
      </c>
      <c r="I94" s="298">
        <v>1992</v>
      </c>
      <c r="J94" s="299">
        <v>101</v>
      </c>
      <c r="K94" s="300" t="s">
        <v>1261</v>
      </c>
      <c r="L94" s="299" t="s">
        <v>1243</v>
      </c>
      <c r="M94" s="299" t="s">
        <v>1243</v>
      </c>
    </row>
    <row r="95" spans="1:13" ht="27" x14ac:dyDescent="0.25">
      <c r="A95" s="293">
        <v>120</v>
      </c>
      <c r="B95" s="294">
        <v>1</v>
      </c>
      <c r="C95" s="295" t="s">
        <v>588</v>
      </c>
      <c r="D95" s="295" t="s">
        <v>589</v>
      </c>
      <c r="E95" s="295" t="s">
        <v>573</v>
      </c>
      <c r="F95" s="296" t="s">
        <v>1269</v>
      </c>
      <c r="G95" s="296" t="s">
        <v>1217</v>
      </c>
      <c r="H95" s="297">
        <v>394</v>
      </c>
      <c r="I95" s="298">
        <v>1992</v>
      </c>
      <c r="J95" s="299">
        <v>51</v>
      </c>
      <c r="K95" s="300" t="s">
        <v>1218</v>
      </c>
      <c r="L95" s="299" t="s">
        <v>1219</v>
      </c>
      <c r="M95" s="299" t="s">
        <v>1219</v>
      </c>
    </row>
    <row r="96" spans="1:13" ht="27" x14ac:dyDescent="0.25">
      <c r="A96" s="293">
        <v>121</v>
      </c>
      <c r="B96" s="294">
        <v>1</v>
      </c>
      <c r="C96" s="295" t="s">
        <v>591</v>
      </c>
      <c r="D96" s="295" t="s">
        <v>589</v>
      </c>
      <c r="E96" s="295" t="s">
        <v>573</v>
      </c>
      <c r="F96" s="296" t="s">
        <v>1269</v>
      </c>
      <c r="G96" s="296" t="s">
        <v>1217</v>
      </c>
      <c r="H96" s="297">
        <v>420</v>
      </c>
      <c r="I96" s="298">
        <v>1992</v>
      </c>
      <c r="J96" s="299">
        <v>51</v>
      </c>
      <c r="K96" s="300" t="s">
        <v>1218</v>
      </c>
      <c r="L96" s="299" t="s">
        <v>1219</v>
      </c>
      <c r="M96" s="299" t="s">
        <v>1219</v>
      </c>
    </row>
    <row r="97" spans="1:13" ht="27" x14ac:dyDescent="0.25">
      <c r="A97" s="293">
        <v>122</v>
      </c>
      <c r="B97" s="294">
        <v>1</v>
      </c>
      <c r="C97" s="295" t="s">
        <v>593</v>
      </c>
      <c r="D97" s="295" t="s">
        <v>589</v>
      </c>
      <c r="E97" s="295" t="s">
        <v>573</v>
      </c>
      <c r="F97" s="296" t="s">
        <v>1269</v>
      </c>
      <c r="G97" s="296" t="s">
        <v>1217</v>
      </c>
      <c r="H97" s="297">
        <v>440</v>
      </c>
      <c r="I97" s="298">
        <v>1992</v>
      </c>
      <c r="J97" s="299">
        <v>52</v>
      </c>
      <c r="K97" s="300" t="s">
        <v>1220</v>
      </c>
      <c r="L97" s="299" t="s">
        <v>1219</v>
      </c>
      <c r="M97" s="299" t="s">
        <v>1223</v>
      </c>
    </row>
    <row r="98" spans="1:13" ht="27" x14ac:dyDescent="0.25">
      <c r="A98" s="303">
        <v>123.1</v>
      </c>
      <c r="B98" s="294">
        <v>1</v>
      </c>
      <c r="C98" s="295" t="s">
        <v>596</v>
      </c>
      <c r="D98" s="295" t="s">
        <v>597</v>
      </c>
      <c r="E98" s="295" t="s">
        <v>573</v>
      </c>
      <c r="F98" s="296" t="s">
        <v>1270</v>
      </c>
      <c r="G98" s="296" t="s">
        <v>1217</v>
      </c>
      <c r="H98" s="297">
        <v>370</v>
      </c>
      <c r="I98" s="298">
        <v>1992</v>
      </c>
      <c r="J98" s="299">
        <v>90</v>
      </c>
      <c r="K98" s="300" t="s">
        <v>1256</v>
      </c>
      <c r="L98" s="299" t="s">
        <v>1225</v>
      </c>
      <c r="M98" s="299" t="s">
        <v>1223</v>
      </c>
    </row>
    <row r="99" spans="1:13" ht="27" x14ac:dyDescent="0.25">
      <c r="A99" s="303">
        <v>123.2</v>
      </c>
      <c r="B99" s="294">
        <v>2</v>
      </c>
      <c r="C99" s="295" t="s">
        <v>596</v>
      </c>
      <c r="D99" s="295" t="s">
        <v>597</v>
      </c>
      <c r="E99" s="295" t="s">
        <v>573</v>
      </c>
      <c r="F99" s="296" t="s">
        <v>1270</v>
      </c>
      <c r="G99" s="296" t="s">
        <v>1217</v>
      </c>
      <c r="H99" s="297">
        <v>370</v>
      </c>
      <c r="I99" s="298">
        <v>1992</v>
      </c>
      <c r="J99" s="299">
        <v>52</v>
      </c>
      <c r="K99" s="300" t="s">
        <v>1220</v>
      </c>
      <c r="L99" s="299" t="s">
        <v>1225</v>
      </c>
      <c r="M99" s="299" t="s">
        <v>1223</v>
      </c>
    </row>
    <row r="100" spans="1:13" ht="27.75" thickBot="1" x14ac:dyDescent="0.3">
      <c r="A100" s="303">
        <v>123.3</v>
      </c>
      <c r="B100" s="305">
        <v>3</v>
      </c>
      <c r="C100" s="295" t="s">
        <v>596</v>
      </c>
      <c r="D100" s="295" t="s">
        <v>597</v>
      </c>
      <c r="E100" s="295" t="s">
        <v>573</v>
      </c>
      <c r="F100" s="296" t="s">
        <v>1270</v>
      </c>
      <c r="G100" s="296" t="s">
        <v>1217</v>
      </c>
      <c r="H100" s="297">
        <v>370</v>
      </c>
      <c r="I100" s="298">
        <v>1992</v>
      </c>
      <c r="J100" s="299">
        <v>101</v>
      </c>
      <c r="K100" s="300" t="s">
        <v>1261</v>
      </c>
      <c r="L100" s="299" t="s">
        <v>1243</v>
      </c>
      <c r="M100" s="299" t="s">
        <v>1243</v>
      </c>
    </row>
    <row r="101" spans="1:13" ht="27" x14ac:dyDescent="0.25">
      <c r="A101" s="293">
        <v>124</v>
      </c>
      <c r="B101" s="294">
        <v>1</v>
      </c>
      <c r="C101" s="295" t="s">
        <v>598</v>
      </c>
      <c r="D101" s="295" t="s">
        <v>599</v>
      </c>
      <c r="E101" s="295" t="s">
        <v>573</v>
      </c>
      <c r="F101" s="296" t="s">
        <v>1230</v>
      </c>
      <c r="G101" s="296" t="s">
        <v>1217</v>
      </c>
      <c r="H101" s="297">
        <v>380</v>
      </c>
      <c r="I101" s="298">
        <v>1992</v>
      </c>
      <c r="J101" s="299">
        <v>52</v>
      </c>
      <c r="K101" s="300" t="s">
        <v>1220</v>
      </c>
      <c r="L101" s="299" t="s">
        <v>1219</v>
      </c>
      <c r="M101" s="299" t="s">
        <v>1223</v>
      </c>
    </row>
    <row r="102" spans="1:13" ht="18" x14ac:dyDescent="0.25">
      <c r="A102" s="293">
        <v>125</v>
      </c>
      <c r="B102" s="294">
        <v>1</v>
      </c>
      <c r="C102" s="295" t="s">
        <v>626</v>
      </c>
      <c r="D102" s="295" t="s">
        <v>627</v>
      </c>
      <c r="E102" s="295" t="s">
        <v>625</v>
      </c>
      <c r="F102" s="296" t="s">
        <v>1271</v>
      </c>
      <c r="G102" s="296" t="s">
        <v>1266</v>
      </c>
      <c r="H102" s="297">
        <v>1700</v>
      </c>
      <c r="I102" s="298">
        <v>1992</v>
      </c>
      <c r="J102" s="299">
        <v>31</v>
      </c>
      <c r="K102" s="300" t="s">
        <v>1267</v>
      </c>
      <c r="L102" s="299" t="s">
        <v>1225</v>
      </c>
      <c r="M102" s="299" t="s">
        <v>1225</v>
      </c>
    </row>
    <row r="103" spans="1:13" ht="18" x14ac:dyDescent="0.25">
      <c r="A103" s="293">
        <v>127</v>
      </c>
      <c r="B103" s="294">
        <v>1</v>
      </c>
      <c r="C103" s="295" t="s">
        <v>630</v>
      </c>
      <c r="D103" s="295" t="s">
        <v>631</v>
      </c>
      <c r="E103" s="295" t="s">
        <v>625</v>
      </c>
      <c r="F103" s="296" t="s">
        <v>1271</v>
      </c>
      <c r="G103" s="296" t="s">
        <v>1241</v>
      </c>
      <c r="H103" s="297">
        <v>1350</v>
      </c>
      <c r="I103" s="298">
        <v>1992</v>
      </c>
      <c r="J103" s="299">
        <v>41</v>
      </c>
      <c r="K103" s="300" t="s">
        <v>1240</v>
      </c>
      <c r="L103" s="299" t="s">
        <v>1219</v>
      </c>
      <c r="M103" s="299" t="s">
        <v>1219</v>
      </c>
    </row>
    <row r="104" spans="1:13" ht="18" x14ac:dyDescent="0.25">
      <c r="A104" s="293">
        <v>128</v>
      </c>
      <c r="B104" s="294">
        <v>1</v>
      </c>
      <c r="C104" s="295" t="s">
        <v>635</v>
      </c>
      <c r="D104" s="295" t="s">
        <v>636</v>
      </c>
      <c r="E104" s="295" t="s">
        <v>625</v>
      </c>
      <c r="F104" s="296" t="s">
        <v>1271</v>
      </c>
      <c r="G104" s="296" t="s">
        <v>1272</v>
      </c>
      <c r="H104" s="297">
        <v>1820</v>
      </c>
      <c r="I104" s="298">
        <v>1992</v>
      </c>
      <c r="J104" s="299">
        <v>31</v>
      </c>
      <c r="K104" s="300" t="s">
        <v>1267</v>
      </c>
      <c r="L104" s="299" t="s">
        <v>1225</v>
      </c>
      <c r="M104" s="299" t="s">
        <v>1225</v>
      </c>
    </row>
    <row r="105" spans="1:13" ht="18" x14ac:dyDescent="0.25">
      <c r="A105" s="293">
        <v>129</v>
      </c>
      <c r="B105" s="294">
        <v>1</v>
      </c>
      <c r="C105" s="295" t="s">
        <v>639</v>
      </c>
      <c r="D105" s="295" t="s">
        <v>636</v>
      </c>
      <c r="E105" s="295" t="s">
        <v>625</v>
      </c>
      <c r="F105" s="296" t="s">
        <v>1271</v>
      </c>
      <c r="G105" s="296" t="s">
        <v>1272</v>
      </c>
      <c r="H105" s="297">
        <v>2020</v>
      </c>
      <c r="I105" s="298">
        <v>1992</v>
      </c>
      <c r="J105" s="299">
        <v>31</v>
      </c>
      <c r="K105" s="300" t="s">
        <v>1267</v>
      </c>
      <c r="L105" s="299" t="s">
        <v>1273</v>
      </c>
      <c r="M105" s="299" t="s">
        <v>1225</v>
      </c>
    </row>
    <row r="106" spans="1:13" ht="18" x14ac:dyDescent="0.25">
      <c r="A106" s="293">
        <v>130</v>
      </c>
      <c r="B106" s="294">
        <v>1</v>
      </c>
      <c r="C106" s="295" t="s">
        <v>640</v>
      </c>
      <c r="D106" s="295" t="s">
        <v>641</v>
      </c>
      <c r="E106" s="295" t="s">
        <v>625</v>
      </c>
      <c r="F106" s="296" t="s">
        <v>1271</v>
      </c>
      <c r="G106" s="296" t="s">
        <v>1266</v>
      </c>
      <c r="H106" s="297">
        <v>1750</v>
      </c>
      <c r="I106" s="298">
        <v>1992</v>
      </c>
      <c r="J106" s="299">
        <v>31</v>
      </c>
      <c r="K106" s="300" t="s">
        <v>1267</v>
      </c>
      <c r="L106" s="299" t="s">
        <v>1225</v>
      </c>
      <c r="M106" s="299" t="s">
        <v>1225</v>
      </c>
    </row>
    <row r="107" spans="1:13" ht="18" x14ac:dyDescent="0.25">
      <c r="A107" s="293">
        <v>131</v>
      </c>
      <c r="B107" s="294">
        <v>1</v>
      </c>
      <c r="C107" s="295" t="s">
        <v>642</v>
      </c>
      <c r="D107" s="295" t="s">
        <v>641</v>
      </c>
      <c r="E107" s="295" t="s">
        <v>625</v>
      </c>
      <c r="F107" s="296" t="s">
        <v>1271</v>
      </c>
      <c r="G107" s="296" t="s">
        <v>1272</v>
      </c>
      <c r="H107" s="297">
        <v>1960</v>
      </c>
      <c r="I107" s="298">
        <v>1992</v>
      </c>
      <c r="J107" s="299">
        <v>31</v>
      </c>
      <c r="K107" s="300" t="s">
        <v>1267</v>
      </c>
      <c r="L107" s="299" t="s">
        <v>1274</v>
      </c>
      <c r="M107" s="299" t="s">
        <v>1225</v>
      </c>
    </row>
    <row r="108" spans="1:13" ht="18" x14ac:dyDescent="0.25">
      <c r="A108" s="293">
        <v>132</v>
      </c>
      <c r="B108" s="294">
        <v>1</v>
      </c>
      <c r="C108" s="295" t="s">
        <v>643</v>
      </c>
      <c r="D108" s="295" t="s">
        <v>644</v>
      </c>
      <c r="E108" s="295" t="s">
        <v>625</v>
      </c>
      <c r="F108" s="296" t="s">
        <v>1271</v>
      </c>
      <c r="G108" s="296" t="s">
        <v>1241</v>
      </c>
      <c r="H108" s="297">
        <v>1470</v>
      </c>
      <c r="I108" s="298">
        <v>1992</v>
      </c>
      <c r="J108" s="299">
        <v>31</v>
      </c>
      <c r="K108" s="300" t="s">
        <v>1267</v>
      </c>
      <c r="L108" s="299" t="s">
        <v>1225</v>
      </c>
      <c r="M108" s="299" t="s">
        <v>1225</v>
      </c>
    </row>
    <row r="109" spans="1:13" ht="36" customHeight="1" x14ac:dyDescent="0.25">
      <c r="A109" s="293">
        <v>133</v>
      </c>
      <c r="B109" s="294">
        <v>1</v>
      </c>
      <c r="C109" s="295" t="s">
        <v>646</v>
      </c>
      <c r="D109" s="295" t="s">
        <v>647</v>
      </c>
      <c r="E109" s="295" t="s">
        <v>625</v>
      </c>
      <c r="F109" s="296" t="s">
        <v>1271</v>
      </c>
      <c r="G109" s="296" t="s">
        <v>1217</v>
      </c>
      <c r="H109" s="297">
        <v>580</v>
      </c>
      <c r="I109" s="298">
        <v>1992</v>
      </c>
      <c r="J109" s="299">
        <v>70</v>
      </c>
      <c r="K109" s="300" t="s">
        <v>1233</v>
      </c>
      <c r="L109" s="299" t="s">
        <v>1225</v>
      </c>
      <c r="M109" s="299" t="s">
        <v>1225</v>
      </c>
    </row>
    <row r="110" spans="1:13" ht="18" x14ac:dyDescent="0.25">
      <c r="A110" s="293">
        <v>134</v>
      </c>
      <c r="B110" s="294">
        <v>1</v>
      </c>
      <c r="C110" s="295" t="s">
        <v>649</v>
      </c>
      <c r="D110" s="295" t="s">
        <v>650</v>
      </c>
      <c r="E110" s="295" t="s">
        <v>625</v>
      </c>
      <c r="F110" s="296" t="s">
        <v>1271</v>
      </c>
      <c r="G110" s="296" t="s">
        <v>1241</v>
      </c>
      <c r="H110" s="297">
        <v>1412</v>
      </c>
      <c r="I110" s="298">
        <v>1992</v>
      </c>
      <c r="J110" s="299">
        <v>41</v>
      </c>
      <c r="K110" s="300" t="s">
        <v>1240</v>
      </c>
      <c r="L110" s="299" t="s">
        <v>1219</v>
      </c>
      <c r="M110" s="299" t="s">
        <v>1219</v>
      </c>
    </row>
    <row r="111" spans="1:13" ht="18" x14ac:dyDescent="0.25">
      <c r="A111" s="293">
        <v>135</v>
      </c>
      <c r="B111" s="294">
        <v>1</v>
      </c>
      <c r="C111" s="295" t="s">
        <v>652</v>
      </c>
      <c r="D111" s="295" t="s">
        <v>650</v>
      </c>
      <c r="E111" s="295" t="s">
        <v>625</v>
      </c>
      <c r="F111" s="296" t="s">
        <v>1271</v>
      </c>
      <c r="G111" s="296" t="s">
        <v>1266</v>
      </c>
      <c r="H111" s="297">
        <v>1620</v>
      </c>
      <c r="I111" s="298">
        <v>1992</v>
      </c>
      <c r="J111" s="299">
        <v>31</v>
      </c>
      <c r="K111" s="300" t="s">
        <v>1267</v>
      </c>
      <c r="L111" s="299" t="s">
        <v>1219</v>
      </c>
      <c r="M111" s="299" t="s">
        <v>1225</v>
      </c>
    </row>
    <row r="112" spans="1:13" ht="27" x14ac:dyDescent="0.25">
      <c r="A112" s="293">
        <v>138</v>
      </c>
      <c r="B112" s="294">
        <v>1</v>
      </c>
      <c r="C112" s="295" t="s">
        <v>653</v>
      </c>
      <c r="D112" s="295" t="s">
        <v>654</v>
      </c>
      <c r="E112" s="295" t="s">
        <v>625</v>
      </c>
      <c r="F112" s="296" t="s">
        <v>1271</v>
      </c>
      <c r="G112" s="296" t="s">
        <v>1239</v>
      </c>
      <c r="H112" s="297">
        <v>1050</v>
      </c>
      <c r="I112" s="298">
        <v>1992</v>
      </c>
      <c r="J112" s="299">
        <v>41</v>
      </c>
      <c r="K112" s="300" t="s">
        <v>1240</v>
      </c>
      <c r="L112" s="299" t="s">
        <v>1219</v>
      </c>
      <c r="M112" s="299" t="s">
        <v>1219</v>
      </c>
    </row>
    <row r="113" spans="1:13" ht="18" x14ac:dyDescent="0.25">
      <c r="A113" s="293">
        <v>139</v>
      </c>
      <c r="B113" s="294">
        <v>1</v>
      </c>
      <c r="C113" s="295" t="s">
        <v>656</v>
      </c>
      <c r="D113" s="295" t="s">
        <v>657</v>
      </c>
      <c r="E113" s="295" t="s">
        <v>625</v>
      </c>
      <c r="F113" s="296" t="s">
        <v>1271</v>
      </c>
      <c r="G113" s="296" t="s">
        <v>1236</v>
      </c>
      <c r="H113" s="297">
        <v>730</v>
      </c>
      <c r="I113" s="298">
        <v>1992</v>
      </c>
      <c r="J113" s="299">
        <v>70</v>
      </c>
      <c r="K113" s="300" t="s">
        <v>1233</v>
      </c>
      <c r="L113" s="299" t="s">
        <v>1225</v>
      </c>
      <c r="M113" s="299" t="s">
        <v>1275</v>
      </c>
    </row>
    <row r="114" spans="1:13" ht="18" x14ac:dyDescent="0.25">
      <c r="A114" s="293">
        <v>140</v>
      </c>
      <c r="B114" s="294">
        <v>1</v>
      </c>
      <c r="C114" s="295" t="s">
        <v>661</v>
      </c>
      <c r="D114" s="295" t="s">
        <v>657</v>
      </c>
      <c r="E114" s="295" t="s">
        <v>625</v>
      </c>
      <c r="F114" s="296" t="s">
        <v>1271</v>
      </c>
      <c r="G114" s="296" t="s">
        <v>1241</v>
      </c>
      <c r="H114" s="297">
        <v>1270</v>
      </c>
      <c r="I114" s="298">
        <v>1992</v>
      </c>
      <c r="J114" s="299">
        <v>41</v>
      </c>
      <c r="K114" s="300" t="s">
        <v>1240</v>
      </c>
      <c r="L114" s="299" t="s">
        <v>1225</v>
      </c>
      <c r="M114" s="299" t="s">
        <v>1225</v>
      </c>
    </row>
    <row r="115" spans="1:13" ht="18" x14ac:dyDescent="0.25">
      <c r="A115" s="293">
        <v>141</v>
      </c>
      <c r="B115" s="294">
        <v>1</v>
      </c>
      <c r="C115" s="295" t="s">
        <v>662</v>
      </c>
      <c r="D115" s="295" t="s">
        <v>657</v>
      </c>
      <c r="E115" s="295" t="s">
        <v>625</v>
      </c>
      <c r="F115" s="296" t="s">
        <v>1271</v>
      </c>
      <c r="G115" s="296" t="s">
        <v>1241</v>
      </c>
      <c r="H115" s="297">
        <v>1300</v>
      </c>
      <c r="I115" s="298">
        <v>1992</v>
      </c>
      <c r="J115" s="299">
        <v>41</v>
      </c>
      <c r="K115" s="300" t="s">
        <v>1240</v>
      </c>
      <c r="L115" s="299" t="s">
        <v>1225</v>
      </c>
      <c r="M115" s="299" t="s">
        <v>1225</v>
      </c>
    </row>
    <row r="116" spans="1:13" ht="27" x14ac:dyDescent="0.25">
      <c r="A116" s="293">
        <v>142</v>
      </c>
      <c r="B116" s="294">
        <v>1</v>
      </c>
      <c r="C116" s="295" t="s">
        <v>663</v>
      </c>
      <c r="D116" s="295" t="s">
        <v>664</v>
      </c>
      <c r="E116" s="295" t="s">
        <v>625</v>
      </c>
      <c r="F116" s="296" t="s">
        <v>1271</v>
      </c>
      <c r="G116" s="296" t="s">
        <v>1241</v>
      </c>
      <c r="H116" s="297">
        <v>1380</v>
      </c>
      <c r="I116" s="298">
        <v>1992</v>
      </c>
      <c r="J116" s="299">
        <v>41</v>
      </c>
      <c r="K116" s="300" t="s">
        <v>1240</v>
      </c>
      <c r="L116" s="299" t="s">
        <v>1225</v>
      </c>
      <c r="M116" s="299" t="s">
        <v>1225</v>
      </c>
    </row>
    <row r="117" spans="1:13" ht="18" x14ac:dyDescent="0.25">
      <c r="A117" s="293">
        <v>144</v>
      </c>
      <c r="B117" s="294">
        <v>1</v>
      </c>
      <c r="C117" s="295" t="s">
        <v>362</v>
      </c>
      <c r="D117" s="295" t="s">
        <v>363</v>
      </c>
      <c r="E117" s="295" t="s">
        <v>361</v>
      </c>
      <c r="F117" s="296" t="s">
        <v>1222</v>
      </c>
      <c r="G117" s="296" t="s">
        <v>1217</v>
      </c>
      <c r="H117" s="297">
        <v>460</v>
      </c>
      <c r="I117" s="298">
        <v>1992</v>
      </c>
      <c r="J117" s="299">
        <v>83</v>
      </c>
      <c r="K117" s="300" t="s">
        <v>1276</v>
      </c>
      <c r="L117" s="299" t="s">
        <v>1219</v>
      </c>
      <c r="M117" s="299" t="s">
        <v>1219</v>
      </c>
    </row>
    <row r="118" spans="1:13" ht="18" x14ac:dyDescent="0.25">
      <c r="A118" s="293">
        <v>145</v>
      </c>
      <c r="B118" s="294">
        <v>1</v>
      </c>
      <c r="C118" s="295" t="s">
        <v>369</v>
      </c>
      <c r="D118" s="295" t="s">
        <v>363</v>
      </c>
      <c r="E118" s="295" t="s">
        <v>361</v>
      </c>
      <c r="F118" s="296" t="s">
        <v>1222</v>
      </c>
      <c r="G118" s="296" t="s">
        <v>1217</v>
      </c>
      <c r="H118" s="297">
        <v>440</v>
      </c>
      <c r="I118" s="298">
        <v>1992</v>
      </c>
      <c r="J118" s="299">
        <v>83</v>
      </c>
      <c r="K118" s="300" t="s">
        <v>1276</v>
      </c>
      <c r="L118" s="299" t="s">
        <v>1219</v>
      </c>
      <c r="M118" s="299" t="s">
        <v>1219</v>
      </c>
    </row>
    <row r="119" spans="1:13" ht="18" x14ac:dyDescent="0.25">
      <c r="A119" s="293">
        <v>146</v>
      </c>
      <c r="B119" s="294">
        <v>1</v>
      </c>
      <c r="C119" s="295" t="s">
        <v>483</v>
      </c>
      <c r="D119" s="295" t="s">
        <v>484</v>
      </c>
      <c r="E119" s="295" t="s">
        <v>482</v>
      </c>
      <c r="F119" s="296" t="s">
        <v>1277</v>
      </c>
      <c r="G119" s="296" t="s">
        <v>1241</v>
      </c>
      <c r="H119" s="297">
        <v>1355</v>
      </c>
      <c r="I119" s="298">
        <v>1992</v>
      </c>
      <c r="J119" s="299">
        <v>41</v>
      </c>
      <c r="K119" s="300" t="s">
        <v>1240</v>
      </c>
      <c r="L119" s="299" t="s">
        <v>1225</v>
      </c>
      <c r="M119" s="299" t="s">
        <v>1225</v>
      </c>
    </row>
    <row r="120" spans="1:13" ht="18" x14ac:dyDescent="0.25">
      <c r="A120" s="293">
        <v>147</v>
      </c>
      <c r="B120" s="294">
        <v>1</v>
      </c>
      <c r="C120" s="295" t="s">
        <v>485</v>
      </c>
      <c r="D120" s="295" t="s">
        <v>484</v>
      </c>
      <c r="E120" s="295" t="s">
        <v>482</v>
      </c>
      <c r="F120" s="296" t="s">
        <v>1277</v>
      </c>
      <c r="G120" s="296" t="s">
        <v>1241</v>
      </c>
      <c r="H120" s="297">
        <v>1290</v>
      </c>
      <c r="I120" s="298">
        <v>1992</v>
      </c>
      <c r="J120" s="299">
        <v>41</v>
      </c>
      <c r="K120" s="300" t="s">
        <v>1240</v>
      </c>
      <c r="L120" s="299" t="s">
        <v>1225</v>
      </c>
      <c r="M120" s="299" t="s">
        <v>1225</v>
      </c>
    </row>
    <row r="121" spans="1:13" ht="18" x14ac:dyDescent="0.25">
      <c r="A121" s="293">
        <v>148</v>
      </c>
      <c r="B121" s="294">
        <v>1</v>
      </c>
      <c r="C121" s="295" t="s">
        <v>486</v>
      </c>
      <c r="D121" s="295" t="s">
        <v>484</v>
      </c>
      <c r="E121" s="295" t="s">
        <v>482</v>
      </c>
      <c r="F121" s="296" t="s">
        <v>1277</v>
      </c>
      <c r="G121" s="296" t="s">
        <v>1241</v>
      </c>
      <c r="H121" s="297">
        <v>1235</v>
      </c>
      <c r="I121" s="298">
        <v>1992</v>
      </c>
      <c r="J121" s="299">
        <v>41</v>
      </c>
      <c r="K121" s="300" t="s">
        <v>1240</v>
      </c>
      <c r="L121" s="299" t="s">
        <v>1225</v>
      </c>
      <c r="M121" s="299" t="s">
        <v>1278</v>
      </c>
    </row>
    <row r="122" spans="1:13" ht="18" x14ac:dyDescent="0.25">
      <c r="A122" s="293">
        <v>149</v>
      </c>
      <c r="B122" s="294">
        <v>1</v>
      </c>
      <c r="C122" s="295" t="s">
        <v>487</v>
      </c>
      <c r="D122" s="295" t="s">
        <v>484</v>
      </c>
      <c r="E122" s="295" t="s">
        <v>482</v>
      </c>
      <c r="F122" s="296" t="s">
        <v>1277</v>
      </c>
      <c r="G122" s="296" t="s">
        <v>1239</v>
      </c>
      <c r="H122" s="297">
        <v>1180</v>
      </c>
      <c r="I122" s="298">
        <v>1992</v>
      </c>
      <c r="J122" s="299">
        <v>41</v>
      </c>
      <c r="K122" s="300" t="s">
        <v>1240</v>
      </c>
      <c r="L122" s="299" t="s">
        <v>1225</v>
      </c>
      <c r="M122" s="299" t="s">
        <v>1225</v>
      </c>
    </row>
    <row r="123" spans="1:13" ht="27" x14ac:dyDescent="0.25">
      <c r="A123" s="303">
        <v>150.1</v>
      </c>
      <c r="B123" s="294">
        <v>1</v>
      </c>
      <c r="C123" s="295" t="s">
        <v>488</v>
      </c>
      <c r="D123" s="295" t="s">
        <v>489</v>
      </c>
      <c r="E123" s="295" t="s">
        <v>482</v>
      </c>
      <c r="F123" s="296" t="s">
        <v>1277</v>
      </c>
      <c r="G123" s="296" t="s">
        <v>1217</v>
      </c>
      <c r="H123" s="297">
        <v>355</v>
      </c>
      <c r="I123" s="298">
        <v>1992</v>
      </c>
      <c r="J123" s="299">
        <v>61</v>
      </c>
      <c r="K123" s="300" t="s">
        <v>1268</v>
      </c>
      <c r="L123" s="299" t="s">
        <v>1225</v>
      </c>
      <c r="M123" s="299" t="s">
        <v>1223</v>
      </c>
    </row>
    <row r="124" spans="1:13" ht="27" x14ac:dyDescent="0.25">
      <c r="A124" s="303">
        <v>150.19999999999999</v>
      </c>
      <c r="B124" s="294">
        <v>2</v>
      </c>
      <c r="C124" s="295" t="s">
        <v>488</v>
      </c>
      <c r="D124" s="295" t="s">
        <v>489</v>
      </c>
      <c r="E124" s="295" t="s">
        <v>482</v>
      </c>
      <c r="F124" s="296" t="s">
        <v>1277</v>
      </c>
      <c r="G124" s="296" t="s">
        <v>1217</v>
      </c>
      <c r="H124" s="297">
        <v>355</v>
      </c>
      <c r="I124" s="298">
        <v>1992</v>
      </c>
      <c r="J124" s="299">
        <v>62</v>
      </c>
      <c r="K124" s="300" t="s">
        <v>1268</v>
      </c>
      <c r="L124" s="299" t="s">
        <v>1225</v>
      </c>
      <c r="M124" s="299" t="s">
        <v>1225</v>
      </c>
    </row>
    <row r="125" spans="1:13" ht="18" x14ac:dyDescent="0.25">
      <c r="A125" s="304">
        <v>151</v>
      </c>
      <c r="B125" s="294">
        <v>1</v>
      </c>
      <c r="C125" s="295" t="s">
        <v>490</v>
      </c>
      <c r="D125" s="295" t="s">
        <v>489</v>
      </c>
      <c r="E125" s="295" t="s">
        <v>482</v>
      </c>
      <c r="F125" s="296" t="s">
        <v>1277</v>
      </c>
      <c r="G125" s="296" t="s">
        <v>1217</v>
      </c>
      <c r="H125" s="297">
        <v>590</v>
      </c>
      <c r="I125" s="298">
        <v>1992</v>
      </c>
      <c r="J125" s="299">
        <v>41</v>
      </c>
      <c r="K125" s="300" t="s">
        <v>1240</v>
      </c>
      <c r="L125" s="299" t="s">
        <v>1225</v>
      </c>
      <c r="M125" s="299" t="s">
        <v>1225</v>
      </c>
    </row>
    <row r="126" spans="1:13" ht="18" x14ac:dyDescent="0.25">
      <c r="A126" s="293">
        <v>155</v>
      </c>
      <c r="B126" s="294">
        <v>1</v>
      </c>
      <c r="C126" s="295" t="s">
        <v>491</v>
      </c>
      <c r="D126" s="295" t="s">
        <v>492</v>
      </c>
      <c r="E126" s="295" t="s">
        <v>482</v>
      </c>
      <c r="F126" s="296" t="s">
        <v>1277</v>
      </c>
      <c r="G126" s="296" t="s">
        <v>1241</v>
      </c>
      <c r="H126" s="297">
        <v>1420</v>
      </c>
      <c r="I126" s="298">
        <v>1992</v>
      </c>
      <c r="J126" s="299">
        <v>41</v>
      </c>
      <c r="K126" s="300" t="s">
        <v>1240</v>
      </c>
      <c r="L126" s="299" t="s">
        <v>1225</v>
      </c>
      <c r="M126" s="299" t="s">
        <v>1225</v>
      </c>
    </row>
    <row r="127" spans="1:13" ht="27" x14ac:dyDescent="0.25">
      <c r="A127" s="293">
        <v>156</v>
      </c>
      <c r="B127" s="294">
        <v>1</v>
      </c>
      <c r="C127" s="295" t="s">
        <v>493</v>
      </c>
      <c r="D127" s="295" t="s">
        <v>294</v>
      </c>
      <c r="E127" s="295" t="s">
        <v>482</v>
      </c>
      <c r="F127" s="296" t="s">
        <v>1279</v>
      </c>
      <c r="G127" s="296" t="s">
        <v>1217</v>
      </c>
      <c r="H127" s="297">
        <v>250</v>
      </c>
      <c r="I127" s="298">
        <v>1992</v>
      </c>
      <c r="J127" s="299">
        <v>62</v>
      </c>
      <c r="K127" s="300" t="s">
        <v>1280</v>
      </c>
      <c r="L127" s="299" t="s">
        <v>1225</v>
      </c>
      <c r="M127" s="299" t="s">
        <v>1223</v>
      </c>
    </row>
    <row r="128" spans="1:13" ht="27" x14ac:dyDescent="0.25">
      <c r="A128" s="293">
        <v>157</v>
      </c>
      <c r="B128" s="294">
        <v>1</v>
      </c>
      <c r="C128" s="295" t="s">
        <v>359</v>
      </c>
      <c r="D128" s="295" t="s">
        <v>294</v>
      </c>
      <c r="E128" s="295" t="s">
        <v>358</v>
      </c>
      <c r="F128" s="296" t="s">
        <v>1279</v>
      </c>
      <c r="G128" s="296" t="s">
        <v>1217</v>
      </c>
      <c r="H128" s="297">
        <v>260</v>
      </c>
      <c r="I128" s="298">
        <v>1992</v>
      </c>
      <c r="J128" s="299">
        <v>62</v>
      </c>
      <c r="K128" s="300" t="s">
        <v>1280</v>
      </c>
      <c r="L128" s="299" t="s">
        <v>1281</v>
      </c>
      <c r="M128" s="299" t="s">
        <v>1223</v>
      </c>
    </row>
    <row r="129" spans="1:13" ht="27" x14ac:dyDescent="0.25">
      <c r="A129" s="293">
        <v>158</v>
      </c>
      <c r="B129" s="294">
        <v>1</v>
      </c>
      <c r="C129" s="295" t="s">
        <v>293</v>
      </c>
      <c r="D129" s="295" t="s">
        <v>294</v>
      </c>
      <c r="E129" s="295" t="s">
        <v>274</v>
      </c>
      <c r="F129" s="296" t="s">
        <v>1279</v>
      </c>
      <c r="G129" s="296" t="s">
        <v>1217</v>
      </c>
      <c r="H129" s="297">
        <v>270</v>
      </c>
      <c r="I129" s="298">
        <v>1992</v>
      </c>
      <c r="J129" s="299">
        <v>62</v>
      </c>
      <c r="K129" s="300" t="s">
        <v>1280</v>
      </c>
      <c r="L129" s="299" t="s">
        <v>1281</v>
      </c>
      <c r="M129" s="299" t="s">
        <v>1223</v>
      </c>
    </row>
    <row r="130" spans="1:13" ht="27" x14ac:dyDescent="0.25">
      <c r="A130" s="293">
        <v>160</v>
      </c>
      <c r="B130" s="294">
        <v>1</v>
      </c>
      <c r="C130" s="295" t="s">
        <v>296</v>
      </c>
      <c r="D130" s="295" t="s">
        <v>294</v>
      </c>
      <c r="E130" s="295" t="s">
        <v>274</v>
      </c>
      <c r="F130" s="296" t="s">
        <v>1279</v>
      </c>
      <c r="G130" s="296" t="s">
        <v>1217</v>
      </c>
      <c r="H130" s="297">
        <v>320</v>
      </c>
      <c r="I130" s="298">
        <v>1992</v>
      </c>
      <c r="J130" s="299">
        <v>62</v>
      </c>
      <c r="K130" s="300" t="s">
        <v>1280</v>
      </c>
      <c r="L130" s="299" t="s">
        <v>1225</v>
      </c>
      <c r="M130" s="299" t="s">
        <v>1225</v>
      </c>
    </row>
    <row r="131" spans="1:13" ht="36" x14ac:dyDescent="0.25">
      <c r="A131" s="293">
        <v>161</v>
      </c>
      <c r="B131" s="294">
        <v>1</v>
      </c>
      <c r="C131" s="295" t="s">
        <v>297</v>
      </c>
      <c r="D131" s="295" t="s">
        <v>294</v>
      </c>
      <c r="E131" s="295" t="s">
        <v>274</v>
      </c>
      <c r="F131" s="296" t="s">
        <v>1277</v>
      </c>
      <c r="G131" s="296" t="s">
        <v>1217</v>
      </c>
      <c r="H131" s="297">
        <v>410</v>
      </c>
      <c r="I131" s="298">
        <v>1992</v>
      </c>
      <c r="J131" s="299">
        <v>62</v>
      </c>
      <c r="K131" s="300" t="s">
        <v>1280</v>
      </c>
      <c r="L131" s="299" t="s">
        <v>1225</v>
      </c>
      <c r="M131" s="299" t="s">
        <v>1282</v>
      </c>
    </row>
    <row r="132" spans="1:13" ht="27" x14ac:dyDescent="0.25">
      <c r="A132" s="293">
        <v>162</v>
      </c>
      <c r="B132" s="294">
        <v>1</v>
      </c>
      <c r="C132" s="295" t="s">
        <v>298</v>
      </c>
      <c r="D132" s="295" t="s">
        <v>294</v>
      </c>
      <c r="E132" s="295" t="s">
        <v>274</v>
      </c>
      <c r="F132" s="296" t="s">
        <v>1277</v>
      </c>
      <c r="G132" s="296" t="s">
        <v>1217</v>
      </c>
      <c r="H132" s="297">
        <v>485</v>
      </c>
      <c r="I132" s="298">
        <v>1992</v>
      </c>
      <c r="J132" s="299">
        <v>61</v>
      </c>
      <c r="K132" s="300" t="s">
        <v>1268</v>
      </c>
      <c r="L132" s="299" t="s">
        <v>1225</v>
      </c>
      <c r="M132" s="299" t="s">
        <v>1219</v>
      </c>
    </row>
    <row r="133" spans="1:13" ht="27" x14ac:dyDescent="0.25">
      <c r="A133" s="293">
        <v>164</v>
      </c>
      <c r="B133" s="294">
        <v>1</v>
      </c>
      <c r="C133" s="295" t="s">
        <v>299</v>
      </c>
      <c r="D133" s="295" t="s">
        <v>294</v>
      </c>
      <c r="E133" s="295" t="s">
        <v>274</v>
      </c>
      <c r="F133" s="296" t="s">
        <v>1277</v>
      </c>
      <c r="G133" s="296" t="s">
        <v>1217</v>
      </c>
      <c r="H133" s="297">
        <v>590</v>
      </c>
      <c r="I133" s="298">
        <v>1992</v>
      </c>
      <c r="J133" s="299">
        <v>61</v>
      </c>
      <c r="K133" s="300" t="s">
        <v>1268</v>
      </c>
      <c r="L133" s="299" t="s">
        <v>1219</v>
      </c>
      <c r="M133" s="299" t="s">
        <v>1219</v>
      </c>
    </row>
    <row r="134" spans="1:13" ht="18" x14ac:dyDescent="0.25">
      <c r="A134" s="293">
        <v>166</v>
      </c>
      <c r="B134" s="294">
        <v>1</v>
      </c>
      <c r="C134" s="295" t="s">
        <v>301</v>
      </c>
      <c r="D134" s="295" t="s">
        <v>302</v>
      </c>
      <c r="E134" s="295" t="s">
        <v>274</v>
      </c>
      <c r="F134" s="296" t="s">
        <v>1277</v>
      </c>
      <c r="G134" s="296" t="s">
        <v>1239</v>
      </c>
      <c r="H134" s="297">
        <v>985</v>
      </c>
      <c r="I134" s="298">
        <v>1992</v>
      </c>
      <c r="J134" s="299">
        <v>42</v>
      </c>
      <c r="K134" s="300" t="s">
        <v>1237</v>
      </c>
      <c r="L134" s="299" t="s">
        <v>1225</v>
      </c>
      <c r="M134" s="299" t="s">
        <v>1275</v>
      </c>
    </row>
    <row r="135" spans="1:13" ht="27" x14ac:dyDescent="0.25">
      <c r="A135" s="293">
        <v>167</v>
      </c>
      <c r="B135" s="294">
        <v>1</v>
      </c>
      <c r="C135" s="295" t="s">
        <v>497</v>
      </c>
      <c r="D135" s="295" t="s">
        <v>484</v>
      </c>
      <c r="E135" s="295" t="s">
        <v>482</v>
      </c>
      <c r="F135" s="296" t="s">
        <v>1279</v>
      </c>
      <c r="G135" s="296" t="s">
        <v>1217</v>
      </c>
      <c r="H135" s="297">
        <v>215</v>
      </c>
      <c r="I135" s="298">
        <v>1992</v>
      </c>
      <c r="J135" s="299">
        <v>62</v>
      </c>
      <c r="K135" s="300" t="s">
        <v>1280</v>
      </c>
      <c r="L135" s="299" t="s">
        <v>1225</v>
      </c>
      <c r="M135" s="299" t="s">
        <v>1223</v>
      </c>
    </row>
    <row r="136" spans="1:13" ht="27" x14ac:dyDescent="0.25">
      <c r="A136" s="293">
        <v>168</v>
      </c>
      <c r="B136" s="294">
        <v>1</v>
      </c>
      <c r="C136" s="295" t="s">
        <v>499</v>
      </c>
      <c r="D136" s="295" t="s">
        <v>484</v>
      </c>
      <c r="E136" s="295" t="s">
        <v>482</v>
      </c>
      <c r="F136" s="296" t="s">
        <v>1279</v>
      </c>
      <c r="G136" s="296" t="s">
        <v>1217</v>
      </c>
      <c r="H136" s="297">
        <v>200</v>
      </c>
      <c r="I136" s="298">
        <v>1992</v>
      </c>
      <c r="J136" s="299">
        <v>62</v>
      </c>
      <c r="K136" s="300" t="s">
        <v>1280</v>
      </c>
      <c r="L136" s="299" t="s">
        <v>1225</v>
      </c>
      <c r="M136" s="299" t="s">
        <v>1223</v>
      </c>
    </row>
    <row r="137" spans="1:13" ht="18" x14ac:dyDescent="0.25">
      <c r="A137" s="303">
        <v>169.1</v>
      </c>
      <c r="B137" s="294">
        <v>1</v>
      </c>
      <c r="C137" s="295" t="s">
        <v>500</v>
      </c>
      <c r="D137" s="295" t="s">
        <v>501</v>
      </c>
      <c r="E137" s="295" t="s">
        <v>482</v>
      </c>
      <c r="F137" s="296" t="s">
        <v>1279</v>
      </c>
      <c r="G137" s="296" t="s">
        <v>1217</v>
      </c>
      <c r="H137" s="297">
        <v>190</v>
      </c>
      <c r="I137" s="298">
        <v>1992</v>
      </c>
      <c r="J137" s="299">
        <v>90</v>
      </c>
      <c r="K137" s="300" t="s">
        <v>1256</v>
      </c>
      <c r="L137" s="299" t="s">
        <v>1225</v>
      </c>
      <c r="M137" s="299" t="s">
        <v>1225</v>
      </c>
    </row>
    <row r="138" spans="1:13" ht="27" x14ac:dyDescent="0.25">
      <c r="A138" s="303">
        <v>169.2</v>
      </c>
      <c r="B138" s="294">
        <v>2</v>
      </c>
      <c r="C138" s="295" t="s">
        <v>500</v>
      </c>
      <c r="D138" s="295" t="s">
        <v>501</v>
      </c>
      <c r="E138" s="295" t="s">
        <v>482</v>
      </c>
      <c r="F138" s="296" t="s">
        <v>1279</v>
      </c>
      <c r="G138" s="296" t="s">
        <v>1217</v>
      </c>
      <c r="H138" s="297">
        <v>190</v>
      </c>
      <c r="I138" s="298">
        <v>1992</v>
      </c>
      <c r="J138" s="299">
        <v>62</v>
      </c>
      <c r="K138" s="300" t="s">
        <v>1280</v>
      </c>
      <c r="L138" s="299" t="s">
        <v>1225</v>
      </c>
      <c r="M138" s="299" t="s">
        <v>1223</v>
      </c>
    </row>
    <row r="139" spans="1:13" ht="27" x14ac:dyDescent="0.25">
      <c r="A139" s="293">
        <v>170</v>
      </c>
      <c r="B139" s="294">
        <v>1</v>
      </c>
      <c r="C139" s="295" t="s">
        <v>502</v>
      </c>
      <c r="D139" s="295" t="s">
        <v>503</v>
      </c>
      <c r="E139" s="295" t="s">
        <v>482</v>
      </c>
      <c r="F139" s="296" t="s">
        <v>1279</v>
      </c>
      <c r="G139" s="296" t="s">
        <v>1217</v>
      </c>
      <c r="H139" s="297">
        <v>300</v>
      </c>
      <c r="I139" s="298">
        <v>1992</v>
      </c>
      <c r="J139" s="299">
        <v>61</v>
      </c>
      <c r="K139" s="300" t="s">
        <v>1268</v>
      </c>
      <c r="L139" s="299" t="s">
        <v>1225</v>
      </c>
      <c r="M139" s="299" t="s">
        <v>1263</v>
      </c>
    </row>
    <row r="140" spans="1:13" ht="27" x14ac:dyDescent="0.25">
      <c r="A140" s="304">
        <v>171</v>
      </c>
      <c r="B140" s="294">
        <v>1</v>
      </c>
      <c r="C140" s="295" t="s">
        <v>503</v>
      </c>
      <c r="D140" s="295" t="s">
        <v>503</v>
      </c>
      <c r="E140" s="295" t="s">
        <v>482</v>
      </c>
      <c r="F140" s="296" t="s">
        <v>1283</v>
      </c>
      <c r="G140" s="296" t="s">
        <v>1217</v>
      </c>
      <c r="H140" s="297">
        <v>360</v>
      </c>
      <c r="I140" s="298">
        <v>1992</v>
      </c>
      <c r="J140" s="299">
        <v>61</v>
      </c>
      <c r="K140" s="300" t="s">
        <v>1268</v>
      </c>
      <c r="L140" s="299" t="s">
        <v>1225</v>
      </c>
      <c r="M140" s="299" t="s">
        <v>1225</v>
      </c>
    </row>
    <row r="141" spans="1:13" ht="18" x14ac:dyDescent="0.25">
      <c r="A141" s="293">
        <v>172</v>
      </c>
      <c r="B141" s="294">
        <v>1</v>
      </c>
      <c r="C141" s="295" t="s">
        <v>509</v>
      </c>
      <c r="D141" s="295" t="s">
        <v>503</v>
      </c>
      <c r="E141" s="295" t="s">
        <v>482</v>
      </c>
      <c r="F141" s="296" t="s">
        <v>1277</v>
      </c>
      <c r="G141" s="296" t="s">
        <v>1236</v>
      </c>
      <c r="H141" s="297">
        <v>690</v>
      </c>
      <c r="I141" s="298">
        <v>1992</v>
      </c>
      <c r="J141" s="299">
        <v>41</v>
      </c>
      <c r="K141" s="300" t="s">
        <v>1240</v>
      </c>
      <c r="L141" s="299" t="s">
        <v>1225</v>
      </c>
      <c r="M141" s="299" t="s">
        <v>1275</v>
      </c>
    </row>
    <row r="142" spans="1:13" ht="18" x14ac:dyDescent="0.25">
      <c r="A142" s="293">
        <v>174</v>
      </c>
      <c r="B142" s="294">
        <v>1</v>
      </c>
      <c r="C142" s="295" t="s">
        <v>303</v>
      </c>
      <c r="D142" s="295" t="s">
        <v>304</v>
      </c>
      <c r="E142" s="295" t="s">
        <v>274</v>
      </c>
      <c r="F142" s="296" t="s">
        <v>1235</v>
      </c>
      <c r="G142" s="296" t="s">
        <v>1239</v>
      </c>
      <c r="H142" s="297">
        <v>1070</v>
      </c>
      <c r="I142" s="298">
        <v>1992</v>
      </c>
      <c r="J142" s="299">
        <v>41</v>
      </c>
      <c r="K142" s="300" t="s">
        <v>1240</v>
      </c>
      <c r="L142" s="299" t="s">
        <v>1225</v>
      </c>
      <c r="M142" s="299" t="s">
        <v>1225</v>
      </c>
    </row>
    <row r="143" spans="1:13" ht="18" x14ac:dyDescent="0.25">
      <c r="A143" s="293">
        <v>176</v>
      </c>
      <c r="B143" s="294">
        <v>1</v>
      </c>
      <c r="C143" s="295" t="s">
        <v>305</v>
      </c>
      <c r="D143" s="295" t="s">
        <v>304</v>
      </c>
      <c r="E143" s="295" t="s">
        <v>274</v>
      </c>
      <c r="F143" s="296" t="s">
        <v>1235</v>
      </c>
      <c r="G143" s="296" t="s">
        <v>1239</v>
      </c>
      <c r="H143" s="297">
        <v>1070</v>
      </c>
      <c r="I143" s="298">
        <v>1992</v>
      </c>
      <c r="J143" s="299">
        <v>41</v>
      </c>
      <c r="K143" s="300" t="s">
        <v>1240</v>
      </c>
      <c r="L143" s="299" t="s">
        <v>1225</v>
      </c>
      <c r="M143" s="299" t="s">
        <v>1225</v>
      </c>
    </row>
    <row r="144" spans="1:13" ht="27" x14ac:dyDescent="0.25">
      <c r="A144" s="293">
        <v>177</v>
      </c>
      <c r="B144" s="294">
        <v>1</v>
      </c>
      <c r="C144" s="295" t="s">
        <v>306</v>
      </c>
      <c r="D144" s="295" t="s">
        <v>304</v>
      </c>
      <c r="E144" s="295" t="s">
        <v>274</v>
      </c>
      <c r="F144" s="296" t="s">
        <v>1235</v>
      </c>
      <c r="G144" s="296" t="s">
        <v>1239</v>
      </c>
      <c r="H144" s="297">
        <v>1088</v>
      </c>
      <c r="I144" s="298">
        <v>1992</v>
      </c>
      <c r="J144" s="299">
        <v>41</v>
      </c>
      <c r="K144" s="300" t="s">
        <v>1240</v>
      </c>
      <c r="L144" s="299" t="s">
        <v>1284</v>
      </c>
      <c r="M144" s="299" t="s">
        <v>1263</v>
      </c>
    </row>
    <row r="145" spans="1:13" ht="18" x14ac:dyDescent="0.25">
      <c r="A145" s="293">
        <v>181</v>
      </c>
      <c r="B145" s="294">
        <v>1</v>
      </c>
      <c r="C145" s="295" t="s">
        <v>309</v>
      </c>
      <c r="D145" s="295" t="s">
        <v>304</v>
      </c>
      <c r="E145" s="295" t="s">
        <v>274</v>
      </c>
      <c r="F145" s="296" t="s">
        <v>1235</v>
      </c>
      <c r="G145" s="296" t="s">
        <v>1239</v>
      </c>
      <c r="H145" s="297">
        <v>1150</v>
      </c>
      <c r="I145" s="298">
        <v>1992</v>
      </c>
      <c r="J145" s="299">
        <v>41</v>
      </c>
      <c r="K145" s="300" t="s">
        <v>1240</v>
      </c>
      <c r="L145" s="299" t="s">
        <v>1219</v>
      </c>
      <c r="M145" s="299" t="s">
        <v>1238</v>
      </c>
    </row>
    <row r="146" spans="1:13" ht="18" x14ac:dyDescent="0.25">
      <c r="A146" s="293">
        <v>185</v>
      </c>
      <c r="B146" s="294">
        <v>1</v>
      </c>
      <c r="C146" s="295" t="s">
        <v>312</v>
      </c>
      <c r="D146" s="295" t="s">
        <v>304</v>
      </c>
      <c r="E146" s="295" t="s">
        <v>274</v>
      </c>
      <c r="F146" s="296" t="s">
        <v>1235</v>
      </c>
      <c r="G146" s="296" t="s">
        <v>1241</v>
      </c>
      <c r="H146" s="297">
        <v>1420</v>
      </c>
      <c r="I146" s="298">
        <v>1992</v>
      </c>
      <c r="J146" s="299">
        <v>41</v>
      </c>
      <c r="K146" s="300" t="s">
        <v>1240</v>
      </c>
      <c r="L146" s="299" t="s">
        <v>1219</v>
      </c>
      <c r="M146" s="299" t="s">
        <v>1219</v>
      </c>
    </row>
    <row r="147" spans="1:13" ht="18" x14ac:dyDescent="0.25">
      <c r="A147" s="293">
        <v>187</v>
      </c>
      <c r="B147" s="294">
        <v>1</v>
      </c>
      <c r="C147" s="295" t="s">
        <v>314</v>
      </c>
      <c r="D147" s="295" t="s">
        <v>315</v>
      </c>
      <c r="E147" s="295" t="s">
        <v>274</v>
      </c>
      <c r="F147" s="296" t="s">
        <v>1235</v>
      </c>
      <c r="G147" s="296" t="s">
        <v>1266</v>
      </c>
      <c r="H147" s="297">
        <v>1780</v>
      </c>
      <c r="I147" s="298">
        <v>1992</v>
      </c>
      <c r="J147" s="299">
        <v>31</v>
      </c>
      <c r="K147" s="300" t="s">
        <v>1267</v>
      </c>
      <c r="L147" s="299" t="s">
        <v>1225</v>
      </c>
      <c r="M147" s="299" t="s">
        <v>1225</v>
      </c>
    </row>
    <row r="148" spans="1:13" ht="18" x14ac:dyDescent="0.25">
      <c r="A148" s="293">
        <v>188</v>
      </c>
      <c r="B148" s="294">
        <v>1</v>
      </c>
      <c r="C148" s="295" t="s">
        <v>317</v>
      </c>
      <c r="D148" s="295" t="s">
        <v>304</v>
      </c>
      <c r="E148" s="295" t="s">
        <v>274</v>
      </c>
      <c r="F148" s="296" t="s">
        <v>1235</v>
      </c>
      <c r="G148" s="296" t="s">
        <v>1266</v>
      </c>
      <c r="H148" s="297">
        <v>1670</v>
      </c>
      <c r="I148" s="298">
        <v>1992</v>
      </c>
      <c r="J148" s="299">
        <v>31</v>
      </c>
      <c r="K148" s="300" t="s">
        <v>1267</v>
      </c>
      <c r="L148" s="299" t="s">
        <v>1225</v>
      </c>
      <c r="M148" s="299" t="s">
        <v>1225</v>
      </c>
    </row>
    <row r="149" spans="1:13" ht="27" x14ac:dyDescent="0.25">
      <c r="A149" s="293">
        <v>190</v>
      </c>
      <c r="B149" s="294">
        <v>1</v>
      </c>
      <c r="C149" s="295" t="s">
        <v>318</v>
      </c>
      <c r="D149" s="295" t="s">
        <v>319</v>
      </c>
      <c r="E149" s="295" t="s">
        <v>274</v>
      </c>
      <c r="F149" s="296" t="s">
        <v>1235</v>
      </c>
      <c r="G149" s="296" t="s">
        <v>1266</v>
      </c>
      <c r="H149" s="297">
        <v>1690</v>
      </c>
      <c r="I149" s="298">
        <v>1992</v>
      </c>
      <c r="J149" s="299">
        <v>32</v>
      </c>
      <c r="K149" s="300" t="s">
        <v>1285</v>
      </c>
      <c r="L149" s="299" t="s">
        <v>1225</v>
      </c>
      <c r="M149" s="299" t="s">
        <v>1223</v>
      </c>
    </row>
    <row r="150" spans="1:13" ht="18" x14ac:dyDescent="0.25">
      <c r="A150" s="293">
        <v>194</v>
      </c>
      <c r="B150" s="294">
        <v>1</v>
      </c>
      <c r="C150" s="295" t="s">
        <v>320</v>
      </c>
      <c r="D150" s="295" t="s">
        <v>321</v>
      </c>
      <c r="E150" s="295" t="s">
        <v>274</v>
      </c>
      <c r="F150" s="296" t="s">
        <v>1235</v>
      </c>
      <c r="G150" s="296" t="s">
        <v>1266</v>
      </c>
      <c r="H150" s="297">
        <v>1710</v>
      </c>
      <c r="I150" s="298">
        <v>1992</v>
      </c>
      <c r="J150" s="299">
        <v>32</v>
      </c>
      <c r="K150" s="300" t="s">
        <v>1285</v>
      </c>
      <c r="L150" s="299" t="s">
        <v>1223</v>
      </c>
      <c r="M150" s="299" t="s">
        <v>1223</v>
      </c>
    </row>
    <row r="151" spans="1:13" ht="18" x14ac:dyDescent="0.25">
      <c r="A151" s="293">
        <v>195</v>
      </c>
      <c r="B151" s="294">
        <v>1</v>
      </c>
      <c r="C151" s="295" t="s">
        <v>322</v>
      </c>
      <c r="D151" s="295" t="s">
        <v>323</v>
      </c>
      <c r="E151" s="295" t="s">
        <v>274</v>
      </c>
      <c r="F151" s="296" t="s">
        <v>1235</v>
      </c>
      <c r="G151" s="296" t="s">
        <v>1241</v>
      </c>
      <c r="H151" s="297">
        <v>1320</v>
      </c>
      <c r="I151" s="298">
        <v>1992</v>
      </c>
      <c r="J151" s="299">
        <v>31</v>
      </c>
      <c r="K151" s="300" t="s">
        <v>1267</v>
      </c>
      <c r="L151" s="299" t="s">
        <v>1238</v>
      </c>
      <c r="M151" s="299" t="s">
        <v>1223</v>
      </c>
    </row>
    <row r="152" spans="1:13" ht="18" x14ac:dyDescent="0.25">
      <c r="A152" s="293">
        <v>198</v>
      </c>
      <c r="B152" s="294">
        <v>1</v>
      </c>
      <c r="C152" s="295" t="s">
        <v>601</v>
      </c>
      <c r="D152" s="295" t="s">
        <v>217</v>
      </c>
      <c r="E152" s="295" t="s">
        <v>573</v>
      </c>
      <c r="F152" s="296" t="s">
        <v>1286</v>
      </c>
      <c r="G152" s="296" t="s">
        <v>1217</v>
      </c>
      <c r="H152" s="297">
        <v>430</v>
      </c>
      <c r="I152" s="298">
        <v>1992</v>
      </c>
      <c r="J152" s="299">
        <v>101</v>
      </c>
      <c r="K152" s="300" t="s">
        <v>1287</v>
      </c>
      <c r="L152" s="299" t="s">
        <v>1243</v>
      </c>
      <c r="M152" s="299" t="s">
        <v>1243</v>
      </c>
    </row>
    <row r="153" spans="1:13" ht="27" x14ac:dyDescent="0.25">
      <c r="A153" s="293">
        <v>200</v>
      </c>
      <c r="B153" s="294">
        <v>1</v>
      </c>
      <c r="C153" s="295" t="s">
        <v>602</v>
      </c>
      <c r="D153" s="295" t="s">
        <v>217</v>
      </c>
      <c r="E153" s="295" t="s">
        <v>573</v>
      </c>
      <c r="F153" s="296" t="s">
        <v>1286</v>
      </c>
      <c r="G153" s="296" t="s">
        <v>1217</v>
      </c>
      <c r="H153" s="297">
        <v>430</v>
      </c>
      <c r="I153" s="298">
        <v>1992</v>
      </c>
      <c r="J153" s="299">
        <v>101</v>
      </c>
      <c r="K153" s="300" t="s">
        <v>1287</v>
      </c>
      <c r="L153" s="299" t="s">
        <v>1243</v>
      </c>
      <c r="M153" s="299" t="s">
        <v>1243</v>
      </c>
    </row>
    <row r="154" spans="1:13" ht="27" x14ac:dyDescent="0.25">
      <c r="A154" s="293">
        <v>201</v>
      </c>
      <c r="B154" s="294">
        <v>1</v>
      </c>
      <c r="C154" s="295" t="s">
        <v>603</v>
      </c>
      <c r="D154" s="295" t="s">
        <v>217</v>
      </c>
      <c r="E154" s="295" t="s">
        <v>573</v>
      </c>
      <c r="F154" s="296" t="s">
        <v>1288</v>
      </c>
      <c r="G154" s="296" t="s">
        <v>1217</v>
      </c>
      <c r="H154" s="297">
        <v>430</v>
      </c>
      <c r="I154" s="298">
        <v>1992</v>
      </c>
      <c r="J154" s="299">
        <v>101</v>
      </c>
      <c r="K154" s="300" t="s">
        <v>1287</v>
      </c>
      <c r="L154" s="299" t="s">
        <v>1243</v>
      </c>
      <c r="M154" s="299" t="s">
        <v>1243</v>
      </c>
    </row>
    <row r="155" spans="1:13" ht="27" x14ac:dyDescent="0.25">
      <c r="A155" s="293">
        <v>202</v>
      </c>
      <c r="B155" s="294">
        <v>1</v>
      </c>
      <c r="C155" s="295" t="s">
        <v>604</v>
      </c>
      <c r="D155" s="295" t="s">
        <v>217</v>
      </c>
      <c r="E155" s="295" t="s">
        <v>573</v>
      </c>
      <c r="F155" s="296" t="s">
        <v>1246</v>
      </c>
      <c r="G155" s="296" t="s">
        <v>1217</v>
      </c>
      <c r="H155" s="297">
        <v>430</v>
      </c>
      <c r="I155" s="298">
        <v>1992</v>
      </c>
      <c r="J155" s="299">
        <v>101</v>
      </c>
      <c r="K155" s="300" t="s">
        <v>1287</v>
      </c>
      <c r="L155" s="299" t="s">
        <v>1243</v>
      </c>
      <c r="M155" s="299" t="s">
        <v>1243</v>
      </c>
    </row>
    <row r="156" spans="1:13" ht="27" x14ac:dyDescent="0.25">
      <c r="A156" s="293">
        <v>203</v>
      </c>
      <c r="B156" s="294">
        <v>1</v>
      </c>
      <c r="C156" s="295" t="s">
        <v>237</v>
      </c>
      <c r="D156" s="295" t="s">
        <v>217</v>
      </c>
      <c r="E156" s="295" t="s">
        <v>233</v>
      </c>
      <c r="F156" s="296" t="s">
        <v>1246</v>
      </c>
      <c r="G156" s="296" t="s">
        <v>1217</v>
      </c>
      <c r="H156" s="297">
        <v>430</v>
      </c>
      <c r="I156" s="298">
        <v>1992</v>
      </c>
      <c r="J156" s="299">
        <v>101</v>
      </c>
      <c r="K156" s="300" t="s">
        <v>1287</v>
      </c>
      <c r="L156" s="299" t="s">
        <v>1243</v>
      </c>
      <c r="M156" s="299" t="s">
        <v>1243</v>
      </c>
    </row>
    <row r="157" spans="1:13" ht="18" x14ac:dyDescent="0.25">
      <c r="A157" s="293">
        <v>204</v>
      </c>
      <c r="B157" s="294">
        <v>1</v>
      </c>
      <c r="C157" s="295" t="s">
        <v>216</v>
      </c>
      <c r="D157" s="295" t="s">
        <v>217</v>
      </c>
      <c r="E157" s="295" t="s">
        <v>197</v>
      </c>
      <c r="F157" s="296" t="s">
        <v>1246</v>
      </c>
      <c r="G157" s="296" t="s">
        <v>1217</v>
      </c>
      <c r="H157" s="297">
        <v>430</v>
      </c>
      <c r="I157" s="298">
        <v>1992</v>
      </c>
      <c r="J157" s="299">
        <v>101</v>
      </c>
      <c r="K157" s="300" t="s">
        <v>1287</v>
      </c>
      <c r="L157" s="299" t="s">
        <v>1243</v>
      </c>
      <c r="M157" s="299" t="s">
        <v>1243</v>
      </c>
    </row>
    <row r="158" spans="1:13" ht="27" x14ac:dyDescent="0.25">
      <c r="A158" s="293">
        <v>205</v>
      </c>
      <c r="B158" s="294">
        <v>1</v>
      </c>
      <c r="C158" s="295" t="s">
        <v>238</v>
      </c>
      <c r="D158" s="295" t="s">
        <v>217</v>
      </c>
      <c r="E158" s="295" t="s">
        <v>233</v>
      </c>
      <c r="F158" s="296" t="s">
        <v>1246</v>
      </c>
      <c r="G158" s="296" t="s">
        <v>1217</v>
      </c>
      <c r="H158" s="297">
        <v>430</v>
      </c>
      <c r="I158" s="298">
        <v>1992</v>
      </c>
      <c r="J158" s="299">
        <v>101</v>
      </c>
      <c r="K158" s="300" t="s">
        <v>1287</v>
      </c>
      <c r="L158" s="299" t="s">
        <v>1243</v>
      </c>
      <c r="M158" s="299" t="s">
        <v>1243</v>
      </c>
    </row>
    <row r="159" spans="1:13" ht="27" x14ac:dyDescent="0.25">
      <c r="A159" s="293">
        <v>206</v>
      </c>
      <c r="B159" s="294">
        <v>1</v>
      </c>
      <c r="C159" s="295" t="s">
        <v>239</v>
      </c>
      <c r="D159" s="295" t="s">
        <v>217</v>
      </c>
      <c r="E159" s="295" t="s">
        <v>233</v>
      </c>
      <c r="F159" s="296" t="s">
        <v>1246</v>
      </c>
      <c r="G159" s="296" t="s">
        <v>1217</v>
      </c>
      <c r="H159" s="297">
        <v>430</v>
      </c>
      <c r="I159" s="298">
        <v>1992</v>
      </c>
      <c r="J159" s="299">
        <v>101</v>
      </c>
      <c r="K159" s="300" t="s">
        <v>1287</v>
      </c>
      <c r="L159" s="299" t="s">
        <v>1243</v>
      </c>
      <c r="M159" s="299" t="s">
        <v>1243</v>
      </c>
    </row>
    <row r="160" spans="1:13" ht="27" x14ac:dyDescent="0.25">
      <c r="A160" s="293">
        <v>207</v>
      </c>
      <c r="B160" s="294">
        <v>1</v>
      </c>
      <c r="C160" s="295" t="s">
        <v>240</v>
      </c>
      <c r="D160" s="295" t="s">
        <v>217</v>
      </c>
      <c r="E160" s="295" t="s">
        <v>233</v>
      </c>
      <c r="F160" s="296" t="s">
        <v>1246</v>
      </c>
      <c r="G160" s="296" t="s">
        <v>1217</v>
      </c>
      <c r="H160" s="297">
        <v>430</v>
      </c>
      <c r="I160" s="298">
        <v>1992</v>
      </c>
      <c r="J160" s="299">
        <v>101</v>
      </c>
      <c r="K160" s="300" t="s">
        <v>1287</v>
      </c>
      <c r="L160" s="299" t="s">
        <v>1243</v>
      </c>
      <c r="M160" s="299" t="s">
        <v>1243</v>
      </c>
    </row>
    <row r="161" spans="1:13" ht="27" x14ac:dyDescent="0.25">
      <c r="A161" s="293">
        <v>208</v>
      </c>
      <c r="B161" s="294">
        <v>1</v>
      </c>
      <c r="C161" s="295" t="s">
        <v>605</v>
      </c>
      <c r="D161" s="295" t="s">
        <v>606</v>
      </c>
      <c r="E161" s="295" t="s">
        <v>573</v>
      </c>
      <c r="F161" s="296" t="s">
        <v>1246</v>
      </c>
      <c r="G161" s="296" t="s">
        <v>1217</v>
      </c>
      <c r="H161" s="297">
        <v>430</v>
      </c>
      <c r="I161" s="298">
        <v>1992</v>
      </c>
      <c r="J161" s="299">
        <v>101</v>
      </c>
      <c r="K161" s="300" t="s">
        <v>1287</v>
      </c>
      <c r="L161" s="299" t="s">
        <v>1243</v>
      </c>
      <c r="M161" s="299" t="s">
        <v>1243</v>
      </c>
    </row>
    <row r="162" spans="1:13" ht="18" x14ac:dyDescent="0.25">
      <c r="A162" s="293">
        <v>209</v>
      </c>
      <c r="B162" s="294">
        <v>1</v>
      </c>
      <c r="C162" s="295" t="s">
        <v>190</v>
      </c>
      <c r="D162" s="295" t="s">
        <v>191</v>
      </c>
      <c r="E162" s="295" t="s">
        <v>189</v>
      </c>
      <c r="F162" s="296" t="s">
        <v>1246</v>
      </c>
      <c r="G162" s="296" t="s">
        <v>1217</v>
      </c>
      <c r="H162" s="297">
        <v>430</v>
      </c>
      <c r="I162" s="298">
        <v>1992</v>
      </c>
      <c r="J162" s="299">
        <v>101</v>
      </c>
      <c r="K162" s="300" t="s">
        <v>1287</v>
      </c>
      <c r="L162" s="299" t="s">
        <v>1243</v>
      </c>
      <c r="M162" s="299" t="s">
        <v>1243</v>
      </c>
    </row>
    <row r="163" spans="1:13" ht="27" x14ac:dyDescent="0.25">
      <c r="A163" s="293">
        <v>211</v>
      </c>
      <c r="B163" s="294">
        <v>1</v>
      </c>
      <c r="C163" s="295" t="s">
        <v>607</v>
      </c>
      <c r="D163" s="295" t="s">
        <v>608</v>
      </c>
      <c r="E163" s="295" t="s">
        <v>573</v>
      </c>
      <c r="F163" s="296" t="s">
        <v>1244</v>
      </c>
      <c r="G163" s="296" t="s">
        <v>1236</v>
      </c>
      <c r="H163" s="297">
        <v>660</v>
      </c>
      <c r="I163" s="298">
        <v>1992</v>
      </c>
      <c r="J163" s="299">
        <v>82</v>
      </c>
      <c r="K163" s="300" t="s">
        <v>1249</v>
      </c>
      <c r="L163" s="299" t="s">
        <v>1238</v>
      </c>
      <c r="M163" s="299" t="s">
        <v>1238</v>
      </c>
    </row>
    <row r="164" spans="1:13" ht="18" x14ac:dyDescent="0.25">
      <c r="A164" s="293">
        <v>216</v>
      </c>
      <c r="B164" s="294">
        <v>1</v>
      </c>
      <c r="C164" s="295" t="s">
        <v>266</v>
      </c>
      <c r="D164" s="295" t="s">
        <v>267</v>
      </c>
      <c r="E164" s="295" t="s">
        <v>259</v>
      </c>
      <c r="F164" s="296" t="s">
        <v>1230</v>
      </c>
      <c r="G164" s="296" t="s">
        <v>1241</v>
      </c>
      <c r="H164" s="297">
        <v>1200</v>
      </c>
      <c r="I164" s="298">
        <v>1992</v>
      </c>
      <c r="J164" s="299">
        <v>41</v>
      </c>
      <c r="K164" s="300" t="s">
        <v>1240</v>
      </c>
      <c r="L164" s="299" t="s">
        <v>1219</v>
      </c>
      <c r="M164" s="299" t="s">
        <v>1219</v>
      </c>
    </row>
    <row r="165" spans="1:13" ht="27" x14ac:dyDescent="0.25">
      <c r="A165" s="293">
        <v>217</v>
      </c>
      <c r="B165" s="294">
        <v>1</v>
      </c>
      <c r="C165" s="295" t="s">
        <v>218</v>
      </c>
      <c r="D165" s="295" t="s">
        <v>219</v>
      </c>
      <c r="E165" s="295" t="s">
        <v>197</v>
      </c>
      <c r="F165" s="296" t="s">
        <v>1246</v>
      </c>
      <c r="G165" s="296" t="s">
        <v>1236</v>
      </c>
      <c r="H165" s="297">
        <v>660</v>
      </c>
      <c r="I165" s="298">
        <v>1992</v>
      </c>
      <c r="J165" s="299">
        <v>51</v>
      </c>
      <c r="K165" s="300" t="s">
        <v>1218</v>
      </c>
      <c r="L165" s="299" t="s">
        <v>1264</v>
      </c>
      <c r="M165" s="299" t="s">
        <v>1264</v>
      </c>
    </row>
    <row r="166" spans="1:13" ht="34.15" customHeight="1" x14ac:dyDescent="0.25">
      <c r="A166" s="293">
        <v>218</v>
      </c>
      <c r="B166" s="294">
        <v>1</v>
      </c>
      <c r="C166" s="295" t="s">
        <v>258</v>
      </c>
      <c r="D166" s="295" t="s">
        <v>250</v>
      </c>
      <c r="E166" s="295" t="s">
        <v>241</v>
      </c>
      <c r="F166" s="296" t="s">
        <v>1216</v>
      </c>
      <c r="G166" s="296" t="s">
        <v>1217</v>
      </c>
      <c r="H166" s="297">
        <v>338</v>
      </c>
      <c r="I166" s="298">
        <v>1992</v>
      </c>
      <c r="J166" s="299">
        <v>61</v>
      </c>
      <c r="K166" s="300" t="s">
        <v>1268</v>
      </c>
      <c r="L166" s="299" t="s">
        <v>1225</v>
      </c>
      <c r="M166" s="299" t="s">
        <v>1223</v>
      </c>
    </row>
    <row r="167" spans="1:13" ht="18" x14ac:dyDescent="0.25">
      <c r="A167" s="293">
        <v>219</v>
      </c>
      <c r="B167" s="294">
        <v>1</v>
      </c>
      <c r="C167" s="295" t="s">
        <v>422</v>
      </c>
      <c r="D167" s="295" t="s">
        <v>423</v>
      </c>
      <c r="E167" s="295" t="s">
        <v>410</v>
      </c>
      <c r="F167" s="296" t="s">
        <v>1226</v>
      </c>
      <c r="G167" s="296" t="s">
        <v>1217</v>
      </c>
      <c r="H167" s="297">
        <v>397</v>
      </c>
      <c r="I167" s="298">
        <v>1992</v>
      </c>
      <c r="J167" s="299">
        <v>101</v>
      </c>
      <c r="K167" s="300" t="s">
        <v>1287</v>
      </c>
      <c r="L167" s="299" t="s">
        <v>1243</v>
      </c>
      <c r="M167" s="299" t="s">
        <v>1243</v>
      </c>
    </row>
    <row r="168" spans="1:13" ht="27" x14ac:dyDescent="0.25">
      <c r="A168" s="293">
        <v>220</v>
      </c>
      <c r="B168" s="294">
        <v>1</v>
      </c>
      <c r="C168" s="295" t="s">
        <v>68</v>
      </c>
      <c r="D168" s="295" t="s">
        <v>37</v>
      </c>
      <c r="E168" s="295" t="s">
        <v>35</v>
      </c>
      <c r="F168" s="296" t="s">
        <v>1216</v>
      </c>
      <c r="G168" s="296" t="s">
        <v>1217</v>
      </c>
      <c r="H168" s="297">
        <v>305</v>
      </c>
      <c r="I168" s="298">
        <v>1992</v>
      </c>
      <c r="J168" s="299">
        <v>51</v>
      </c>
      <c r="K168" s="300" t="s">
        <v>1218</v>
      </c>
      <c r="L168" s="299" t="s">
        <v>1223</v>
      </c>
      <c r="M168" s="299" t="s">
        <v>1223</v>
      </c>
    </row>
    <row r="169" spans="1:13" ht="27" x14ac:dyDescent="0.25">
      <c r="A169" s="304">
        <v>221</v>
      </c>
      <c r="B169" s="294">
        <v>1</v>
      </c>
      <c r="C169" s="295" t="s">
        <v>193</v>
      </c>
      <c r="D169" s="295" t="s">
        <v>50</v>
      </c>
      <c r="E169" s="295" t="s">
        <v>192</v>
      </c>
      <c r="F169" s="296" t="s">
        <v>1286</v>
      </c>
      <c r="G169" s="296" t="s">
        <v>1217</v>
      </c>
      <c r="H169" s="297">
        <v>428</v>
      </c>
      <c r="I169" s="298">
        <v>1992</v>
      </c>
      <c r="J169" s="299">
        <v>51</v>
      </c>
      <c r="K169" s="300" t="s">
        <v>1218</v>
      </c>
      <c r="L169" s="299" t="s">
        <v>1238</v>
      </c>
      <c r="M169" s="299" t="s">
        <v>1238</v>
      </c>
    </row>
    <row r="170" spans="1:13" ht="18" x14ac:dyDescent="0.25">
      <c r="A170" s="293">
        <v>222</v>
      </c>
      <c r="B170" s="294">
        <v>1</v>
      </c>
      <c r="C170" s="295" t="s">
        <v>146</v>
      </c>
      <c r="D170" s="295" t="s">
        <v>147</v>
      </c>
      <c r="E170" s="295" t="s">
        <v>92</v>
      </c>
      <c r="F170" s="296" t="s">
        <v>1246</v>
      </c>
      <c r="G170" s="296" t="s">
        <v>1217</v>
      </c>
      <c r="H170" s="297">
        <v>430</v>
      </c>
      <c r="I170" s="298">
        <v>1992</v>
      </c>
      <c r="J170" s="299">
        <v>101</v>
      </c>
      <c r="K170" s="300" t="s">
        <v>1287</v>
      </c>
      <c r="L170" s="299" t="s">
        <v>1243</v>
      </c>
      <c r="M170" s="299" t="s">
        <v>1243</v>
      </c>
    </row>
    <row r="171" spans="1:13" ht="36" x14ac:dyDescent="0.25">
      <c r="A171" s="303">
        <v>223.1</v>
      </c>
      <c r="B171" s="294">
        <v>1</v>
      </c>
      <c r="C171" s="295" t="s">
        <v>148</v>
      </c>
      <c r="D171" s="295" t="s">
        <v>149</v>
      </c>
      <c r="E171" s="295" t="s">
        <v>92</v>
      </c>
      <c r="F171" s="296" t="s">
        <v>1246</v>
      </c>
      <c r="G171" s="296" t="s">
        <v>1217</v>
      </c>
      <c r="H171" s="297">
        <v>430</v>
      </c>
      <c r="I171" s="298">
        <v>1992</v>
      </c>
      <c r="J171" s="299">
        <v>90</v>
      </c>
      <c r="K171" s="300" t="s">
        <v>1256</v>
      </c>
      <c r="L171" s="299" t="s">
        <v>1289</v>
      </c>
      <c r="M171" s="299" t="s">
        <v>1223</v>
      </c>
    </row>
    <row r="172" spans="1:13" ht="18" x14ac:dyDescent="0.25">
      <c r="A172" s="303">
        <v>223.2</v>
      </c>
      <c r="B172" s="294">
        <v>2</v>
      </c>
      <c r="C172" s="295" t="s">
        <v>148</v>
      </c>
      <c r="D172" s="295" t="s">
        <v>149</v>
      </c>
      <c r="E172" s="295" t="s">
        <v>92</v>
      </c>
      <c r="F172" s="296" t="s">
        <v>1246</v>
      </c>
      <c r="G172" s="296" t="s">
        <v>1217</v>
      </c>
      <c r="H172" s="297">
        <v>430</v>
      </c>
      <c r="I172" s="298">
        <v>1992</v>
      </c>
      <c r="J172" s="299">
        <v>101</v>
      </c>
      <c r="K172" s="300" t="s">
        <v>1287</v>
      </c>
      <c r="L172" s="299" t="s">
        <v>1243</v>
      </c>
      <c r="M172" s="299" t="s">
        <v>1243</v>
      </c>
    </row>
    <row r="173" spans="1:13" ht="18" x14ac:dyDescent="0.25">
      <c r="A173" s="293">
        <v>224</v>
      </c>
      <c r="B173" s="294">
        <v>1</v>
      </c>
      <c r="C173" s="295" t="s">
        <v>151</v>
      </c>
      <c r="D173" s="295" t="s">
        <v>152</v>
      </c>
      <c r="E173" s="295" t="s">
        <v>92</v>
      </c>
      <c r="F173" s="296" t="s">
        <v>1230</v>
      </c>
      <c r="G173" s="296" t="s">
        <v>1241</v>
      </c>
      <c r="H173" s="297">
        <v>1250</v>
      </c>
      <c r="I173" s="298">
        <v>1992</v>
      </c>
      <c r="J173" s="299">
        <v>41</v>
      </c>
      <c r="K173" s="300" t="s">
        <v>1240</v>
      </c>
      <c r="L173" s="299" t="s">
        <v>1238</v>
      </c>
      <c r="M173" s="299" t="s">
        <v>1238</v>
      </c>
    </row>
    <row r="174" spans="1:13" ht="18" x14ac:dyDescent="0.25">
      <c r="A174" s="293">
        <v>225</v>
      </c>
      <c r="B174" s="294">
        <v>1</v>
      </c>
      <c r="C174" s="295" t="s">
        <v>464</v>
      </c>
      <c r="D174" s="295" t="s">
        <v>465</v>
      </c>
      <c r="E174" s="295" t="s">
        <v>460</v>
      </c>
      <c r="F174" s="296" t="s">
        <v>1226</v>
      </c>
      <c r="G174" s="296" t="s">
        <v>1217</v>
      </c>
      <c r="H174" s="297">
        <v>408</v>
      </c>
      <c r="I174" s="298">
        <v>1992</v>
      </c>
      <c r="J174" s="299">
        <v>90</v>
      </c>
      <c r="K174" s="300" t="s">
        <v>1256</v>
      </c>
      <c r="L174" s="299" t="s">
        <v>1223</v>
      </c>
      <c r="M174" s="299" t="s">
        <v>1223</v>
      </c>
    </row>
    <row r="175" spans="1:13" ht="18" x14ac:dyDescent="0.25">
      <c r="A175" s="293">
        <v>226</v>
      </c>
      <c r="B175" s="294">
        <v>1</v>
      </c>
      <c r="C175" s="295" t="s">
        <v>609</v>
      </c>
      <c r="D175" s="295" t="s">
        <v>610</v>
      </c>
      <c r="E175" s="295" t="s">
        <v>573</v>
      </c>
      <c r="F175" s="296" t="s">
        <v>1230</v>
      </c>
      <c r="G175" s="296" t="s">
        <v>1239</v>
      </c>
      <c r="H175" s="297">
        <v>1100</v>
      </c>
      <c r="I175" s="298">
        <v>1992</v>
      </c>
      <c r="J175" s="299">
        <v>41</v>
      </c>
      <c r="K175" s="300" t="s">
        <v>1240</v>
      </c>
      <c r="L175" s="299" t="s">
        <v>1238</v>
      </c>
      <c r="M175" s="299" t="s">
        <v>1238</v>
      </c>
    </row>
    <row r="176" spans="1:13" ht="18" x14ac:dyDescent="0.25">
      <c r="A176" s="293">
        <v>227</v>
      </c>
      <c r="B176" s="294">
        <v>1</v>
      </c>
      <c r="C176" s="295" t="s">
        <v>513</v>
      </c>
      <c r="D176" s="295" t="s">
        <v>514</v>
      </c>
      <c r="E176" s="295" t="s">
        <v>482</v>
      </c>
      <c r="F176" s="296" t="s">
        <v>1277</v>
      </c>
      <c r="G176" s="296" t="s">
        <v>1236</v>
      </c>
      <c r="H176" s="297">
        <v>730</v>
      </c>
      <c r="I176" s="298">
        <v>1992</v>
      </c>
      <c r="J176" s="299">
        <v>41</v>
      </c>
      <c r="K176" s="300" t="s">
        <v>1240</v>
      </c>
      <c r="L176" s="299" t="s">
        <v>1225</v>
      </c>
      <c r="M176" s="299" t="s">
        <v>1225</v>
      </c>
    </row>
    <row r="177" spans="1:13" ht="18" x14ac:dyDescent="0.25">
      <c r="A177" s="293">
        <v>228</v>
      </c>
      <c r="B177" s="294">
        <v>1</v>
      </c>
      <c r="C177" s="295" t="s">
        <v>518</v>
      </c>
      <c r="D177" s="295" t="s">
        <v>519</v>
      </c>
      <c r="E177" s="295" t="s">
        <v>482</v>
      </c>
      <c r="F177" s="296" t="s">
        <v>1279</v>
      </c>
      <c r="G177" s="296" t="s">
        <v>1217</v>
      </c>
      <c r="H177" s="297">
        <v>195</v>
      </c>
      <c r="I177" s="298">
        <v>1992</v>
      </c>
      <c r="J177" s="299">
        <v>90</v>
      </c>
      <c r="K177" s="300" t="s">
        <v>1256</v>
      </c>
      <c r="L177" s="299" t="s">
        <v>1290</v>
      </c>
      <c r="M177" s="299" t="s">
        <v>1290</v>
      </c>
    </row>
    <row r="178" spans="1:13" ht="27" x14ac:dyDescent="0.25">
      <c r="A178" s="293">
        <v>229</v>
      </c>
      <c r="B178" s="294">
        <v>1</v>
      </c>
      <c r="C178" s="295" t="s">
        <v>520</v>
      </c>
      <c r="D178" s="295" t="s">
        <v>521</v>
      </c>
      <c r="E178" s="295" t="s">
        <v>482</v>
      </c>
      <c r="F178" s="296" t="s">
        <v>1279</v>
      </c>
      <c r="G178" s="296" t="s">
        <v>1217</v>
      </c>
      <c r="H178" s="297">
        <v>265</v>
      </c>
      <c r="I178" s="298">
        <v>1992</v>
      </c>
      <c r="J178" s="299">
        <v>61</v>
      </c>
      <c r="K178" s="300" t="s">
        <v>1268</v>
      </c>
      <c r="L178" s="299" t="s">
        <v>1225</v>
      </c>
      <c r="M178" s="299" t="s">
        <v>1225</v>
      </c>
    </row>
    <row r="179" spans="1:13" ht="18" x14ac:dyDescent="0.25">
      <c r="A179" s="293">
        <v>301</v>
      </c>
      <c r="B179" s="294">
        <v>1</v>
      </c>
      <c r="C179" s="295" t="s">
        <v>612</v>
      </c>
      <c r="D179" s="295" t="s">
        <v>254</v>
      </c>
      <c r="E179" s="295" t="s">
        <v>573</v>
      </c>
      <c r="F179" s="296" t="s">
        <v>1216</v>
      </c>
      <c r="G179" s="296" t="s">
        <v>1217</v>
      </c>
      <c r="H179" s="297">
        <v>300</v>
      </c>
      <c r="I179" s="298">
        <v>2003</v>
      </c>
      <c r="J179" s="299">
        <v>82</v>
      </c>
      <c r="K179" s="300" t="s">
        <v>1249</v>
      </c>
      <c r="L179" s="299" t="s">
        <v>1238</v>
      </c>
      <c r="M179" s="299" t="s">
        <v>1238</v>
      </c>
    </row>
    <row r="180" spans="1:13" ht="27" x14ac:dyDescent="0.25">
      <c r="A180" s="922">
        <v>302</v>
      </c>
      <c r="B180" s="294">
        <v>1</v>
      </c>
      <c r="C180" s="295" t="s">
        <v>613</v>
      </c>
      <c r="D180" s="302" t="s">
        <v>589</v>
      </c>
      <c r="E180" s="302" t="s">
        <v>573</v>
      </c>
      <c r="F180" s="296" t="s">
        <v>1246</v>
      </c>
      <c r="G180" s="296" t="s">
        <v>1217</v>
      </c>
      <c r="H180" s="297" t="s">
        <v>1291</v>
      </c>
      <c r="I180" s="295" t="s">
        <v>1232</v>
      </c>
      <c r="J180" s="299">
        <v>51</v>
      </c>
      <c r="K180" s="300" t="s">
        <v>1218</v>
      </c>
      <c r="L180" s="299" t="s">
        <v>1227</v>
      </c>
      <c r="M180" s="299" t="s">
        <v>1227</v>
      </c>
    </row>
    <row r="181" spans="1:13" ht="18" x14ac:dyDescent="0.25">
      <c r="A181" s="293">
        <v>303</v>
      </c>
      <c r="B181" s="294">
        <v>1</v>
      </c>
      <c r="C181" s="295" t="s">
        <v>615</v>
      </c>
      <c r="D181" s="295" t="s">
        <v>616</v>
      </c>
      <c r="E181" s="295" t="s">
        <v>573</v>
      </c>
      <c r="F181" s="296" t="s">
        <v>1230</v>
      </c>
      <c r="G181" s="296" t="s">
        <v>1241</v>
      </c>
      <c r="H181" s="297">
        <v>1480</v>
      </c>
      <c r="I181" s="298">
        <v>2003</v>
      </c>
      <c r="J181" s="299">
        <v>31</v>
      </c>
      <c r="K181" s="300" t="s">
        <v>1267</v>
      </c>
      <c r="L181" s="299" t="s">
        <v>1225</v>
      </c>
      <c r="M181" s="299" t="s">
        <v>1225</v>
      </c>
    </row>
    <row r="182" spans="1:13" ht="18" x14ac:dyDescent="0.25">
      <c r="A182" s="293">
        <v>304</v>
      </c>
      <c r="B182" s="294">
        <v>1</v>
      </c>
      <c r="C182" s="295" t="s">
        <v>620</v>
      </c>
      <c r="D182" s="295" t="s">
        <v>621</v>
      </c>
      <c r="E182" s="295" t="s">
        <v>573</v>
      </c>
      <c r="F182" s="296" t="s">
        <v>1246</v>
      </c>
      <c r="G182" s="296" t="s">
        <v>1217</v>
      </c>
      <c r="H182" s="297">
        <v>430</v>
      </c>
      <c r="I182" s="298">
        <v>2003</v>
      </c>
      <c r="J182" s="299">
        <v>90</v>
      </c>
      <c r="K182" s="300" t="s">
        <v>1256</v>
      </c>
      <c r="L182" s="299" t="s">
        <v>1223</v>
      </c>
      <c r="M182" s="299" t="s">
        <v>1223</v>
      </c>
    </row>
    <row r="183" spans="1:13" ht="18" x14ac:dyDescent="0.25">
      <c r="A183" s="293">
        <v>305</v>
      </c>
      <c r="B183" s="294">
        <v>1</v>
      </c>
      <c r="C183" s="295" t="s">
        <v>622</v>
      </c>
      <c r="D183" s="295" t="s">
        <v>623</v>
      </c>
      <c r="E183" s="295" t="s">
        <v>573</v>
      </c>
      <c r="F183" s="296" t="s">
        <v>1246</v>
      </c>
      <c r="G183" s="296" t="s">
        <v>1217</v>
      </c>
      <c r="H183" s="297">
        <v>430</v>
      </c>
      <c r="I183" s="298">
        <v>2003</v>
      </c>
      <c r="J183" s="299">
        <v>90</v>
      </c>
      <c r="K183" s="300" t="s">
        <v>1256</v>
      </c>
      <c r="L183" s="299" t="s">
        <v>1238</v>
      </c>
      <c r="M183" s="299" t="s">
        <v>1238</v>
      </c>
    </row>
    <row r="184" spans="1:13" ht="18" x14ac:dyDescent="0.25">
      <c r="A184" s="922">
        <v>306</v>
      </c>
      <c r="B184" s="294">
        <v>1</v>
      </c>
      <c r="C184" s="295" t="s">
        <v>394</v>
      </c>
      <c r="D184" s="302" t="s">
        <v>217</v>
      </c>
      <c r="E184" s="302" t="s">
        <v>393</v>
      </c>
      <c r="F184" s="296" t="s">
        <v>1246</v>
      </c>
      <c r="G184" s="296" t="s">
        <v>1217</v>
      </c>
      <c r="H184" s="297" t="s">
        <v>1292</v>
      </c>
      <c r="I184" s="295" t="s">
        <v>1232</v>
      </c>
      <c r="J184" s="299">
        <v>101</v>
      </c>
      <c r="K184" s="300" t="s">
        <v>1287</v>
      </c>
      <c r="L184" s="299" t="s">
        <v>1243</v>
      </c>
      <c r="M184" s="299" t="s">
        <v>1243</v>
      </c>
    </row>
    <row r="185" spans="1:13" ht="18" x14ac:dyDescent="0.25">
      <c r="A185" s="293">
        <v>307</v>
      </c>
      <c r="B185" s="294">
        <v>1</v>
      </c>
      <c r="C185" s="295" t="s">
        <v>221</v>
      </c>
      <c r="D185" s="295" t="s">
        <v>222</v>
      </c>
      <c r="E185" s="295" t="s">
        <v>197</v>
      </c>
      <c r="F185" s="296" t="s">
        <v>1246</v>
      </c>
      <c r="G185" s="296" t="s">
        <v>1217</v>
      </c>
      <c r="H185" s="297">
        <v>430</v>
      </c>
      <c r="I185" s="298">
        <v>2003</v>
      </c>
      <c r="J185" s="299">
        <v>101</v>
      </c>
      <c r="K185" s="300" t="s">
        <v>1287</v>
      </c>
      <c r="L185" s="299" t="s">
        <v>1243</v>
      </c>
      <c r="M185" s="299" t="s">
        <v>1243</v>
      </c>
    </row>
    <row r="186" spans="1:13" ht="27" x14ac:dyDescent="0.25">
      <c r="A186" s="293">
        <v>310</v>
      </c>
      <c r="B186" s="294">
        <v>1</v>
      </c>
      <c r="C186" s="295" t="s">
        <v>223</v>
      </c>
      <c r="D186" s="295" t="s">
        <v>224</v>
      </c>
      <c r="E186" s="295" t="s">
        <v>197</v>
      </c>
      <c r="F186" s="296" t="s">
        <v>1230</v>
      </c>
      <c r="G186" s="296" t="s">
        <v>1236</v>
      </c>
      <c r="H186" s="297">
        <v>800</v>
      </c>
      <c r="I186" s="298">
        <v>2003</v>
      </c>
      <c r="J186" s="299">
        <v>102</v>
      </c>
      <c r="K186" s="300" t="s">
        <v>1242</v>
      </c>
      <c r="L186" s="299" t="s">
        <v>1219</v>
      </c>
      <c r="M186" s="299" t="s">
        <v>1243</v>
      </c>
    </row>
    <row r="187" spans="1:13" ht="18" x14ac:dyDescent="0.25">
      <c r="A187" s="922">
        <v>311</v>
      </c>
      <c r="B187" s="294">
        <v>1</v>
      </c>
      <c r="C187" s="295" t="s">
        <v>226</v>
      </c>
      <c r="D187" s="302" t="s">
        <v>227</v>
      </c>
      <c r="E187" s="302" t="s">
        <v>197</v>
      </c>
      <c r="F187" s="296" t="s">
        <v>1259</v>
      </c>
      <c r="G187" s="296" t="s">
        <v>1293</v>
      </c>
      <c r="H187" s="297" t="s">
        <v>1294</v>
      </c>
      <c r="I187" s="295" t="s">
        <v>1232</v>
      </c>
      <c r="J187" s="299">
        <v>41</v>
      </c>
      <c r="K187" s="300" t="s">
        <v>1240</v>
      </c>
      <c r="L187" s="299" t="s">
        <v>1219</v>
      </c>
      <c r="M187" s="299" t="s">
        <v>1219</v>
      </c>
    </row>
    <row r="188" spans="1:13" ht="83.45" customHeight="1" x14ac:dyDescent="0.25">
      <c r="A188" s="922">
        <v>312</v>
      </c>
      <c r="B188" s="294">
        <v>1</v>
      </c>
      <c r="C188" s="295" t="s">
        <v>229</v>
      </c>
      <c r="D188" s="302" t="s">
        <v>230</v>
      </c>
      <c r="E188" s="302" t="s">
        <v>197</v>
      </c>
      <c r="F188" s="296" t="s">
        <v>1255</v>
      </c>
      <c r="G188" s="302" t="s">
        <v>1239</v>
      </c>
      <c r="H188" s="297" t="s">
        <v>1295</v>
      </c>
      <c r="I188" s="295" t="s">
        <v>1232</v>
      </c>
      <c r="J188" s="299">
        <v>41</v>
      </c>
      <c r="K188" s="300" t="s">
        <v>1240</v>
      </c>
      <c r="L188" s="299" t="s">
        <v>1225</v>
      </c>
      <c r="M188" s="299" t="s">
        <v>1225</v>
      </c>
    </row>
    <row r="189" spans="1:13" ht="18" x14ac:dyDescent="0.25">
      <c r="A189" s="293">
        <v>313</v>
      </c>
      <c r="B189" s="294">
        <v>1</v>
      </c>
      <c r="C189" s="295" t="s">
        <v>231</v>
      </c>
      <c r="D189" s="295" t="s">
        <v>231</v>
      </c>
      <c r="E189" s="295" t="s">
        <v>197</v>
      </c>
      <c r="F189" s="296" t="s">
        <v>1255</v>
      </c>
      <c r="G189" s="296" t="s">
        <v>1239</v>
      </c>
      <c r="H189" s="297">
        <v>1100</v>
      </c>
      <c r="I189" s="298">
        <v>2003</v>
      </c>
      <c r="J189" s="299">
        <v>41</v>
      </c>
      <c r="K189" s="300" t="s">
        <v>1240</v>
      </c>
      <c r="L189" s="299" t="s">
        <v>1225</v>
      </c>
      <c r="M189" s="299" t="s">
        <v>1225</v>
      </c>
    </row>
    <row r="190" spans="1:13" ht="18" x14ac:dyDescent="0.25">
      <c r="A190" s="293">
        <v>314</v>
      </c>
      <c r="B190" s="294">
        <v>1</v>
      </c>
      <c r="C190" s="295" t="s">
        <v>154</v>
      </c>
      <c r="D190" s="295" t="s">
        <v>154</v>
      </c>
      <c r="E190" s="295" t="s">
        <v>183</v>
      </c>
      <c r="F190" s="296" t="s">
        <v>1255</v>
      </c>
      <c r="G190" s="296" t="s">
        <v>1239</v>
      </c>
      <c r="H190" s="297">
        <v>1000</v>
      </c>
      <c r="I190" s="298">
        <v>2003</v>
      </c>
      <c r="J190" s="299">
        <v>41</v>
      </c>
      <c r="K190" s="300" t="s">
        <v>1240</v>
      </c>
      <c r="L190" s="299" t="s">
        <v>1225</v>
      </c>
      <c r="M190" s="299" t="s">
        <v>1225</v>
      </c>
    </row>
    <row r="191" spans="1:13" ht="18" x14ac:dyDescent="0.25">
      <c r="A191" s="293">
        <v>315</v>
      </c>
      <c r="B191" s="294">
        <v>1</v>
      </c>
      <c r="C191" s="295" t="s">
        <v>153</v>
      </c>
      <c r="D191" s="295" t="s">
        <v>154</v>
      </c>
      <c r="E191" s="295" t="s">
        <v>92</v>
      </c>
      <c r="F191" s="296" t="s">
        <v>1255</v>
      </c>
      <c r="G191" s="296" t="s">
        <v>1239</v>
      </c>
      <c r="H191" s="297">
        <v>1100</v>
      </c>
      <c r="I191" s="298">
        <v>2003</v>
      </c>
      <c r="J191" s="299">
        <v>41</v>
      </c>
      <c r="K191" s="300" t="s">
        <v>1240</v>
      </c>
      <c r="L191" s="299" t="s">
        <v>1225</v>
      </c>
      <c r="M191" s="299" t="s">
        <v>1225</v>
      </c>
    </row>
    <row r="192" spans="1:13" ht="18" x14ac:dyDescent="0.25">
      <c r="A192" s="922">
        <v>316</v>
      </c>
      <c r="B192" s="294">
        <v>1</v>
      </c>
      <c r="C192" s="295" t="s">
        <v>155</v>
      </c>
      <c r="D192" s="302" t="s">
        <v>112</v>
      </c>
      <c r="E192" s="302" t="s">
        <v>92</v>
      </c>
      <c r="F192" s="296" t="s">
        <v>1255</v>
      </c>
      <c r="G192" s="296" t="s">
        <v>1236</v>
      </c>
      <c r="H192" s="297" t="s">
        <v>1296</v>
      </c>
      <c r="I192" s="295" t="s">
        <v>1232</v>
      </c>
      <c r="J192" s="299">
        <v>41</v>
      </c>
      <c r="K192" s="300" t="s">
        <v>1240</v>
      </c>
      <c r="L192" s="299" t="s">
        <v>1219</v>
      </c>
      <c r="M192" s="299" t="s">
        <v>1219</v>
      </c>
    </row>
    <row r="193" spans="1:13" ht="18" x14ac:dyDescent="0.25">
      <c r="A193" s="922">
        <v>317</v>
      </c>
      <c r="B193" s="294">
        <v>1</v>
      </c>
      <c r="C193" s="295" t="s">
        <v>156</v>
      </c>
      <c r="D193" s="302" t="s">
        <v>157</v>
      </c>
      <c r="E193" s="302" t="s">
        <v>92</v>
      </c>
      <c r="F193" s="296" t="s">
        <v>1252</v>
      </c>
      <c r="G193" s="296" t="s">
        <v>1236</v>
      </c>
      <c r="H193" s="297" t="s">
        <v>1296</v>
      </c>
      <c r="I193" s="295" t="s">
        <v>1232</v>
      </c>
      <c r="J193" s="299">
        <v>41</v>
      </c>
      <c r="K193" s="300" t="s">
        <v>1240</v>
      </c>
      <c r="L193" s="299" t="s">
        <v>1219</v>
      </c>
      <c r="M193" s="299" t="s">
        <v>1219</v>
      </c>
    </row>
    <row r="194" spans="1:13" ht="27" x14ac:dyDescent="0.25">
      <c r="A194" s="922">
        <v>318</v>
      </c>
      <c r="B194" s="294">
        <v>1</v>
      </c>
      <c r="C194" s="295" t="s">
        <v>159</v>
      </c>
      <c r="D194" s="295" t="s">
        <v>160</v>
      </c>
      <c r="E194" s="302" t="s">
        <v>92</v>
      </c>
      <c r="F194" s="296" t="s">
        <v>1246</v>
      </c>
      <c r="G194" s="296" t="s">
        <v>1217</v>
      </c>
      <c r="H194" s="297" t="s">
        <v>1297</v>
      </c>
      <c r="I194" s="295" t="s">
        <v>1232</v>
      </c>
      <c r="J194" s="299">
        <v>61</v>
      </c>
      <c r="K194" s="300" t="s">
        <v>1298</v>
      </c>
      <c r="L194" s="299" t="s">
        <v>1238</v>
      </c>
      <c r="M194" s="299" t="s">
        <v>1299</v>
      </c>
    </row>
    <row r="195" spans="1:13" ht="18" x14ac:dyDescent="0.25">
      <c r="A195" s="293">
        <v>319</v>
      </c>
      <c r="B195" s="294">
        <v>1</v>
      </c>
      <c r="C195" s="295" t="s">
        <v>161</v>
      </c>
      <c r="D195" s="295" t="s">
        <v>94</v>
      </c>
      <c r="E195" s="295" t="s">
        <v>92</v>
      </c>
      <c r="F195" s="296" t="s">
        <v>1255</v>
      </c>
      <c r="G195" s="296" t="s">
        <v>1236</v>
      </c>
      <c r="H195" s="297">
        <v>800</v>
      </c>
      <c r="I195" s="298">
        <v>2003</v>
      </c>
      <c r="J195" s="299">
        <v>41</v>
      </c>
      <c r="K195" s="300" t="s">
        <v>1240</v>
      </c>
      <c r="L195" s="299" t="s">
        <v>1254</v>
      </c>
      <c r="M195" s="299" t="s">
        <v>1254</v>
      </c>
    </row>
    <row r="196" spans="1:13" ht="18" x14ac:dyDescent="0.25">
      <c r="A196" s="922">
        <v>320</v>
      </c>
      <c r="B196" s="294">
        <v>1</v>
      </c>
      <c r="C196" s="295" t="s">
        <v>163</v>
      </c>
      <c r="D196" s="302" t="s">
        <v>164</v>
      </c>
      <c r="E196" s="302" t="s">
        <v>92</v>
      </c>
      <c r="F196" s="296" t="s">
        <v>1255</v>
      </c>
      <c r="G196" s="296" t="s">
        <v>1239</v>
      </c>
      <c r="H196" s="297">
        <v>1000</v>
      </c>
      <c r="I196" s="295" t="s">
        <v>1232</v>
      </c>
      <c r="J196" s="299">
        <v>41</v>
      </c>
      <c r="K196" s="300" t="s">
        <v>1240</v>
      </c>
      <c r="L196" s="299" t="s">
        <v>1219</v>
      </c>
      <c r="M196" s="299" t="s">
        <v>1219</v>
      </c>
    </row>
    <row r="197" spans="1:13" ht="18" x14ac:dyDescent="0.25">
      <c r="A197" s="293">
        <v>321</v>
      </c>
      <c r="B197" s="294">
        <v>1</v>
      </c>
      <c r="C197" s="295" t="s">
        <v>165</v>
      </c>
      <c r="D197" s="295" t="s">
        <v>94</v>
      </c>
      <c r="E197" s="295" t="s">
        <v>92</v>
      </c>
      <c r="F197" s="296" t="s">
        <v>1230</v>
      </c>
      <c r="G197" s="296" t="s">
        <v>1239</v>
      </c>
      <c r="H197" s="297">
        <v>1120</v>
      </c>
      <c r="I197" s="298">
        <v>2003</v>
      </c>
      <c r="J197" s="299">
        <v>41</v>
      </c>
      <c r="K197" s="300" t="s">
        <v>1240</v>
      </c>
      <c r="L197" s="299" t="s">
        <v>1219</v>
      </c>
      <c r="M197" s="299" t="s">
        <v>1219</v>
      </c>
    </row>
    <row r="198" spans="1:13" ht="18" x14ac:dyDescent="0.25">
      <c r="A198" s="293">
        <v>322</v>
      </c>
      <c r="B198" s="294">
        <v>1</v>
      </c>
      <c r="C198" s="295" t="s">
        <v>166</v>
      </c>
      <c r="D198" s="295" t="s">
        <v>167</v>
      </c>
      <c r="E198" s="295" t="s">
        <v>92</v>
      </c>
      <c r="F198" s="296" t="s">
        <v>1230</v>
      </c>
      <c r="G198" s="296" t="s">
        <v>1241</v>
      </c>
      <c r="H198" s="297">
        <v>1450</v>
      </c>
      <c r="I198" s="298">
        <v>2003</v>
      </c>
      <c r="J198" s="299">
        <v>31</v>
      </c>
      <c r="K198" s="300" t="s">
        <v>1267</v>
      </c>
      <c r="L198" s="299" t="s">
        <v>1219</v>
      </c>
      <c r="M198" s="299" t="s">
        <v>1225</v>
      </c>
    </row>
    <row r="199" spans="1:13" ht="18" x14ac:dyDescent="0.25">
      <c r="A199" s="293">
        <v>323</v>
      </c>
      <c r="B199" s="294">
        <v>1</v>
      </c>
      <c r="C199" s="295" t="s">
        <v>168</v>
      </c>
      <c r="D199" s="295" t="s">
        <v>169</v>
      </c>
      <c r="E199" s="295" t="s">
        <v>92</v>
      </c>
      <c r="F199" s="296" t="s">
        <v>1230</v>
      </c>
      <c r="G199" s="296" t="s">
        <v>1241</v>
      </c>
      <c r="H199" s="297">
        <v>1460</v>
      </c>
      <c r="I199" s="298">
        <v>2003</v>
      </c>
      <c r="J199" s="299">
        <v>31</v>
      </c>
      <c r="K199" s="300" t="s">
        <v>1267</v>
      </c>
      <c r="L199" s="299" t="s">
        <v>1225</v>
      </c>
      <c r="M199" s="299" t="s">
        <v>1225</v>
      </c>
    </row>
    <row r="200" spans="1:13" ht="18" x14ac:dyDescent="0.25">
      <c r="A200" s="293">
        <v>324</v>
      </c>
      <c r="B200" s="294">
        <v>1</v>
      </c>
      <c r="C200" s="295" t="s">
        <v>171</v>
      </c>
      <c r="D200" s="295" t="s">
        <v>172</v>
      </c>
      <c r="E200" s="295" t="s">
        <v>92</v>
      </c>
      <c r="F200" s="296" t="s">
        <v>1230</v>
      </c>
      <c r="G200" s="296" t="s">
        <v>1241</v>
      </c>
      <c r="H200" s="297">
        <v>1220</v>
      </c>
      <c r="I200" s="298">
        <v>2003</v>
      </c>
      <c r="J200" s="299">
        <v>41</v>
      </c>
      <c r="K200" s="300" t="s">
        <v>1240</v>
      </c>
      <c r="L200" s="299" t="s">
        <v>1219</v>
      </c>
      <c r="M200" s="299" t="s">
        <v>1238</v>
      </c>
    </row>
    <row r="201" spans="1:13" ht="18" x14ac:dyDescent="0.25">
      <c r="A201" s="293">
        <v>325</v>
      </c>
      <c r="B201" s="294">
        <v>1</v>
      </c>
      <c r="C201" s="295" t="s">
        <v>174</v>
      </c>
      <c r="D201" s="295" t="s">
        <v>125</v>
      </c>
      <c r="E201" s="295" t="s">
        <v>92</v>
      </c>
      <c r="F201" s="296" t="s">
        <v>1230</v>
      </c>
      <c r="G201" s="296" t="s">
        <v>1266</v>
      </c>
      <c r="H201" s="297">
        <v>1540</v>
      </c>
      <c r="I201" s="298">
        <v>2003</v>
      </c>
      <c r="J201" s="299">
        <v>31</v>
      </c>
      <c r="K201" s="300" t="s">
        <v>1267</v>
      </c>
      <c r="L201" s="299" t="s">
        <v>1219</v>
      </c>
      <c r="M201" s="299" t="s">
        <v>1225</v>
      </c>
    </row>
    <row r="202" spans="1:13" ht="27" x14ac:dyDescent="0.25">
      <c r="A202" s="303">
        <v>326.10000000000002</v>
      </c>
      <c r="B202" s="294">
        <v>1</v>
      </c>
      <c r="C202" s="295" t="s">
        <v>175</v>
      </c>
      <c r="D202" s="295" t="s">
        <v>176</v>
      </c>
      <c r="E202" s="295" t="s">
        <v>92</v>
      </c>
      <c r="F202" s="296" t="s">
        <v>1230</v>
      </c>
      <c r="G202" s="296" t="s">
        <v>1239</v>
      </c>
      <c r="H202" s="297">
        <v>1150</v>
      </c>
      <c r="I202" s="298">
        <v>2003</v>
      </c>
      <c r="J202" s="299">
        <v>90</v>
      </c>
      <c r="K202" s="300" t="s">
        <v>1256</v>
      </c>
      <c r="L202" s="299" t="s">
        <v>1225</v>
      </c>
      <c r="M202" s="299" t="s">
        <v>1225</v>
      </c>
    </row>
    <row r="203" spans="1:13" ht="27" x14ac:dyDescent="0.25">
      <c r="A203" s="303">
        <v>326.2</v>
      </c>
      <c r="B203" s="294">
        <v>2</v>
      </c>
      <c r="C203" s="295" t="s">
        <v>175</v>
      </c>
      <c r="D203" s="295" t="s">
        <v>176</v>
      </c>
      <c r="E203" s="295" t="s">
        <v>92</v>
      </c>
      <c r="F203" s="296" t="s">
        <v>1230</v>
      </c>
      <c r="G203" s="296" t="s">
        <v>1239</v>
      </c>
      <c r="H203" s="297">
        <v>1150</v>
      </c>
      <c r="I203" s="298">
        <v>2003</v>
      </c>
      <c r="J203" s="299">
        <v>41</v>
      </c>
      <c r="K203" s="300" t="s">
        <v>1240</v>
      </c>
      <c r="L203" s="299" t="s">
        <v>1219</v>
      </c>
      <c r="M203" s="299" t="s">
        <v>1219</v>
      </c>
    </row>
    <row r="204" spans="1:13" ht="18" x14ac:dyDescent="0.25">
      <c r="A204" s="293">
        <v>327</v>
      </c>
      <c r="B204" s="294">
        <v>1</v>
      </c>
      <c r="C204" s="295" t="s">
        <v>177</v>
      </c>
      <c r="D204" s="295" t="s">
        <v>178</v>
      </c>
      <c r="E204" s="295" t="s">
        <v>92</v>
      </c>
      <c r="F204" s="296" t="s">
        <v>1230</v>
      </c>
      <c r="G204" s="296" t="s">
        <v>1266</v>
      </c>
      <c r="H204" s="297">
        <v>1600</v>
      </c>
      <c r="I204" s="298">
        <v>2003</v>
      </c>
      <c r="J204" s="299">
        <v>31</v>
      </c>
      <c r="K204" s="300" t="s">
        <v>1267</v>
      </c>
      <c r="L204" s="299" t="s">
        <v>1223</v>
      </c>
      <c r="M204" s="299" t="s">
        <v>1223</v>
      </c>
    </row>
    <row r="205" spans="1:13" ht="18" x14ac:dyDescent="0.25">
      <c r="A205" s="922">
        <v>328</v>
      </c>
      <c r="B205" s="294">
        <v>1</v>
      </c>
      <c r="C205" s="295" t="s">
        <v>180</v>
      </c>
      <c r="D205" s="296" t="s">
        <v>181</v>
      </c>
      <c r="E205" s="295" t="s">
        <v>92</v>
      </c>
      <c r="F205" s="296" t="s">
        <v>1230</v>
      </c>
      <c r="G205" s="296" t="s">
        <v>1272</v>
      </c>
      <c r="H205" s="297" t="s">
        <v>1300</v>
      </c>
      <c r="I205" s="295" t="s">
        <v>1232</v>
      </c>
      <c r="J205" s="299">
        <v>31</v>
      </c>
      <c r="K205" s="300" t="s">
        <v>1267</v>
      </c>
      <c r="L205" s="299" t="s">
        <v>1219</v>
      </c>
      <c r="M205" s="299" t="s">
        <v>1219</v>
      </c>
    </row>
    <row r="206" spans="1:13" ht="18" x14ac:dyDescent="0.25">
      <c r="A206" s="291">
        <v>329</v>
      </c>
      <c r="B206" s="294">
        <v>1</v>
      </c>
      <c r="C206" s="295" t="s">
        <v>665</v>
      </c>
      <c r="D206" s="296" t="s">
        <v>666</v>
      </c>
      <c r="E206" s="295" t="s">
        <v>625</v>
      </c>
      <c r="F206" s="296" t="s">
        <v>1271</v>
      </c>
      <c r="G206" s="296" t="s">
        <v>1241</v>
      </c>
      <c r="H206" s="297" t="s">
        <v>1301</v>
      </c>
      <c r="I206" s="295" t="s">
        <v>1232</v>
      </c>
      <c r="J206" s="299">
        <v>31</v>
      </c>
      <c r="K206" s="300" t="s">
        <v>1267</v>
      </c>
      <c r="L206" s="299" t="s">
        <v>1225</v>
      </c>
      <c r="M206" s="299" t="s">
        <v>1225</v>
      </c>
    </row>
    <row r="207" spans="1:13" ht="18" x14ac:dyDescent="0.25">
      <c r="A207" s="922">
        <v>330</v>
      </c>
      <c r="B207" s="294">
        <v>1</v>
      </c>
      <c r="C207" s="295" t="s">
        <v>668</v>
      </c>
      <c r="D207" s="296" t="s">
        <v>669</v>
      </c>
      <c r="E207" s="295" t="s">
        <v>625</v>
      </c>
      <c r="F207" s="296" t="s">
        <v>1271</v>
      </c>
      <c r="G207" s="296" t="s">
        <v>1266</v>
      </c>
      <c r="H207" s="297" t="s">
        <v>1302</v>
      </c>
      <c r="I207" s="295" t="s">
        <v>1232</v>
      </c>
      <c r="J207" s="299">
        <v>31</v>
      </c>
      <c r="K207" s="300" t="s">
        <v>1267</v>
      </c>
      <c r="L207" s="299" t="s">
        <v>1225</v>
      </c>
      <c r="M207" s="299" t="s">
        <v>1225</v>
      </c>
    </row>
    <row r="208" spans="1:13" ht="18" x14ac:dyDescent="0.25">
      <c r="A208" s="922">
        <v>331</v>
      </c>
      <c r="B208" s="294">
        <v>1</v>
      </c>
      <c r="C208" s="295" t="s">
        <v>671</v>
      </c>
      <c r="D208" s="296" t="s">
        <v>672</v>
      </c>
      <c r="E208" s="295" t="s">
        <v>625</v>
      </c>
      <c r="F208" s="296" t="s">
        <v>1271</v>
      </c>
      <c r="G208" s="296" t="s">
        <v>1266</v>
      </c>
      <c r="H208" s="297" t="s">
        <v>1303</v>
      </c>
      <c r="I208" s="295" t="s">
        <v>1232</v>
      </c>
      <c r="J208" s="299">
        <v>31</v>
      </c>
      <c r="K208" s="300" t="s">
        <v>1267</v>
      </c>
      <c r="L208" s="299" t="s">
        <v>1225</v>
      </c>
      <c r="M208" s="299" t="s">
        <v>1225</v>
      </c>
    </row>
    <row r="209" spans="1:13" ht="18" x14ac:dyDescent="0.25">
      <c r="A209" s="922">
        <v>332</v>
      </c>
      <c r="B209" s="294">
        <v>1</v>
      </c>
      <c r="C209" s="295" t="s">
        <v>674</v>
      </c>
      <c r="D209" s="296" t="s">
        <v>675</v>
      </c>
      <c r="E209" s="295" t="s">
        <v>625</v>
      </c>
      <c r="F209" s="296" t="s">
        <v>1271</v>
      </c>
      <c r="G209" s="296" t="s">
        <v>1241</v>
      </c>
      <c r="H209" s="297" t="s">
        <v>1304</v>
      </c>
      <c r="I209" s="295" t="s">
        <v>1232</v>
      </c>
      <c r="J209" s="299">
        <v>31</v>
      </c>
      <c r="K209" s="300" t="s">
        <v>1267</v>
      </c>
      <c r="L209" s="299" t="s">
        <v>1225</v>
      </c>
      <c r="M209" s="299" t="s">
        <v>1225</v>
      </c>
    </row>
    <row r="210" spans="1:13" ht="18" x14ac:dyDescent="0.25">
      <c r="A210" s="922">
        <v>333</v>
      </c>
      <c r="B210" s="294">
        <v>1</v>
      </c>
      <c r="C210" s="295" t="s">
        <v>677</v>
      </c>
      <c r="D210" s="296" t="s">
        <v>675</v>
      </c>
      <c r="E210" s="295" t="s">
        <v>625</v>
      </c>
      <c r="F210" s="296" t="s">
        <v>1271</v>
      </c>
      <c r="G210" s="296" t="s">
        <v>1241</v>
      </c>
      <c r="H210" s="297" t="s">
        <v>1305</v>
      </c>
      <c r="I210" s="295" t="s">
        <v>1232</v>
      </c>
      <c r="J210" s="299">
        <v>31</v>
      </c>
      <c r="K210" s="300" t="s">
        <v>1267</v>
      </c>
      <c r="L210" s="299" t="s">
        <v>1225</v>
      </c>
      <c r="M210" s="299" t="s">
        <v>1225</v>
      </c>
    </row>
    <row r="211" spans="1:13" ht="18" x14ac:dyDescent="0.25">
      <c r="A211" s="922">
        <v>334</v>
      </c>
      <c r="B211" s="294">
        <v>1</v>
      </c>
      <c r="C211" s="295" t="s">
        <v>679</v>
      </c>
      <c r="D211" s="296" t="s">
        <v>680</v>
      </c>
      <c r="E211" s="295" t="s">
        <v>625</v>
      </c>
      <c r="F211" s="296" t="s">
        <v>1271</v>
      </c>
      <c r="G211" s="296" t="s">
        <v>1266</v>
      </c>
      <c r="H211" s="297" t="s">
        <v>1306</v>
      </c>
      <c r="I211" s="295" t="s">
        <v>1232</v>
      </c>
      <c r="J211" s="299">
        <v>31</v>
      </c>
      <c r="K211" s="300" t="s">
        <v>1267</v>
      </c>
      <c r="L211" s="299" t="s">
        <v>1225</v>
      </c>
      <c r="M211" s="299" t="s">
        <v>1225</v>
      </c>
    </row>
    <row r="212" spans="1:13" ht="18" x14ac:dyDescent="0.25">
      <c r="A212" s="922">
        <v>335</v>
      </c>
      <c r="B212" s="294">
        <v>1</v>
      </c>
      <c r="C212" s="295" t="s">
        <v>682</v>
      </c>
      <c r="D212" s="296" t="s">
        <v>683</v>
      </c>
      <c r="E212" s="295" t="s">
        <v>625</v>
      </c>
      <c r="F212" s="296" t="s">
        <v>1271</v>
      </c>
      <c r="G212" s="296" t="s">
        <v>1272</v>
      </c>
      <c r="H212" s="297" t="s">
        <v>1307</v>
      </c>
      <c r="I212" s="295" t="s">
        <v>1232</v>
      </c>
      <c r="J212" s="299">
        <v>31</v>
      </c>
      <c r="K212" s="300" t="s">
        <v>1267</v>
      </c>
      <c r="L212" s="299" t="s">
        <v>1219</v>
      </c>
      <c r="M212" s="299" t="s">
        <v>1219</v>
      </c>
    </row>
    <row r="213" spans="1:13" ht="18" x14ac:dyDescent="0.25">
      <c r="A213" s="291">
        <v>336</v>
      </c>
      <c r="B213" s="294">
        <v>1</v>
      </c>
      <c r="C213" s="295" t="s">
        <v>685</v>
      </c>
      <c r="D213" s="296" t="s">
        <v>686</v>
      </c>
      <c r="E213" s="295" t="s">
        <v>625</v>
      </c>
      <c r="F213" s="296" t="s">
        <v>1271</v>
      </c>
      <c r="G213" s="296" t="s">
        <v>1272</v>
      </c>
      <c r="H213" s="297" t="s">
        <v>1308</v>
      </c>
      <c r="I213" s="295" t="s">
        <v>1232</v>
      </c>
      <c r="J213" s="299">
        <v>31</v>
      </c>
      <c r="K213" s="300" t="s">
        <v>1267</v>
      </c>
      <c r="L213" s="299" t="s">
        <v>1225</v>
      </c>
      <c r="M213" s="299" t="s">
        <v>1225</v>
      </c>
    </row>
    <row r="214" spans="1:13" ht="27" x14ac:dyDescent="0.25">
      <c r="A214" s="293">
        <v>337</v>
      </c>
      <c r="B214" s="294">
        <v>1</v>
      </c>
      <c r="C214" s="295" t="s">
        <v>69</v>
      </c>
      <c r="D214" s="295" t="s">
        <v>70</v>
      </c>
      <c r="E214" s="295" t="s">
        <v>35</v>
      </c>
      <c r="F214" s="296" t="s">
        <v>1309</v>
      </c>
      <c r="G214" s="296" t="s">
        <v>1217</v>
      </c>
      <c r="H214" s="297">
        <v>380</v>
      </c>
      <c r="I214" s="298">
        <v>2003</v>
      </c>
      <c r="J214" s="299">
        <v>51</v>
      </c>
      <c r="K214" s="300" t="s">
        <v>1218</v>
      </c>
      <c r="L214" s="299" t="s">
        <v>1219</v>
      </c>
      <c r="M214" s="299" t="s">
        <v>1219</v>
      </c>
    </row>
    <row r="215" spans="1:13" ht="27" x14ac:dyDescent="0.25">
      <c r="A215" s="293">
        <v>338</v>
      </c>
      <c r="B215" s="294">
        <v>1</v>
      </c>
      <c r="C215" s="295" t="s">
        <v>380</v>
      </c>
      <c r="D215" s="295" t="s">
        <v>381</v>
      </c>
      <c r="E215" s="295" t="s">
        <v>376</v>
      </c>
      <c r="F215" s="296" t="s">
        <v>1226</v>
      </c>
      <c r="G215" s="296" t="s">
        <v>1217</v>
      </c>
      <c r="H215" s="297">
        <v>420</v>
      </c>
      <c r="I215" s="298">
        <v>2003</v>
      </c>
      <c r="J215" s="299">
        <v>51</v>
      </c>
      <c r="K215" s="300" t="s">
        <v>1218</v>
      </c>
      <c r="L215" s="299" t="s">
        <v>1219</v>
      </c>
      <c r="M215" s="299" t="s">
        <v>1219</v>
      </c>
    </row>
    <row r="216" spans="1:13" ht="18" x14ac:dyDescent="0.25">
      <c r="A216" s="293">
        <v>339</v>
      </c>
      <c r="B216" s="294">
        <v>1</v>
      </c>
      <c r="C216" s="295" t="s">
        <v>383</v>
      </c>
      <c r="D216" s="295" t="s">
        <v>384</v>
      </c>
      <c r="E216" s="295" t="s">
        <v>376</v>
      </c>
      <c r="F216" s="296" t="s">
        <v>1255</v>
      </c>
      <c r="G216" s="296" t="s">
        <v>1236</v>
      </c>
      <c r="H216" s="297">
        <v>640</v>
      </c>
      <c r="I216" s="298">
        <v>2003</v>
      </c>
      <c r="J216" s="299">
        <v>41</v>
      </c>
      <c r="K216" s="300" t="s">
        <v>1240</v>
      </c>
      <c r="L216" s="299" t="s">
        <v>1219</v>
      </c>
      <c r="M216" s="299" t="s">
        <v>1219</v>
      </c>
    </row>
    <row r="217" spans="1:13" ht="18" x14ac:dyDescent="0.25">
      <c r="A217" s="293">
        <v>340</v>
      </c>
      <c r="B217" s="294">
        <v>1</v>
      </c>
      <c r="C217" s="295" t="s">
        <v>386</v>
      </c>
      <c r="D217" s="295" t="s">
        <v>387</v>
      </c>
      <c r="E217" s="295" t="s">
        <v>376</v>
      </c>
      <c r="F217" s="296" t="s">
        <v>1230</v>
      </c>
      <c r="G217" s="296" t="s">
        <v>1236</v>
      </c>
      <c r="H217" s="297">
        <v>840</v>
      </c>
      <c r="I217" s="298">
        <v>2003</v>
      </c>
      <c r="J217" s="299">
        <v>41</v>
      </c>
      <c r="K217" s="300" t="s">
        <v>1240</v>
      </c>
      <c r="L217" s="299" t="s">
        <v>1219</v>
      </c>
      <c r="M217" s="299" t="s">
        <v>1219</v>
      </c>
    </row>
    <row r="218" spans="1:13" ht="27" x14ac:dyDescent="0.25">
      <c r="A218" s="293">
        <v>341</v>
      </c>
      <c r="B218" s="294">
        <v>1</v>
      </c>
      <c r="C218" s="295" t="s">
        <v>389</v>
      </c>
      <c r="D218" s="295" t="s">
        <v>390</v>
      </c>
      <c r="E218" s="295" t="s">
        <v>376</v>
      </c>
      <c r="F218" s="296" t="s">
        <v>1230</v>
      </c>
      <c r="G218" s="296" t="s">
        <v>1239</v>
      </c>
      <c r="H218" s="297">
        <v>940</v>
      </c>
      <c r="I218" s="298">
        <v>2003</v>
      </c>
      <c r="J218" s="299">
        <v>41</v>
      </c>
      <c r="K218" s="300" t="s">
        <v>1240</v>
      </c>
      <c r="L218" s="299" t="s">
        <v>1219</v>
      </c>
      <c r="M218" s="299" t="s">
        <v>1219</v>
      </c>
    </row>
    <row r="219" spans="1:13" ht="27" x14ac:dyDescent="0.25">
      <c r="A219" s="293">
        <v>342</v>
      </c>
      <c r="B219" s="294">
        <v>1</v>
      </c>
      <c r="C219" s="295" t="s">
        <v>445</v>
      </c>
      <c r="D219" s="295" t="s">
        <v>446</v>
      </c>
      <c r="E219" s="295" t="s">
        <v>439</v>
      </c>
      <c r="F219" s="296" t="s">
        <v>1216</v>
      </c>
      <c r="G219" s="296" t="s">
        <v>1217</v>
      </c>
      <c r="H219" s="297">
        <v>400</v>
      </c>
      <c r="I219" s="298">
        <v>2003</v>
      </c>
      <c r="J219" s="299">
        <v>51</v>
      </c>
      <c r="K219" s="300" t="s">
        <v>1218</v>
      </c>
      <c r="L219" s="299" t="s">
        <v>1219</v>
      </c>
      <c r="M219" s="299" t="s">
        <v>1219</v>
      </c>
    </row>
    <row r="220" spans="1:13" ht="27" x14ac:dyDescent="0.25">
      <c r="A220" s="293">
        <v>343</v>
      </c>
      <c r="B220" s="294">
        <v>1</v>
      </c>
      <c r="C220" s="295" t="s">
        <v>694</v>
      </c>
      <c r="D220" s="295" t="s">
        <v>695</v>
      </c>
      <c r="E220" s="295" t="s">
        <v>693</v>
      </c>
      <c r="F220" s="296" t="s">
        <v>1224</v>
      </c>
      <c r="G220" s="296" t="s">
        <v>1217</v>
      </c>
      <c r="H220" s="297">
        <v>340</v>
      </c>
      <c r="I220" s="298">
        <v>2003</v>
      </c>
      <c r="J220" s="299">
        <v>51</v>
      </c>
      <c r="K220" s="300" t="s">
        <v>1218</v>
      </c>
      <c r="L220" s="299" t="s">
        <v>1219</v>
      </c>
      <c r="M220" s="299" t="s">
        <v>1219</v>
      </c>
    </row>
    <row r="221" spans="1:13" ht="27" x14ac:dyDescent="0.25">
      <c r="A221" s="293">
        <v>344</v>
      </c>
      <c r="B221" s="294">
        <v>1</v>
      </c>
      <c r="C221" s="295" t="s">
        <v>698</v>
      </c>
      <c r="D221" s="295" t="s">
        <v>695</v>
      </c>
      <c r="E221" s="295" t="s">
        <v>693</v>
      </c>
      <c r="F221" s="296" t="s">
        <v>1226</v>
      </c>
      <c r="G221" s="296" t="s">
        <v>1217</v>
      </c>
      <c r="H221" s="297">
        <v>370</v>
      </c>
      <c r="I221" s="298">
        <v>2003</v>
      </c>
      <c r="J221" s="299">
        <v>51</v>
      </c>
      <c r="K221" s="300" t="s">
        <v>1218</v>
      </c>
      <c r="L221" s="299" t="s">
        <v>1219</v>
      </c>
      <c r="M221" s="299" t="s">
        <v>1219</v>
      </c>
    </row>
    <row r="222" spans="1:13" ht="27" x14ac:dyDescent="0.25">
      <c r="A222" s="293">
        <v>345</v>
      </c>
      <c r="B222" s="294">
        <v>1</v>
      </c>
      <c r="C222" s="295" t="s">
        <v>700</v>
      </c>
      <c r="D222" s="295" t="s">
        <v>412</v>
      </c>
      <c r="E222" s="295" t="s">
        <v>693</v>
      </c>
      <c r="F222" s="296" t="s">
        <v>1226</v>
      </c>
      <c r="G222" s="296" t="s">
        <v>1217</v>
      </c>
      <c r="H222" s="297">
        <v>420</v>
      </c>
      <c r="I222" s="298">
        <v>2003</v>
      </c>
      <c r="J222" s="299">
        <v>51</v>
      </c>
      <c r="K222" s="300" t="s">
        <v>1218</v>
      </c>
      <c r="L222" s="299" t="s">
        <v>1219</v>
      </c>
      <c r="M222" s="299" t="s">
        <v>1219</v>
      </c>
    </row>
    <row r="223" spans="1:13" ht="60.4" customHeight="1" x14ac:dyDescent="0.25">
      <c r="A223" s="923">
        <v>346</v>
      </c>
      <c r="B223" s="294">
        <v>1</v>
      </c>
      <c r="C223" s="295" t="s">
        <v>467</v>
      </c>
      <c r="D223" s="295" t="s">
        <v>462</v>
      </c>
      <c r="E223" s="295" t="s">
        <v>460</v>
      </c>
      <c r="F223" s="296" t="s">
        <v>1230</v>
      </c>
      <c r="G223" s="296" t="s">
        <v>1236</v>
      </c>
      <c r="H223" s="297" t="s">
        <v>1310</v>
      </c>
      <c r="I223" s="295" t="s">
        <v>1232</v>
      </c>
      <c r="J223" s="299">
        <v>42</v>
      </c>
      <c r="K223" s="300" t="s">
        <v>1240</v>
      </c>
      <c r="L223" s="299" t="s">
        <v>1254</v>
      </c>
      <c r="M223" s="299" t="s">
        <v>1311</v>
      </c>
    </row>
    <row r="224" spans="1:13" ht="18" x14ac:dyDescent="0.25">
      <c r="A224" s="306">
        <v>347</v>
      </c>
      <c r="B224" s="294">
        <v>1</v>
      </c>
      <c r="C224" s="295" t="s">
        <v>269</v>
      </c>
      <c r="D224" s="295" t="s">
        <v>270</v>
      </c>
      <c r="E224" s="295" t="s">
        <v>1893</v>
      </c>
      <c r="F224" s="296" t="s">
        <v>1230</v>
      </c>
      <c r="G224" s="296" t="s">
        <v>1239</v>
      </c>
      <c r="H224" s="297">
        <v>1120</v>
      </c>
      <c r="I224" s="295" t="s">
        <v>1232</v>
      </c>
      <c r="J224" s="299">
        <v>42</v>
      </c>
      <c r="K224" s="300" t="s">
        <v>1240</v>
      </c>
      <c r="L224" s="299" t="s">
        <v>1238</v>
      </c>
      <c r="M224" s="299" t="s">
        <v>1238</v>
      </c>
    </row>
    <row r="225" spans="1:13" ht="18" x14ac:dyDescent="0.25">
      <c r="A225" s="922">
        <v>348</v>
      </c>
      <c r="B225" s="294">
        <v>1</v>
      </c>
      <c r="C225" s="295" t="s">
        <v>272</v>
      </c>
      <c r="D225" s="295" t="s">
        <v>273</v>
      </c>
      <c r="E225" s="295" t="s">
        <v>259</v>
      </c>
      <c r="F225" s="295" t="s">
        <v>1230</v>
      </c>
      <c r="G225" s="295" t="s">
        <v>1217</v>
      </c>
      <c r="H225" s="295" t="s">
        <v>1312</v>
      </c>
      <c r="I225" s="295" t="s">
        <v>1232</v>
      </c>
      <c r="J225" s="299">
        <v>90</v>
      </c>
      <c r="K225" s="300" t="s">
        <v>1256</v>
      </c>
      <c r="L225" s="299" t="s">
        <v>1223</v>
      </c>
      <c r="M225" s="299" t="s">
        <v>1223</v>
      </c>
    </row>
    <row r="226" spans="1:13" ht="18" x14ac:dyDescent="0.25">
      <c r="A226" s="293">
        <v>349</v>
      </c>
      <c r="B226" s="294">
        <v>1</v>
      </c>
      <c r="C226" s="295" t="s">
        <v>558</v>
      </c>
      <c r="D226" s="295" t="s">
        <v>559</v>
      </c>
      <c r="E226" s="295" t="s">
        <v>551</v>
      </c>
      <c r="F226" s="295" t="s">
        <v>1230</v>
      </c>
      <c r="G226" s="295" t="s">
        <v>1241</v>
      </c>
      <c r="H226" s="295">
        <v>1270</v>
      </c>
      <c r="I226" s="298">
        <v>2003</v>
      </c>
      <c r="J226" s="299">
        <v>41</v>
      </c>
      <c r="K226" s="300" t="s">
        <v>1240</v>
      </c>
      <c r="L226" s="299" t="s">
        <v>1225</v>
      </c>
      <c r="M226" s="299" t="s">
        <v>1225</v>
      </c>
    </row>
    <row r="227" spans="1:13" ht="18" x14ac:dyDescent="0.25">
      <c r="A227" s="291">
        <v>350</v>
      </c>
      <c r="B227" s="294">
        <v>1</v>
      </c>
      <c r="C227" s="295" t="s">
        <v>561</v>
      </c>
      <c r="D227" s="295" t="s">
        <v>562</v>
      </c>
      <c r="E227" s="295" t="s">
        <v>551</v>
      </c>
      <c r="F227" s="295" t="s">
        <v>1230</v>
      </c>
      <c r="G227" s="295" t="s">
        <v>1241</v>
      </c>
      <c r="H227" s="295" t="s">
        <v>1313</v>
      </c>
      <c r="I227" s="295" t="s">
        <v>1232</v>
      </c>
      <c r="J227" s="299">
        <v>31</v>
      </c>
      <c r="K227" s="300" t="s">
        <v>1267</v>
      </c>
      <c r="L227" s="299" t="s">
        <v>1219</v>
      </c>
      <c r="M227" s="299" t="s">
        <v>1219</v>
      </c>
    </row>
    <row r="228" spans="1:13" ht="18" x14ac:dyDescent="0.25">
      <c r="A228" s="293">
        <v>351</v>
      </c>
      <c r="B228" s="294">
        <v>1</v>
      </c>
      <c r="C228" s="295" t="s">
        <v>563</v>
      </c>
      <c r="D228" s="295" t="s">
        <v>564</v>
      </c>
      <c r="E228" s="295" t="s">
        <v>551</v>
      </c>
      <c r="F228" s="296" t="s">
        <v>1230</v>
      </c>
      <c r="G228" s="296" t="s">
        <v>1239</v>
      </c>
      <c r="H228" s="297">
        <v>950</v>
      </c>
      <c r="I228" s="298">
        <v>2003</v>
      </c>
      <c r="J228" s="299">
        <v>41</v>
      </c>
      <c r="K228" s="300" t="s">
        <v>1240</v>
      </c>
      <c r="L228" s="299" t="s">
        <v>1219</v>
      </c>
      <c r="M228" s="299" t="s">
        <v>1219</v>
      </c>
    </row>
    <row r="229" spans="1:13" ht="18" x14ac:dyDescent="0.25">
      <c r="A229" s="293">
        <v>352</v>
      </c>
      <c r="B229" s="294">
        <v>1</v>
      </c>
      <c r="C229" s="295" t="s">
        <v>408</v>
      </c>
      <c r="D229" s="295" t="s">
        <v>409</v>
      </c>
      <c r="E229" s="295" t="s">
        <v>407</v>
      </c>
      <c r="F229" s="296" t="s">
        <v>1230</v>
      </c>
      <c r="G229" s="296" t="s">
        <v>1241</v>
      </c>
      <c r="H229" s="297">
        <v>1200</v>
      </c>
      <c r="I229" s="298">
        <v>2003</v>
      </c>
      <c r="J229" s="299">
        <v>41</v>
      </c>
      <c r="K229" s="300" t="s">
        <v>1240</v>
      </c>
      <c r="L229" s="299" t="s">
        <v>1225</v>
      </c>
      <c r="M229" s="299" t="s">
        <v>1225</v>
      </c>
    </row>
    <row r="230" spans="1:13" ht="18" x14ac:dyDescent="0.25">
      <c r="A230" s="293">
        <v>353</v>
      </c>
      <c r="B230" s="294">
        <v>1</v>
      </c>
      <c r="C230" s="295" t="s">
        <v>565</v>
      </c>
      <c r="D230" s="295" t="s">
        <v>566</v>
      </c>
      <c r="E230" s="295" t="s">
        <v>551</v>
      </c>
      <c r="F230" s="296" t="s">
        <v>1230</v>
      </c>
      <c r="G230" s="296" t="s">
        <v>1266</v>
      </c>
      <c r="H230" s="297">
        <v>1660</v>
      </c>
      <c r="I230" s="298">
        <v>2003</v>
      </c>
      <c r="J230" s="299">
        <v>31</v>
      </c>
      <c r="K230" s="300" t="s">
        <v>1267</v>
      </c>
      <c r="L230" s="299" t="s">
        <v>1225</v>
      </c>
      <c r="M230" s="299" t="s">
        <v>1225</v>
      </c>
    </row>
    <row r="231" spans="1:13" ht="18" x14ac:dyDescent="0.25">
      <c r="A231" s="293">
        <v>354</v>
      </c>
      <c r="B231" s="294">
        <v>1</v>
      </c>
      <c r="C231" s="295" t="s">
        <v>568</v>
      </c>
      <c r="D231" s="295" t="s">
        <v>569</v>
      </c>
      <c r="E231" s="295" t="s">
        <v>551</v>
      </c>
      <c r="F231" s="296" t="s">
        <v>1230</v>
      </c>
      <c r="G231" s="296" t="s">
        <v>1266</v>
      </c>
      <c r="H231" s="297">
        <v>1600</v>
      </c>
      <c r="I231" s="298">
        <v>2003</v>
      </c>
      <c r="J231" s="299">
        <v>31</v>
      </c>
      <c r="K231" s="300" t="s">
        <v>1267</v>
      </c>
      <c r="L231" s="299" t="s">
        <v>1225</v>
      </c>
      <c r="M231" s="299" t="s">
        <v>1225</v>
      </c>
    </row>
    <row r="232" spans="1:13" ht="18" x14ac:dyDescent="0.25">
      <c r="A232" s="293">
        <v>355</v>
      </c>
      <c r="B232" s="294">
        <v>1</v>
      </c>
      <c r="C232" s="295" t="s">
        <v>570</v>
      </c>
      <c r="D232" s="295" t="s">
        <v>555</v>
      </c>
      <c r="E232" s="295" t="s">
        <v>551</v>
      </c>
      <c r="F232" s="296" t="s">
        <v>1230</v>
      </c>
      <c r="G232" s="296" t="s">
        <v>1241</v>
      </c>
      <c r="H232" s="297">
        <v>1280</v>
      </c>
      <c r="I232" s="298">
        <v>2003</v>
      </c>
      <c r="J232" s="299">
        <v>41</v>
      </c>
      <c r="K232" s="300" t="s">
        <v>1240</v>
      </c>
      <c r="L232" s="299" t="s">
        <v>1225</v>
      </c>
      <c r="M232" s="299" t="s">
        <v>1225</v>
      </c>
    </row>
    <row r="233" spans="1:13" ht="18" x14ac:dyDescent="0.25">
      <c r="A233" s="293">
        <v>356</v>
      </c>
      <c r="B233" s="294">
        <v>1</v>
      </c>
      <c r="C233" s="295" t="s">
        <v>571</v>
      </c>
      <c r="D233" s="295" t="s">
        <v>572</v>
      </c>
      <c r="E233" s="295" t="s">
        <v>551</v>
      </c>
      <c r="F233" s="296" t="s">
        <v>1235</v>
      </c>
      <c r="G233" s="296" t="s">
        <v>1266</v>
      </c>
      <c r="H233" s="297">
        <v>1580</v>
      </c>
      <c r="I233" s="298">
        <v>2003</v>
      </c>
      <c r="J233" s="299">
        <v>31</v>
      </c>
      <c r="K233" s="300" t="s">
        <v>1267</v>
      </c>
      <c r="L233" s="299" t="s">
        <v>1225</v>
      </c>
      <c r="M233" s="299" t="s">
        <v>1225</v>
      </c>
    </row>
    <row r="234" spans="1:13" ht="18" x14ac:dyDescent="0.25">
      <c r="A234" s="293">
        <v>357</v>
      </c>
      <c r="B234" s="294">
        <v>1</v>
      </c>
      <c r="C234" s="295" t="s">
        <v>524</v>
      </c>
      <c r="D234" s="295" t="s">
        <v>525</v>
      </c>
      <c r="E234" s="295" t="s">
        <v>482</v>
      </c>
      <c r="F234" s="296" t="s">
        <v>1277</v>
      </c>
      <c r="G234" s="296" t="s">
        <v>1241</v>
      </c>
      <c r="H234" s="297">
        <v>1280</v>
      </c>
      <c r="I234" s="298">
        <v>2003</v>
      </c>
      <c r="J234" s="299">
        <v>41</v>
      </c>
      <c r="K234" s="300" t="s">
        <v>1240</v>
      </c>
      <c r="L234" s="299" t="s">
        <v>1225</v>
      </c>
      <c r="M234" s="299" t="s">
        <v>1225</v>
      </c>
    </row>
    <row r="235" spans="1:13" ht="27" x14ac:dyDescent="0.25">
      <c r="A235" s="293">
        <v>358</v>
      </c>
      <c r="B235" s="294">
        <v>1</v>
      </c>
      <c r="C235" s="295" t="s">
        <v>526</v>
      </c>
      <c r="D235" s="295" t="s">
        <v>484</v>
      </c>
      <c r="E235" s="295" t="s">
        <v>482</v>
      </c>
      <c r="F235" s="296" t="s">
        <v>1277</v>
      </c>
      <c r="G235" s="296" t="s">
        <v>1236</v>
      </c>
      <c r="H235" s="297">
        <v>630</v>
      </c>
      <c r="I235" s="298">
        <v>2003</v>
      </c>
      <c r="J235" s="299">
        <v>61</v>
      </c>
      <c r="K235" s="300" t="s">
        <v>1268</v>
      </c>
      <c r="L235" s="299" t="s">
        <v>1225</v>
      </c>
      <c r="M235" s="299" t="s">
        <v>1225</v>
      </c>
    </row>
    <row r="236" spans="1:13" ht="27" x14ac:dyDescent="0.25">
      <c r="A236" s="293">
        <v>359</v>
      </c>
      <c r="B236" s="294">
        <v>1</v>
      </c>
      <c r="C236" s="295" t="s">
        <v>528</v>
      </c>
      <c r="D236" s="295" t="s">
        <v>484</v>
      </c>
      <c r="E236" s="295" t="s">
        <v>482</v>
      </c>
      <c r="F236" s="296" t="s">
        <v>1277</v>
      </c>
      <c r="G236" s="296" t="s">
        <v>1217</v>
      </c>
      <c r="H236" s="297">
        <v>430</v>
      </c>
      <c r="I236" s="298">
        <v>2003</v>
      </c>
      <c r="J236" s="299">
        <v>61</v>
      </c>
      <c r="K236" s="300" t="s">
        <v>1268</v>
      </c>
      <c r="L236" s="299" t="s">
        <v>1225</v>
      </c>
      <c r="M236" s="299" t="s">
        <v>1225</v>
      </c>
    </row>
    <row r="237" spans="1:13" ht="18" x14ac:dyDescent="0.25">
      <c r="A237" s="293">
        <v>360</v>
      </c>
      <c r="B237" s="294">
        <v>1</v>
      </c>
      <c r="C237" s="295" t="s">
        <v>530</v>
      </c>
      <c r="D237" s="295" t="s">
        <v>531</v>
      </c>
      <c r="E237" s="295" t="s">
        <v>482</v>
      </c>
      <c r="F237" s="296" t="s">
        <v>1277</v>
      </c>
      <c r="G237" s="296" t="s">
        <v>1241</v>
      </c>
      <c r="H237" s="297">
        <v>1330</v>
      </c>
      <c r="I237" s="298">
        <v>2003</v>
      </c>
      <c r="J237" s="299">
        <v>31</v>
      </c>
      <c r="K237" s="300" t="s">
        <v>1267</v>
      </c>
      <c r="L237" s="299" t="s">
        <v>1225</v>
      </c>
      <c r="M237" s="299" t="s">
        <v>1225</v>
      </c>
    </row>
    <row r="238" spans="1:13" ht="18" x14ac:dyDescent="0.25">
      <c r="A238" s="293">
        <v>361</v>
      </c>
      <c r="B238" s="294">
        <v>1</v>
      </c>
      <c r="C238" s="295" t="s">
        <v>533</v>
      </c>
      <c r="D238" s="295" t="s">
        <v>531</v>
      </c>
      <c r="E238" s="295" t="s">
        <v>482</v>
      </c>
      <c r="F238" s="296" t="s">
        <v>1277</v>
      </c>
      <c r="G238" s="296" t="s">
        <v>1239</v>
      </c>
      <c r="H238" s="297">
        <v>1030</v>
      </c>
      <c r="I238" s="298">
        <v>2003</v>
      </c>
      <c r="J238" s="299">
        <v>41</v>
      </c>
      <c r="K238" s="300" t="s">
        <v>1240</v>
      </c>
      <c r="L238" s="299" t="s">
        <v>1225</v>
      </c>
      <c r="M238" s="299" t="s">
        <v>1225</v>
      </c>
    </row>
    <row r="239" spans="1:13" ht="18" x14ac:dyDescent="0.25">
      <c r="A239" s="293">
        <v>362</v>
      </c>
      <c r="B239" s="294">
        <v>1</v>
      </c>
      <c r="C239" s="295" t="s">
        <v>534</v>
      </c>
      <c r="D239" s="295" t="s">
        <v>535</v>
      </c>
      <c r="E239" s="295" t="s">
        <v>482</v>
      </c>
      <c r="F239" s="296" t="s">
        <v>1277</v>
      </c>
      <c r="G239" s="296" t="s">
        <v>1239</v>
      </c>
      <c r="H239" s="297">
        <v>1050</v>
      </c>
      <c r="I239" s="298">
        <v>2003</v>
      </c>
      <c r="J239" s="299">
        <v>41</v>
      </c>
      <c r="K239" s="300" t="s">
        <v>1240</v>
      </c>
      <c r="L239" s="299" t="s">
        <v>1225</v>
      </c>
      <c r="M239" s="299" t="s">
        <v>1225</v>
      </c>
    </row>
    <row r="240" spans="1:13" ht="18" x14ac:dyDescent="0.25">
      <c r="A240" s="293">
        <v>363</v>
      </c>
      <c r="B240" s="294">
        <v>1</v>
      </c>
      <c r="C240" s="295" t="s">
        <v>537</v>
      </c>
      <c r="D240" s="295" t="s">
        <v>538</v>
      </c>
      <c r="E240" s="295" t="s">
        <v>482</v>
      </c>
      <c r="F240" s="296" t="s">
        <v>1277</v>
      </c>
      <c r="G240" s="296" t="s">
        <v>1241</v>
      </c>
      <c r="H240" s="297">
        <v>1380</v>
      </c>
      <c r="I240" s="298">
        <v>2003</v>
      </c>
      <c r="J240" s="299">
        <v>31</v>
      </c>
      <c r="K240" s="300" t="s">
        <v>1267</v>
      </c>
      <c r="L240" s="299" t="s">
        <v>1225</v>
      </c>
      <c r="M240" s="299" t="s">
        <v>1225</v>
      </c>
    </row>
    <row r="241" spans="1:13" ht="18" x14ac:dyDescent="0.25">
      <c r="A241" s="293">
        <v>364</v>
      </c>
      <c r="B241" s="294">
        <v>1</v>
      </c>
      <c r="C241" s="295" t="s">
        <v>539</v>
      </c>
      <c r="D241" s="295" t="s">
        <v>540</v>
      </c>
      <c r="E241" s="295" t="s">
        <v>482</v>
      </c>
      <c r="F241" s="296" t="s">
        <v>1279</v>
      </c>
      <c r="G241" s="296" t="s">
        <v>1236</v>
      </c>
      <c r="H241" s="297">
        <v>830</v>
      </c>
      <c r="I241" s="298">
        <v>2003</v>
      </c>
      <c r="J241" s="299">
        <v>41</v>
      </c>
      <c r="K241" s="300" t="s">
        <v>1240</v>
      </c>
      <c r="L241" s="299" t="s">
        <v>1225</v>
      </c>
      <c r="M241" s="299" t="s">
        <v>1225</v>
      </c>
    </row>
    <row r="242" spans="1:13" ht="18" x14ac:dyDescent="0.25">
      <c r="A242" s="293">
        <v>365</v>
      </c>
      <c r="B242" s="294">
        <v>1</v>
      </c>
      <c r="C242" s="295" t="s">
        <v>541</v>
      </c>
      <c r="D242" s="295" t="s">
        <v>542</v>
      </c>
      <c r="E242" s="295" t="s">
        <v>482</v>
      </c>
      <c r="F242" s="296" t="s">
        <v>1279</v>
      </c>
      <c r="G242" s="296" t="s">
        <v>1239</v>
      </c>
      <c r="H242" s="297">
        <v>1120</v>
      </c>
      <c r="I242" s="298">
        <v>2003</v>
      </c>
      <c r="J242" s="299">
        <v>41</v>
      </c>
      <c r="K242" s="300" t="s">
        <v>1240</v>
      </c>
      <c r="L242" s="299" t="s">
        <v>1219</v>
      </c>
      <c r="M242" s="299" t="s">
        <v>1219</v>
      </c>
    </row>
    <row r="243" spans="1:13" ht="27" x14ac:dyDescent="0.25">
      <c r="A243" s="293">
        <v>366</v>
      </c>
      <c r="B243" s="294">
        <v>1</v>
      </c>
      <c r="C243" s="295" t="s">
        <v>543</v>
      </c>
      <c r="D243" s="295" t="s">
        <v>544</v>
      </c>
      <c r="E243" s="295" t="s">
        <v>482</v>
      </c>
      <c r="F243" s="296" t="s">
        <v>1279</v>
      </c>
      <c r="G243" s="296" t="s">
        <v>1236</v>
      </c>
      <c r="H243" s="297">
        <v>610</v>
      </c>
      <c r="I243" s="298">
        <v>2003</v>
      </c>
      <c r="J243" s="299">
        <v>61</v>
      </c>
      <c r="K243" s="300" t="s">
        <v>1268</v>
      </c>
      <c r="L243" s="299" t="s">
        <v>1219</v>
      </c>
      <c r="M243" s="299" t="s">
        <v>1219</v>
      </c>
    </row>
    <row r="244" spans="1:13" ht="18" x14ac:dyDescent="0.25">
      <c r="A244" s="293">
        <v>367</v>
      </c>
      <c r="B244" s="294">
        <v>1</v>
      </c>
      <c r="C244" s="295" t="s">
        <v>545</v>
      </c>
      <c r="D244" s="295" t="s">
        <v>546</v>
      </c>
      <c r="E244" s="295" t="s">
        <v>482</v>
      </c>
      <c r="F244" s="296" t="s">
        <v>1279</v>
      </c>
      <c r="G244" s="296" t="s">
        <v>1217</v>
      </c>
      <c r="H244" s="297">
        <v>270</v>
      </c>
      <c r="I244" s="298">
        <v>2003</v>
      </c>
      <c r="J244" s="299">
        <v>90</v>
      </c>
      <c r="K244" s="300" t="s">
        <v>1256</v>
      </c>
      <c r="L244" s="299" t="s">
        <v>1225</v>
      </c>
      <c r="M244" s="299" t="s">
        <v>1225</v>
      </c>
    </row>
    <row r="245" spans="1:13" ht="27" x14ac:dyDescent="0.25">
      <c r="A245" s="923">
        <v>368</v>
      </c>
      <c r="B245" s="294">
        <v>1</v>
      </c>
      <c r="C245" s="295" t="s">
        <v>547</v>
      </c>
      <c r="D245" s="302" t="s">
        <v>548</v>
      </c>
      <c r="E245" s="295" t="s">
        <v>482</v>
      </c>
      <c r="F245" s="296" t="s">
        <v>1279</v>
      </c>
      <c r="G245" s="296" t="s">
        <v>1217</v>
      </c>
      <c r="H245" s="297">
        <v>330</v>
      </c>
      <c r="I245" s="295" t="s">
        <v>1232</v>
      </c>
      <c r="J245" s="299">
        <v>61</v>
      </c>
      <c r="K245" s="300" t="s">
        <v>1268</v>
      </c>
      <c r="L245" s="299" t="s">
        <v>1238</v>
      </c>
      <c r="M245" s="299" t="s">
        <v>1314</v>
      </c>
    </row>
    <row r="246" spans="1:13" ht="27" x14ac:dyDescent="0.25">
      <c r="A246" s="293">
        <v>369</v>
      </c>
      <c r="B246" s="294">
        <v>1</v>
      </c>
      <c r="C246" s="295" t="s">
        <v>424</v>
      </c>
      <c r="D246" s="295" t="s">
        <v>425</v>
      </c>
      <c r="E246" s="295" t="s">
        <v>410</v>
      </c>
      <c r="F246" s="296" t="s">
        <v>1226</v>
      </c>
      <c r="G246" s="296" t="s">
        <v>1217</v>
      </c>
      <c r="H246" s="297">
        <v>490</v>
      </c>
      <c r="I246" s="298">
        <v>2003</v>
      </c>
      <c r="J246" s="299">
        <v>51</v>
      </c>
      <c r="K246" s="300" t="s">
        <v>1218</v>
      </c>
      <c r="L246" s="299" t="s">
        <v>1219</v>
      </c>
      <c r="M246" s="299" t="s">
        <v>1219</v>
      </c>
    </row>
    <row r="247" spans="1:13" ht="18" x14ac:dyDescent="0.25">
      <c r="A247" s="293">
        <v>371</v>
      </c>
      <c r="B247" s="294">
        <v>1</v>
      </c>
      <c r="C247" s="295" t="s">
        <v>90</v>
      </c>
      <c r="D247" s="295" t="s">
        <v>91</v>
      </c>
      <c r="E247" s="295" t="s">
        <v>89</v>
      </c>
      <c r="F247" s="296" t="s">
        <v>1230</v>
      </c>
      <c r="G247" s="296" t="s">
        <v>1239</v>
      </c>
      <c r="H247" s="297">
        <v>1030</v>
      </c>
      <c r="I247" s="298">
        <v>2003</v>
      </c>
      <c r="J247" s="299">
        <v>41</v>
      </c>
      <c r="K247" s="300" t="s">
        <v>1240</v>
      </c>
      <c r="L247" s="299" t="s">
        <v>1225</v>
      </c>
      <c r="M247" s="299" t="s">
        <v>1225</v>
      </c>
    </row>
    <row r="248" spans="1:13" ht="18" x14ac:dyDescent="0.25">
      <c r="A248" s="922">
        <v>372</v>
      </c>
      <c r="B248" s="294">
        <v>1</v>
      </c>
      <c r="C248" s="295" t="s">
        <v>81</v>
      </c>
      <c r="D248" s="302" t="s">
        <v>82</v>
      </c>
      <c r="E248" s="302" t="s">
        <v>80</v>
      </c>
      <c r="F248" s="296" t="s">
        <v>1230</v>
      </c>
      <c r="G248" s="296" t="s">
        <v>1236</v>
      </c>
      <c r="H248" s="297" t="s">
        <v>1296</v>
      </c>
      <c r="I248" s="295" t="s">
        <v>1232</v>
      </c>
      <c r="J248" s="299">
        <v>41</v>
      </c>
      <c r="K248" s="300" t="s">
        <v>1240</v>
      </c>
      <c r="L248" s="299" t="s">
        <v>1219</v>
      </c>
      <c r="M248" s="299" t="s">
        <v>1219</v>
      </c>
    </row>
    <row r="249" spans="1:13" ht="18" x14ac:dyDescent="0.25">
      <c r="A249" s="293">
        <v>373</v>
      </c>
      <c r="B249" s="294">
        <v>1</v>
      </c>
      <c r="C249" s="295" t="s">
        <v>427</v>
      </c>
      <c r="D249" s="295" t="s">
        <v>428</v>
      </c>
      <c r="E249" s="295" t="s">
        <v>410</v>
      </c>
      <c r="F249" s="296" t="s">
        <v>1230</v>
      </c>
      <c r="G249" s="296" t="s">
        <v>1239</v>
      </c>
      <c r="H249" s="297">
        <v>1130</v>
      </c>
      <c r="I249" s="298">
        <v>2003</v>
      </c>
      <c r="J249" s="299">
        <v>41</v>
      </c>
      <c r="K249" s="300" t="s">
        <v>1240</v>
      </c>
      <c r="L249" s="299" t="s">
        <v>1225</v>
      </c>
      <c r="M249" s="299" t="s">
        <v>1225</v>
      </c>
    </row>
    <row r="250" spans="1:13" ht="45" x14ac:dyDescent="0.25">
      <c r="A250" s="293">
        <v>374</v>
      </c>
      <c r="B250" s="294">
        <v>1</v>
      </c>
      <c r="C250" s="295" t="s">
        <v>429</v>
      </c>
      <c r="D250" s="295" t="s">
        <v>430</v>
      </c>
      <c r="E250" s="295" t="s">
        <v>410</v>
      </c>
      <c r="F250" s="296" t="s">
        <v>1230</v>
      </c>
      <c r="G250" s="296" t="s">
        <v>1217</v>
      </c>
      <c r="H250" s="297">
        <v>460</v>
      </c>
      <c r="I250" s="298">
        <v>2003</v>
      </c>
      <c r="J250" s="299">
        <v>52</v>
      </c>
      <c r="K250" s="300" t="s">
        <v>1220</v>
      </c>
      <c r="L250" s="299" t="s">
        <v>1225</v>
      </c>
      <c r="M250" s="299" t="s">
        <v>1315</v>
      </c>
    </row>
    <row r="251" spans="1:13" ht="45" x14ac:dyDescent="0.25">
      <c r="A251" s="291">
        <v>375</v>
      </c>
      <c r="B251" s="294">
        <v>1</v>
      </c>
      <c r="C251" s="295" t="s">
        <v>324</v>
      </c>
      <c r="D251" s="302" t="s">
        <v>37</v>
      </c>
      <c r="E251" s="302" t="s">
        <v>274</v>
      </c>
      <c r="F251" s="296" t="s">
        <v>1230</v>
      </c>
      <c r="G251" s="296" t="s">
        <v>1217</v>
      </c>
      <c r="H251" s="297" t="s">
        <v>1316</v>
      </c>
      <c r="I251" s="295" t="s">
        <v>1232</v>
      </c>
      <c r="J251" s="299">
        <v>51</v>
      </c>
      <c r="K251" s="300" t="s">
        <v>1218</v>
      </c>
      <c r="L251" s="299" t="s">
        <v>1225</v>
      </c>
      <c r="M251" s="299" t="s">
        <v>1315</v>
      </c>
    </row>
    <row r="252" spans="1:13" ht="27" x14ac:dyDescent="0.25">
      <c r="A252" s="293">
        <v>376</v>
      </c>
      <c r="B252" s="294">
        <v>1</v>
      </c>
      <c r="C252" s="295" t="s">
        <v>433</v>
      </c>
      <c r="D252" s="295" t="s">
        <v>37</v>
      </c>
      <c r="E252" s="295" t="s">
        <v>410</v>
      </c>
      <c r="F252" s="296" t="s">
        <v>1230</v>
      </c>
      <c r="G252" s="296" t="s">
        <v>1217</v>
      </c>
      <c r="H252" s="297">
        <v>510</v>
      </c>
      <c r="I252" s="298">
        <v>2003</v>
      </c>
      <c r="J252" s="299">
        <v>52</v>
      </c>
      <c r="K252" s="300" t="s">
        <v>1220</v>
      </c>
      <c r="L252" s="299" t="s">
        <v>1299</v>
      </c>
      <c r="M252" s="299" t="s">
        <v>1299</v>
      </c>
    </row>
    <row r="253" spans="1:13" ht="18" x14ac:dyDescent="0.25">
      <c r="A253" s="922">
        <v>379</v>
      </c>
      <c r="B253" s="294">
        <v>1</v>
      </c>
      <c r="C253" s="295" t="s">
        <v>325</v>
      </c>
      <c r="D253" s="307" t="s">
        <v>326</v>
      </c>
      <c r="E253" s="302" t="s">
        <v>274</v>
      </c>
      <c r="F253" s="296" t="s">
        <v>1235</v>
      </c>
      <c r="G253" s="296" t="s">
        <v>1266</v>
      </c>
      <c r="H253" s="297" t="s">
        <v>1317</v>
      </c>
      <c r="I253" s="295" t="s">
        <v>1232</v>
      </c>
      <c r="J253" s="299">
        <v>31</v>
      </c>
      <c r="K253" s="300" t="s">
        <v>1267</v>
      </c>
      <c r="L253" s="299" t="s">
        <v>1225</v>
      </c>
      <c r="M253" s="299" t="s">
        <v>1223</v>
      </c>
    </row>
    <row r="254" spans="1:13" ht="18" x14ac:dyDescent="0.25">
      <c r="A254" s="293">
        <v>380</v>
      </c>
      <c r="B254" s="294">
        <v>1</v>
      </c>
      <c r="C254" s="295" t="s">
        <v>327</v>
      </c>
      <c r="D254" s="295" t="s">
        <v>328</v>
      </c>
      <c r="E254" s="295" t="s">
        <v>274</v>
      </c>
      <c r="F254" s="296" t="s">
        <v>1235</v>
      </c>
      <c r="G254" s="296" t="s">
        <v>1241</v>
      </c>
      <c r="H254" s="297">
        <v>1320</v>
      </c>
      <c r="I254" s="298">
        <v>2003</v>
      </c>
      <c r="J254" s="299">
        <v>31</v>
      </c>
      <c r="K254" s="300" t="s">
        <v>1267</v>
      </c>
      <c r="L254" s="299" t="s">
        <v>1225</v>
      </c>
      <c r="M254" s="299" t="s">
        <v>1225</v>
      </c>
    </row>
    <row r="255" spans="1:13" ht="18" x14ac:dyDescent="0.25">
      <c r="A255" s="291">
        <v>381</v>
      </c>
      <c r="B255" s="294">
        <v>1</v>
      </c>
      <c r="C255" s="295" t="s">
        <v>329</v>
      </c>
      <c r="D255" s="295" t="s">
        <v>284</v>
      </c>
      <c r="E255" s="302" t="s">
        <v>274</v>
      </c>
      <c r="F255" s="296" t="s">
        <v>1235</v>
      </c>
      <c r="G255" s="296" t="s">
        <v>1236</v>
      </c>
      <c r="H255" s="297" t="s">
        <v>1318</v>
      </c>
      <c r="I255" s="295" t="s">
        <v>1232</v>
      </c>
      <c r="J255" s="299">
        <v>41</v>
      </c>
      <c r="K255" s="300" t="s">
        <v>1240</v>
      </c>
      <c r="L255" s="299" t="s">
        <v>1225</v>
      </c>
      <c r="M255" s="299" t="s">
        <v>1225</v>
      </c>
    </row>
    <row r="256" spans="1:13" ht="18" x14ac:dyDescent="0.25">
      <c r="A256" s="291">
        <v>382</v>
      </c>
      <c r="B256" s="294">
        <v>1</v>
      </c>
      <c r="C256" s="295" t="s">
        <v>330</v>
      </c>
      <c r="D256" s="295" t="s">
        <v>331</v>
      </c>
      <c r="E256" s="302" t="s">
        <v>274</v>
      </c>
      <c r="F256" s="296" t="s">
        <v>1235</v>
      </c>
      <c r="G256" s="296" t="s">
        <v>1239</v>
      </c>
      <c r="H256" s="297" t="s">
        <v>1319</v>
      </c>
      <c r="I256" s="295" t="s">
        <v>1232</v>
      </c>
      <c r="J256" s="299">
        <v>41</v>
      </c>
      <c r="K256" s="300" t="s">
        <v>1240</v>
      </c>
      <c r="L256" s="299" t="s">
        <v>1219</v>
      </c>
      <c r="M256" s="299" t="s">
        <v>1219</v>
      </c>
    </row>
    <row r="257" spans="1:13" ht="18" x14ac:dyDescent="0.25">
      <c r="A257" s="291">
        <v>383</v>
      </c>
      <c r="B257" s="294">
        <v>1</v>
      </c>
      <c r="C257" s="295" t="s">
        <v>332</v>
      </c>
      <c r="D257" s="295" t="s">
        <v>331</v>
      </c>
      <c r="E257" s="302" t="s">
        <v>274</v>
      </c>
      <c r="F257" s="296" t="s">
        <v>1235</v>
      </c>
      <c r="G257" s="296" t="s">
        <v>1236</v>
      </c>
      <c r="H257" s="297" t="s">
        <v>1320</v>
      </c>
      <c r="I257" s="295" t="s">
        <v>1232</v>
      </c>
      <c r="J257" s="299">
        <v>42</v>
      </c>
      <c r="K257" s="300" t="s">
        <v>1237</v>
      </c>
      <c r="L257" s="299" t="s">
        <v>1219</v>
      </c>
      <c r="M257" s="299" t="s">
        <v>1219</v>
      </c>
    </row>
    <row r="258" spans="1:13" ht="18" x14ac:dyDescent="0.25">
      <c r="A258" s="291">
        <v>384</v>
      </c>
      <c r="B258" s="294">
        <v>1</v>
      </c>
      <c r="C258" s="295" t="s">
        <v>333</v>
      </c>
      <c r="D258" s="295" t="s">
        <v>331</v>
      </c>
      <c r="E258" s="302" t="s">
        <v>274</v>
      </c>
      <c r="F258" s="296" t="s">
        <v>1235</v>
      </c>
      <c r="G258" s="296" t="s">
        <v>1236</v>
      </c>
      <c r="H258" s="296" t="s">
        <v>1321</v>
      </c>
      <c r="I258" s="295" t="s">
        <v>1232</v>
      </c>
      <c r="J258" s="299">
        <v>41</v>
      </c>
      <c r="K258" s="300" t="s">
        <v>1240</v>
      </c>
      <c r="L258" s="299" t="s">
        <v>1225</v>
      </c>
      <c r="M258" s="299" t="s">
        <v>1225</v>
      </c>
    </row>
    <row r="259" spans="1:13" ht="18" x14ac:dyDescent="0.25">
      <c r="A259" s="922">
        <v>385</v>
      </c>
      <c r="B259" s="294">
        <v>1</v>
      </c>
      <c r="C259" s="295" t="s">
        <v>334</v>
      </c>
      <c r="D259" s="295" t="s">
        <v>335</v>
      </c>
      <c r="E259" s="302" t="s">
        <v>274</v>
      </c>
      <c r="F259" s="296" t="s">
        <v>1235</v>
      </c>
      <c r="G259" s="296" t="s">
        <v>1236</v>
      </c>
      <c r="H259" s="296" t="s">
        <v>1322</v>
      </c>
      <c r="I259" s="295" t="s">
        <v>1232</v>
      </c>
      <c r="J259" s="299">
        <v>41</v>
      </c>
      <c r="K259" s="300" t="s">
        <v>1240</v>
      </c>
      <c r="L259" s="299" t="s">
        <v>1254</v>
      </c>
      <c r="M259" s="299" t="s">
        <v>1254</v>
      </c>
    </row>
    <row r="260" spans="1:13" ht="18" x14ac:dyDescent="0.25">
      <c r="A260" s="924">
        <v>386</v>
      </c>
      <c r="B260" s="294">
        <v>1</v>
      </c>
      <c r="C260" s="295" t="s">
        <v>336</v>
      </c>
      <c r="D260" s="295" t="s">
        <v>337</v>
      </c>
      <c r="E260" s="302" t="s">
        <v>274</v>
      </c>
      <c r="F260" s="296" t="s">
        <v>1235</v>
      </c>
      <c r="G260" s="296" t="s">
        <v>1266</v>
      </c>
      <c r="H260" s="296" t="s">
        <v>1302</v>
      </c>
      <c r="I260" s="295" t="s">
        <v>1232</v>
      </c>
      <c r="J260" s="299">
        <v>31</v>
      </c>
      <c r="K260" s="300" t="s">
        <v>1267</v>
      </c>
      <c r="L260" s="299" t="s">
        <v>1225</v>
      </c>
      <c r="M260" s="299" t="s">
        <v>1225</v>
      </c>
    </row>
    <row r="261" spans="1:13" ht="18" x14ac:dyDescent="0.25">
      <c r="A261" s="922">
        <v>387</v>
      </c>
      <c r="B261" s="294">
        <v>1</v>
      </c>
      <c r="C261" s="295" t="s">
        <v>338</v>
      </c>
      <c r="D261" s="295" t="s">
        <v>337</v>
      </c>
      <c r="E261" s="302" t="s">
        <v>274</v>
      </c>
      <c r="F261" s="296" t="s">
        <v>1235</v>
      </c>
      <c r="G261" s="296" t="s">
        <v>1241</v>
      </c>
      <c r="H261" s="296" t="s">
        <v>1323</v>
      </c>
      <c r="I261" s="295" t="s">
        <v>1232</v>
      </c>
      <c r="J261" s="299">
        <v>31</v>
      </c>
      <c r="K261" s="300" t="s">
        <v>1267</v>
      </c>
      <c r="L261" s="299" t="s">
        <v>1225</v>
      </c>
      <c r="M261" s="299" t="s">
        <v>1225</v>
      </c>
    </row>
    <row r="262" spans="1:13" ht="18" x14ac:dyDescent="0.25">
      <c r="A262" s="291">
        <v>388</v>
      </c>
      <c r="B262" s="294">
        <v>1</v>
      </c>
      <c r="C262" s="295" t="s">
        <v>339</v>
      </c>
      <c r="D262" s="295" t="s">
        <v>340</v>
      </c>
      <c r="E262" s="302" t="s">
        <v>274</v>
      </c>
      <c r="F262" s="296" t="s">
        <v>1235</v>
      </c>
      <c r="G262" s="296" t="s">
        <v>1236</v>
      </c>
      <c r="H262" s="296" t="s">
        <v>1324</v>
      </c>
      <c r="I262" s="295" t="s">
        <v>1232</v>
      </c>
      <c r="J262" s="299">
        <v>31</v>
      </c>
      <c r="K262" s="300" t="s">
        <v>1240</v>
      </c>
      <c r="L262" s="299" t="s">
        <v>1225</v>
      </c>
      <c r="M262" s="299" t="s">
        <v>1225</v>
      </c>
    </row>
    <row r="263" spans="1:13" ht="43.9" customHeight="1" x14ac:dyDescent="0.25">
      <c r="A263" s="922">
        <v>389</v>
      </c>
      <c r="B263" s="294">
        <v>1</v>
      </c>
      <c r="C263" s="295" t="s">
        <v>341</v>
      </c>
      <c r="D263" s="295" t="s">
        <v>342</v>
      </c>
      <c r="E263" s="302" t="s">
        <v>274</v>
      </c>
      <c r="F263" s="296" t="s">
        <v>1230</v>
      </c>
      <c r="G263" s="296" t="s">
        <v>1236</v>
      </c>
      <c r="H263" s="296" t="s">
        <v>1296</v>
      </c>
      <c r="I263" s="295" t="s">
        <v>1232</v>
      </c>
      <c r="J263" s="299">
        <v>41</v>
      </c>
      <c r="K263" s="300" t="s">
        <v>1240</v>
      </c>
      <c r="L263" s="299" t="s">
        <v>1225</v>
      </c>
      <c r="M263" s="299" t="s">
        <v>1225</v>
      </c>
    </row>
    <row r="264" spans="1:13" ht="18" x14ac:dyDescent="0.25">
      <c r="A264" s="922">
        <v>390</v>
      </c>
      <c r="B264" s="294">
        <v>1</v>
      </c>
      <c r="C264" s="295" t="s">
        <v>343</v>
      </c>
      <c r="D264" s="295" t="s">
        <v>344</v>
      </c>
      <c r="E264" s="302" t="s">
        <v>274</v>
      </c>
      <c r="F264" s="296" t="s">
        <v>1235</v>
      </c>
      <c r="G264" s="296" t="s">
        <v>1266</v>
      </c>
      <c r="H264" s="296" t="s">
        <v>1325</v>
      </c>
      <c r="I264" s="295" t="s">
        <v>1232</v>
      </c>
      <c r="J264" s="299">
        <v>31</v>
      </c>
      <c r="K264" s="300" t="s">
        <v>1267</v>
      </c>
      <c r="L264" s="299" t="s">
        <v>1225</v>
      </c>
      <c r="M264" s="299" t="s">
        <v>1225</v>
      </c>
    </row>
    <row r="265" spans="1:13" ht="18" x14ac:dyDescent="0.25">
      <c r="A265" s="922">
        <v>391</v>
      </c>
      <c r="B265" s="294">
        <v>1</v>
      </c>
      <c r="C265" s="295" t="s">
        <v>345</v>
      </c>
      <c r="D265" s="295" t="s">
        <v>346</v>
      </c>
      <c r="E265" s="302" t="s">
        <v>274</v>
      </c>
      <c r="F265" s="296" t="s">
        <v>1277</v>
      </c>
      <c r="G265" s="296" t="s">
        <v>1239</v>
      </c>
      <c r="H265" s="296" t="s">
        <v>1326</v>
      </c>
      <c r="I265" s="295" t="s">
        <v>1232</v>
      </c>
      <c r="J265" s="299">
        <v>41</v>
      </c>
      <c r="K265" s="300" t="s">
        <v>1240</v>
      </c>
      <c r="L265" s="299" t="s">
        <v>1219</v>
      </c>
      <c r="M265" s="299" t="s">
        <v>1219</v>
      </c>
    </row>
    <row r="266" spans="1:13" ht="18" x14ac:dyDescent="0.25">
      <c r="A266" s="922">
        <v>392</v>
      </c>
      <c r="B266" s="294">
        <v>1</v>
      </c>
      <c r="C266" s="295" t="s">
        <v>347</v>
      </c>
      <c r="D266" s="295" t="s">
        <v>348</v>
      </c>
      <c r="E266" s="302" t="s">
        <v>274</v>
      </c>
      <c r="F266" s="296" t="s">
        <v>1277</v>
      </c>
      <c r="G266" s="296" t="s">
        <v>1266</v>
      </c>
      <c r="H266" s="296" t="s">
        <v>1327</v>
      </c>
      <c r="I266" s="295" t="s">
        <v>1232</v>
      </c>
      <c r="J266" s="299">
        <v>31</v>
      </c>
      <c r="K266" s="300" t="s">
        <v>1267</v>
      </c>
      <c r="L266" s="299" t="s">
        <v>1225</v>
      </c>
      <c r="M266" s="299" t="s">
        <v>1225</v>
      </c>
    </row>
    <row r="267" spans="1:13" ht="18" x14ac:dyDescent="0.25">
      <c r="A267" s="293">
        <v>393</v>
      </c>
      <c r="B267" s="294">
        <v>1</v>
      </c>
      <c r="C267" s="295" t="s">
        <v>349</v>
      </c>
      <c r="D267" s="295" t="s">
        <v>350</v>
      </c>
      <c r="E267" s="295" t="s">
        <v>274</v>
      </c>
      <c r="F267" s="296" t="s">
        <v>1235</v>
      </c>
      <c r="G267" s="296" t="s">
        <v>1272</v>
      </c>
      <c r="H267" s="297">
        <v>1800</v>
      </c>
      <c r="I267" s="298">
        <v>2003</v>
      </c>
      <c r="J267" s="299">
        <v>90</v>
      </c>
      <c r="K267" s="300" t="s">
        <v>1256</v>
      </c>
      <c r="L267" s="299" t="s">
        <v>1225</v>
      </c>
      <c r="M267" s="299" t="s">
        <v>1225</v>
      </c>
    </row>
    <row r="268" spans="1:13" ht="18" x14ac:dyDescent="0.25">
      <c r="A268" s="293">
        <v>394</v>
      </c>
      <c r="B268" s="294">
        <v>1</v>
      </c>
      <c r="C268" s="295" t="s">
        <v>351</v>
      </c>
      <c r="D268" s="295" t="s">
        <v>351</v>
      </c>
      <c r="E268" s="295" t="s">
        <v>274</v>
      </c>
      <c r="F268" s="296" t="s">
        <v>1235</v>
      </c>
      <c r="G268" s="296" t="s">
        <v>1272</v>
      </c>
      <c r="H268" s="296">
        <v>1800</v>
      </c>
      <c r="I268" s="298">
        <v>2003</v>
      </c>
      <c r="J268" s="299">
        <v>31</v>
      </c>
      <c r="K268" s="300" t="s">
        <v>1267</v>
      </c>
      <c r="L268" s="299" t="s">
        <v>1225</v>
      </c>
      <c r="M268" s="299" t="s">
        <v>1225</v>
      </c>
    </row>
    <row r="269" spans="1:13" ht="18" x14ac:dyDescent="0.25">
      <c r="A269" s="922">
        <v>395</v>
      </c>
      <c r="B269" s="294">
        <v>1</v>
      </c>
      <c r="C269" s="295" t="s">
        <v>352</v>
      </c>
      <c r="D269" s="295" t="s">
        <v>353</v>
      </c>
      <c r="E269" s="302" t="s">
        <v>274</v>
      </c>
      <c r="F269" s="296" t="s">
        <v>1235</v>
      </c>
      <c r="G269" s="296" t="s">
        <v>1266</v>
      </c>
      <c r="H269" s="296" t="s">
        <v>1328</v>
      </c>
      <c r="I269" s="295" t="s">
        <v>1232</v>
      </c>
      <c r="J269" s="299">
        <v>31</v>
      </c>
      <c r="K269" s="300" t="s">
        <v>1267</v>
      </c>
      <c r="L269" s="299" t="s">
        <v>1219</v>
      </c>
      <c r="M269" s="299" t="s">
        <v>1219</v>
      </c>
    </row>
    <row r="270" spans="1:13" ht="18" x14ac:dyDescent="0.25">
      <c r="A270" s="308">
        <v>396</v>
      </c>
      <c r="B270" s="309">
        <v>1</v>
      </c>
      <c r="C270" s="310" t="s">
        <v>354</v>
      </c>
      <c r="D270" s="295" t="s">
        <v>354</v>
      </c>
      <c r="E270" s="310" t="s">
        <v>274</v>
      </c>
      <c r="F270" s="311" t="s">
        <v>1235</v>
      </c>
      <c r="G270" s="296" t="s">
        <v>1266</v>
      </c>
      <c r="H270" s="296">
        <v>1740</v>
      </c>
      <c r="I270" s="312">
        <v>2003</v>
      </c>
      <c r="J270" s="299">
        <v>31</v>
      </c>
      <c r="K270" s="313" t="s">
        <v>1267</v>
      </c>
      <c r="L270" s="299" t="s">
        <v>1219</v>
      </c>
      <c r="M270" s="299" t="s">
        <v>1219</v>
      </c>
    </row>
    <row r="271" spans="1:13" ht="18" x14ac:dyDescent="0.25">
      <c r="A271" s="925">
        <v>397</v>
      </c>
      <c r="B271" s="309">
        <v>1</v>
      </c>
      <c r="C271" s="310" t="s">
        <v>356</v>
      </c>
      <c r="D271" s="295" t="s">
        <v>357</v>
      </c>
      <c r="E271" s="314" t="s">
        <v>274</v>
      </c>
      <c r="F271" s="311" t="s">
        <v>1235</v>
      </c>
      <c r="G271" s="296" t="s">
        <v>1266</v>
      </c>
      <c r="H271" s="296" t="s">
        <v>1306</v>
      </c>
      <c r="I271" s="310" t="s">
        <v>1232</v>
      </c>
      <c r="J271" s="299">
        <v>31</v>
      </c>
      <c r="K271" s="313" t="s">
        <v>1267</v>
      </c>
      <c r="L271" s="299" t="s">
        <v>1219</v>
      </c>
      <c r="M271" s="299" t="s">
        <v>1219</v>
      </c>
    </row>
    <row r="272" spans="1:13" ht="27" x14ac:dyDescent="0.25">
      <c r="A272" s="266">
        <v>398</v>
      </c>
      <c r="B272" s="309">
        <v>1</v>
      </c>
      <c r="C272" s="295" t="s">
        <v>550</v>
      </c>
      <c r="D272" s="302" t="s">
        <v>484</v>
      </c>
      <c r="E272" s="314" t="s">
        <v>482</v>
      </c>
      <c r="F272" s="311" t="s">
        <v>1329</v>
      </c>
      <c r="G272" s="296" t="s">
        <v>1217</v>
      </c>
      <c r="H272" s="296" t="s">
        <v>1330</v>
      </c>
      <c r="I272" s="310" t="s">
        <v>1232</v>
      </c>
      <c r="J272" s="299">
        <v>62</v>
      </c>
      <c r="K272" s="300" t="s">
        <v>1280</v>
      </c>
      <c r="L272" s="299" t="s">
        <v>1225</v>
      </c>
      <c r="M272" s="299" t="s">
        <v>1331</v>
      </c>
    </row>
    <row r="273" spans="1:13" x14ac:dyDescent="0.25">
      <c r="A273" s="308">
        <v>399</v>
      </c>
      <c r="B273" s="309">
        <v>1</v>
      </c>
      <c r="C273" s="310" t="s">
        <v>372</v>
      </c>
      <c r="D273" s="310" t="s">
        <v>363</v>
      </c>
      <c r="E273" s="310" t="s">
        <v>361</v>
      </c>
      <c r="F273" s="310" t="s">
        <v>1222</v>
      </c>
      <c r="G273" s="310" t="s">
        <v>1217</v>
      </c>
      <c r="H273" s="310" t="s">
        <v>1332</v>
      </c>
      <c r="I273" s="310"/>
      <c r="J273" s="310">
        <v>83</v>
      </c>
      <c r="K273" s="310" t="s">
        <v>1333</v>
      </c>
      <c r="L273" s="310" t="s">
        <v>1299</v>
      </c>
      <c r="M273" s="310" t="s">
        <v>1299</v>
      </c>
    </row>
  </sheetData>
  <autoFilter ref="A1:M273"/>
  <sortState ref="A2:M297">
    <sortCondition ref="A2:A297"/>
  </sortState>
  <conditionalFormatting sqref="I2:I272">
    <cfRule type="cellIs" dxfId="9813" priority="2" operator="equal">
      <formula>"candidat"</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pageSetUpPr fitToPage="1"/>
  </sheetPr>
  <dimension ref="A1:AG295"/>
  <sheetViews>
    <sheetView tabSelected="1" zoomScale="55" zoomScaleNormal="55" workbookViewId="0">
      <pane xSplit="1" ySplit="3" topLeftCell="B4" activePane="bottomRight" state="frozenSplit"/>
      <selection activeCell="B30" sqref="B30"/>
      <selection pane="topRight" activeCell="B30" sqref="B30"/>
      <selection pane="bottomLeft" activeCell="B30" sqref="B30"/>
      <selection pane="bottomRight" activeCell="B30" sqref="B30"/>
    </sheetView>
  </sheetViews>
  <sheetFormatPr baseColWidth="10" defaultColWidth="14.5703125" defaultRowHeight="37.5" customHeight="1" x14ac:dyDescent="0.25"/>
  <cols>
    <col min="1" max="1" width="6.85546875" style="15" bestFit="1" customWidth="1"/>
    <col min="2" max="2" width="10.85546875" style="15" hidden="1" customWidth="1"/>
    <col min="3" max="3" width="26.42578125" style="16" hidden="1" customWidth="1"/>
    <col min="4" max="4" width="25.85546875" style="16" hidden="1" customWidth="1"/>
    <col min="5" max="5" width="10.28515625" style="16" customWidth="1"/>
    <col min="6" max="6" width="11.7109375" style="16" customWidth="1"/>
    <col min="7" max="7" width="7.28515625" style="16" customWidth="1"/>
    <col min="8" max="8" width="19.7109375" style="16" customWidth="1"/>
    <col min="9" max="9" width="7.140625" style="16" customWidth="1"/>
    <col min="10" max="10" width="17.5703125" style="16" customWidth="1"/>
    <col min="11" max="11" width="7.28515625" style="16" customWidth="1"/>
    <col min="12" max="12" width="21.42578125" style="16" customWidth="1"/>
    <col min="13" max="13" width="14.7109375" style="16" customWidth="1"/>
    <col min="14" max="14" width="10.7109375" style="16" customWidth="1"/>
    <col min="15" max="15" width="15.7109375" style="262" customWidth="1"/>
    <col min="16" max="16" width="10.140625" style="263" customWidth="1"/>
    <col min="17" max="17" width="18" style="263" customWidth="1"/>
    <col min="18" max="18" width="9.140625" style="954" customWidth="1"/>
    <col min="19" max="19" width="17.140625" style="958" customWidth="1"/>
    <col min="20" max="20" width="20.140625" style="264" hidden="1" customWidth="1"/>
    <col min="21" max="21" width="11.5703125" style="966" customWidth="1"/>
    <col min="22" max="22" width="12.5703125" style="264" hidden="1" customWidth="1"/>
    <col min="23" max="23" width="13.140625" style="16" hidden="1" customWidth="1"/>
    <col min="24" max="24" width="41.42578125" style="16" hidden="1" customWidth="1"/>
    <col min="25" max="25" width="3.28515625" style="16" hidden="1" customWidth="1"/>
    <col min="26" max="26" width="32.5703125" style="16" hidden="1" customWidth="1"/>
    <col min="27" max="27" width="140.28515625" style="16" hidden="1" customWidth="1"/>
    <col min="28" max="28" width="11.28515625" style="16" customWidth="1"/>
    <col min="29" max="29" width="13.42578125" style="968" hidden="1" customWidth="1"/>
    <col min="30" max="30" width="8.7109375" style="968" customWidth="1"/>
    <col min="31" max="31" width="26.7109375" style="16" customWidth="1"/>
    <col min="32" max="32" width="12.28515625" style="16" customWidth="1"/>
    <col min="33" max="33" width="11.42578125" style="16" customWidth="1"/>
    <col min="34" max="16384" width="14.5703125" style="16"/>
  </cols>
  <sheetData>
    <row r="1" spans="1:33" ht="42.6" customHeight="1" x14ac:dyDescent="0.25">
      <c r="E1" s="631" t="s">
        <v>1908</v>
      </c>
      <c r="F1" s="631" t="s">
        <v>1909</v>
      </c>
      <c r="G1" s="1325" t="s">
        <v>1910</v>
      </c>
      <c r="H1" s="1325"/>
      <c r="I1" s="1325" t="s">
        <v>1911</v>
      </c>
      <c r="J1" s="1325"/>
      <c r="K1" s="1325" t="s">
        <v>1912</v>
      </c>
      <c r="L1" s="1325"/>
      <c r="M1" s="1325" t="s">
        <v>1913</v>
      </c>
      <c r="N1" s="1325"/>
      <c r="O1" s="1326" t="s">
        <v>1914</v>
      </c>
      <c r="P1" s="1327"/>
      <c r="Q1" s="1323" t="s">
        <v>1915</v>
      </c>
      <c r="R1" s="1324"/>
      <c r="S1" s="1301" t="s">
        <v>1916</v>
      </c>
      <c r="T1" s="1302"/>
      <c r="U1" s="1303" t="s">
        <v>1933</v>
      </c>
      <c r="V1" s="1300"/>
      <c r="W1" s="631"/>
      <c r="X1" s="631"/>
      <c r="Y1" s="631"/>
      <c r="Z1" s="631"/>
      <c r="AA1" s="990"/>
      <c r="AB1" s="1310" t="s">
        <v>1917</v>
      </c>
      <c r="AC1" s="1311"/>
      <c r="AD1" s="1312"/>
    </row>
    <row r="2" spans="1:33" ht="56.25" customHeight="1" thickBot="1" x14ac:dyDescent="0.3">
      <c r="E2" s="572"/>
      <c r="F2" s="572"/>
      <c r="G2" s="572"/>
      <c r="H2" s="572"/>
      <c r="I2" s="572"/>
      <c r="J2" s="572"/>
      <c r="K2" s="572"/>
      <c r="L2" s="572"/>
      <c r="M2" s="572"/>
      <c r="N2" s="572"/>
      <c r="O2" s="572"/>
      <c r="P2" s="1298"/>
      <c r="Q2" s="1299" t="s">
        <v>1928</v>
      </c>
      <c r="R2" s="945"/>
      <c r="S2" s="1313" t="s">
        <v>1929</v>
      </c>
      <c r="T2" s="1314"/>
      <c r="U2" s="1315"/>
      <c r="V2" s="1316" t="s">
        <v>18</v>
      </c>
      <c r="W2" s="1316"/>
      <c r="X2" s="1316"/>
      <c r="Y2" s="1317"/>
      <c r="Z2" s="1318" t="s">
        <v>19</v>
      </c>
      <c r="AA2" s="1319"/>
      <c r="AB2" s="1320" t="s">
        <v>1930</v>
      </c>
      <c r="AC2" s="1321"/>
      <c r="AD2" s="1322"/>
    </row>
    <row r="3" spans="1:33" s="577" customFormat="1" ht="222.6" customHeight="1" thickBot="1" x14ac:dyDescent="0.3">
      <c r="A3" s="17" t="s">
        <v>1053</v>
      </c>
      <c r="B3" s="18" t="s">
        <v>20</v>
      </c>
      <c r="C3" s="19" t="s">
        <v>21</v>
      </c>
      <c r="D3" s="20" t="s">
        <v>22</v>
      </c>
      <c r="E3" s="575" t="s">
        <v>1918</v>
      </c>
      <c r="F3" s="574" t="s">
        <v>1919</v>
      </c>
      <c r="G3" s="574" t="s">
        <v>23</v>
      </c>
      <c r="H3" s="574" t="s">
        <v>1920</v>
      </c>
      <c r="I3" s="574" t="s">
        <v>24</v>
      </c>
      <c r="J3" s="574" t="s">
        <v>1921</v>
      </c>
      <c r="K3" s="574" t="s">
        <v>25</v>
      </c>
      <c r="L3" s="574" t="s">
        <v>1922</v>
      </c>
      <c r="M3" s="574" t="s">
        <v>1923</v>
      </c>
      <c r="N3" s="574" t="s">
        <v>1924</v>
      </c>
      <c r="O3" s="574" t="s">
        <v>1925</v>
      </c>
      <c r="P3" s="576" t="s">
        <v>1926</v>
      </c>
      <c r="Q3" s="969" t="s">
        <v>1927</v>
      </c>
      <c r="R3" s="970" t="s">
        <v>1990</v>
      </c>
      <c r="S3" s="971" t="s">
        <v>26</v>
      </c>
      <c r="T3" s="972" t="s">
        <v>27</v>
      </c>
      <c r="U3" s="973" t="s">
        <v>1927</v>
      </c>
      <c r="V3" s="974" t="s">
        <v>28</v>
      </c>
      <c r="W3" s="975" t="s">
        <v>29</v>
      </c>
      <c r="X3" s="975" t="s">
        <v>30</v>
      </c>
      <c r="Y3" s="970" t="s">
        <v>31</v>
      </c>
      <c r="Z3" s="976" t="s">
        <v>32</v>
      </c>
      <c r="AA3" s="1294" t="s">
        <v>33</v>
      </c>
      <c r="AB3" s="1295" t="s">
        <v>34</v>
      </c>
      <c r="AC3" s="1296" t="s">
        <v>1932</v>
      </c>
      <c r="AD3" s="1297" t="s">
        <v>1990</v>
      </c>
      <c r="AE3" s="1305" t="s">
        <v>1056</v>
      </c>
      <c r="AF3" s="1304" t="s">
        <v>1907</v>
      </c>
      <c r="AG3" s="1304" t="s">
        <v>32</v>
      </c>
    </row>
    <row r="4" spans="1:33" ht="37.5" customHeight="1" x14ac:dyDescent="0.25">
      <c r="A4" s="926">
        <v>2</v>
      </c>
      <c r="B4" s="22" t="s">
        <v>35</v>
      </c>
      <c r="C4" s="23" t="s">
        <v>36</v>
      </c>
      <c r="D4" s="24" t="s">
        <v>37</v>
      </c>
      <c r="E4" s="25" t="s">
        <v>38</v>
      </c>
      <c r="F4" s="26" t="s">
        <v>39</v>
      </c>
      <c r="G4" s="27"/>
      <c r="H4" s="27" t="s">
        <v>40</v>
      </c>
      <c r="I4" s="28">
        <v>0.68830003493911995</v>
      </c>
      <c r="J4" s="29" t="s">
        <v>41</v>
      </c>
      <c r="K4" s="28">
        <v>0.15460550774000001</v>
      </c>
      <c r="L4" s="29" t="s">
        <v>42</v>
      </c>
      <c r="M4" s="30"/>
      <c r="N4" s="30"/>
      <c r="O4" s="30"/>
      <c r="P4" s="31"/>
      <c r="Q4" s="32" t="s">
        <v>39</v>
      </c>
      <c r="R4" s="949" t="s">
        <v>43</v>
      </c>
      <c r="S4" s="955" t="str">
        <f>VLOOKUP(A4,Strat_Plan_Revit!$A$10:$S$321,14,FALSE)</f>
        <v>keine Einzelbetrachtung weil keine GIS-Daten</v>
      </c>
      <c r="T4" s="33" t="str">
        <f>VLOOKUP(A4,Strat_Plan_Revit!$A$10:$S$321,15,FALSE)</f>
        <v>keine Einzelbetrachtung weil keine GIS-Daten</v>
      </c>
      <c r="U4" s="959"/>
      <c r="V4" s="34" t="s">
        <v>45</v>
      </c>
      <c r="W4" s="35" t="s">
        <v>43</v>
      </c>
      <c r="X4" s="36"/>
      <c r="Y4" s="37"/>
      <c r="Z4" s="38"/>
      <c r="AA4" s="39"/>
      <c r="AB4" s="96" t="s">
        <v>45</v>
      </c>
      <c r="AC4" s="1239" t="s">
        <v>43</v>
      </c>
      <c r="AD4" s="1243" t="str">
        <f>IF(AC4="a",AC4,IF(AC4="b",AC4,IF(AC4="c","a",IF(AC4="d","a",IF(AC4="e","b")))))</f>
        <v>a</v>
      </c>
      <c r="AE4" s="1123"/>
      <c r="AF4" s="572"/>
      <c r="AG4" s="572"/>
    </row>
    <row r="5" spans="1:33" ht="37.5" customHeight="1" x14ac:dyDescent="0.25">
      <c r="A5" s="926">
        <v>3</v>
      </c>
      <c r="B5" s="40" t="s">
        <v>35</v>
      </c>
      <c r="C5" s="41" t="s">
        <v>46</v>
      </c>
      <c r="D5" s="42" t="s">
        <v>37</v>
      </c>
      <c r="E5" s="43" t="s">
        <v>38</v>
      </c>
      <c r="F5" s="44" t="s">
        <v>39</v>
      </c>
      <c r="G5" s="45"/>
      <c r="H5" s="45" t="s">
        <v>40</v>
      </c>
      <c r="I5" s="46">
        <v>3.7888086047808203E-2</v>
      </c>
      <c r="J5" s="47" t="s">
        <v>47</v>
      </c>
      <c r="K5" s="46">
        <v>5.3551822269000002E-2</v>
      </c>
      <c r="L5" s="47" t="s">
        <v>42</v>
      </c>
      <c r="M5" s="48"/>
      <c r="N5" s="48"/>
      <c r="O5" s="49"/>
      <c r="P5" s="50"/>
      <c r="Q5" s="51" t="s">
        <v>39</v>
      </c>
      <c r="R5" s="950" t="s">
        <v>43</v>
      </c>
      <c r="S5" s="955" t="str">
        <f>VLOOKUP(A5,Strat_Plan_Revit!$A$10:$S$321,14,FALSE)</f>
        <v>-</v>
      </c>
      <c r="T5" s="33" t="str">
        <f>VLOOKUP(A5,Strat_Plan_Revit!$A$10:$S$321,15,FALSE)</f>
        <v>-</v>
      </c>
      <c r="U5" s="960"/>
      <c r="V5" s="34" t="s">
        <v>45</v>
      </c>
      <c r="W5" s="52" t="s">
        <v>43</v>
      </c>
      <c r="X5" s="53"/>
      <c r="Y5" s="54"/>
      <c r="Z5" s="55"/>
      <c r="AA5" s="56"/>
      <c r="AB5" s="96" t="s">
        <v>45</v>
      </c>
      <c r="AC5" s="1239" t="s">
        <v>43</v>
      </c>
      <c r="AD5" s="1243" t="str">
        <f t="shared" ref="AD5:AD68" si="0">IF(AC5="a",AC5,IF(AC5="b",AC5,IF(AC5="c","a",IF(AC5="d","a",IF(AC5="e","b")))))</f>
        <v>a</v>
      </c>
      <c r="AE5" s="1123"/>
      <c r="AF5" s="572"/>
      <c r="AG5" s="572"/>
    </row>
    <row r="6" spans="1:33" ht="37.5" customHeight="1" x14ac:dyDescent="0.25">
      <c r="A6" s="926">
        <v>4</v>
      </c>
      <c r="B6" s="40" t="s">
        <v>439</v>
      </c>
      <c r="C6" s="41" t="s">
        <v>440</v>
      </c>
      <c r="D6" s="42" t="s">
        <v>441</v>
      </c>
      <c r="E6" s="43" t="s">
        <v>38</v>
      </c>
      <c r="F6" s="60" t="s">
        <v>40</v>
      </c>
      <c r="G6" s="61" t="s">
        <v>52</v>
      </c>
      <c r="H6" s="61" t="s">
        <v>40</v>
      </c>
      <c r="I6" s="62">
        <v>0</v>
      </c>
      <c r="J6" s="65" t="s">
        <v>47</v>
      </c>
      <c r="K6" s="62">
        <v>0.14286229820999999</v>
      </c>
      <c r="L6" s="65" t="s">
        <v>42</v>
      </c>
      <c r="M6" s="68"/>
      <c r="N6" s="66" t="s">
        <v>84</v>
      </c>
      <c r="O6" s="66" t="s">
        <v>442</v>
      </c>
      <c r="P6" s="67" t="s">
        <v>86</v>
      </c>
      <c r="Q6" s="51" t="s">
        <v>87</v>
      </c>
      <c r="R6" s="950" t="s">
        <v>72</v>
      </c>
      <c r="S6" s="955" t="str">
        <f>VLOOKUP(A6,Strat_Plan_Revit!$A$10:$S$321,14,FALSE)</f>
        <v>nicht wesentlich</v>
      </c>
      <c r="T6" s="33" t="str">
        <f>VLOOKUP(A6,Strat_Plan_Revit!$A$10:$S$321,15,FALSE)</f>
        <v>-</v>
      </c>
      <c r="U6" s="960" t="s">
        <v>88</v>
      </c>
      <c r="V6" s="34" t="s">
        <v>88</v>
      </c>
      <c r="W6" s="52" t="s">
        <v>59</v>
      </c>
      <c r="X6" s="53"/>
      <c r="Y6" s="54"/>
      <c r="Z6" s="55"/>
      <c r="AA6" s="64" t="s">
        <v>444</v>
      </c>
      <c r="AB6" s="96" t="s">
        <v>88</v>
      </c>
      <c r="AC6" s="1239" t="s">
        <v>59</v>
      </c>
      <c r="AD6" s="1243" t="str">
        <f t="shared" si="0"/>
        <v>a</v>
      </c>
      <c r="AE6" s="1123"/>
      <c r="AF6" s="572"/>
      <c r="AG6" s="572"/>
    </row>
    <row r="7" spans="1:33" ht="37.5" customHeight="1" x14ac:dyDescent="0.25">
      <c r="A7" s="926">
        <v>5</v>
      </c>
      <c r="B7" s="40" t="s">
        <v>448</v>
      </c>
      <c r="C7" s="41" t="s">
        <v>449</v>
      </c>
      <c r="D7" s="42" t="s">
        <v>450</v>
      </c>
      <c r="E7" s="43" t="s">
        <v>38</v>
      </c>
      <c r="F7" s="44" t="s">
        <v>88</v>
      </c>
      <c r="G7" s="45">
        <v>-2.0150946356319999</v>
      </c>
      <c r="H7" s="45" t="s">
        <v>76</v>
      </c>
      <c r="I7" s="46">
        <v>1.0261103395484601</v>
      </c>
      <c r="J7" s="47" t="s">
        <v>41</v>
      </c>
      <c r="K7" s="46">
        <v>3.7461665029000002E-2</v>
      </c>
      <c r="L7" s="47" t="s">
        <v>42</v>
      </c>
      <c r="M7" s="48"/>
      <c r="N7" s="48"/>
      <c r="O7" s="48"/>
      <c r="P7" s="50"/>
      <c r="Q7" s="51" t="s">
        <v>88</v>
      </c>
      <c r="R7" s="950" t="s">
        <v>43</v>
      </c>
      <c r="S7" s="955" t="s">
        <v>1829</v>
      </c>
      <c r="T7" s="33" t="s">
        <v>1830</v>
      </c>
      <c r="U7" s="960" t="s">
        <v>73</v>
      </c>
      <c r="V7" s="34" t="s">
        <v>73</v>
      </c>
      <c r="W7" s="52" t="s">
        <v>110</v>
      </c>
      <c r="X7" s="53" t="s">
        <v>452</v>
      </c>
      <c r="Y7" s="54"/>
      <c r="Z7" s="55"/>
      <c r="AA7" s="64" t="s">
        <v>453</v>
      </c>
      <c r="AB7" s="96" t="s">
        <v>73</v>
      </c>
      <c r="AC7" s="1239" t="s">
        <v>110</v>
      </c>
      <c r="AD7" s="1243" t="str">
        <f t="shared" si="0"/>
        <v>a</v>
      </c>
      <c r="AE7" s="1123"/>
      <c r="AF7" s="572"/>
      <c r="AG7" s="572"/>
    </row>
    <row r="8" spans="1:33" ht="37.5" customHeight="1" x14ac:dyDescent="0.25">
      <c r="A8" s="926">
        <v>6</v>
      </c>
      <c r="B8" s="40" t="s">
        <v>472</v>
      </c>
      <c r="C8" s="41" t="s">
        <v>473</v>
      </c>
      <c r="D8" s="42" t="s">
        <v>417</v>
      </c>
      <c r="E8" s="43" t="s">
        <v>38</v>
      </c>
      <c r="F8" s="44" t="s">
        <v>88</v>
      </c>
      <c r="G8" s="45" t="s">
        <v>52</v>
      </c>
      <c r="H8" s="45" t="s">
        <v>40</v>
      </c>
      <c r="I8" s="46">
        <v>0.87682758370540703</v>
      </c>
      <c r="J8" s="47" t="s">
        <v>41</v>
      </c>
      <c r="K8" s="46">
        <v>9.6796702336999996E-2</v>
      </c>
      <c r="L8" s="47" t="s">
        <v>42</v>
      </c>
      <c r="M8" s="48"/>
      <c r="N8" s="48"/>
      <c r="O8" s="48"/>
      <c r="P8" s="50"/>
      <c r="Q8" s="51" t="s">
        <v>88</v>
      </c>
      <c r="R8" s="950" t="s">
        <v>43</v>
      </c>
      <c r="S8" s="955" t="str">
        <f>VLOOKUP(A8,Strat_Plan_Revit!$A$10:$S$321,14,FALSE)</f>
        <v>keine</v>
      </c>
      <c r="T8" s="33" t="str">
        <f>VLOOKUP(A8,Strat_Plan_Revit!$A$10:$S$321,15,FALSE)</f>
        <v>keine</v>
      </c>
      <c r="U8" s="960" t="s">
        <v>88</v>
      </c>
      <c r="V8" s="34" t="s">
        <v>88</v>
      </c>
      <c r="W8" s="52" t="s">
        <v>59</v>
      </c>
      <c r="X8" s="53"/>
      <c r="Y8" s="54"/>
      <c r="Z8" s="94" t="s">
        <v>474</v>
      </c>
      <c r="AA8" s="97" t="s">
        <v>475</v>
      </c>
      <c r="AB8" s="89" t="s">
        <v>88</v>
      </c>
      <c r="AC8" s="1239" t="s">
        <v>59</v>
      </c>
      <c r="AD8" s="1243" t="str">
        <f t="shared" si="0"/>
        <v>a</v>
      </c>
      <c r="AE8" s="1123"/>
      <c r="AF8" s="572"/>
      <c r="AG8" s="572"/>
    </row>
    <row r="9" spans="1:33" ht="37.5" customHeight="1" x14ac:dyDescent="0.25">
      <c r="A9" s="926">
        <v>7</v>
      </c>
      <c r="B9" s="40" t="s">
        <v>472</v>
      </c>
      <c r="C9" s="41" t="s">
        <v>476</v>
      </c>
      <c r="D9" s="42" t="s">
        <v>417</v>
      </c>
      <c r="E9" s="43" t="s">
        <v>38</v>
      </c>
      <c r="F9" s="44" t="s">
        <v>88</v>
      </c>
      <c r="G9" s="45" t="s">
        <v>52</v>
      </c>
      <c r="H9" s="45" t="s">
        <v>40</v>
      </c>
      <c r="I9" s="46">
        <v>0.79935935628404098</v>
      </c>
      <c r="J9" s="47" t="s">
        <v>41</v>
      </c>
      <c r="K9" s="46">
        <v>6.3247062393E-2</v>
      </c>
      <c r="L9" s="47" t="s">
        <v>42</v>
      </c>
      <c r="M9" s="48"/>
      <c r="N9" s="48"/>
      <c r="O9" s="48"/>
      <c r="P9" s="50"/>
      <c r="Q9" s="51" t="s">
        <v>88</v>
      </c>
      <c r="R9" s="950" t="s">
        <v>43</v>
      </c>
      <c r="S9" s="955" t="str">
        <f>VLOOKUP(A9,Strat_Plan_Revit!$A$10:$S$321,14,FALSE)</f>
        <v>gering</v>
      </c>
      <c r="T9" s="33" t="str">
        <f>VLOOKUP(A9,Strat_Plan_Revit!$A$10:$S$321,15,FALSE)</f>
        <v>keine</v>
      </c>
      <c r="U9" s="960" t="s">
        <v>73</v>
      </c>
      <c r="V9" s="34" t="s">
        <v>73</v>
      </c>
      <c r="W9" s="52" t="s">
        <v>110</v>
      </c>
      <c r="X9" s="53"/>
      <c r="Y9" s="54"/>
      <c r="Z9" s="94" t="s">
        <v>437</v>
      </c>
      <c r="AA9" s="64" t="s">
        <v>477</v>
      </c>
      <c r="AB9" s="89" t="s">
        <v>88</v>
      </c>
      <c r="AC9" s="1239" t="s">
        <v>368</v>
      </c>
      <c r="AD9" s="1243" t="s">
        <v>43</v>
      </c>
      <c r="AE9" s="1123"/>
      <c r="AF9" s="572"/>
      <c r="AG9" s="572"/>
    </row>
    <row r="10" spans="1:33" ht="46.15" customHeight="1" x14ac:dyDescent="0.25">
      <c r="A10" s="926">
        <v>8</v>
      </c>
      <c r="B10" s="579" t="s">
        <v>472</v>
      </c>
      <c r="C10" s="580" t="s">
        <v>478</v>
      </c>
      <c r="D10" s="581" t="s">
        <v>479</v>
      </c>
      <c r="E10" s="582" t="s">
        <v>38</v>
      </c>
      <c r="F10" s="583" t="s">
        <v>88</v>
      </c>
      <c r="G10" s="584" t="s">
        <v>52</v>
      </c>
      <c r="H10" s="584" t="s">
        <v>40</v>
      </c>
      <c r="I10" s="585">
        <v>1.7452076915558901</v>
      </c>
      <c r="J10" s="586" t="s">
        <v>41</v>
      </c>
      <c r="K10" s="585">
        <v>6.5745757917999997E-2</v>
      </c>
      <c r="L10" s="586" t="s">
        <v>42</v>
      </c>
      <c r="M10" s="587"/>
      <c r="N10" s="587"/>
      <c r="O10" s="587"/>
      <c r="P10" s="588"/>
      <c r="Q10" s="589" t="s">
        <v>88</v>
      </c>
      <c r="R10" s="951" t="s">
        <v>43</v>
      </c>
      <c r="S10" s="956" t="str">
        <f>VLOOKUP(A10,Strat_Plan_Revit!$A$10:$S$321,14,FALSE)</f>
        <v>stark</v>
      </c>
      <c r="T10" s="590" t="str">
        <f>VLOOKUP(A10,Strat_Plan_Revit!$A$10:$S$321,15,FALSE)</f>
        <v>keine</v>
      </c>
      <c r="U10" s="961" t="s">
        <v>67</v>
      </c>
      <c r="V10" s="591" t="s">
        <v>67</v>
      </c>
      <c r="W10" s="592" t="s">
        <v>110</v>
      </c>
      <c r="X10" s="593"/>
      <c r="Y10" s="594" t="s">
        <v>126</v>
      </c>
      <c r="Z10" s="595" t="s">
        <v>437</v>
      </c>
      <c r="AA10" s="596" t="s">
        <v>477</v>
      </c>
      <c r="AB10" s="1244" t="s">
        <v>88</v>
      </c>
      <c r="AC10" s="1240" t="s">
        <v>368</v>
      </c>
      <c r="AD10" s="1243" t="s">
        <v>43</v>
      </c>
      <c r="AE10" s="1123"/>
      <c r="AF10" s="572"/>
      <c r="AG10" s="572"/>
    </row>
    <row r="11" spans="1:33" ht="30.6" customHeight="1" x14ac:dyDescent="0.25">
      <c r="A11" s="926">
        <v>9</v>
      </c>
      <c r="B11" s="579" t="s">
        <v>472</v>
      </c>
      <c r="C11" s="580" t="s">
        <v>480</v>
      </c>
      <c r="D11" s="581" t="s">
        <v>417</v>
      </c>
      <c r="E11" s="582" t="s">
        <v>38</v>
      </c>
      <c r="F11" s="583" t="s">
        <v>88</v>
      </c>
      <c r="G11" s="584" t="s">
        <v>52</v>
      </c>
      <c r="H11" s="584" t="s">
        <v>40</v>
      </c>
      <c r="I11" s="585">
        <v>1.6929716091413101</v>
      </c>
      <c r="J11" s="586" t="s">
        <v>41</v>
      </c>
      <c r="K11" s="585">
        <v>9.3583705631000005E-2</v>
      </c>
      <c r="L11" s="586" t="s">
        <v>42</v>
      </c>
      <c r="M11" s="587"/>
      <c r="N11" s="587"/>
      <c r="O11" s="587"/>
      <c r="P11" s="588"/>
      <c r="Q11" s="589" t="s">
        <v>88</v>
      </c>
      <c r="R11" s="951" t="s">
        <v>43</v>
      </c>
      <c r="S11" s="956" t="str">
        <f>VLOOKUP(A11,Strat_Plan_Revit!$A$10:$S$321,14,FALSE)</f>
        <v>gering</v>
      </c>
      <c r="T11" s="590" t="str">
        <f>VLOOKUP(A11,Strat_Plan_Revit!$A$10:$S$321,15,FALSE)</f>
        <v>gering</v>
      </c>
      <c r="U11" s="961" t="s">
        <v>73</v>
      </c>
      <c r="V11" s="597" t="s">
        <v>73</v>
      </c>
      <c r="W11" s="592" t="s">
        <v>110</v>
      </c>
      <c r="X11" s="598"/>
      <c r="Y11" s="599"/>
      <c r="Z11" s="600" t="s">
        <v>437</v>
      </c>
      <c r="AA11" s="601" t="s">
        <v>477</v>
      </c>
      <c r="AB11" s="1244" t="s">
        <v>88</v>
      </c>
      <c r="AC11" s="1240" t="s">
        <v>368</v>
      </c>
      <c r="AD11" s="1243" t="s">
        <v>43</v>
      </c>
      <c r="AE11" s="1123"/>
      <c r="AF11" s="572"/>
      <c r="AG11" s="572"/>
    </row>
    <row r="12" spans="1:33" ht="30.6" customHeight="1" x14ac:dyDescent="0.25">
      <c r="A12" s="926">
        <v>11</v>
      </c>
      <c r="B12" s="579" t="s">
        <v>472</v>
      </c>
      <c r="C12" s="580" t="s">
        <v>481</v>
      </c>
      <c r="D12" s="581" t="s">
        <v>417</v>
      </c>
      <c r="E12" s="582" t="s">
        <v>38</v>
      </c>
      <c r="F12" s="583" t="s">
        <v>88</v>
      </c>
      <c r="G12" s="584" t="s">
        <v>52</v>
      </c>
      <c r="H12" s="584" t="s">
        <v>40</v>
      </c>
      <c r="I12" s="585">
        <v>0.69988986574356604</v>
      </c>
      <c r="J12" s="586" t="s">
        <v>41</v>
      </c>
      <c r="K12" s="585">
        <v>5.3467492422000003E-2</v>
      </c>
      <c r="L12" s="586" t="s">
        <v>42</v>
      </c>
      <c r="M12" s="587"/>
      <c r="N12" s="587"/>
      <c r="O12" s="587"/>
      <c r="P12" s="588"/>
      <c r="Q12" s="589" t="s">
        <v>88</v>
      </c>
      <c r="R12" s="951" t="s">
        <v>43</v>
      </c>
      <c r="S12" s="956" t="str">
        <f>VLOOKUP(A12,Strat_Plan_Revit!$A$10:$S$321,14,FALSE)</f>
        <v>gering</v>
      </c>
      <c r="T12" s="590" t="str">
        <f>VLOOKUP(A12,Strat_Plan_Revit!$A$10:$S$321,15,FALSE)</f>
        <v>keine</v>
      </c>
      <c r="U12" s="961" t="s">
        <v>73</v>
      </c>
      <c r="V12" s="597" t="s">
        <v>73</v>
      </c>
      <c r="W12" s="592" t="s">
        <v>110</v>
      </c>
      <c r="X12" s="598"/>
      <c r="Y12" s="599"/>
      <c r="Z12" s="600" t="s">
        <v>437</v>
      </c>
      <c r="AA12" s="601" t="s">
        <v>477</v>
      </c>
      <c r="AB12" s="1244" t="s">
        <v>88</v>
      </c>
      <c r="AC12" s="1240" t="s">
        <v>368</v>
      </c>
      <c r="AD12" s="1243" t="s">
        <v>43</v>
      </c>
      <c r="AE12" s="1123"/>
      <c r="AF12" s="572"/>
      <c r="AG12" s="572"/>
    </row>
    <row r="13" spans="1:33" ht="30.6" customHeight="1" x14ac:dyDescent="0.25">
      <c r="A13" s="926">
        <v>12</v>
      </c>
      <c r="B13" s="579" t="s">
        <v>435</v>
      </c>
      <c r="C13" s="580" t="s">
        <v>436</v>
      </c>
      <c r="D13" s="581" t="s">
        <v>417</v>
      </c>
      <c r="E13" s="582" t="s">
        <v>38</v>
      </c>
      <c r="F13" s="583" t="s">
        <v>88</v>
      </c>
      <c r="G13" s="584" t="s">
        <v>52</v>
      </c>
      <c r="H13" s="584" t="s">
        <v>40</v>
      </c>
      <c r="I13" s="585">
        <v>1.0030271554377499</v>
      </c>
      <c r="J13" s="586" t="s">
        <v>41</v>
      </c>
      <c r="K13" s="585">
        <v>6.7860281679000004E-2</v>
      </c>
      <c r="L13" s="586" t="s">
        <v>42</v>
      </c>
      <c r="M13" s="587"/>
      <c r="N13" s="587"/>
      <c r="O13" s="587"/>
      <c r="P13" s="588"/>
      <c r="Q13" s="589" t="s">
        <v>88</v>
      </c>
      <c r="R13" s="951" t="s">
        <v>43</v>
      </c>
      <c r="S13" s="956" t="s">
        <v>1827</v>
      </c>
      <c r="T13" s="590" t="s">
        <v>1828</v>
      </c>
      <c r="U13" s="961"/>
      <c r="V13" s="597" t="s">
        <v>88</v>
      </c>
      <c r="W13" s="592" t="s">
        <v>43</v>
      </c>
      <c r="X13" s="598"/>
      <c r="Y13" s="599"/>
      <c r="Z13" s="600" t="s">
        <v>437</v>
      </c>
      <c r="AA13" s="601" t="s">
        <v>438</v>
      </c>
      <c r="AB13" s="1245" t="s">
        <v>88</v>
      </c>
      <c r="AC13" s="1240" t="s">
        <v>43</v>
      </c>
      <c r="AD13" s="1243" t="str">
        <f t="shared" si="0"/>
        <v>a</v>
      </c>
      <c r="AE13" s="1123"/>
      <c r="AF13" s="572"/>
      <c r="AG13" s="572"/>
    </row>
    <row r="14" spans="1:33" ht="37.5" customHeight="1" x14ac:dyDescent="0.25">
      <c r="A14" s="926">
        <v>14</v>
      </c>
      <c r="B14" s="579" t="s">
        <v>410</v>
      </c>
      <c r="C14" s="580" t="s">
        <v>411</v>
      </c>
      <c r="D14" s="581" t="s">
        <v>412</v>
      </c>
      <c r="E14" s="582" t="s">
        <v>38</v>
      </c>
      <c r="F14" s="583" t="s">
        <v>67</v>
      </c>
      <c r="G14" s="584" t="s">
        <v>52</v>
      </c>
      <c r="H14" s="584" t="s">
        <v>40</v>
      </c>
      <c r="I14" s="585">
        <v>0.123582186117996</v>
      </c>
      <c r="J14" s="586" t="s">
        <v>47</v>
      </c>
      <c r="K14" s="585">
        <v>7.0725282759000002E-2</v>
      </c>
      <c r="L14" s="586" t="s">
        <v>42</v>
      </c>
      <c r="M14" s="587"/>
      <c r="N14" s="587"/>
      <c r="O14" s="587"/>
      <c r="P14" s="588"/>
      <c r="Q14" s="589" t="s">
        <v>67</v>
      </c>
      <c r="R14" s="951" t="s">
        <v>43</v>
      </c>
      <c r="S14" s="956" t="str">
        <f>VLOOKUP(A14,Strat_Plan_Revit!$A$10:$S$321,14,FALSE)</f>
        <v>gross</v>
      </c>
      <c r="T14" s="590">
        <f>VLOOKUP(A14,Strat_Plan_Revit!$A$10:$S$321,15,FALSE)</f>
        <v>0</v>
      </c>
      <c r="U14" s="961" t="s">
        <v>67</v>
      </c>
      <c r="V14" s="597" t="s">
        <v>67</v>
      </c>
      <c r="W14" s="592" t="s">
        <v>59</v>
      </c>
      <c r="X14" s="598"/>
      <c r="Y14" s="599"/>
      <c r="Z14" s="600" t="s">
        <v>414</v>
      </c>
      <c r="AA14" s="601" t="s">
        <v>415</v>
      </c>
      <c r="AB14" s="1245" t="s">
        <v>45</v>
      </c>
      <c r="AC14" s="1241" t="s">
        <v>368</v>
      </c>
      <c r="AD14" s="1243" t="str">
        <f t="shared" si="0"/>
        <v>b</v>
      </c>
      <c r="AE14" s="1123"/>
      <c r="AF14" s="572"/>
      <c r="AG14" s="572"/>
    </row>
    <row r="15" spans="1:33" ht="16.899999999999999" customHeight="1" x14ac:dyDescent="0.25">
      <c r="A15" s="926">
        <v>16</v>
      </c>
      <c r="B15" s="579" t="s">
        <v>410</v>
      </c>
      <c r="C15" s="580" t="s">
        <v>416</v>
      </c>
      <c r="D15" s="581" t="s">
        <v>417</v>
      </c>
      <c r="E15" s="582" t="s">
        <v>38</v>
      </c>
      <c r="F15" s="583" t="s">
        <v>88</v>
      </c>
      <c r="G15" s="584" t="s">
        <v>52</v>
      </c>
      <c r="H15" s="584" t="s">
        <v>40</v>
      </c>
      <c r="I15" s="585">
        <v>0.72852571824261703</v>
      </c>
      <c r="J15" s="586" t="s">
        <v>41</v>
      </c>
      <c r="K15" s="585">
        <v>9.8825064944999999E-2</v>
      </c>
      <c r="L15" s="586" t="s">
        <v>42</v>
      </c>
      <c r="M15" s="587"/>
      <c r="N15" s="587"/>
      <c r="O15" s="587"/>
      <c r="P15" s="588"/>
      <c r="Q15" s="589" t="s">
        <v>88</v>
      </c>
      <c r="R15" s="951" t="s">
        <v>43</v>
      </c>
      <c r="S15" s="956" t="str">
        <f>VLOOKUP(A15,Strat_Plan_Revit!$A$10:$S$321,14,FALSE)</f>
        <v>non dét.</v>
      </c>
      <c r="T15" s="590">
        <f>VLOOKUP(A15,Strat_Plan_Revit!$A$10:$S$321,15,FALSE)</f>
        <v>0</v>
      </c>
      <c r="U15" s="961"/>
      <c r="V15" s="597" t="s">
        <v>88</v>
      </c>
      <c r="W15" s="592" t="s">
        <v>43</v>
      </c>
      <c r="X15" s="598"/>
      <c r="Y15" s="599"/>
      <c r="Z15" s="602"/>
      <c r="AA15" s="601" t="s">
        <v>415</v>
      </c>
      <c r="AB15" s="1244" t="s">
        <v>88</v>
      </c>
      <c r="AC15" s="1240" t="s">
        <v>43</v>
      </c>
      <c r="AD15" s="1243" t="str">
        <f t="shared" si="0"/>
        <v>a</v>
      </c>
      <c r="AE15" s="1123"/>
      <c r="AF15" s="572"/>
      <c r="AG15" s="572"/>
    </row>
    <row r="16" spans="1:33" ht="16.899999999999999" customHeight="1" x14ac:dyDescent="0.25">
      <c r="A16" s="926">
        <v>18</v>
      </c>
      <c r="B16" s="579" t="s">
        <v>410</v>
      </c>
      <c r="C16" s="580" t="s">
        <v>419</v>
      </c>
      <c r="D16" s="581" t="s">
        <v>417</v>
      </c>
      <c r="E16" s="582" t="s">
        <v>38</v>
      </c>
      <c r="F16" s="583" t="s">
        <v>88</v>
      </c>
      <c r="G16" s="584" t="s">
        <v>52</v>
      </c>
      <c r="H16" s="584" t="s">
        <v>40</v>
      </c>
      <c r="I16" s="585">
        <v>0.86792141642933995</v>
      </c>
      <c r="J16" s="586" t="s">
        <v>41</v>
      </c>
      <c r="K16" s="585">
        <v>2.2360712735999998E-2</v>
      </c>
      <c r="L16" s="586" t="s">
        <v>42</v>
      </c>
      <c r="M16" s="587"/>
      <c r="N16" s="587"/>
      <c r="O16" s="587"/>
      <c r="P16" s="588"/>
      <c r="Q16" s="589" t="s">
        <v>88</v>
      </c>
      <c r="R16" s="951" t="s">
        <v>43</v>
      </c>
      <c r="S16" s="956" t="str">
        <f>VLOOKUP(A16,Strat_Plan_Revit!$A$10:$S$321,14,FALSE)</f>
        <v>non dét.</v>
      </c>
      <c r="T16" s="590">
        <f>VLOOKUP(A16,Strat_Plan_Revit!$A$10:$S$321,15,FALSE)</f>
        <v>0</v>
      </c>
      <c r="U16" s="961"/>
      <c r="V16" s="597" t="s">
        <v>88</v>
      </c>
      <c r="W16" s="592" t="s">
        <v>43</v>
      </c>
      <c r="X16" s="598"/>
      <c r="Y16" s="599"/>
      <c r="Z16" s="602"/>
      <c r="AA16" s="603"/>
      <c r="AB16" s="1244" t="s">
        <v>88</v>
      </c>
      <c r="AC16" s="1240" t="s">
        <v>43</v>
      </c>
      <c r="AD16" s="1243" t="str">
        <f t="shared" si="0"/>
        <v>a</v>
      </c>
      <c r="AE16" s="1123"/>
      <c r="AF16" s="572"/>
      <c r="AG16" s="572"/>
    </row>
    <row r="17" spans="1:33" ht="16.899999999999999" customHeight="1" x14ac:dyDescent="0.25">
      <c r="A17" s="926">
        <v>19</v>
      </c>
      <c r="B17" s="579" t="s">
        <v>410</v>
      </c>
      <c r="C17" s="580" t="s">
        <v>420</v>
      </c>
      <c r="D17" s="581" t="s">
        <v>421</v>
      </c>
      <c r="E17" s="582" t="s">
        <v>38</v>
      </c>
      <c r="F17" s="583" t="s">
        <v>88</v>
      </c>
      <c r="G17" s="584" t="s">
        <v>52</v>
      </c>
      <c r="H17" s="584" t="s">
        <v>40</v>
      </c>
      <c r="I17" s="585">
        <v>2.5996407956088801E-2</v>
      </c>
      <c r="J17" s="586" t="s">
        <v>47</v>
      </c>
      <c r="K17" s="585">
        <v>0.12687276043000001</v>
      </c>
      <c r="L17" s="586" t="s">
        <v>42</v>
      </c>
      <c r="M17" s="587"/>
      <c r="N17" s="587"/>
      <c r="O17" s="587"/>
      <c r="P17" s="588"/>
      <c r="Q17" s="589" t="s">
        <v>88</v>
      </c>
      <c r="R17" s="951" t="s">
        <v>43</v>
      </c>
      <c r="S17" s="956" t="str">
        <f>VLOOKUP(A17,Strat_Plan_Revit!$A$10:$S$321,14,FALSE)</f>
        <v>non dét.</v>
      </c>
      <c r="T17" s="590">
        <f>VLOOKUP(A17,Strat_Plan_Revit!$A$10:$S$321,15,FALSE)</f>
        <v>0</v>
      </c>
      <c r="U17" s="961"/>
      <c r="V17" s="597" t="s">
        <v>88</v>
      </c>
      <c r="W17" s="592" t="s">
        <v>43</v>
      </c>
      <c r="X17" s="598"/>
      <c r="Y17" s="599"/>
      <c r="Z17" s="602"/>
      <c r="AA17" s="603"/>
      <c r="AB17" s="1244" t="s">
        <v>88</v>
      </c>
      <c r="AC17" s="1240" t="s">
        <v>43</v>
      </c>
      <c r="AD17" s="1243" t="str">
        <f t="shared" si="0"/>
        <v>a</v>
      </c>
      <c r="AE17" s="1123"/>
      <c r="AF17" s="572"/>
      <c r="AG17" s="572"/>
    </row>
    <row r="18" spans="1:33" ht="33.6" customHeight="1" x14ac:dyDescent="0.25">
      <c r="A18" s="1233">
        <v>22</v>
      </c>
      <c r="B18" s="579" t="s">
        <v>274</v>
      </c>
      <c r="C18" s="580" t="s">
        <v>275</v>
      </c>
      <c r="D18" s="581" t="s">
        <v>37</v>
      </c>
      <c r="E18" s="582" t="s">
        <v>38</v>
      </c>
      <c r="F18" s="583" t="s">
        <v>67</v>
      </c>
      <c r="G18" s="584"/>
      <c r="H18" s="584" t="s">
        <v>40</v>
      </c>
      <c r="I18" s="585">
        <v>0.73199999999999998</v>
      </c>
      <c r="J18" s="586" t="s">
        <v>41</v>
      </c>
      <c r="K18" s="585">
        <v>0.375</v>
      </c>
      <c r="L18" s="586" t="s">
        <v>61</v>
      </c>
      <c r="M18" s="587"/>
      <c r="N18" s="587"/>
      <c r="O18" s="587"/>
      <c r="P18" s="588"/>
      <c r="Q18" s="589" t="s">
        <v>67</v>
      </c>
      <c r="R18" s="951" t="s">
        <v>43</v>
      </c>
      <c r="S18" s="956" t="str">
        <f>VLOOKUP(A18,Strat_Plan_Revit!$A$10:$S$321,14,FALSE)</f>
        <v>vernachlässigbar</v>
      </c>
      <c r="T18" s="590">
        <f>VLOOKUP(A18,Strat_Plan_Revit!$A$10:$S$321,15,FALSE)</f>
        <v>0</v>
      </c>
      <c r="U18" s="961" t="s">
        <v>73</v>
      </c>
      <c r="V18" s="591" t="s">
        <v>73</v>
      </c>
      <c r="W18" s="592" t="s">
        <v>110</v>
      </c>
      <c r="X18" s="593"/>
      <c r="Y18" s="594" t="s">
        <v>126</v>
      </c>
      <c r="Z18" s="604"/>
      <c r="AA18" s="605" t="s">
        <v>127</v>
      </c>
      <c r="AB18" s="1246" t="s">
        <v>73</v>
      </c>
      <c r="AC18" s="1241" t="s">
        <v>110</v>
      </c>
      <c r="AD18" s="1243" t="str">
        <f t="shared" si="0"/>
        <v>a</v>
      </c>
      <c r="AE18" s="1123"/>
      <c r="AF18" s="572"/>
      <c r="AG18" s="572"/>
    </row>
    <row r="19" spans="1:33" ht="16.899999999999999" customHeight="1" x14ac:dyDescent="0.25">
      <c r="A19" s="1233">
        <v>25</v>
      </c>
      <c r="B19" s="579" t="s">
        <v>274</v>
      </c>
      <c r="C19" s="580" t="s">
        <v>277</v>
      </c>
      <c r="D19" s="581" t="s">
        <v>37</v>
      </c>
      <c r="E19" s="582" t="s">
        <v>38</v>
      </c>
      <c r="F19" s="583" t="s">
        <v>67</v>
      </c>
      <c r="G19" s="584"/>
      <c r="H19" s="584" t="s">
        <v>40</v>
      </c>
      <c r="I19" s="585">
        <v>1.153</v>
      </c>
      <c r="J19" s="586" t="s">
        <v>41</v>
      </c>
      <c r="K19" s="585">
        <v>0.23200000000000001</v>
      </c>
      <c r="L19" s="586" t="s">
        <v>42</v>
      </c>
      <c r="M19" s="587"/>
      <c r="N19" s="587"/>
      <c r="O19" s="587"/>
      <c r="P19" s="588"/>
      <c r="Q19" s="589" t="s">
        <v>67</v>
      </c>
      <c r="R19" s="951" t="s">
        <v>43</v>
      </c>
      <c r="S19" s="956" t="str">
        <f>VLOOKUP(A19,Strat_Plan_Revit!$A$10:$S$321,14,FALSE)</f>
        <v>vernachlässigbar</v>
      </c>
      <c r="T19" s="590">
        <f>VLOOKUP(A19,Strat_Plan_Revit!$A$10:$S$321,15,FALSE)</f>
        <v>0</v>
      </c>
      <c r="U19" s="961" t="s">
        <v>73</v>
      </c>
      <c r="V19" s="591" t="s">
        <v>73</v>
      </c>
      <c r="W19" s="592" t="s">
        <v>110</v>
      </c>
      <c r="X19" s="593"/>
      <c r="Y19" s="594" t="s">
        <v>126</v>
      </c>
      <c r="Z19" s="604"/>
      <c r="AA19" s="605" t="s">
        <v>127</v>
      </c>
      <c r="AB19" s="1246" t="s">
        <v>73</v>
      </c>
      <c r="AC19" s="1241" t="s">
        <v>110</v>
      </c>
      <c r="AD19" s="1243" t="str">
        <f t="shared" si="0"/>
        <v>a</v>
      </c>
      <c r="AE19" s="1123"/>
      <c r="AF19" s="572"/>
      <c r="AG19" s="572"/>
    </row>
    <row r="20" spans="1:33" ht="58.9" customHeight="1" x14ac:dyDescent="0.25">
      <c r="A20" s="928">
        <v>27</v>
      </c>
      <c r="B20" s="579" t="s">
        <v>274</v>
      </c>
      <c r="C20" s="580" t="s">
        <v>278</v>
      </c>
      <c r="D20" s="581" t="s">
        <v>279</v>
      </c>
      <c r="E20" s="582" t="s">
        <v>38</v>
      </c>
      <c r="F20" s="606" t="s">
        <v>40</v>
      </c>
      <c r="G20" s="607" t="s">
        <v>52</v>
      </c>
      <c r="H20" s="607" t="s">
        <v>40</v>
      </c>
      <c r="I20" s="608">
        <v>0.14758856661939801</v>
      </c>
      <c r="J20" s="609" t="s">
        <v>47</v>
      </c>
      <c r="K20" s="608">
        <v>0.29762384959999999</v>
      </c>
      <c r="L20" s="609" t="s">
        <v>42</v>
      </c>
      <c r="M20" s="610"/>
      <c r="N20" s="611" t="s">
        <v>84</v>
      </c>
      <c r="O20" s="611" t="s">
        <v>280</v>
      </c>
      <c r="P20" s="612" t="s">
        <v>103</v>
      </c>
      <c r="Q20" s="589" t="s">
        <v>104</v>
      </c>
      <c r="R20" s="951" t="s">
        <v>72</v>
      </c>
      <c r="S20" s="956" t="str">
        <f>VLOOKUP(A20,Strat_Plan_Revit!$A$10:$S$321,14,FALSE)</f>
        <v>vernachlässigbar</v>
      </c>
      <c r="T20" s="590">
        <f>VLOOKUP(A20,Strat_Plan_Revit!$A$10:$S$321,15,FALSE)</f>
        <v>0</v>
      </c>
      <c r="U20" s="961" t="s">
        <v>73</v>
      </c>
      <c r="V20" s="591" t="s">
        <v>73</v>
      </c>
      <c r="W20" s="592" t="s">
        <v>110</v>
      </c>
      <c r="X20" s="593"/>
      <c r="Y20" s="594" t="s">
        <v>126</v>
      </c>
      <c r="Z20" s="604"/>
      <c r="AA20" s="605" t="s">
        <v>127</v>
      </c>
      <c r="AB20" s="1246" t="s">
        <v>73</v>
      </c>
      <c r="AC20" s="1241" t="s">
        <v>110</v>
      </c>
      <c r="AD20" s="1243" t="str">
        <f t="shared" si="0"/>
        <v>a</v>
      </c>
      <c r="AE20" s="1123"/>
      <c r="AF20" s="572"/>
      <c r="AG20" s="572"/>
    </row>
    <row r="21" spans="1:33" ht="16.899999999999999" customHeight="1" x14ac:dyDescent="0.25">
      <c r="A21" s="928">
        <v>28</v>
      </c>
      <c r="B21" s="579" t="s">
        <v>274</v>
      </c>
      <c r="C21" s="580" t="s">
        <v>281</v>
      </c>
      <c r="D21" s="581" t="s">
        <v>282</v>
      </c>
      <c r="E21" s="582" t="s">
        <v>38</v>
      </c>
      <c r="F21" s="583" t="s">
        <v>39</v>
      </c>
      <c r="G21" s="584" t="s">
        <v>52</v>
      </c>
      <c r="H21" s="584" t="s">
        <v>40</v>
      </c>
      <c r="I21" s="585">
        <v>0.621213180247013</v>
      </c>
      <c r="J21" s="586" t="s">
        <v>41</v>
      </c>
      <c r="K21" s="585">
        <v>9.9135178047000005E-2</v>
      </c>
      <c r="L21" s="586" t="s">
        <v>42</v>
      </c>
      <c r="M21" s="587"/>
      <c r="N21" s="587"/>
      <c r="O21" s="587"/>
      <c r="P21" s="588"/>
      <c r="Q21" s="589" t="s">
        <v>39</v>
      </c>
      <c r="R21" s="951" t="s">
        <v>43</v>
      </c>
      <c r="S21" s="956" t="str">
        <f>VLOOKUP(A21,Strat_Plan_Revit!$A$10:$S$321,14,FALSE)</f>
        <v>vernachlässigbar</v>
      </c>
      <c r="T21" s="590">
        <f>VLOOKUP(A21,Strat_Plan_Revit!$A$10:$S$321,15,FALSE)</f>
        <v>0</v>
      </c>
      <c r="U21" s="961" t="s">
        <v>73</v>
      </c>
      <c r="V21" s="591" t="s">
        <v>73</v>
      </c>
      <c r="W21" s="592" t="s">
        <v>110</v>
      </c>
      <c r="X21" s="593"/>
      <c r="Y21" s="594" t="s">
        <v>126</v>
      </c>
      <c r="Z21" s="604"/>
      <c r="AA21" s="605" t="s">
        <v>127</v>
      </c>
      <c r="AB21" s="1246" t="s">
        <v>73</v>
      </c>
      <c r="AC21" s="1241" t="s">
        <v>110</v>
      </c>
      <c r="AD21" s="1243" t="str">
        <f t="shared" si="0"/>
        <v>a</v>
      </c>
      <c r="AE21" s="1123"/>
      <c r="AF21" s="572"/>
      <c r="AG21" s="572"/>
    </row>
    <row r="22" spans="1:33" ht="33.6" customHeight="1" x14ac:dyDescent="0.25">
      <c r="A22" s="926">
        <v>29</v>
      </c>
      <c r="B22" s="579" t="s">
        <v>274</v>
      </c>
      <c r="C22" s="580" t="s">
        <v>283</v>
      </c>
      <c r="D22" s="581" t="s">
        <v>284</v>
      </c>
      <c r="E22" s="582" t="s">
        <v>38</v>
      </c>
      <c r="F22" s="583" t="s">
        <v>88</v>
      </c>
      <c r="G22" s="584">
        <v>4.2446465504115203</v>
      </c>
      <c r="H22" s="584" t="s">
        <v>132</v>
      </c>
      <c r="I22" s="585">
        <v>5.86505365925847E-2</v>
      </c>
      <c r="J22" s="586" t="s">
        <v>47</v>
      </c>
      <c r="K22" s="585">
        <v>0.37697959578000001</v>
      </c>
      <c r="L22" s="586" t="s">
        <v>61</v>
      </c>
      <c r="M22" s="587"/>
      <c r="N22" s="587"/>
      <c r="O22" s="587"/>
      <c r="P22" s="588"/>
      <c r="Q22" s="589" t="s">
        <v>88</v>
      </c>
      <c r="R22" s="951" t="s">
        <v>43</v>
      </c>
      <c r="S22" s="956" t="str">
        <f>VLOOKUP(A22,Strat_Plan_Revit!$A$10:$S$321,14,FALSE)</f>
        <v>vernachlässigbar</v>
      </c>
      <c r="T22" s="590">
        <f>VLOOKUP(A22,Strat_Plan_Revit!$A$10:$S$321,15,FALSE)</f>
        <v>0</v>
      </c>
      <c r="U22" s="961" t="s">
        <v>73</v>
      </c>
      <c r="V22" s="597" t="s">
        <v>73</v>
      </c>
      <c r="W22" s="592" t="s">
        <v>110</v>
      </c>
      <c r="X22" s="598"/>
      <c r="Y22" s="599"/>
      <c r="Z22" s="613"/>
      <c r="AA22" s="601"/>
      <c r="AB22" s="1245" t="s">
        <v>73</v>
      </c>
      <c r="AC22" s="1241" t="s">
        <v>110</v>
      </c>
      <c r="AD22" s="1243" t="str">
        <f t="shared" si="0"/>
        <v>a</v>
      </c>
      <c r="AE22" s="1123"/>
      <c r="AF22" s="572"/>
      <c r="AG22" s="572"/>
    </row>
    <row r="23" spans="1:33" ht="33.6" customHeight="1" x14ac:dyDescent="0.25">
      <c r="A23" s="926">
        <v>30</v>
      </c>
      <c r="B23" s="579" t="s">
        <v>274</v>
      </c>
      <c r="C23" s="580" t="s">
        <v>285</v>
      </c>
      <c r="D23" s="581" t="s">
        <v>284</v>
      </c>
      <c r="E23" s="582" t="s">
        <v>38</v>
      </c>
      <c r="F23" s="583" t="s">
        <v>73</v>
      </c>
      <c r="G23" s="584">
        <v>2.5263697060866099</v>
      </c>
      <c r="H23" s="584" t="s">
        <v>132</v>
      </c>
      <c r="I23" s="585">
        <v>0.45579678711035598</v>
      </c>
      <c r="J23" s="586" t="s">
        <v>41</v>
      </c>
      <c r="K23" s="585">
        <v>0.65996747325000005</v>
      </c>
      <c r="L23" s="586" t="s">
        <v>61</v>
      </c>
      <c r="M23" s="587"/>
      <c r="N23" s="587"/>
      <c r="O23" s="587"/>
      <c r="P23" s="588"/>
      <c r="Q23" s="589" t="s">
        <v>73</v>
      </c>
      <c r="R23" s="951" t="s">
        <v>43</v>
      </c>
      <c r="S23" s="956" t="str">
        <f>VLOOKUP(A23,Strat_Plan_Revit!$A$10:$S$321,14,FALSE)</f>
        <v>vernachlässigbar</v>
      </c>
      <c r="T23" s="590">
        <f>VLOOKUP(A23,Strat_Plan_Revit!$A$10:$S$321,15,FALSE)</f>
        <v>0</v>
      </c>
      <c r="U23" s="961" t="s">
        <v>73</v>
      </c>
      <c r="V23" s="597" t="s">
        <v>73</v>
      </c>
      <c r="W23" s="592" t="s">
        <v>59</v>
      </c>
      <c r="X23" s="598"/>
      <c r="Y23" s="599"/>
      <c r="Z23" s="613"/>
      <c r="AA23" s="601"/>
      <c r="AB23" s="1245" t="s">
        <v>73</v>
      </c>
      <c r="AC23" s="1241" t="s">
        <v>59</v>
      </c>
      <c r="AD23" s="1243" t="str">
        <f t="shared" si="0"/>
        <v>a</v>
      </c>
      <c r="AE23" s="1123"/>
      <c r="AF23" s="572"/>
      <c r="AG23" s="572"/>
    </row>
    <row r="24" spans="1:33" ht="33.6" customHeight="1" x14ac:dyDescent="0.25">
      <c r="A24" s="926">
        <v>31</v>
      </c>
      <c r="B24" s="579" t="s">
        <v>274</v>
      </c>
      <c r="C24" s="580" t="s">
        <v>286</v>
      </c>
      <c r="D24" s="581" t="s">
        <v>284</v>
      </c>
      <c r="E24" s="582" t="s">
        <v>38</v>
      </c>
      <c r="F24" s="583" t="s">
        <v>73</v>
      </c>
      <c r="G24" s="584" t="s">
        <v>52</v>
      </c>
      <c r="H24" s="584" t="s">
        <v>40</v>
      </c>
      <c r="I24" s="585">
        <v>0.18883518988357501</v>
      </c>
      <c r="J24" s="586" t="s">
        <v>47</v>
      </c>
      <c r="K24" s="585">
        <v>0.41764269218</v>
      </c>
      <c r="L24" s="586" t="s">
        <v>61</v>
      </c>
      <c r="M24" s="587"/>
      <c r="N24" s="587"/>
      <c r="O24" s="587"/>
      <c r="P24" s="588"/>
      <c r="Q24" s="589" t="s">
        <v>73</v>
      </c>
      <c r="R24" s="951" t="s">
        <v>43</v>
      </c>
      <c r="S24" s="956" t="str">
        <f>VLOOKUP(A24,Strat_Plan_Revit!$A$10:$S$321,14,FALSE)</f>
        <v>keine / vernachlässigbar</v>
      </c>
      <c r="T24" s="590">
        <f>VLOOKUP(A24,Strat_Plan_Revit!$A$10:$S$321,15,FALSE)</f>
        <v>0</v>
      </c>
      <c r="U24" s="961" t="s">
        <v>73</v>
      </c>
      <c r="V24" s="597" t="s">
        <v>73</v>
      </c>
      <c r="W24" s="592" t="s">
        <v>59</v>
      </c>
      <c r="X24" s="598"/>
      <c r="Y24" s="599"/>
      <c r="Z24" s="613"/>
      <c r="AA24" s="601"/>
      <c r="AB24" s="1245" t="s">
        <v>73</v>
      </c>
      <c r="AC24" s="1241" t="s">
        <v>59</v>
      </c>
      <c r="AD24" s="1243" t="str">
        <f t="shared" si="0"/>
        <v>a</v>
      </c>
      <c r="AE24" s="1123"/>
      <c r="AF24" s="572"/>
      <c r="AG24" s="572"/>
    </row>
    <row r="25" spans="1:33" ht="62.45" customHeight="1" x14ac:dyDescent="0.25">
      <c r="A25" s="926">
        <v>32</v>
      </c>
      <c r="B25" s="579" t="s">
        <v>274</v>
      </c>
      <c r="C25" s="580" t="s">
        <v>288</v>
      </c>
      <c r="D25" s="581" t="s">
        <v>284</v>
      </c>
      <c r="E25" s="582" t="s">
        <v>38</v>
      </c>
      <c r="F25" s="583" t="s">
        <v>73</v>
      </c>
      <c r="G25" s="584" t="s">
        <v>52</v>
      </c>
      <c r="H25" s="584" t="s">
        <v>40</v>
      </c>
      <c r="I25" s="585">
        <v>7.3781989742192997E-3</v>
      </c>
      <c r="J25" s="586" t="s">
        <v>47</v>
      </c>
      <c r="K25" s="585">
        <v>0.63661994676</v>
      </c>
      <c r="L25" s="586" t="s">
        <v>61</v>
      </c>
      <c r="M25" s="587"/>
      <c r="N25" s="587"/>
      <c r="O25" s="587"/>
      <c r="P25" s="588"/>
      <c r="Q25" s="589" t="s">
        <v>73</v>
      </c>
      <c r="R25" s="951" t="s">
        <v>43</v>
      </c>
      <c r="S25" s="956" t="str">
        <f>VLOOKUP(A25,Strat_Plan_Revit!$A$10:$S$321,14,FALSE)</f>
        <v>vernachlässigbar / besond. Verhält.</v>
      </c>
      <c r="T25" s="590">
        <f>VLOOKUP(A25,Strat_Plan_Revit!$A$10:$S$321,15,FALSE)</f>
        <v>0</v>
      </c>
      <c r="U25" s="961" t="s">
        <v>73</v>
      </c>
      <c r="V25" s="597" t="s">
        <v>73</v>
      </c>
      <c r="W25" s="592" t="s">
        <v>59</v>
      </c>
      <c r="X25" s="598"/>
      <c r="Y25" s="599"/>
      <c r="Z25" s="613"/>
      <c r="AA25" s="601"/>
      <c r="AB25" s="1245" t="s">
        <v>73</v>
      </c>
      <c r="AC25" s="1241" t="s">
        <v>59</v>
      </c>
      <c r="AD25" s="1243" t="str">
        <f t="shared" si="0"/>
        <v>a</v>
      </c>
      <c r="AE25" s="1123"/>
      <c r="AF25" s="572"/>
      <c r="AG25" s="572"/>
    </row>
    <row r="26" spans="1:33" ht="16.899999999999999" customHeight="1" x14ac:dyDescent="0.25">
      <c r="A26" s="926">
        <v>33</v>
      </c>
      <c r="B26" s="579" t="s">
        <v>274</v>
      </c>
      <c r="C26" s="580" t="s">
        <v>290</v>
      </c>
      <c r="D26" s="581" t="s">
        <v>284</v>
      </c>
      <c r="E26" s="582" t="s">
        <v>38</v>
      </c>
      <c r="F26" s="583" t="s">
        <v>73</v>
      </c>
      <c r="G26" s="584" t="s">
        <v>52</v>
      </c>
      <c r="H26" s="584" t="s">
        <v>40</v>
      </c>
      <c r="I26" s="585">
        <v>0.25338417377245098</v>
      </c>
      <c r="J26" s="586" t="s">
        <v>41</v>
      </c>
      <c r="K26" s="585">
        <v>0.15712876894</v>
      </c>
      <c r="L26" s="586" t="s">
        <v>42</v>
      </c>
      <c r="M26" s="587"/>
      <c r="N26" s="587"/>
      <c r="O26" s="587"/>
      <c r="P26" s="588"/>
      <c r="Q26" s="589" t="s">
        <v>73</v>
      </c>
      <c r="R26" s="951" t="s">
        <v>43</v>
      </c>
      <c r="S26" s="956" t="str">
        <f>VLOOKUP(A26,Strat_Plan_Revit!$A$10:$S$321,14,FALSE)</f>
        <v>vernachlässigbar</v>
      </c>
      <c r="T26" s="590">
        <f>VLOOKUP(A26,Strat_Plan_Revit!$A$10:$S$321,15,FALSE)</f>
        <v>0</v>
      </c>
      <c r="U26" s="961" t="s">
        <v>73</v>
      </c>
      <c r="V26" s="597" t="s">
        <v>73</v>
      </c>
      <c r="W26" s="592" t="s">
        <v>59</v>
      </c>
      <c r="X26" s="598"/>
      <c r="Y26" s="599"/>
      <c r="Z26" s="613"/>
      <c r="AA26" s="601"/>
      <c r="AB26" s="1245" t="s">
        <v>73</v>
      </c>
      <c r="AC26" s="1241" t="s">
        <v>59</v>
      </c>
      <c r="AD26" s="1243" t="str">
        <f t="shared" si="0"/>
        <v>a</v>
      </c>
      <c r="AE26" s="1123"/>
      <c r="AF26" s="572"/>
      <c r="AG26" s="572"/>
    </row>
    <row r="27" spans="1:33" ht="33.6" customHeight="1" x14ac:dyDescent="0.25">
      <c r="A27" s="926">
        <v>34</v>
      </c>
      <c r="B27" s="579" t="s">
        <v>274</v>
      </c>
      <c r="C27" s="580" t="s">
        <v>291</v>
      </c>
      <c r="D27" s="581" t="s">
        <v>284</v>
      </c>
      <c r="E27" s="582" t="s">
        <v>38</v>
      </c>
      <c r="F27" s="583" t="s">
        <v>73</v>
      </c>
      <c r="G27" s="584" t="s">
        <v>52</v>
      </c>
      <c r="H27" s="584" t="s">
        <v>40</v>
      </c>
      <c r="I27" s="585">
        <v>4.6441303536508501E-2</v>
      </c>
      <c r="J27" s="586" t="s">
        <v>47</v>
      </c>
      <c r="K27" s="585">
        <v>0.65433831493000005</v>
      </c>
      <c r="L27" s="586" t="s">
        <v>61</v>
      </c>
      <c r="M27" s="587"/>
      <c r="N27" s="587"/>
      <c r="O27" s="587"/>
      <c r="P27" s="588"/>
      <c r="Q27" s="589" t="s">
        <v>73</v>
      </c>
      <c r="R27" s="951" t="s">
        <v>43</v>
      </c>
      <c r="S27" s="956" t="str">
        <f>VLOOKUP(A27,Strat_Plan_Revit!$A$10:$S$321,14,FALSE)</f>
        <v>vernachlässigbar</v>
      </c>
      <c r="T27" s="590">
        <f>VLOOKUP(A27,Strat_Plan_Revit!$A$10:$S$321,15,FALSE)</f>
        <v>0</v>
      </c>
      <c r="U27" s="961" t="s">
        <v>73</v>
      </c>
      <c r="V27" s="597" t="s">
        <v>73</v>
      </c>
      <c r="W27" s="592" t="s">
        <v>59</v>
      </c>
      <c r="X27" s="598"/>
      <c r="Y27" s="599"/>
      <c r="Z27" s="613"/>
      <c r="AA27" s="601"/>
      <c r="AB27" s="1245" t="s">
        <v>73</v>
      </c>
      <c r="AC27" s="1241" t="s">
        <v>59</v>
      </c>
      <c r="AD27" s="1243" t="str">
        <f t="shared" si="0"/>
        <v>a</v>
      </c>
      <c r="AE27" s="1123"/>
      <c r="AF27" s="572"/>
      <c r="AG27" s="572"/>
    </row>
    <row r="28" spans="1:33" ht="42" customHeight="1" x14ac:dyDescent="0.25">
      <c r="A28" s="926">
        <v>35</v>
      </c>
      <c r="B28" s="579" t="s">
        <v>274</v>
      </c>
      <c r="C28" s="580" t="s">
        <v>292</v>
      </c>
      <c r="D28" s="581" t="s">
        <v>284</v>
      </c>
      <c r="E28" s="582" t="s">
        <v>38</v>
      </c>
      <c r="F28" s="583" t="s">
        <v>73</v>
      </c>
      <c r="G28" s="584">
        <v>-2.3580359996111899</v>
      </c>
      <c r="H28" s="584" t="s">
        <v>76</v>
      </c>
      <c r="I28" s="585">
        <v>0.40753604198434101</v>
      </c>
      <c r="J28" s="586" t="s">
        <v>41</v>
      </c>
      <c r="K28" s="585">
        <v>0.38971160477</v>
      </c>
      <c r="L28" s="586" t="s">
        <v>61</v>
      </c>
      <c r="M28" s="587"/>
      <c r="N28" s="587"/>
      <c r="O28" s="587"/>
      <c r="P28" s="588"/>
      <c r="Q28" s="589" t="s">
        <v>73</v>
      </c>
      <c r="R28" s="951" t="s">
        <v>43</v>
      </c>
      <c r="S28" s="956" t="str">
        <f>VLOOKUP(A28,Strat_Plan_Revit!$A$10:$S$321,14,FALSE)</f>
        <v>vernachlässigbar</v>
      </c>
      <c r="T28" s="590">
        <f>VLOOKUP(A28,Strat_Plan_Revit!$A$10:$S$321,15,FALSE)</f>
        <v>0</v>
      </c>
      <c r="U28" s="961" t="s">
        <v>73</v>
      </c>
      <c r="V28" s="597" t="s">
        <v>73</v>
      </c>
      <c r="W28" s="592" t="s">
        <v>59</v>
      </c>
      <c r="X28" s="598"/>
      <c r="Y28" s="599"/>
      <c r="Z28" s="613"/>
      <c r="AA28" s="601"/>
      <c r="AB28" s="1245" t="s">
        <v>73</v>
      </c>
      <c r="AC28" s="1241" t="s">
        <v>59</v>
      </c>
      <c r="AD28" s="1243" t="str">
        <f t="shared" si="0"/>
        <v>a</v>
      </c>
      <c r="AE28" s="1123"/>
      <c r="AF28" s="572"/>
      <c r="AG28" s="572"/>
    </row>
    <row r="29" spans="1:33" ht="20.45" customHeight="1" x14ac:dyDescent="0.25">
      <c r="A29" s="926">
        <v>36</v>
      </c>
      <c r="B29" s="579" t="s">
        <v>35</v>
      </c>
      <c r="C29" s="580" t="s">
        <v>49</v>
      </c>
      <c r="D29" s="581" t="s">
        <v>50</v>
      </c>
      <c r="E29" s="614" t="s">
        <v>51</v>
      </c>
      <c r="F29" s="615"/>
      <c r="G29" s="584" t="s">
        <v>52</v>
      </c>
      <c r="H29" s="584" t="s">
        <v>40</v>
      </c>
      <c r="I29" s="585">
        <v>0.57791442055503695</v>
      </c>
      <c r="J29" s="586" t="s">
        <v>41</v>
      </c>
      <c r="K29" s="585">
        <v>0.23298043498000001</v>
      </c>
      <c r="L29" s="586" t="s">
        <v>42</v>
      </c>
      <c r="M29" s="587"/>
      <c r="N29" s="587"/>
      <c r="O29" s="587"/>
      <c r="P29" s="588"/>
      <c r="Q29" s="589" t="s">
        <v>53</v>
      </c>
      <c r="R29" s="951" t="s">
        <v>43</v>
      </c>
      <c r="S29" s="956" t="str">
        <f>VLOOKUP(A29,Strat_Plan_Revit!$A$10:$S$321,14,FALSE)</f>
        <v>sehr stark</v>
      </c>
      <c r="T29" s="590" t="str">
        <f>VLOOKUP(A29,Strat_Plan_Revit!$A$10:$S$321,15,FALSE)</f>
        <v>Ja</v>
      </c>
      <c r="U29" s="961" t="s">
        <v>45</v>
      </c>
      <c r="V29" s="597" t="s">
        <v>53</v>
      </c>
      <c r="W29" s="592" t="s">
        <v>43</v>
      </c>
      <c r="X29" s="598"/>
      <c r="Y29" s="599"/>
      <c r="Z29" s="602"/>
      <c r="AA29" s="603"/>
      <c r="AB29" s="1245" t="s">
        <v>53</v>
      </c>
      <c r="AC29" s="1240" t="s">
        <v>43</v>
      </c>
      <c r="AD29" s="1243" t="str">
        <f t="shared" si="0"/>
        <v>a</v>
      </c>
      <c r="AE29" s="1123"/>
      <c r="AF29" s="572"/>
      <c r="AG29" s="572"/>
    </row>
    <row r="30" spans="1:33" ht="16.899999999999999" customHeight="1" x14ac:dyDescent="0.25">
      <c r="A30" s="926">
        <v>37</v>
      </c>
      <c r="B30" s="579" t="s">
        <v>35</v>
      </c>
      <c r="C30" s="580" t="s">
        <v>56</v>
      </c>
      <c r="D30" s="581" t="s">
        <v>57</v>
      </c>
      <c r="E30" s="582" t="s">
        <v>38</v>
      </c>
      <c r="F30" s="583" t="s">
        <v>39</v>
      </c>
      <c r="G30" s="584">
        <v>-0.15863530346399199</v>
      </c>
      <c r="H30" s="584" t="s">
        <v>58</v>
      </c>
      <c r="I30" s="585">
        <v>9.3782348836345994E-2</v>
      </c>
      <c r="J30" s="586" t="s">
        <v>47</v>
      </c>
      <c r="K30" s="585">
        <v>2.2212684214000002E-2</v>
      </c>
      <c r="L30" s="586" t="s">
        <v>42</v>
      </c>
      <c r="M30" s="587"/>
      <c r="N30" s="587"/>
      <c r="O30" s="587"/>
      <c r="P30" s="588"/>
      <c r="Q30" s="589" t="s">
        <v>39</v>
      </c>
      <c r="R30" s="951" t="s">
        <v>43</v>
      </c>
      <c r="S30" s="956" t="str">
        <f>VLOOKUP(A30,Strat_Plan_Revit!$A$10:$S$321,14,FALSE)</f>
        <v>sehr stark</v>
      </c>
      <c r="T30" s="590" t="str">
        <f>VLOOKUP(A30,Strat_Plan_Revit!$A$10:$S$321,15,FALSE)</f>
        <v>Ja</v>
      </c>
      <c r="U30" s="961" t="s">
        <v>45</v>
      </c>
      <c r="V30" s="597" t="s">
        <v>45</v>
      </c>
      <c r="W30" s="592" t="s">
        <v>59</v>
      </c>
      <c r="X30" s="598"/>
      <c r="Y30" s="599"/>
      <c r="Z30" s="602"/>
      <c r="AA30" s="603"/>
      <c r="AB30" s="1245" t="s">
        <v>45</v>
      </c>
      <c r="AC30" s="1240" t="s">
        <v>59</v>
      </c>
      <c r="AD30" s="1243" t="str">
        <f t="shared" si="0"/>
        <v>a</v>
      </c>
      <c r="AE30" s="1123"/>
      <c r="AF30" s="572"/>
      <c r="AG30" s="572"/>
    </row>
    <row r="31" spans="1:33" ht="33.6" customHeight="1" x14ac:dyDescent="0.25">
      <c r="A31" s="926">
        <v>40</v>
      </c>
      <c r="B31" s="579" t="s">
        <v>35</v>
      </c>
      <c r="C31" s="580" t="s">
        <v>60</v>
      </c>
      <c r="D31" s="581" t="s">
        <v>50</v>
      </c>
      <c r="E31" s="582" t="s">
        <v>38</v>
      </c>
      <c r="F31" s="583" t="s">
        <v>39</v>
      </c>
      <c r="G31" s="584" t="s">
        <v>52</v>
      </c>
      <c r="H31" s="584" t="s">
        <v>40</v>
      </c>
      <c r="I31" s="585">
        <v>2.5000000000000001E-2</v>
      </c>
      <c r="J31" s="586" t="s">
        <v>47</v>
      </c>
      <c r="K31" s="585">
        <v>0.34477805179999998</v>
      </c>
      <c r="L31" s="586" t="s">
        <v>61</v>
      </c>
      <c r="M31" s="587"/>
      <c r="N31" s="587"/>
      <c r="O31" s="587"/>
      <c r="P31" s="588"/>
      <c r="Q31" s="589" t="s">
        <v>39</v>
      </c>
      <c r="R31" s="951" t="s">
        <v>43</v>
      </c>
      <c r="S31" s="956" t="str">
        <f>VLOOKUP(A31,Strat_Plan_Revit!$A$10:$S$321,14,FALSE)</f>
        <v>sehr stark</v>
      </c>
      <c r="T31" s="590" t="str">
        <f>VLOOKUP(A31,Strat_Plan_Revit!$A$10:$S$321,15,FALSE)</f>
        <v>Ja</v>
      </c>
      <c r="U31" s="961" t="s">
        <v>45</v>
      </c>
      <c r="V31" s="597" t="s">
        <v>45</v>
      </c>
      <c r="W31" s="592" t="s">
        <v>59</v>
      </c>
      <c r="X31" s="598"/>
      <c r="Y31" s="599"/>
      <c r="Z31" s="602"/>
      <c r="AA31" s="1236"/>
      <c r="AB31" s="1245" t="s">
        <v>45</v>
      </c>
      <c r="AC31" s="1240" t="s">
        <v>59</v>
      </c>
      <c r="AD31" s="1243" t="str">
        <f t="shared" si="0"/>
        <v>a</v>
      </c>
      <c r="AE31" s="1123"/>
      <c r="AF31" s="572"/>
      <c r="AG31" s="572"/>
    </row>
    <row r="32" spans="1:33" ht="16.899999999999999" customHeight="1" x14ac:dyDescent="0.25">
      <c r="A32" s="926">
        <v>44</v>
      </c>
      <c r="B32" s="579" t="s">
        <v>92</v>
      </c>
      <c r="C32" s="580" t="s">
        <v>93</v>
      </c>
      <c r="D32" s="581" t="s">
        <v>94</v>
      </c>
      <c r="E32" s="582" t="s">
        <v>38</v>
      </c>
      <c r="F32" s="583" t="s">
        <v>73</v>
      </c>
      <c r="G32" s="584">
        <v>-0.66853675722874895</v>
      </c>
      <c r="H32" s="584" t="s">
        <v>58</v>
      </c>
      <c r="I32" s="585">
        <v>1.3593108732085899</v>
      </c>
      <c r="J32" s="586" t="s">
        <v>41</v>
      </c>
      <c r="K32" s="585">
        <v>3.3483626385999998E-2</v>
      </c>
      <c r="L32" s="586" t="s">
        <v>42</v>
      </c>
      <c r="M32" s="587"/>
      <c r="N32" s="587"/>
      <c r="O32" s="587"/>
      <c r="P32" s="588"/>
      <c r="Q32" s="589" t="s">
        <v>73</v>
      </c>
      <c r="R32" s="951" t="s">
        <v>43</v>
      </c>
      <c r="S32" s="956" t="str">
        <f>VLOOKUP(A32,Strat_Plan_Revit!$A$10:$S$321,14,FALSE)</f>
        <v>wesentlich</v>
      </c>
      <c r="T32" s="590" t="str">
        <f>VLOOKUP(A32,Strat_Plan_Revit!$A$10:$S$321,15,FALSE)</f>
        <v>Ja (gering)</v>
      </c>
      <c r="U32" s="961" t="s">
        <v>73</v>
      </c>
      <c r="V32" s="597" t="s">
        <v>73</v>
      </c>
      <c r="W32" s="592" t="s">
        <v>59</v>
      </c>
      <c r="X32" s="598"/>
      <c r="Y32" s="599"/>
      <c r="Z32" s="602"/>
      <c r="AA32" s="603"/>
      <c r="AB32" s="1245" t="s">
        <v>73</v>
      </c>
      <c r="AC32" s="1240" t="s">
        <v>59</v>
      </c>
      <c r="AD32" s="1243" t="str">
        <f t="shared" si="0"/>
        <v>a</v>
      </c>
      <c r="AE32" s="1123"/>
      <c r="AF32" s="572"/>
      <c r="AG32" s="572"/>
    </row>
    <row r="33" spans="1:33" ht="33.6" customHeight="1" x14ac:dyDescent="0.25">
      <c r="A33" s="926">
        <v>45</v>
      </c>
      <c r="B33" s="579" t="s">
        <v>454</v>
      </c>
      <c r="C33" s="580" t="s">
        <v>455</v>
      </c>
      <c r="D33" s="581" t="s">
        <v>456</v>
      </c>
      <c r="E33" s="582" t="s">
        <v>38</v>
      </c>
      <c r="F33" s="583" t="s">
        <v>73</v>
      </c>
      <c r="G33" s="584">
        <v>0.45148814228414802</v>
      </c>
      <c r="H33" s="584" t="s">
        <v>58</v>
      </c>
      <c r="I33" s="585">
        <v>1.2066280128763271</v>
      </c>
      <c r="J33" s="586" t="s">
        <v>41</v>
      </c>
      <c r="K33" s="585">
        <v>0.34951352568999999</v>
      </c>
      <c r="L33" s="586" t="s">
        <v>61</v>
      </c>
      <c r="M33" s="587"/>
      <c r="N33" s="587"/>
      <c r="O33" s="587"/>
      <c r="P33" s="588"/>
      <c r="Q33" s="589" t="s">
        <v>73</v>
      </c>
      <c r="R33" s="951" t="s">
        <v>43</v>
      </c>
      <c r="S33" s="956" t="str">
        <f>VLOOKUP(A33,Strat_Plan_Revit!$A$10:$S$321,14,FALSE)</f>
        <v>mittel/sehr stark</v>
      </c>
      <c r="T33" s="590" t="str">
        <f>VLOOKUP(A33,Strat_Plan_Revit!$A$10:$S$321,15,FALSE)</f>
        <v>Ja (-)</v>
      </c>
      <c r="U33" s="961" t="s">
        <v>67</v>
      </c>
      <c r="V33" s="597" t="s">
        <v>67</v>
      </c>
      <c r="W33" s="592" t="s">
        <v>110</v>
      </c>
      <c r="X33" s="598" t="s">
        <v>114</v>
      </c>
      <c r="Y33" s="599"/>
      <c r="Z33" s="602"/>
      <c r="AA33" s="601" t="s">
        <v>459</v>
      </c>
      <c r="AB33" s="1245" t="s">
        <v>67</v>
      </c>
      <c r="AC33" s="1240" t="s">
        <v>110</v>
      </c>
      <c r="AD33" s="1243" t="str">
        <f t="shared" si="0"/>
        <v>a</v>
      </c>
      <c r="AE33" s="1123"/>
      <c r="AF33" s="572"/>
      <c r="AG33" s="572"/>
    </row>
    <row r="34" spans="1:33" ht="42" customHeight="1" x14ac:dyDescent="0.25">
      <c r="A34" s="926">
        <v>46</v>
      </c>
      <c r="B34" s="579" t="s">
        <v>92</v>
      </c>
      <c r="C34" s="580" t="s">
        <v>97</v>
      </c>
      <c r="D34" s="581" t="s">
        <v>94</v>
      </c>
      <c r="E34" s="582" t="s">
        <v>38</v>
      </c>
      <c r="F34" s="583" t="s">
        <v>73</v>
      </c>
      <c r="G34" s="584">
        <v>-1.69615858849959</v>
      </c>
      <c r="H34" s="584" t="s">
        <v>76</v>
      </c>
      <c r="I34" s="585">
        <v>1.35525261303477</v>
      </c>
      <c r="J34" s="586" t="s">
        <v>41</v>
      </c>
      <c r="K34" s="585">
        <v>0</v>
      </c>
      <c r="L34" s="586" t="s">
        <v>42</v>
      </c>
      <c r="M34" s="587"/>
      <c r="N34" s="587"/>
      <c r="O34" s="587"/>
      <c r="P34" s="588"/>
      <c r="Q34" s="589" t="s">
        <v>73</v>
      </c>
      <c r="R34" s="951" t="s">
        <v>43</v>
      </c>
      <c r="S34" s="956" t="str">
        <f>VLOOKUP(A34,Strat_Plan_Revit!$A$10:$S$321,14,FALSE)</f>
        <v>wesentlich</v>
      </c>
      <c r="T34" s="590" t="str">
        <f>VLOOKUP(A34,Strat_Plan_Revit!$A$10:$S$321,15,FALSE)</f>
        <v>Ja (gering)</v>
      </c>
      <c r="U34" s="961" t="s">
        <v>73</v>
      </c>
      <c r="V34" s="597" t="s">
        <v>73</v>
      </c>
      <c r="W34" s="592" t="s">
        <v>59</v>
      </c>
      <c r="X34" s="598"/>
      <c r="Y34" s="599"/>
      <c r="Z34" s="602"/>
      <c r="AA34" s="603"/>
      <c r="AB34" s="1245" t="s">
        <v>73</v>
      </c>
      <c r="AC34" s="1240" t="s">
        <v>59</v>
      </c>
      <c r="AD34" s="1243" t="str">
        <f t="shared" si="0"/>
        <v>a</v>
      </c>
      <c r="AE34" s="1123"/>
      <c r="AF34" s="572"/>
      <c r="AG34" s="572"/>
    </row>
    <row r="35" spans="1:33" ht="80.45" customHeight="1" x14ac:dyDescent="0.25">
      <c r="A35" s="927">
        <v>47.1</v>
      </c>
      <c r="B35" s="579" t="s">
        <v>92</v>
      </c>
      <c r="C35" s="580" t="s">
        <v>98</v>
      </c>
      <c r="D35" s="581" t="s">
        <v>50</v>
      </c>
      <c r="E35" s="582" t="s">
        <v>38</v>
      </c>
      <c r="F35" s="606" t="s">
        <v>40</v>
      </c>
      <c r="G35" s="607" t="s">
        <v>52</v>
      </c>
      <c r="H35" s="607" t="s">
        <v>40</v>
      </c>
      <c r="I35" s="616">
        <v>0</v>
      </c>
      <c r="J35" s="609" t="s">
        <v>47</v>
      </c>
      <c r="K35" s="617">
        <v>0.317</v>
      </c>
      <c r="L35" s="625" t="s">
        <v>61</v>
      </c>
      <c r="M35" s="587"/>
      <c r="N35" s="587"/>
      <c r="O35" s="587"/>
      <c r="P35" s="588"/>
      <c r="Q35" s="627" t="s">
        <v>1934</v>
      </c>
      <c r="R35" s="951" t="s">
        <v>43</v>
      </c>
      <c r="S35" s="956" t="str">
        <f>VLOOKUP(A35,Strat_Plan_Revit!$A$10:$S$321,14,FALSE)</f>
        <v>-</v>
      </c>
      <c r="T35" s="590" t="str">
        <f>VLOOKUP(A35,Strat_Plan_Revit!$A$10:$S$321,15,FALSE)</f>
        <v>-</v>
      </c>
      <c r="U35" s="961"/>
      <c r="V35" s="597" t="s">
        <v>88</v>
      </c>
      <c r="W35" s="592" t="s">
        <v>43</v>
      </c>
      <c r="X35" s="598"/>
      <c r="Y35" s="599"/>
      <c r="Z35" s="602"/>
      <c r="AA35" s="603"/>
      <c r="AB35" s="1245" t="s">
        <v>88</v>
      </c>
      <c r="AC35" s="1240" t="s">
        <v>43</v>
      </c>
      <c r="AD35" s="1243" t="str">
        <f t="shared" si="0"/>
        <v>a</v>
      </c>
      <c r="AE35" s="1123"/>
      <c r="AF35" s="572"/>
      <c r="AG35" s="572"/>
    </row>
    <row r="36" spans="1:33" ht="48" customHeight="1" x14ac:dyDescent="0.25">
      <c r="A36" s="927">
        <v>47.2</v>
      </c>
      <c r="B36" s="579" t="s">
        <v>92</v>
      </c>
      <c r="C36" s="580" t="s">
        <v>98</v>
      </c>
      <c r="D36" s="581" t="s">
        <v>50</v>
      </c>
      <c r="E36" s="582" t="s">
        <v>38</v>
      </c>
      <c r="F36" s="606" t="s">
        <v>40</v>
      </c>
      <c r="G36" s="607"/>
      <c r="H36" s="607" t="s">
        <v>40</v>
      </c>
      <c r="I36" s="616">
        <v>0.76200000000000001</v>
      </c>
      <c r="J36" s="609" t="s">
        <v>41</v>
      </c>
      <c r="K36" s="585">
        <v>0.06</v>
      </c>
      <c r="L36" s="586" t="s">
        <v>42</v>
      </c>
      <c r="M36" s="587"/>
      <c r="N36" s="587"/>
      <c r="O36" s="587"/>
      <c r="P36" s="588"/>
      <c r="Q36" s="630" t="s">
        <v>1935</v>
      </c>
      <c r="R36" s="951" t="s">
        <v>72</v>
      </c>
      <c r="S36" s="956">
        <f>VLOOKUP(A36,Strat_Plan_Revit!$A$10:$S$321,14,FALSE)</f>
        <v>0</v>
      </c>
      <c r="T36" s="590">
        <f>VLOOKUP(A36,Strat_Plan_Revit!$A$10:$S$321,15,FALSE)</f>
        <v>0</v>
      </c>
      <c r="U36" s="961"/>
      <c r="V36" s="597" t="s">
        <v>73</v>
      </c>
      <c r="W36" s="592" t="s">
        <v>72</v>
      </c>
      <c r="X36" s="598"/>
      <c r="Y36" s="599"/>
      <c r="Z36" s="602"/>
      <c r="AA36" s="603"/>
      <c r="AB36" s="1245" t="s">
        <v>73</v>
      </c>
      <c r="AC36" s="1240" t="s">
        <v>72</v>
      </c>
      <c r="AD36" s="1243" t="str">
        <f t="shared" si="0"/>
        <v>b</v>
      </c>
      <c r="AE36" s="1123"/>
      <c r="AF36" s="572"/>
      <c r="AG36" s="572"/>
    </row>
    <row r="37" spans="1:33" ht="47.45" customHeight="1" x14ac:dyDescent="0.25">
      <c r="A37" s="926">
        <v>48</v>
      </c>
      <c r="B37" s="579" t="s">
        <v>92</v>
      </c>
      <c r="C37" s="580" t="s">
        <v>100</v>
      </c>
      <c r="D37" s="581" t="s">
        <v>101</v>
      </c>
      <c r="E37" s="582" t="s">
        <v>38</v>
      </c>
      <c r="F37" s="606" t="s">
        <v>40</v>
      </c>
      <c r="G37" s="607" t="s">
        <v>52</v>
      </c>
      <c r="H37" s="607" t="s">
        <v>40</v>
      </c>
      <c r="I37" s="608">
        <v>4.4108513067570299E-2</v>
      </c>
      <c r="J37" s="609" t="s">
        <v>47</v>
      </c>
      <c r="K37" s="608">
        <v>4.8317229879000001E-2</v>
      </c>
      <c r="L37" s="609" t="s">
        <v>42</v>
      </c>
      <c r="M37" s="632" t="s">
        <v>102</v>
      </c>
      <c r="N37" s="611" t="s">
        <v>103</v>
      </c>
      <c r="O37" s="587"/>
      <c r="P37" s="588"/>
      <c r="Q37" s="629" t="s">
        <v>1936</v>
      </c>
      <c r="R37" s="951" t="s">
        <v>72</v>
      </c>
      <c r="S37" s="956" t="str">
        <f>VLOOKUP(A37,Strat_Plan_Revit!$A$10:$S$321,14,FALSE)</f>
        <v>-</v>
      </c>
      <c r="T37" s="590" t="str">
        <f>VLOOKUP(A37,Strat_Plan_Revit!$A$10:$S$321,15,FALSE)</f>
        <v>-</v>
      </c>
      <c r="U37" s="961"/>
      <c r="V37" s="597" t="s">
        <v>67</v>
      </c>
      <c r="W37" s="592" t="s">
        <v>72</v>
      </c>
      <c r="X37" s="598"/>
      <c r="Y37" s="599"/>
      <c r="Z37" s="602"/>
      <c r="AA37" s="603"/>
      <c r="AB37" s="1245" t="s">
        <v>67</v>
      </c>
      <c r="AC37" s="1240" t="s">
        <v>72</v>
      </c>
      <c r="AD37" s="1243" t="str">
        <f t="shared" si="0"/>
        <v>b</v>
      </c>
      <c r="AE37" s="1123"/>
      <c r="AF37" s="572"/>
      <c r="AG37" s="572"/>
    </row>
    <row r="38" spans="1:33" ht="42" customHeight="1" x14ac:dyDescent="0.25">
      <c r="A38" s="926">
        <v>49</v>
      </c>
      <c r="B38" s="579" t="s">
        <v>92</v>
      </c>
      <c r="C38" s="580" t="s">
        <v>105</v>
      </c>
      <c r="D38" s="581" t="s">
        <v>101</v>
      </c>
      <c r="E38" s="582" t="s">
        <v>38</v>
      </c>
      <c r="F38" s="606" t="s">
        <v>40</v>
      </c>
      <c r="G38" s="607" t="s">
        <v>52</v>
      </c>
      <c r="H38" s="607" t="s">
        <v>40</v>
      </c>
      <c r="I38" s="608">
        <v>8.3076023394638501E-2</v>
      </c>
      <c r="J38" s="609" t="s">
        <v>47</v>
      </c>
      <c r="K38" s="608">
        <v>8.7633418246000003E-3</v>
      </c>
      <c r="L38" s="609" t="s">
        <v>42</v>
      </c>
      <c r="M38" s="611" t="s">
        <v>106</v>
      </c>
      <c r="N38" s="611" t="s">
        <v>103</v>
      </c>
      <c r="O38" s="587"/>
      <c r="P38" s="588"/>
      <c r="Q38" s="589" t="s">
        <v>104</v>
      </c>
      <c r="R38" s="951" t="s">
        <v>72</v>
      </c>
      <c r="S38" s="956" t="str">
        <f>VLOOKUP(A38,Strat_Plan_Revit!$A$10:$S$321,14,FALSE)</f>
        <v>-</v>
      </c>
      <c r="T38" s="590" t="str">
        <f>VLOOKUP(A38,Strat_Plan_Revit!$A$10:$S$321,15,FALSE)</f>
        <v>-</v>
      </c>
      <c r="U38" s="961"/>
      <c r="V38" s="597" t="s">
        <v>67</v>
      </c>
      <c r="W38" s="592" t="s">
        <v>72</v>
      </c>
      <c r="X38" s="598"/>
      <c r="Y38" s="599"/>
      <c r="Z38" s="602"/>
      <c r="AA38" s="603"/>
      <c r="AB38" s="1245" t="s">
        <v>67</v>
      </c>
      <c r="AC38" s="1240" t="s">
        <v>72</v>
      </c>
      <c r="AD38" s="1243" t="str">
        <f t="shared" si="0"/>
        <v>b</v>
      </c>
      <c r="AE38" s="1123"/>
      <c r="AF38" s="572"/>
      <c r="AG38" s="572"/>
    </row>
    <row r="39" spans="1:33" ht="81.599999999999994" customHeight="1" x14ac:dyDescent="0.25">
      <c r="A39" s="926">
        <v>50</v>
      </c>
      <c r="B39" s="579" t="s">
        <v>573</v>
      </c>
      <c r="C39" s="580" t="s">
        <v>574</v>
      </c>
      <c r="D39" s="581" t="s">
        <v>575</v>
      </c>
      <c r="E39" s="582" t="s">
        <v>38</v>
      </c>
      <c r="F39" s="606" t="s">
        <v>40</v>
      </c>
      <c r="G39" s="607" t="s">
        <v>52</v>
      </c>
      <c r="H39" s="607" t="s">
        <v>40</v>
      </c>
      <c r="I39" s="608">
        <v>0</v>
      </c>
      <c r="J39" s="609" t="s">
        <v>47</v>
      </c>
      <c r="K39" s="608">
        <v>0.49982881820000002</v>
      </c>
      <c r="L39" s="609" t="s">
        <v>61</v>
      </c>
      <c r="M39" s="587"/>
      <c r="N39" s="587"/>
      <c r="O39" s="587"/>
      <c r="P39" s="588"/>
      <c r="Q39" s="589" t="s">
        <v>99</v>
      </c>
      <c r="R39" s="951" t="s">
        <v>72</v>
      </c>
      <c r="S39" s="956" t="str">
        <f>VLOOKUP(A39,Strat_Plan_Revit!$A$10:$S$321,14,FALSE)</f>
        <v>?????</v>
      </c>
      <c r="T39" s="590">
        <f>VLOOKUP(A39,Strat_Plan_Revit!$A$10:$S$321,15,FALSE)</f>
        <v>0</v>
      </c>
      <c r="U39" s="961"/>
      <c r="V39" s="597" t="s">
        <v>88</v>
      </c>
      <c r="W39" s="592" t="s">
        <v>72</v>
      </c>
      <c r="X39" s="598"/>
      <c r="Y39" s="599"/>
      <c r="Z39" s="618" t="s">
        <v>577</v>
      </c>
      <c r="AA39" s="619" t="s">
        <v>578</v>
      </c>
      <c r="AB39" s="1245" t="s">
        <v>88</v>
      </c>
      <c r="AC39" s="1241" t="s">
        <v>72</v>
      </c>
      <c r="AD39" s="1243" t="str">
        <f t="shared" si="0"/>
        <v>b</v>
      </c>
      <c r="AE39" s="1123"/>
      <c r="AF39" s="572"/>
      <c r="AG39" s="572"/>
    </row>
    <row r="40" spans="1:33" ht="16.899999999999999" customHeight="1" x14ac:dyDescent="0.25">
      <c r="A40" s="926">
        <v>51</v>
      </c>
      <c r="B40" s="579" t="s">
        <v>35</v>
      </c>
      <c r="C40" s="580" t="s">
        <v>62</v>
      </c>
      <c r="D40" s="581" t="s">
        <v>63</v>
      </c>
      <c r="E40" s="582" t="s">
        <v>38</v>
      </c>
      <c r="F40" s="583" t="s">
        <v>39</v>
      </c>
      <c r="G40" s="584">
        <v>0.56094222836873497</v>
      </c>
      <c r="H40" s="584" t="s">
        <v>58</v>
      </c>
      <c r="I40" s="585">
        <v>0</v>
      </c>
      <c r="J40" s="586" t="s">
        <v>47</v>
      </c>
      <c r="K40" s="585">
        <v>2.7694473689999998E-3</v>
      </c>
      <c r="L40" s="586" t="s">
        <v>42</v>
      </c>
      <c r="M40" s="587"/>
      <c r="N40" s="587"/>
      <c r="O40" s="587"/>
      <c r="P40" s="588"/>
      <c r="Q40" s="589" t="s">
        <v>39</v>
      </c>
      <c r="R40" s="951" t="s">
        <v>43</v>
      </c>
      <c r="S40" s="956" t="str">
        <f>VLOOKUP(A40,Strat_Plan_Revit!$A$10:$S$321,14,FALSE)</f>
        <v>-</v>
      </c>
      <c r="T40" s="590" t="str">
        <f>VLOOKUP(A40,Strat_Plan_Revit!$A$10:$S$321,15,FALSE)</f>
        <v>-</v>
      </c>
      <c r="U40" s="961"/>
      <c r="V40" s="597" t="s">
        <v>45</v>
      </c>
      <c r="W40" s="592" t="s">
        <v>43</v>
      </c>
      <c r="X40" s="598"/>
      <c r="Y40" s="599"/>
      <c r="Z40" s="602"/>
      <c r="AA40" s="603"/>
      <c r="AB40" s="1245" t="s">
        <v>45</v>
      </c>
      <c r="AC40" s="1240" t="s">
        <v>43</v>
      </c>
      <c r="AD40" s="1243" t="str">
        <f t="shared" si="0"/>
        <v>a</v>
      </c>
      <c r="AE40" s="1123"/>
      <c r="AF40" s="572"/>
      <c r="AG40" s="572"/>
    </row>
    <row r="41" spans="1:33" ht="88.9" customHeight="1" x14ac:dyDescent="0.25">
      <c r="A41" s="926">
        <v>52</v>
      </c>
      <c r="B41" s="579" t="s">
        <v>233</v>
      </c>
      <c r="C41" s="580" t="s">
        <v>234</v>
      </c>
      <c r="D41" s="581" t="s">
        <v>235</v>
      </c>
      <c r="E41" s="582" t="s">
        <v>38</v>
      </c>
      <c r="F41" s="606" t="s">
        <v>40</v>
      </c>
      <c r="G41" s="607">
        <v>-15</v>
      </c>
      <c r="H41" s="607" t="s">
        <v>76</v>
      </c>
      <c r="I41" s="585">
        <v>0.53895761671085396</v>
      </c>
      <c r="J41" s="586" t="s">
        <v>41</v>
      </c>
      <c r="K41" s="585">
        <v>1.1487370304999999E-2</v>
      </c>
      <c r="L41" s="586" t="s">
        <v>42</v>
      </c>
      <c r="M41" s="587"/>
      <c r="N41" s="587"/>
      <c r="O41" s="587"/>
      <c r="P41" s="588"/>
      <c r="Q41" s="628" t="s">
        <v>1937</v>
      </c>
      <c r="R41" s="951" t="s">
        <v>72</v>
      </c>
      <c r="S41" s="956" t="s">
        <v>1832</v>
      </c>
      <c r="T41" s="620" t="s">
        <v>1833</v>
      </c>
      <c r="U41" s="961" t="s">
        <v>67</v>
      </c>
      <c r="V41" s="597" t="s">
        <v>67</v>
      </c>
      <c r="W41" s="592" t="s">
        <v>110</v>
      </c>
      <c r="X41" s="598" t="s">
        <v>236</v>
      </c>
      <c r="Y41" s="599"/>
      <c r="Z41" s="602"/>
      <c r="AA41" s="601" t="s">
        <v>203</v>
      </c>
      <c r="AB41" s="1245" t="s">
        <v>67</v>
      </c>
      <c r="AC41" s="1240" t="s">
        <v>110</v>
      </c>
      <c r="AD41" s="1243" t="str">
        <f t="shared" si="0"/>
        <v>a</v>
      </c>
      <c r="AE41" s="1123"/>
      <c r="AF41" s="572"/>
      <c r="AG41" s="572"/>
    </row>
    <row r="42" spans="1:33" ht="42" customHeight="1" x14ac:dyDescent="0.25">
      <c r="A42" s="926">
        <v>53</v>
      </c>
      <c r="B42" s="579" t="s">
        <v>92</v>
      </c>
      <c r="C42" s="580" t="s">
        <v>107</v>
      </c>
      <c r="D42" s="581" t="s">
        <v>108</v>
      </c>
      <c r="E42" s="614" t="s">
        <v>51</v>
      </c>
      <c r="F42" s="621"/>
      <c r="G42" s="622">
        <v>-2.4785685495602801</v>
      </c>
      <c r="H42" s="623" t="s">
        <v>76</v>
      </c>
      <c r="I42" s="585">
        <v>0.188001034076937</v>
      </c>
      <c r="J42" s="586" t="s">
        <v>47</v>
      </c>
      <c r="K42" s="585">
        <v>0.26657362384</v>
      </c>
      <c r="L42" s="586" t="s">
        <v>42</v>
      </c>
      <c r="M42" s="587"/>
      <c r="N42" s="587"/>
      <c r="O42" s="587"/>
      <c r="P42" s="588"/>
      <c r="Q42" s="589" t="s">
        <v>71</v>
      </c>
      <c r="R42" s="951" t="s">
        <v>72</v>
      </c>
      <c r="S42" s="956" t="str">
        <f>VLOOKUP(A42,Strat_Plan_Revit!$A$10:$S$321,14,FALSE)</f>
        <v>wesentlich/stark</v>
      </c>
      <c r="T42" s="590" t="str">
        <f>VLOOKUP(A42,Strat_Plan_Revit!$A$10:$S$321,15,FALSE)</f>
        <v>Ja (gering)</v>
      </c>
      <c r="U42" s="961" t="s">
        <v>67</v>
      </c>
      <c r="V42" s="597" t="s">
        <v>67</v>
      </c>
      <c r="W42" s="592" t="s">
        <v>110</v>
      </c>
      <c r="X42" s="598"/>
      <c r="Y42" s="599"/>
      <c r="Z42" s="602"/>
      <c r="AA42" s="603"/>
      <c r="AB42" s="1245" t="s">
        <v>67</v>
      </c>
      <c r="AC42" s="1240" t="s">
        <v>110</v>
      </c>
      <c r="AD42" s="1243" t="str">
        <f t="shared" si="0"/>
        <v>a</v>
      </c>
      <c r="AE42" s="1123"/>
      <c r="AF42" s="572"/>
      <c r="AG42" s="572"/>
    </row>
    <row r="43" spans="1:33" ht="33.6" customHeight="1" x14ac:dyDescent="0.25">
      <c r="A43" s="926">
        <v>55</v>
      </c>
      <c r="B43" s="579" t="s">
        <v>183</v>
      </c>
      <c r="C43" s="580" t="s">
        <v>184</v>
      </c>
      <c r="D43" s="581" t="s">
        <v>185</v>
      </c>
      <c r="E43" s="582" t="s">
        <v>38</v>
      </c>
      <c r="F43" s="583" t="s">
        <v>88</v>
      </c>
      <c r="G43" s="584">
        <v>1</v>
      </c>
      <c r="H43" s="584" t="s">
        <v>132</v>
      </c>
      <c r="I43" s="585">
        <v>3.39844288022009E-2</v>
      </c>
      <c r="J43" s="586" t="s">
        <v>47</v>
      </c>
      <c r="K43" s="585">
        <v>0.37955056141999999</v>
      </c>
      <c r="L43" s="586" t="s">
        <v>61</v>
      </c>
      <c r="M43" s="587"/>
      <c r="N43" s="587"/>
      <c r="O43" s="587"/>
      <c r="P43" s="588"/>
      <c r="Q43" s="589" t="s">
        <v>88</v>
      </c>
      <c r="R43" s="951" t="s">
        <v>43</v>
      </c>
      <c r="S43" s="956" t="s">
        <v>1835</v>
      </c>
      <c r="T43" s="590" t="s">
        <v>1836</v>
      </c>
      <c r="U43" s="961" t="s">
        <v>73</v>
      </c>
      <c r="V43" s="597" t="s">
        <v>88</v>
      </c>
      <c r="W43" s="592" t="s">
        <v>59</v>
      </c>
      <c r="X43" s="598" t="s">
        <v>187</v>
      </c>
      <c r="Y43" s="599"/>
      <c r="Z43" s="602"/>
      <c r="AA43" s="601" t="s">
        <v>188</v>
      </c>
      <c r="AB43" s="1245" t="s">
        <v>88</v>
      </c>
      <c r="AC43" s="1240" t="s">
        <v>59</v>
      </c>
      <c r="AD43" s="1243" t="str">
        <f t="shared" si="0"/>
        <v>a</v>
      </c>
      <c r="AE43" s="1123"/>
      <c r="AF43" s="572"/>
      <c r="AG43" s="572"/>
    </row>
    <row r="44" spans="1:33" ht="16.899999999999999" customHeight="1" x14ac:dyDescent="0.25">
      <c r="A44" s="926">
        <v>58</v>
      </c>
      <c r="B44" s="579" t="s">
        <v>92</v>
      </c>
      <c r="C44" s="580" t="s">
        <v>111</v>
      </c>
      <c r="D44" s="581" t="s">
        <v>112</v>
      </c>
      <c r="E44" s="582" t="s">
        <v>38</v>
      </c>
      <c r="F44" s="583" t="s">
        <v>88</v>
      </c>
      <c r="G44" s="584" t="s">
        <v>52</v>
      </c>
      <c r="H44" s="584" t="s">
        <v>40</v>
      </c>
      <c r="I44" s="585">
        <v>9.8335333479352E-2</v>
      </c>
      <c r="J44" s="586" t="s">
        <v>47</v>
      </c>
      <c r="K44" s="585">
        <v>0.30387390693999999</v>
      </c>
      <c r="L44" s="586" t="s">
        <v>42</v>
      </c>
      <c r="M44" s="587"/>
      <c r="N44" s="587"/>
      <c r="O44" s="587"/>
      <c r="P44" s="588"/>
      <c r="Q44" s="589" t="s">
        <v>88</v>
      </c>
      <c r="R44" s="951" t="s">
        <v>43</v>
      </c>
      <c r="S44" s="956" t="str">
        <f>VLOOKUP(A44,Strat_Plan_Revit!$A$10:$S$321,14,FALSE)</f>
        <v>stark</v>
      </c>
      <c r="T44" s="590" t="str">
        <f>VLOOKUP(A44,Strat_Plan_Revit!$A$10:$S$321,15,FALSE)</f>
        <v>Ja (gering)</v>
      </c>
      <c r="U44" s="961" t="s">
        <v>67</v>
      </c>
      <c r="V44" s="597" t="s">
        <v>67</v>
      </c>
      <c r="W44" s="592" t="s">
        <v>110</v>
      </c>
      <c r="X44" s="598" t="s">
        <v>114</v>
      </c>
      <c r="Y44" s="599"/>
      <c r="Z44" s="602"/>
      <c r="AA44" s="603"/>
      <c r="AB44" s="1245" t="s">
        <v>67</v>
      </c>
      <c r="AC44" s="1240" t="s">
        <v>110</v>
      </c>
      <c r="AD44" s="1243" t="str">
        <f t="shared" si="0"/>
        <v>a</v>
      </c>
      <c r="AE44" s="1123"/>
      <c r="AF44" s="572"/>
      <c r="AG44" s="572"/>
    </row>
    <row r="45" spans="1:33" ht="42" customHeight="1" x14ac:dyDescent="0.25">
      <c r="A45" s="926">
        <v>59</v>
      </c>
      <c r="B45" s="579" t="s">
        <v>92</v>
      </c>
      <c r="C45" s="580" t="s">
        <v>115</v>
      </c>
      <c r="D45" s="581" t="s">
        <v>116</v>
      </c>
      <c r="E45" s="582" t="s">
        <v>38</v>
      </c>
      <c r="F45" s="583" t="s">
        <v>67</v>
      </c>
      <c r="G45" s="584">
        <v>-1.1962488253975501</v>
      </c>
      <c r="H45" s="584" t="s">
        <v>76</v>
      </c>
      <c r="I45" s="585">
        <v>1.0022177609951299</v>
      </c>
      <c r="J45" s="586" t="s">
        <v>41</v>
      </c>
      <c r="K45" s="585">
        <v>4.7362589758E-2</v>
      </c>
      <c r="L45" s="586" t="s">
        <v>42</v>
      </c>
      <c r="M45" s="587"/>
      <c r="N45" s="587"/>
      <c r="O45" s="587"/>
      <c r="P45" s="588"/>
      <c r="Q45" s="589" t="s">
        <v>67</v>
      </c>
      <c r="R45" s="951" t="s">
        <v>43</v>
      </c>
      <c r="S45" s="956" t="str">
        <f>VLOOKUP(A45,Strat_Plan_Revit!$A$10:$S$321,14,FALSE)</f>
        <v>wesentlich</v>
      </c>
      <c r="T45" s="590" t="str">
        <f>VLOOKUP(A45,Strat_Plan_Revit!$A$10:$S$321,15,FALSE)</f>
        <v>Ja (gering)</v>
      </c>
      <c r="U45" s="961" t="s">
        <v>67</v>
      </c>
      <c r="V45" s="597" t="s">
        <v>67</v>
      </c>
      <c r="W45" s="592" t="s">
        <v>59</v>
      </c>
      <c r="X45" s="598"/>
      <c r="Y45" s="599"/>
      <c r="Z45" s="602"/>
      <c r="AA45" s="603"/>
      <c r="AB45" s="1245" t="s">
        <v>67</v>
      </c>
      <c r="AC45" s="1240" t="s">
        <v>59</v>
      </c>
      <c r="AD45" s="1243" t="str">
        <f t="shared" si="0"/>
        <v>a</v>
      </c>
      <c r="AE45" s="1123"/>
      <c r="AF45" s="572"/>
      <c r="AG45" s="572"/>
    </row>
    <row r="46" spans="1:33" ht="92.45" customHeight="1" x14ac:dyDescent="0.25">
      <c r="A46" s="926">
        <v>60</v>
      </c>
      <c r="B46" s="579" t="s">
        <v>197</v>
      </c>
      <c r="C46" s="580" t="s">
        <v>198</v>
      </c>
      <c r="D46" s="581" t="s">
        <v>199</v>
      </c>
      <c r="E46" s="582" t="s">
        <v>38</v>
      </c>
      <c r="F46" s="606" t="s">
        <v>40</v>
      </c>
      <c r="G46" s="607" t="s">
        <v>52</v>
      </c>
      <c r="H46" s="607" t="s">
        <v>40</v>
      </c>
      <c r="I46" s="608">
        <v>5.25680719652942E-2</v>
      </c>
      <c r="J46" s="609" t="s">
        <v>47</v>
      </c>
      <c r="K46" s="608">
        <v>0.27605354364000001</v>
      </c>
      <c r="L46" s="609" t="s">
        <v>42</v>
      </c>
      <c r="M46" s="611" t="s">
        <v>200</v>
      </c>
      <c r="N46" s="611" t="s">
        <v>201</v>
      </c>
      <c r="O46" s="587"/>
      <c r="P46" s="588"/>
      <c r="Q46" s="589" t="s">
        <v>202</v>
      </c>
      <c r="R46" s="951" t="s">
        <v>72</v>
      </c>
      <c r="S46" s="956" t="str">
        <f>VLOOKUP(A46,Strat_Plan_Revit!$A$10:$S$321,14,FALSE)</f>
        <v>keine</v>
      </c>
      <c r="T46" s="590">
        <f>VLOOKUP(A46,Strat_Plan_Revit!$A$10:$S$321,15,FALSE)</f>
        <v>0</v>
      </c>
      <c r="U46" s="961" t="s">
        <v>88</v>
      </c>
      <c r="V46" s="597" t="s">
        <v>88</v>
      </c>
      <c r="W46" s="592" t="s">
        <v>110</v>
      </c>
      <c r="X46" s="598"/>
      <c r="Y46" s="599"/>
      <c r="Z46" s="602"/>
      <c r="AA46" s="601" t="s">
        <v>203</v>
      </c>
      <c r="AB46" s="1245" t="s">
        <v>88</v>
      </c>
      <c r="AC46" s="1240" t="s">
        <v>110</v>
      </c>
      <c r="AD46" s="1243" t="str">
        <f t="shared" si="0"/>
        <v>a</v>
      </c>
      <c r="AE46" s="1123"/>
      <c r="AF46" s="572"/>
      <c r="AG46" s="572"/>
    </row>
    <row r="47" spans="1:33" ht="46.15" customHeight="1" x14ac:dyDescent="0.25">
      <c r="A47" s="926">
        <v>61</v>
      </c>
      <c r="B47" s="579" t="s">
        <v>197</v>
      </c>
      <c r="C47" s="580" t="s">
        <v>204</v>
      </c>
      <c r="D47" s="581" t="s">
        <v>205</v>
      </c>
      <c r="E47" s="582" t="s">
        <v>38</v>
      </c>
      <c r="F47" s="606" t="s">
        <v>40</v>
      </c>
      <c r="G47" s="607" t="s">
        <v>52</v>
      </c>
      <c r="H47" s="607" t="s">
        <v>40</v>
      </c>
      <c r="I47" s="608">
        <v>0.13871811459155101</v>
      </c>
      <c r="J47" s="609" t="s">
        <v>47</v>
      </c>
      <c r="K47" s="608">
        <v>0.24743305757</v>
      </c>
      <c r="L47" s="609" t="s">
        <v>42</v>
      </c>
      <c r="M47" s="624"/>
      <c r="N47" s="611" t="s">
        <v>84</v>
      </c>
      <c r="O47" s="611" t="s">
        <v>206</v>
      </c>
      <c r="P47" s="626" t="s">
        <v>86</v>
      </c>
      <c r="Q47" s="627" t="s">
        <v>1938</v>
      </c>
      <c r="R47" s="951" t="s">
        <v>72</v>
      </c>
      <c r="S47" s="956" t="str">
        <f>VLOOKUP(A47,Strat_Plan_Revit!$A$10:$S$321,14,FALSE)</f>
        <v>keine</v>
      </c>
      <c r="T47" s="590">
        <f>VLOOKUP(A47,Strat_Plan_Revit!$A$10:$S$321,15,FALSE)</f>
        <v>0</v>
      </c>
      <c r="U47" s="961" t="s">
        <v>88</v>
      </c>
      <c r="V47" s="597" t="s">
        <v>88</v>
      </c>
      <c r="W47" s="592" t="s">
        <v>59</v>
      </c>
      <c r="X47" s="598"/>
      <c r="Y47" s="599"/>
      <c r="Z47" s="602"/>
      <c r="AA47" s="601" t="s">
        <v>203</v>
      </c>
      <c r="AB47" s="1245" t="s">
        <v>88</v>
      </c>
      <c r="AC47" s="1240" t="s">
        <v>59</v>
      </c>
      <c r="AD47" s="1243" t="str">
        <f t="shared" si="0"/>
        <v>a</v>
      </c>
      <c r="AE47" s="1123"/>
      <c r="AF47" s="572"/>
      <c r="AG47" s="572"/>
    </row>
    <row r="48" spans="1:33" ht="16.899999999999999" customHeight="1" x14ac:dyDescent="0.25">
      <c r="A48" s="927">
        <v>62.1</v>
      </c>
      <c r="B48" s="579" t="s">
        <v>197</v>
      </c>
      <c r="C48" s="580" t="s">
        <v>207</v>
      </c>
      <c r="D48" s="581" t="s">
        <v>208</v>
      </c>
      <c r="E48" s="582" t="s">
        <v>38</v>
      </c>
      <c r="F48" s="583" t="s">
        <v>39</v>
      </c>
      <c r="G48" s="584">
        <v>-0.4</v>
      </c>
      <c r="H48" s="584" t="s">
        <v>58</v>
      </c>
      <c r="I48" s="585">
        <v>2.00137896706413E-2</v>
      </c>
      <c r="J48" s="586" t="s">
        <v>47</v>
      </c>
      <c r="K48" s="585">
        <v>0.29117218716999999</v>
      </c>
      <c r="L48" s="586" t="s">
        <v>42</v>
      </c>
      <c r="M48" s="587"/>
      <c r="N48" s="587"/>
      <c r="O48" s="587"/>
      <c r="P48" s="588"/>
      <c r="Q48" s="589" t="s">
        <v>39</v>
      </c>
      <c r="R48" s="951" t="s">
        <v>43</v>
      </c>
      <c r="S48" s="956" t="str">
        <f>VLOOKUP(A48,Strat_Plan_Revit!$A$10:$S$321,14,FALSE)</f>
        <v>sehr stark</v>
      </c>
      <c r="T48" s="590" t="str">
        <f>VLOOKUP(A48,Strat_Plan_Revit!$A$10:$S$321,15,FALSE)</f>
        <v>2 (2020)</v>
      </c>
      <c r="U48" s="961"/>
      <c r="V48" s="597" t="s">
        <v>45</v>
      </c>
      <c r="W48" s="592" t="s">
        <v>43</v>
      </c>
      <c r="X48" s="598"/>
      <c r="Y48" s="599"/>
      <c r="Z48" s="602"/>
      <c r="AA48" s="601" t="s">
        <v>203</v>
      </c>
      <c r="AB48" s="1245" t="s">
        <v>45</v>
      </c>
      <c r="AC48" s="1240" t="s">
        <v>43</v>
      </c>
      <c r="AD48" s="1243" t="str">
        <f t="shared" si="0"/>
        <v>a</v>
      </c>
      <c r="AE48" s="1123"/>
      <c r="AF48" s="572"/>
      <c r="AG48" s="572"/>
    </row>
    <row r="49" spans="1:33" ht="16.899999999999999" customHeight="1" x14ac:dyDescent="0.25">
      <c r="A49" s="927">
        <v>62.2</v>
      </c>
      <c r="B49" s="579" t="s">
        <v>197</v>
      </c>
      <c r="C49" s="580" t="s">
        <v>207</v>
      </c>
      <c r="D49" s="581" t="s">
        <v>208</v>
      </c>
      <c r="E49" s="582" t="s">
        <v>38</v>
      </c>
      <c r="F49" s="583" t="s">
        <v>39</v>
      </c>
      <c r="G49" s="584">
        <v>-0.4</v>
      </c>
      <c r="H49" s="584" t="s">
        <v>58</v>
      </c>
      <c r="I49" s="585">
        <v>2.00137896706413E-2</v>
      </c>
      <c r="J49" s="586" t="s">
        <v>47</v>
      </c>
      <c r="K49" s="585">
        <v>0.29117218716999999</v>
      </c>
      <c r="L49" s="586" t="s">
        <v>42</v>
      </c>
      <c r="M49" s="587"/>
      <c r="N49" s="587"/>
      <c r="O49" s="587"/>
      <c r="P49" s="588"/>
      <c r="Q49" s="589" t="s">
        <v>39</v>
      </c>
      <c r="R49" s="951" t="s">
        <v>43</v>
      </c>
      <c r="S49" s="956" t="str">
        <f>VLOOKUP(A49,Strat_Plan_Revit!$A$10:$S$321,14,FALSE)</f>
        <v>sehr stark</v>
      </c>
      <c r="T49" s="590" t="str">
        <f>VLOOKUP(A49,Strat_Plan_Revit!$A$10:$S$321,15,FALSE)</f>
        <v>2 (2020)</v>
      </c>
      <c r="U49" s="961" t="s">
        <v>45</v>
      </c>
      <c r="V49" s="597" t="s">
        <v>45</v>
      </c>
      <c r="W49" s="592" t="s">
        <v>59</v>
      </c>
      <c r="X49" s="598"/>
      <c r="Y49" s="599"/>
      <c r="Z49" s="602"/>
      <c r="AA49" s="601" t="s">
        <v>203</v>
      </c>
      <c r="AB49" s="1245" t="s">
        <v>45</v>
      </c>
      <c r="AC49" s="1240" t="s">
        <v>59</v>
      </c>
      <c r="AD49" s="1243" t="str">
        <f t="shared" si="0"/>
        <v>a</v>
      </c>
      <c r="AE49" s="1123"/>
      <c r="AF49" s="572"/>
      <c r="AG49" s="572"/>
    </row>
    <row r="50" spans="1:33" ht="40.9" customHeight="1" x14ac:dyDescent="0.25">
      <c r="A50" s="926">
        <v>64</v>
      </c>
      <c r="B50" s="579" t="s">
        <v>197</v>
      </c>
      <c r="C50" s="580" t="s">
        <v>210</v>
      </c>
      <c r="D50" s="581" t="s">
        <v>211</v>
      </c>
      <c r="E50" s="614" t="s">
        <v>51</v>
      </c>
      <c r="F50" s="615"/>
      <c r="G50" s="584" t="s">
        <v>52</v>
      </c>
      <c r="H50" s="584" t="s">
        <v>40</v>
      </c>
      <c r="I50" s="585">
        <v>0.269722201881334</v>
      </c>
      <c r="J50" s="586" t="s">
        <v>41</v>
      </c>
      <c r="K50" s="585">
        <v>0.50057435262000005</v>
      </c>
      <c r="L50" s="586" t="s">
        <v>61</v>
      </c>
      <c r="M50" s="587"/>
      <c r="N50" s="587"/>
      <c r="O50" s="587"/>
      <c r="P50" s="588"/>
      <c r="Q50" s="589" t="s">
        <v>104</v>
      </c>
      <c r="R50" s="951" t="s">
        <v>72</v>
      </c>
      <c r="S50" s="956" t="str">
        <f>VLOOKUP(A50,Strat_Plan_Revit!$A$10:$S$321,14,FALSE)</f>
        <v>stark</v>
      </c>
      <c r="T50" s="590" t="str">
        <f>VLOOKUP(A50,Strat_Plan_Revit!$A$10:$S$321,15,FALSE)</f>
        <v>1 (2020)</v>
      </c>
      <c r="U50" s="961" t="s">
        <v>67</v>
      </c>
      <c r="V50" s="597" t="s">
        <v>67</v>
      </c>
      <c r="W50" s="592" t="s">
        <v>59</v>
      </c>
      <c r="X50" s="598"/>
      <c r="Y50" s="599"/>
      <c r="Z50" s="602"/>
      <c r="AA50" s="601" t="s">
        <v>203</v>
      </c>
      <c r="AB50" s="1245" t="s">
        <v>67</v>
      </c>
      <c r="AC50" s="1240" t="s">
        <v>59</v>
      </c>
      <c r="AD50" s="1243" t="str">
        <f t="shared" si="0"/>
        <v>a</v>
      </c>
      <c r="AE50" s="1123"/>
      <c r="AF50" s="572"/>
      <c r="AG50" s="572"/>
    </row>
    <row r="51" spans="1:33" ht="87.6" customHeight="1" x14ac:dyDescent="0.25">
      <c r="A51" s="926">
        <v>65</v>
      </c>
      <c r="B51" s="579" t="s">
        <v>197</v>
      </c>
      <c r="C51" s="580" t="s">
        <v>213</v>
      </c>
      <c r="D51" s="581" t="s">
        <v>208</v>
      </c>
      <c r="E51" s="582" t="s">
        <v>38</v>
      </c>
      <c r="F51" s="606" t="s">
        <v>40</v>
      </c>
      <c r="G51" s="607">
        <v>-2</v>
      </c>
      <c r="H51" s="607" t="s">
        <v>76</v>
      </c>
      <c r="I51" s="585">
        <v>0.45556250281427402</v>
      </c>
      <c r="J51" s="586" t="s">
        <v>41</v>
      </c>
      <c r="K51" s="585">
        <v>3.0341068857000001E-2</v>
      </c>
      <c r="L51" s="586" t="s">
        <v>42</v>
      </c>
      <c r="M51" s="587"/>
      <c r="N51" s="587"/>
      <c r="O51" s="587"/>
      <c r="P51" s="588"/>
      <c r="Q51" s="628" t="s">
        <v>1937</v>
      </c>
      <c r="R51" s="951" t="s">
        <v>43</v>
      </c>
      <c r="S51" s="956" t="str">
        <f>VLOOKUP(A51,Strat_Plan_Revit!$A$10:$S$321,14,FALSE)</f>
        <v>sehr stark</v>
      </c>
      <c r="T51" s="590" t="str">
        <f>VLOOKUP(A51,Strat_Plan_Revit!$A$10:$S$321,15,FALSE)</f>
        <v>1 (2020)</v>
      </c>
      <c r="U51" s="961" t="s">
        <v>45</v>
      </c>
      <c r="V51" s="597" t="s">
        <v>45</v>
      </c>
      <c r="W51" s="592" t="s">
        <v>59</v>
      </c>
      <c r="X51" s="598"/>
      <c r="Y51" s="599"/>
      <c r="Z51" s="602"/>
      <c r="AA51" s="601" t="s">
        <v>203</v>
      </c>
      <c r="AB51" s="1245" t="s">
        <v>45</v>
      </c>
      <c r="AC51" s="1240" t="s">
        <v>59</v>
      </c>
      <c r="AD51" s="1243" t="str">
        <f t="shared" si="0"/>
        <v>a</v>
      </c>
      <c r="AE51" s="1123"/>
      <c r="AF51" s="572"/>
      <c r="AG51" s="572"/>
    </row>
    <row r="52" spans="1:33" ht="86.45" customHeight="1" x14ac:dyDescent="0.25">
      <c r="A52" s="926">
        <v>66</v>
      </c>
      <c r="B52" s="579" t="s">
        <v>197</v>
      </c>
      <c r="C52" s="580" t="s">
        <v>215</v>
      </c>
      <c r="D52" s="581" t="s">
        <v>208</v>
      </c>
      <c r="E52" s="582" t="s">
        <v>38</v>
      </c>
      <c r="F52" s="606" t="s">
        <v>40</v>
      </c>
      <c r="G52" s="607" t="s">
        <v>52</v>
      </c>
      <c r="H52" s="607" t="s">
        <v>40</v>
      </c>
      <c r="I52" s="608">
        <v>0.45299590766787201</v>
      </c>
      <c r="J52" s="609" t="s">
        <v>41</v>
      </c>
      <c r="K52" s="585">
        <v>0.12505689522999999</v>
      </c>
      <c r="L52" s="586" t="s">
        <v>42</v>
      </c>
      <c r="M52" s="587"/>
      <c r="N52" s="587"/>
      <c r="O52" s="587"/>
      <c r="P52" s="588"/>
      <c r="Q52" s="628" t="s">
        <v>1937</v>
      </c>
      <c r="R52" s="951" t="s">
        <v>43</v>
      </c>
      <c r="S52" s="956" t="str">
        <f>VLOOKUP(A52,Strat_Plan_Revit!$A$10:$S$321,14,FALSE)</f>
        <v>sehr stark</v>
      </c>
      <c r="T52" s="590" t="str">
        <f>VLOOKUP(A52,Strat_Plan_Revit!$A$10:$S$321,15,FALSE)</f>
        <v>1 (2020)</v>
      </c>
      <c r="U52" s="961" t="s">
        <v>45</v>
      </c>
      <c r="V52" s="597" t="s">
        <v>45</v>
      </c>
      <c r="W52" s="592" t="s">
        <v>59</v>
      </c>
      <c r="X52" s="598"/>
      <c r="Y52" s="599"/>
      <c r="Z52" s="602"/>
      <c r="AA52" s="601" t="s">
        <v>203</v>
      </c>
      <c r="AB52" s="1245" t="s">
        <v>45</v>
      </c>
      <c r="AC52" s="1240" t="s">
        <v>59</v>
      </c>
      <c r="AD52" s="1243" t="str">
        <f t="shared" si="0"/>
        <v>a</v>
      </c>
      <c r="AE52" s="1123"/>
      <c r="AF52" s="572"/>
      <c r="AG52" s="572"/>
    </row>
    <row r="53" spans="1:33" ht="37.5" customHeight="1" x14ac:dyDescent="0.25">
      <c r="A53" s="926">
        <v>68</v>
      </c>
      <c r="B53" s="40" t="s">
        <v>573</v>
      </c>
      <c r="C53" s="41" t="s">
        <v>579</v>
      </c>
      <c r="D53" s="42" t="s">
        <v>208</v>
      </c>
      <c r="E53" s="43" t="s">
        <v>38</v>
      </c>
      <c r="F53" s="60" t="s">
        <v>40</v>
      </c>
      <c r="G53" s="61" t="s">
        <v>52</v>
      </c>
      <c r="H53" s="61" t="s">
        <v>40</v>
      </c>
      <c r="I53" s="62">
        <v>0.207027468305717</v>
      </c>
      <c r="J53" s="65" t="s">
        <v>47</v>
      </c>
      <c r="K53" s="62">
        <v>0.41019369326999999</v>
      </c>
      <c r="L53" s="63" t="s">
        <v>61</v>
      </c>
      <c r="M53" s="48"/>
      <c r="N53" s="48"/>
      <c r="O53" s="48"/>
      <c r="P53" s="50"/>
      <c r="Q53" s="51" t="s">
        <v>99</v>
      </c>
      <c r="R53" s="950" t="s">
        <v>72</v>
      </c>
      <c r="S53" s="955" t="str">
        <f>VLOOKUP(A53,Strat_Plan_Revit!$A$10:$S$321,14,FALSE)</f>
        <v>faible</v>
      </c>
      <c r="T53" s="33" t="str">
        <f>VLOOKUP(A53,Strat_Plan_Revit!$A$10:$S$321,15,FALSE)</f>
        <v>aucun</v>
      </c>
      <c r="U53" s="960" t="s">
        <v>73</v>
      </c>
      <c r="V53" s="34" t="s">
        <v>73</v>
      </c>
      <c r="W53" s="52" t="s">
        <v>110</v>
      </c>
      <c r="X53" s="53"/>
      <c r="Y53" s="54"/>
      <c r="Z53" s="319" t="s">
        <v>577</v>
      </c>
      <c r="AA53" s="323" t="s">
        <v>581</v>
      </c>
      <c r="AB53" s="96" t="s">
        <v>73</v>
      </c>
      <c r="AC53" s="967" t="s">
        <v>110</v>
      </c>
      <c r="AD53" s="1243" t="str">
        <f t="shared" si="0"/>
        <v>a</v>
      </c>
      <c r="AE53" s="1123"/>
      <c r="AF53" s="572"/>
      <c r="AG53" s="572"/>
    </row>
    <row r="54" spans="1:33" ht="37.5" customHeight="1" x14ac:dyDescent="0.25">
      <c r="A54" s="928">
        <v>69</v>
      </c>
      <c r="B54" s="40" t="s">
        <v>92</v>
      </c>
      <c r="C54" s="41" t="s">
        <v>117</v>
      </c>
      <c r="D54" s="42" t="s">
        <v>50</v>
      </c>
      <c r="E54" s="43" t="s">
        <v>38</v>
      </c>
      <c r="F54" s="44" t="s">
        <v>73</v>
      </c>
      <c r="G54" s="45">
        <v>-0.34211063121271401</v>
      </c>
      <c r="H54" s="45" t="s">
        <v>58</v>
      </c>
      <c r="I54" s="46">
        <v>1.53095073315429</v>
      </c>
      <c r="J54" s="47" t="s">
        <v>41</v>
      </c>
      <c r="K54" s="46">
        <v>0.10298976047</v>
      </c>
      <c r="L54" s="47" t="s">
        <v>42</v>
      </c>
      <c r="M54" s="48"/>
      <c r="N54" s="48"/>
      <c r="O54" s="48"/>
      <c r="P54" s="50"/>
      <c r="Q54" s="51" t="s">
        <v>73</v>
      </c>
      <c r="R54" s="950" t="s">
        <v>43</v>
      </c>
      <c r="S54" s="955" t="str">
        <f>VLOOKUP(A54,Strat_Plan_Revit!$A$10:$S$321,14,FALSE)</f>
        <v>gering</v>
      </c>
      <c r="T54" s="33" t="str">
        <f>VLOOKUP(A54,Strat_Plan_Revit!$A$10:$S$321,15,FALSE)</f>
        <v>kein HB</v>
      </c>
      <c r="U54" s="960" t="s">
        <v>73</v>
      </c>
      <c r="V54" s="34" t="s">
        <v>73</v>
      </c>
      <c r="W54" s="52" t="s">
        <v>59</v>
      </c>
      <c r="X54" s="53"/>
      <c r="Y54" s="54"/>
      <c r="Z54" s="55"/>
      <c r="AA54" s="56"/>
      <c r="AB54" s="96" t="s">
        <v>73</v>
      </c>
      <c r="AC54" s="1239" t="s">
        <v>59</v>
      </c>
      <c r="AD54" s="1243" t="str">
        <f t="shared" si="0"/>
        <v>a</v>
      </c>
      <c r="AE54" s="1123"/>
      <c r="AF54" s="572"/>
      <c r="AG54" s="572"/>
    </row>
    <row r="55" spans="1:33" ht="37.5" customHeight="1" x14ac:dyDescent="0.25">
      <c r="A55" s="926">
        <v>70</v>
      </c>
      <c r="B55" s="40" t="s">
        <v>92</v>
      </c>
      <c r="C55" s="41" t="s">
        <v>120</v>
      </c>
      <c r="D55" s="42" t="s">
        <v>121</v>
      </c>
      <c r="E55" s="43" t="s">
        <v>38</v>
      </c>
      <c r="F55" s="44" t="s">
        <v>67</v>
      </c>
      <c r="G55" s="45" t="s">
        <v>52</v>
      </c>
      <c r="H55" s="45" t="s">
        <v>40</v>
      </c>
      <c r="I55" s="46">
        <v>0.21282576491111299</v>
      </c>
      <c r="J55" s="47" t="s">
        <v>47</v>
      </c>
      <c r="K55" s="46">
        <v>6.5962408447999998E-2</v>
      </c>
      <c r="L55" s="47" t="s">
        <v>42</v>
      </c>
      <c r="M55" s="48"/>
      <c r="N55" s="48"/>
      <c r="O55" s="48"/>
      <c r="P55" s="50"/>
      <c r="Q55" s="51" t="s">
        <v>67</v>
      </c>
      <c r="R55" s="950" t="s">
        <v>43</v>
      </c>
      <c r="S55" s="955" t="str">
        <f>VLOOKUP(A55,Strat_Plan_Revit!$A$10:$S$321,14,FALSE)</f>
        <v>wesentlich</v>
      </c>
      <c r="T55" s="33" t="str">
        <f>VLOOKUP(A55,Strat_Plan_Revit!$A$10:$S$321,15,FALSE)</f>
        <v>Ja (gering)</v>
      </c>
      <c r="U55" s="960" t="s">
        <v>67</v>
      </c>
      <c r="V55" s="34" t="s">
        <v>67</v>
      </c>
      <c r="W55" s="52" t="s">
        <v>59</v>
      </c>
      <c r="X55" s="53"/>
      <c r="Y55" s="54"/>
      <c r="Z55" s="55"/>
      <c r="AA55" s="56"/>
      <c r="AB55" s="96" t="s">
        <v>67</v>
      </c>
      <c r="AC55" s="1239" t="s">
        <v>59</v>
      </c>
      <c r="AD55" s="1243" t="str">
        <f t="shared" si="0"/>
        <v>a</v>
      </c>
      <c r="AE55" s="1123"/>
      <c r="AF55" s="572"/>
      <c r="AG55" s="572"/>
    </row>
    <row r="56" spans="1:33" ht="37.5" customHeight="1" x14ac:dyDescent="0.25">
      <c r="A56" s="926">
        <v>71</v>
      </c>
      <c r="B56" s="40" t="s">
        <v>92</v>
      </c>
      <c r="C56" s="41" t="s">
        <v>122</v>
      </c>
      <c r="D56" s="42" t="s">
        <v>123</v>
      </c>
      <c r="E56" s="43" t="s">
        <v>38</v>
      </c>
      <c r="F56" s="44" t="s">
        <v>67</v>
      </c>
      <c r="G56" s="45" t="s">
        <v>52</v>
      </c>
      <c r="H56" s="45" t="s">
        <v>40</v>
      </c>
      <c r="I56" s="46">
        <v>0.32866883295163501</v>
      </c>
      <c r="J56" s="47" t="s">
        <v>41</v>
      </c>
      <c r="K56" s="46">
        <v>0.29274214354</v>
      </c>
      <c r="L56" s="47" t="s">
        <v>42</v>
      </c>
      <c r="M56" s="48"/>
      <c r="N56" s="48"/>
      <c r="O56" s="48"/>
      <c r="P56" s="50"/>
      <c r="Q56" s="51" t="s">
        <v>67</v>
      </c>
      <c r="R56" s="950" t="s">
        <v>43</v>
      </c>
      <c r="S56" s="955" t="str">
        <f>VLOOKUP(A56,Strat_Plan_Revit!$A$10:$S$321,14,FALSE)</f>
        <v>wesentlich</v>
      </c>
      <c r="T56" s="33" t="str">
        <f>VLOOKUP(A56,Strat_Plan_Revit!$A$10:$S$321,15,FALSE)</f>
        <v>Ja (gering)</v>
      </c>
      <c r="U56" s="960" t="s">
        <v>67</v>
      </c>
      <c r="V56" s="34" t="s">
        <v>67</v>
      </c>
      <c r="W56" s="52" t="s">
        <v>59</v>
      </c>
      <c r="X56" s="53"/>
      <c r="Y56" s="54"/>
      <c r="Z56" s="55"/>
      <c r="AA56" s="56"/>
      <c r="AB56" s="96" t="s">
        <v>67</v>
      </c>
      <c r="AC56" s="1239" t="s">
        <v>59</v>
      </c>
      <c r="AD56" s="1243" t="str">
        <f t="shared" si="0"/>
        <v>a</v>
      </c>
      <c r="AE56" s="1123"/>
      <c r="AF56" s="572"/>
      <c r="AG56" s="572"/>
    </row>
    <row r="57" spans="1:33" ht="37.5" customHeight="1" x14ac:dyDescent="0.25">
      <c r="A57" s="926">
        <v>72</v>
      </c>
      <c r="B57" s="40" t="s">
        <v>92</v>
      </c>
      <c r="C57" s="41" t="s">
        <v>124</v>
      </c>
      <c r="D57" s="42" t="s">
        <v>125</v>
      </c>
      <c r="E57" s="43" t="s">
        <v>38</v>
      </c>
      <c r="F57" s="44" t="s">
        <v>39</v>
      </c>
      <c r="G57" s="45" t="s">
        <v>52</v>
      </c>
      <c r="H57" s="45" t="s">
        <v>40</v>
      </c>
      <c r="I57" s="46">
        <v>0.46878837632166198</v>
      </c>
      <c r="J57" s="47" t="s">
        <v>41</v>
      </c>
      <c r="K57" s="46">
        <v>0.33813131726000001</v>
      </c>
      <c r="L57" s="47" t="s">
        <v>42</v>
      </c>
      <c r="M57" s="48"/>
      <c r="N57" s="48"/>
      <c r="O57" s="48"/>
      <c r="P57" s="50"/>
      <c r="Q57" s="51" t="s">
        <v>39</v>
      </c>
      <c r="R57" s="950" t="s">
        <v>43</v>
      </c>
      <c r="S57" s="955" t="str">
        <f>VLOOKUP(A57,Strat_Plan_Revit!$A$10:$S$321,14,FALSE)</f>
        <v>gering</v>
      </c>
      <c r="T57" s="33" t="str">
        <f>VLOOKUP(A57,Strat_Plan_Revit!$A$10:$S$321,15,FALSE)</f>
        <v>kein HB</v>
      </c>
      <c r="U57" s="960" t="s">
        <v>73</v>
      </c>
      <c r="V57" s="70" t="s">
        <v>73</v>
      </c>
      <c r="W57" s="52" t="s">
        <v>110</v>
      </c>
      <c r="X57" s="71"/>
      <c r="Y57" s="72" t="s">
        <v>126</v>
      </c>
      <c r="Z57" s="55"/>
      <c r="AA57" s="324" t="s">
        <v>127</v>
      </c>
      <c r="AB57" s="96" t="s">
        <v>73</v>
      </c>
      <c r="AC57" s="1239" t="s">
        <v>110</v>
      </c>
      <c r="AD57" s="1243" t="str">
        <f t="shared" si="0"/>
        <v>a</v>
      </c>
      <c r="AE57" s="1123"/>
      <c r="AF57" s="572"/>
      <c r="AG57" s="572"/>
    </row>
    <row r="58" spans="1:33" ht="37.5" customHeight="1" x14ac:dyDescent="0.25">
      <c r="A58" s="926">
        <v>74</v>
      </c>
      <c r="B58" s="40" t="s">
        <v>92</v>
      </c>
      <c r="C58" s="41" t="s">
        <v>128</v>
      </c>
      <c r="D58" s="42" t="s">
        <v>125</v>
      </c>
      <c r="E58" s="43" t="s">
        <v>38</v>
      </c>
      <c r="F58" s="44" t="s">
        <v>88</v>
      </c>
      <c r="G58" s="45" t="s">
        <v>52</v>
      </c>
      <c r="H58" s="45" t="s">
        <v>40</v>
      </c>
      <c r="I58" s="46">
        <v>0.10384826159254799</v>
      </c>
      <c r="J58" s="47" t="s">
        <v>47</v>
      </c>
      <c r="K58" s="46">
        <v>0.27647094793999999</v>
      </c>
      <c r="L58" s="47" t="s">
        <v>42</v>
      </c>
      <c r="M58" s="48"/>
      <c r="N58" s="48"/>
      <c r="O58" s="48"/>
      <c r="P58" s="50"/>
      <c r="Q58" s="51" t="s">
        <v>88</v>
      </c>
      <c r="R58" s="950" t="s">
        <v>43</v>
      </c>
      <c r="S58" s="955" t="str">
        <f>VLOOKUP(A58,Strat_Plan_Revit!$A$10:$S$321,14,FALSE)</f>
        <v>-</v>
      </c>
      <c r="T58" s="33" t="str">
        <f>VLOOKUP(A58,Strat_Plan_Revit!$A$10:$S$321,15,FALSE)</f>
        <v>-</v>
      </c>
      <c r="U58" s="960"/>
      <c r="V58" s="34" t="s">
        <v>88</v>
      </c>
      <c r="W58" s="52" t="s">
        <v>43</v>
      </c>
      <c r="X58" s="53"/>
      <c r="Y58" s="54"/>
      <c r="Z58" s="55"/>
      <c r="AA58" s="56"/>
      <c r="AB58" s="96" t="s">
        <v>88</v>
      </c>
      <c r="AC58" s="1239" t="s">
        <v>43</v>
      </c>
      <c r="AD58" s="1243" t="str">
        <f t="shared" si="0"/>
        <v>a</v>
      </c>
      <c r="AE58" s="1123"/>
      <c r="AF58" s="572"/>
      <c r="AG58" s="572"/>
    </row>
    <row r="59" spans="1:33" ht="37.5" customHeight="1" x14ac:dyDescent="0.25">
      <c r="A59" s="926">
        <v>75</v>
      </c>
      <c r="B59" s="40" t="s">
        <v>92</v>
      </c>
      <c r="C59" s="41" t="s">
        <v>129</v>
      </c>
      <c r="D59" s="42" t="s">
        <v>130</v>
      </c>
      <c r="E59" s="43" t="s">
        <v>38</v>
      </c>
      <c r="F59" s="44" t="s">
        <v>73</v>
      </c>
      <c r="G59" s="45" t="s">
        <v>52</v>
      </c>
      <c r="H59" s="45" t="s">
        <v>40</v>
      </c>
      <c r="I59" s="46">
        <v>0.92325177765816102</v>
      </c>
      <c r="J59" s="47" t="s">
        <v>41</v>
      </c>
      <c r="K59" s="46">
        <v>0.17909394648999999</v>
      </c>
      <c r="L59" s="47" t="s">
        <v>42</v>
      </c>
      <c r="M59" s="48"/>
      <c r="N59" s="48"/>
      <c r="O59" s="48"/>
      <c r="P59" s="50"/>
      <c r="Q59" s="51" t="s">
        <v>73</v>
      </c>
      <c r="R59" s="950" t="s">
        <v>43</v>
      </c>
      <c r="S59" s="955" t="str">
        <f>VLOOKUP(A59,Strat_Plan_Revit!$A$10:$S$321,14,FALSE)</f>
        <v>gering</v>
      </c>
      <c r="T59" s="33" t="str">
        <f>VLOOKUP(A59,Strat_Plan_Revit!$A$10:$S$321,15,FALSE)</f>
        <v>kein HB</v>
      </c>
      <c r="U59" s="960" t="s">
        <v>73</v>
      </c>
      <c r="V59" s="73" t="s">
        <v>73</v>
      </c>
      <c r="W59" s="52" t="s">
        <v>59</v>
      </c>
      <c r="X59" s="53"/>
      <c r="Y59" s="54"/>
      <c r="Z59" s="55"/>
      <c r="AA59" s="56"/>
      <c r="AB59" s="96" t="s">
        <v>73</v>
      </c>
      <c r="AC59" s="1239" t="s">
        <v>59</v>
      </c>
      <c r="AD59" s="1243" t="str">
        <f t="shared" si="0"/>
        <v>a</v>
      </c>
      <c r="AE59" s="1123"/>
      <c r="AF59" s="572"/>
      <c r="AG59" s="572"/>
    </row>
    <row r="60" spans="1:33" ht="37.5" customHeight="1" x14ac:dyDescent="0.25">
      <c r="A60" s="926">
        <v>76</v>
      </c>
      <c r="B60" s="40" t="s">
        <v>92</v>
      </c>
      <c r="C60" s="41" t="s">
        <v>131</v>
      </c>
      <c r="D60" s="42" t="s">
        <v>130</v>
      </c>
      <c r="E60" s="43" t="s">
        <v>38</v>
      </c>
      <c r="F60" s="44" t="s">
        <v>73</v>
      </c>
      <c r="G60" s="45">
        <v>5</v>
      </c>
      <c r="H60" s="45" t="s">
        <v>132</v>
      </c>
      <c r="I60" s="46">
        <v>0.31456433070312401</v>
      </c>
      <c r="J60" s="47" t="s">
        <v>41</v>
      </c>
      <c r="K60" s="46">
        <v>9.2981215224000005E-2</v>
      </c>
      <c r="L60" s="47" t="s">
        <v>42</v>
      </c>
      <c r="M60" s="48"/>
      <c r="N60" s="48"/>
      <c r="O60" s="48"/>
      <c r="P60" s="50"/>
      <c r="Q60" s="51" t="s">
        <v>73</v>
      </c>
      <c r="R60" s="950" t="s">
        <v>43</v>
      </c>
      <c r="S60" s="955" t="str">
        <f>VLOOKUP(A60,Strat_Plan_Revit!$A$10:$S$321,14,FALSE)</f>
        <v>gering</v>
      </c>
      <c r="T60" s="33" t="str">
        <f>VLOOKUP(A60,Strat_Plan_Revit!$A$10:$S$321,15,FALSE)</f>
        <v>kein HB</v>
      </c>
      <c r="U60" s="960" t="s">
        <v>73</v>
      </c>
      <c r="V60" s="73" t="s">
        <v>73</v>
      </c>
      <c r="W60" s="52" t="s">
        <v>59</v>
      </c>
      <c r="X60" s="53"/>
      <c r="Y60" s="54"/>
      <c r="Z60" s="55"/>
      <c r="AA60" s="56"/>
      <c r="AB60" s="96" t="s">
        <v>73</v>
      </c>
      <c r="AC60" s="1239" t="s">
        <v>59</v>
      </c>
      <c r="AD60" s="1243" t="str">
        <f t="shared" si="0"/>
        <v>a</v>
      </c>
      <c r="AE60" s="1123"/>
      <c r="AF60" s="572"/>
      <c r="AG60" s="572"/>
    </row>
    <row r="61" spans="1:33" ht="37.5" customHeight="1" x14ac:dyDescent="0.25">
      <c r="A61" s="926">
        <v>77</v>
      </c>
      <c r="B61" s="40" t="s">
        <v>92</v>
      </c>
      <c r="C61" s="41" t="s">
        <v>133</v>
      </c>
      <c r="D61" s="42" t="s">
        <v>130</v>
      </c>
      <c r="E61" s="43" t="s">
        <v>38</v>
      </c>
      <c r="F61" s="44" t="s">
        <v>73</v>
      </c>
      <c r="G61" s="45" t="s">
        <v>52</v>
      </c>
      <c r="H61" s="45" t="s">
        <v>40</v>
      </c>
      <c r="I61" s="46">
        <v>0.17592207217650099</v>
      </c>
      <c r="J61" s="47" t="s">
        <v>47</v>
      </c>
      <c r="K61" s="46">
        <v>0.31111467747999999</v>
      </c>
      <c r="L61" s="47" t="s">
        <v>42</v>
      </c>
      <c r="M61" s="48"/>
      <c r="N61" s="48"/>
      <c r="O61" s="48"/>
      <c r="P61" s="50"/>
      <c r="Q61" s="51" t="s">
        <v>73</v>
      </c>
      <c r="R61" s="950" t="s">
        <v>43</v>
      </c>
      <c r="S61" s="955" t="str">
        <f>VLOOKUP(A61,Strat_Plan_Revit!$A$10:$S$321,14,FALSE)</f>
        <v>gering</v>
      </c>
      <c r="T61" s="33" t="str">
        <f>VLOOKUP(A61,Strat_Plan_Revit!$A$10:$S$321,15,FALSE)</f>
        <v>kein HB</v>
      </c>
      <c r="U61" s="960" t="s">
        <v>73</v>
      </c>
      <c r="V61" s="73" t="s">
        <v>73</v>
      </c>
      <c r="W61" s="52" t="s">
        <v>59</v>
      </c>
      <c r="X61" s="53"/>
      <c r="Y61" s="54"/>
      <c r="Z61" s="55"/>
      <c r="AA61" s="56"/>
      <c r="AB61" s="96" t="s">
        <v>73</v>
      </c>
      <c r="AC61" s="1239" t="s">
        <v>59</v>
      </c>
      <c r="AD61" s="1243" t="str">
        <f t="shared" si="0"/>
        <v>a</v>
      </c>
      <c r="AE61" s="1123"/>
      <c r="AF61" s="572"/>
      <c r="AG61" s="572"/>
    </row>
    <row r="62" spans="1:33" ht="37.5" customHeight="1" x14ac:dyDescent="0.25">
      <c r="A62" s="926">
        <v>78</v>
      </c>
      <c r="B62" s="40" t="s">
        <v>92</v>
      </c>
      <c r="C62" s="41" t="s">
        <v>134</v>
      </c>
      <c r="D62" s="42" t="s">
        <v>135</v>
      </c>
      <c r="E62" s="43" t="s">
        <v>38</v>
      </c>
      <c r="F62" s="44" t="s">
        <v>88</v>
      </c>
      <c r="G62" s="45" t="s">
        <v>52</v>
      </c>
      <c r="H62" s="45" t="s">
        <v>40</v>
      </c>
      <c r="I62" s="46">
        <v>6.2442320379716899E-2</v>
      </c>
      <c r="J62" s="47" t="s">
        <v>47</v>
      </c>
      <c r="K62" s="46">
        <v>0.35051690992000001</v>
      </c>
      <c r="L62" s="47" t="s">
        <v>61</v>
      </c>
      <c r="M62" s="48"/>
      <c r="N62" s="48"/>
      <c r="O62" s="48"/>
      <c r="P62" s="50"/>
      <c r="Q62" s="51" t="s">
        <v>88</v>
      </c>
      <c r="R62" s="950" t="s">
        <v>43</v>
      </c>
      <c r="S62" s="955" t="str">
        <f>VLOOKUP(A62,Strat_Plan_Revit!$A$10:$S$321,14,FALSE)</f>
        <v>gering</v>
      </c>
      <c r="T62" s="33" t="str">
        <f>VLOOKUP(A62,Strat_Plan_Revit!$A$10:$S$321,15,FALSE)</f>
        <v>kein HB</v>
      </c>
      <c r="U62" s="960" t="s">
        <v>73</v>
      </c>
      <c r="V62" s="73" t="s">
        <v>73</v>
      </c>
      <c r="W62" s="52" t="s">
        <v>110</v>
      </c>
      <c r="X62" s="53"/>
      <c r="Y62" s="54"/>
      <c r="Z62" s="55"/>
      <c r="AA62" s="56"/>
      <c r="AB62" s="96" t="s">
        <v>73</v>
      </c>
      <c r="AC62" s="1239" t="s">
        <v>110</v>
      </c>
      <c r="AD62" s="1243" t="str">
        <f t="shared" si="0"/>
        <v>a</v>
      </c>
      <c r="AE62" s="1123"/>
      <c r="AF62" s="572"/>
      <c r="AG62" s="572"/>
    </row>
    <row r="63" spans="1:33" ht="37.5" customHeight="1" x14ac:dyDescent="0.25">
      <c r="A63" s="927">
        <v>79.099999999999994</v>
      </c>
      <c r="B63" s="40" t="s">
        <v>92</v>
      </c>
      <c r="C63" s="41" t="s">
        <v>136</v>
      </c>
      <c r="D63" s="42" t="s">
        <v>137</v>
      </c>
      <c r="E63" s="43" t="s">
        <v>38</v>
      </c>
      <c r="F63" s="60" t="s">
        <v>40</v>
      </c>
      <c r="G63" s="61" t="s">
        <v>52</v>
      </c>
      <c r="H63" s="61" t="s">
        <v>40</v>
      </c>
      <c r="I63" s="62">
        <v>0.38748341771115602</v>
      </c>
      <c r="J63" s="63" t="s">
        <v>41</v>
      </c>
      <c r="K63" s="46">
        <v>0.42979403532999999</v>
      </c>
      <c r="L63" s="47" t="s">
        <v>61</v>
      </c>
      <c r="M63" s="48"/>
      <c r="N63" s="48"/>
      <c r="O63" s="48"/>
      <c r="P63" s="50"/>
      <c r="Q63" s="51" t="s">
        <v>71</v>
      </c>
      <c r="R63" s="950" t="s">
        <v>72</v>
      </c>
      <c r="S63" s="955" t="str">
        <f>VLOOKUP(A63,Strat_Plan_Revit!$A$10:$S$321,14,FALSE)</f>
        <v>-</v>
      </c>
      <c r="T63" s="33" t="str">
        <f>VLOOKUP(A63,Strat_Plan_Revit!$A$10:$S$321,15,FALSE)</f>
        <v>-</v>
      </c>
      <c r="U63" s="960"/>
      <c r="V63" s="34" t="s">
        <v>73</v>
      </c>
      <c r="W63" s="52" t="s">
        <v>72</v>
      </c>
      <c r="X63" s="53"/>
      <c r="Y63" s="54"/>
      <c r="Z63" s="55"/>
      <c r="AA63" s="56"/>
      <c r="AB63" s="96" t="s">
        <v>73</v>
      </c>
      <c r="AC63" s="1239" t="s">
        <v>72</v>
      </c>
      <c r="AD63" s="1243" t="str">
        <f t="shared" si="0"/>
        <v>b</v>
      </c>
      <c r="AE63" s="1123"/>
      <c r="AF63" s="572"/>
      <c r="AG63" s="572"/>
    </row>
    <row r="64" spans="1:33" ht="37.5" customHeight="1" x14ac:dyDescent="0.25">
      <c r="A64" s="927">
        <v>79.2</v>
      </c>
      <c r="B64" s="40" t="s">
        <v>92</v>
      </c>
      <c r="C64" s="41" t="s">
        <v>136</v>
      </c>
      <c r="D64" s="42" t="s">
        <v>137</v>
      </c>
      <c r="E64" s="57" t="s">
        <v>51</v>
      </c>
      <c r="F64" s="58"/>
      <c r="G64" s="45" t="s">
        <v>52</v>
      </c>
      <c r="H64" s="45" t="s">
        <v>40</v>
      </c>
      <c r="I64" s="46">
        <v>1.0857306906347</v>
      </c>
      <c r="J64" s="47" t="s">
        <v>41</v>
      </c>
      <c r="K64" s="46">
        <v>0.52454070108999995</v>
      </c>
      <c r="L64" s="47" t="s">
        <v>61</v>
      </c>
      <c r="M64" s="48"/>
      <c r="N64" s="48"/>
      <c r="O64" s="48"/>
      <c r="P64" s="50"/>
      <c r="Q64" s="51" t="s">
        <v>53</v>
      </c>
      <c r="R64" s="950" t="s">
        <v>43</v>
      </c>
      <c r="S64" s="955">
        <f>VLOOKUP(A64,Strat_Plan_Revit!$A$10:$S$321,14,FALSE)</f>
        <v>0</v>
      </c>
      <c r="T64" s="33">
        <f>VLOOKUP(A64,Strat_Plan_Revit!$A$10:$S$321,15,FALSE)</f>
        <v>0</v>
      </c>
      <c r="U64" s="960"/>
      <c r="V64" s="34" t="s">
        <v>53</v>
      </c>
      <c r="W64" s="52" t="s">
        <v>43</v>
      </c>
      <c r="X64" s="53"/>
      <c r="Y64" s="54"/>
      <c r="Z64" s="55"/>
      <c r="AA64" s="56"/>
      <c r="AB64" s="96" t="s">
        <v>53</v>
      </c>
      <c r="AC64" s="1239" t="s">
        <v>43</v>
      </c>
      <c r="AD64" s="1243" t="str">
        <f t="shared" si="0"/>
        <v>a</v>
      </c>
      <c r="AE64" s="1123"/>
      <c r="AF64" s="572"/>
      <c r="AG64" s="572"/>
    </row>
    <row r="65" spans="1:33" ht="37.5" customHeight="1" x14ac:dyDescent="0.25">
      <c r="A65" s="926">
        <v>80</v>
      </c>
      <c r="B65" s="40" t="s">
        <v>92</v>
      </c>
      <c r="C65" s="41" t="s">
        <v>138</v>
      </c>
      <c r="D65" s="42" t="s">
        <v>139</v>
      </c>
      <c r="E65" s="43" t="s">
        <v>38</v>
      </c>
      <c r="F65" s="60" t="s">
        <v>40</v>
      </c>
      <c r="G65" s="61" t="s">
        <v>52</v>
      </c>
      <c r="H65" s="61" t="s">
        <v>40</v>
      </c>
      <c r="I65" s="62">
        <v>0.37634819072995501</v>
      </c>
      <c r="J65" s="63" t="s">
        <v>41</v>
      </c>
      <c r="K65" s="46">
        <v>8.0401557449000002E-2</v>
      </c>
      <c r="L65" s="47" t="s">
        <v>42</v>
      </c>
      <c r="M65" s="48"/>
      <c r="N65" s="48"/>
      <c r="O65" s="48"/>
      <c r="P65" s="50"/>
      <c r="Q65" s="51" t="s">
        <v>71</v>
      </c>
      <c r="R65" s="950" t="s">
        <v>72</v>
      </c>
      <c r="S65" s="955" t="str">
        <f>VLOOKUP(A65,Strat_Plan_Revit!$A$10:$S$321,14,FALSE)</f>
        <v>gering</v>
      </c>
      <c r="T65" s="33" t="str">
        <f>VLOOKUP(A65,Strat_Plan_Revit!$A$10:$S$321,15,FALSE)</f>
        <v>kein HB</v>
      </c>
      <c r="U65" s="960" t="s">
        <v>73</v>
      </c>
      <c r="V65" s="73" t="s">
        <v>73</v>
      </c>
      <c r="W65" s="52" t="s">
        <v>59</v>
      </c>
      <c r="X65" s="53"/>
      <c r="Y65" s="54"/>
      <c r="Z65" s="55"/>
      <c r="AA65" s="56"/>
      <c r="AB65" s="89" t="s">
        <v>73</v>
      </c>
      <c r="AC65" s="1239" t="s">
        <v>59</v>
      </c>
      <c r="AD65" s="1243" t="str">
        <f t="shared" si="0"/>
        <v>a</v>
      </c>
      <c r="AE65" s="1123"/>
      <c r="AF65" s="572"/>
      <c r="AG65" s="572"/>
    </row>
    <row r="66" spans="1:33" ht="37.5" customHeight="1" x14ac:dyDescent="0.25">
      <c r="A66" s="926">
        <v>81</v>
      </c>
      <c r="B66" s="40" t="s">
        <v>92</v>
      </c>
      <c r="C66" s="41" t="s">
        <v>140</v>
      </c>
      <c r="D66" s="42" t="s">
        <v>141</v>
      </c>
      <c r="E66" s="43" t="s">
        <v>38</v>
      </c>
      <c r="F66" s="44" t="s">
        <v>67</v>
      </c>
      <c r="G66" s="45" t="s">
        <v>52</v>
      </c>
      <c r="H66" s="45" t="s">
        <v>40</v>
      </c>
      <c r="I66" s="46">
        <v>0.67431905567536299</v>
      </c>
      <c r="J66" s="47" t="s">
        <v>41</v>
      </c>
      <c r="K66" s="46">
        <v>0.68492681112999998</v>
      </c>
      <c r="L66" s="47" t="s">
        <v>61</v>
      </c>
      <c r="M66" s="48"/>
      <c r="N66" s="48"/>
      <c r="O66" s="48"/>
      <c r="P66" s="50"/>
      <c r="Q66" s="51" t="s">
        <v>67</v>
      </c>
      <c r="R66" s="950" t="s">
        <v>43</v>
      </c>
      <c r="S66" s="955" t="str">
        <f>VLOOKUP(A66,Strat_Plan_Revit!$A$10:$S$321,14,FALSE)</f>
        <v>gering</v>
      </c>
      <c r="T66" s="33" t="str">
        <f>VLOOKUP(A66,Strat_Plan_Revit!$A$10:$S$321,15,FALSE)</f>
        <v>kein HB</v>
      </c>
      <c r="U66" s="960" t="s">
        <v>73</v>
      </c>
      <c r="V66" s="73" t="s">
        <v>73</v>
      </c>
      <c r="W66" s="52" t="s">
        <v>110</v>
      </c>
      <c r="X66" s="53"/>
      <c r="Y66" s="54"/>
      <c r="Z66" s="55"/>
      <c r="AA66" s="56"/>
      <c r="AB66" s="89" t="s">
        <v>73</v>
      </c>
      <c r="AC66" s="1239" t="s">
        <v>110</v>
      </c>
      <c r="AD66" s="1243" t="str">
        <f t="shared" si="0"/>
        <v>a</v>
      </c>
      <c r="AE66" s="1123"/>
      <c r="AF66" s="572"/>
      <c r="AG66" s="572"/>
    </row>
    <row r="67" spans="1:33" ht="37.5" customHeight="1" x14ac:dyDescent="0.25">
      <c r="A67" s="926">
        <v>83</v>
      </c>
      <c r="B67" s="40" t="s">
        <v>92</v>
      </c>
      <c r="C67" s="41" t="s">
        <v>142</v>
      </c>
      <c r="D67" s="42" t="s">
        <v>50</v>
      </c>
      <c r="E67" s="43" t="s">
        <v>38</v>
      </c>
      <c r="F67" s="60" t="s">
        <v>40</v>
      </c>
      <c r="G67" s="61">
        <v>-1.3137277028201899</v>
      </c>
      <c r="H67" s="75" t="s">
        <v>76</v>
      </c>
      <c r="I67" s="46">
        <v>0</v>
      </c>
      <c r="J67" s="47" t="s">
        <v>47</v>
      </c>
      <c r="K67" s="46">
        <v>0.41249757369000001</v>
      </c>
      <c r="L67" s="47" t="s">
        <v>61</v>
      </c>
      <c r="M67" s="48"/>
      <c r="N67" s="48"/>
      <c r="O67" s="48"/>
      <c r="P67" s="50"/>
      <c r="Q67" s="51" t="s">
        <v>53</v>
      </c>
      <c r="R67" s="950" t="s">
        <v>43</v>
      </c>
      <c r="S67" s="955" t="str">
        <f>VLOOKUP(A67,Strat_Plan_Revit!$A$10:$S$321,14,FALSE)</f>
        <v>-</v>
      </c>
      <c r="T67" s="33" t="str">
        <f>VLOOKUP(A67,Strat_Plan_Revit!$A$10:$S$321,15,FALSE)</f>
        <v>-</v>
      </c>
      <c r="U67" s="960"/>
      <c r="V67" s="34" t="s">
        <v>53</v>
      </c>
      <c r="W67" s="52" t="s">
        <v>43</v>
      </c>
      <c r="X67" s="53"/>
      <c r="Y67" s="54"/>
      <c r="Z67" s="55"/>
      <c r="AA67" s="56"/>
      <c r="AB67" s="96" t="s">
        <v>53</v>
      </c>
      <c r="AC67" s="1239" t="s">
        <v>43</v>
      </c>
      <c r="AD67" s="1243" t="str">
        <f t="shared" si="0"/>
        <v>a</v>
      </c>
      <c r="AE67" s="1123"/>
      <c r="AF67" s="572"/>
      <c r="AG67" s="572"/>
    </row>
    <row r="68" spans="1:33" ht="37.5" customHeight="1" x14ac:dyDescent="0.25">
      <c r="A68" s="926">
        <v>84</v>
      </c>
      <c r="B68" s="40" t="s">
        <v>92</v>
      </c>
      <c r="C68" s="41" t="s">
        <v>143</v>
      </c>
      <c r="D68" s="42" t="s">
        <v>50</v>
      </c>
      <c r="E68" s="43" t="s">
        <v>38</v>
      </c>
      <c r="F68" s="44" t="s">
        <v>73</v>
      </c>
      <c r="G68" s="45">
        <v>0.15222419159425399</v>
      </c>
      <c r="H68" s="45" t="s">
        <v>58</v>
      </c>
      <c r="I68" s="46">
        <v>3.4295260430952004E-2</v>
      </c>
      <c r="J68" s="47" t="s">
        <v>47</v>
      </c>
      <c r="K68" s="46">
        <v>0.31089022440000003</v>
      </c>
      <c r="L68" s="47" t="s">
        <v>42</v>
      </c>
      <c r="M68" s="48"/>
      <c r="N68" s="48"/>
      <c r="O68" s="48"/>
      <c r="P68" s="50"/>
      <c r="Q68" s="51" t="s">
        <v>73</v>
      </c>
      <c r="R68" s="950" t="s">
        <v>43</v>
      </c>
      <c r="S68" s="955" t="str">
        <f>VLOOKUP(A68,Strat_Plan_Revit!$A$10:$S$321,14,FALSE)</f>
        <v>-</v>
      </c>
      <c r="T68" s="33" t="str">
        <f>VLOOKUP(A68,Strat_Plan_Revit!$A$10:$S$321,15,FALSE)</f>
        <v>-</v>
      </c>
      <c r="U68" s="960"/>
      <c r="V68" s="34" t="s">
        <v>73</v>
      </c>
      <c r="W68" s="52" t="s">
        <v>43</v>
      </c>
      <c r="X68" s="53"/>
      <c r="Y68" s="54"/>
      <c r="Z68" s="55"/>
      <c r="AA68" s="56"/>
      <c r="AB68" s="89" t="s">
        <v>73</v>
      </c>
      <c r="AC68" s="1239" t="s">
        <v>43</v>
      </c>
      <c r="AD68" s="1243" t="str">
        <f t="shared" si="0"/>
        <v>a</v>
      </c>
      <c r="AE68" s="1123"/>
      <c r="AF68" s="572"/>
      <c r="AG68" s="572"/>
    </row>
    <row r="69" spans="1:33" ht="37.5" customHeight="1" x14ac:dyDescent="0.25">
      <c r="A69" s="926">
        <v>86</v>
      </c>
      <c r="B69" s="40" t="s">
        <v>92</v>
      </c>
      <c r="C69" s="41" t="s">
        <v>144</v>
      </c>
      <c r="D69" s="42" t="s">
        <v>145</v>
      </c>
      <c r="E69" s="43" t="s">
        <v>38</v>
      </c>
      <c r="F69" s="60" t="s">
        <v>40</v>
      </c>
      <c r="G69" s="61" t="s">
        <v>52</v>
      </c>
      <c r="H69" s="61" t="s">
        <v>40</v>
      </c>
      <c r="I69" s="62">
        <v>0.10181554361315701</v>
      </c>
      <c r="J69" s="65" t="s">
        <v>47</v>
      </c>
      <c r="K69" s="62">
        <v>0.44286827539000001</v>
      </c>
      <c r="L69" s="63" t="s">
        <v>61</v>
      </c>
      <c r="M69" s="48"/>
      <c r="N69" s="48"/>
      <c r="O69" s="48"/>
      <c r="P69" s="50"/>
      <c r="Q69" s="51" t="s">
        <v>99</v>
      </c>
      <c r="R69" s="950" t="s">
        <v>43</v>
      </c>
      <c r="S69" s="955" t="str">
        <f>VLOOKUP(A69,Strat_Plan_Revit!$A$10:$S$321,14,FALSE)</f>
        <v>-</v>
      </c>
      <c r="T69" s="33" t="str">
        <f>VLOOKUP(A69,Strat_Plan_Revit!$A$10:$S$321,15,FALSE)</f>
        <v>-</v>
      </c>
      <c r="U69" s="960"/>
      <c r="V69" s="34" t="s">
        <v>88</v>
      </c>
      <c r="W69" s="52" t="s">
        <v>43</v>
      </c>
      <c r="X69" s="53"/>
      <c r="Y69" s="54"/>
      <c r="Z69" s="55"/>
      <c r="AA69" s="56"/>
      <c r="AB69" s="96" t="s">
        <v>88</v>
      </c>
      <c r="AC69" s="1239" t="s">
        <v>43</v>
      </c>
      <c r="AD69" s="1243" t="str">
        <f t="shared" ref="AD69:AD132" si="1">IF(AC69="a",AC69,IF(AC69="b",AC69,IF(AC69="c","a",IF(AC69="d","a",IF(AC69="e","b")))))</f>
        <v>a</v>
      </c>
      <c r="AE69" s="1123"/>
      <c r="AF69" s="572"/>
      <c r="AG69" s="572"/>
    </row>
    <row r="70" spans="1:33" ht="37.5" customHeight="1" x14ac:dyDescent="0.25">
      <c r="A70" s="926">
        <v>87</v>
      </c>
      <c r="B70" s="40" t="s">
        <v>35</v>
      </c>
      <c r="C70" s="41" t="s">
        <v>64</v>
      </c>
      <c r="D70" s="42" t="s">
        <v>63</v>
      </c>
      <c r="E70" s="43" t="s">
        <v>38</v>
      </c>
      <c r="F70" s="44" t="s">
        <v>39</v>
      </c>
      <c r="G70" s="45">
        <v>-5.4526267471724302E-2</v>
      </c>
      <c r="H70" s="45" t="s">
        <v>58</v>
      </c>
      <c r="I70" s="46">
        <v>0</v>
      </c>
      <c r="J70" s="47" t="s">
        <v>47</v>
      </c>
      <c r="K70" s="46">
        <v>2.0241438026000001E-2</v>
      </c>
      <c r="L70" s="47" t="s">
        <v>42</v>
      </c>
      <c r="M70" s="48"/>
      <c r="N70" s="48"/>
      <c r="O70" s="48"/>
      <c r="P70" s="50"/>
      <c r="Q70" s="51" t="s">
        <v>39</v>
      </c>
      <c r="R70" s="950" t="s">
        <v>43</v>
      </c>
      <c r="S70" s="955" t="str">
        <f>VLOOKUP(A70,Strat_Plan_Revit!$A$10:$S$321,14,FALSE)</f>
        <v>-</v>
      </c>
      <c r="T70" s="33" t="str">
        <f>VLOOKUP(A70,Strat_Plan_Revit!$A$10:$S$321,15,FALSE)</f>
        <v>-</v>
      </c>
      <c r="U70" s="960"/>
      <c r="V70" s="34" t="s">
        <v>45</v>
      </c>
      <c r="W70" s="52" t="s">
        <v>43</v>
      </c>
      <c r="X70" s="53"/>
      <c r="Y70" s="54"/>
      <c r="Z70" s="55"/>
      <c r="AA70" s="56"/>
      <c r="AB70" s="96" t="s">
        <v>45</v>
      </c>
      <c r="AC70" s="1239" t="s">
        <v>43</v>
      </c>
      <c r="AD70" s="1243" t="str">
        <f t="shared" si="1"/>
        <v>a</v>
      </c>
      <c r="AE70" s="1123"/>
      <c r="AF70" s="572"/>
      <c r="AG70" s="572"/>
    </row>
    <row r="71" spans="1:33" ht="37.5" customHeight="1" x14ac:dyDescent="0.25">
      <c r="A71" s="926">
        <v>88</v>
      </c>
      <c r="B71" s="40" t="s">
        <v>35</v>
      </c>
      <c r="C71" s="41" t="s">
        <v>65</v>
      </c>
      <c r="D71" s="42" t="s">
        <v>63</v>
      </c>
      <c r="E71" s="43" t="s">
        <v>38</v>
      </c>
      <c r="F71" s="44" t="s">
        <v>39</v>
      </c>
      <c r="G71" s="45">
        <v>-0.199710445140588</v>
      </c>
      <c r="H71" s="45" t="s">
        <v>58</v>
      </c>
      <c r="I71" s="46">
        <v>0.20100787882418</v>
      </c>
      <c r="J71" s="47" t="s">
        <v>47</v>
      </c>
      <c r="K71" s="46">
        <v>0.14920921853999999</v>
      </c>
      <c r="L71" s="47" t="s">
        <v>42</v>
      </c>
      <c r="M71" s="48"/>
      <c r="N71" s="48"/>
      <c r="O71" s="48"/>
      <c r="P71" s="50"/>
      <c r="Q71" s="51" t="s">
        <v>39</v>
      </c>
      <c r="R71" s="950" t="s">
        <v>43</v>
      </c>
      <c r="S71" s="955" t="str">
        <f>VLOOKUP(A71,Strat_Plan_Revit!$A$10:$S$321,14,FALSE)</f>
        <v>-</v>
      </c>
      <c r="T71" s="33" t="str">
        <f>VLOOKUP(A71,Strat_Plan_Revit!$A$10:$S$321,15,FALSE)</f>
        <v>-</v>
      </c>
      <c r="U71" s="960"/>
      <c r="V71" s="34" t="s">
        <v>45</v>
      </c>
      <c r="W71" s="52" t="s">
        <v>43</v>
      </c>
      <c r="X71" s="53"/>
      <c r="Y71" s="54"/>
      <c r="Z71" s="55"/>
      <c r="AA71" s="56"/>
      <c r="AB71" s="96" t="s">
        <v>45</v>
      </c>
      <c r="AC71" s="1239" t="s">
        <v>43</v>
      </c>
      <c r="AD71" s="1243" t="str">
        <f t="shared" si="1"/>
        <v>a</v>
      </c>
      <c r="AE71" s="1123"/>
      <c r="AF71" s="572"/>
      <c r="AG71" s="572"/>
    </row>
    <row r="72" spans="1:33" ht="37.5" customHeight="1" x14ac:dyDescent="0.25">
      <c r="A72" s="926">
        <v>91</v>
      </c>
      <c r="B72" s="40" t="s">
        <v>35</v>
      </c>
      <c r="C72" s="41" t="s">
        <v>66</v>
      </c>
      <c r="D72" s="42" t="s">
        <v>63</v>
      </c>
      <c r="E72" s="57" t="s">
        <v>51</v>
      </c>
      <c r="F72" s="59"/>
      <c r="G72" s="45" t="s">
        <v>52</v>
      </c>
      <c r="H72" s="45" t="s">
        <v>40</v>
      </c>
      <c r="I72" s="46">
        <v>0.80031568432046596</v>
      </c>
      <c r="J72" s="47" t="s">
        <v>41</v>
      </c>
      <c r="K72" s="46">
        <v>0.17406909881999999</v>
      </c>
      <c r="L72" s="47" t="s">
        <v>42</v>
      </c>
      <c r="M72" s="48"/>
      <c r="N72" s="48"/>
      <c r="O72" s="48"/>
      <c r="P72" s="50"/>
      <c r="Q72" s="51" t="s">
        <v>67</v>
      </c>
      <c r="R72" s="950" t="s">
        <v>43</v>
      </c>
      <c r="S72" s="955" t="str">
        <f>VLOOKUP(A72,Strat_Plan_Revit!$A$10:$S$321,14,FALSE)</f>
        <v>-</v>
      </c>
      <c r="T72" s="33" t="str">
        <f>VLOOKUP(A72,Strat_Plan_Revit!$A$10:$S$321,15,FALSE)</f>
        <v>-</v>
      </c>
      <c r="U72" s="960"/>
      <c r="V72" s="34" t="s">
        <v>67</v>
      </c>
      <c r="W72" s="52" t="s">
        <v>43</v>
      </c>
      <c r="X72" s="53"/>
      <c r="Y72" s="54"/>
      <c r="Z72" s="55"/>
      <c r="AA72" s="56"/>
      <c r="AB72" s="96" t="s">
        <v>67</v>
      </c>
      <c r="AC72" s="1239" t="s">
        <v>43</v>
      </c>
      <c r="AD72" s="1243" t="str">
        <f t="shared" si="1"/>
        <v>a</v>
      </c>
      <c r="AE72" s="1123"/>
      <c r="AF72" s="572"/>
      <c r="AG72" s="572"/>
    </row>
    <row r="73" spans="1:33" ht="37.5" customHeight="1" x14ac:dyDescent="0.25">
      <c r="A73" s="926">
        <v>92</v>
      </c>
      <c r="B73" s="40" t="s">
        <v>78</v>
      </c>
      <c r="C73" s="41" t="s">
        <v>79</v>
      </c>
      <c r="D73" s="42" t="s">
        <v>63</v>
      </c>
      <c r="E73" s="43" t="s">
        <v>38</v>
      </c>
      <c r="F73" s="44" t="s">
        <v>67</v>
      </c>
      <c r="G73" s="45">
        <v>0.35492207072652598</v>
      </c>
      <c r="H73" s="45" t="s">
        <v>58</v>
      </c>
      <c r="I73" s="46">
        <v>0.79715209640276796</v>
      </c>
      <c r="J73" s="47" t="s">
        <v>41</v>
      </c>
      <c r="K73" s="46">
        <v>0.25302539301999999</v>
      </c>
      <c r="L73" s="47" t="s">
        <v>61</v>
      </c>
      <c r="M73" s="48"/>
      <c r="N73" s="48"/>
      <c r="O73" s="48"/>
      <c r="P73" s="50"/>
      <c r="Q73" s="51" t="s">
        <v>67</v>
      </c>
      <c r="R73" s="950" t="s">
        <v>43</v>
      </c>
      <c r="S73" s="957" t="s">
        <v>1843</v>
      </c>
      <c r="T73" s="469" t="s">
        <v>1844</v>
      </c>
      <c r="U73" s="960"/>
      <c r="V73" s="34" t="s">
        <v>67</v>
      </c>
      <c r="W73" s="52" t="s">
        <v>59</v>
      </c>
      <c r="X73" s="53"/>
      <c r="Y73" s="54"/>
      <c r="Z73" s="55"/>
      <c r="AA73" s="64" t="s">
        <v>77</v>
      </c>
      <c r="AB73" s="96" t="s">
        <v>67</v>
      </c>
      <c r="AC73" s="1239" t="s">
        <v>59</v>
      </c>
      <c r="AD73" s="1243" t="str">
        <f t="shared" si="1"/>
        <v>a</v>
      </c>
      <c r="AE73" s="1123"/>
      <c r="AF73" s="572"/>
      <c r="AG73" s="572"/>
    </row>
    <row r="74" spans="1:33" ht="37.5" customHeight="1" x14ac:dyDescent="0.25">
      <c r="A74" s="926">
        <v>95</v>
      </c>
      <c r="B74" s="40" t="s">
        <v>74</v>
      </c>
      <c r="C74" s="41" t="s">
        <v>75</v>
      </c>
      <c r="D74" s="42" t="s">
        <v>63</v>
      </c>
      <c r="E74" s="43" t="s">
        <v>38</v>
      </c>
      <c r="F74" s="44" t="s">
        <v>67</v>
      </c>
      <c r="G74" s="45">
        <v>-1.1583344176213299</v>
      </c>
      <c r="H74" s="45" t="s">
        <v>76</v>
      </c>
      <c r="I74" s="46">
        <v>0.75576869561374005</v>
      </c>
      <c r="J74" s="47" t="s">
        <v>41</v>
      </c>
      <c r="K74" s="46">
        <v>0.12085187402</v>
      </c>
      <c r="L74" s="47" t="s">
        <v>42</v>
      </c>
      <c r="M74" s="48"/>
      <c r="N74" s="48"/>
      <c r="O74" s="48"/>
      <c r="P74" s="50"/>
      <c r="Q74" s="51" t="s">
        <v>67</v>
      </c>
      <c r="R74" s="950" t="s">
        <v>43</v>
      </c>
      <c r="S74" s="957" t="s">
        <v>1847</v>
      </c>
      <c r="T74" s="469" t="s">
        <v>1848</v>
      </c>
      <c r="U74" s="960"/>
      <c r="V74" s="34" t="s">
        <v>67</v>
      </c>
      <c r="W74" s="52" t="s">
        <v>59</v>
      </c>
      <c r="X74" s="53"/>
      <c r="Y74" s="54"/>
      <c r="Z74" s="55"/>
      <c r="AA74" s="64" t="s">
        <v>77</v>
      </c>
      <c r="AB74" s="96" t="s">
        <v>67</v>
      </c>
      <c r="AC74" s="1239" t="s">
        <v>59</v>
      </c>
      <c r="AD74" s="1243" t="str">
        <f t="shared" si="1"/>
        <v>a</v>
      </c>
      <c r="AE74" s="1123"/>
      <c r="AF74" s="572"/>
      <c r="AG74" s="572"/>
    </row>
    <row r="75" spans="1:33" ht="37.5" customHeight="1" x14ac:dyDescent="0.25">
      <c r="A75" s="926">
        <v>97</v>
      </c>
      <c r="B75" s="40" t="s">
        <v>687</v>
      </c>
      <c r="C75" s="41" t="s">
        <v>688</v>
      </c>
      <c r="D75" s="42" t="s">
        <v>689</v>
      </c>
      <c r="E75" s="43" t="s">
        <v>38</v>
      </c>
      <c r="F75" s="60" t="s">
        <v>40</v>
      </c>
      <c r="G75" s="61" t="s">
        <v>52</v>
      </c>
      <c r="H75" s="61" t="s">
        <v>40</v>
      </c>
      <c r="I75" s="62">
        <v>3.2691065884596603E-2</v>
      </c>
      <c r="J75" s="65" t="s">
        <v>47</v>
      </c>
      <c r="K75" s="62">
        <v>0.23976645298999999</v>
      </c>
      <c r="L75" s="65" t="s">
        <v>42</v>
      </c>
      <c r="M75" s="66" t="s">
        <v>690</v>
      </c>
      <c r="N75" s="66" t="s">
        <v>84</v>
      </c>
      <c r="O75" s="66" t="s">
        <v>691</v>
      </c>
      <c r="P75" s="67" t="s">
        <v>103</v>
      </c>
      <c r="Q75" s="51" t="s">
        <v>104</v>
      </c>
      <c r="R75" s="950" t="s">
        <v>72</v>
      </c>
      <c r="S75" s="955" t="str">
        <f>VLOOKUP(A75,Strat_Plan_Revit!$A$10:$S$321,14,FALSE)</f>
        <v>-</v>
      </c>
      <c r="T75" s="33" t="str">
        <f>VLOOKUP(A75,Strat_Plan_Revit!$A$10:$S$321,15,FALSE)</f>
        <v>-</v>
      </c>
      <c r="U75" s="960"/>
      <c r="V75" s="34" t="s">
        <v>67</v>
      </c>
      <c r="W75" s="52" t="s">
        <v>72</v>
      </c>
      <c r="X75" s="53"/>
      <c r="Y75" s="54"/>
      <c r="Z75" s="55"/>
      <c r="AA75" s="64" t="s">
        <v>692</v>
      </c>
      <c r="AB75" s="96" t="s">
        <v>67</v>
      </c>
      <c r="AC75" s="1239" t="s">
        <v>72</v>
      </c>
      <c r="AD75" s="1243" t="str">
        <f t="shared" si="1"/>
        <v>b</v>
      </c>
      <c r="AE75" s="1123"/>
      <c r="AF75" s="572"/>
      <c r="AG75" s="572"/>
    </row>
    <row r="76" spans="1:33" ht="37.5" customHeight="1" x14ac:dyDescent="0.25">
      <c r="A76" s="926">
        <v>98</v>
      </c>
      <c r="B76" s="40" t="s">
        <v>376</v>
      </c>
      <c r="C76" s="41" t="s">
        <v>377</v>
      </c>
      <c r="D76" s="42" t="s">
        <v>378</v>
      </c>
      <c r="E76" s="43" t="s">
        <v>38</v>
      </c>
      <c r="F76" s="44" t="s">
        <v>88</v>
      </c>
      <c r="G76" s="45" t="s">
        <v>52</v>
      </c>
      <c r="H76" s="45" t="s">
        <v>40</v>
      </c>
      <c r="I76" s="46">
        <v>0.20326588450236399</v>
      </c>
      <c r="J76" s="47" t="s">
        <v>47</v>
      </c>
      <c r="K76" s="46">
        <v>8.8019619814E-2</v>
      </c>
      <c r="L76" s="47" t="s">
        <v>42</v>
      </c>
      <c r="M76" s="48"/>
      <c r="N76" s="48"/>
      <c r="O76" s="48"/>
      <c r="P76" s="50"/>
      <c r="Q76" s="51" t="s">
        <v>88</v>
      </c>
      <c r="R76" s="950" t="s">
        <v>43</v>
      </c>
      <c r="S76" s="955" t="str">
        <f>VLOOKUP(A76,Strat_Plan_Revit!$A$10:$S$321,14,FALSE)</f>
        <v>mittel (wesentlich)</v>
      </c>
      <c r="T76" s="33" t="str">
        <f>VLOOKUP(A76,Strat_Plan_Revit!$A$10:$S$321,15,FALSE)</f>
        <v>Ja</v>
      </c>
      <c r="U76" s="960" t="s">
        <v>73</v>
      </c>
      <c r="V76" s="73" t="s">
        <v>73</v>
      </c>
      <c r="W76" s="52" t="s">
        <v>110</v>
      </c>
      <c r="X76" s="53"/>
      <c r="Y76" s="54"/>
      <c r="Z76" s="74" t="s">
        <v>73</v>
      </c>
      <c r="AA76" s="56"/>
      <c r="AB76" s="89" t="s">
        <v>73</v>
      </c>
      <c r="AC76" s="1239" t="s">
        <v>110</v>
      </c>
      <c r="AD76" s="1243" t="str">
        <f t="shared" si="1"/>
        <v>a</v>
      </c>
      <c r="AE76" s="1123"/>
      <c r="AF76" s="572"/>
      <c r="AG76" s="572"/>
    </row>
    <row r="77" spans="1:33" ht="37.5" customHeight="1" x14ac:dyDescent="0.25">
      <c r="A77" s="926">
        <v>99</v>
      </c>
      <c r="B77" s="40" t="s">
        <v>395</v>
      </c>
      <c r="C77" s="41" t="s">
        <v>396</v>
      </c>
      <c r="D77" s="42" t="s">
        <v>397</v>
      </c>
      <c r="E77" s="43" t="s">
        <v>38</v>
      </c>
      <c r="F77" s="60" t="s">
        <v>40</v>
      </c>
      <c r="G77" s="61" t="s">
        <v>52</v>
      </c>
      <c r="H77" s="61" t="s">
        <v>40</v>
      </c>
      <c r="I77" s="62">
        <v>0.268207723401378</v>
      </c>
      <c r="J77" s="63" t="s">
        <v>41</v>
      </c>
      <c r="K77" s="46">
        <v>0.30666749182000003</v>
      </c>
      <c r="L77" s="47" t="s">
        <v>61</v>
      </c>
      <c r="M77" s="48"/>
      <c r="N77" s="48"/>
      <c r="O77" s="48"/>
      <c r="P77" s="50"/>
      <c r="Q77" s="51" t="s">
        <v>71</v>
      </c>
      <c r="R77" s="950" t="s">
        <v>72</v>
      </c>
      <c r="S77" s="955" t="str">
        <f>VLOOKUP(A77,Strat_Plan_Revit!$A$10:$S$321,14,FALSE)</f>
        <v>keine</v>
      </c>
      <c r="T77" s="33">
        <f>VLOOKUP(A77,Strat_Plan_Revit!$A$10:$S$321,15,FALSE)</f>
        <v>0</v>
      </c>
      <c r="U77" s="960" t="s">
        <v>88</v>
      </c>
      <c r="V77" s="73" t="s">
        <v>88</v>
      </c>
      <c r="W77" s="52" t="s">
        <v>110</v>
      </c>
      <c r="X77" s="53"/>
      <c r="Y77" s="54"/>
      <c r="Z77" s="74" t="s">
        <v>88</v>
      </c>
      <c r="AA77" s="56"/>
      <c r="AB77" s="89" t="s">
        <v>88</v>
      </c>
      <c r="AC77" s="1239" t="s">
        <v>110</v>
      </c>
      <c r="AD77" s="1243" t="str">
        <f t="shared" si="1"/>
        <v>a</v>
      </c>
      <c r="AE77" s="1123"/>
      <c r="AF77" s="572"/>
      <c r="AG77" s="572"/>
    </row>
    <row r="78" spans="1:33" ht="37.5" customHeight="1" x14ac:dyDescent="0.25">
      <c r="A78" s="926">
        <v>100</v>
      </c>
      <c r="B78" s="40" t="s">
        <v>395</v>
      </c>
      <c r="C78" s="41" t="s">
        <v>398</v>
      </c>
      <c r="D78" s="42" t="s">
        <v>399</v>
      </c>
      <c r="E78" s="43" t="s">
        <v>38</v>
      </c>
      <c r="F78" s="60" t="s">
        <v>40</v>
      </c>
      <c r="G78" s="61" t="s">
        <v>52</v>
      </c>
      <c r="H78" s="61" t="s">
        <v>40</v>
      </c>
      <c r="I78" s="62">
        <v>0.142215505263034</v>
      </c>
      <c r="J78" s="65" t="s">
        <v>47</v>
      </c>
      <c r="K78" s="62">
        <v>0.31513040254000002</v>
      </c>
      <c r="L78" s="63" t="s">
        <v>61</v>
      </c>
      <c r="M78" s="48"/>
      <c r="N78" s="48"/>
      <c r="O78" s="48"/>
      <c r="P78" s="50"/>
      <c r="Q78" s="51" t="s">
        <v>53</v>
      </c>
      <c r="R78" s="950" t="s">
        <v>43</v>
      </c>
      <c r="S78" s="955" t="str">
        <f>VLOOKUP(A78,Strat_Plan_Revit!$A$10:$S$321,14,FALSE)</f>
        <v>keine</v>
      </c>
      <c r="T78" s="33">
        <f>VLOOKUP(A78,Strat_Plan_Revit!$A$10:$S$321,15,FALSE)</f>
        <v>0</v>
      </c>
      <c r="U78" s="960" t="s">
        <v>88</v>
      </c>
      <c r="V78" s="34" t="s">
        <v>53</v>
      </c>
      <c r="W78" s="52" t="s">
        <v>43</v>
      </c>
      <c r="X78" s="53"/>
      <c r="Y78" s="54"/>
      <c r="Z78" s="74" t="s">
        <v>67</v>
      </c>
      <c r="AA78" s="56"/>
      <c r="AB78" s="89" t="s">
        <v>67</v>
      </c>
      <c r="AC78" s="967" t="s">
        <v>368</v>
      </c>
      <c r="AD78" s="1243" t="str">
        <f t="shared" si="1"/>
        <v>b</v>
      </c>
      <c r="AE78" s="1123"/>
      <c r="AF78" s="572"/>
      <c r="AG78" s="572"/>
    </row>
    <row r="79" spans="1:33" ht="37.5" customHeight="1" x14ac:dyDescent="0.25">
      <c r="A79" s="926">
        <v>101</v>
      </c>
      <c r="B79" s="40" t="s">
        <v>395</v>
      </c>
      <c r="C79" s="41" t="s">
        <v>400</v>
      </c>
      <c r="D79" s="42" t="s">
        <v>401</v>
      </c>
      <c r="E79" s="43" t="s">
        <v>38</v>
      </c>
      <c r="F79" s="60" t="s">
        <v>40</v>
      </c>
      <c r="G79" s="61" t="s">
        <v>52</v>
      </c>
      <c r="H79" s="61" t="s">
        <v>40</v>
      </c>
      <c r="I79" s="62">
        <v>0.46307518832586497</v>
      </c>
      <c r="J79" s="63" t="s">
        <v>41</v>
      </c>
      <c r="K79" s="46">
        <v>0.26933026385999997</v>
      </c>
      <c r="L79" s="47" t="s">
        <v>42</v>
      </c>
      <c r="M79" s="48"/>
      <c r="N79" s="48"/>
      <c r="O79" s="48"/>
      <c r="P79" s="50"/>
      <c r="Q79" s="51" t="s">
        <v>71</v>
      </c>
      <c r="R79" s="950" t="s">
        <v>43</v>
      </c>
      <c r="S79" s="955" t="str">
        <f>VLOOKUP(A79,Strat_Plan_Revit!$A$10:$S$321,14,FALSE)</f>
        <v>abzuklären</v>
      </c>
      <c r="T79" s="33">
        <f>VLOOKUP(A79,Strat_Plan_Revit!$A$10:$S$321,15,FALSE)</f>
        <v>0</v>
      </c>
      <c r="U79" s="960"/>
      <c r="V79" s="70" t="s">
        <v>73</v>
      </c>
      <c r="W79" s="52" t="s">
        <v>43</v>
      </c>
      <c r="X79" s="71" t="s">
        <v>403</v>
      </c>
      <c r="Y79" s="72" t="s">
        <v>126</v>
      </c>
      <c r="Z79" s="93" t="s">
        <v>73</v>
      </c>
      <c r="AA79" s="56"/>
      <c r="AB79" s="1247" t="s">
        <v>73</v>
      </c>
      <c r="AC79" s="1239" t="s">
        <v>43</v>
      </c>
      <c r="AD79" s="1243" t="str">
        <f t="shared" si="1"/>
        <v>a</v>
      </c>
      <c r="AE79" s="1123"/>
      <c r="AF79" s="572"/>
      <c r="AG79" s="572"/>
    </row>
    <row r="80" spans="1:33" ht="37.5" customHeight="1" x14ac:dyDescent="0.25">
      <c r="A80" s="926">
        <v>102</v>
      </c>
      <c r="B80" s="40" t="s">
        <v>395</v>
      </c>
      <c r="C80" s="41" t="s">
        <v>404</v>
      </c>
      <c r="D80" s="42" t="s">
        <v>405</v>
      </c>
      <c r="E80" s="43" t="s">
        <v>38</v>
      </c>
      <c r="F80" s="60" t="s">
        <v>40</v>
      </c>
      <c r="G80" s="61" t="s">
        <v>52</v>
      </c>
      <c r="H80" s="61" t="s">
        <v>40</v>
      </c>
      <c r="I80" s="62">
        <v>0</v>
      </c>
      <c r="J80" s="65" t="s">
        <v>47</v>
      </c>
      <c r="K80" s="62">
        <v>0.56621448429999999</v>
      </c>
      <c r="L80" s="63" t="s">
        <v>61</v>
      </c>
      <c r="M80" s="48"/>
      <c r="N80" s="48"/>
      <c r="O80" s="48"/>
      <c r="P80" s="50"/>
      <c r="Q80" s="51" t="s">
        <v>71</v>
      </c>
      <c r="R80" s="950" t="s">
        <v>43</v>
      </c>
      <c r="S80" s="955" t="str">
        <f>VLOOKUP(A80,Strat_Plan_Revit!$A$10:$S$321,14,FALSE)</f>
        <v>keine</v>
      </c>
      <c r="T80" s="33">
        <f>VLOOKUP(A80,Strat_Plan_Revit!$A$10:$S$321,15,FALSE)</f>
        <v>0</v>
      </c>
      <c r="U80" s="960" t="s">
        <v>88</v>
      </c>
      <c r="V80" s="73" t="s">
        <v>88</v>
      </c>
      <c r="W80" s="52" t="s">
        <v>110</v>
      </c>
      <c r="X80" s="53" t="s">
        <v>406</v>
      </c>
      <c r="Y80" s="54"/>
      <c r="Z80" s="74" t="s">
        <v>88</v>
      </c>
      <c r="AA80" s="56"/>
      <c r="AB80" s="89" t="s">
        <v>88</v>
      </c>
      <c r="AC80" s="1239" t="s">
        <v>110</v>
      </c>
      <c r="AD80" s="1243" t="str">
        <f t="shared" si="1"/>
        <v>a</v>
      </c>
      <c r="AE80" s="1123"/>
      <c r="AF80" s="572"/>
      <c r="AG80" s="572"/>
    </row>
    <row r="81" spans="1:33" ht="37.5" customHeight="1" x14ac:dyDescent="0.25">
      <c r="A81" s="926">
        <v>104</v>
      </c>
      <c r="B81" s="40" t="s">
        <v>460</v>
      </c>
      <c r="C81" s="41" t="s">
        <v>461</v>
      </c>
      <c r="D81" s="42" t="s">
        <v>462</v>
      </c>
      <c r="E81" s="43" t="s">
        <v>38</v>
      </c>
      <c r="F81" s="60" t="s">
        <v>40</v>
      </c>
      <c r="G81" s="61" t="s">
        <v>52</v>
      </c>
      <c r="H81" s="61" t="s">
        <v>40</v>
      </c>
      <c r="I81" s="62">
        <v>0.48955988298707498</v>
      </c>
      <c r="J81" s="63" t="s">
        <v>41</v>
      </c>
      <c r="K81" s="46">
        <v>0</v>
      </c>
      <c r="L81" s="47" t="s">
        <v>42</v>
      </c>
      <c r="M81" s="48"/>
      <c r="N81" s="48"/>
      <c r="O81" s="48"/>
      <c r="P81" s="50"/>
      <c r="Q81" s="51" t="s">
        <v>71</v>
      </c>
      <c r="R81" s="950" t="s">
        <v>72</v>
      </c>
      <c r="S81" s="955" t="str">
        <f>VLOOKUP(A81,Strat_Plan_Revit!$A$10:$S$321,14,FALSE)</f>
        <v>nicht wesentlich</v>
      </c>
      <c r="T81" s="33" t="str">
        <f>VLOOKUP(A81,Strat_Plan_Revit!$A$10:$S$321,15,FALSE)</f>
        <v>-</v>
      </c>
      <c r="U81" s="960" t="s">
        <v>88</v>
      </c>
      <c r="V81" s="73" t="s">
        <v>88</v>
      </c>
      <c r="W81" s="52" t="s">
        <v>110</v>
      </c>
      <c r="X81" s="53"/>
      <c r="Y81" s="54"/>
      <c r="Z81" s="55"/>
      <c r="AA81" s="64" t="s">
        <v>463</v>
      </c>
      <c r="AB81" s="96" t="s">
        <v>88</v>
      </c>
      <c r="AC81" s="1239" t="s">
        <v>110</v>
      </c>
      <c r="AD81" s="1243" t="str">
        <f t="shared" si="1"/>
        <v>a</v>
      </c>
      <c r="AE81" s="1123"/>
      <c r="AF81" s="572"/>
      <c r="AG81" s="572"/>
    </row>
    <row r="82" spans="1:33" ht="37.5" customHeight="1" x14ac:dyDescent="0.25">
      <c r="A82" s="927">
        <v>105.1</v>
      </c>
      <c r="B82" s="40" t="s">
        <v>551</v>
      </c>
      <c r="C82" s="41" t="s">
        <v>552</v>
      </c>
      <c r="D82" s="42" t="s">
        <v>553</v>
      </c>
      <c r="E82" s="43" t="s">
        <v>38</v>
      </c>
      <c r="F82" s="44" t="s">
        <v>67</v>
      </c>
      <c r="G82" s="45">
        <v>22.7338347488956</v>
      </c>
      <c r="H82" s="45" t="s">
        <v>132</v>
      </c>
      <c r="I82" s="46">
        <v>0.45894206865216602</v>
      </c>
      <c r="J82" s="47" t="s">
        <v>41</v>
      </c>
      <c r="K82" s="46">
        <v>0.54437453565000005</v>
      </c>
      <c r="L82" s="47" t="s">
        <v>61</v>
      </c>
      <c r="M82" s="48"/>
      <c r="N82" s="48"/>
      <c r="O82" s="48"/>
      <c r="P82" s="50"/>
      <c r="Q82" s="51" t="s">
        <v>67</v>
      </c>
      <c r="R82" s="950" t="s">
        <v>43</v>
      </c>
      <c r="S82" s="955">
        <f>VLOOKUP(A82,Strat_Plan_Revit!$A$10:$S$321,14,FALSE)</f>
        <v>0</v>
      </c>
      <c r="T82" s="33">
        <f>VLOOKUP(A82,Strat_Plan_Revit!$A$10:$S$321,15,FALSE)</f>
        <v>0</v>
      </c>
      <c r="U82" s="960"/>
      <c r="V82" s="73" t="s">
        <v>67</v>
      </c>
      <c r="W82" s="52" t="s">
        <v>43</v>
      </c>
      <c r="X82" s="53"/>
      <c r="Y82" s="54"/>
      <c r="Z82" s="80"/>
      <c r="AA82" s="91"/>
      <c r="AB82" s="89" t="s">
        <v>67</v>
      </c>
      <c r="AC82" s="1239" t="s">
        <v>43</v>
      </c>
      <c r="AD82" s="1243" t="str">
        <f t="shared" si="1"/>
        <v>a</v>
      </c>
      <c r="AE82" s="1123"/>
      <c r="AF82" s="572"/>
      <c r="AG82" s="572"/>
    </row>
    <row r="83" spans="1:33" ht="37.5" customHeight="1" x14ac:dyDescent="0.25">
      <c r="A83" s="927">
        <v>105.2</v>
      </c>
      <c r="B83" s="40" t="s">
        <v>551</v>
      </c>
      <c r="C83" s="41" t="s">
        <v>552</v>
      </c>
      <c r="D83" s="42" t="s">
        <v>553</v>
      </c>
      <c r="E83" s="57" t="s">
        <v>51</v>
      </c>
      <c r="F83" s="58"/>
      <c r="G83" s="45">
        <v>22.7338347488956</v>
      </c>
      <c r="H83" s="45" t="s">
        <v>132</v>
      </c>
      <c r="I83" s="46">
        <v>0</v>
      </c>
      <c r="J83" s="47" t="s">
        <v>47</v>
      </c>
      <c r="K83" s="46">
        <v>0.65691724492000003</v>
      </c>
      <c r="L83" s="47" t="s">
        <v>61</v>
      </c>
      <c r="M83" s="48"/>
      <c r="N83" s="48"/>
      <c r="O83" s="48"/>
      <c r="P83" s="50"/>
      <c r="Q83" s="51" t="s">
        <v>53</v>
      </c>
      <c r="R83" s="950" t="s">
        <v>43</v>
      </c>
      <c r="S83" s="955">
        <f>VLOOKUP(A83,Strat_Plan_Revit!$A$10:$S$321,14,FALSE)</f>
        <v>0</v>
      </c>
      <c r="T83" s="33">
        <f>VLOOKUP(A83,Strat_Plan_Revit!$A$10:$S$321,15,FALSE)</f>
        <v>0</v>
      </c>
      <c r="U83" s="960"/>
      <c r="V83" s="73" t="s">
        <v>53</v>
      </c>
      <c r="W83" s="52" t="s">
        <v>43</v>
      </c>
      <c r="X83" s="53"/>
      <c r="Y83" s="54"/>
      <c r="Z83" s="80"/>
      <c r="AA83" s="91"/>
      <c r="AB83" s="89" t="s">
        <v>53</v>
      </c>
      <c r="AC83" s="1239" t="s">
        <v>43</v>
      </c>
      <c r="AD83" s="1243" t="str">
        <f t="shared" si="1"/>
        <v>a</v>
      </c>
      <c r="AE83" s="1123"/>
      <c r="AF83" s="572"/>
      <c r="AG83" s="572"/>
    </row>
    <row r="84" spans="1:33" ht="37.5" customHeight="1" x14ac:dyDescent="0.25">
      <c r="A84" s="926">
        <v>107</v>
      </c>
      <c r="B84" s="40" t="s">
        <v>551</v>
      </c>
      <c r="C84" s="41" t="s">
        <v>554</v>
      </c>
      <c r="D84" s="42" t="s">
        <v>555</v>
      </c>
      <c r="E84" s="43" t="s">
        <v>38</v>
      </c>
      <c r="F84" s="44" t="s">
        <v>88</v>
      </c>
      <c r="G84" s="45" t="s">
        <v>52</v>
      </c>
      <c r="H84" s="45" t="s">
        <v>40</v>
      </c>
      <c r="I84" s="46">
        <v>0</v>
      </c>
      <c r="J84" s="47" t="s">
        <v>47</v>
      </c>
      <c r="K84" s="46">
        <v>0.30477530826999999</v>
      </c>
      <c r="L84" s="47" t="s">
        <v>42</v>
      </c>
      <c r="M84" s="48"/>
      <c r="N84" s="48"/>
      <c r="O84" s="48"/>
      <c r="P84" s="50"/>
      <c r="Q84" s="51" t="s">
        <v>88</v>
      </c>
      <c r="R84" s="950" t="s">
        <v>43</v>
      </c>
      <c r="S84" s="955">
        <f>VLOOKUP(A84,Strat_Plan_Revit!$A$10:$S$321,14,FALSE)</f>
        <v>0</v>
      </c>
      <c r="T84" s="33">
        <f>VLOOKUP(A84,Strat_Plan_Revit!$A$10:$S$321,15,FALSE)</f>
        <v>0</v>
      </c>
      <c r="U84" s="960"/>
      <c r="V84" s="73" t="s">
        <v>88</v>
      </c>
      <c r="W84" s="52" t="s">
        <v>43</v>
      </c>
      <c r="X84" s="53"/>
      <c r="Y84" s="54"/>
      <c r="Z84" s="80"/>
      <c r="AA84" s="91"/>
      <c r="AB84" s="89" t="s">
        <v>88</v>
      </c>
      <c r="AC84" s="1239" t="s">
        <v>43</v>
      </c>
      <c r="AD84" s="1243" t="str">
        <f t="shared" si="1"/>
        <v>a</v>
      </c>
      <c r="AE84" s="1123"/>
      <c r="AF84" s="572"/>
      <c r="AG84" s="572"/>
    </row>
    <row r="85" spans="1:33" ht="37.5" customHeight="1" x14ac:dyDescent="0.25">
      <c r="A85" s="926">
        <v>108</v>
      </c>
      <c r="B85" s="40" t="s">
        <v>551</v>
      </c>
      <c r="C85" s="41" t="s">
        <v>556</v>
      </c>
      <c r="D85" s="42" t="s">
        <v>557</v>
      </c>
      <c r="E85" s="43" t="s">
        <v>38</v>
      </c>
      <c r="F85" s="44" t="s">
        <v>88</v>
      </c>
      <c r="G85" s="45" t="s">
        <v>52</v>
      </c>
      <c r="H85" s="45" t="s">
        <v>40</v>
      </c>
      <c r="I85" s="46">
        <v>0.31742957322101201</v>
      </c>
      <c r="J85" s="47" t="s">
        <v>41</v>
      </c>
      <c r="K85" s="46">
        <v>0.43387935976000003</v>
      </c>
      <c r="L85" s="47" t="s">
        <v>61</v>
      </c>
      <c r="M85" s="48"/>
      <c r="N85" s="48"/>
      <c r="O85" s="48"/>
      <c r="P85" s="50"/>
      <c r="Q85" s="51" t="s">
        <v>88</v>
      </c>
      <c r="R85" s="950" t="s">
        <v>43</v>
      </c>
      <c r="S85" s="955">
        <f>VLOOKUP(A85,Strat_Plan_Revit!$A$10:$S$321,14,FALSE)</f>
        <v>0</v>
      </c>
      <c r="T85" s="33">
        <f>VLOOKUP(A85,Strat_Plan_Revit!$A$10:$S$321,15,FALSE)</f>
        <v>0</v>
      </c>
      <c r="U85" s="960"/>
      <c r="V85" s="73" t="s">
        <v>88</v>
      </c>
      <c r="W85" s="52" t="s">
        <v>43</v>
      </c>
      <c r="X85" s="53"/>
      <c r="Y85" s="54"/>
      <c r="Z85" s="80"/>
      <c r="AA85" s="91"/>
      <c r="AB85" s="89" t="s">
        <v>88</v>
      </c>
      <c r="AC85" s="1239" t="s">
        <v>43</v>
      </c>
      <c r="AD85" s="1243" t="str">
        <f t="shared" si="1"/>
        <v>a</v>
      </c>
      <c r="AE85" s="1123"/>
      <c r="AF85" s="572"/>
      <c r="AG85" s="572"/>
    </row>
    <row r="86" spans="1:33" ht="37.5" customHeight="1" x14ac:dyDescent="0.25">
      <c r="A86" s="927">
        <v>109.1</v>
      </c>
      <c r="B86" s="40" t="s">
        <v>259</v>
      </c>
      <c r="C86" s="41" t="s">
        <v>260</v>
      </c>
      <c r="D86" s="42" t="s">
        <v>261</v>
      </c>
      <c r="E86" s="43" t="s">
        <v>38</v>
      </c>
      <c r="F86" s="60" t="s">
        <v>40</v>
      </c>
      <c r="G86" s="61" t="s">
        <v>52</v>
      </c>
      <c r="H86" s="61" t="s">
        <v>40</v>
      </c>
      <c r="I86" s="62">
        <v>0.17258055960438001</v>
      </c>
      <c r="J86" s="65" t="s">
        <v>47</v>
      </c>
      <c r="K86" s="62">
        <v>0.40374676644000002</v>
      </c>
      <c r="L86" s="63" t="s">
        <v>61</v>
      </c>
      <c r="M86" s="48" t="s">
        <v>262</v>
      </c>
      <c r="N86" s="48"/>
      <c r="O86" s="49"/>
      <c r="P86" s="69"/>
      <c r="Q86" s="51" t="s">
        <v>99</v>
      </c>
      <c r="R86" s="950" t="s">
        <v>72</v>
      </c>
      <c r="S86" s="955">
        <f>VLOOKUP(A86,Strat_Plan_Revit!$A$10:$S$321,14,FALSE)</f>
        <v>0</v>
      </c>
      <c r="T86" s="33" t="str">
        <f>VLOOKUP(A86,Strat_Plan_Revit!$A$10:$S$321,15,FALSE)</f>
        <v>keine Massnahmen</v>
      </c>
      <c r="U86" s="960"/>
      <c r="V86" s="73" t="s">
        <v>88</v>
      </c>
      <c r="W86" s="52" t="s">
        <v>72</v>
      </c>
      <c r="X86" s="53"/>
      <c r="Y86" s="54"/>
      <c r="Z86" s="80"/>
      <c r="AA86" s="64"/>
      <c r="AB86" s="89" t="s">
        <v>88</v>
      </c>
      <c r="AC86" s="967" t="s">
        <v>72</v>
      </c>
      <c r="AD86" s="1243" t="str">
        <f t="shared" si="1"/>
        <v>b</v>
      </c>
      <c r="AE86" s="1123"/>
      <c r="AF86" s="572"/>
      <c r="AG86" s="572"/>
    </row>
    <row r="87" spans="1:33" ht="37.5" customHeight="1" x14ac:dyDescent="0.25">
      <c r="A87" s="927">
        <v>109.2</v>
      </c>
      <c r="B87" s="40" t="s">
        <v>259</v>
      </c>
      <c r="C87" s="41" t="s">
        <v>260</v>
      </c>
      <c r="D87" s="42" t="s">
        <v>261</v>
      </c>
      <c r="E87" s="43" t="s">
        <v>38</v>
      </c>
      <c r="F87" s="60" t="s">
        <v>40</v>
      </c>
      <c r="G87" s="61" t="s">
        <v>52</v>
      </c>
      <c r="H87" s="61" t="s">
        <v>40</v>
      </c>
      <c r="I87" s="62">
        <v>2.15955722508855E-2</v>
      </c>
      <c r="J87" s="65" t="s">
        <v>47</v>
      </c>
      <c r="K87" s="62">
        <v>6.0349744114000001E-2</v>
      </c>
      <c r="L87" s="65" t="s">
        <v>42</v>
      </c>
      <c r="M87" s="66" t="s">
        <v>263</v>
      </c>
      <c r="N87" s="66" t="s">
        <v>84</v>
      </c>
      <c r="O87" s="66" t="s">
        <v>264</v>
      </c>
      <c r="P87" s="67" t="s">
        <v>103</v>
      </c>
      <c r="Q87" s="51" t="s">
        <v>99</v>
      </c>
      <c r="R87" s="950" t="s">
        <v>72</v>
      </c>
      <c r="S87" s="955">
        <f>VLOOKUP(A87,Strat_Plan_Revit!$A$10:$S$321,14,FALSE)</f>
        <v>0</v>
      </c>
      <c r="T87" s="33" t="str">
        <f>VLOOKUP(A87,Strat_Plan_Revit!$A$10:$S$321,15,FALSE)</f>
        <v>keine Massnahmen</v>
      </c>
      <c r="U87" s="960"/>
      <c r="V87" s="73" t="s">
        <v>88</v>
      </c>
      <c r="W87" s="52" t="s">
        <v>72</v>
      </c>
      <c r="X87" s="53"/>
      <c r="Y87" s="54"/>
      <c r="Z87" s="80"/>
      <c r="AA87" s="64"/>
      <c r="AB87" s="89" t="s">
        <v>88</v>
      </c>
      <c r="AC87" s="967" t="s">
        <v>72</v>
      </c>
      <c r="AD87" s="1243" t="str">
        <f t="shared" si="1"/>
        <v>b</v>
      </c>
      <c r="AE87" s="1123"/>
      <c r="AF87" s="572"/>
      <c r="AG87" s="572"/>
    </row>
    <row r="88" spans="1:33" ht="37.5" customHeight="1" x14ac:dyDescent="0.25">
      <c r="A88" s="926">
        <v>110</v>
      </c>
      <c r="B88" s="40" t="s">
        <v>470</v>
      </c>
      <c r="C88" s="41" t="s">
        <v>471</v>
      </c>
      <c r="D88" s="42" t="s">
        <v>446</v>
      </c>
      <c r="E88" s="43" t="s">
        <v>38</v>
      </c>
      <c r="F88" s="60" t="s">
        <v>40</v>
      </c>
      <c r="G88" s="61" t="s">
        <v>52</v>
      </c>
      <c r="H88" s="61" t="s">
        <v>40</v>
      </c>
      <c r="I88" s="62">
        <v>0</v>
      </c>
      <c r="J88" s="65" t="s">
        <v>47</v>
      </c>
      <c r="K88" s="62">
        <v>0.67477827205999996</v>
      </c>
      <c r="L88" s="63" t="s">
        <v>61</v>
      </c>
      <c r="M88" s="48"/>
      <c r="N88" s="48"/>
      <c r="O88" s="48"/>
      <c r="P88" s="50"/>
      <c r="Q88" s="51" t="s">
        <v>99</v>
      </c>
      <c r="R88" s="950" t="s">
        <v>72</v>
      </c>
      <c r="S88" s="957" t="s">
        <v>1850</v>
      </c>
      <c r="T88" s="469" t="s">
        <v>1850</v>
      </c>
      <c r="U88" s="960"/>
      <c r="V88" s="73" t="s">
        <v>88</v>
      </c>
      <c r="W88" s="52" t="s">
        <v>72</v>
      </c>
      <c r="X88" s="53"/>
      <c r="Y88" s="54"/>
      <c r="Z88" s="55"/>
      <c r="AA88" s="64" t="s">
        <v>203</v>
      </c>
      <c r="AB88" s="89" t="s">
        <v>88</v>
      </c>
      <c r="AC88" s="1239" t="s">
        <v>72</v>
      </c>
      <c r="AD88" s="1243" t="str">
        <f t="shared" si="1"/>
        <v>b</v>
      </c>
      <c r="AE88" s="1123"/>
      <c r="AF88" s="572"/>
      <c r="AG88" s="572"/>
    </row>
    <row r="89" spans="1:33" ht="37.5" customHeight="1" x14ac:dyDescent="0.25">
      <c r="A89" s="926">
        <v>112</v>
      </c>
      <c r="B89" s="40" t="s">
        <v>241</v>
      </c>
      <c r="C89" s="41" t="s">
        <v>242</v>
      </c>
      <c r="D89" s="42" t="s">
        <v>243</v>
      </c>
      <c r="E89" s="43" t="s">
        <v>38</v>
      </c>
      <c r="F89" s="60" t="s">
        <v>40</v>
      </c>
      <c r="G89" s="61" t="s">
        <v>52</v>
      </c>
      <c r="H89" s="61" t="s">
        <v>40</v>
      </c>
      <c r="I89" s="62">
        <v>0.19764769090466999</v>
      </c>
      <c r="J89" s="65" t="s">
        <v>47</v>
      </c>
      <c r="K89" s="62">
        <v>8.6192770668000004E-2</v>
      </c>
      <c r="L89" s="65" t="s">
        <v>42</v>
      </c>
      <c r="M89" s="66" t="s">
        <v>244</v>
      </c>
      <c r="N89" s="68" t="s">
        <v>201</v>
      </c>
      <c r="O89" s="49"/>
      <c r="P89" s="69"/>
      <c r="Q89" s="51" t="s">
        <v>202</v>
      </c>
      <c r="R89" s="950" t="s">
        <v>72</v>
      </c>
      <c r="S89" s="955" t="str">
        <f>VLOOKUP(A89,Strat_Plan_Revit!$A$10:$S$321,14,FALSE)</f>
        <v>notable (amont) et faible (aval)</v>
      </c>
      <c r="T89" s="33" t="s">
        <v>48</v>
      </c>
      <c r="U89" s="960" t="s">
        <v>73</v>
      </c>
      <c r="V89" s="73" t="s">
        <v>73</v>
      </c>
      <c r="W89" s="52" t="s">
        <v>59</v>
      </c>
      <c r="X89" s="53"/>
      <c r="Y89" s="54"/>
      <c r="Z89" s="80"/>
      <c r="AA89" s="64"/>
      <c r="AB89" s="89" t="s">
        <v>73</v>
      </c>
      <c r="AC89" s="967" t="s">
        <v>59</v>
      </c>
      <c r="AD89" s="1243" t="str">
        <f t="shared" si="1"/>
        <v>a</v>
      </c>
      <c r="AE89" s="1123"/>
      <c r="AF89" s="572"/>
      <c r="AG89" s="572"/>
    </row>
    <row r="90" spans="1:33" ht="37.5" customHeight="1" x14ac:dyDescent="0.25">
      <c r="A90" s="926">
        <v>113</v>
      </c>
      <c r="B90" s="40" t="s">
        <v>241</v>
      </c>
      <c r="C90" s="41" t="s">
        <v>247</v>
      </c>
      <c r="D90" s="42" t="s">
        <v>248</v>
      </c>
      <c r="E90" s="43" t="s">
        <v>38</v>
      </c>
      <c r="F90" s="60" t="s">
        <v>40</v>
      </c>
      <c r="G90" s="61" t="s">
        <v>52</v>
      </c>
      <c r="H90" s="61" t="s">
        <v>40</v>
      </c>
      <c r="I90" s="62">
        <v>0.264453662019489</v>
      </c>
      <c r="J90" s="63" t="s">
        <v>41</v>
      </c>
      <c r="K90" s="46">
        <v>0.15401613914000001</v>
      </c>
      <c r="L90" s="47" t="s">
        <v>42</v>
      </c>
      <c r="M90" s="48"/>
      <c r="N90" s="48"/>
      <c r="O90" s="48"/>
      <c r="P90" s="50"/>
      <c r="Q90" s="51" t="s">
        <v>71</v>
      </c>
      <c r="R90" s="950" t="s">
        <v>72</v>
      </c>
      <c r="S90" s="955" t="str">
        <f>VLOOKUP(A90,Strat_Plan_Revit!$A$10:$S$321,14,FALSE)</f>
        <v>notable (amont) et faible (aval)</v>
      </c>
      <c r="T90" s="33" t="str">
        <f>VLOOKUP(A90,Strat_Plan_Revit!$A$10:$S$321,15,FALSE)</f>
        <v>nul</v>
      </c>
      <c r="U90" s="960" t="s">
        <v>73</v>
      </c>
      <c r="V90" s="73" t="s">
        <v>73</v>
      </c>
      <c r="W90" s="52" t="s">
        <v>59</v>
      </c>
      <c r="X90" s="53"/>
      <c r="Y90" s="54"/>
      <c r="Z90" s="80"/>
      <c r="AA90" s="64"/>
      <c r="AB90" s="89" t="s">
        <v>73</v>
      </c>
      <c r="AC90" s="967" t="s">
        <v>59</v>
      </c>
      <c r="AD90" s="1243" t="str">
        <f t="shared" si="1"/>
        <v>a</v>
      </c>
      <c r="AE90" s="1123"/>
      <c r="AF90" s="572"/>
      <c r="AG90" s="572"/>
    </row>
    <row r="91" spans="1:33" ht="37.5" customHeight="1" x14ac:dyDescent="0.25">
      <c r="A91" s="926">
        <v>114</v>
      </c>
      <c r="B91" s="40" t="s">
        <v>241</v>
      </c>
      <c r="C91" s="41" t="s">
        <v>249</v>
      </c>
      <c r="D91" s="42" t="s">
        <v>250</v>
      </c>
      <c r="E91" s="43" t="s">
        <v>38</v>
      </c>
      <c r="F91" s="44" t="s">
        <v>39</v>
      </c>
      <c r="G91" s="45" t="s">
        <v>52</v>
      </c>
      <c r="H91" s="45" t="s">
        <v>40</v>
      </c>
      <c r="I91" s="46">
        <v>1.9932877587362636E-2</v>
      </c>
      <c r="J91" s="47" t="s">
        <v>47</v>
      </c>
      <c r="K91" s="46">
        <v>0.16488842045999999</v>
      </c>
      <c r="L91" s="47" t="s">
        <v>42</v>
      </c>
      <c r="M91" s="48"/>
      <c r="N91" s="48"/>
      <c r="O91" s="48"/>
      <c r="P91" s="50"/>
      <c r="Q91" s="51" t="s">
        <v>39</v>
      </c>
      <c r="R91" s="950" t="s">
        <v>43</v>
      </c>
      <c r="S91" s="955" t="str">
        <f>VLOOKUP(A91,Strat_Plan_Revit!$A$10:$S$321,14,FALSE)</f>
        <v>très prononcée</v>
      </c>
      <c r="T91" s="33" t="str">
        <f>VLOOKUP(A91,Strat_Plan_Revit!$A$10:$S$321,15,FALSE)</f>
        <v>élevé (2020)</v>
      </c>
      <c r="U91" s="960" t="s">
        <v>45</v>
      </c>
      <c r="V91" s="73" t="s">
        <v>45</v>
      </c>
      <c r="W91" s="52" t="s">
        <v>59</v>
      </c>
      <c r="X91" s="53"/>
      <c r="Y91" s="54"/>
      <c r="Z91" s="80"/>
      <c r="AA91" s="64"/>
      <c r="AB91" s="89" t="s">
        <v>45</v>
      </c>
      <c r="AC91" s="967" t="s">
        <v>59</v>
      </c>
      <c r="AD91" s="1243" t="str">
        <f t="shared" si="1"/>
        <v>a</v>
      </c>
      <c r="AE91" s="1123"/>
      <c r="AF91" s="572"/>
      <c r="AG91" s="572"/>
    </row>
    <row r="92" spans="1:33" ht="37.5" customHeight="1" x14ac:dyDescent="0.25">
      <c r="A92" s="926">
        <v>115</v>
      </c>
      <c r="B92" s="40" t="s">
        <v>241</v>
      </c>
      <c r="C92" s="41" t="s">
        <v>253</v>
      </c>
      <c r="D92" s="42" t="s">
        <v>254</v>
      </c>
      <c r="E92" s="43" t="s">
        <v>38</v>
      </c>
      <c r="F92" s="60" t="s">
        <v>40</v>
      </c>
      <c r="G92" s="61" t="s">
        <v>52</v>
      </c>
      <c r="H92" s="61" t="s">
        <v>40</v>
      </c>
      <c r="I92" s="62">
        <v>0.19501510513857595</v>
      </c>
      <c r="J92" s="65" t="s">
        <v>47</v>
      </c>
      <c r="K92" s="62">
        <v>1.0964267723E-2</v>
      </c>
      <c r="L92" s="65" t="s">
        <v>42</v>
      </c>
      <c r="M92" s="66" t="s">
        <v>255</v>
      </c>
      <c r="N92" s="66" t="s">
        <v>84</v>
      </c>
      <c r="O92" s="66" t="s">
        <v>85</v>
      </c>
      <c r="P92" s="79" t="s">
        <v>86</v>
      </c>
      <c r="Q92" s="51" t="s">
        <v>87</v>
      </c>
      <c r="R92" s="950" t="s">
        <v>72</v>
      </c>
      <c r="S92" s="955" t="str">
        <f>VLOOKUP(A92,Strat_Plan_Revit!$A$10:$S$321,14,FALSE)</f>
        <v>faible</v>
      </c>
      <c r="T92" s="33" t="str">
        <f>VLOOKUP(A92,Strat_Plan_Revit!$A$10:$S$321,15,FALSE)</f>
        <v>nul?</v>
      </c>
      <c r="U92" s="960" t="s">
        <v>73</v>
      </c>
      <c r="V92" s="73" t="s">
        <v>73</v>
      </c>
      <c r="W92" s="52" t="s">
        <v>110</v>
      </c>
      <c r="X92" s="53"/>
      <c r="Y92" s="54"/>
      <c r="Z92" s="80"/>
      <c r="AA92" s="64"/>
      <c r="AB92" s="89" t="s">
        <v>73</v>
      </c>
      <c r="AC92" s="967" t="s">
        <v>110</v>
      </c>
      <c r="AD92" s="1243" t="str">
        <f t="shared" si="1"/>
        <v>a</v>
      </c>
      <c r="AE92" s="1123"/>
      <c r="AF92" s="572"/>
      <c r="AG92" s="572"/>
    </row>
    <row r="93" spans="1:33" ht="37.5" customHeight="1" x14ac:dyDescent="0.25">
      <c r="A93" s="926">
        <v>118</v>
      </c>
      <c r="B93" s="40" t="s">
        <v>573</v>
      </c>
      <c r="C93" s="41" t="s">
        <v>582</v>
      </c>
      <c r="D93" s="42" t="s">
        <v>254</v>
      </c>
      <c r="E93" s="43" t="s">
        <v>38</v>
      </c>
      <c r="F93" s="60" t="s">
        <v>40</v>
      </c>
      <c r="G93" s="61" t="s">
        <v>52</v>
      </c>
      <c r="H93" s="61" t="s">
        <v>40</v>
      </c>
      <c r="I93" s="62">
        <v>0</v>
      </c>
      <c r="J93" s="65" t="s">
        <v>47</v>
      </c>
      <c r="K93" s="62">
        <v>0.47545699062000002</v>
      </c>
      <c r="L93" s="63" t="s">
        <v>61</v>
      </c>
      <c r="M93" s="48"/>
      <c r="N93" s="48"/>
      <c r="O93" s="48"/>
      <c r="P93" s="50"/>
      <c r="Q93" s="51" t="s">
        <v>99</v>
      </c>
      <c r="R93" s="950" t="s">
        <v>72</v>
      </c>
      <c r="S93" s="955" t="str">
        <f>VLOOKUP(A93,Strat_Plan_Revit!$A$10:$S$321,14,FALSE)</f>
        <v>non évalué</v>
      </c>
      <c r="T93" s="33" t="str">
        <f>VLOOKUP(A93,Strat_Plan_Revit!$A$10:$S$321,15,FALSE)</f>
        <v>non évalué</v>
      </c>
      <c r="U93" s="960"/>
      <c r="V93" s="73" t="s">
        <v>88</v>
      </c>
      <c r="W93" s="52" t="s">
        <v>72</v>
      </c>
      <c r="X93" s="53"/>
      <c r="Y93" s="54"/>
      <c r="Z93" s="319" t="s">
        <v>577</v>
      </c>
      <c r="AA93" s="323" t="s">
        <v>583</v>
      </c>
      <c r="AB93" s="89" t="s">
        <v>88</v>
      </c>
      <c r="AC93" s="967" t="s">
        <v>72</v>
      </c>
      <c r="AD93" s="1243" t="str">
        <f t="shared" si="1"/>
        <v>b</v>
      </c>
      <c r="AE93" s="1123"/>
      <c r="AF93" s="572"/>
      <c r="AG93" s="572"/>
    </row>
    <row r="94" spans="1:33" ht="37.5" customHeight="1" x14ac:dyDescent="0.25">
      <c r="A94" s="927">
        <v>119.1</v>
      </c>
      <c r="B94" s="40" t="s">
        <v>573</v>
      </c>
      <c r="C94" s="41" t="s">
        <v>584</v>
      </c>
      <c r="D94" s="42" t="s">
        <v>585</v>
      </c>
      <c r="E94" s="43" t="s">
        <v>38</v>
      </c>
      <c r="F94" s="60" t="s">
        <v>40</v>
      </c>
      <c r="G94" s="61" t="s">
        <v>52</v>
      </c>
      <c r="H94" s="61" t="s">
        <v>40</v>
      </c>
      <c r="I94" s="62">
        <v>0.113019441585539</v>
      </c>
      <c r="J94" s="65" t="s">
        <v>47</v>
      </c>
      <c r="K94" s="62">
        <v>2.0795891210999999E-2</v>
      </c>
      <c r="L94" s="65" t="s">
        <v>42</v>
      </c>
      <c r="M94" s="66" t="s">
        <v>586</v>
      </c>
      <c r="N94" s="68" t="s">
        <v>103</v>
      </c>
      <c r="O94" s="49"/>
      <c r="P94" s="69"/>
      <c r="Q94" s="51" t="s">
        <v>214</v>
      </c>
      <c r="R94" s="950" t="s">
        <v>72</v>
      </c>
      <c r="S94" s="955">
        <f>VLOOKUP(A94,Strat_Plan_Revit!$A$10:$S$321,14,FALSE)</f>
        <v>0</v>
      </c>
      <c r="T94" s="33">
        <f>VLOOKUP(A94,Strat_Plan_Revit!$A$10:$S$321,15,FALSE)</f>
        <v>0</v>
      </c>
      <c r="U94" s="960"/>
      <c r="V94" s="73" t="s">
        <v>45</v>
      </c>
      <c r="W94" s="52" t="s">
        <v>72</v>
      </c>
      <c r="X94" s="53"/>
      <c r="Y94" s="54"/>
      <c r="Z94" s="319" t="s">
        <v>577</v>
      </c>
      <c r="AA94" s="91"/>
      <c r="AB94" s="89" t="s">
        <v>45</v>
      </c>
      <c r="AC94" s="967" t="s">
        <v>72</v>
      </c>
      <c r="AD94" s="1243" t="str">
        <f t="shared" si="1"/>
        <v>b</v>
      </c>
      <c r="AE94" s="1123"/>
      <c r="AF94" s="572"/>
      <c r="AG94" s="572"/>
    </row>
    <row r="95" spans="1:33" ht="37.5" customHeight="1" x14ac:dyDescent="0.25">
      <c r="A95" s="927">
        <v>119.2</v>
      </c>
      <c r="B95" s="40" t="s">
        <v>573</v>
      </c>
      <c r="C95" s="41" t="s">
        <v>584</v>
      </c>
      <c r="D95" s="42" t="s">
        <v>585</v>
      </c>
      <c r="E95" s="43" t="s">
        <v>38</v>
      </c>
      <c r="F95" s="60" t="s">
        <v>40</v>
      </c>
      <c r="G95" s="61" t="s">
        <v>52</v>
      </c>
      <c r="H95" s="61" t="s">
        <v>40</v>
      </c>
      <c r="I95" s="62">
        <v>0.109621417337702</v>
      </c>
      <c r="J95" s="65" t="s">
        <v>47</v>
      </c>
      <c r="K95" s="62">
        <v>3.4588633798999999E-2</v>
      </c>
      <c r="L95" s="65" t="s">
        <v>42</v>
      </c>
      <c r="M95" s="66" t="s">
        <v>586</v>
      </c>
      <c r="N95" s="68" t="s">
        <v>201</v>
      </c>
      <c r="O95" s="49"/>
      <c r="P95" s="69"/>
      <c r="Q95" s="51" t="s">
        <v>202</v>
      </c>
      <c r="R95" s="950" t="s">
        <v>72</v>
      </c>
      <c r="S95" s="955" t="str">
        <f>VLOOKUP(A95,Strat_Plan_Revit!$A$10:$S$321,14,FALSE)</f>
        <v>aucune</v>
      </c>
      <c r="T95" s="33" t="str">
        <f>VLOOKUP(A95,Strat_Plan_Revit!$A$10:$S$321,15,FALSE)</f>
        <v>aucun</v>
      </c>
      <c r="U95" s="960" t="s">
        <v>88</v>
      </c>
      <c r="V95" s="73" t="s">
        <v>88</v>
      </c>
      <c r="W95" s="52" t="s">
        <v>110</v>
      </c>
      <c r="X95" s="53"/>
      <c r="Y95" s="54"/>
      <c r="Z95" s="319" t="s">
        <v>577</v>
      </c>
      <c r="AA95" s="91"/>
      <c r="AB95" s="89" t="s">
        <v>88</v>
      </c>
      <c r="AC95" s="967" t="s">
        <v>110</v>
      </c>
      <c r="AD95" s="1243" t="str">
        <f t="shared" si="1"/>
        <v>a</v>
      </c>
      <c r="AE95" s="1123"/>
      <c r="AF95" s="572"/>
      <c r="AG95" s="572"/>
    </row>
    <row r="96" spans="1:33" ht="37.5" customHeight="1" x14ac:dyDescent="0.25">
      <c r="A96" s="927">
        <v>119.3</v>
      </c>
      <c r="B96" s="40" t="s">
        <v>573</v>
      </c>
      <c r="C96" s="41" t="s">
        <v>584</v>
      </c>
      <c r="D96" s="42" t="s">
        <v>585</v>
      </c>
      <c r="E96" s="57" t="s">
        <v>51</v>
      </c>
      <c r="F96" s="58"/>
      <c r="G96" s="45" t="s">
        <v>52</v>
      </c>
      <c r="H96" s="45" t="s">
        <v>40</v>
      </c>
      <c r="I96" s="46">
        <v>0.25876528950237399</v>
      </c>
      <c r="J96" s="47" t="s">
        <v>41</v>
      </c>
      <c r="K96" s="46">
        <v>0.25459243350999999</v>
      </c>
      <c r="L96" s="47" t="s">
        <v>42</v>
      </c>
      <c r="M96" s="48"/>
      <c r="N96" s="48"/>
      <c r="O96" s="48"/>
      <c r="P96" s="50"/>
      <c r="Q96" s="51" t="s">
        <v>53</v>
      </c>
      <c r="R96" s="950" t="s">
        <v>43</v>
      </c>
      <c r="S96" s="955">
        <f>VLOOKUP(A96,Strat_Plan_Revit!$A$10:$S$321,14,FALSE)</f>
        <v>0</v>
      </c>
      <c r="T96" s="33">
        <f>VLOOKUP(A96,Strat_Plan_Revit!$A$10:$S$321,15,FALSE)</f>
        <v>0</v>
      </c>
      <c r="U96" s="960"/>
      <c r="V96" s="73" t="s">
        <v>53</v>
      </c>
      <c r="W96" s="52" t="s">
        <v>43</v>
      </c>
      <c r="X96" s="318"/>
      <c r="Y96" s="54"/>
      <c r="Z96" s="103" t="s">
        <v>577</v>
      </c>
      <c r="AA96" s="1237"/>
      <c r="AB96" s="89" t="s">
        <v>53</v>
      </c>
      <c r="AC96" s="967" t="s">
        <v>43</v>
      </c>
      <c r="AD96" s="1243" t="str">
        <f t="shared" si="1"/>
        <v>a</v>
      </c>
      <c r="AE96" s="1123"/>
      <c r="AF96" s="572"/>
      <c r="AG96" s="572"/>
    </row>
    <row r="97" spans="1:33" ht="37.5" customHeight="1" x14ac:dyDescent="0.25">
      <c r="A97" s="926">
        <v>120</v>
      </c>
      <c r="B97" s="40" t="s">
        <v>573</v>
      </c>
      <c r="C97" s="41" t="s">
        <v>588</v>
      </c>
      <c r="D97" s="42" t="s">
        <v>589</v>
      </c>
      <c r="E97" s="43" t="s">
        <v>38</v>
      </c>
      <c r="F97" s="60" t="s">
        <v>40</v>
      </c>
      <c r="G97" s="61" t="s">
        <v>52</v>
      </c>
      <c r="H97" s="61" t="s">
        <v>40</v>
      </c>
      <c r="I97" s="62">
        <v>0</v>
      </c>
      <c r="J97" s="65" t="s">
        <v>47</v>
      </c>
      <c r="K97" s="62">
        <v>4.7852620335999997E-2</v>
      </c>
      <c r="L97" s="65" t="s">
        <v>42</v>
      </c>
      <c r="M97" s="66" t="s">
        <v>590</v>
      </c>
      <c r="N97" s="68" t="s">
        <v>86</v>
      </c>
      <c r="O97" s="49"/>
      <c r="P97" s="69"/>
      <c r="Q97" s="51" t="s">
        <v>87</v>
      </c>
      <c r="R97" s="950" t="s">
        <v>72</v>
      </c>
      <c r="S97" s="955" t="str">
        <f>VLOOKUP(A97,Strat_Plan_Revit!$A$10:$S$321,14,FALSE)</f>
        <v>aucune</v>
      </c>
      <c r="T97" s="33" t="str">
        <f>VLOOKUP(A97,Strat_Plan_Revit!$A$10:$S$321,15,FALSE)</f>
        <v>aucun</v>
      </c>
      <c r="U97" s="960" t="s">
        <v>88</v>
      </c>
      <c r="V97" s="73" t="s">
        <v>88</v>
      </c>
      <c r="W97" s="52" t="s">
        <v>59</v>
      </c>
      <c r="X97" s="318"/>
      <c r="Y97" s="54"/>
      <c r="Z97" s="103" t="s">
        <v>577</v>
      </c>
      <c r="AA97" s="1237"/>
      <c r="AB97" s="89" t="s">
        <v>88</v>
      </c>
      <c r="AC97" s="967" t="s">
        <v>59</v>
      </c>
      <c r="AD97" s="1243" t="str">
        <f t="shared" si="1"/>
        <v>a</v>
      </c>
      <c r="AE97" s="1123"/>
      <c r="AF97" s="572"/>
      <c r="AG97" s="572"/>
    </row>
    <row r="98" spans="1:33" ht="37.5" customHeight="1" x14ac:dyDescent="0.25">
      <c r="A98" s="926">
        <v>121</v>
      </c>
      <c r="B98" s="40" t="s">
        <v>573</v>
      </c>
      <c r="C98" s="41" t="s">
        <v>591</v>
      </c>
      <c r="D98" s="42" t="s">
        <v>589</v>
      </c>
      <c r="E98" s="43" t="s">
        <v>38</v>
      </c>
      <c r="F98" s="60" t="s">
        <v>40</v>
      </c>
      <c r="G98" s="61" t="s">
        <v>52</v>
      </c>
      <c r="H98" s="61" t="s">
        <v>40</v>
      </c>
      <c r="I98" s="62">
        <v>1.29121508640052E-2</v>
      </c>
      <c r="J98" s="65" t="s">
        <v>47</v>
      </c>
      <c r="K98" s="62">
        <v>6.1048146744999997E-2</v>
      </c>
      <c r="L98" s="65" t="s">
        <v>42</v>
      </c>
      <c r="M98" s="68"/>
      <c r="N98" s="66" t="s">
        <v>84</v>
      </c>
      <c r="O98" s="66" t="s">
        <v>592</v>
      </c>
      <c r="P98" s="67" t="s">
        <v>86</v>
      </c>
      <c r="Q98" s="51" t="s">
        <v>87</v>
      </c>
      <c r="R98" s="950" t="s">
        <v>72</v>
      </c>
      <c r="S98" s="955" t="str">
        <f>VLOOKUP(A98,Strat_Plan_Revit!$A$10:$S$321,14,FALSE)</f>
        <v>aucune</v>
      </c>
      <c r="T98" s="33" t="str">
        <f>VLOOKUP(A98,Strat_Plan_Revit!$A$10:$S$321,15,FALSE)</f>
        <v>aucun</v>
      </c>
      <c r="U98" s="960" t="s">
        <v>88</v>
      </c>
      <c r="V98" s="73" t="s">
        <v>88</v>
      </c>
      <c r="W98" s="52" t="s">
        <v>59</v>
      </c>
      <c r="X98" s="318"/>
      <c r="Y98" s="54"/>
      <c r="Z98" s="103" t="s">
        <v>577</v>
      </c>
      <c r="AA98" s="1237"/>
      <c r="AB98" s="89" t="s">
        <v>88</v>
      </c>
      <c r="AC98" s="967" t="s">
        <v>59</v>
      </c>
      <c r="AD98" s="1243" t="str">
        <f t="shared" si="1"/>
        <v>a</v>
      </c>
      <c r="AE98" s="1123"/>
      <c r="AF98" s="572"/>
      <c r="AG98" s="572"/>
    </row>
    <row r="99" spans="1:33" ht="37.5" customHeight="1" x14ac:dyDescent="0.25">
      <c r="A99" s="926">
        <v>122</v>
      </c>
      <c r="B99" s="40" t="s">
        <v>573</v>
      </c>
      <c r="C99" s="41" t="s">
        <v>593</v>
      </c>
      <c r="D99" s="42" t="s">
        <v>589</v>
      </c>
      <c r="E99" s="43" t="s">
        <v>38</v>
      </c>
      <c r="F99" s="60" t="s">
        <v>40</v>
      </c>
      <c r="G99" s="61" t="s">
        <v>52</v>
      </c>
      <c r="H99" s="61" t="s">
        <v>40</v>
      </c>
      <c r="I99" s="62">
        <v>0</v>
      </c>
      <c r="J99" s="65" t="s">
        <v>47</v>
      </c>
      <c r="K99" s="62">
        <v>4.0717261168999999E-2</v>
      </c>
      <c r="L99" s="65" t="s">
        <v>42</v>
      </c>
      <c r="M99" s="66" t="s">
        <v>594</v>
      </c>
      <c r="N99" s="68" t="s">
        <v>103</v>
      </c>
      <c r="O99" s="49"/>
      <c r="P99" s="69"/>
      <c r="Q99" s="51" t="s">
        <v>104</v>
      </c>
      <c r="R99" s="950" t="s">
        <v>72</v>
      </c>
      <c r="S99" s="955" t="str">
        <f>VLOOKUP(A99,Strat_Plan_Revit!$A$10:$S$321,14,FALSE)</f>
        <v>aucune</v>
      </c>
      <c r="T99" s="33" t="str">
        <f>VLOOKUP(A99,Strat_Plan_Revit!$A$10:$S$321,15,FALSE)</f>
        <v>aucun</v>
      </c>
      <c r="U99" s="960" t="s">
        <v>88</v>
      </c>
      <c r="V99" s="73" t="s">
        <v>88</v>
      </c>
      <c r="W99" s="52" t="s">
        <v>110</v>
      </c>
      <c r="X99" s="318" t="s">
        <v>595</v>
      </c>
      <c r="Y99" s="54"/>
      <c r="Z99" s="103" t="s">
        <v>577</v>
      </c>
      <c r="AA99" s="1238" t="s">
        <v>84</v>
      </c>
      <c r="AB99" s="89" t="s">
        <v>88</v>
      </c>
      <c r="AC99" s="967" t="s">
        <v>110</v>
      </c>
      <c r="AD99" s="1243" t="str">
        <f t="shared" si="1"/>
        <v>a</v>
      </c>
      <c r="AE99" s="1123"/>
      <c r="AF99" s="572"/>
      <c r="AG99" s="572"/>
    </row>
    <row r="100" spans="1:33" ht="37.5" customHeight="1" x14ac:dyDescent="0.25">
      <c r="A100" s="927">
        <v>123.1</v>
      </c>
      <c r="B100" s="40" t="s">
        <v>573</v>
      </c>
      <c r="C100" s="41" t="s">
        <v>596</v>
      </c>
      <c r="D100" s="42" t="s">
        <v>597</v>
      </c>
      <c r="E100" s="43" t="s">
        <v>38</v>
      </c>
      <c r="F100" s="44" t="s">
        <v>73</v>
      </c>
      <c r="G100" s="45" t="s">
        <v>52</v>
      </c>
      <c r="H100" s="45" t="s">
        <v>40</v>
      </c>
      <c r="I100" s="46">
        <v>7.5429700175141902E-3</v>
      </c>
      <c r="J100" s="47" t="s">
        <v>47</v>
      </c>
      <c r="K100" s="46">
        <v>0.13174886111</v>
      </c>
      <c r="L100" s="47" t="s">
        <v>42</v>
      </c>
      <c r="M100" s="48"/>
      <c r="N100" s="48"/>
      <c r="O100" s="48"/>
      <c r="P100" s="50"/>
      <c r="Q100" s="51" t="s">
        <v>73</v>
      </c>
      <c r="R100" s="950" t="s">
        <v>43</v>
      </c>
      <c r="S100" s="955" t="str">
        <f>VLOOKUP(A100,Strat_Plan_Revit!$A$10:$S$321,14,FALSE)</f>
        <v>aucune</v>
      </c>
      <c r="T100" s="33" t="str">
        <f>VLOOKUP(A100,Strat_Plan_Revit!$A$10:$S$321,15,FALSE)</f>
        <v>aucun</v>
      </c>
      <c r="U100" s="960"/>
      <c r="V100" s="73" t="s">
        <v>73</v>
      </c>
      <c r="W100" s="52" t="s">
        <v>43</v>
      </c>
      <c r="X100" s="53"/>
      <c r="Y100" s="54"/>
      <c r="Z100" s="319" t="s">
        <v>577</v>
      </c>
      <c r="AA100" s="91"/>
      <c r="AB100" s="89" t="s">
        <v>73</v>
      </c>
      <c r="AC100" s="967" t="s">
        <v>43</v>
      </c>
      <c r="AD100" s="1243" t="str">
        <f t="shared" si="1"/>
        <v>a</v>
      </c>
      <c r="AE100" s="1123"/>
      <c r="AF100" s="572"/>
      <c r="AG100" s="572"/>
    </row>
    <row r="101" spans="1:33" ht="37.5" customHeight="1" x14ac:dyDescent="0.25">
      <c r="A101" s="927">
        <v>123.2</v>
      </c>
      <c r="B101" s="40" t="s">
        <v>573</v>
      </c>
      <c r="C101" s="41" t="s">
        <v>596</v>
      </c>
      <c r="D101" s="42" t="s">
        <v>597</v>
      </c>
      <c r="E101" s="43" t="s">
        <v>38</v>
      </c>
      <c r="F101" s="44" t="s">
        <v>73</v>
      </c>
      <c r="G101" s="45" t="s">
        <v>52</v>
      </c>
      <c r="H101" s="45" t="s">
        <v>40</v>
      </c>
      <c r="I101" s="46">
        <v>0</v>
      </c>
      <c r="J101" s="47" t="s">
        <v>47</v>
      </c>
      <c r="K101" s="46">
        <v>3.9458874451999998E-2</v>
      </c>
      <c r="L101" s="47" t="s">
        <v>42</v>
      </c>
      <c r="M101" s="48"/>
      <c r="N101" s="48"/>
      <c r="O101" s="48"/>
      <c r="P101" s="50"/>
      <c r="Q101" s="51" t="s">
        <v>73</v>
      </c>
      <c r="R101" s="950" t="s">
        <v>43</v>
      </c>
      <c r="S101" s="955">
        <f>VLOOKUP(A101,Strat_Plan_Revit!$A$10:$S$321,14,FALSE)</f>
        <v>0</v>
      </c>
      <c r="T101" s="33">
        <f>VLOOKUP(A101,Strat_Plan_Revit!$A$10:$S$321,15,FALSE)</f>
        <v>0</v>
      </c>
      <c r="U101" s="960" t="s">
        <v>88</v>
      </c>
      <c r="V101" s="73" t="s">
        <v>88</v>
      </c>
      <c r="W101" s="52" t="s">
        <v>110</v>
      </c>
      <c r="X101" s="53"/>
      <c r="Y101" s="54"/>
      <c r="Z101" s="319" t="s">
        <v>577</v>
      </c>
      <c r="AA101" s="91"/>
      <c r="AB101" s="89" t="s">
        <v>88</v>
      </c>
      <c r="AC101" s="967" t="s">
        <v>110</v>
      </c>
      <c r="AD101" s="1243" t="str">
        <f t="shared" si="1"/>
        <v>a</v>
      </c>
      <c r="AE101" s="1123"/>
      <c r="AF101" s="572"/>
      <c r="AG101" s="572"/>
    </row>
    <row r="102" spans="1:33" ht="37.5" customHeight="1" x14ac:dyDescent="0.25">
      <c r="A102" s="927">
        <v>123.3</v>
      </c>
      <c r="B102" s="40" t="s">
        <v>573</v>
      </c>
      <c r="C102" s="41" t="s">
        <v>596</v>
      </c>
      <c r="D102" s="42" t="s">
        <v>597</v>
      </c>
      <c r="E102" s="57" t="s">
        <v>51</v>
      </c>
      <c r="F102" s="58"/>
      <c r="G102" s="45" t="s">
        <v>52</v>
      </c>
      <c r="H102" s="45" t="s">
        <v>40</v>
      </c>
      <c r="I102" s="46">
        <v>0.34871043745439201</v>
      </c>
      <c r="J102" s="47" t="s">
        <v>41</v>
      </c>
      <c r="K102" s="46">
        <v>0.3455510262</v>
      </c>
      <c r="L102" s="47" t="s">
        <v>61</v>
      </c>
      <c r="M102" s="48"/>
      <c r="N102" s="48"/>
      <c r="O102" s="48"/>
      <c r="P102" s="50"/>
      <c r="Q102" s="51" t="s">
        <v>53</v>
      </c>
      <c r="R102" s="950" t="s">
        <v>43</v>
      </c>
      <c r="S102" s="955">
        <f>VLOOKUP(A102,Strat_Plan_Revit!$A$10:$S$321,14,FALSE)</f>
        <v>0</v>
      </c>
      <c r="T102" s="33">
        <f>VLOOKUP(A102,Strat_Plan_Revit!$A$10:$S$321,15,FALSE)</f>
        <v>0</v>
      </c>
      <c r="U102" s="960"/>
      <c r="V102" s="73" t="s">
        <v>53</v>
      </c>
      <c r="W102" s="52" t="s">
        <v>43</v>
      </c>
      <c r="X102" s="53"/>
      <c r="Y102" s="54"/>
      <c r="Z102" s="319" t="s">
        <v>577</v>
      </c>
      <c r="AA102" s="91"/>
      <c r="AB102" s="89" t="s">
        <v>53</v>
      </c>
      <c r="AC102" s="967" t="s">
        <v>43</v>
      </c>
      <c r="AD102" s="1243" t="str">
        <f t="shared" si="1"/>
        <v>a</v>
      </c>
      <c r="AE102" s="1123"/>
      <c r="AF102" s="572"/>
      <c r="AG102" s="572"/>
    </row>
    <row r="103" spans="1:33" ht="37.5" customHeight="1" x14ac:dyDescent="0.25">
      <c r="A103" s="926">
        <v>124</v>
      </c>
      <c r="B103" s="40" t="s">
        <v>573</v>
      </c>
      <c r="C103" s="41" t="s">
        <v>598</v>
      </c>
      <c r="D103" s="42" t="s">
        <v>599</v>
      </c>
      <c r="E103" s="43" t="s">
        <v>38</v>
      </c>
      <c r="F103" s="44" t="s">
        <v>73</v>
      </c>
      <c r="G103" s="45" t="s">
        <v>52</v>
      </c>
      <c r="H103" s="45" t="s">
        <v>40</v>
      </c>
      <c r="I103" s="46">
        <v>0.44285525471942699</v>
      </c>
      <c r="J103" s="47" t="s">
        <v>41</v>
      </c>
      <c r="K103" s="46">
        <v>2.2769769033000001E-2</v>
      </c>
      <c r="L103" s="47" t="s">
        <v>42</v>
      </c>
      <c r="M103" s="48"/>
      <c r="N103" s="48"/>
      <c r="O103" s="48"/>
      <c r="P103" s="50"/>
      <c r="Q103" s="51" t="s">
        <v>73</v>
      </c>
      <c r="R103" s="950" t="s">
        <v>43</v>
      </c>
      <c r="S103" s="955" t="str">
        <f>VLOOKUP(A103,Strat_Plan_Revit!$A$10:$S$321,14,FALSE)</f>
        <v>aucune</v>
      </c>
      <c r="T103" s="33" t="str">
        <f>VLOOKUP(A103,Strat_Plan_Revit!$A$10:$S$321,15,FALSE)</f>
        <v>aucun</v>
      </c>
      <c r="U103" s="960" t="s">
        <v>88</v>
      </c>
      <c r="V103" s="73" t="s">
        <v>88</v>
      </c>
      <c r="W103" s="52" t="s">
        <v>110</v>
      </c>
      <c r="X103" s="53"/>
      <c r="Y103" s="54"/>
      <c r="Z103" s="319" t="s">
        <v>577</v>
      </c>
      <c r="AA103" s="323" t="s">
        <v>600</v>
      </c>
      <c r="AB103" s="89" t="s">
        <v>88</v>
      </c>
      <c r="AC103" s="967" t="s">
        <v>110</v>
      </c>
      <c r="AD103" s="1243" t="str">
        <f t="shared" si="1"/>
        <v>a</v>
      </c>
      <c r="AE103" s="1123"/>
      <c r="AF103" s="572"/>
      <c r="AG103" s="572"/>
    </row>
    <row r="104" spans="1:33" ht="37.5" customHeight="1" x14ac:dyDescent="0.25">
      <c r="A104" s="926">
        <v>125</v>
      </c>
      <c r="B104" s="40" t="s">
        <v>625</v>
      </c>
      <c r="C104" s="41" t="s">
        <v>626</v>
      </c>
      <c r="D104" s="42" t="s">
        <v>627</v>
      </c>
      <c r="E104" s="43" t="s">
        <v>38</v>
      </c>
      <c r="F104" s="60" t="s">
        <v>40</v>
      </c>
      <c r="G104" s="61" t="s">
        <v>52</v>
      </c>
      <c r="H104" s="61" t="s">
        <v>40</v>
      </c>
      <c r="I104" s="62">
        <v>0</v>
      </c>
      <c r="J104" s="65" t="s">
        <v>47</v>
      </c>
      <c r="K104" s="62">
        <v>1.8835767728999999E-2</v>
      </c>
      <c r="L104" s="65" t="s">
        <v>42</v>
      </c>
      <c r="M104" s="66" t="s">
        <v>628</v>
      </c>
      <c r="N104" s="66" t="s">
        <v>84</v>
      </c>
      <c r="O104" s="66" t="s">
        <v>629</v>
      </c>
      <c r="P104" s="67" t="s">
        <v>86</v>
      </c>
      <c r="Q104" s="51" t="s">
        <v>87</v>
      </c>
      <c r="R104" s="950" t="s">
        <v>72</v>
      </c>
      <c r="S104" s="955" t="str">
        <f>VLOOKUP(A104,Strat_Plan_Revit!$A$10:$S$321,14,FALSE)</f>
        <v>non évalué</v>
      </c>
      <c r="T104" s="33" t="str">
        <f>VLOOKUP(A104,Strat_Plan_Revit!$A$10:$S$321,15,FALSE)</f>
        <v>non évalué</v>
      </c>
      <c r="U104" s="960"/>
      <c r="V104" s="73" t="s">
        <v>88</v>
      </c>
      <c r="W104" s="52" t="s">
        <v>72</v>
      </c>
      <c r="X104" s="53"/>
      <c r="Y104" s="54"/>
      <c r="Z104" s="80"/>
      <c r="AA104" s="91"/>
      <c r="AB104" s="89" t="s">
        <v>88</v>
      </c>
      <c r="AC104" s="967" t="s">
        <v>72</v>
      </c>
      <c r="AD104" s="1243" t="str">
        <f t="shared" si="1"/>
        <v>b</v>
      </c>
      <c r="AE104" s="1123"/>
      <c r="AF104" s="572"/>
      <c r="AG104" s="572"/>
    </row>
    <row r="105" spans="1:33" ht="37.5" customHeight="1" x14ac:dyDescent="0.25">
      <c r="A105" s="926">
        <v>127</v>
      </c>
      <c r="B105" s="40" t="s">
        <v>625</v>
      </c>
      <c r="C105" s="41" t="s">
        <v>630</v>
      </c>
      <c r="D105" s="42" t="s">
        <v>631</v>
      </c>
      <c r="E105" s="43" t="s">
        <v>38</v>
      </c>
      <c r="F105" s="60" t="s">
        <v>40</v>
      </c>
      <c r="G105" s="61" t="s">
        <v>52</v>
      </c>
      <c r="H105" s="61" t="s">
        <v>40</v>
      </c>
      <c r="I105" s="62">
        <v>0.37926606505451899</v>
      </c>
      <c r="J105" s="63" t="s">
        <v>41</v>
      </c>
      <c r="K105" s="46">
        <v>0.30352771236999998</v>
      </c>
      <c r="L105" s="47" t="s">
        <v>42</v>
      </c>
      <c r="M105" s="48"/>
      <c r="N105" s="48"/>
      <c r="O105" s="48"/>
      <c r="P105" s="50"/>
      <c r="Q105" s="51" t="s">
        <v>71</v>
      </c>
      <c r="R105" s="950" t="s">
        <v>43</v>
      </c>
      <c r="S105" s="955" t="str">
        <f>VLOOKUP(A105,Strat_Plan_Revit!$A$10:$S$321,14,FALSE)</f>
        <v>atteinte significative</v>
      </c>
      <c r="T105" s="33" t="str">
        <f>VLOOKUP(A105,Strat_Plan_Revit!$A$10:$S$321,15,FALSE)</f>
        <v>mesure prévue</v>
      </c>
      <c r="U105" s="962" t="s">
        <v>73</v>
      </c>
      <c r="V105" s="73" t="s">
        <v>73</v>
      </c>
      <c r="W105" s="52" t="s">
        <v>59</v>
      </c>
      <c r="X105" s="53" t="s">
        <v>634</v>
      </c>
      <c r="Y105" s="54"/>
      <c r="Z105" s="80"/>
      <c r="AA105" s="91"/>
      <c r="AB105" s="89" t="s">
        <v>73</v>
      </c>
      <c r="AC105" s="967" t="s">
        <v>59</v>
      </c>
      <c r="AD105" s="1243" t="str">
        <f t="shared" si="1"/>
        <v>a</v>
      </c>
      <c r="AE105" s="1123"/>
      <c r="AF105" s="572"/>
      <c r="AG105" s="572"/>
    </row>
    <row r="106" spans="1:33" ht="37.5" customHeight="1" x14ac:dyDescent="0.25">
      <c r="A106" s="926">
        <v>128</v>
      </c>
      <c r="B106" s="40" t="s">
        <v>625</v>
      </c>
      <c r="C106" s="41" t="s">
        <v>635</v>
      </c>
      <c r="D106" s="42" t="s">
        <v>636</v>
      </c>
      <c r="E106" s="43" t="s">
        <v>38</v>
      </c>
      <c r="F106" s="60" t="s">
        <v>40</v>
      </c>
      <c r="G106" s="61" t="s">
        <v>52</v>
      </c>
      <c r="H106" s="61" t="s">
        <v>40</v>
      </c>
      <c r="I106" s="62">
        <v>0</v>
      </c>
      <c r="J106" s="65" t="s">
        <v>47</v>
      </c>
      <c r="K106" s="62">
        <v>0.51351707130000002</v>
      </c>
      <c r="L106" s="63" t="s">
        <v>61</v>
      </c>
      <c r="M106" s="49"/>
      <c r="N106" s="49"/>
      <c r="O106" s="49"/>
      <c r="P106" s="69"/>
      <c r="Q106" s="51" t="s">
        <v>87</v>
      </c>
      <c r="R106" s="950" t="s">
        <v>43</v>
      </c>
      <c r="S106" s="955" t="str">
        <f>VLOOKUP(A106,Strat_Plan_Revit!$A$10:$S$321,14,FALSE)</f>
        <v>pas atteinte significative</v>
      </c>
      <c r="T106" s="33" t="str">
        <f>VLOOKUP(A106,Strat_Plan_Revit!$A$10:$S$321,15,FALSE)</f>
        <v>pas de mesure prévue à proximité de la ZA</v>
      </c>
      <c r="U106" s="962" t="s">
        <v>88</v>
      </c>
      <c r="V106" s="73" t="s">
        <v>88</v>
      </c>
      <c r="W106" s="52" t="s">
        <v>59</v>
      </c>
      <c r="X106" s="53"/>
      <c r="Y106" s="54"/>
      <c r="Z106" s="80"/>
      <c r="AA106" s="91"/>
      <c r="AB106" s="89" t="s">
        <v>88</v>
      </c>
      <c r="AC106" s="967" t="s">
        <v>59</v>
      </c>
      <c r="AD106" s="1243" t="str">
        <f t="shared" si="1"/>
        <v>a</v>
      </c>
      <c r="AE106" s="1123"/>
      <c r="AF106" s="572"/>
      <c r="AG106" s="572"/>
    </row>
    <row r="107" spans="1:33" ht="37.5" customHeight="1" x14ac:dyDescent="0.25">
      <c r="A107" s="926">
        <v>129</v>
      </c>
      <c r="B107" s="40" t="s">
        <v>625</v>
      </c>
      <c r="C107" s="41" t="s">
        <v>639</v>
      </c>
      <c r="D107" s="42" t="s">
        <v>636</v>
      </c>
      <c r="E107" s="43" t="s">
        <v>38</v>
      </c>
      <c r="F107" s="60" t="s">
        <v>40</v>
      </c>
      <c r="G107" s="61" t="s">
        <v>52</v>
      </c>
      <c r="H107" s="61" t="s">
        <v>40</v>
      </c>
      <c r="I107" s="62">
        <v>0</v>
      </c>
      <c r="J107" s="65" t="s">
        <v>47</v>
      </c>
      <c r="K107" s="62">
        <v>4.2530865485E-2</v>
      </c>
      <c r="L107" s="65" t="s">
        <v>42</v>
      </c>
      <c r="M107" s="68"/>
      <c r="N107" s="66" t="s">
        <v>84</v>
      </c>
      <c r="O107" s="66" t="s">
        <v>592</v>
      </c>
      <c r="P107" s="67" t="s">
        <v>86</v>
      </c>
      <c r="Q107" s="51" t="s">
        <v>87</v>
      </c>
      <c r="R107" s="950" t="s">
        <v>72</v>
      </c>
      <c r="S107" s="955" t="str">
        <f>VLOOKUP(A107,Strat_Plan_Revit!$A$10:$S$321,14,FALSE)</f>
        <v>atteinte significative</v>
      </c>
      <c r="T107" s="33" t="str">
        <f>VLOOKUP(A107,Strat_Plan_Revit!$A$10:$S$321,15,FALSE)</f>
        <v>mesure prévue</v>
      </c>
      <c r="U107" s="962" t="s">
        <v>73</v>
      </c>
      <c r="V107" s="73" t="s">
        <v>73</v>
      </c>
      <c r="W107" s="52" t="s">
        <v>110</v>
      </c>
      <c r="X107" s="53" t="s">
        <v>634</v>
      </c>
      <c r="Y107" s="54"/>
      <c r="Z107" s="80"/>
      <c r="AA107" s="91"/>
      <c r="AB107" s="89" t="s">
        <v>73</v>
      </c>
      <c r="AC107" s="967" t="s">
        <v>110</v>
      </c>
      <c r="AD107" s="1243" t="str">
        <f t="shared" si="1"/>
        <v>a</v>
      </c>
      <c r="AE107" s="1123"/>
      <c r="AF107" s="572"/>
      <c r="AG107" s="572"/>
    </row>
    <row r="108" spans="1:33" ht="37.5" customHeight="1" x14ac:dyDescent="0.25">
      <c r="A108" s="926">
        <v>130</v>
      </c>
      <c r="B108" s="40" t="s">
        <v>625</v>
      </c>
      <c r="C108" s="41" t="s">
        <v>640</v>
      </c>
      <c r="D108" s="42" t="s">
        <v>641</v>
      </c>
      <c r="E108" s="43" t="s">
        <v>38</v>
      </c>
      <c r="F108" s="60" t="s">
        <v>40</v>
      </c>
      <c r="G108" s="61" t="s">
        <v>52</v>
      </c>
      <c r="H108" s="61" t="s">
        <v>40</v>
      </c>
      <c r="I108" s="62">
        <v>0</v>
      </c>
      <c r="J108" s="65" t="s">
        <v>47</v>
      </c>
      <c r="K108" s="62">
        <v>0.37811486656999999</v>
      </c>
      <c r="L108" s="63" t="s">
        <v>61</v>
      </c>
      <c r="M108" s="49"/>
      <c r="N108" s="49"/>
      <c r="O108" s="49"/>
      <c r="P108" s="69"/>
      <c r="Q108" s="51" t="s">
        <v>99</v>
      </c>
      <c r="R108" s="950" t="s">
        <v>72</v>
      </c>
      <c r="S108" s="955" t="str">
        <f>VLOOKUP(A108,Strat_Plan_Revit!$A$10:$S$321,14,FALSE)</f>
        <v>atteinte significative</v>
      </c>
      <c r="T108" s="33" t="str">
        <f>VLOOKUP(A108,Strat_Plan_Revit!$A$10:$S$321,15,FALSE)</f>
        <v>mesure prévue</v>
      </c>
      <c r="U108" s="962" t="s">
        <v>73</v>
      </c>
      <c r="V108" s="73" t="s">
        <v>73</v>
      </c>
      <c r="W108" s="52" t="s">
        <v>110</v>
      </c>
      <c r="X108" s="53" t="s">
        <v>634</v>
      </c>
      <c r="Y108" s="54"/>
      <c r="Z108" s="80"/>
      <c r="AA108" s="91"/>
      <c r="AB108" s="89" t="s">
        <v>73</v>
      </c>
      <c r="AC108" s="967" t="s">
        <v>110</v>
      </c>
      <c r="AD108" s="1243" t="str">
        <f t="shared" si="1"/>
        <v>a</v>
      </c>
      <c r="AE108" s="1123"/>
      <c r="AF108" s="572"/>
      <c r="AG108" s="572"/>
    </row>
    <row r="109" spans="1:33" ht="37.5" customHeight="1" x14ac:dyDescent="0.25">
      <c r="A109" s="926">
        <v>131</v>
      </c>
      <c r="B109" s="40" t="s">
        <v>625</v>
      </c>
      <c r="C109" s="41" t="s">
        <v>642</v>
      </c>
      <c r="D109" s="42" t="s">
        <v>641</v>
      </c>
      <c r="E109" s="43" t="s">
        <v>38</v>
      </c>
      <c r="F109" s="60" t="s">
        <v>40</v>
      </c>
      <c r="G109" s="61" t="s">
        <v>52</v>
      </c>
      <c r="H109" s="61" t="s">
        <v>40</v>
      </c>
      <c r="I109" s="62">
        <v>0</v>
      </c>
      <c r="J109" s="65" t="s">
        <v>47</v>
      </c>
      <c r="K109" s="62">
        <v>0.40858463711999998</v>
      </c>
      <c r="L109" s="63" t="s">
        <v>61</v>
      </c>
      <c r="M109" s="48"/>
      <c r="N109" s="48"/>
      <c r="O109" s="48"/>
      <c r="P109" s="50"/>
      <c r="Q109" s="51" t="s">
        <v>99</v>
      </c>
      <c r="R109" s="950" t="s">
        <v>72</v>
      </c>
      <c r="S109" s="955" t="str">
        <f>VLOOKUP(A109,Strat_Plan_Revit!$A$10:$S$321,14,FALSE)</f>
        <v>atteinte significative</v>
      </c>
      <c r="T109" s="33" t="str">
        <f>VLOOKUP(A109,Strat_Plan_Revit!$A$10:$S$321,15,FALSE)</f>
        <v>mesure prévue</v>
      </c>
      <c r="U109" s="962" t="s">
        <v>73</v>
      </c>
      <c r="V109" s="73" t="s">
        <v>73</v>
      </c>
      <c r="W109" s="52" t="s">
        <v>110</v>
      </c>
      <c r="X109" s="53" t="s">
        <v>634</v>
      </c>
      <c r="Y109" s="54"/>
      <c r="Z109" s="80"/>
      <c r="AA109" s="91"/>
      <c r="AB109" s="89" t="s">
        <v>73</v>
      </c>
      <c r="AC109" s="967" t="s">
        <v>110</v>
      </c>
      <c r="AD109" s="1243" t="str">
        <f t="shared" si="1"/>
        <v>a</v>
      </c>
      <c r="AE109" s="1123"/>
      <c r="AF109" s="572"/>
      <c r="AG109" s="572"/>
    </row>
    <row r="110" spans="1:33" ht="37.5" customHeight="1" x14ac:dyDescent="0.25">
      <c r="A110" s="926">
        <v>132</v>
      </c>
      <c r="B110" s="40" t="s">
        <v>625</v>
      </c>
      <c r="C110" s="41" t="s">
        <v>643</v>
      </c>
      <c r="D110" s="42" t="s">
        <v>644</v>
      </c>
      <c r="E110" s="43" t="s">
        <v>38</v>
      </c>
      <c r="F110" s="60" t="s">
        <v>40</v>
      </c>
      <c r="G110" s="61" t="s">
        <v>52</v>
      </c>
      <c r="H110" s="61" t="s">
        <v>40</v>
      </c>
      <c r="I110" s="62">
        <v>0</v>
      </c>
      <c r="J110" s="65" t="s">
        <v>47</v>
      </c>
      <c r="K110" s="62">
        <v>0.24376340016</v>
      </c>
      <c r="L110" s="65" t="s">
        <v>42</v>
      </c>
      <c r="M110" s="66" t="s">
        <v>645</v>
      </c>
      <c r="N110" s="68" t="s">
        <v>86</v>
      </c>
      <c r="O110" s="49"/>
      <c r="P110" s="69"/>
      <c r="Q110" s="51" t="s">
        <v>99</v>
      </c>
      <c r="R110" s="950" t="s">
        <v>43</v>
      </c>
      <c r="S110" s="955" t="str">
        <f>VLOOKUP(A110,Strat_Plan_Revit!$A$10:$S$321,14,FALSE)</f>
        <v>non évalué</v>
      </c>
      <c r="T110" s="33" t="str">
        <f>VLOOKUP(A110,Strat_Plan_Revit!$A$10:$S$321,15,FALSE)</f>
        <v>non évalué</v>
      </c>
      <c r="U110" s="960"/>
      <c r="V110" s="73" t="s">
        <v>88</v>
      </c>
      <c r="W110" s="52" t="s">
        <v>43</v>
      </c>
      <c r="X110" s="53"/>
      <c r="Y110" s="54"/>
      <c r="Z110" s="80"/>
      <c r="AA110" s="91"/>
      <c r="AB110" s="89" t="s">
        <v>88</v>
      </c>
      <c r="AC110" s="967" t="s">
        <v>43</v>
      </c>
      <c r="AD110" s="1243" t="str">
        <f t="shared" si="1"/>
        <v>a</v>
      </c>
      <c r="AE110" s="1123"/>
      <c r="AF110" s="572"/>
      <c r="AG110" s="572"/>
    </row>
    <row r="111" spans="1:33" ht="37.5" customHeight="1" x14ac:dyDescent="0.25">
      <c r="A111" s="926">
        <v>133</v>
      </c>
      <c r="B111" s="40" t="s">
        <v>625</v>
      </c>
      <c r="C111" s="41" t="s">
        <v>646</v>
      </c>
      <c r="D111" s="42" t="s">
        <v>647</v>
      </c>
      <c r="E111" s="43" t="s">
        <v>38</v>
      </c>
      <c r="F111" s="44" t="s">
        <v>67</v>
      </c>
      <c r="G111" s="45" t="s">
        <v>52</v>
      </c>
      <c r="H111" s="45" t="s">
        <v>40</v>
      </c>
      <c r="I111" s="46">
        <v>0.51959074337327704</v>
      </c>
      <c r="J111" s="47" t="s">
        <v>41</v>
      </c>
      <c r="K111" s="46">
        <v>0.12063376669</v>
      </c>
      <c r="L111" s="47" t="s">
        <v>42</v>
      </c>
      <c r="M111" s="48"/>
      <c r="N111" s="48"/>
      <c r="O111" s="48"/>
      <c r="P111" s="50"/>
      <c r="Q111" s="51" t="s">
        <v>67</v>
      </c>
      <c r="R111" s="950" t="s">
        <v>43</v>
      </c>
      <c r="S111" s="955" t="str">
        <f>VLOOKUP(A111,Strat_Plan_Revit!$A$10:$S$321,14,FALSE)</f>
        <v>pas atteinte significative</v>
      </c>
      <c r="T111" s="33" t="str">
        <f>VLOOKUP(A111,Strat_Plan_Revit!$A$10:$S$321,15,FALSE)</f>
        <v>pas de mesure prévue</v>
      </c>
      <c r="U111" s="962" t="s">
        <v>73</v>
      </c>
      <c r="V111" s="73" t="s">
        <v>73</v>
      </c>
      <c r="W111" s="52" t="s">
        <v>110</v>
      </c>
      <c r="X111" s="53"/>
      <c r="Y111" s="54"/>
      <c r="Z111" s="80"/>
      <c r="AA111" s="91"/>
      <c r="AB111" s="89" t="s">
        <v>73</v>
      </c>
      <c r="AC111" s="967" t="s">
        <v>110</v>
      </c>
      <c r="AD111" s="1243" t="str">
        <f t="shared" si="1"/>
        <v>a</v>
      </c>
      <c r="AE111" s="1123"/>
      <c r="AF111" s="572"/>
      <c r="AG111" s="572"/>
    </row>
    <row r="112" spans="1:33" ht="37.5" customHeight="1" x14ac:dyDescent="0.25">
      <c r="A112" s="926">
        <v>134</v>
      </c>
      <c r="B112" s="40" t="s">
        <v>625</v>
      </c>
      <c r="C112" s="41" t="s">
        <v>649</v>
      </c>
      <c r="D112" s="42" t="s">
        <v>650</v>
      </c>
      <c r="E112" s="43" t="s">
        <v>38</v>
      </c>
      <c r="F112" s="60" t="s">
        <v>40</v>
      </c>
      <c r="G112" s="61" t="s">
        <v>52</v>
      </c>
      <c r="H112" s="61" t="s">
        <v>40</v>
      </c>
      <c r="I112" s="62">
        <v>0.208248236903158</v>
      </c>
      <c r="J112" s="65" t="s">
        <v>47</v>
      </c>
      <c r="K112" s="62">
        <v>0.32198350522000002</v>
      </c>
      <c r="L112" s="65" t="s">
        <v>42</v>
      </c>
      <c r="M112" s="66" t="s">
        <v>651</v>
      </c>
      <c r="N112" s="68" t="s">
        <v>86</v>
      </c>
      <c r="O112" s="49"/>
      <c r="P112" s="69"/>
      <c r="Q112" s="51" t="s">
        <v>87</v>
      </c>
      <c r="R112" s="950" t="s">
        <v>43</v>
      </c>
      <c r="S112" s="955" t="str">
        <f>VLOOKUP(A112,Strat_Plan_Revit!$A$10:$S$321,14,FALSE)</f>
        <v>pas atteinte significative</v>
      </c>
      <c r="T112" s="33" t="str">
        <f>VLOOKUP(A112,Strat_Plan_Revit!$A$10:$S$321,15,FALSE)</f>
        <v>pas de mesure prévue</v>
      </c>
      <c r="U112" s="962" t="s">
        <v>88</v>
      </c>
      <c r="V112" s="73" t="s">
        <v>88</v>
      </c>
      <c r="W112" s="52" t="s">
        <v>59</v>
      </c>
      <c r="X112" s="53"/>
      <c r="Y112" s="54"/>
      <c r="Z112" s="80"/>
      <c r="AA112" s="91"/>
      <c r="AB112" s="89" t="s">
        <v>88</v>
      </c>
      <c r="AC112" s="967" t="s">
        <v>59</v>
      </c>
      <c r="AD112" s="1243" t="str">
        <f t="shared" si="1"/>
        <v>a</v>
      </c>
      <c r="AE112" s="1123"/>
      <c r="AF112" s="572"/>
      <c r="AG112" s="572"/>
    </row>
    <row r="113" spans="1:33" ht="37.5" customHeight="1" x14ac:dyDescent="0.25">
      <c r="A113" s="926">
        <v>135</v>
      </c>
      <c r="B113" s="40" t="s">
        <v>625</v>
      </c>
      <c r="C113" s="41" t="s">
        <v>652</v>
      </c>
      <c r="D113" s="42" t="s">
        <v>650</v>
      </c>
      <c r="E113" s="43" t="s">
        <v>38</v>
      </c>
      <c r="F113" s="60" t="s">
        <v>40</v>
      </c>
      <c r="G113" s="61" t="s">
        <v>52</v>
      </c>
      <c r="H113" s="61" t="s">
        <v>40</v>
      </c>
      <c r="I113" s="62">
        <v>0.17457338982268</v>
      </c>
      <c r="J113" s="65" t="s">
        <v>47</v>
      </c>
      <c r="K113" s="62">
        <v>0.31278187426999998</v>
      </c>
      <c r="L113" s="65" t="s">
        <v>42</v>
      </c>
      <c r="M113" s="66" t="s">
        <v>651</v>
      </c>
      <c r="N113" s="68" t="s">
        <v>86</v>
      </c>
      <c r="O113" s="49"/>
      <c r="P113" s="69"/>
      <c r="Q113" s="51" t="s">
        <v>87</v>
      </c>
      <c r="R113" s="950" t="s">
        <v>43</v>
      </c>
      <c r="S113" s="955" t="str">
        <f>VLOOKUP(A113,Strat_Plan_Revit!$A$10:$S$321,14,FALSE)</f>
        <v>pas atteinte significative</v>
      </c>
      <c r="T113" s="33" t="str">
        <f>VLOOKUP(A113,Strat_Plan_Revit!$A$10:$S$321,15,FALSE)</f>
        <v>pas de mesure prévue</v>
      </c>
      <c r="U113" s="962" t="s">
        <v>88</v>
      </c>
      <c r="V113" s="73" t="s">
        <v>88</v>
      </c>
      <c r="W113" s="52" t="s">
        <v>59</v>
      </c>
      <c r="X113" s="53"/>
      <c r="Y113" s="54"/>
      <c r="Z113" s="80"/>
      <c r="AA113" s="91"/>
      <c r="AB113" s="89" t="s">
        <v>88</v>
      </c>
      <c r="AC113" s="967" t="s">
        <v>59</v>
      </c>
      <c r="AD113" s="1243" t="str">
        <f t="shared" si="1"/>
        <v>a</v>
      </c>
      <c r="AE113" s="1123"/>
      <c r="AF113" s="572"/>
      <c r="AG113" s="572"/>
    </row>
    <row r="114" spans="1:33" ht="37.5" customHeight="1" x14ac:dyDescent="0.25">
      <c r="A114" s="926">
        <v>138</v>
      </c>
      <c r="B114" s="40" t="s">
        <v>625</v>
      </c>
      <c r="C114" s="41" t="s">
        <v>653</v>
      </c>
      <c r="D114" s="42" t="s">
        <v>654</v>
      </c>
      <c r="E114" s="43" t="s">
        <v>38</v>
      </c>
      <c r="F114" s="60" t="s">
        <v>40</v>
      </c>
      <c r="G114" s="61" t="s">
        <v>52</v>
      </c>
      <c r="H114" s="61" t="s">
        <v>40</v>
      </c>
      <c r="I114" s="62">
        <v>0</v>
      </c>
      <c r="J114" s="65" t="s">
        <v>47</v>
      </c>
      <c r="K114" s="62">
        <v>0.34044310597999999</v>
      </c>
      <c r="L114" s="65" t="s">
        <v>42</v>
      </c>
      <c r="M114" s="66" t="s">
        <v>655</v>
      </c>
      <c r="N114" s="68" t="s">
        <v>86</v>
      </c>
      <c r="O114" s="49"/>
      <c r="P114" s="69"/>
      <c r="Q114" s="51" t="s">
        <v>87</v>
      </c>
      <c r="R114" s="950" t="s">
        <v>72</v>
      </c>
      <c r="S114" s="955" t="str">
        <f>VLOOKUP(A114,Strat_Plan_Revit!$A$10:$S$321,14,FALSE)</f>
        <v>pas atteinte significative</v>
      </c>
      <c r="T114" s="33" t="str">
        <f>VLOOKUP(A114,Strat_Plan_Revit!$A$10:$S$321,15,FALSE)</f>
        <v>pas de mesure prévue</v>
      </c>
      <c r="U114" s="962" t="s">
        <v>88</v>
      </c>
      <c r="V114" s="73" t="s">
        <v>88</v>
      </c>
      <c r="W114" s="52" t="s">
        <v>59</v>
      </c>
      <c r="X114" s="53"/>
      <c r="Y114" s="54"/>
      <c r="Z114" s="80"/>
      <c r="AA114" s="91"/>
      <c r="AB114" s="89" t="s">
        <v>88</v>
      </c>
      <c r="AC114" s="967" t="s">
        <v>59</v>
      </c>
      <c r="AD114" s="1243" t="str">
        <f t="shared" si="1"/>
        <v>a</v>
      </c>
      <c r="AE114" s="1123"/>
      <c r="AF114" s="572"/>
      <c r="AG114" s="572"/>
    </row>
    <row r="115" spans="1:33" ht="37.5" customHeight="1" x14ac:dyDescent="0.25">
      <c r="A115" s="926">
        <v>139</v>
      </c>
      <c r="B115" s="40" t="s">
        <v>625</v>
      </c>
      <c r="C115" s="41" t="s">
        <v>656</v>
      </c>
      <c r="D115" s="42" t="s">
        <v>657</v>
      </c>
      <c r="E115" s="43" t="s">
        <v>38</v>
      </c>
      <c r="F115" s="60" t="s">
        <v>40</v>
      </c>
      <c r="G115" s="61" t="s">
        <v>52</v>
      </c>
      <c r="H115" s="61" t="s">
        <v>40</v>
      </c>
      <c r="I115" s="62">
        <v>0</v>
      </c>
      <c r="J115" s="65" t="s">
        <v>47</v>
      </c>
      <c r="K115" s="62">
        <v>0.30499365899000003</v>
      </c>
      <c r="L115" s="65" t="s">
        <v>42</v>
      </c>
      <c r="M115" s="66" t="s">
        <v>658</v>
      </c>
      <c r="N115" s="68" t="s">
        <v>103</v>
      </c>
      <c r="O115" s="49"/>
      <c r="P115" s="69"/>
      <c r="Q115" s="51" t="s">
        <v>67</v>
      </c>
      <c r="R115" s="950" t="s">
        <v>43</v>
      </c>
      <c r="S115" s="955" t="str">
        <f>VLOOKUP(A115,Strat_Plan_Revit!$A$10:$S$321,14,FALSE)</f>
        <v>pas atteinte significative</v>
      </c>
      <c r="T115" s="33" t="str">
        <f>VLOOKUP(A115,Strat_Plan_Revit!$A$10:$S$321,15,FALSE)</f>
        <v>pas de mesure prévue (assainissement dépotoirs vallées latérales)</v>
      </c>
      <c r="U115" s="962" t="s">
        <v>73</v>
      </c>
      <c r="V115" s="73" t="s">
        <v>67</v>
      </c>
      <c r="W115" s="52" t="s">
        <v>43</v>
      </c>
      <c r="X115" s="53" t="s">
        <v>660</v>
      </c>
      <c r="Y115" s="54"/>
      <c r="Z115" s="80"/>
      <c r="AA115" s="91"/>
      <c r="AB115" s="89" t="s">
        <v>67</v>
      </c>
      <c r="AC115" s="967" t="s">
        <v>43</v>
      </c>
      <c r="AD115" s="1243" t="str">
        <f t="shared" si="1"/>
        <v>a</v>
      </c>
      <c r="AE115" s="1123"/>
      <c r="AF115" s="572"/>
      <c r="AG115" s="572"/>
    </row>
    <row r="116" spans="1:33" ht="37.5" customHeight="1" x14ac:dyDescent="0.25">
      <c r="A116" s="926">
        <v>140</v>
      </c>
      <c r="B116" s="40" t="s">
        <v>625</v>
      </c>
      <c r="C116" s="41" t="s">
        <v>661</v>
      </c>
      <c r="D116" s="42" t="s">
        <v>657</v>
      </c>
      <c r="E116" s="43" t="s">
        <v>38</v>
      </c>
      <c r="F116" s="44" t="s">
        <v>73</v>
      </c>
      <c r="G116" s="45" t="s">
        <v>52</v>
      </c>
      <c r="H116" s="45" t="s">
        <v>40</v>
      </c>
      <c r="I116" s="46">
        <v>0.167096007419585</v>
      </c>
      <c r="J116" s="47" t="s">
        <v>47</v>
      </c>
      <c r="K116" s="46">
        <v>0.46158330491999999</v>
      </c>
      <c r="L116" s="47" t="s">
        <v>61</v>
      </c>
      <c r="M116" s="48"/>
      <c r="N116" s="48"/>
      <c r="O116" s="48"/>
      <c r="P116" s="50"/>
      <c r="Q116" s="51" t="s">
        <v>73</v>
      </c>
      <c r="R116" s="950" t="s">
        <v>43</v>
      </c>
      <c r="S116" s="955" t="str">
        <f>VLOOKUP(A116,Strat_Plan_Revit!$A$10:$S$321,14,FALSE)</f>
        <v>pas atteinte significative</v>
      </c>
      <c r="T116" s="33" t="str">
        <f>VLOOKUP(A116,Strat_Plan_Revit!$A$10:$S$321,15,FALSE)</f>
        <v>pas de mesure prévue (assainissement dépotoirs vallées latérales)</v>
      </c>
      <c r="U116" s="962" t="s">
        <v>73</v>
      </c>
      <c r="V116" s="73" t="s">
        <v>73</v>
      </c>
      <c r="W116" s="52" t="s">
        <v>59</v>
      </c>
      <c r="X116" s="53"/>
      <c r="Y116" s="54"/>
      <c r="Z116" s="80"/>
      <c r="AA116" s="91"/>
      <c r="AB116" s="89" t="s">
        <v>73</v>
      </c>
      <c r="AC116" s="967" t="s">
        <v>59</v>
      </c>
      <c r="AD116" s="1243" t="str">
        <f t="shared" si="1"/>
        <v>a</v>
      </c>
      <c r="AE116" s="1123"/>
      <c r="AF116" s="572"/>
      <c r="AG116" s="572"/>
    </row>
    <row r="117" spans="1:33" ht="37.5" customHeight="1" x14ac:dyDescent="0.25">
      <c r="A117" s="926">
        <v>141</v>
      </c>
      <c r="B117" s="40" t="s">
        <v>625</v>
      </c>
      <c r="C117" s="41" t="s">
        <v>662</v>
      </c>
      <c r="D117" s="42" t="s">
        <v>657</v>
      </c>
      <c r="E117" s="43" t="s">
        <v>38</v>
      </c>
      <c r="F117" s="44" t="s">
        <v>73</v>
      </c>
      <c r="G117" s="45" t="s">
        <v>52</v>
      </c>
      <c r="H117" s="45" t="s">
        <v>40</v>
      </c>
      <c r="I117" s="46">
        <v>0.84092900510094104</v>
      </c>
      <c r="J117" s="47" t="s">
        <v>41</v>
      </c>
      <c r="K117" s="46">
        <v>0.31688552549999999</v>
      </c>
      <c r="L117" s="47" t="s">
        <v>42</v>
      </c>
      <c r="M117" s="48"/>
      <c r="N117" s="48"/>
      <c r="O117" s="48"/>
      <c r="P117" s="50"/>
      <c r="Q117" s="51" t="s">
        <v>73</v>
      </c>
      <c r="R117" s="950" t="s">
        <v>43</v>
      </c>
      <c r="S117" s="955" t="str">
        <f>VLOOKUP(A117,Strat_Plan_Revit!$A$10:$S$321,14,FALSE)</f>
        <v>pas atteinte significative</v>
      </c>
      <c r="T117" s="33" t="str">
        <f>VLOOKUP(A117,Strat_Plan_Revit!$A$10:$S$321,15,FALSE)</f>
        <v>pas de mesure prévue (assainissement dépotoirs vallées latérales)</v>
      </c>
      <c r="U117" s="962" t="s">
        <v>73</v>
      </c>
      <c r="V117" s="73" t="s">
        <v>73</v>
      </c>
      <c r="W117" s="52" t="s">
        <v>59</v>
      </c>
      <c r="X117" s="53"/>
      <c r="Y117" s="54"/>
      <c r="Z117" s="80"/>
      <c r="AA117" s="91"/>
      <c r="AB117" s="89" t="s">
        <v>73</v>
      </c>
      <c r="AC117" s="967" t="s">
        <v>59</v>
      </c>
      <c r="AD117" s="1243" t="str">
        <f t="shared" si="1"/>
        <v>a</v>
      </c>
      <c r="AE117" s="1123"/>
      <c r="AF117" s="572"/>
      <c r="AG117" s="572"/>
    </row>
    <row r="118" spans="1:33" ht="37.5" customHeight="1" x14ac:dyDescent="0.25">
      <c r="A118" s="926">
        <v>142</v>
      </c>
      <c r="B118" s="40" t="s">
        <v>625</v>
      </c>
      <c r="C118" s="41" t="s">
        <v>663</v>
      </c>
      <c r="D118" s="42" t="s">
        <v>664</v>
      </c>
      <c r="E118" s="43" t="s">
        <v>38</v>
      </c>
      <c r="F118" s="44" t="s">
        <v>73</v>
      </c>
      <c r="G118" s="45" t="s">
        <v>52</v>
      </c>
      <c r="H118" s="45" t="s">
        <v>40</v>
      </c>
      <c r="I118" s="46">
        <v>0.19464853170724999</v>
      </c>
      <c r="J118" s="47" t="s">
        <v>47</v>
      </c>
      <c r="K118" s="46">
        <v>0.29441772409</v>
      </c>
      <c r="L118" s="47" t="s">
        <v>42</v>
      </c>
      <c r="M118" s="48"/>
      <c r="N118" s="48"/>
      <c r="O118" s="48"/>
      <c r="P118" s="50"/>
      <c r="Q118" s="51" t="s">
        <v>73</v>
      </c>
      <c r="R118" s="950" t="s">
        <v>43</v>
      </c>
      <c r="S118" s="955" t="str">
        <f>VLOOKUP(A118,Strat_Plan_Revit!$A$10:$S$321,14,FALSE)</f>
        <v>pas atteinte significative</v>
      </c>
      <c r="T118" s="33" t="str">
        <f>VLOOKUP(A118,Strat_Plan_Revit!$A$10:$S$321,15,FALSE)</f>
        <v>pas de mesure prévue (assainissement dépotoirs vallées latérales)</v>
      </c>
      <c r="U118" s="962" t="s">
        <v>73</v>
      </c>
      <c r="V118" s="73" t="s">
        <v>73</v>
      </c>
      <c r="W118" s="52" t="s">
        <v>59</v>
      </c>
      <c r="X118" s="53"/>
      <c r="Y118" s="54"/>
      <c r="Z118" s="80"/>
      <c r="AA118" s="91"/>
      <c r="AB118" s="89" t="s">
        <v>73</v>
      </c>
      <c r="AC118" s="967" t="s">
        <v>59</v>
      </c>
      <c r="AD118" s="1243" t="str">
        <f t="shared" si="1"/>
        <v>a</v>
      </c>
      <c r="AE118" s="1123"/>
      <c r="AF118" s="572"/>
      <c r="AG118" s="572"/>
    </row>
    <row r="119" spans="1:33" ht="37.5" customHeight="1" x14ac:dyDescent="0.25">
      <c r="A119" s="926">
        <v>144</v>
      </c>
      <c r="B119" s="40" t="s">
        <v>361</v>
      </c>
      <c r="C119" s="41" t="s">
        <v>362</v>
      </c>
      <c r="D119" s="42" t="s">
        <v>363</v>
      </c>
      <c r="E119" s="43" t="s">
        <v>38</v>
      </c>
      <c r="F119" s="60" t="s">
        <v>40</v>
      </c>
      <c r="G119" s="61" t="s">
        <v>52</v>
      </c>
      <c r="H119" s="61" t="s">
        <v>40</v>
      </c>
      <c r="I119" s="62">
        <v>5.6788753898518597E-2</v>
      </c>
      <c r="J119" s="65" t="s">
        <v>47</v>
      </c>
      <c r="K119" s="62">
        <v>0.16317608282000001</v>
      </c>
      <c r="L119" s="63" t="s">
        <v>61</v>
      </c>
      <c r="M119" s="48"/>
      <c r="N119" s="48"/>
      <c r="O119" s="48"/>
      <c r="P119" s="50"/>
      <c r="Q119" s="51" t="s">
        <v>71</v>
      </c>
      <c r="R119" s="950" t="s">
        <v>72</v>
      </c>
      <c r="S119" s="955" t="str">
        <f>VLOOKUP(A119,Strat_Plan_Revit!$A$10:$S$321,14,FALSE)</f>
        <v>51-80% (charriage présumé perturbé)</v>
      </c>
      <c r="T119" s="33" t="str">
        <f>VLOOKUP(A119,Strat_Plan_Revit!$A$10:$S$321,15,FALSE)</f>
        <v>moyen/important</v>
      </c>
      <c r="U119" s="960" t="s">
        <v>67</v>
      </c>
      <c r="V119" s="73" t="s">
        <v>67</v>
      </c>
      <c r="W119" s="52" t="s">
        <v>110</v>
      </c>
      <c r="X119" s="53"/>
      <c r="Y119" s="54"/>
      <c r="Z119" s="83" t="s">
        <v>366</v>
      </c>
      <c r="AA119" s="64" t="s">
        <v>367</v>
      </c>
      <c r="AB119" s="89" t="s">
        <v>73</v>
      </c>
      <c r="AC119" s="967" t="s">
        <v>368</v>
      </c>
      <c r="AD119" s="1243" t="str">
        <f t="shared" si="1"/>
        <v>b</v>
      </c>
      <c r="AE119" s="1123"/>
      <c r="AF119" s="572"/>
      <c r="AG119" s="572"/>
    </row>
    <row r="120" spans="1:33" ht="37.5" customHeight="1" x14ac:dyDescent="0.25">
      <c r="A120" s="926">
        <v>145</v>
      </c>
      <c r="B120" s="40" t="s">
        <v>361</v>
      </c>
      <c r="C120" s="41" t="s">
        <v>369</v>
      </c>
      <c r="D120" s="42" t="s">
        <v>363</v>
      </c>
      <c r="E120" s="43" t="s">
        <v>38</v>
      </c>
      <c r="F120" s="60" t="s">
        <v>40</v>
      </c>
      <c r="G120" s="61" t="s">
        <v>52</v>
      </c>
      <c r="H120" s="61" t="s">
        <v>40</v>
      </c>
      <c r="I120" s="62">
        <v>3.1852235447369898E-2</v>
      </c>
      <c r="J120" s="65" t="s">
        <v>47</v>
      </c>
      <c r="K120" s="62">
        <v>4.6471104843000002E-2</v>
      </c>
      <c r="L120" s="63" t="s">
        <v>42</v>
      </c>
      <c r="M120" s="68"/>
      <c r="N120" s="66" t="s">
        <v>84</v>
      </c>
      <c r="O120" s="66" t="s">
        <v>370</v>
      </c>
      <c r="P120" s="67" t="s">
        <v>201</v>
      </c>
      <c r="Q120" s="51" t="s">
        <v>71</v>
      </c>
      <c r="R120" s="950" t="s">
        <v>72</v>
      </c>
      <c r="S120" s="955" t="str">
        <f>VLOOKUP(A120,Strat_Plan_Revit!$A$10:$S$321,14,FALSE)</f>
        <v>51-80% (charriage présumé perturbé)</v>
      </c>
      <c r="T120" s="33" t="str">
        <f>VLOOKUP(A120,Strat_Plan_Revit!$A$10:$S$321,15,FALSE)</f>
        <v>moyen/important</v>
      </c>
      <c r="U120" s="960" t="s">
        <v>67</v>
      </c>
      <c r="V120" s="73" t="s">
        <v>67</v>
      </c>
      <c r="W120" s="52" t="s">
        <v>110</v>
      </c>
      <c r="X120" s="53"/>
      <c r="Y120" s="54"/>
      <c r="Z120" s="83" t="s">
        <v>366</v>
      </c>
      <c r="AA120" s="64" t="s">
        <v>371</v>
      </c>
      <c r="AB120" s="89" t="s">
        <v>73</v>
      </c>
      <c r="AC120" s="967" t="s">
        <v>368</v>
      </c>
      <c r="AD120" s="1243" t="str">
        <f t="shared" si="1"/>
        <v>b</v>
      </c>
      <c r="AE120" s="1123"/>
      <c r="AF120" s="572"/>
      <c r="AG120" s="572"/>
    </row>
    <row r="121" spans="1:33" ht="37.5" customHeight="1" x14ac:dyDescent="0.25">
      <c r="A121" s="926">
        <v>146</v>
      </c>
      <c r="B121" s="40" t="s">
        <v>482</v>
      </c>
      <c r="C121" s="41" t="s">
        <v>483</v>
      </c>
      <c r="D121" s="42" t="s">
        <v>484</v>
      </c>
      <c r="E121" s="43" t="s">
        <v>38</v>
      </c>
      <c r="F121" s="60" t="s">
        <v>40</v>
      </c>
      <c r="G121" s="61" t="s">
        <v>52</v>
      </c>
      <c r="H121" s="61" t="s">
        <v>40</v>
      </c>
      <c r="I121" s="62">
        <v>0.44593965523977203</v>
      </c>
      <c r="J121" s="63" t="s">
        <v>41</v>
      </c>
      <c r="K121" s="46">
        <v>0.22549947234000001</v>
      </c>
      <c r="L121" s="47" t="s">
        <v>42</v>
      </c>
      <c r="M121" s="48"/>
      <c r="N121" s="48"/>
      <c r="O121" s="48"/>
      <c r="P121" s="50"/>
      <c r="Q121" s="51" t="s">
        <v>71</v>
      </c>
      <c r="R121" s="950" t="s">
        <v>43</v>
      </c>
      <c r="S121" s="955" t="str">
        <f>VLOOKUP(A121,Strat_Plan_Revit!$A$10:$S$321,14,FALSE)</f>
        <v>nul</v>
      </c>
      <c r="T121" s="33" t="str">
        <f>VLOOKUP(A121,Strat_Plan_Revit!$A$10:$S$321,15,FALSE)</f>
        <v>nul</v>
      </c>
      <c r="U121" s="962" t="s">
        <v>88</v>
      </c>
      <c r="V121" s="73" t="s">
        <v>73</v>
      </c>
      <c r="W121" s="52" t="s">
        <v>43</v>
      </c>
      <c r="X121" s="53"/>
      <c r="Y121" s="54"/>
      <c r="Z121" s="55"/>
      <c r="AA121" s="56"/>
      <c r="AB121" s="89" t="s">
        <v>73</v>
      </c>
      <c r="AC121" s="1239" t="s">
        <v>43</v>
      </c>
      <c r="AD121" s="1243" t="str">
        <f t="shared" si="1"/>
        <v>a</v>
      </c>
      <c r="AE121" s="1123"/>
      <c r="AF121" s="572"/>
      <c r="AG121" s="572"/>
    </row>
    <row r="122" spans="1:33" ht="37.5" customHeight="1" x14ac:dyDescent="0.25">
      <c r="A122" s="926">
        <v>147</v>
      </c>
      <c r="B122" s="40" t="s">
        <v>482</v>
      </c>
      <c r="C122" s="41" t="s">
        <v>485</v>
      </c>
      <c r="D122" s="42" t="s">
        <v>484</v>
      </c>
      <c r="E122" s="43" t="s">
        <v>38</v>
      </c>
      <c r="F122" s="60" t="s">
        <v>40</v>
      </c>
      <c r="G122" s="61" t="s">
        <v>52</v>
      </c>
      <c r="H122" s="61" t="s">
        <v>40</v>
      </c>
      <c r="I122" s="62">
        <v>1.3477629175237701E-2</v>
      </c>
      <c r="J122" s="65" t="s">
        <v>47</v>
      </c>
      <c r="K122" s="62">
        <v>0.53825726556999998</v>
      </c>
      <c r="L122" s="63" t="s">
        <v>61</v>
      </c>
      <c r="M122" s="48"/>
      <c r="N122" s="48"/>
      <c r="O122" s="48"/>
      <c r="P122" s="50"/>
      <c r="Q122" s="51" t="s">
        <v>99</v>
      </c>
      <c r="R122" s="950" t="s">
        <v>72</v>
      </c>
      <c r="S122" s="955" t="str">
        <f>VLOOKUP(A122,Strat_Plan_Revit!$A$10:$S$321,14,FALSE)</f>
        <v>nul</v>
      </c>
      <c r="T122" s="33" t="str">
        <f>VLOOKUP(A122,Strat_Plan_Revit!$A$10:$S$321,15,FALSE)</f>
        <v>nul</v>
      </c>
      <c r="U122" s="962" t="s">
        <v>88</v>
      </c>
      <c r="V122" s="73" t="s">
        <v>88</v>
      </c>
      <c r="W122" s="52" t="s">
        <v>59</v>
      </c>
      <c r="X122" s="53"/>
      <c r="Y122" s="54"/>
      <c r="Z122" s="55"/>
      <c r="AA122" s="56"/>
      <c r="AB122" s="89" t="s">
        <v>88</v>
      </c>
      <c r="AC122" s="1239" t="s">
        <v>59</v>
      </c>
      <c r="AD122" s="1243" t="str">
        <f t="shared" si="1"/>
        <v>a</v>
      </c>
      <c r="AE122" s="1123"/>
      <c r="AF122" s="572"/>
      <c r="AG122" s="572"/>
    </row>
    <row r="123" spans="1:33" ht="37.5" customHeight="1" x14ac:dyDescent="0.25">
      <c r="A123" s="926">
        <v>148</v>
      </c>
      <c r="B123" s="40" t="s">
        <v>482</v>
      </c>
      <c r="C123" s="41" t="s">
        <v>486</v>
      </c>
      <c r="D123" s="42" t="s">
        <v>484</v>
      </c>
      <c r="E123" s="43" t="s">
        <v>38</v>
      </c>
      <c r="F123" s="60" t="s">
        <v>40</v>
      </c>
      <c r="G123" s="61" t="s">
        <v>52</v>
      </c>
      <c r="H123" s="61" t="s">
        <v>40</v>
      </c>
      <c r="I123" s="62">
        <v>0.42766678702934102</v>
      </c>
      <c r="J123" s="63" t="s">
        <v>41</v>
      </c>
      <c r="K123" s="46">
        <v>0.18970827293</v>
      </c>
      <c r="L123" s="47" t="s">
        <v>42</v>
      </c>
      <c r="M123" s="48"/>
      <c r="N123" s="48"/>
      <c r="O123" s="48"/>
      <c r="P123" s="50"/>
      <c r="Q123" s="51" t="s">
        <v>71</v>
      </c>
      <c r="R123" s="950" t="s">
        <v>43</v>
      </c>
      <c r="S123" s="955" t="str">
        <f>VLOOKUP(A123,Strat_Plan_Revit!$A$10:$S$321,14,FALSE)</f>
        <v>nul</v>
      </c>
      <c r="T123" s="33" t="str">
        <f>VLOOKUP(A123,Strat_Plan_Revit!$A$10:$S$321,15,FALSE)</f>
        <v>nul</v>
      </c>
      <c r="U123" s="962" t="s">
        <v>88</v>
      </c>
      <c r="V123" s="73" t="s">
        <v>73</v>
      </c>
      <c r="W123" s="52" t="s">
        <v>43</v>
      </c>
      <c r="X123" s="53"/>
      <c r="Y123" s="54"/>
      <c r="Z123" s="55"/>
      <c r="AA123" s="56"/>
      <c r="AB123" s="89" t="s">
        <v>73</v>
      </c>
      <c r="AC123" s="1239" t="s">
        <v>43</v>
      </c>
      <c r="AD123" s="1243" t="str">
        <f t="shared" si="1"/>
        <v>a</v>
      </c>
      <c r="AE123" s="1123"/>
      <c r="AF123" s="572"/>
      <c r="AG123" s="572"/>
    </row>
    <row r="124" spans="1:33" ht="37.5" customHeight="1" x14ac:dyDescent="0.25">
      <c r="A124" s="926">
        <v>149</v>
      </c>
      <c r="B124" s="40" t="s">
        <v>482</v>
      </c>
      <c r="C124" s="41" t="s">
        <v>487</v>
      </c>
      <c r="D124" s="42" t="s">
        <v>484</v>
      </c>
      <c r="E124" s="43" t="s">
        <v>38</v>
      </c>
      <c r="F124" s="60" t="s">
        <v>40</v>
      </c>
      <c r="G124" s="61" t="s">
        <v>52</v>
      </c>
      <c r="H124" s="61" t="s">
        <v>40</v>
      </c>
      <c r="I124" s="62">
        <v>0</v>
      </c>
      <c r="J124" s="65" t="s">
        <v>47</v>
      </c>
      <c r="K124" s="62">
        <v>0.40928414445</v>
      </c>
      <c r="L124" s="63" t="s">
        <v>61</v>
      </c>
      <c r="M124" s="48"/>
      <c r="N124" s="48"/>
      <c r="O124" s="48"/>
      <c r="P124" s="50"/>
      <c r="Q124" s="51" t="s">
        <v>99</v>
      </c>
      <c r="R124" s="950" t="s">
        <v>72</v>
      </c>
      <c r="S124" s="955" t="str">
        <f>VLOOKUP(A124,Strat_Plan_Revit!$A$10:$S$321,14,FALSE)</f>
        <v>nul</v>
      </c>
      <c r="T124" s="33" t="str">
        <f>VLOOKUP(A124,Strat_Plan_Revit!$A$10:$S$321,15,FALSE)</f>
        <v>nul</v>
      </c>
      <c r="U124" s="962" t="s">
        <v>88</v>
      </c>
      <c r="V124" s="73" t="s">
        <v>88</v>
      </c>
      <c r="W124" s="52" t="s">
        <v>59</v>
      </c>
      <c r="X124" s="53"/>
      <c r="Y124" s="54"/>
      <c r="Z124" s="55"/>
      <c r="AA124" s="56"/>
      <c r="AB124" s="89" t="s">
        <v>88</v>
      </c>
      <c r="AC124" s="1239" t="s">
        <v>59</v>
      </c>
      <c r="AD124" s="1243" t="str">
        <f t="shared" si="1"/>
        <v>a</v>
      </c>
      <c r="AE124" s="1123"/>
      <c r="AF124" s="572"/>
      <c r="AG124" s="572"/>
    </row>
    <row r="125" spans="1:33" ht="37.5" customHeight="1" x14ac:dyDescent="0.25">
      <c r="A125" s="927">
        <v>150.1</v>
      </c>
      <c r="B125" s="40" t="s">
        <v>482</v>
      </c>
      <c r="C125" s="41" t="s">
        <v>488</v>
      </c>
      <c r="D125" s="42" t="s">
        <v>489</v>
      </c>
      <c r="E125" s="43" t="s">
        <v>38</v>
      </c>
      <c r="F125" s="44" t="s">
        <v>73</v>
      </c>
      <c r="G125" s="45" t="s">
        <v>52</v>
      </c>
      <c r="H125" s="45" t="s">
        <v>40</v>
      </c>
      <c r="I125" s="46">
        <v>0.66985895248337701</v>
      </c>
      <c r="J125" s="47" t="s">
        <v>41</v>
      </c>
      <c r="K125" s="46">
        <v>0.20414845716999999</v>
      </c>
      <c r="L125" s="47" t="s">
        <v>42</v>
      </c>
      <c r="M125" s="48"/>
      <c r="N125" s="48"/>
      <c r="O125" s="48"/>
      <c r="P125" s="50"/>
      <c r="Q125" s="51" t="s">
        <v>73</v>
      </c>
      <c r="R125" s="950" t="s">
        <v>43</v>
      </c>
      <c r="S125" s="955" t="str">
        <f>VLOOKUP(A125,Strat_Plan_Revit!$A$10:$S$321,14,FALSE)</f>
        <v>faible</v>
      </c>
      <c r="T125" s="33" t="str">
        <f>VLOOKUP(A125,Strat_Plan_Revit!$A$10:$S$321,15,FALSE)</f>
        <v>nul</v>
      </c>
      <c r="U125" s="960"/>
      <c r="V125" s="73" t="s">
        <v>73</v>
      </c>
      <c r="W125" s="52" t="s">
        <v>43</v>
      </c>
      <c r="X125" s="53"/>
      <c r="Y125" s="54"/>
      <c r="Z125" s="55"/>
      <c r="AA125" s="56"/>
      <c r="AB125" s="89" t="s">
        <v>73</v>
      </c>
      <c r="AC125" s="1239" t="s">
        <v>43</v>
      </c>
      <c r="AD125" s="1243" t="str">
        <f t="shared" si="1"/>
        <v>a</v>
      </c>
      <c r="AE125" s="1123"/>
      <c r="AF125" s="572"/>
      <c r="AG125" s="572"/>
    </row>
    <row r="126" spans="1:33" ht="37.5" customHeight="1" x14ac:dyDescent="0.25">
      <c r="A126" s="927">
        <v>150.19999999999999</v>
      </c>
      <c r="B126" s="40" t="s">
        <v>482</v>
      </c>
      <c r="C126" s="41" t="s">
        <v>488</v>
      </c>
      <c r="D126" s="42" t="s">
        <v>489</v>
      </c>
      <c r="E126" s="43" t="s">
        <v>38</v>
      </c>
      <c r="F126" s="44" t="s">
        <v>73</v>
      </c>
      <c r="G126" s="45"/>
      <c r="H126" s="45" t="s">
        <v>40</v>
      </c>
      <c r="I126" s="46">
        <v>0.66985895248337701</v>
      </c>
      <c r="J126" s="47" t="s">
        <v>41</v>
      </c>
      <c r="K126" s="46">
        <v>0.20414845716999999</v>
      </c>
      <c r="L126" s="47" t="s">
        <v>42</v>
      </c>
      <c r="M126" s="48"/>
      <c r="N126" s="48"/>
      <c r="O126" s="48"/>
      <c r="P126" s="50"/>
      <c r="Q126" s="51" t="s">
        <v>73</v>
      </c>
      <c r="R126" s="950" t="s">
        <v>43</v>
      </c>
      <c r="S126" s="955">
        <f>VLOOKUP(A126,Strat_Plan_Revit!$A$10:$S$321,14,FALSE)</f>
        <v>0</v>
      </c>
      <c r="T126" s="33">
        <f>VLOOKUP(A126,Strat_Plan_Revit!$A$10:$S$321,15,FALSE)</f>
        <v>0</v>
      </c>
      <c r="U126" s="962" t="s">
        <v>73</v>
      </c>
      <c r="V126" s="73" t="s">
        <v>73</v>
      </c>
      <c r="W126" s="52" t="s">
        <v>59</v>
      </c>
      <c r="X126" s="53"/>
      <c r="Y126" s="54"/>
      <c r="Z126" s="55"/>
      <c r="AA126" s="56"/>
      <c r="AB126" s="89" t="s">
        <v>73</v>
      </c>
      <c r="AC126" s="1239" t="s">
        <v>59</v>
      </c>
      <c r="AD126" s="1243" t="str">
        <f t="shared" si="1"/>
        <v>a</v>
      </c>
      <c r="AE126" s="1123"/>
      <c r="AF126" s="572"/>
      <c r="AG126" s="572"/>
    </row>
    <row r="127" spans="1:33" ht="37.5" customHeight="1" x14ac:dyDescent="0.25">
      <c r="A127" s="928">
        <v>151</v>
      </c>
      <c r="B127" s="40" t="s">
        <v>482</v>
      </c>
      <c r="C127" s="41" t="s">
        <v>490</v>
      </c>
      <c r="D127" s="42" t="s">
        <v>489</v>
      </c>
      <c r="E127" s="43" t="s">
        <v>38</v>
      </c>
      <c r="F127" s="44" t="s">
        <v>73</v>
      </c>
      <c r="G127" s="45" t="s">
        <v>52</v>
      </c>
      <c r="H127" s="45" t="s">
        <v>40</v>
      </c>
      <c r="I127" s="46">
        <v>0.61431315334771175</v>
      </c>
      <c r="J127" s="47" t="s">
        <v>41</v>
      </c>
      <c r="K127" s="46">
        <v>0.12302526133</v>
      </c>
      <c r="L127" s="47" t="s">
        <v>42</v>
      </c>
      <c r="M127" s="48"/>
      <c r="N127" s="48"/>
      <c r="O127" s="48"/>
      <c r="P127" s="50"/>
      <c r="Q127" s="51" t="s">
        <v>73</v>
      </c>
      <c r="R127" s="950" t="s">
        <v>43</v>
      </c>
      <c r="S127" s="955" t="str">
        <f>VLOOKUP(A127,Strat_Plan_Revit!$A$10:$S$321,14,FALSE)</f>
        <v>faible</v>
      </c>
      <c r="T127" s="33" t="str">
        <f>VLOOKUP(A127,Strat_Plan_Revit!$A$10:$S$321,15,FALSE)</f>
        <v>nul</v>
      </c>
      <c r="U127" s="962" t="s">
        <v>73</v>
      </c>
      <c r="V127" s="73" t="s">
        <v>73</v>
      </c>
      <c r="W127" s="52" t="s">
        <v>59</v>
      </c>
      <c r="X127" s="53"/>
      <c r="Y127" s="54"/>
      <c r="Z127" s="55"/>
      <c r="AA127" s="56"/>
      <c r="AB127" s="89" t="s">
        <v>73</v>
      </c>
      <c r="AC127" s="1239" t="s">
        <v>59</v>
      </c>
      <c r="AD127" s="1243" t="str">
        <f t="shared" si="1"/>
        <v>a</v>
      </c>
      <c r="AE127" s="1123"/>
      <c r="AF127" s="572"/>
      <c r="AG127" s="572"/>
    </row>
    <row r="128" spans="1:33" ht="37.5" customHeight="1" x14ac:dyDescent="0.25">
      <c r="A128" s="926">
        <v>155</v>
      </c>
      <c r="B128" s="40" t="s">
        <v>482</v>
      </c>
      <c r="C128" s="41" t="s">
        <v>491</v>
      </c>
      <c r="D128" s="42" t="s">
        <v>492</v>
      </c>
      <c r="E128" s="43" t="s">
        <v>38</v>
      </c>
      <c r="F128" s="60" t="s">
        <v>40</v>
      </c>
      <c r="G128" s="61" t="s">
        <v>52</v>
      </c>
      <c r="H128" s="61" t="s">
        <v>40</v>
      </c>
      <c r="I128" s="62">
        <v>0</v>
      </c>
      <c r="J128" s="65" t="s">
        <v>47</v>
      </c>
      <c r="K128" s="62">
        <v>0.53947623569000003</v>
      </c>
      <c r="L128" s="63" t="s">
        <v>61</v>
      </c>
      <c r="M128" s="48"/>
      <c r="N128" s="48"/>
      <c r="O128" s="48"/>
      <c r="P128" s="50"/>
      <c r="Q128" s="51" t="s">
        <v>99</v>
      </c>
      <c r="R128" s="950" t="s">
        <v>72</v>
      </c>
      <c r="S128" s="955" t="str">
        <f>VLOOKUP(A128,Strat_Plan_Revit!$A$10:$S$321,14,FALSE)</f>
        <v>faible</v>
      </c>
      <c r="T128" s="33" t="str">
        <f>VLOOKUP(A128,Strat_Plan_Revit!$A$10:$S$321,15,FALSE)</f>
        <v>nul</v>
      </c>
      <c r="U128" s="962" t="s">
        <v>73</v>
      </c>
      <c r="V128" s="73" t="s">
        <v>73</v>
      </c>
      <c r="W128" s="52" t="s">
        <v>110</v>
      </c>
      <c r="X128" s="53"/>
      <c r="Y128" s="54"/>
      <c r="Z128" s="55"/>
      <c r="AA128" s="56"/>
      <c r="AB128" s="89" t="s">
        <v>73</v>
      </c>
      <c r="AC128" s="967" t="s">
        <v>110</v>
      </c>
      <c r="AD128" s="1243" t="str">
        <f t="shared" si="1"/>
        <v>a</v>
      </c>
      <c r="AE128" s="1123"/>
      <c r="AF128" s="572"/>
      <c r="AG128" s="572"/>
    </row>
    <row r="129" spans="1:33" ht="37.5" customHeight="1" x14ac:dyDescent="0.25">
      <c r="A129" s="926">
        <v>156</v>
      </c>
      <c r="B129" s="40" t="s">
        <v>482</v>
      </c>
      <c r="C129" s="41" t="s">
        <v>493</v>
      </c>
      <c r="D129" s="42" t="s">
        <v>294</v>
      </c>
      <c r="E129" s="43" t="s">
        <v>38</v>
      </c>
      <c r="F129" s="60" t="s">
        <v>40</v>
      </c>
      <c r="G129" s="61" t="s">
        <v>52</v>
      </c>
      <c r="H129" s="61" t="s">
        <v>40</v>
      </c>
      <c r="I129" s="62">
        <v>0</v>
      </c>
      <c r="J129" s="65" t="s">
        <v>47</v>
      </c>
      <c r="K129" s="62">
        <v>0.1840969516</v>
      </c>
      <c r="L129" s="65" t="s">
        <v>42</v>
      </c>
      <c r="M129" s="66" t="s">
        <v>494</v>
      </c>
      <c r="N129" s="68" t="s">
        <v>103</v>
      </c>
      <c r="O129" s="49"/>
      <c r="P129" s="69"/>
      <c r="Q129" s="51" t="s">
        <v>104</v>
      </c>
      <c r="R129" s="950" t="s">
        <v>72</v>
      </c>
      <c r="S129" s="955" t="str">
        <f>VLOOKUP(A129,Strat_Plan_Revit!$A$10:$S$321,14,FALSE)</f>
        <v>négligeable</v>
      </c>
      <c r="T129" s="33">
        <f>VLOOKUP(A129,Strat_Plan_Revit!$A$10:$S$321,15,FALSE)</f>
        <v>0</v>
      </c>
      <c r="U129" s="962" t="s">
        <v>88</v>
      </c>
      <c r="V129" s="73" t="s">
        <v>73</v>
      </c>
      <c r="W129" s="52" t="s">
        <v>368</v>
      </c>
      <c r="X129" s="53" t="s">
        <v>496</v>
      </c>
      <c r="Y129" s="54"/>
      <c r="Z129" s="55"/>
      <c r="AA129" s="56"/>
      <c r="AB129" s="89" t="s">
        <v>73</v>
      </c>
      <c r="AC129" s="967" t="s">
        <v>368</v>
      </c>
      <c r="AD129" s="1243" t="str">
        <f t="shared" si="1"/>
        <v>b</v>
      </c>
      <c r="AE129" s="1123"/>
      <c r="AF129" s="572"/>
      <c r="AG129" s="572"/>
    </row>
    <row r="130" spans="1:33" ht="37.5" customHeight="1" x14ac:dyDescent="0.25">
      <c r="A130" s="926">
        <v>157</v>
      </c>
      <c r="B130" s="40" t="s">
        <v>358</v>
      </c>
      <c r="C130" s="41" t="s">
        <v>359</v>
      </c>
      <c r="D130" s="42" t="s">
        <v>294</v>
      </c>
      <c r="E130" s="43" t="s">
        <v>38</v>
      </c>
      <c r="F130" s="60" t="s">
        <v>40</v>
      </c>
      <c r="G130" s="61" t="s">
        <v>52</v>
      </c>
      <c r="H130" s="61" t="s">
        <v>40</v>
      </c>
      <c r="I130" s="62">
        <v>0</v>
      </c>
      <c r="J130" s="65" t="s">
        <v>47</v>
      </c>
      <c r="K130" s="62">
        <v>0.16622219158000001</v>
      </c>
      <c r="L130" s="65" t="s">
        <v>42</v>
      </c>
      <c r="M130" s="66" t="s">
        <v>360</v>
      </c>
      <c r="N130" s="68" t="s">
        <v>103</v>
      </c>
      <c r="O130" s="49"/>
      <c r="P130" s="69"/>
      <c r="Q130" s="51" t="s">
        <v>104</v>
      </c>
      <c r="R130" s="950" t="s">
        <v>72</v>
      </c>
      <c r="S130" s="957" t="s">
        <v>1852</v>
      </c>
      <c r="T130" s="469" t="s">
        <v>1850</v>
      </c>
      <c r="U130" s="963" t="s">
        <v>73</v>
      </c>
      <c r="V130" s="34" t="s">
        <v>73</v>
      </c>
      <c r="W130" s="52" t="s">
        <v>110</v>
      </c>
      <c r="X130" s="53" t="s">
        <v>295</v>
      </c>
      <c r="Y130" s="54"/>
      <c r="Z130" s="80"/>
      <c r="AA130" s="64"/>
      <c r="AB130" s="96" t="s">
        <v>73</v>
      </c>
      <c r="AC130" s="967" t="s">
        <v>110</v>
      </c>
      <c r="AD130" s="1243" t="str">
        <f t="shared" si="1"/>
        <v>a</v>
      </c>
      <c r="AE130" s="1123"/>
      <c r="AF130" s="572"/>
      <c r="AG130" s="572"/>
    </row>
    <row r="131" spans="1:33" ht="37.5" customHeight="1" x14ac:dyDescent="0.25">
      <c r="A131" s="926">
        <v>158</v>
      </c>
      <c r="B131" s="40" t="s">
        <v>274</v>
      </c>
      <c r="C131" s="41" t="s">
        <v>293</v>
      </c>
      <c r="D131" s="42" t="s">
        <v>294</v>
      </c>
      <c r="E131" s="43" t="s">
        <v>38</v>
      </c>
      <c r="F131" s="60" t="s">
        <v>40</v>
      </c>
      <c r="G131" s="61">
        <v>0.881068053791631</v>
      </c>
      <c r="H131" s="61" t="s">
        <v>58</v>
      </c>
      <c r="I131" s="62">
        <v>0.32502504685919498</v>
      </c>
      <c r="J131" s="63" t="s">
        <v>41</v>
      </c>
      <c r="K131" s="46">
        <v>0.25155593261999998</v>
      </c>
      <c r="L131" s="47" t="s">
        <v>61</v>
      </c>
      <c r="M131" s="48"/>
      <c r="N131" s="48"/>
      <c r="O131" s="48"/>
      <c r="P131" s="50"/>
      <c r="Q131" s="51" t="s">
        <v>71</v>
      </c>
      <c r="R131" s="950" t="s">
        <v>72</v>
      </c>
      <c r="S131" s="955" t="str">
        <f>VLOOKUP(A131,Strat_Plan_Revit!$A$10:$S$321,14,FALSE)</f>
        <v>vernachlässigbar</v>
      </c>
      <c r="T131" s="33">
        <f>VLOOKUP(A131,Strat_Plan_Revit!$A$10:$S$321,15,FALSE)</f>
        <v>0</v>
      </c>
      <c r="U131" s="960" t="s">
        <v>73</v>
      </c>
      <c r="V131" s="73" t="s">
        <v>73</v>
      </c>
      <c r="W131" s="52" t="s">
        <v>110</v>
      </c>
      <c r="X131" s="53" t="s">
        <v>295</v>
      </c>
      <c r="Y131" s="54"/>
      <c r="Z131" s="80"/>
      <c r="AA131" s="64"/>
      <c r="AB131" s="89" t="s">
        <v>73</v>
      </c>
      <c r="AC131" s="967" t="s">
        <v>110</v>
      </c>
      <c r="AD131" s="1243" t="str">
        <f t="shared" si="1"/>
        <v>a</v>
      </c>
      <c r="AE131" s="1123"/>
      <c r="AF131" s="572"/>
      <c r="AG131" s="572"/>
    </row>
    <row r="132" spans="1:33" ht="37.5" customHeight="1" x14ac:dyDescent="0.25">
      <c r="A132" s="926">
        <v>160</v>
      </c>
      <c r="B132" s="40" t="s">
        <v>274</v>
      </c>
      <c r="C132" s="41" t="s">
        <v>296</v>
      </c>
      <c r="D132" s="42" t="s">
        <v>294</v>
      </c>
      <c r="E132" s="43" t="s">
        <v>38</v>
      </c>
      <c r="F132" s="60" t="s">
        <v>40</v>
      </c>
      <c r="G132" s="61">
        <v>-2.2609674016743</v>
      </c>
      <c r="H132" s="75" t="s">
        <v>76</v>
      </c>
      <c r="I132" s="46">
        <v>1.0325566843688101</v>
      </c>
      <c r="J132" s="47" t="s">
        <v>41</v>
      </c>
      <c r="K132" s="46">
        <v>9.4861242358000003E-2</v>
      </c>
      <c r="L132" s="47" t="s">
        <v>42</v>
      </c>
      <c r="M132" s="48"/>
      <c r="N132" s="48"/>
      <c r="O132" s="48"/>
      <c r="P132" s="50"/>
      <c r="Q132" s="51" t="s">
        <v>214</v>
      </c>
      <c r="R132" s="950" t="s">
        <v>72</v>
      </c>
      <c r="S132" s="955" t="str">
        <f>VLOOKUP(A132,Strat_Plan_Revit!$A$10:$S$321,14,FALSE)</f>
        <v>vernachlässigbar</v>
      </c>
      <c r="T132" s="33">
        <f>VLOOKUP(A132,Strat_Plan_Revit!$A$10:$S$321,15,FALSE)</f>
        <v>0</v>
      </c>
      <c r="U132" s="960" t="s">
        <v>73</v>
      </c>
      <c r="V132" s="73" t="s">
        <v>73</v>
      </c>
      <c r="W132" s="52" t="s">
        <v>110</v>
      </c>
      <c r="X132" s="53" t="s">
        <v>295</v>
      </c>
      <c r="Y132" s="54"/>
      <c r="Z132" s="80"/>
      <c r="AA132" s="64"/>
      <c r="AB132" s="89" t="s">
        <v>73</v>
      </c>
      <c r="AC132" s="967" t="s">
        <v>110</v>
      </c>
      <c r="AD132" s="1243" t="str">
        <f t="shared" si="1"/>
        <v>a</v>
      </c>
      <c r="AE132" s="1123"/>
      <c r="AF132" s="572"/>
      <c r="AG132" s="572"/>
    </row>
    <row r="133" spans="1:33" ht="37.5" customHeight="1" x14ac:dyDescent="0.25">
      <c r="A133" s="926">
        <v>161</v>
      </c>
      <c r="B133" s="40" t="s">
        <v>274</v>
      </c>
      <c r="C133" s="41" t="s">
        <v>297</v>
      </c>
      <c r="D133" s="42" t="s">
        <v>294</v>
      </c>
      <c r="E133" s="43" t="s">
        <v>38</v>
      </c>
      <c r="F133" s="60" t="s">
        <v>40</v>
      </c>
      <c r="G133" s="61">
        <v>-4.3630512870886102</v>
      </c>
      <c r="H133" s="75" t="s">
        <v>76</v>
      </c>
      <c r="I133" s="46">
        <v>0.80383635869196002</v>
      </c>
      <c r="J133" s="47" t="s">
        <v>41</v>
      </c>
      <c r="K133" s="46">
        <v>0.30172513239999998</v>
      </c>
      <c r="L133" s="47" t="s">
        <v>61</v>
      </c>
      <c r="M133" s="48"/>
      <c r="N133" s="48"/>
      <c r="O133" s="48"/>
      <c r="P133" s="50"/>
      <c r="Q133" s="51" t="s">
        <v>214</v>
      </c>
      <c r="R133" s="950" t="s">
        <v>72</v>
      </c>
      <c r="S133" s="955" t="str">
        <f>VLOOKUP(A133,Strat_Plan_Revit!$A$10:$S$321,14,FALSE)</f>
        <v>vernachlässigbar</v>
      </c>
      <c r="T133" s="33">
        <f>VLOOKUP(A133,Strat_Plan_Revit!$A$10:$S$321,15,FALSE)</f>
        <v>0</v>
      </c>
      <c r="U133" s="960" t="s">
        <v>73</v>
      </c>
      <c r="V133" s="73" t="s">
        <v>73</v>
      </c>
      <c r="W133" s="52" t="s">
        <v>110</v>
      </c>
      <c r="X133" s="53" t="s">
        <v>295</v>
      </c>
      <c r="Y133" s="54"/>
      <c r="Z133" s="80"/>
      <c r="AA133" s="64"/>
      <c r="AB133" s="89" t="s">
        <v>73</v>
      </c>
      <c r="AC133" s="967" t="s">
        <v>110</v>
      </c>
      <c r="AD133" s="1243" t="str">
        <f t="shared" ref="AD133:AD196" si="2">IF(AC133="a",AC133,IF(AC133="b",AC133,IF(AC133="c","a",IF(AC133="d","a",IF(AC133="e","b")))))</f>
        <v>a</v>
      </c>
      <c r="AE133" s="1123"/>
      <c r="AF133" s="572"/>
      <c r="AG133" s="572"/>
    </row>
    <row r="134" spans="1:33" ht="37.5" customHeight="1" x14ac:dyDescent="0.25">
      <c r="A134" s="926">
        <v>162</v>
      </c>
      <c r="B134" s="40" t="s">
        <v>274</v>
      </c>
      <c r="C134" s="41" t="s">
        <v>298</v>
      </c>
      <c r="D134" s="42" t="s">
        <v>294</v>
      </c>
      <c r="E134" s="43" t="s">
        <v>38</v>
      </c>
      <c r="F134" s="60" t="s">
        <v>40</v>
      </c>
      <c r="G134" s="61" t="s">
        <v>52</v>
      </c>
      <c r="H134" s="61" t="s">
        <v>40</v>
      </c>
      <c r="I134" s="62">
        <v>0.86799999999999999</v>
      </c>
      <c r="J134" s="63" t="s">
        <v>41</v>
      </c>
      <c r="K134" s="46">
        <v>0.12273236718</v>
      </c>
      <c r="L134" s="47" t="s">
        <v>42</v>
      </c>
      <c r="M134" s="48"/>
      <c r="N134" s="48"/>
      <c r="O134" s="48"/>
      <c r="P134" s="50"/>
      <c r="Q134" s="51" t="s">
        <v>71</v>
      </c>
      <c r="R134" s="950" t="s">
        <v>72</v>
      </c>
      <c r="S134" s="955" t="str">
        <f>VLOOKUP(A134,Strat_Plan_Revit!$A$10:$S$321,14,FALSE)</f>
        <v>vernachlässigbar</v>
      </c>
      <c r="T134" s="33">
        <f>VLOOKUP(A134,Strat_Plan_Revit!$A$10:$S$321,15,FALSE)</f>
        <v>0</v>
      </c>
      <c r="U134" s="960" t="s">
        <v>73</v>
      </c>
      <c r="V134" s="73" t="s">
        <v>73</v>
      </c>
      <c r="W134" s="52" t="s">
        <v>59</v>
      </c>
      <c r="X134" s="53"/>
      <c r="Y134" s="54"/>
      <c r="Z134" s="80"/>
      <c r="AA134" s="64"/>
      <c r="AB134" s="89" t="s">
        <v>73</v>
      </c>
      <c r="AC134" s="967" t="s">
        <v>59</v>
      </c>
      <c r="AD134" s="1243" t="str">
        <f t="shared" si="2"/>
        <v>a</v>
      </c>
      <c r="AE134" s="1123"/>
      <c r="AF134" s="572"/>
      <c r="AG134" s="572"/>
    </row>
    <row r="135" spans="1:33" ht="37.5" customHeight="1" x14ac:dyDescent="0.25">
      <c r="A135" s="926">
        <v>164</v>
      </c>
      <c r="B135" s="40" t="s">
        <v>274</v>
      </c>
      <c r="C135" s="41" t="s">
        <v>299</v>
      </c>
      <c r="D135" s="42" t="s">
        <v>294</v>
      </c>
      <c r="E135" s="43" t="s">
        <v>38</v>
      </c>
      <c r="F135" s="60" t="s">
        <v>40</v>
      </c>
      <c r="G135" s="61" t="s">
        <v>52</v>
      </c>
      <c r="H135" s="61" t="s">
        <v>40</v>
      </c>
      <c r="I135" s="62">
        <v>6.7810987129744401E-3</v>
      </c>
      <c r="J135" s="65" t="s">
        <v>47</v>
      </c>
      <c r="K135" s="62">
        <v>9.4646610623000005E-2</v>
      </c>
      <c r="L135" s="65" t="s">
        <v>42</v>
      </c>
      <c r="M135" s="66" t="s">
        <v>300</v>
      </c>
      <c r="N135" s="68" t="s">
        <v>201</v>
      </c>
      <c r="O135" s="49"/>
      <c r="P135" s="69"/>
      <c r="Q135" s="51" t="s">
        <v>202</v>
      </c>
      <c r="R135" s="950" t="s">
        <v>72</v>
      </c>
      <c r="S135" s="955" t="str">
        <f>VLOOKUP(A135,Strat_Plan_Revit!$A$10:$S$321,14,FALSE)</f>
        <v>vernachlässigbar</v>
      </c>
      <c r="T135" s="33">
        <f>VLOOKUP(A135,Strat_Plan_Revit!$A$10:$S$321,15,FALSE)</f>
        <v>0</v>
      </c>
      <c r="U135" s="960" t="s">
        <v>73</v>
      </c>
      <c r="V135" s="73" t="s">
        <v>73</v>
      </c>
      <c r="W135" s="52" t="s">
        <v>59</v>
      </c>
      <c r="X135" s="53"/>
      <c r="Y135" s="54"/>
      <c r="Z135" s="80"/>
      <c r="AA135" s="64"/>
      <c r="AB135" s="89" t="s">
        <v>73</v>
      </c>
      <c r="AC135" s="967" t="s">
        <v>59</v>
      </c>
      <c r="AD135" s="1243" t="str">
        <f t="shared" si="2"/>
        <v>a</v>
      </c>
      <c r="AE135" s="1123"/>
      <c r="AF135" s="572"/>
      <c r="AG135" s="572"/>
    </row>
    <row r="136" spans="1:33" ht="37.5" customHeight="1" x14ac:dyDescent="0.25">
      <c r="A136" s="926">
        <v>166</v>
      </c>
      <c r="B136" s="40" t="s">
        <v>274</v>
      </c>
      <c r="C136" s="41" t="s">
        <v>301</v>
      </c>
      <c r="D136" s="42" t="s">
        <v>302</v>
      </c>
      <c r="E136" s="43" t="s">
        <v>38</v>
      </c>
      <c r="F136" s="60" t="s">
        <v>40</v>
      </c>
      <c r="G136" s="61" t="s">
        <v>52</v>
      </c>
      <c r="H136" s="61" t="s">
        <v>40</v>
      </c>
      <c r="I136" s="62">
        <v>0.78351997556178898</v>
      </c>
      <c r="J136" s="63" t="s">
        <v>41</v>
      </c>
      <c r="K136" s="46">
        <v>0.38657007724999998</v>
      </c>
      <c r="L136" s="47" t="s">
        <v>61</v>
      </c>
      <c r="M136" s="48"/>
      <c r="N136" s="48"/>
      <c r="O136" s="48"/>
      <c r="P136" s="50"/>
      <c r="Q136" s="51" t="s">
        <v>71</v>
      </c>
      <c r="R136" s="950" t="s">
        <v>72</v>
      </c>
      <c r="S136" s="955" t="str">
        <f>VLOOKUP(A136,Strat_Plan_Revit!$A$10:$S$321,14,FALSE)</f>
        <v>keine</v>
      </c>
      <c r="T136" s="33">
        <f>VLOOKUP(A136,Strat_Plan_Revit!$A$10:$S$321,15,FALSE)</f>
        <v>0</v>
      </c>
      <c r="U136" s="960" t="s">
        <v>88</v>
      </c>
      <c r="V136" s="73" t="s">
        <v>88</v>
      </c>
      <c r="W136" s="52" t="s">
        <v>110</v>
      </c>
      <c r="X136" s="53"/>
      <c r="Y136" s="54"/>
      <c r="Z136" s="80"/>
      <c r="AA136" s="64"/>
      <c r="AB136" s="89" t="s">
        <v>88</v>
      </c>
      <c r="AC136" s="967" t="s">
        <v>110</v>
      </c>
      <c r="AD136" s="1243" t="str">
        <f t="shared" si="2"/>
        <v>a</v>
      </c>
      <c r="AE136" s="1123"/>
      <c r="AF136" s="572"/>
      <c r="AG136" s="572"/>
    </row>
    <row r="137" spans="1:33" ht="37.5" customHeight="1" x14ac:dyDescent="0.25">
      <c r="A137" s="926">
        <v>167</v>
      </c>
      <c r="B137" s="40" t="s">
        <v>482</v>
      </c>
      <c r="C137" s="41" t="s">
        <v>497</v>
      </c>
      <c r="D137" s="42" t="s">
        <v>484</v>
      </c>
      <c r="E137" s="43" t="s">
        <v>38</v>
      </c>
      <c r="F137" s="60" t="s">
        <v>40</v>
      </c>
      <c r="G137" s="61" t="s">
        <v>52</v>
      </c>
      <c r="H137" s="61" t="s">
        <v>40</v>
      </c>
      <c r="I137" s="62">
        <v>0.36205902004548501</v>
      </c>
      <c r="J137" s="63" t="s">
        <v>41</v>
      </c>
      <c r="K137" s="46">
        <v>1.6466133748E-2</v>
      </c>
      <c r="L137" s="47" t="s">
        <v>42</v>
      </c>
      <c r="M137" s="48"/>
      <c r="N137" s="48"/>
      <c r="O137" s="48"/>
      <c r="P137" s="50"/>
      <c r="Q137" s="51" t="s">
        <v>104</v>
      </c>
      <c r="R137" s="950" t="s">
        <v>72</v>
      </c>
      <c r="S137" s="955" t="str">
        <f>VLOOKUP(A137,Strat_Plan_Revit!$A$10:$S$321,14,FALSE)</f>
        <v>important</v>
      </c>
      <c r="T137" s="33">
        <f>VLOOKUP(A137,Strat_Plan_Revit!$A$10:$S$321,15,FALSE)</f>
        <v>0</v>
      </c>
      <c r="U137" s="960" t="s">
        <v>45</v>
      </c>
      <c r="V137" s="73" t="s">
        <v>45</v>
      </c>
      <c r="W137" s="52" t="s">
        <v>110</v>
      </c>
      <c r="X137" s="53"/>
      <c r="Y137" s="54"/>
      <c r="Z137" s="55"/>
      <c r="AA137" s="56"/>
      <c r="AB137" s="89" t="s">
        <v>45</v>
      </c>
      <c r="AC137" s="967" t="s">
        <v>110</v>
      </c>
      <c r="AD137" s="1243" t="str">
        <f t="shared" si="2"/>
        <v>a</v>
      </c>
      <c r="AE137" s="1123"/>
      <c r="AF137" s="572"/>
      <c r="AG137" s="572"/>
    </row>
    <row r="138" spans="1:33" ht="37.5" customHeight="1" x14ac:dyDescent="0.25">
      <c r="A138" s="926">
        <v>168</v>
      </c>
      <c r="B138" s="40" t="s">
        <v>482</v>
      </c>
      <c r="C138" s="41" t="s">
        <v>499</v>
      </c>
      <c r="D138" s="42" t="s">
        <v>484</v>
      </c>
      <c r="E138" s="43" t="s">
        <v>38</v>
      </c>
      <c r="F138" s="60" t="s">
        <v>40</v>
      </c>
      <c r="G138" s="61" t="s">
        <v>52</v>
      </c>
      <c r="H138" s="61" t="s">
        <v>40</v>
      </c>
      <c r="I138" s="62">
        <v>0.53982165837891505</v>
      </c>
      <c r="J138" s="63" t="s">
        <v>41</v>
      </c>
      <c r="K138" s="46">
        <v>0.13950436630999999</v>
      </c>
      <c r="L138" s="47" t="s">
        <v>42</v>
      </c>
      <c r="M138" s="48"/>
      <c r="N138" s="48"/>
      <c r="O138" s="48"/>
      <c r="P138" s="50"/>
      <c r="Q138" s="51" t="s">
        <v>104</v>
      </c>
      <c r="R138" s="950" t="s">
        <v>72</v>
      </c>
      <c r="S138" s="955" t="str">
        <f>VLOOKUP(A138,Strat_Plan_Revit!$A$10:$S$321,14,FALSE)</f>
        <v>important</v>
      </c>
      <c r="T138" s="33">
        <f>VLOOKUP(A138,Strat_Plan_Revit!$A$10:$S$321,15,FALSE)</f>
        <v>0</v>
      </c>
      <c r="U138" s="960" t="s">
        <v>45</v>
      </c>
      <c r="V138" s="73" t="s">
        <v>45</v>
      </c>
      <c r="W138" s="52" t="s">
        <v>110</v>
      </c>
      <c r="X138" s="53"/>
      <c r="Y138" s="54"/>
      <c r="Z138" s="55"/>
      <c r="AA138" s="56"/>
      <c r="AB138" s="89" t="s">
        <v>45</v>
      </c>
      <c r="AC138" s="967" t="s">
        <v>110</v>
      </c>
      <c r="AD138" s="1243" t="str">
        <f t="shared" si="2"/>
        <v>a</v>
      </c>
      <c r="AE138" s="1123"/>
      <c r="AF138" s="572"/>
      <c r="AG138" s="572"/>
    </row>
    <row r="139" spans="1:33" ht="37.5" customHeight="1" x14ac:dyDescent="0.25">
      <c r="A139" s="927">
        <v>169.1</v>
      </c>
      <c r="B139" s="40" t="s">
        <v>482</v>
      </c>
      <c r="C139" s="41" t="s">
        <v>500</v>
      </c>
      <c r="D139" s="42" t="s">
        <v>501</v>
      </c>
      <c r="E139" s="43" t="s">
        <v>38</v>
      </c>
      <c r="F139" s="60" t="s">
        <v>40</v>
      </c>
      <c r="G139" s="61" t="s">
        <v>52</v>
      </c>
      <c r="H139" s="61" t="s">
        <v>40</v>
      </c>
      <c r="I139" s="62">
        <v>0.10099755641505501</v>
      </c>
      <c r="J139" s="65" t="s">
        <v>47</v>
      </c>
      <c r="K139" s="62">
        <v>0.37747844869000002</v>
      </c>
      <c r="L139" s="63" t="s">
        <v>61</v>
      </c>
      <c r="M139" s="49"/>
      <c r="N139" s="49"/>
      <c r="O139" s="49"/>
      <c r="P139" s="69"/>
      <c r="Q139" s="51" t="s">
        <v>104</v>
      </c>
      <c r="R139" s="950" t="s">
        <v>72</v>
      </c>
      <c r="S139" s="955" t="str">
        <f>VLOOKUP(A139,Strat_Plan_Revit!$A$10:$S$321,14,FALSE)</f>
        <v>important</v>
      </c>
      <c r="T139" s="33">
        <f>VLOOKUP(A139,Strat_Plan_Revit!$A$10:$S$321,15,FALSE)</f>
        <v>0</v>
      </c>
      <c r="U139" s="960"/>
      <c r="V139" s="73" t="s">
        <v>45</v>
      </c>
      <c r="W139" s="52" t="s">
        <v>110</v>
      </c>
      <c r="X139" s="53"/>
      <c r="Y139" s="54"/>
      <c r="Z139" s="55"/>
      <c r="AA139" s="56"/>
      <c r="AB139" s="89" t="s">
        <v>45</v>
      </c>
      <c r="AC139" s="967" t="s">
        <v>110</v>
      </c>
      <c r="AD139" s="1243" t="str">
        <f t="shared" si="2"/>
        <v>a</v>
      </c>
      <c r="AE139" s="1123"/>
      <c r="AF139" s="572"/>
      <c r="AG139" s="572"/>
    </row>
    <row r="140" spans="1:33" ht="37.5" customHeight="1" x14ac:dyDescent="0.25">
      <c r="A140" s="927">
        <v>169.2</v>
      </c>
      <c r="B140" s="40" t="s">
        <v>482</v>
      </c>
      <c r="C140" s="41" t="s">
        <v>500</v>
      </c>
      <c r="D140" s="42" t="s">
        <v>501</v>
      </c>
      <c r="E140" s="43" t="s">
        <v>38</v>
      </c>
      <c r="F140" s="60" t="s">
        <v>40</v>
      </c>
      <c r="G140" s="61" t="s">
        <v>52</v>
      </c>
      <c r="H140" s="61" t="s">
        <v>40</v>
      </c>
      <c r="I140" s="62">
        <v>1.2861113854453401</v>
      </c>
      <c r="J140" s="63" t="s">
        <v>41</v>
      </c>
      <c r="K140" s="46">
        <v>0.22187013757999999</v>
      </c>
      <c r="L140" s="47" t="s">
        <v>42</v>
      </c>
      <c r="M140" s="48"/>
      <c r="N140" s="48"/>
      <c r="O140" s="48"/>
      <c r="P140" s="50"/>
      <c r="Q140" s="51" t="s">
        <v>104</v>
      </c>
      <c r="R140" s="950" t="s">
        <v>72</v>
      </c>
      <c r="S140" s="955">
        <f>VLOOKUP(A140,Strat_Plan_Revit!$A$10:$S$321,14,FALSE)</f>
        <v>0</v>
      </c>
      <c r="T140" s="33">
        <f>VLOOKUP(A140,Strat_Plan_Revit!$A$10:$S$321,15,FALSE)</f>
        <v>0</v>
      </c>
      <c r="U140" s="960" t="s">
        <v>45</v>
      </c>
      <c r="V140" s="73" t="s">
        <v>45</v>
      </c>
      <c r="W140" s="52" t="s">
        <v>110</v>
      </c>
      <c r="X140" s="53"/>
      <c r="Y140" s="54"/>
      <c r="Z140" s="55"/>
      <c r="AA140" s="56"/>
      <c r="AB140" s="89" t="s">
        <v>45</v>
      </c>
      <c r="AC140" s="967" t="s">
        <v>110</v>
      </c>
      <c r="AD140" s="1243" t="str">
        <f t="shared" si="2"/>
        <v>a</v>
      </c>
      <c r="AE140" s="1123"/>
      <c r="AF140" s="572"/>
      <c r="AG140" s="572"/>
    </row>
    <row r="141" spans="1:33" ht="37.5" customHeight="1" x14ac:dyDescent="0.25">
      <c r="A141" s="926">
        <v>170</v>
      </c>
      <c r="B141" s="40" t="s">
        <v>482</v>
      </c>
      <c r="C141" s="41" t="s">
        <v>502</v>
      </c>
      <c r="D141" s="42" t="s">
        <v>503</v>
      </c>
      <c r="E141" s="43" t="s">
        <v>38</v>
      </c>
      <c r="F141" s="60" t="s">
        <v>40</v>
      </c>
      <c r="G141" s="61" t="s">
        <v>52</v>
      </c>
      <c r="H141" s="61" t="s">
        <v>40</v>
      </c>
      <c r="I141" s="62">
        <v>0.31862011603373003</v>
      </c>
      <c r="J141" s="63" t="s">
        <v>41</v>
      </c>
      <c r="K141" s="46">
        <v>0.12437150512</v>
      </c>
      <c r="L141" s="47" t="s">
        <v>42</v>
      </c>
      <c r="M141" s="48"/>
      <c r="N141" s="48"/>
      <c r="O141" s="48"/>
      <c r="P141" s="50"/>
      <c r="Q141" s="51" t="s">
        <v>104</v>
      </c>
      <c r="R141" s="950" t="s">
        <v>72</v>
      </c>
      <c r="S141" s="955" t="str">
        <f>VLOOKUP(A141,Strat_Plan_Revit!$A$10:$S$321,14,FALSE)</f>
        <v>négligeable</v>
      </c>
      <c r="T141" s="33">
        <f>VLOOKUP(A141,Strat_Plan_Revit!$A$10:$S$321,15,FALSE)</f>
        <v>0</v>
      </c>
      <c r="U141" s="962" t="s">
        <v>88</v>
      </c>
      <c r="V141" s="99" t="s">
        <v>67</v>
      </c>
      <c r="W141" s="52" t="s">
        <v>72</v>
      </c>
      <c r="X141" s="71" t="s">
        <v>504</v>
      </c>
      <c r="Y141" s="72" t="s">
        <v>126</v>
      </c>
      <c r="Z141" s="55"/>
      <c r="AA141" s="100" t="s">
        <v>505</v>
      </c>
      <c r="AB141" s="1248" t="s">
        <v>67</v>
      </c>
      <c r="AC141" s="967" t="s">
        <v>72</v>
      </c>
      <c r="AD141" s="1243" t="str">
        <f t="shared" si="2"/>
        <v>b</v>
      </c>
      <c r="AE141" s="1123"/>
      <c r="AF141" s="572"/>
      <c r="AG141" s="572"/>
    </row>
    <row r="142" spans="1:33" ht="37.5" customHeight="1" x14ac:dyDescent="0.25">
      <c r="A142" s="928">
        <v>171</v>
      </c>
      <c r="B142" s="40" t="s">
        <v>482</v>
      </c>
      <c r="C142" s="41" t="s">
        <v>503</v>
      </c>
      <c r="D142" s="42" t="s">
        <v>503</v>
      </c>
      <c r="E142" s="43" t="s">
        <v>38</v>
      </c>
      <c r="F142" s="60" t="s">
        <v>40</v>
      </c>
      <c r="G142" s="61" t="s">
        <v>52</v>
      </c>
      <c r="H142" s="61" t="s">
        <v>40</v>
      </c>
      <c r="I142" s="62">
        <v>0.13363219922484301</v>
      </c>
      <c r="J142" s="65" t="s">
        <v>47</v>
      </c>
      <c r="K142" s="62">
        <v>0.17435170982000001</v>
      </c>
      <c r="L142" s="65" t="s">
        <v>42</v>
      </c>
      <c r="M142" s="66"/>
      <c r="N142" s="66" t="s">
        <v>84</v>
      </c>
      <c r="O142" s="66" t="s">
        <v>506</v>
      </c>
      <c r="P142" s="67" t="s">
        <v>103</v>
      </c>
      <c r="Q142" s="51" t="s">
        <v>104</v>
      </c>
      <c r="R142" s="950" t="s">
        <v>72</v>
      </c>
      <c r="S142" s="955" t="str">
        <f>VLOOKUP(A142,Strat_Plan_Revit!$A$10:$S$321,14,FALSE)</f>
        <v>négligeable</v>
      </c>
      <c r="T142" s="33">
        <f>VLOOKUP(A142,Strat_Plan_Revit!$A$10:$S$321,15,FALSE)</f>
        <v>0</v>
      </c>
      <c r="U142" s="962" t="s">
        <v>88</v>
      </c>
      <c r="V142" s="99" t="s">
        <v>67</v>
      </c>
      <c r="W142" s="52" t="s">
        <v>72</v>
      </c>
      <c r="X142" s="71" t="s">
        <v>507</v>
      </c>
      <c r="Y142" s="72" t="s">
        <v>126</v>
      </c>
      <c r="Z142" s="55"/>
      <c r="AA142" s="100" t="s">
        <v>508</v>
      </c>
      <c r="AB142" s="1248" t="s">
        <v>67</v>
      </c>
      <c r="AC142" s="967" t="s">
        <v>72</v>
      </c>
      <c r="AD142" s="1243" t="str">
        <f t="shared" si="2"/>
        <v>b</v>
      </c>
      <c r="AE142" s="1123"/>
      <c r="AF142" s="572"/>
      <c r="AG142" s="572"/>
    </row>
    <row r="143" spans="1:33" ht="37.5" customHeight="1" x14ac:dyDescent="0.25">
      <c r="A143" s="926">
        <v>172</v>
      </c>
      <c r="B143" s="40" t="s">
        <v>482</v>
      </c>
      <c r="C143" s="41" t="s">
        <v>509</v>
      </c>
      <c r="D143" s="42" t="s">
        <v>503</v>
      </c>
      <c r="E143" s="43" t="s">
        <v>38</v>
      </c>
      <c r="F143" s="60" t="s">
        <v>40</v>
      </c>
      <c r="G143" s="61" t="s">
        <v>52</v>
      </c>
      <c r="H143" s="61" t="s">
        <v>40</v>
      </c>
      <c r="I143" s="62">
        <v>7.2776069664901202E-2</v>
      </c>
      <c r="J143" s="65" t="s">
        <v>47</v>
      </c>
      <c r="K143" s="62">
        <v>0.19803176964999999</v>
      </c>
      <c r="L143" s="65" t="s">
        <v>42</v>
      </c>
      <c r="M143" s="66" t="s">
        <v>510</v>
      </c>
      <c r="N143" s="68" t="s">
        <v>103</v>
      </c>
      <c r="O143" s="49"/>
      <c r="P143" s="69"/>
      <c r="Q143" s="51" t="s">
        <v>104</v>
      </c>
      <c r="R143" s="950" t="s">
        <v>72</v>
      </c>
      <c r="S143" s="955" t="str">
        <f>VLOOKUP(A143,Strat_Plan_Revit!$A$10:$S$321,14,FALSE)</f>
        <v>faible</v>
      </c>
      <c r="T143" s="33">
        <f>VLOOKUP(A143,Strat_Plan_Revit!$A$10:$S$321,15,FALSE)</f>
        <v>0</v>
      </c>
      <c r="U143" s="963" t="s">
        <v>73</v>
      </c>
      <c r="V143" s="99" t="s">
        <v>73</v>
      </c>
      <c r="W143" s="52" t="s">
        <v>110</v>
      </c>
      <c r="X143" s="71" t="s">
        <v>511</v>
      </c>
      <c r="Y143" s="72" t="s">
        <v>126</v>
      </c>
      <c r="Z143" s="55"/>
      <c r="AA143" s="100" t="s">
        <v>512</v>
      </c>
      <c r="AB143" s="96" t="s">
        <v>73</v>
      </c>
      <c r="AC143" s="1239" t="s">
        <v>110</v>
      </c>
      <c r="AD143" s="1243" t="str">
        <f t="shared" si="2"/>
        <v>a</v>
      </c>
      <c r="AE143" s="1123"/>
      <c r="AF143" s="572"/>
      <c r="AG143" s="572"/>
    </row>
    <row r="144" spans="1:33" ht="37.5" customHeight="1" x14ac:dyDescent="0.25">
      <c r="A144" s="926">
        <v>174</v>
      </c>
      <c r="B144" s="40" t="s">
        <v>274</v>
      </c>
      <c r="C144" s="41" t="s">
        <v>303</v>
      </c>
      <c r="D144" s="42" t="s">
        <v>304</v>
      </c>
      <c r="E144" s="43" t="s">
        <v>38</v>
      </c>
      <c r="F144" s="60" t="s">
        <v>40</v>
      </c>
      <c r="G144" s="61">
        <v>11.8317842507089</v>
      </c>
      <c r="H144" s="75" t="s">
        <v>132</v>
      </c>
      <c r="I144" s="46">
        <v>0.104757739029132</v>
      </c>
      <c r="J144" s="47" t="s">
        <v>47</v>
      </c>
      <c r="K144" s="46">
        <v>0.39891636836</v>
      </c>
      <c r="L144" s="47" t="s">
        <v>61</v>
      </c>
      <c r="M144" s="48"/>
      <c r="N144" s="48"/>
      <c r="O144" s="48"/>
      <c r="P144" s="50"/>
      <c r="Q144" s="51" t="s">
        <v>87</v>
      </c>
      <c r="R144" s="950" t="s">
        <v>72</v>
      </c>
      <c r="S144" s="955" t="str">
        <f>VLOOKUP(A144,Strat_Plan_Revit!$A$10:$S$321,14,FALSE)</f>
        <v>vernachlässigbar</v>
      </c>
      <c r="T144" s="33">
        <f>VLOOKUP(A144,Strat_Plan_Revit!$A$10:$S$321,15,FALSE)</f>
        <v>0</v>
      </c>
      <c r="U144" s="960" t="s">
        <v>73</v>
      </c>
      <c r="V144" s="73" t="s">
        <v>73</v>
      </c>
      <c r="W144" s="52" t="s">
        <v>110</v>
      </c>
      <c r="X144" s="53"/>
      <c r="Y144" s="54"/>
      <c r="Z144" s="80"/>
      <c r="AA144" s="84"/>
      <c r="AB144" s="89" t="s">
        <v>73</v>
      </c>
      <c r="AC144" s="967" t="s">
        <v>110</v>
      </c>
      <c r="AD144" s="1243" t="str">
        <f t="shared" si="2"/>
        <v>a</v>
      </c>
      <c r="AE144" s="1123"/>
      <c r="AF144" s="572"/>
      <c r="AG144" s="572"/>
    </row>
    <row r="145" spans="1:33" ht="37.5" customHeight="1" x14ac:dyDescent="0.25">
      <c r="A145" s="926">
        <v>176</v>
      </c>
      <c r="B145" s="40" t="s">
        <v>274</v>
      </c>
      <c r="C145" s="41" t="s">
        <v>305</v>
      </c>
      <c r="D145" s="42" t="s">
        <v>304</v>
      </c>
      <c r="E145" s="43" t="s">
        <v>38</v>
      </c>
      <c r="F145" s="60" t="s">
        <v>40</v>
      </c>
      <c r="G145" s="61">
        <v>-0.26432023070243799</v>
      </c>
      <c r="H145" s="61" t="s">
        <v>58</v>
      </c>
      <c r="I145" s="62">
        <v>0</v>
      </c>
      <c r="J145" s="65" t="s">
        <v>47</v>
      </c>
      <c r="K145" s="62">
        <v>0.42661315481000001</v>
      </c>
      <c r="L145" s="63" t="s">
        <v>61</v>
      </c>
      <c r="M145" s="48"/>
      <c r="N145" s="48"/>
      <c r="O145" s="48"/>
      <c r="P145" s="50"/>
      <c r="Q145" s="51" t="s">
        <v>99</v>
      </c>
      <c r="R145" s="950" t="s">
        <v>72</v>
      </c>
      <c r="S145" s="955" t="str">
        <f>VLOOKUP(A145,Strat_Plan_Revit!$A$10:$S$321,14,FALSE)</f>
        <v>vernachlässigbar</v>
      </c>
      <c r="T145" s="33">
        <f>VLOOKUP(A145,Strat_Plan_Revit!$A$10:$S$321,15,FALSE)</f>
        <v>0</v>
      </c>
      <c r="U145" s="960" t="s">
        <v>73</v>
      </c>
      <c r="V145" s="73" t="s">
        <v>73</v>
      </c>
      <c r="W145" s="52" t="s">
        <v>110</v>
      </c>
      <c r="X145" s="53"/>
      <c r="Y145" s="54"/>
      <c r="Z145" s="80"/>
      <c r="AA145" s="64"/>
      <c r="AB145" s="89" t="s">
        <v>73</v>
      </c>
      <c r="AC145" s="967" t="s">
        <v>110</v>
      </c>
      <c r="AD145" s="1243" t="str">
        <f t="shared" si="2"/>
        <v>a</v>
      </c>
      <c r="AE145" s="1123"/>
      <c r="AF145" s="572"/>
      <c r="AG145" s="572"/>
    </row>
    <row r="146" spans="1:33" ht="37.5" customHeight="1" x14ac:dyDescent="0.25">
      <c r="A146" s="926">
        <v>177</v>
      </c>
      <c r="B146" s="40" t="s">
        <v>274</v>
      </c>
      <c r="C146" s="41" t="s">
        <v>306</v>
      </c>
      <c r="D146" s="42" t="s">
        <v>304</v>
      </c>
      <c r="E146" s="43" t="s">
        <v>38</v>
      </c>
      <c r="F146" s="60" t="s">
        <v>40</v>
      </c>
      <c r="G146" s="61">
        <v>-0.474283717459897</v>
      </c>
      <c r="H146" s="61" t="s">
        <v>58</v>
      </c>
      <c r="I146" s="62">
        <v>1.1606285783557799E-2</v>
      </c>
      <c r="J146" s="65" t="s">
        <v>47</v>
      </c>
      <c r="K146" s="62">
        <v>0.24972785682000001</v>
      </c>
      <c r="L146" s="65" t="s">
        <v>42</v>
      </c>
      <c r="M146" s="66" t="s">
        <v>307</v>
      </c>
      <c r="N146" s="68" t="s">
        <v>103</v>
      </c>
      <c r="O146" s="49"/>
      <c r="P146" s="69"/>
      <c r="Q146" s="51" t="s">
        <v>104</v>
      </c>
      <c r="R146" s="950" t="s">
        <v>72</v>
      </c>
      <c r="S146" s="955" t="str">
        <f>VLOOKUP(A146,Strat_Plan_Revit!$A$10:$S$321,14,FALSE)</f>
        <v>besond. Verhältnisse</v>
      </c>
      <c r="T146" s="33">
        <f>VLOOKUP(A146,Strat_Plan_Revit!$A$10:$S$321,15,FALSE)</f>
        <v>0</v>
      </c>
      <c r="U146" s="960" t="s">
        <v>67</v>
      </c>
      <c r="V146" s="73" t="s">
        <v>67</v>
      </c>
      <c r="W146" s="52" t="s">
        <v>59</v>
      </c>
      <c r="X146" s="53"/>
      <c r="Y146" s="54"/>
      <c r="Z146" s="80"/>
      <c r="AA146" s="64"/>
      <c r="AB146" s="89" t="s">
        <v>67</v>
      </c>
      <c r="AC146" s="967" t="s">
        <v>59</v>
      </c>
      <c r="AD146" s="1243" t="str">
        <f t="shared" si="2"/>
        <v>a</v>
      </c>
      <c r="AE146" s="1123"/>
      <c r="AF146" s="572"/>
      <c r="AG146" s="572"/>
    </row>
    <row r="147" spans="1:33" ht="37.5" customHeight="1" x14ac:dyDescent="0.25">
      <c r="A147" s="926">
        <v>181</v>
      </c>
      <c r="B147" s="40" t="s">
        <v>274</v>
      </c>
      <c r="C147" s="41" t="s">
        <v>309</v>
      </c>
      <c r="D147" s="42" t="s">
        <v>304</v>
      </c>
      <c r="E147" s="43" t="s">
        <v>38</v>
      </c>
      <c r="F147" s="60" t="s">
        <v>40</v>
      </c>
      <c r="G147" s="61" t="s">
        <v>52</v>
      </c>
      <c r="H147" s="61" t="s">
        <v>40</v>
      </c>
      <c r="I147" s="62">
        <v>0</v>
      </c>
      <c r="J147" s="65" t="s">
        <v>47</v>
      </c>
      <c r="K147" s="62">
        <v>0.30049135943999999</v>
      </c>
      <c r="L147" s="65" t="s">
        <v>42</v>
      </c>
      <c r="M147" s="66" t="s">
        <v>310</v>
      </c>
      <c r="N147" s="66" t="s">
        <v>84</v>
      </c>
      <c r="O147" s="66" t="s">
        <v>311</v>
      </c>
      <c r="P147" s="67" t="s">
        <v>201</v>
      </c>
      <c r="Q147" s="51" t="s">
        <v>202</v>
      </c>
      <c r="R147" s="950" t="s">
        <v>72</v>
      </c>
      <c r="S147" s="955" t="str">
        <f>VLOOKUP(A147,Strat_Plan_Revit!$A$10:$S$321,14,FALSE)</f>
        <v>vernachlässigbar</v>
      </c>
      <c r="T147" s="33">
        <f>VLOOKUP(A147,Strat_Plan_Revit!$A$10:$S$321,15,FALSE)</f>
        <v>0</v>
      </c>
      <c r="U147" s="960" t="s">
        <v>73</v>
      </c>
      <c r="V147" s="73" t="s">
        <v>73</v>
      </c>
      <c r="W147" s="52" t="s">
        <v>59</v>
      </c>
      <c r="X147" s="53"/>
      <c r="Y147" s="54"/>
      <c r="Z147" s="321"/>
      <c r="AA147" s="64"/>
      <c r="AB147" s="89" t="s">
        <v>73</v>
      </c>
      <c r="AC147" s="967" t="s">
        <v>59</v>
      </c>
      <c r="AD147" s="1243" t="str">
        <f t="shared" si="2"/>
        <v>a</v>
      </c>
      <c r="AE147" s="1123"/>
      <c r="AF147" s="572"/>
      <c r="AG147" s="572"/>
    </row>
    <row r="148" spans="1:33" ht="37.5" customHeight="1" x14ac:dyDescent="0.25">
      <c r="A148" s="926">
        <v>185</v>
      </c>
      <c r="B148" s="40" t="s">
        <v>274</v>
      </c>
      <c r="C148" s="41" t="s">
        <v>312</v>
      </c>
      <c r="D148" s="42" t="s">
        <v>304</v>
      </c>
      <c r="E148" s="43" t="s">
        <v>38</v>
      </c>
      <c r="F148" s="60" t="s">
        <v>40</v>
      </c>
      <c r="G148" s="61" t="s">
        <v>52</v>
      </c>
      <c r="H148" s="61" t="s">
        <v>40</v>
      </c>
      <c r="I148" s="62">
        <v>4.6635908145902197E-2</v>
      </c>
      <c r="J148" s="65" t="s">
        <v>47</v>
      </c>
      <c r="K148" s="62">
        <v>0.26760749190999999</v>
      </c>
      <c r="L148" s="65" t="s">
        <v>42</v>
      </c>
      <c r="M148" s="66" t="s">
        <v>313</v>
      </c>
      <c r="N148" s="66" t="s">
        <v>84</v>
      </c>
      <c r="O148" s="66" t="s">
        <v>311</v>
      </c>
      <c r="P148" s="67" t="s">
        <v>201</v>
      </c>
      <c r="Q148" s="51" t="s">
        <v>202</v>
      </c>
      <c r="R148" s="950" t="s">
        <v>72</v>
      </c>
      <c r="S148" s="955" t="str">
        <f>VLOOKUP(A148,Strat_Plan_Revit!$A$10:$S$321,14,FALSE)</f>
        <v>vernachlässigbar</v>
      </c>
      <c r="T148" s="33">
        <f>VLOOKUP(A148,Strat_Plan_Revit!$A$10:$S$321,15,FALSE)</f>
        <v>0</v>
      </c>
      <c r="U148" s="960" t="s">
        <v>73</v>
      </c>
      <c r="V148" s="73" t="s">
        <v>73</v>
      </c>
      <c r="W148" s="52" t="s">
        <v>59</v>
      </c>
      <c r="X148" s="53"/>
      <c r="Y148" s="54"/>
      <c r="Z148" s="321"/>
      <c r="AA148" s="64"/>
      <c r="AB148" s="89" t="s">
        <v>73</v>
      </c>
      <c r="AC148" s="967" t="s">
        <v>59</v>
      </c>
      <c r="AD148" s="1243" t="str">
        <f t="shared" si="2"/>
        <v>a</v>
      </c>
      <c r="AE148" s="1123"/>
      <c r="AF148" s="572"/>
      <c r="AG148" s="572"/>
    </row>
    <row r="149" spans="1:33" ht="37.5" customHeight="1" x14ac:dyDescent="0.25">
      <c r="A149" s="926">
        <v>187</v>
      </c>
      <c r="B149" s="40" t="s">
        <v>274</v>
      </c>
      <c r="C149" s="41" t="s">
        <v>314</v>
      </c>
      <c r="D149" s="42" t="s">
        <v>315</v>
      </c>
      <c r="E149" s="43" t="s">
        <v>38</v>
      </c>
      <c r="F149" s="60" t="s">
        <v>40</v>
      </c>
      <c r="G149" s="61" t="s">
        <v>52</v>
      </c>
      <c r="H149" s="61" t="s">
        <v>40</v>
      </c>
      <c r="I149" s="62">
        <v>7.7881022255517393E-2</v>
      </c>
      <c r="J149" s="65" t="s">
        <v>47</v>
      </c>
      <c r="K149" s="62">
        <v>5.9451539561000001E-2</v>
      </c>
      <c r="L149" s="65" t="s">
        <v>42</v>
      </c>
      <c r="M149" s="66" t="s">
        <v>316</v>
      </c>
      <c r="N149" s="68" t="s">
        <v>103</v>
      </c>
      <c r="O149" s="49"/>
      <c r="P149" s="69"/>
      <c r="Q149" s="51" t="s">
        <v>104</v>
      </c>
      <c r="R149" s="950" t="s">
        <v>72</v>
      </c>
      <c r="S149" s="955" t="str">
        <f>VLOOKUP(A149,Strat_Plan_Revit!$A$10:$S$321,14,FALSE)</f>
        <v>-</v>
      </c>
      <c r="T149" s="33">
        <f>VLOOKUP(A149,Strat_Plan_Revit!$A$10:$S$321,15,FALSE)</f>
        <v>0</v>
      </c>
      <c r="U149" s="960"/>
      <c r="V149" s="73" t="s">
        <v>67</v>
      </c>
      <c r="W149" s="52" t="s">
        <v>72</v>
      </c>
      <c r="X149" s="53"/>
      <c r="Y149" s="54"/>
      <c r="Z149" s="321"/>
      <c r="AA149" s="64"/>
      <c r="AB149" s="89" t="s">
        <v>67</v>
      </c>
      <c r="AC149" s="967" t="s">
        <v>72</v>
      </c>
      <c r="AD149" s="1243" t="str">
        <f t="shared" si="2"/>
        <v>b</v>
      </c>
      <c r="AE149" s="1123"/>
      <c r="AF149" s="572"/>
      <c r="AG149" s="572"/>
    </row>
    <row r="150" spans="1:33" ht="37.5" customHeight="1" x14ac:dyDescent="0.25">
      <c r="A150" s="926">
        <v>188</v>
      </c>
      <c r="B150" s="40" t="s">
        <v>274</v>
      </c>
      <c r="C150" s="41" t="s">
        <v>317</v>
      </c>
      <c r="D150" s="42" t="s">
        <v>304</v>
      </c>
      <c r="E150" s="43" t="s">
        <v>38</v>
      </c>
      <c r="F150" s="44" t="s">
        <v>88</v>
      </c>
      <c r="G150" s="45" t="s">
        <v>52</v>
      </c>
      <c r="H150" s="45" t="s">
        <v>40</v>
      </c>
      <c r="I150" s="46">
        <v>0.37301211929105998</v>
      </c>
      <c r="J150" s="47" t="s">
        <v>41</v>
      </c>
      <c r="K150" s="46">
        <v>0.39744935155</v>
      </c>
      <c r="L150" s="47" t="s">
        <v>61</v>
      </c>
      <c r="M150" s="48"/>
      <c r="N150" s="48"/>
      <c r="O150" s="48"/>
      <c r="P150" s="50"/>
      <c r="Q150" s="51" t="s">
        <v>88</v>
      </c>
      <c r="R150" s="950" t="s">
        <v>43</v>
      </c>
      <c r="S150" s="955" t="str">
        <f>VLOOKUP(A150,Strat_Plan_Revit!$A$10:$S$321,14,FALSE)</f>
        <v>keine</v>
      </c>
      <c r="T150" s="33">
        <f>VLOOKUP(A150,Strat_Plan_Revit!$A$10:$S$321,15,FALSE)</f>
        <v>0</v>
      </c>
      <c r="U150" s="960" t="s">
        <v>88</v>
      </c>
      <c r="V150" s="73" t="s">
        <v>88</v>
      </c>
      <c r="W150" s="52" t="s">
        <v>59</v>
      </c>
      <c r="X150" s="53"/>
      <c r="Y150" s="54"/>
      <c r="Z150" s="321"/>
      <c r="AA150" s="64"/>
      <c r="AB150" s="89" t="s">
        <v>88</v>
      </c>
      <c r="AC150" s="967" t="s">
        <v>59</v>
      </c>
      <c r="AD150" s="1243" t="str">
        <f t="shared" si="2"/>
        <v>a</v>
      </c>
      <c r="AE150" s="1123"/>
      <c r="AF150" s="572"/>
      <c r="AG150" s="572"/>
    </row>
    <row r="151" spans="1:33" ht="37.5" customHeight="1" x14ac:dyDescent="0.25">
      <c r="A151" s="926">
        <v>190</v>
      </c>
      <c r="B151" s="40" t="s">
        <v>274</v>
      </c>
      <c r="C151" s="41" t="s">
        <v>318</v>
      </c>
      <c r="D151" s="42" t="s">
        <v>319</v>
      </c>
      <c r="E151" s="43" t="s">
        <v>38</v>
      </c>
      <c r="F151" s="44" t="s">
        <v>88</v>
      </c>
      <c r="G151" s="45">
        <v>-0.91112099286981796</v>
      </c>
      <c r="H151" s="45" t="s">
        <v>58</v>
      </c>
      <c r="I151" s="46">
        <v>0.67293332234886105</v>
      </c>
      <c r="J151" s="47" t="s">
        <v>41</v>
      </c>
      <c r="K151" s="46">
        <v>0.49107661750999998</v>
      </c>
      <c r="L151" s="47" t="s">
        <v>61</v>
      </c>
      <c r="M151" s="48"/>
      <c r="N151" s="48"/>
      <c r="O151" s="48"/>
      <c r="P151" s="50"/>
      <c r="Q151" s="51" t="s">
        <v>88</v>
      </c>
      <c r="R151" s="950" t="s">
        <v>43</v>
      </c>
      <c r="S151" s="955" t="str">
        <f>VLOOKUP(A151,Strat_Plan_Revit!$A$10:$S$321,14,FALSE)</f>
        <v>keine</v>
      </c>
      <c r="T151" s="33">
        <f>VLOOKUP(A151,Strat_Plan_Revit!$A$10:$S$321,15,FALSE)</f>
        <v>0</v>
      </c>
      <c r="U151" s="960" t="s">
        <v>88</v>
      </c>
      <c r="V151" s="90" t="s">
        <v>88</v>
      </c>
      <c r="W151" s="52" t="s">
        <v>59</v>
      </c>
      <c r="X151" s="53"/>
      <c r="Y151" s="54"/>
      <c r="Z151" s="321"/>
      <c r="AA151" s="64"/>
      <c r="AB151" s="89" t="s">
        <v>88</v>
      </c>
      <c r="AC151" s="967" t="s">
        <v>59</v>
      </c>
      <c r="AD151" s="1243" t="str">
        <f t="shared" si="2"/>
        <v>a</v>
      </c>
      <c r="AE151" s="1123"/>
      <c r="AF151" s="572"/>
      <c r="AG151" s="572"/>
    </row>
    <row r="152" spans="1:33" ht="37.5" customHeight="1" x14ac:dyDescent="0.25">
      <c r="A152" s="926">
        <v>194</v>
      </c>
      <c r="B152" s="40" t="s">
        <v>274</v>
      </c>
      <c r="C152" s="41" t="s">
        <v>320</v>
      </c>
      <c r="D152" s="42" t="s">
        <v>321</v>
      </c>
      <c r="E152" s="43" t="s">
        <v>38</v>
      </c>
      <c r="F152" s="44" t="s">
        <v>67</v>
      </c>
      <c r="G152" s="45" t="s">
        <v>52</v>
      </c>
      <c r="H152" s="45" t="s">
        <v>40</v>
      </c>
      <c r="I152" s="46">
        <v>0.635112348466225</v>
      </c>
      <c r="J152" s="47" t="s">
        <v>41</v>
      </c>
      <c r="K152" s="46">
        <v>0.50950327495000003</v>
      </c>
      <c r="L152" s="47" t="s">
        <v>61</v>
      </c>
      <c r="M152" s="48"/>
      <c r="N152" s="48"/>
      <c r="O152" s="48"/>
      <c r="P152" s="50"/>
      <c r="Q152" s="51" t="s">
        <v>67</v>
      </c>
      <c r="R152" s="950" t="s">
        <v>43</v>
      </c>
      <c r="S152" s="955" t="str">
        <f>VLOOKUP(A152,Strat_Plan_Revit!$A$10:$S$321,14,FALSE)</f>
        <v>keine</v>
      </c>
      <c r="T152" s="33">
        <f>VLOOKUP(A152,Strat_Plan_Revit!$A$10:$S$321,15,FALSE)</f>
        <v>0</v>
      </c>
      <c r="U152" s="960" t="s">
        <v>88</v>
      </c>
      <c r="V152" s="73" t="s">
        <v>88</v>
      </c>
      <c r="W152" s="52" t="s">
        <v>110</v>
      </c>
      <c r="X152" s="53"/>
      <c r="Y152" s="54"/>
      <c r="Z152" s="91"/>
      <c r="AA152" s="64"/>
      <c r="AB152" s="89" t="s">
        <v>88</v>
      </c>
      <c r="AC152" s="967" t="s">
        <v>110</v>
      </c>
      <c r="AD152" s="1243" t="str">
        <f t="shared" si="2"/>
        <v>a</v>
      </c>
      <c r="AE152" s="1123"/>
      <c r="AF152" s="572"/>
      <c r="AG152" s="572"/>
    </row>
    <row r="153" spans="1:33" ht="37.5" customHeight="1" x14ac:dyDescent="0.25">
      <c r="A153" s="926">
        <v>195</v>
      </c>
      <c r="B153" s="40" t="s">
        <v>274</v>
      </c>
      <c r="C153" s="41" t="s">
        <v>322</v>
      </c>
      <c r="D153" s="42" t="s">
        <v>323</v>
      </c>
      <c r="E153" s="43" t="s">
        <v>38</v>
      </c>
      <c r="F153" s="60" t="s">
        <v>40</v>
      </c>
      <c r="G153" s="61" t="s">
        <v>52</v>
      </c>
      <c r="H153" s="61" t="s">
        <v>40</v>
      </c>
      <c r="I153" s="62">
        <v>0.54830601759287401</v>
      </c>
      <c r="J153" s="63" t="s">
        <v>41</v>
      </c>
      <c r="K153" s="46">
        <v>0.48116237857999999</v>
      </c>
      <c r="L153" s="47" t="s">
        <v>61</v>
      </c>
      <c r="M153" s="48"/>
      <c r="N153" s="48"/>
      <c r="O153" s="48"/>
      <c r="P153" s="50"/>
      <c r="Q153" s="51" t="s">
        <v>71</v>
      </c>
      <c r="R153" s="950" t="s">
        <v>72</v>
      </c>
      <c r="S153" s="955" t="str">
        <f>VLOOKUP(A153,Strat_Plan_Revit!$A$10:$S$321,14,FALSE)</f>
        <v>vernachlässigbar</v>
      </c>
      <c r="T153" s="33">
        <f>VLOOKUP(A153,Strat_Plan_Revit!$A$10:$S$321,15,FALSE)</f>
        <v>0</v>
      </c>
      <c r="U153" s="960" t="s">
        <v>73</v>
      </c>
      <c r="V153" s="92" t="s">
        <v>73</v>
      </c>
      <c r="W153" s="52" t="s">
        <v>59</v>
      </c>
      <c r="X153" s="53"/>
      <c r="Y153" s="54"/>
      <c r="Z153" s="321"/>
      <c r="AA153" s="64"/>
      <c r="AB153" s="89" t="s">
        <v>73</v>
      </c>
      <c r="AC153" s="967" t="s">
        <v>59</v>
      </c>
      <c r="AD153" s="1243" t="str">
        <f t="shared" si="2"/>
        <v>a</v>
      </c>
      <c r="AE153" s="1123"/>
      <c r="AF153" s="572"/>
      <c r="AG153" s="572"/>
    </row>
    <row r="154" spans="1:33" ht="37.5" customHeight="1" x14ac:dyDescent="0.25">
      <c r="A154" s="926">
        <v>198</v>
      </c>
      <c r="B154" s="40" t="s">
        <v>573</v>
      </c>
      <c r="C154" s="41" t="s">
        <v>601</v>
      </c>
      <c r="D154" s="42" t="s">
        <v>217</v>
      </c>
      <c r="E154" s="57" t="s">
        <v>51</v>
      </c>
      <c r="F154" s="58"/>
      <c r="G154" s="45" t="s">
        <v>52</v>
      </c>
      <c r="H154" s="45" t="s">
        <v>40</v>
      </c>
      <c r="I154" s="46">
        <v>0</v>
      </c>
      <c r="J154" s="47" t="s">
        <v>47</v>
      </c>
      <c r="K154" s="46">
        <v>0.10963255232999999</v>
      </c>
      <c r="L154" s="47" t="s">
        <v>42</v>
      </c>
      <c r="M154" s="48"/>
      <c r="N154" s="48"/>
      <c r="O154" s="48"/>
      <c r="P154" s="50"/>
      <c r="Q154" s="51" t="s">
        <v>53</v>
      </c>
      <c r="R154" s="950" t="s">
        <v>43</v>
      </c>
      <c r="S154" s="955">
        <f>VLOOKUP(A154,Strat_Plan_Revit!$A$10:$S$321,14,FALSE)</f>
        <v>0</v>
      </c>
      <c r="T154" s="33">
        <f>VLOOKUP(A154,Strat_Plan_Revit!$A$10:$S$321,15,FALSE)</f>
        <v>0</v>
      </c>
      <c r="U154" s="960"/>
      <c r="V154" s="34" t="s">
        <v>53</v>
      </c>
      <c r="W154" s="52" t="s">
        <v>43</v>
      </c>
      <c r="X154" s="53"/>
      <c r="Y154" s="54"/>
      <c r="Z154" s="103" t="s">
        <v>577</v>
      </c>
      <c r="AA154" s="104"/>
      <c r="AB154" s="96" t="s">
        <v>53</v>
      </c>
      <c r="AC154" s="967" t="s">
        <v>43</v>
      </c>
      <c r="AD154" s="1243" t="str">
        <f t="shared" si="2"/>
        <v>a</v>
      </c>
      <c r="AE154" s="1123"/>
      <c r="AF154" s="572"/>
      <c r="AG154" s="572"/>
    </row>
    <row r="155" spans="1:33" ht="37.5" customHeight="1" x14ac:dyDescent="0.25">
      <c r="A155" s="926">
        <v>200</v>
      </c>
      <c r="B155" s="40" t="s">
        <v>573</v>
      </c>
      <c r="C155" s="41" t="s">
        <v>602</v>
      </c>
      <c r="D155" s="42" t="s">
        <v>217</v>
      </c>
      <c r="E155" s="57" t="s">
        <v>51</v>
      </c>
      <c r="F155" s="58"/>
      <c r="G155" s="45" t="s">
        <v>52</v>
      </c>
      <c r="H155" s="45" t="s">
        <v>40</v>
      </c>
      <c r="I155" s="46">
        <v>7.2458540049746098E-2</v>
      </c>
      <c r="J155" s="47" t="s">
        <v>47</v>
      </c>
      <c r="K155" s="46">
        <v>0.15893700775</v>
      </c>
      <c r="L155" s="47" t="s">
        <v>42</v>
      </c>
      <c r="M155" s="48"/>
      <c r="N155" s="48"/>
      <c r="O155" s="48"/>
      <c r="P155" s="50"/>
      <c r="Q155" s="51" t="s">
        <v>53</v>
      </c>
      <c r="R155" s="950" t="s">
        <v>43</v>
      </c>
      <c r="S155" s="955">
        <f>VLOOKUP(A155,Strat_Plan_Revit!$A$10:$S$321,14,FALSE)</f>
        <v>0</v>
      </c>
      <c r="T155" s="33">
        <f>VLOOKUP(A155,Strat_Plan_Revit!$A$10:$S$321,15,FALSE)</f>
        <v>0</v>
      </c>
      <c r="U155" s="960"/>
      <c r="V155" s="34" t="s">
        <v>53</v>
      </c>
      <c r="W155" s="52" t="s">
        <v>43</v>
      </c>
      <c r="X155" s="53"/>
      <c r="Y155" s="54"/>
      <c r="Z155" s="103" t="s">
        <v>577</v>
      </c>
      <c r="AA155" s="104"/>
      <c r="AB155" s="96" t="s">
        <v>53</v>
      </c>
      <c r="AC155" s="967" t="s">
        <v>43</v>
      </c>
      <c r="AD155" s="1243" t="str">
        <f t="shared" si="2"/>
        <v>a</v>
      </c>
      <c r="AE155" s="1123"/>
      <c r="AF155" s="572"/>
      <c r="AG155" s="572"/>
    </row>
    <row r="156" spans="1:33" ht="37.5" customHeight="1" x14ac:dyDescent="0.25">
      <c r="A156" s="926">
        <v>201</v>
      </c>
      <c r="B156" s="40" t="s">
        <v>573</v>
      </c>
      <c r="C156" s="41" t="s">
        <v>603</v>
      </c>
      <c r="D156" s="42" t="s">
        <v>217</v>
      </c>
      <c r="E156" s="57" t="s">
        <v>51</v>
      </c>
      <c r="F156" s="58"/>
      <c r="G156" s="45" t="s">
        <v>52</v>
      </c>
      <c r="H156" s="45" t="s">
        <v>40</v>
      </c>
      <c r="I156" s="46">
        <v>0</v>
      </c>
      <c r="J156" s="47" t="s">
        <v>47</v>
      </c>
      <c r="K156" s="46">
        <v>0.19022611741000001</v>
      </c>
      <c r="L156" s="47" t="s">
        <v>42</v>
      </c>
      <c r="M156" s="48"/>
      <c r="N156" s="48"/>
      <c r="O156" s="48"/>
      <c r="P156" s="50"/>
      <c r="Q156" s="51" t="s">
        <v>53</v>
      </c>
      <c r="R156" s="950" t="s">
        <v>43</v>
      </c>
      <c r="S156" s="955">
        <f>VLOOKUP(A156,Strat_Plan_Revit!$A$10:$S$321,14,FALSE)</f>
        <v>0</v>
      </c>
      <c r="T156" s="33">
        <f>VLOOKUP(A156,Strat_Plan_Revit!$A$10:$S$321,15,FALSE)</f>
        <v>0</v>
      </c>
      <c r="U156" s="960"/>
      <c r="V156" s="34" t="s">
        <v>53</v>
      </c>
      <c r="W156" s="52" t="s">
        <v>43</v>
      </c>
      <c r="X156" s="53"/>
      <c r="Y156" s="54"/>
      <c r="Z156" s="103" t="s">
        <v>577</v>
      </c>
      <c r="AA156" s="91"/>
      <c r="AB156" s="96" t="s">
        <v>53</v>
      </c>
      <c r="AC156" s="967" t="s">
        <v>43</v>
      </c>
      <c r="AD156" s="1243" t="str">
        <f t="shared" si="2"/>
        <v>a</v>
      </c>
      <c r="AE156" s="1123"/>
      <c r="AF156" s="572"/>
      <c r="AG156" s="572"/>
    </row>
    <row r="157" spans="1:33" ht="37.5" customHeight="1" x14ac:dyDescent="0.25">
      <c r="A157" s="926">
        <v>202</v>
      </c>
      <c r="B157" s="40" t="s">
        <v>573</v>
      </c>
      <c r="C157" s="41" t="s">
        <v>604</v>
      </c>
      <c r="D157" s="42" t="s">
        <v>217</v>
      </c>
      <c r="E157" s="57" t="s">
        <v>51</v>
      </c>
      <c r="F157" s="58"/>
      <c r="G157" s="45" t="s">
        <v>52</v>
      </c>
      <c r="H157" s="45" t="s">
        <v>40</v>
      </c>
      <c r="I157" s="46">
        <v>0</v>
      </c>
      <c r="J157" s="47" t="s">
        <v>47</v>
      </c>
      <c r="K157" s="46">
        <v>0.39802527376000002</v>
      </c>
      <c r="L157" s="47" t="s">
        <v>61</v>
      </c>
      <c r="M157" s="48"/>
      <c r="N157" s="48"/>
      <c r="O157" s="48"/>
      <c r="P157" s="50"/>
      <c r="Q157" s="51" t="s">
        <v>53</v>
      </c>
      <c r="R157" s="950" t="s">
        <v>43</v>
      </c>
      <c r="S157" s="955">
        <f>VLOOKUP(A157,Strat_Plan_Revit!$A$10:$S$321,14,FALSE)</f>
        <v>0</v>
      </c>
      <c r="T157" s="33">
        <f>VLOOKUP(A157,Strat_Plan_Revit!$A$10:$S$321,15,FALSE)</f>
        <v>0</v>
      </c>
      <c r="U157" s="960"/>
      <c r="V157" s="34" t="s">
        <v>53</v>
      </c>
      <c r="W157" s="52" t="s">
        <v>43</v>
      </c>
      <c r="X157" s="53"/>
      <c r="Y157" s="54"/>
      <c r="Z157" s="103" t="s">
        <v>577</v>
      </c>
      <c r="AA157" s="91"/>
      <c r="AB157" s="96" t="s">
        <v>53</v>
      </c>
      <c r="AC157" s="967" t="s">
        <v>43</v>
      </c>
      <c r="AD157" s="1243" t="str">
        <f t="shared" si="2"/>
        <v>a</v>
      </c>
      <c r="AE157" s="1123"/>
      <c r="AF157" s="572"/>
      <c r="AG157" s="572"/>
    </row>
    <row r="158" spans="1:33" ht="37.5" customHeight="1" x14ac:dyDescent="0.25">
      <c r="A158" s="926">
        <v>203</v>
      </c>
      <c r="B158" s="40" t="s">
        <v>233</v>
      </c>
      <c r="C158" s="41" t="s">
        <v>237</v>
      </c>
      <c r="D158" s="42" t="s">
        <v>217</v>
      </c>
      <c r="E158" s="57" t="s">
        <v>51</v>
      </c>
      <c r="F158" s="58"/>
      <c r="G158" s="45" t="s">
        <v>52</v>
      </c>
      <c r="H158" s="45" t="s">
        <v>40</v>
      </c>
      <c r="I158" s="46">
        <v>0</v>
      </c>
      <c r="J158" s="47" t="s">
        <v>47</v>
      </c>
      <c r="K158" s="46">
        <v>0.41425972829000002</v>
      </c>
      <c r="L158" s="47" t="s">
        <v>61</v>
      </c>
      <c r="M158" s="48"/>
      <c r="N158" s="48"/>
      <c r="O158" s="48"/>
      <c r="P158" s="50"/>
      <c r="Q158" s="51" t="s">
        <v>53</v>
      </c>
      <c r="R158" s="950" t="s">
        <v>43</v>
      </c>
      <c r="S158" s="957" t="s">
        <v>1850</v>
      </c>
      <c r="T158" s="33" t="s">
        <v>1850</v>
      </c>
      <c r="U158" s="960"/>
      <c r="V158" s="34" t="s">
        <v>53</v>
      </c>
      <c r="W158" s="52" t="s">
        <v>43</v>
      </c>
      <c r="X158" s="53"/>
      <c r="Y158" s="54"/>
      <c r="Z158" s="80"/>
      <c r="AA158" s="64"/>
      <c r="AB158" s="96" t="s">
        <v>53</v>
      </c>
      <c r="AC158" s="967" t="s">
        <v>43</v>
      </c>
      <c r="AD158" s="1243" t="str">
        <f t="shared" si="2"/>
        <v>a</v>
      </c>
      <c r="AE158" s="1123"/>
      <c r="AF158" s="572"/>
      <c r="AG158" s="572"/>
    </row>
    <row r="159" spans="1:33" ht="37.5" customHeight="1" x14ac:dyDescent="0.25">
      <c r="A159" s="926">
        <v>204</v>
      </c>
      <c r="B159" s="40" t="s">
        <v>197</v>
      </c>
      <c r="C159" s="41" t="s">
        <v>216</v>
      </c>
      <c r="D159" s="42" t="s">
        <v>217</v>
      </c>
      <c r="E159" s="57" t="s">
        <v>51</v>
      </c>
      <c r="F159" s="58"/>
      <c r="G159" s="45" t="s">
        <v>52</v>
      </c>
      <c r="H159" s="45" t="s">
        <v>40</v>
      </c>
      <c r="I159" s="46">
        <v>0</v>
      </c>
      <c r="J159" s="47" t="s">
        <v>47</v>
      </c>
      <c r="K159" s="46">
        <v>0.72029897991000003</v>
      </c>
      <c r="L159" s="47" t="s">
        <v>61</v>
      </c>
      <c r="M159" s="48"/>
      <c r="N159" s="48"/>
      <c r="O159" s="48"/>
      <c r="P159" s="50"/>
      <c r="Q159" s="51" t="s">
        <v>53</v>
      </c>
      <c r="R159" s="950" t="s">
        <v>43</v>
      </c>
      <c r="S159" s="955">
        <f>VLOOKUP(A159,Strat_Plan_Revit!$A$10:$S$321,14,FALSE)</f>
        <v>0</v>
      </c>
      <c r="T159" s="33">
        <f>VLOOKUP(A159,Strat_Plan_Revit!$A$10:$S$321,15,FALSE)</f>
        <v>0</v>
      </c>
      <c r="U159" s="960"/>
      <c r="V159" s="34" t="s">
        <v>53</v>
      </c>
      <c r="W159" s="52" t="s">
        <v>43</v>
      </c>
      <c r="X159" s="53"/>
      <c r="Y159" s="54"/>
      <c r="Z159" s="55"/>
      <c r="AA159" s="64"/>
      <c r="AB159" s="96" t="s">
        <v>53</v>
      </c>
      <c r="AC159" s="1239" t="s">
        <v>43</v>
      </c>
      <c r="AD159" s="1243" t="str">
        <f t="shared" si="2"/>
        <v>a</v>
      </c>
      <c r="AE159" s="1123"/>
      <c r="AF159" s="572"/>
      <c r="AG159" s="572"/>
    </row>
    <row r="160" spans="1:33" ht="37.5" customHeight="1" x14ac:dyDescent="0.25">
      <c r="A160" s="926">
        <v>205</v>
      </c>
      <c r="B160" s="40" t="s">
        <v>233</v>
      </c>
      <c r="C160" s="41" t="s">
        <v>238</v>
      </c>
      <c r="D160" s="42" t="s">
        <v>217</v>
      </c>
      <c r="E160" s="57" t="s">
        <v>51</v>
      </c>
      <c r="F160" s="58"/>
      <c r="G160" s="45" t="s">
        <v>52</v>
      </c>
      <c r="H160" s="45" t="s">
        <v>40</v>
      </c>
      <c r="I160" s="46">
        <v>0</v>
      </c>
      <c r="J160" s="47" t="s">
        <v>47</v>
      </c>
      <c r="K160" s="46">
        <v>0.35240238549000003</v>
      </c>
      <c r="L160" s="47" t="s">
        <v>61</v>
      </c>
      <c r="M160" s="48"/>
      <c r="N160" s="48"/>
      <c r="O160" s="48"/>
      <c r="P160" s="50"/>
      <c r="Q160" s="51" t="s">
        <v>53</v>
      </c>
      <c r="R160" s="950" t="s">
        <v>43</v>
      </c>
      <c r="S160" s="955" t="s">
        <v>1850</v>
      </c>
      <c r="T160" s="33" t="s">
        <v>1850</v>
      </c>
      <c r="U160" s="960"/>
      <c r="V160" s="34" t="s">
        <v>53</v>
      </c>
      <c r="W160" s="52" t="s">
        <v>43</v>
      </c>
      <c r="X160" s="53"/>
      <c r="Y160" s="54"/>
      <c r="Z160" s="80"/>
      <c r="AA160" s="64"/>
      <c r="AB160" s="96" t="s">
        <v>53</v>
      </c>
      <c r="AC160" s="967" t="s">
        <v>43</v>
      </c>
      <c r="AD160" s="1243" t="str">
        <f t="shared" si="2"/>
        <v>a</v>
      </c>
      <c r="AE160" s="1123"/>
      <c r="AF160" s="572"/>
      <c r="AG160" s="572"/>
    </row>
    <row r="161" spans="1:33" ht="37.5" customHeight="1" x14ac:dyDescent="0.25">
      <c r="A161" s="926">
        <v>206</v>
      </c>
      <c r="B161" s="40" t="s">
        <v>233</v>
      </c>
      <c r="C161" s="41" t="s">
        <v>239</v>
      </c>
      <c r="D161" s="42" t="s">
        <v>217</v>
      </c>
      <c r="E161" s="57" t="s">
        <v>51</v>
      </c>
      <c r="F161" s="58"/>
      <c r="G161" s="45" t="s">
        <v>52</v>
      </c>
      <c r="H161" s="45" t="s">
        <v>40</v>
      </c>
      <c r="I161" s="46">
        <v>0</v>
      </c>
      <c r="J161" s="47" t="s">
        <v>47</v>
      </c>
      <c r="K161" s="46">
        <v>0.76820810061</v>
      </c>
      <c r="L161" s="47" t="s">
        <v>61</v>
      </c>
      <c r="M161" s="48"/>
      <c r="N161" s="48"/>
      <c r="O161" s="48"/>
      <c r="P161" s="50"/>
      <c r="Q161" s="51" t="s">
        <v>53</v>
      </c>
      <c r="R161" s="950" t="s">
        <v>43</v>
      </c>
      <c r="S161" s="955" t="s">
        <v>1850</v>
      </c>
      <c r="T161" s="33" t="s">
        <v>1850</v>
      </c>
      <c r="U161" s="960"/>
      <c r="V161" s="34" t="s">
        <v>53</v>
      </c>
      <c r="W161" s="52" t="s">
        <v>43</v>
      </c>
      <c r="X161" s="53"/>
      <c r="Y161" s="54"/>
      <c r="Z161" s="80"/>
      <c r="AA161" s="64"/>
      <c r="AB161" s="96" t="s">
        <v>53</v>
      </c>
      <c r="AC161" s="967" t="s">
        <v>43</v>
      </c>
      <c r="AD161" s="1243" t="str">
        <f t="shared" si="2"/>
        <v>a</v>
      </c>
      <c r="AE161" s="1123"/>
      <c r="AF161" s="572"/>
      <c r="AG161" s="572"/>
    </row>
    <row r="162" spans="1:33" ht="37.5" customHeight="1" x14ac:dyDescent="0.25">
      <c r="A162" s="926">
        <v>207</v>
      </c>
      <c r="B162" s="40" t="s">
        <v>233</v>
      </c>
      <c r="C162" s="41" t="s">
        <v>240</v>
      </c>
      <c r="D162" s="42" t="s">
        <v>217</v>
      </c>
      <c r="E162" s="57" t="s">
        <v>51</v>
      </c>
      <c r="F162" s="58"/>
      <c r="G162" s="45" t="s">
        <v>52</v>
      </c>
      <c r="H162" s="45" t="s">
        <v>40</v>
      </c>
      <c r="I162" s="46">
        <v>0</v>
      </c>
      <c r="J162" s="47" t="s">
        <v>47</v>
      </c>
      <c r="K162" s="46">
        <v>0.57989999805000003</v>
      </c>
      <c r="L162" s="47" t="s">
        <v>61</v>
      </c>
      <c r="M162" s="48"/>
      <c r="N162" s="48"/>
      <c r="O162" s="48"/>
      <c r="P162" s="50"/>
      <c r="Q162" s="51" t="s">
        <v>53</v>
      </c>
      <c r="R162" s="950" t="s">
        <v>43</v>
      </c>
      <c r="S162" s="955" t="s">
        <v>1850</v>
      </c>
      <c r="T162" s="33" t="s">
        <v>1850</v>
      </c>
      <c r="U162" s="960"/>
      <c r="V162" s="34" t="s">
        <v>53</v>
      </c>
      <c r="W162" s="52" t="s">
        <v>43</v>
      </c>
      <c r="X162" s="53"/>
      <c r="Y162" s="54"/>
      <c r="Z162" s="80"/>
      <c r="AA162" s="64"/>
      <c r="AB162" s="96" t="s">
        <v>53</v>
      </c>
      <c r="AC162" s="967" t="s">
        <v>43</v>
      </c>
      <c r="AD162" s="1243" t="str">
        <f t="shared" si="2"/>
        <v>a</v>
      </c>
      <c r="AE162" s="1123"/>
      <c r="AF162" s="572"/>
      <c r="AG162" s="572"/>
    </row>
    <row r="163" spans="1:33" ht="37.5" customHeight="1" x14ac:dyDescent="0.25">
      <c r="A163" s="926">
        <v>208</v>
      </c>
      <c r="B163" s="40" t="s">
        <v>573</v>
      </c>
      <c r="C163" s="41" t="s">
        <v>605</v>
      </c>
      <c r="D163" s="42" t="s">
        <v>606</v>
      </c>
      <c r="E163" s="57" t="s">
        <v>51</v>
      </c>
      <c r="F163" s="58"/>
      <c r="G163" s="45" t="s">
        <v>52</v>
      </c>
      <c r="H163" s="45" t="s">
        <v>40</v>
      </c>
      <c r="I163" s="46">
        <v>0.26288901851987301</v>
      </c>
      <c r="J163" s="47" t="s">
        <v>41</v>
      </c>
      <c r="K163" s="46">
        <v>0.45646458626000003</v>
      </c>
      <c r="L163" s="47" t="s">
        <v>61</v>
      </c>
      <c r="M163" s="48"/>
      <c r="N163" s="48"/>
      <c r="O163" s="48"/>
      <c r="P163" s="50"/>
      <c r="Q163" s="51" t="s">
        <v>53</v>
      </c>
      <c r="R163" s="950" t="s">
        <v>43</v>
      </c>
      <c r="S163" s="955">
        <f>VLOOKUP(A163,Strat_Plan_Revit!$A$10:$S$321,14,FALSE)</f>
        <v>0</v>
      </c>
      <c r="T163" s="33">
        <f>VLOOKUP(A163,Strat_Plan_Revit!$A$10:$S$321,15,FALSE)</f>
        <v>0</v>
      </c>
      <c r="U163" s="960"/>
      <c r="V163" s="34" t="s">
        <v>53</v>
      </c>
      <c r="W163" s="52" t="s">
        <v>43</v>
      </c>
      <c r="X163" s="53"/>
      <c r="Y163" s="54"/>
      <c r="Z163" s="319" t="s">
        <v>577</v>
      </c>
      <c r="AA163" s="91"/>
      <c r="AB163" s="96" t="s">
        <v>53</v>
      </c>
      <c r="AC163" s="967" t="s">
        <v>43</v>
      </c>
      <c r="AD163" s="1243" t="str">
        <f t="shared" si="2"/>
        <v>a</v>
      </c>
      <c r="AE163" s="1123"/>
      <c r="AF163" s="572"/>
      <c r="AG163" s="572"/>
    </row>
    <row r="164" spans="1:33" ht="37.5" customHeight="1" x14ac:dyDescent="0.25">
      <c r="A164" s="926">
        <v>209</v>
      </c>
      <c r="B164" s="40" t="s">
        <v>189</v>
      </c>
      <c r="C164" s="41" t="s">
        <v>190</v>
      </c>
      <c r="D164" s="42" t="s">
        <v>191</v>
      </c>
      <c r="E164" s="57" t="s">
        <v>51</v>
      </c>
      <c r="F164" s="58"/>
      <c r="G164" s="45" t="s">
        <v>52</v>
      </c>
      <c r="H164" s="45" t="s">
        <v>40</v>
      </c>
      <c r="I164" s="46">
        <v>5.3557913933006797E-3</v>
      </c>
      <c r="J164" s="47" t="s">
        <v>47</v>
      </c>
      <c r="K164" s="46">
        <v>0.16825071975</v>
      </c>
      <c r="L164" s="47" t="s">
        <v>42</v>
      </c>
      <c r="M164" s="48"/>
      <c r="N164" s="48"/>
      <c r="O164" s="48"/>
      <c r="P164" s="50"/>
      <c r="Q164" s="51" t="s">
        <v>53</v>
      </c>
      <c r="R164" s="950" t="s">
        <v>43</v>
      </c>
      <c r="S164" s="955" t="s">
        <v>1850</v>
      </c>
      <c r="T164" s="33" t="s">
        <v>1850</v>
      </c>
      <c r="U164" s="960"/>
      <c r="V164" s="34" t="s">
        <v>53</v>
      </c>
      <c r="W164" s="52" t="s">
        <v>43</v>
      </c>
      <c r="X164" s="53"/>
      <c r="Y164" s="54"/>
      <c r="Z164" s="55"/>
      <c r="AA164" s="56"/>
      <c r="AB164" s="96" t="s">
        <v>53</v>
      </c>
      <c r="AC164" s="1239" t="s">
        <v>43</v>
      </c>
      <c r="AD164" s="1243" t="str">
        <f t="shared" si="2"/>
        <v>a</v>
      </c>
      <c r="AE164" s="1123"/>
      <c r="AF164" s="572"/>
      <c r="AG164" s="572"/>
    </row>
    <row r="165" spans="1:33" ht="37.5" customHeight="1" x14ac:dyDescent="0.25">
      <c r="A165" s="926">
        <v>211</v>
      </c>
      <c r="B165" s="40" t="s">
        <v>573</v>
      </c>
      <c r="C165" s="41" t="s">
        <v>607</v>
      </c>
      <c r="D165" s="42" t="s">
        <v>608</v>
      </c>
      <c r="E165" s="43" t="s">
        <v>38</v>
      </c>
      <c r="F165" s="60" t="s">
        <v>40</v>
      </c>
      <c r="G165" s="61" t="s">
        <v>52</v>
      </c>
      <c r="H165" s="61" t="s">
        <v>40</v>
      </c>
      <c r="I165" s="62">
        <v>3.9826515255465503E-2</v>
      </c>
      <c r="J165" s="65" t="s">
        <v>47</v>
      </c>
      <c r="K165" s="62">
        <v>0.53303401399999994</v>
      </c>
      <c r="L165" s="63" t="s">
        <v>61</v>
      </c>
      <c r="M165" s="48"/>
      <c r="N165" s="48"/>
      <c r="O165" s="48"/>
      <c r="P165" s="50"/>
      <c r="Q165" s="51" t="s">
        <v>99</v>
      </c>
      <c r="R165" s="950" t="s">
        <v>72</v>
      </c>
      <c r="S165" s="955" t="str">
        <f>VLOOKUP(A165,Strat_Plan_Revit!$A$10:$S$321,14,FALSE)</f>
        <v>non évalué</v>
      </c>
      <c r="T165" s="33" t="str">
        <f>VLOOKUP(A165,Strat_Plan_Revit!$A$10:$S$321,15,FALSE)</f>
        <v>non évalué</v>
      </c>
      <c r="U165" s="960"/>
      <c r="V165" s="34" t="s">
        <v>88</v>
      </c>
      <c r="W165" s="52" t="s">
        <v>72</v>
      </c>
      <c r="X165" s="53"/>
      <c r="Y165" s="54"/>
      <c r="Z165" s="319" t="s">
        <v>577</v>
      </c>
      <c r="AA165" s="91"/>
      <c r="AB165" s="96" t="s">
        <v>88</v>
      </c>
      <c r="AC165" s="967" t="s">
        <v>72</v>
      </c>
      <c r="AD165" s="1243" t="str">
        <f t="shared" si="2"/>
        <v>b</v>
      </c>
      <c r="AE165" s="1123"/>
      <c r="AF165" s="572"/>
      <c r="AG165" s="572"/>
    </row>
    <row r="166" spans="1:33" ht="37.5" customHeight="1" x14ac:dyDescent="0.25">
      <c r="A166" s="926">
        <v>216</v>
      </c>
      <c r="B166" s="40" t="s">
        <v>259</v>
      </c>
      <c r="C166" s="41" t="s">
        <v>266</v>
      </c>
      <c r="D166" s="42" t="s">
        <v>267</v>
      </c>
      <c r="E166" s="43" t="s">
        <v>38</v>
      </c>
      <c r="F166" s="60" t="s">
        <v>40</v>
      </c>
      <c r="G166" s="61" t="s">
        <v>52</v>
      </c>
      <c r="H166" s="61" t="s">
        <v>40</v>
      </c>
      <c r="I166" s="62">
        <v>0</v>
      </c>
      <c r="J166" s="65" t="s">
        <v>47</v>
      </c>
      <c r="K166" s="62">
        <v>0.52800506829000005</v>
      </c>
      <c r="L166" s="63" t="s">
        <v>61</v>
      </c>
      <c r="M166" s="48"/>
      <c r="N166" s="48"/>
      <c r="O166" s="48"/>
      <c r="P166" s="50"/>
      <c r="Q166" s="51" t="s">
        <v>87</v>
      </c>
      <c r="R166" s="950" t="s">
        <v>72</v>
      </c>
      <c r="S166" s="955">
        <f>VLOOKUP(A166,Strat_Plan_Revit!$A$10:$S$321,14,FALSE)</f>
        <v>0</v>
      </c>
      <c r="T166" s="33" t="str">
        <f>VLOOKUP(A166,Strat_Plan_Revit!$A$10:$S$321,15,FALSE)</f>
        <v>keine Anlagen</v>
      </c>
      <c r="U166" s="960"/>
      <c r="V166" s="34" t="s">
        <v>88</v>
      </c>
      <c r="W166" s="52" t="s">
        <v>72</v>
      </c>
      <c r="X166" s="53"/>
      <c r="Y166" s="54"/>
      <c r="Z166" s="80"/>
      <c r="AA166" s="64"/>
      <c r="AB166" s="96" t="s">
        <v>88</v>
      </c>
      <c r="AC166" s="967" t="s">
        <v>72</v>
      </c>
      <c r="AD166" s="1243" t="str">
        <f t="shared" si="2"/>
        <v>b</v>
      </c>
      <c r="AE166" s="1123"/>
      <c r="AF166" s="572"/>
      <c r="AG166" s="572"/>
    </row>
    <row r="167" spans="1:33" ht="37.5" customHeight="1" x14ac:dyDescent="0.25">
      <c r="A167" s="926">
        <v>217</v>
      </c>
      <c r="B167" s="40" t="s">
        <v>197</v>
      </c>
      <c r="C167" s="41" t="s">
        <v>218</v>
      </c>
      <c r="D167" s="42" t="s">
        <v>219</v>
      </c>
      <c r="E167" s="43" t="s">
        <v>38</v>
      </c>
      <c r="F167" s="60" t="s">
        <v>40</v>
      </c>
      <c r="G167" s="61" t="s">
        <v>52</v>
      </c>
      <c r="H167" s="61" t="s">
        <v>40</v>
      </c>
      <c r="I167" s="62">
        <v>3.07580112923985E-2</v>
      </c>
      <c r="J167" s="65" t="s">
        <v>47</v>
      </c>
      <c r="K167" s="62">
        <v>0.17116200880999999</v>
      </c>
      <c r="L167" s="65" t="s">
        <v>42</v>
      </c>
      <c r="M167" s="68"/>
      <c r="N167" s="66" t="s">
        <v>84</v>
      </c>
      <c r="O167" s="66" t="s">
        <v>220</v>
      </c>
      <c r="P167" s="79" t="s">
        <v>86</v>
      </c>
      <c r="Q167" s="51" t="s">
        <v>87</v>
      </c>
      <c r="R167" s="950" t="s">
        <v>72</v>
      </c>
      <c r="S167" s="955" t="str">
        <f>VLOOKUP(A167,Strat_Plan_Revit!$A$10:$S$321,14,FALSE)</f>
        <v>keine</v>
      </c>
      <c r="T167" s="33">
        <f>VLOOKUP(A167,Strat_Plan_Revit!$A$10:$S$321,15,FALSE)</f>
        <v>0</v>
      </c>
      <c r="U167" s="960" t="s">
        <v>88</v>
      </c>
      <c r="V167" s="34" t="s">
        <v>88</v>
      </c>
      <c r="W167" s="52" t="s">
        <v>59</v>
      </c>
      <c r="X167" s="53"/>
      <c r="Y167" s="54"/>
      <c r="Z167" s="55"/>
      <c r="AA167" s="64" t="s">
        <v>203</v>
      </c>
      <c r="AB167" s="96" t="s">
        <v>88</v>
      </c>
      <c r="AC167" s="1239" t="s">
        <v>59</v>
      </c>
      <c r="AD167" s="1243" t="str">
        <f t="shared" si="2"/>
        <v>a</v>
      </c>
      <c r="AE167" s="1123"/>
      <c r="AF167" s="572"/>
      <c r="AG167" s="572"/>
    </row>
    <row r="168" spans="1:33" ht="37.5" customHeight="1" x14ac:dyDescent="0.25">
      <c r="A168" s="926">
        <v>218</v>
      </c>
      <c r="B168" s="40" t="s">
        <v>241</v>
      </c>
      <c r="C168" s="41" t="s">
        <v>258</v>
      </c>
      <c r="D168" s="42" t="s">
        <v>250</v>
      </c>
      <c r="E168" s="43" t="s">
        <v>38</v>
      </c>
      <c r="F168" s="44" t="s">
        <v>39</v>
      </c>
      <c r="G168" s="45" t="s">
        <v>52</v>
      </c>
      <c r="H168" s="45" t="s">
        <v>40</v>
      </c>
      <c r="I168" s="46">
        <v>0</v>
      </c>
      <c r="J168" s="47" t="s">
        <v>47</v>
      </c>
      <c r="K168" s="46">
        <v>4.4807124447000003E-2</v>
      </c>
      <c r="L168" s="47" t="s">
        <v>42</v>
      </c>
      <c r="M168" s="48"/>
      <c r="N168" s="48"/>
      <c r="O168" s="48"/>
      <c r="P168" s="50"/>
      <c r="Q168" s="51" t="s">
        <v>39</v>
      </c>
      <c r="R168" s="950" t="s">
        <v>43</v>
      </c>
      <c r="S168" s="955" t="str">
        <f>VLOOKUP(A168,Strat_Plan_Revit!$A$10:$S$321,14,FALSE)</f>
        <v>très prononcée</v>
      </c>
      <c r="T168" s="33" t="str">
        <f>VLOOKUP(A168,Strat_Plan_Revit!$A$10:$S$321,15,FALSE)</f>
        <v>élevé (2020)</v>
      </c>
      <c r="U168" s="960" t="s">
        <v>45</v>
      </c>
      <c r="V168" s="34" t="s">
        <v>45</v>
      </c>
      <c r="W168" s="52" t="s">
        <v>59</v>
      </c>
      <c r="X168" s="53"/>
      <c r="Y168" s="54"/>
      <c r="Z168" s="80"/>
      <c r="AA168" s="64"/>
      <c r="AB168" s="96" t="s">
        <v>45</v>
      </c>
      <c r="AC168" s="967" t="s">
        <v>59</v>
      </c>
      <c r="AD168" s="1243" t="str">
        <f t="shared" si="2"/>
        <v>a</v>
      </c>
      <c r="AE168" s="1123"/>
      <c r="AF168" s="572"/>
      <c r="AG168" s="572"/>
    </row>
    <row r="169" spans="1:33" ht="37.5" customHeight="1" x14ac:dyDescent="0.25">
      <c r="A169" s="926">
        <v>219</v>
      </c>
      <c r="B169" s="40" t="s">
        <v>410</v>
      </c>
      <c r="C169" s="41" t="s">
        <v>422</v>
      </c>
      <c r="D169" s="42" t="s">
        <v>423</v>
      </c>
      <c r="E169" s="57" t="s">
        <v>51</v>
      </c>
      <c r="F169" s="58"/>
      <c r="G169" s="45" t="s">
        <v>52</v>
      </c>
      <c r="H169" s="45" t="s">
        <v>40</v>
      </c>
      <c r="I169" s="46">
        <v>0.37197805762624703</v>
      </c>
      <c r="J169" s="47" t="s">
        <v>41</v>
      </c>
      <c r="K169" s="46">
        <v>0.84304350154999996</v>
      </c>
      <c r="L169" s="47" t="s">
        <v>61</v>
      </c>
      <c r="M169" s="48"/>
      <c r="N169" s="48"/>
      <c r="O169" s="48"/>
      <c r="P169" s="50"/>
      <c r="Q169" s="51" t="s">
        <v>53</v>
      </c>
      <c r="R169" s="950" t="s">
        <v>43</v>
      </c>
      <c r="S169" s="955" t="str">
        <f>VLOOKUP(A169,Strat_Plan_Revit!$A$10:$S$321,14,FALSE)</f>
        <v>non dét.</v>
      </c>
      <c r="T169" s="33">
        <f>VLOOKUP(A169,Strat_Plan_Revit!$A$10:$S$321,15,FALSE)</f>
        <v>0</v>
      </c>
      <c r="U169" s="960"/>
      <c r="V169" s="34" t="s">
        <v>53</v>
      </c>
      <c r="W169" s="52" t="s">
        <v>43</v>
      </c>
      <c r="X169" s="53"/>
      <c r="Y169" s="54"/>
      <c r="Z169" s="55"/>
      <c r="AA169" s="56"/>
      <c r="AB169" s="96" t="s">
        <v>53</v>
      </c>
      <c r="AC169" s="1239" t="s">
        <v>43</v>
      </c>
      <c r="AD169" s="1243" t="str">
        <f t="shared" si="2"/>
        <v>a</v>
      </c>
      <c r="AE169" s="1123"/>
      <c r="AF169" s="572"/>
      <c r="AG169" s="572"/>
    </row>
    <row r="170" spans="1:33" ht="37.5" customHeight="1" x14ac:dyDescent="0.25">
      <c r="A170" s="926">
        <v>220</v>
      </c>
      <c r="B170" s="40" t="s">
        <v>35</v>
      </c>
      <c r="C170" s="41" t="s">
        <v>68</v>
      </c>
      <c r="D170" s="42" t="s">
        <v>37</v>
      </c>
      <c r="E170" s="43" t="s">
        <v>38</v>
      </c>
      <c r="F170" s="44" t="s">
        <v>39</v>
      </c>
      <c r="G170" s="45" t="s">
        <v>52</v>
      </c>
      <c r="H170" s="45" t="s">
        <v>40</v>
      </c>
      <c r="I170" s="46">
        <v>0.83636143654636697</v>
      </c>
      <c r="J170" s="47" t="s">
        <v>41</v>
      </c>
      <c r="K170" s="46">
        <v>0.46476588551999998</v>
      </c>
      <c r="L170" s="47" t="s">
        <v>61</v>
      </c>
      <c r="M170" s="48"/>
      <c r="N170" s="48"/>
      <c r="O170" s="48"/>
      <c r="P170" s="50"/>
      <c r="Q170" s="51" t="s">
        <v>39</v>
      </c>
      <c r="R170" s="950" t="s">
        <v>43</v>
      </c>
      <c r="S170" s="955" t="str">
        <f>VLOOKUP(A170,Strat_Plan_Revit!$A$10:$S$321,14,FALSE)</f>
        <v>-</v>
      </c>
      <c r="T170" s="33" t="str">
        <f>VLOOKUP(A170,Strat_Plan_Revit!$A$10:$S$321,15,FALSE)</f>
        <v>-</v>
      </c>
      <c r="U170" s="960"/>
      <c r="V170" s="34" t="s">
        <v>45</v>
      </c>
      <c r="W170" s="52" t="s">
        <v>43</v>
      </c>
      <c r="X170" s="53"/>
      <c r="Y170" s="54"/>
      <c r="Z170" s="55"/>
      <c r="AA170" s="56"/>
      <c r="AB170" s="96" t="s">
        <v>45</v>
      </c>
      <c r="AC170" s="1239" t="s">
        <v>43</v>
      </c>
      <c r="AD170" s="1243" t="str">
        <f t="shared" si="2"/>
        <v>a</v>
      </c>
      <c r="AE170" s="1123"/>
      <c r="AF170" s="572"/>
      <c r="AG170" s="572"/>
    </row>
    <row r="171" spans="1:33" ht="37.5" customHeight="1" x14ac:dyDescent="0.25">
      <c r="A171" s="928">
        <v>221</v>
      </c>
      <c r="B171" s="40" t="s">
        <v>192</v>
      </c>
      <c r="C171" s="41" t="s">
        <v>193</v>
      </c>
      <c r="D171" s="42" t="s">
        <v>50</v>
      </c>
      <c r="E171" s="43" t="s">
        <v>38</v>
      </c>
      <c r="F171" s="60" t="s">
        <v>40</v>
      </c>
      <c r="G171" s="61" t="s">
        <v>52</v>
      </c>
      <c r="H171" s="61" t="s">
        <v>40</v>
      </c>
      <c r="I171" s="62">
        <v>2.0170467065000801E-2</v>
      </c>
      <c r="J171" s="65" t="s">
        <v>47</v>
      </c>
      <c r="K171" s="62">
        <v>0.14740706562</v>
      </c>
      <c r="L171" s="65" t="s">
        <v>42</v>
      </c>
      <c r="M171" s="66" t="s">
        <v>194</v>
      </c>
      <c r="N171" s="68" t="s">
        <v>86</v>
      </c>
      <c r="O171" s="49"/>
      <c r="P171" s="69"/>
      <c r="Q171" s="51" t="s">
        <v>104</v>
      </c>
      <c r="R171" s="950" t="s">
        <v>72</v>
      </c>
      <c r="S171" s="955" t="s">
        <v>1850</v>
      </c>
      <c r="T171" s="33" t="s">
        <v>1850</v>
      </c>
      <c r="U171" s="960"/>
      <c r="V171" s="34" t="s">
        <v>67</v>
      </c>
      <c r="W171" s="52" t="s">
        <v>72</v>
      </c>
      <c r="X171" s="53" t="s">
        <v>195</v>
      </c>
      <c r="Y171" s="54"/>
      <c r="Z171" s="55"/>
      <c r="AA171" s="64" t="s">
        <v>196</v>
      </c>
      <c r="AB171" s="96" t="s">
        <v>67</v>
      </c>
      <c r="AC171" s="1239" t="s">
        <v>72</v>
      </c>
      <c r="AD171" s="1243" t="str">
        <f t="shared" si="2"/>
        <v>b</v>
      </c>
      <c r="AE171" s="1123"/>
      <c r="AF171" s="572"/>
      <c r="AG171" s="572"/>
    </row>
    <row r="172" spans="1:33" ht="37.5" customHeight="1" x14ac:dyDescent="0.25">
      <c r="A172" s="926">
        <v>222</v>
      </c>
      <c r="B172" s="40" t="s">
        <v>92</v>
      </c>
      <c r="C172" s="41" t="s">
        <v>146</v>
      </c>
      <c r="D172" s="42" t="s">
        <v>147</v>
      </c>
      <c r="E172" s="57" t="s">
        <v>51</v>
      </c>
      <c r="F172" s="58"/>
      <c r="G172" s="45" t="s">
        <v>52</v>
      </c>
      <c r="H172" s="45" t="s">
        <v>40</v>
      </c>
      <c r="I172" s="46">
        <v>8.01034701141074E-2</v>
      </c>
      <c r="J172" s="47" t="s">
        <v>47</v>
      </c>
      <c r="K172" s="46">
        <v>0.66694362436999999</v>
      </c>
      <c r="L172" s="47" t="s">
        <v>61</v>
      </c>
      <c r="M172" s="48"/>
      <c r="N172" s="48"/>
      <c r="O172" s="48"/>
      <c r="P172" s="50"/>
      <c r="Q172" s="51" t="s">
        <v>53</v>
      </c>
      <c r="R172" s="950" t="s">
        <v>43</v>
      </c>
      <c r="S172" s="955">
        <f>VLOOKUP(A172,Strat_Plan_Revit!$A$10:$S$321,14,FALSE)</f>
        <v>0</v>
      </c>
      <c r="T172" s="33">
        <f>VLOOKUP(A172,Strat_Plan_Revit!$A$10:$S$321,15,FALSE)</f>
        <v>0</v>
      </c>
      <c r="U172" s="960"/>
      <c r="V172" s="34" t="s">
        <v>53</v>
      </c>
      <c r="W172" s="52" t="s">
        <v>43</v>
      </c>
      <c r="X172" s="53"/>
      <c r="Y172" s="54"/>
      <c r="Z172" s="55"/>
      <c r="AA172" s="56"/>
      <c r="AB172" s="96" t="s">
        <v>53</v>
      </c>
      <c r="AC172" s="1239" t="s">
        <v>43</v>
      </c>
      <c r="AD172" s="1243" t="str">
        <f t="shared" si="2"/>
        <v>a</v>
      </c>
      <c r="AE172" s="1123"/>
      <c r="AF172" s="572"/>
      <c r="AG172" s="572"/>
    </row>
    <row r="173" spans="1:33" ht="37.5" customHeight="1" x14ac:dyDescent="0.25">
      <c r="A173" s="927">
        <v>223.1</v>
      </c>
      <c r="B173" s="40" t="s">
        <v>92</v>
      </c>
      <c r="C173" s="41" t="s">
        <v>148</v>
      </c>
      <c r="D173" s="42" t="s">
        <v>149</v>
      </c>
      <c r="E173" s="43" t="s">
        <v>38</v>
      </c>
      <c r="F173" s="44" t="s">
        <v>39</v>
      </c>
      <c r="G173" s="45" t="s">
        <v>52</v>
      </c>
      <c r="H173" s="45" t="s">
        <v>40</v>
      </c>
      <c r="I173" s="46">
        <v>0.52965847935320298</v>
      </c>
      <c r="J173" s="47" t="s">
        <v>41</v>
      </c>
      <c r="K173" s="46">
        <v>0.24166949908999999</v>
      </c>
      <c r="L173" s="47" t="s">
        <v>42</v>
      </c>
      <c r="M173" s="48"/>
      <c r="N173" s="48"/>
      <c r="O173" s="48"/>
      <c r="P173" s="50"/>
      <c r="Q173" s="51" t="s">
        <v>39</v>
      </c>
      <c r="R173" s="950" t="s">
        <v>43</v>
      </c>
      <c r="S173" s="955" t="str">
        <f>VLOOKUP(A173,Strat_Plan_Revit!$A$10:$S$321,14,FALSE)</f>
        <v>sehr stark</v>
      </c>
      <c r="T173" s="33" t="str">
        <f>VLOOKUP(A173,Strat_Plan_Revit!$A$10:$S$321,15,FALSE)</f>
        <v>Ja (keine MN)</v>
      </c>
      <c r="U173" s="960"/>
      <c r="V173" s="34" t="s">
        <v>45</v>
      </c>
      <c r="W173" s="52" t="s">
        <v>43</v>
      </c>
      <c r="X173" s="53"/>
      <c r="Y173" s="54"/>
      <c r="Z173" s="55"/>
      <c r="AA173" s="56"/>
      <c r="AB173" s="96" t="s">
        <v>45</v>
      </c>
      <c r="AC173" s="1239" t="s">
        <v>43</v>
      </c>
      <c r="AD173" s="1243" t="str">
        <f t="shared" si="2"/>
        <v>a</v>
      </c>
      <c r="AE173" s="1123"/>
      <c r="AF173" s="572"/>
      <c r="AG173" s="572"/>
    </row>
    <row r="174" spans="1:33" ht="37.5" customHeight="1" x14ac:dyDescent="0.25">
      <c r="A174" s="927">
        <v>223.2</v>
      </c>
      <c r="B174" s="40" t="s">
        <v>92</v>
      </c>
      <c r="C174" s="41" t="s">
        <v>148</v>
      </c>
      <c r="D174" s="42" t="s">
        <v>149</v>
      </c>
      <c r="E174" s="57" t="s">
        <v>51</v>
      </c>
      <c r="F174" s="58"/>
      <c r="G174" s="45" t="s">
        <v>52</v>
      </c>
      <c r="H174" s="45" t="s">
        <v>40</v>
      </c>
      <c r="I174" s="46">
        <v>0</v>
      </c>
      <c r="J174" s="47" t="s">
        <v>47</v>
      </c>
      <c r="K174" s="46">
        <v>0.60187126290000004</v>
      </c>
      <c r="L174" s="47" t="s">
        <v>61</v>
      </c>
      <c r="M174" s="48"/>
      <c r="N174" s="48"/>
      <c r="O174" s="48"/>
      <c r="P174" s="50"/>
      <c r="Q174" s="51" t="s">
        <v>53</v>
      </c>
      <c r="R174" s="950" t="s">
        <v>43</v>
      </c>
      <c r="S174" s="955">
        <f>VLOOKUP(A174,Strat_Plan_Revit!$A$10:$S$321,14,FALSE)</f>
        <v>0</v>
      </c>
      <c r="T174" s="33">
        <f>VLOOKUP(A174,Strat_Plan_Revit!$A$10:$S$321,15,FALSE)</f>
        <v>0</v>
      </c>
      <c r="U174" s="960" t="s">
        <v>45</v>
      </c>
      <c r="V174" s="34" t="s">
        <v>53</v>
      </c>
      <c r="W174" s="52" t="s">
        <v>43</v>
      </c>
      <c r="X174" s="53"/>
      <c r="Y174" s="54"/>
      <c r="Z174" s="55"/>
      <c r="AA174" s="56"/>
      <c r="AB174" s="96" t="s">
        <v>53</v>
      </c>
      <c r="AC174" s="1239" t="s">
        <v>43</v>
      </c>
      <c r="AD174" s="1243" t="str">
        <f t="shared" si="2"/>
        <v>a</v>
      </c>
      <c r="AE174" s="1123"/>
      <c r="AF174" s="572"/>
      <c r="AG174" s="572"/>
    </row>
    <row r="175" spans="1:33" ht="37.5" customHeight="1" x14ac:dyDescent="0.25">
      <c r="A175" s="926">
        <v>224</v>
      </c>
      <c r="B175" s="40" t="s">
        <v>92</v>
      </c>
      <c r="C175" s="41" t="s">
        <v>151</v>
      </c>
      <c r="D175" s="42" t="s">
        <v>152</v>
      </c>
      <c r="E175" s="43" t="s">
        <v>38</v>
      </c>
      <c r="F175" s="60" t="s">
        <v>40</v>
      </c>
      <c r="G175" s="61" t="s">
        <v>52</v>
      </c>
      <c r="H175" s="61" t="s">
        <v>40</v>
      </c>
      <c r="I175" s="62">
        <v>0.32100000000000001</v>
      </c>
      <c r="J175" s="63" t="s">
        <v>41</v>
      </c>
      <c r="K175" s="46">
        <v>0.39793819453000001</v>
      </c>
      <c r="L175" s="47" t="s">
        <v>61</v>
      </c>
      <c r="M175" s="48"/>
      <c r="N175" s="48"/>
      <c r="O175" s="48"/>
      <c r="P175" s="50"/>
      <c r="Q175" s="51" t="s">
        <v>71</v>
      </c>
      <c r="R175" s="950" t="s">
        <v>72</v>
      </c>
      <c r="S175" s="955" t="str">
        <f>VLOOKUP(A175,Strat_Plan_Revit!$A$10:$S$321,14,FALSE)</f>
        <v>-</v>
      </c>
      <c r="T175" s="33" t="str">
        <f>VLOOKUP(A175,Strat_Plan_Revit!$A$10:$S$321,15,FALSE)</f>
        <v>-</v>
      </c>
      <c r="U175" s="960"/>
      <c r="V175" s="34" t="s">
        <v>73</v>
      </c>
      <c r="W175" s="52" t="s">
        <v>72</v>
      </c>
      <c r="X175" s="53"/>
      <c r="Y175" s="54"/>
      <c r="Z175" s="55"/>
      <c r="AA175" s="56"/>
      <c r="AB175" s="96" t="s">
        <v>73</v>
      </c>
      <c r="AC175" s="1239" t="s">
        <v>72</v>
      </c>
      <c r="AD175" s="1243" t="str">
        <f t="shared" si="2"/>
        <v>b</v>
      </c>
      <c r="AE175" s="1123"/>
      <c r="AF175" s="572"/>
      <c r="AG175" s="572"/>
    </row>
    <row r="176" spans="1:33" ht="37.5" customHeight="1" x14ac:dyDescent="0.25">
      <c r="A176" s="926">
        <v>225</v>
      </c>
      <c r="B176" s="40" t="s">
        <v>460</v>
      </c>
      <c r="C176" s="41" t="s">
        <v>464</v>
      </c>
      <c r="D176" s="42" t="s">
        <v>465</v>
      </c>
      <c r="E176" s="43" t="s">
        <v>38</v>
      </c>
      <c r="F176" s="60" t="s">
        <v>40</v>
      </c>
      <c r="G176" s="61" t="s">
        <v>52</v>
      </c>
      <c r="H176" s="61" t="s">
        <v>40</v>
      </c>
      <c r="I176" s="62">
        <v>0.319078715941362</v>
      </c>
      <c r="J176" s="63" t="s">
        <v>41</v>
      </c>
      <c r="K176" s="46">
        <v>0.41086773305000002</v>
      </c>
      <c r="L176" s="47" t="s">
        <v>61</v>
      </c>
      <c r="M176" s="48"/>
      <c r="N176" s="48"/>
      <c r="O176" s="48"/>
      <c r="P176" s="50"/>
      <c r="Q176" s="51" t="s">
        <v>71</v>
      </c>
      <c r="R176" s="950" t="s">
        <v>72</v>
      </c>
      <c r="S176" s="955" t="str">
        <f>VLOOKUP(A176,Strat_Plan_Revit!$A$10:$S$321,14,FALSE)</f>
        <v>gering</v>
      </c>
      <c r="T176" s="33" t="str">
        <f>VLOOKUP(A176,Strat_Plan_Revit!$A$10:$S$321,15,FALSE)</f>
        <v>-</v>
      </c>
      <c r="U176" s="960" t="s">
        <v>73</v>
      </c>
      <c r="V176" s="34" t="s">
        <v>73</v>
      </c>
      <c r="W176" s="52" t="s">
        <v>59</v>
      </c>
      <c r="X176" s="53"/>
      <c r="Y176" s="54"/>
      <c r="Z176" s="55"/>
      <c r="AA176" s="64" t="s">
        <v>466</v>
      </c>
      <c r="AB176" s="96" t="s">
        <v>73</v>
      </c>
      <c r="AC176" s="1239" t="s">
        <v>59</v>
      </c>
      <c r="AD176" s="1243" t="str">
        <f t="shared" si="2"/>
        <v>a</v>
      </c>
      <c r="AE176" s="1123"/>
      <c r="AF176" s="572"/>
      <c r="AG176" s="572"/>
    </row>
    <row r="177" spans="1:33" ht="37.5" customHeight="1" x14ac:dyDescent="0.25">
      <c r="A177" s="926">
        <v>226</v>
      </c>
      <c r="B177" s="40" t="s">
        <v>573</v>
      </c>
      <c r="C177" s="41" t="s">
        <v>609</v>
      </c>
      <c r="D177" s="42" t="s">
        <v>610</v>
      </c>
      <c r="E177" s="43" t="s">
        <v>38</v>
      </c>
      <c r="F177" s="60" t="s">
        <v>40</v>
      </c>
      <c r="G177" s="61" t="s">
        <v>52</v>
      </c>
      <c r="H177" s="61" t="s">
        <v>40</v>
      </c>
      <c r="I177" s="62">
        <v>0.140620956331897</v>
      </c>
      <c r="J177" s="65" t="s">
        <v>47</v>
      </c>
      <c r="K177" s="62">
        <v>0.27770610712999999</v>
      </c>
      <c r="L177" s="65" t="s">
        <v>42</v>
      </c>
      <c r="M177" s="66" t="s">
        <v>611</v>
      </c>
      <c r="N177" s="68" t="s">
        <v>86</v>
      </c>
      <c r="O177" s="49"/>
      <c r="P177" s="69"/>
      <c r="Q177" s="51" t="s">
        <v>87</v>
      </c>
      <c r="R177" s="950" t="s">
        <v>43</v>
      </c>
      <c r="S177" s="955" t="str">
        <f>VLOOKUP(A177,Strat_Plan_Revit!$A$10:$S$321,14,FALSE)</f>
        <v>aucune</v>
      </c>
      <c r="T177" s="33" t="str">
        <f>VLOOKUP(A177,Strat_Plan_Revit!$A$10:$S$321,15,FALSE)</f>
        <v>aucun</v>
      </c>
      <c r="U177" s="960" t="s">
        <v>88</v>
      </c>
      <c r="V177" s="34" t="s">
        <v>88</v>
      </c>
      <c r="W177" s="52" t="s">
        <v>59</v>
      </c>
      <c r="X177" s="53"/>
      <c r="Y177" s="54"/>
      <c r="Z177" s="319" t="s">
        <v>577</v>
      </c>
      <c r="AA177" s="104"/>
      <c r="AB177" s="96" t="s">
        <v>88</v>
      </c>
      <c r="AC177" s="967" t="s">
        <v>59</v>
      </c>
      <c r="AD177" s="1243" t="str">
        <f t="shared" si="2"/>
        <v>a</v>
      </c>
      <c r="AE177" s="1123"/>
      <c r="AF177" s="572"/>
      <c r="AG177" s="572"/>
    </row>
    <row r="178" spans="1:33" ht="37.5" customHeight="1" x14ac:dyDescent="0.25">
      <c r="A178" s="926">
        <v>227</v>
      </c>
      <c r="B178" s="40" t="s">
        <v>482</v>
      </c>
      <c r="C178" s="41" t="s">
        <v>513</v>
      </c>
      <c r="D178" s="42" t="s">
        <v>514</v>
      </c>
      <c r="E178" s="43" t="s">
        <v>38</v>
      </c>
      <c r="F178" s="60" t="s">
        <v>40</v>
      </c>
      <c r="G178" s="61" t="s">
        <v>52</v>
      </c>
      <c r="H178" s="61" t="s">
        <v>40</v>
      </c>
      <c r="I178" s="62">
        <v>0</v>
      </c>
      <c r="J178" s="65" t="s">
        <v>47</v>
      </c>
      <c r="K178" s="62">
        <v>0.14412773865</v>
      </c>
      <c r="L178" s="65" t="s">
        <v>42</v>
      </c>
      <c r="M178" s="66" t="s">
        <v>515</v>
      </c>
      <c r="N178" s="66" t="s">
        <v>84</v>
      </c>
      <c r="O178" s="66" t="s">
        <v>516</v>
      </c>
      <c r="P178" s="67" t="s">
        <v>103</v>
      </c>
      <c r="Q178" s="51" t="s">
        <v>104</v>
      </c>
      <c r="R178" s="950" t="s">
        <v>72</v>
      </c>
      <c r="S178" s="955" t="str">
        <f>VLOOKUP(A178,Strat_Plan_Revit!$A$10:$S$321,14,FALSE)</f>
        <v>nul et faible</v>
      </c>
      <c r="T178" s="33">
        <f>VLOOKUP(A178,Strat_Plan_Revit!$A$10:$S$321,15,FALSE)</f>
        <v>0</v>
      </c>
      <c r="U178" s="962" t="s">
        <v>88</v>
      </c>
      <c r="V178" s="101" t="s">
        <v>88</v>
      </c>
      <c r="W178" s="52" t="s">
        <v>110</v>
      </c>
      <c r="X178" s="53"/>
      <c r="Y178" s="54"/>
      <c r="Z178" s="55"/>
      <c r="AA178" s="56"/>
      <c r="AB178" s="1249" t="s">
        <v>88</v>
      </c>
      <c r="AC178" s="967" t="s">
        <v>110</v>
      </c>
      <c r="AD178" s="1243" t="str">
        <f t="shared" si="2"/>
        <v>a</v>
      </c>
      <c r="AE178" s="1123"/>
      <c r="AF178" s="572"/>
      <c r="AG178" s="572"/>
    </row>
    <row r="179" spans="1:33" ht="37.5" customHeight="1" x14ac:dyDescent="0.25">
      <c r="A179" s="926">
        <v>228</v>
      </c>
      <c r="B179" s="40" t="s">
        <v>482</v>
      </c>
      <c r="C179" s="41" t="s">
        <v>518</v>
      </c>
      <c r="D179" s="42" t="s">
        <v>519</v>
      </c>
      <c r="E179" s="43" t="s">
        <v>38</v>
      </c>
      <c r="F179" s="60" t="s">
        <v>40</v>
      </c>
      <c r="G179" s="61" t="s">
        <v>52</v>
      </c>
      <c r="H179" s="61" t="s">
        <v>40</v>
      </c>
      <c r="I179" s="62">
        <v>3.49620608529186E-2</v>
      </c>
      <c r="J179" s="65" t="s">
        <v>47</v>
      </c>
      <c r="K179" s="62">
        <v>0.47946954983000001</v>
      </c>
      <c r="L179" s="63" t="s">
        <v>61</v>
      </c>
      <c r="M179" s="48"/>
      <c r="N179" s="48"/>
      <c r="O179" s="48"/>
      <c r="P179" s="50"/>
      <c r="Q179" s="51" t="s">
        <v>99</v>
      </c>
      <c r="R179" s="950" t="s">
        <v>72</v>
      </c>
      <c r="S179" s="955" t="str">
        <f>VLOOKUP(A179,Strat_Plan_Revit!$A$10:$S$321,14,FALSE)</f>
        <v>négligeable</v>
      </c>
      <c r="T179" s="33">
        <f>VLOOKUP(A179,Strat_Plan_Revit!$A$10:$S$321,15,FALSE)</f>
        <v>0</v>
      </c>
      <c r="U179" s="962" t="s">
        <v>88</v>
      </c>
      <c r="V179" s="34" t="s">
        <v>88</v>
      </c>
      <c r="W179" s="52" t="s">
        <v>59</v>
      </c>
      <c r="X179" s="53"/>
      <c r="Y179" s="54"/>
      <c r="Z179" s="55"/>
      <c r="AA179" s="56"/>
      <c r="AB179" s="96" t="s">
        <v>88</v>
      </c>
      <c r="AC179" s="967" t="s">
        <v>59</v>
      </c>
      <c r="AD179" s="1243" t="str">
        <f t="shared" si="2"/>
        <v>a</v>
      </c>
      <c r="AE179" s="1123"/>
      <c r="AF179" s="572"/>
      <c r="AG179" s="572"/>
    </row>
    <row r="180" spans="1:33" ht="37.5" customHeight="1" x14ac:dyDescent="0.25">
      <c r="A180" s="928">
        <v>229</v>
      </c>
      <c r="B180" s="40" t="s">
        <v>482</v>
      </c>
      <c r="C180" s="41" t="s">
        <v>520</v>
      </c>
      <c r="D180" s="42" t="s">
        <v>521</v>
      </c>
      <c r="E180" s="43" t="s">
        <v>38</v>
      </c>
      <c r="F180" s="60" t="s">
        <v>40</v>
      </c>
      <c r="G180" s="61" t="s">
        <v>52</v>
      </c>
      <c r="H180" s="61" t="s">
        <v>40</v>
      </c>
      <c r="I180" s="62">
        <v>4.5959902282617503E-2</v>
      </c>
      <c r="J180" s="65" t="s">
        <v>47</v>
      </c>
      <c r="K180" s="62">
        <v>0.13891650591999999</v>
      </c>
      <c r="L180" s="65" t="s">
        <v>42</v>
      </c>
      <c r="M180" s="66" t="s">
        <v>522</v>
      </c>
      <c r="N180" s="68" t="s">
        <v>86</v>
      </c>
      <c r="O180" s="49"/>
      <c r="P180" s="69"/>
      <c r="Q180" s="51" t="s">
        <v>87</v>
      </c>
      <c r="R180" s="950" t="s">
        <v>72</v>
      </c>
      <c r="S180" s="955" t="str">
        <f>VLOOKUP(A180,Strat_Plan_Revit!$A$10:$S$321,14,FALSE)</f>
        <v>non évalué</v>
      </c>
      <c r="T180" s="33" t="str">
        <f>VLOOKUP(A180,Strat_Plan_Revit!$A$10:$S$321,15,FALSE)</f>
        <v>non évalué</v>
      </c>
      <c r="U180" s="960"/>
      <c r="V180" s="34" t="s">
        <v>88</v>
      </c>
      <c r="W180" s="102" t="s">
        <v>72</v>
      </c>
      <c r="X180" s="53"/>
      <c r="Y180" s="54"/>
      <c r="Z180" s="55"/>
      <c r="AA180" s="56"/>
      <c r="AB180" s="96" t="s">
        <v>88</v>
      </c>
      <c r="AC180" s="1242" t="s">
        <v>72</v>
      </c>
      <c r="AD180" s="1243" t="str">
        <f t="shared" si="2"/>
        <v>b</v>
      </c>
      <c r="AE180" s="1123"/>
      <c r="AF180" s="572"/>
      <c r="AG180" s="572"/>
    </row>
    <row r="181" spans="1:33" ht="37.5" customHeight="1" x14ac:dyDescent="0.25">
      <c r="A181" s="928">
        <v>301</v>
      </c>
      <c r="B181" s="40" t="s">
        <v>573</v>
      </c>
      <c r="C181" s="41" t="s">
        <v>612</v>
      </c>
      <c r="D181" s="42" t="s">
        <v>254</v>
      </c>
      <c r="E181" s="43" t="s">
        <v>38</v>
      </c>
      <c r="F181" s="60" t="s">
        <v>40</v>
      </c>
      <c r="G181" s="61" t="s">
        <v>52</v>
      </c>
      <c r="H181" s="61" t="s">
        <v>40</v>
      </c>
      <c r="I181" s="62">
        <v>0</v>
      </c>
      <c r="J181" s="65" t="s">
        <v>47</v>
      </c>
      <c r="K181" s="62">
        <v>0.58558488456000002</v>
      </c>
      <c r="L181" s="63" t="s">
        <v>61</v>
      </c>
      <c r="M181" s="48"/>
      <c r="N181" s="48"/>
      <c r="O181" s="48"/>
      <c r="P181" s="50"/>
      <c r="Q181" s="51" t="s">
        <v>87</v>
      </c>
      <c r="R181" s="950" t="s">
        <v>72</v>
      </c>
      <c r="S181" s="955" t="str">
        <f>VLOOKUP(A181,Strat_Plan_Revit!$A$10:$S$321,14,FALSE)</f>
        <v>non évalué</v>
      </c>
      <c r="T181" s="33" t="str">
        <f>VLOOKUP(A181,Strat_Plan_Revit!$A$10:$S$321,15,FALSE)</f>
        <v>non évalué</v>
      </c>
      <c r="U181" s="960"/>
      <c r="V181" s="34" t="s">
        <v>88</v>
      </c>
      <c r="W181" s="52" t="s">
        <v>72</v>
      </c>
      <c r="X181" s="53"/>
      <c r="Y181" s="54"/>
      <c r="Z181" s="319" t="s">
        <v>577</v>
      </c>
      <c r="AA181" s="323" t="s">
        <v>583</v>
      </c>
      <c r="AB181" s="96" t="s">
        <v>88</v>
      </c>
      <c r="AC181" s="967" t="s">
        <v>72</v>
      </c>
      <c r="AD181" s="1243" t="str">
        <f t="shared" si="2"/>
        <v>b</v>
      </c>
      <c r="AE181" s="1123"/>
      <c r="AF181" s="572"/>
      <c r="AG181" s="572"/>
    </row>
    <row r="182" spans="1:33" ht="37.5" customHeight="1" x14ac:dyDescent="0.25">
      <c r="A182" s="1233">
        <v>302</v>
      </c>
      <c r="B182" s="40" t="s">
        <v>573</v>
      </c>
      <c r="C182" s="41" t="s">
        <v>613</v>
      </c>
      <c r="D182" s="82" t="s">
        <v>589</v>
      </c>
      <c r="E182" s="43" t="s">
        <v>38</v>
      </c>
      <c r="F182" s="60" t="s">
        <v>40</v>
      </c>
      <c r="G182" s="61"/>
      <c r="H182" s="61" t="s">
        <v>40</v>
      </c>
      <c r="I182" s="62"/>
      <c r="J182" s="65" t="s">
        <v>52</v>
      </c>
      <c r="K182" s="65"/>
      <c r="L182" s="65" t="s">
        <v>52</v>
      </c>
      <c r="M182" s="66"/>
      <c r="N182" s="66" t="s">
        <v>84</v>
      </c>
      <c r="O182" s="66" t="s">
        <v>85</v>
      </c>
      <c r="P182" s="79" t="s">
        <v>86</v>
      </c>
      <c r="Q182" s="51" t="s">
        <v>87</v>
      </c>
      <c r="R182" s="950" t="s">
        <v>72</v>
      </c>
      <c r="S182" s="955" t="str">
        <f>VLOOKUP(A182,Strat_Plan_Revit!$A$10:$S$321,14,FALSE)</f>
        <v>aucune</v>
      </c>
      <c r="T182" s="33" t="str">
        <f>VLOOKUP(A182,Strat_Plan_Revit!$A$10:$S$321,15,FALSE)</f>
        <v>aucun</v>
      </c>
      <c r="U182" s="960" t="s">
        <v>88</v>
      </c>
      <c r="V182" s="34" t="s">
        <v>88</v>
      </c>
      <c r="W182" s="52" t="s">
        <v>59</v>
      </c>
      <c r="X182" s="53"/>
      <c r="Y182" s="54"/>
      <c r="Z182" s="319" t="s">
        <v>577</v>
      </c>
      <c r="AA182" s="323" t="s">
        <v>614</v>
      </c>
      <c r="AB182" s="96" t="s">
        <v>88</v>
      </c>
      <c r="AC182" s="967" t="s">
        <v>59</v>
      </c>
      <c r="AD182" s="1243" t="str">
        <f t="shared" si="2"/>
        <v>a</v>
      </c>
      <c r="AE182" s="1123"/>
      <c r="AF182" s="572"/>
      <c r="AG182" s="572"/>
    </row>
    <row r="183" spans="1:33" ht="37.5" customHeight="1" x14ac:dyDescent="0.25">
      <c r="A183" s="928">
        <v>303</v>
      </c>
      <c r="B183" s="40" t="s">
        <v>573</v>
      </c>
      <c r="C183" s="41" t="s">
        <v>615</v>
      </c>
      <c r="D183" s="42" t="s">
        <v>616</v>
      </c>
      <c r="E183" s="43" t="s">
        <v>38</v>
      </c>
      <c r="F183" s="60" t="s">
        <v>40</v>
      </c>
      <c r="G183" s="61" t="s">
        <v>52</v>
      </c>
      <c r="H183" s="61" t="s">
        <v>40</v>
      </c>
      <c r="I183" s="62">
        <v>5.5868123074900002E-2</v>
      </c>
      <c r="J183" s="65" t="s">
        <v>47</v>
      </c>
      <c r="K183" s="62">
        <v>0.34833671509000003</v>
      </c>
      <c r="L183" s="65" t="s">
        <v>42</v>
      </c>
      <c r="M183" s="66" t="s">
        <v>617</v>
      </c>
      <c r="N183" s="68" t="s">
        <v>86</v>
      </c>
      <c r="O183" s="49"/>
      <c r="P183" s="69"/>
      <c r="Q183" s="51" t="s">
        <v>87</v>
      </c>
      <c r="R183" s="950" t="s">
        <v>43</v>
      </c>
      <c r="S183" s="955" t="str">
        <f>VLOOKUP(A183,Strat_Plan_Revit!$A$10:$S$321,14,FALSE)</f>
        <v>aucune</v>
      </c>
      <c r="T183" s="33" t="str">
        <f>VLOOKUP(A183,Strat_Plan_Revit!$A$10:$S$321,15,FALSE)</f>
        <v>aucun</v>
      </c>
      <c r="U183" s="960" t="s">
        <v>88</v>
      </c>
      <c r="V183" s="34" t="s">
        <v>88</v>
      </c>
      <c r="W183" s="52" t="s">
        <v>59</v>
      </c>
      <c r="X183" s="53"/>
      <c r="Y183" s="54"/>
      <c r="Z183" s="319" t="s">
        <v>618</v>
      </c>
      <c r="AA183" s="323" t="s">
        <v>619</v>
      </c>
      <c r="AB183" s="96" t="s">
        <v>88</v>
      </c>
      <c r="AC183" s="967" t="s">
        <v>59</v>
      </c>
      <c r="AD183" s="1243" t="str">
        <f t="shared" si="2"/>
        <v>a</v>
      </c>
      <c r="AE183" s="1123"/>
      <c r="AF183" s="572"/>
      <c r="AG183" s="572"/>
    </row>
    <row r="184" spans="1:33" ht="37.5" customHeight="1" x14ac:dyDescent="0.25">
      <c r="A184" s="928">
        <v>304</v>
      </c>
      <c r="B184" s="40" t="s">
        <v>573</v>
      </c>
      <c r="C184" s="41" t="s">
        <v>620</v>
      </c>
      <c r="D184" s="42" t="s">
        <v>621</v>
      </c>
      <c r="E184" s="43" t="s">
        <v>38</v>
      </c>
      <c r="F184" s="60" t="s">
        <v>40</v>
      </c>
      <c r="G184" s="61" t="s">
        <v>52</v>
      </c>
      <c r="H184" s="61" t="s">
        <v>40</v>
      </c>
      <c r="I184" s="62">
        <v>4.7085572306046999E-2</v>
      </c>
      <c r="J184" s="65" t="s">
        <v>47</v>
      </c>
      <c r="K184" s="62">
        <v>0.50301922514999997</v>
      </c>
      <c r="L184" s="63" t="s">
        <v>61</v>
      </c>
      <c r="M184" s="48"/>
      <c r="N184" s="48"/>
      <c r="O184" s="48"/>
      <c r="P184" s="50"/>
      <c r="Q184" s="51" t="s">
        <v>99</v>
      </c>
      <c r="R184" s="950" t="s">
        <v>72</v>
      </c>
      <c r="S184" s="955" t="str">
        <f>VLOOKUP(A184,Strat_Plan_Revit!$A$10:$S$321,14,FALSE)</f>
        <v>aucune</v>
      </c>
      <c r="T184" s="33" t="str">
        <f>VLOOKUP(A184,Strat_Plan_Revit!$A$10:$S$321,15,FALSE)</f>
        <v>aucun</v>
      </c>
      <c r="U184" s="960" t="s">
        <v>88</v>
      </c>
      <c r="V184" s="34" t="s">
        <v>88</v>
      </c>
      <c r="W184" s="52" t="s">
        <v>59</v>
      </c>
      <c r="X184" s="53"/>
      <c r="Y184" s="54"/>
      <c r="Z184" s="319" t="s">
        <v>618</v>
      </c>
      <c r="AA184" s="323" t="s">
        <v>614</v>
      </c>
      <c r="AB184" s="96" t="s">
        <v>88</v>
      </c>
      <c r="AC184" s="967" t="s">
        <v>59</v>
      </c>
      <c r="AD184" s="1243" t="str">
        <f t="shared" si="2"/>
        <v>a</v>
      </c>
      <c r="AE184" s="1123"/>
      <c r="AF184" s="572"/>
      <c r="AG184" s="572"/>
    </row>
    <row r="185" spans="1:33" ht="37.5" customHeight="1" x14ac:dyDescent="0.25">
      <c r="A185" s="928">
        <v>305</v>
      </c>
      <c r="B185" s="40" t="s">
        <v>573</v>
      </c>
      <c r="C185" s="41" t="s">
        <v>622</v>
      </c>
      <c r="D185" s="42" t="s">
        <v>623</v>
      </c>
      <c r="E185" s="43" t="s">
        <v>38</v>
      </c>
      <c r="F185" s="60" t="s">
        <v>40</v>
      </c>
      <c r="G185" s="61" t="s">
        <v>52</v>
      </c>
      <c r="H185" s="61" t="s">
        <v>40</v>
      </c>
      <c r="I185" s="62">
        <v>0</v>
      </c>
      <c r="J185" s="65" t="s">
        <v>47</v>
      </c>
      <c r="K185" s="62">
        <v>0.15833601803</v>
      </c>
      <c r="L185" s="65" t="s">
        <v>42</v>
      </c>
      <c r="M185" s="66" t="s">
        <v>624</v>
      </c>
      <c r="N185" s="68" t="s">
        <v>86</v>
      </c>
      <c r="O185" s="49"/>
      <c r="P185" s="69"/>
      <c r="Q185" s="51" t="s">
        <v>87</v>
      </c>
      <c r="R185" s="950" t="s">
        <v>72</v>
      </c>
      <c r="S185" s="955" t="str">
        <f>VLOOKUP(A185,Strat_Plan_Revit!$A$10:$S$321,14,FALSE)</f>
        <v>non évalué</v>
      </c>
      <c r="T185" s="33" t="str">
        <f>VLOOKUP(A185,Strat_Plan_Revit!$A$10:$S$321,15,FALSE)</f>
        <v>non évalué</v>
      </c>
      <c r="U185" s="960"/>
      <c r="V185" s="34" t="s">
        <v>88</v>
      </c>
      <c r="W185" s="52" t="s">
        <v>72</v>
      </c>
      <c r="X185" s="53"/>
      <c r="Y185" s="54"/>
      <c r="Z185" s="319" t="s">
        <v>577</v>
      </c>
      <c r="AA185" s="91"/>
      <c r="AB185" s="96" t="s">
        <v>88</v>
      </c>
      <c r="AC185" s="967" t="s">
        <v>72</v>
      </c>
      <c r="AD185" s="1243" t="str">
        <f t="shared" si="2"/>
        <v>b</v>
      </c>
      <c r="AE185" s="1123"/>
      <c r="AF185" s="572"/>
      <c r="AG185" s="572"/>
    </row>
    <row r="186" spans="1:33" ht="37.5" customHeight="1" x14ac:dyDescent="0.25">
      <c r="A186" s="1233">
        <v>306</v>
      </c>
      <c r="B186" s="40" t="s">
        <v>393</v>
      </c>
      <c r="C186" s="41" t="s">
        <v>394</v>
      </c>
      <c r="D186" s="82" t="s">
        <v>217</v>
      </c>
      <c r="E186" s="57" t="s">
        <v>51</v>
      </c>
      <c r="F186" s="58"/>
      <c r="G186" s="45"/>
      <c r="H186" s="45" t="s">
        <v>40</v>
      </c>
      <c r="I186" s="46"/>
      <c r="J186" s="47" t="s">
        <v>52</v>
      </c>
      <c r="K186" s="47"/>
      <c r="L186" s="47" t="s">
        <v>52</v>
      </c>
      <c r="M186" s="48"/>
      <c r="N186" s="48"/>
      <c r="O186" s="48"/>
      <c r="P186" s="50"/>
      <c r="Q186" s="51" t="s">
        <v>53</v>
      </c>
      <c r="R186" s="950" t="s">
        <v>43</v>
      </c>
      <c r="S186" s="955">
        <f>VLOOKUP(A186,Strat_Plan_Revit!$A$10:$S$321,14,FALSE)</f>
        <v>0</v>
      </c>
      <c r="T186" s="33">
        <f>VLOOKUP(A186,Strat_Plan_Revit!$A$10:$S$321,15,FALSE)</f>
        <v>0</v>
      </c>
      <c r="U186" s="960"/>
      <c r="V186" s="34" t="s">
        <v>53</v>
      </c>
      <c r="W186" s="52" t="s">
        <v>43</v>
      </c>
      <c r="X186" s="53"/>
      <c r="Y186" s="54"/>
      <c r="Z186" s="80"/>
      <c r="AA186" s="56"/>
      <c r="AB186" s="96" t="s">
        <v>53</v>
      </c>
      <c r="AC186" s="1239" t="s">
        <v>43</v>
      </c>
      <c r="AD186" s="1243" t="str">
        <f t="shared" si="2"/>
        <v>a</v>
      </c>
      <c r="AE186" s="1123"/>
      <c r="AF186" s="572"/>
      <c r="AG186" s="572"/>
    </row>
    <row r="187" spans="1:33" ht="37.5" customHeight="1" x14ac:dyDescent="0.25">
      <c r="A187" s="928">
        <v>307</v>
      </c>
      <c r="B187" s="40" t="s">
        <v>197</v>
      </c>
      <c r="C187" s="41" t="s">
        <v>221</v>
      </c>
      <c r="D187" s="42" t="s">
        <v>222</v>
      </c>
      <c r="E187" s="57" t="s">
        <v>51</v>
      </c>
      <c r="F187" s="58"/>
      <c r="G187" s="45" t="s">
        <v>52</v>
      </c>
      <c r="H187" s="45" t="s">
        <v>40</v>
      </c>
      <c r="I187" s="46">
        <v>0</v>
      </c>
      <c r="J187" s="47" t="s">
        <v>47</v>
      </c>
      <c r="K187" s="46">
        <v>0.18486045338000001</v>
      </c>
      <c r="L187" s="47" t="s">
        <v>42</v>
      </c>
      <c r="M187" s="48"/>
      <c r="N187" s="48"/>
      <c r="O187" s="48"/>
      <c r="P187" s="50"/>
      <c r="Q187" s="51" t="s">
        <v>53</v>
      </c>
      <c r="R187" s="950" t="s">
        <v>43</v>
      </c>
      <c r="S187" s="955">
        <f>VLOOKUP(A187,Strat_Plan_Revit!$A$10:$S$321,14,FALSE)</f>
        <v>0</v>
      </c>
      <c r="T187" s="33">
        <f>VLOOKUP(A187,Strat_Plan_Revit!$A$10:$S$321,15,FALSE)</f>
        <v>0</v>
      </c>
      <c r="U187" s="960"/>
      <c r="V187" s="34" t="s">
        <v>53</v>
      </c>
      <c r="W187" s="52" t="s">
        <v>43</v>
      </c>
      <c r="X187" s="53"/>
      <c r="Y187" s="54"/>
      <c r="Z187" s="55"/>
      <c r="AA187" s="64"/>
      <c r="AB187" s="96" t="s">
        <v>53</v>
      </c>
      <c r="AC187" s="1239" t="s">
        <v>43</v>
      </c>
      <c r="AD187" s="1243" t="str">
        <f t="shared" si="2"/>
        <v>a</v>
      </c>
      <c r="AE187" s="1123"/>
      <c r="AF187" s="572"/>
      <c r="AG187" s="572"/>
    </row>
    <row r="188" spans="1:33" ht="37.5" customHeight="1" x14ac:dyDescent="0.25">
      <c r="A188" s="928">
        <v>310</v>
      </c>
      <c r="B188" s="40" t="s">
        <v>197</v>
      </c>
      <c r="C188" s="41" t="s">
        <v>223</v>
      </c>
      <c r="D188" s="42" t="s">
        <v>224</v>
      </c>
      <c r="E188" s="57" t="s">
        <v>51</v>
      </c>
      <c r="F188" s="58"/>
      <c r="G188" s="45" t="s">
        <v>52</v>
      </c>
      <c r="H188" s="45" t="s">
        <v>40</v>
      </c>
      <c r="I188" s="46">
        <v>0</v>
      </c>
      <c r="J188" s="47" t="s">
        <v>47</v>
      </c>
      <c r="K188" s="46">
        <v>0.87971463570999997</v>
      </c>
      <c r="L188" s="47" t="s">
        <v>61</v>
      </c>
      <c r="M188" s="48"/>
      <c r="N188" s="48"/>
      <c r="O188" s="48"/>
      <c r="P188" s="50"/>
      <c r="Q188" s="51" t="s">
        <v>104</v>
      </c>
      <c r="R188" s="950" t="s">
        <v>43</v>
      </c>
      <c r="S188" s="955" t="str">
        <f>VLOOKUP(A188,Strat_Plan_Revit!$A$10:$S$321,14,FALSE)</f>
        <v>stark</v>
      </c>
      <c r="T188" s="33" t="str">
        <f>VLOOKUP(A188,Strat_Plan_Revit!$A$10:$S$321,15,FALSE)</f>
        <v>1 (2016)</v>
      </c>
      <c r="U188" s="960" t="s">
        <v>67</v>
      </c>
      <c r="V188" s="34" t="s">
        <v>67</v>
      </c>
      <c r="W188" s="52" t="s">
        <v>59</v>
      </c>
      <c r="X188" s="53"/>
      <c r="Y188" s="54"/>
      <c r="Z188" s="55"/>
      <c r="AA188" s="64" t="s">
        <v>203</v>
      </c>
      <c r="AB188" s="96" t="s">
        <v>67</v>
      </c>
      <c r="AC188" s="1239" t="s">
        <v>59</v>
      </c>
      <c r="AD188" s="1243" t="str">
        <f t="shared" si="2"/>
        <v>a</v>
      </c>
      <c r="AE188" s="1123"/>
      <c r="AF188" s="572"/>
      <c r="AG188" s="572"/>
    </row>
    <row r="189" spans="1:33" ht="37.5" customHeight="1" x14ac:dyDescent="0.25">
      <c r="A189" s="1233">
        <v>311</v>
      </c>
      <c r="B189" s="40" t="s">
        <v>197</v>
      </c>
      <c r="C189" s="41" t="s">
        <v>226</v>
      </c>
      <c r="D189" s="82" t="s">
        <v>227</v>
      </c>
      <c r="E189" s="43" t="s">
        <v>38</v>
      </c>
      <c r="F189" s="60" t="s">
        <v>40</v>
      </c>
      <c r="G189" s="61"/>
      <c r="H189" s="61" t="s">
        <v>40</v>
      </c>
      <c r="I189" s="62">
        <v>6.8000000000000005E-2</v>
      </c>
      <c r="J189" s="65" t="s">
        <v>47</v>
      </c>
      <c r="K189" s="62">
        <v>0.33800000000000002</v>
      </c>
      <c r="L189" s="65" t="s">
        <v>42</v>
      </c>
      <c r="M189" s="66" t="s">
        <v>228</v>
      </c>
      <c r="N189" s="68" t="s">
        <v>86</v>
      </c>
      <c r="O189" s="49"/>
      <c r="P189" s="69"/>
      <c r="Q189" s="51" t="s">
        <v>87</v>
      </c>
      <c r="R189" s="950" t="s">
        <v>43</v>
      </c>
      <c r="S189" s="955" t="str">
        <f>VLOOKUP(A189,Strat_Plan_Revit!$A$10:$S$321,14,FALSE)</f>
        <v>keine</v>
      </c>
      <c r="T189" s="33">
        <f>VLOOKUP(A189,Strat_Plan_Revit!$A$10:$S$321,15,FALSE)</f>
        <v>0</v>
      </c>
      <c r="U189" s="960" t="s">
        <v>88</v>
      </c>
      <c r="V189" s="34" t="s">
        <v>88</v>
      </c>
      <c r="W189" s="52" t="s">
        <v>59</v>
      </c>
      <c r="X189" s="53"/>
      <c r="Y189" s="54"/>
      <c r="Z189" s="55"/>
      <c r="AA189" s="64" t="s">
        <v>203</v>
      </c>
      <c r="AB189" s="96" t="s">
        <v>88</v>
      </c>
      <c r="AC189" s="1239" t="s">
        <v>59</v>
      </c>
      <c r="AD189" s="1243" t="str">
        <f t="shared" si="2"/>
        <v>a</v>
      </c>
      <c r="AE189" s="1123"/>
      <c r="AF189" s="572"/>
      <c r="AG189" s="572"/>
    </row>
    <row r="190" spans="1:33" ht="37.5" customHeight="1" x14ac:dyDescent="0.25">
      <c r="A190" s="1233">
        <v>312</v>
      </c>
      <c r="B190" s="40" t="s">
        <v>197</v>
      </c>
      <c r="C190" s="41" t="s">
        <v>229</v>
      </c>
      <c r="D190" s="82" t="s">
        <v>230</v>
      </c>
      <c r="E190" s="43" t="s">
        <v>38</v>
      </c>
      <c r="F190" s="60" t="s">
        <v>40</v>
      </c>
      <c r="G190" s="61"/>
      <c r="H190" s="61" t="s">
        <v>40</v>
      </c>
      <c r="I190" s="62">
        <v>0</v>
      </c>
      <c r="J190" s="65" t="s">
        <v>47</v>
      </c>
      <c r="K190" s="62">
        <v>0.379</v>
      </c>
      <c r="L190" s="63" t="s">
        <v>61</v>
      </c>
      <c r="M190" s="49"/>
      <c r="N190" s="49"/>
      <c r="O190" s="49"/>
      <c r="P190" s="69"/>
      <c r="Q190" s="51" t="s">
        <v>87</v>
      </c>
      <c r="R190" s="950" t="s">
        <v>72</v>
      </c>
      <c r="S190" s="955" t="str">
        <f>VLOOKUP(A190,Strat_Plan_Revit!$A$10:$S$321,14,FALSE)</f>
        <v>keine</v>
      </c>
      <c r="T190" s="33">
        <f>VLOOKUP(A190,Strat_Plan_Revit!$A$10:$S$321,15,FALSE)</f>
        <v>0</v>
      </c>
      <c r="U190" s="960" t="s">
        <v>88</v>
      </c>
      <c r="V190" s="34" t="s">
        <v>88</v>
      </c>
      <c r="W190" s="52" t="s">
        <v>59</v>
      </c>
      <c r="X190" s="53"/>
      <c r="Y190" s="54"/>
      <c r="Z190" s="55"/>
      <c r="AA190" s="64" t="s">
        <v>203</v>
      </c>
      <c r="AB190" s="96" t="s">
        <v>88</v>
      </c>
      <c r="AC190" s="1239" t="s">
        <v>59</v>
      </c>
      <c r="AD190" s="1243" t="str">
        <f t="shared" si="2"/>
        <v>a</v>
      </c>
      <c r="AE190" s="1123"/>
      <c r="AF190" s="572"/>
      <c r="AG190" s="572"/>
    </row>
    <row r="191" spans="1:33" ht="37.5" customHeight="1" x14ac:dyDescent="0.25">
      <c r="A191" s="928">
        <v>313</v>
      </c>
      <c r="B191" s="40" t="s">
        <v>197</v>
      </c>
      <c r="C191" s="41" t="s">
        <v>231</v>
      </c>
      <c r="D191" s="42" t="s">
        <v>231</v>
      </c>
      <c r="E191" s="43" t="s">
        <v>38</v>
      </c>
      <c r="F191" s="60" t="s">
        <v>40</v>
      </c>
      <c r="G191" s="61" t="s">
        <v>52</v>
      </c>
      <c r="H191" s="61" t="s">
        <v>40</v>
      </c>
      <c r="I191" s="62">
        <v>4.2740109102057E-2</v>
      </c>
      <c r="J191" s="65" t="s">
        <v>47</v>
      </c>
      <c r="K191" s="62">
        <v>0.25552803032999999</v>
      </c>
      <c r="L191" s="65" t="s">
        <v>42</v>
      </c>
      <c r="M191" s="66" t="s">
        <v>232</v>
      </c>
      <c r="N191" s="68" t="s">
        <v>86</v>
      </c>
      <c r="O191" s="49"/>
      <c r="P191" s="69"/>
      <c r="Q191" s="51" t="s">
        <v>87</v>
      </c>
      <c r="R191" s="950" t="s">
        <v>72</v>
      </c>
      <c r="S191" s="955" t="str">
        <f>VLOOKUP(A191,Strat_Plan_Revit!$A$10:$S$321,14,FALSE)</f>
        <v>keine</v>
      </c>
      <c r="T191" s="33">
        <f>VLOOKUP(A191,Strat_Plan_Revit!$A$10:$S$321,15,FALSE)</f>
        <v>0</v>
      </c>
      <c r="U191" s="960" t="s">
        <v>88</v>
      </c>
      <c r="V191" s="34" t="s">
        <v>88</v>
      </c>
      <c r="W191" s="52" t="s">
        <v>59</v>
      </c>
      <c r="X191" s="53"/>
      <c r="Y191" s="54"/>
      <c r="Z191" s="55"/>
      <c r="AA191" s="64" t="s">
        <v>203</v>
      </c>
      <c r="AB191" s="96" t="s">
        <v>88</v>
      </c>
      <c r="AC191" s="1239" t="s">
        <v>59</v>
      </c>
      <c r="AD191" s="1243" t="str">
        <f t="shared" si="2"/>
        <v>a</v>
      </c>
      <c r="AE191" s="1123"/>
      <c r="AF191" s="572"/>
      <c r="AG191" s="572"/>
    </row>
    <row r="192" spans="1:33" ht="37.5" customHeight="1" x14ac:dyDescent="0.25">
      <c r="A192" s="928">
        <v>314</v>
      </c>
      <c r="B192" s="40" t="s">
        <v>183</v>
      </c>
      <c r="C192" s="41" t="s">
        <v>154</v>
      </c>
      <c r="D192" s="42" t="s">
        <v>154</v>
      </c>
      <c r="E192" s="43" t="s">
        <v>38</v>
      </c>
      <c r="F192" s="44" t="s">
        <v>88</v>
      </c>
      <c r="G192" s="45" t="s">
        <v>52</v>
      </c>
      <c r="H192" s="45" t="s">
        <v>40</v>
      </c>
      <c r="I192" s="46">
        <v>0.184796316233175</v>
      </c>
      <c r="J192" s="47" t="s">
        <v>47</v>
      </c>
      <c r="K192" s="46">
        <v>0.26347365541000001</v>
      </c>
      <c r="L192" s="47" t="s">
        <v>42</v>
      </c>
      <c r="M192" s="48"/>
      <c r="N192" s="48"/>
      <c r="O192" s="48"/>
      <c r="P192" s="50"/>
      <c r="Q192" s="51" t="s">
        <v>88</v>
      </c>
      <c r="R192" s="950" t="s">
        <v>43</v>
      </c>
      <c r="S192" s="957" t="s">
        <v>1856</v>
      </c>
      <c r="T192" s="33" t="s">
        <v>1850</v>
      </c>
      <c r="U192" s="960"/>
      <c r="V192" s="34" t="s">
        <v>88</v>
      </c>
      <c r="W192" s="52" t="s">
        <v>59</v>
      </c>
      <c r="X192" s="53"/>
      <c r="Y192" s="54"/>
      <c r="Z192" s="55"/>
      <c r="AA192" s="64" t="s">
        <v>188</v>
      </c>
      <c r="AB192" s="96" t="s">
        <v>88</v>
      </c>
      <c r="AC192" s="1239" t="s">
        <v>59</v>
      </c>
      <c r="AD192" s="1243" t="str">
        <f t="shared" si="2"/>
        <v>a</v>
      </c>
      <c r="AE192" s="1123"/>
      <c r="AF192" s="572"/>
      <c r="AG192" s="572"/>
    </row>
    <row r="193" spans="1:33" ht="37.5" customHeight="1" x14ac:dyDescent="0.25">
      <c r="A193" s="928">
        <v>315</v>
      </c>
      <c r="B193" s="40" t="s">
        <v>92</v>
      </c>
      <c r="C193" s="41" t="s">
        <v>153</v>
      </c>
      <c r="D193" s="42" t="s">
        <v>154</v>
      </c>
      <c r="E193" s="43" t="s">
        <v>38</v>
      </c>
      <c r="F193" s="44" t="s">
        <v>73</v>
      </c>
      <c r="G193" s="45" t="s">
        <v>52</v>
      </c>
      <c r="H193" s="45" t="s">
        <v>40</v>
      </c>
      <c r="I193" s="46">
        <v>0.116792348415616</v>
      </c>
      <c r="J193" s="47" t="s">
        <v>47</v>
      </c>
      <c r="K193" s="46">
        <v>0.39006384274</v>
      </c>
      <c r="L193" s="47" t="s">
        <v>61</v>
      </c>
      <c r="M193" s="48"/>
      <c r="N193" s="48"/>
      <c r="O193" s="48"/>
      <c r="P193" s="50"/>
      <c r="Q193" s="51" t="s">
        <v>73</v>
      </c>
      <c r="R193" s="950" t="s">
        <v>43</v>
      </c>
      <c r="S193" s="955" t="str">
        <f>VLOOKUP(A193,Strat_Plan_Revit!$A$10:$S$321,14,FALSE)</f>
        <v>-</v>
      </c>
      <c r="T193" s="33" t="str">
        <f>VLOOKUP(A193,Strat_Plan_Revit!$A$10:$S$321,15,FALSE)</f>
        <v>-</v>
      </c>
      <c r="U193" s="960"/>
      <c r="V193" s="34" t="s">
        <v>73</v>
      </c>
      <c r="W193" s="52" t="s">
        <v>43</v>
      </c>
      <c r="X193" s="53"/>
      <c r="Y193" s="54"/>
      <c r="Z193" s="55"/>
      <c r="AA193" s="56"/>
      <c r="AB193" s="96" t="s">
        <v>73</v>
      </c>
      <c r="AC193" s="1239" t="s">
        <v>43</v>
      </c>
      <c r="AD193" s="1243" t="str">
        <f t="shared" si="2"/>
        <v>a</v>
      </c>
      <c r="AE193" s="1123"/>
      <c r="AF193" s="572"/>
      <c r="AG193" s="572"/>
    </row>
    <row r="194" spans="1:33" ht="37.5" customHeight="1" x14ac:dyDescent="0.25">
      <c r="A194" s="1233">
        <v>316</v>
      </c>
      <c r="B194" s="40" t="s">
        <v>92</v>
      </c>
      <c r="C194" s="41" t="s">
        <v>155</v>
      </c>
      <c r="D194" s="82" t="s">
        <v>112</v>
      </c>
      <c r="E194" s="43" t="s">
        <v>38</v>
      </c>
      <c r="F194" s="44" t="s">
        <v>88</v>
      </c>
      <c r="G194" s="45"/>
      <c r="H194" s="45" t="s">
        <v>40</v>
      </c>
      <c r="I194" s="46">
        <v>0.25600000000000001</v>
      </c>
      <c r="J194" s="47" t="s">
        <v>41</v>
      </c>
      <c r="K194" s="47"/>
      <c r="L194" s="47" t="s">
        <v>52</v>
      </c>
      <c r="M194" s="48"/>
      <c r="N194" s="48"/>
      <c r="O194" s="48"/>
      <c r="P194" s="50"/>
      <c r="Q194" s="51" t="s">
        <v>88</v>
      </c>
      <c r="R194" s="950" t="s">
        <v>43</v>
      </c>
      <c r="S194" s="955" t="str">
        <f>VLOOKUP(A194,Strat_Plan_Revit!$A$10:$S$321,14,FALSE)</f>
        <v>-</v>
      </c>
      <c r="T194" s="33" t="str">
        <f>VLOOKUP(A194,Strat_Plan_Revit!$A$10:$S$321,15,FALSE)</f>
        <v>-</v>
      </c>
      <c r="U194" s="960"/>
      <c r="V194" s="34" t="s">
        <v>88</v>
      </c>
      <c r="W194" s="52" t="s">
        <v>43</v>
      </c>
      <c r="X194" s="53"/>
      <c r="Y194" s="54"/>
      <c r="Z194" s="55"/>
      <c r="AA194" s="56"/>
      <c r="AB194" s="96" t="s">
        <v>88</v>
      </c>
      <c r="AC194" s="1239" t="s">
        <v>43</v>
      </c>
      <c r="AD194" s="1243" t="str">
        <f t="shared" si="2"/>
        <v>a</v>
      </c>
      <c r="AE194" s="1123"/>
      <c r="AF194" s="572"/>
      <c r="AG194" s="572"/>
    </row>
    <row r="195" spans="1:33" ht="37.5" customHeight="1" x14ac:dyDescent="0.25">
      <c r="A195" s="1233">
        <v>317</v>
      </c>
      <c r="B195" s="40" t="s">
        <v>92</v>
      </c>
      <c r="C195" s="41" t="s">
        <v>156</v>
      </c>
      <c r="D195" s="82" t="s">
        <v>157</v>
      </c>
      <c r="E195" s="43" t="s">
        <v>38</v>
      </c>
      <c r="F195" s="60" t="s">
        <v>40</v>
      </c>
      <c r="G195" s="61"/>
      <c r="H195" s="61" t="s">
        <v>40</v>
      </c>
      <c r="I195" s="62">
        <v>0.23499999999999999</v>
      </c>
      <c r="J195" s="65" t="s">
        <v>47</v>
      </c>
      <c r="K195" s="62">
        <v>0.214</v>
      </c>
      <c r="L195" s="65" t="s">
        <v>42</v>
      </c>
      <c r="M195" s="68"/>
      <c r="N195" s="66" t="s">
        <v>84</v>
      </c>
      <c r="O195" s="66" t="s">
        <v>158</v>
      </c>
      <c r="P195" s="67" t="s">
        <v>86</v>
      </c>
      <c r="Q195" s="51" t="s">
        <v>87</v>
      </c>
      <c r="R195" s="950" t="s">
        <v>72</v>
      </c>
      <c r="S195" s="955" t="str">
        <f>VLOOKUP(A195,Strat_Plan_Revit!$A$10:$S$321,14,FALSE)</f>
        <v>-</v>
      </c>
      <c r="T195" s="33" t="str">
        <f>VLOOKUP(A195,Strat_Plan_Revit!$A$10:$S$321,15,FALSE)</f>
        <v>-</v>
      </c>
      <c r="U195" s="960"/>
      <c r="V195" s="34" t="s">
        <v>88</v>
      </c>
      <c r="W195" s="52" t="s">
        <v>72</v>
      </c>
      <c r="X195" s="53"/>
      <c r="Y195" s="54"/>
      <c r="Z195" s="55"/>
      <c r="AA195" s="56"/>
      <c r="AB195" s="96" t="s">
        <v>88</v>
      </c>
      <c r="AC195" s="1239" t="s">
        <v>72</v>
      </c>
      <c r="AD195" s="1243" t="str">
        <f t="shared" si="2"/>
        <v>b</v>
      </c>
      <c r="AE195" s="1123"/>
      <c r="AF195" s="572"/>
      <c r="AG195" s="572"/>
    </row>
    <row r="196" spans="1:33" ht="37.5" customHeight="1" x14ac:dyDescent="0.25">
      <c r="A196" s="1233">
        <v>318</v>
      </c>
      <c r="B196" s="40" t="s">
        <v>92</v>
      </c>
      <c r="C196" s="41" t="s">
        <v>159</v>
      </c>
      <c r="D196" s="42" t="s">
        <v>160</v>
      </c>
      <c r="E196" s="43" t="s">
        <v>38</v>
      </c>
      <c r="F196" s="44" t="s">
        <v>67</v>
      </c>
      <c r="G196" s="45"/>
      <c r="H196" s="45" t="s">
        <v>40</v>
      </c>
      <c r="I196" s="46"/>
      <c r="J196" s="47" t="s">
        <v>52</v>
      </c>
      <c r="K196" s="47"/>
      <c r="L196" s="47" t="s">
        <v>52</v>
      </c>
      <c r="M196" s="48"/>
      <c r="N196" s="48"/>
      <c r="O196" s="48"/>
      <c r="P196" s="50"/>
      <c r="Q196" s="51" t="s">
        <v>67</v>
      </c>
      <c r="R196" s="950" t="s">
        <v>43</v>
      </c>
      <c r="S196" s="955" t="e">
        <f>VLOOKUP(A196,Strat_Plan_Revit!$A$10:$S$321,14,FALSE)</f>
        <v>#N/A</v>
      </c>
      <c r="T196" s="33" t="e">
        <f>VLOOKUP(A196,Strat_Plan_Revit!$A$10:$S$321,15,FALSE)</f>
        <v>#N/A</v>
      </c>
      <c r="U196" s="960"/>
      <c r="V196" s="34" t="s">
        <v>67</v>
      </c>
      <c r="W196" s="52" t="s">
        <v>43</v>
      </c>
      <c r="X196" s="53"/>
      <c r="Y196" s="54"/>
      <c r="Z196" s="55"/>
      <c r="AA196" s="56"/>
      <c r="AB196" s="96" t="s">
        <v>73</v>
      </c>
      <c r="AC196" s="1239" t="s">
        <v>43</v>
      </c>
      <c r="AD196" s="1243" t="str">
        <f t="shared" si="2"/>
        <v>a</v>
      </c>
      <c r="AE196" s="1123"/>
      <c r="AF196" s="572"/>
      <c r="AG196" s="572"/>
    </row>
    <row r="197" spans="1:33" ht="37.5" customHeight="1" x14ac:dyDescent="0.25">
      <c r="A197" s="928">
        <v>319</v>
      </c>
      <c r="B197" s="40" t="s">
        <v>92</v>
      </c>
      <c r="C197" s="41" t="s">
        <v>161</v>
      </c>
      <c r="D197" s="42" t="s">
        <v>94</v>
      </c>
      <c r="E197" s="43" t="s">
        <v>38</v>
      </c>
      <c r="F197" s="44" t="s">
        <v>73</v>
      </c>
      <c r="G197" s="45">
        <v>71</v>
      </c>
      <c r="H197" s="45" t="s">
        <v>132</v>
      </c>
      <c r="I197" s="46">
        <v>0</v>
      </c>
      <c r="J197" s="47" t="s">
        <v>47</v>
      </c>
      <c r="K197" s="46">
        <v>7.951595736E-2</v>
      </c>
      <c r="L197" s="47" t="s">
        <v>42</v>
      </c>
      <c r="M197" s="48"/>
      <c r="N197" s="48"/>
      <c r="O197" s="48"/>
      <c r="P197" s="50"/>
      <c r="Q197" s="51" t="s">
        <v>73</v>
      </c>
      <c r="R197" s="950" t="s">
        <v>43</v>
      </c>
      <c r="S197" s="955" t="str">
        <f>VLOOKUP(A197,Strat_Plan_Revit!$A$10:$S$321,14,FALSE)</f>
        <v>keine</v>
      </c>
      <c r="T197" s="33" t="str">
        <f>VLOOKUP(A197,Strat_Plan_Revit!$A$10:$S$321,15,FALSE)</f>
        <v>-</v>
      </c>
      <c r="U197" s="960" t="s">
        <v>88</v>
      </c>
      <c r="V197" s="34" t="s">
        <v>88</v>
      </c>
      <c r="W197" s="52" t="s">
        <v>110</v>
      </c>
      <c r="X197" s="53"/>
      <c r="Y197" s="54"/>
      <c r="Z197" s="55"/>
      <c r="AA197" s="56"/>
      <c r="AB197" s="96" t="s">
        <v>88</v>
      </c>
      <c r="AC197" s="1239" t="s">
        <v>110</v>
      </c>
      <c r="AD197" s="1243" t="str">
        <f t="shared" ref="AD197:AD260" si="3">IF(AC197="a",AC197,IF(AC197="b",AC197,IF(AC197="c","a",IF(AC197="d","a",IF(AC197="e","b")))))</f>
        <v>a</v>
      </c>
      <c r="AE197" s="1123"/>
      <c r="AF197" s="572"/>
      <c r="AG197" s="572"/>
    </row>
    <row r="198" spans="1:33" ht="37.5" customHeight="1" x14ac:dyDescent="0.25">
      <c r="A198" s="1233">
        <v>320</v>
      </c>
      <c r="B198" s="40" t="s">
        <v>92</v>
      </c>
      <c r="C198" s="41" t="s">
        <v>163</v>
      </c>
      <c r="D198" s="82" t="s">
        <v>164</v>
      </c>
      <c r="E198" s="43" t="s">
        <v>38</v>
      </c>
      <c r="F198" s="44" t="s">
        <v>73</v>
      </c>
      <c r="G198" s="45"/>
      <c r="H198" s="45" t="s">
        <v>40</v>
      </c>
      <c r="I198" s="46">
        <v>0.104</v>
      </c>
      <c r="J198" s="47" t="s">
        <v>47</v>
      </c>
      <c r="K198" s="46">
        <v>0.38600000000000001</v>
      </c>
      <c r="L198" s="47" t="s">
        <v>42</v>
      </c>
      <c r="M198" s="48"/>
      <c r="N198" s="48"/>
      <c r="O198" s="48"/>
      <c r="P198" s="50"/>
      <c r="Q198" s="51" t="s">
        <v>73</v>
      </c>
      <c r="R198" s="950" t="s">
        <v>43</v>
      </c>
      <c r="S198" s="955" t="str">
        <f>VLOOKUP(A198,Strat_Plan_Revit!$A$10:$S$321,14,FALSE)</f>
        <v>-</v>
      </c>
      <c r="T198" s="33" t="str">
        <f>VLOOKUP(A198,Strat_Plan_Revit!$A$10:$S$321,15,FALSE)</f>
        <v>-</v>
      </c>
      <c r="U198" s="960"/>
      <c r="V198" s="34" t="s">
        <v>73</v>
      </c>
      <c r="W198" s="52" t="s">
        <v>43</v>
      </c>
      <c r="X198" s="53"/>
      <c r="Y198" s="54"/>
      <c r="Z198" s="55"/>
      <c r="AA198" s="56"/>
      <c r="AB198" s="96" t="s">
        <v>73</v>
      </c>
      <c r="AC198" s="1239" t="s">
        <v>43</v>
      </c>
      <c r="AD198" s="1243" t="str">
        <f t="shared" si="3"/>
        <v>a</v>
      </c>
      <c r="AE198" s="1123"/>
      <c r="AF198" s="572"/>
      <c r="AG198" s="572"/>
    </row>
    <row r="199" spans="1:33" ht="37.5" customHeight="1" x14ac:dyDescent="0.25">
      <c r="A199" s="928">
        <v>321</v>
      </c>
      <c r="B199" s="40" t="s">
        <v>92</v>
      </c>
      <c r="C199" s="41" t="s">
        <v>165</v>
      </c>
      <c r="D199" s="42" t="s">
        <v>94</v>
      </c>
      <c r="E199" s="43" t="s">
        <v>38</v>
      </c>
      <c r="F199" s="44" t="s">
        <v>73</v>
      </c>
      <c r="G199" s="45" t="s">
        <v>52</v>
      </c>
      <c r="H199" s="45" t="s">
        <v>40</v>
      </c>
      <c r="I199" s="46">
        <v>4.2849618077255201E-2</v>
      </c>
      <c r="J199" s="47" t="s">
        <v>47</v>
      </c>
      <c r="K199" s="46">
        <v>0.46853296173999998</v>
      </c>
      <c r="L199" s="47" t="s">
        <v>61</v>
      </c>
      <c r="M199" s="48"/>
      <c r="N199" s="48"/>
      <c r="O199" s="48"/>
      <c r="P199" s="50"/>
      <c r="Q199" s="51" t="s">
        <v>73</v>
      </c>
      <c r="R199" s="950" t="s">
        <v>43</v>
      </c>
      <c r="S199" s="955" t="str">
        <f>VLOOKUP(A199,Strat_Plan_Revit!$A$10:$S$321,14,FALSE)</f>
        <v>-</v>
      </c>
      <c r="T199" s="33" t="str">
        <f>VLOOKUP(A199,Strat_Plan_Revit!$A$10:$S$321,15,FALSE)</f>
        <v>-</v>
      </c>
      <c r="U199" s="960"/>
      <c r="V199" s="34" t="s">
        <v>73</v>
      </c>
      <c r="W199" s="52" t="s">
        <v>43</v>
      </c>
      <c r="X199" s="53"/>
      <c r="Y199" s="54"/>
      <c r="Z199" s="55"/>
      <c r="AA199" s="56"/>
      <c r="AB199" s="96" t="s">
        <v>73</v>
      </c>
      <c r="AC199" s="1239" t="s">
        <v>43</v>
      </c>
      <c r="AD199" s="1243" t="str">
        <f t="shared" si="3"/>
        <v>a</v>
      </c>
      <c r="AE199" s="1123"/>
      <c r="AF199" s="572"/>
      <c r="AG199" s="572"/>
    </row>
    <row r="200" spans="1:33" ht="37.5" customHeight="1" x14ac:dyDescent="0.25">
      <c r="A200" s="928">
        <v>322</v>
      </c>
      <c r="B200" s="40" t="s">
        <v>92</v>
      </c>
      <c r="C200" s="41" t="s">
        <v>166</v>
      </c>
      <c r="D200" s="42" t="s">
        <v>167</v>
      </c>
      <c r="E200" s="43" t="s">
        <v>38</v>
      </c>
      <c r="F200" s="44" t="s">
        <v>88</v>
      </c>
      <c r="G200" s="45" t="s">
        <v>52</v>
      </c>
      <c r="H200" s="45" t="s">
        <v>40</v>
      </c>
      <c r="I200" s="46">
        <v>8.9837640003805438E-2</v>
      </c>
      <c r="J200" s="47" t="s">
        <v>47</v>
      </c>
      <c r="K200" s="46">
        <v>0.24021123573</v>
      </c>
      <c r="L200" s="47" t="s">
        <v>42</v>
      </c>
      <c r="M200" s="48"/>
      <c r="N200" s="48"/>
      <c r="O200" s="48"/>
      <c r="P200" s="50"/>
      <c r="Q200" s="51" t="s">
        <v>88</v>
      </c>
      <c r="R200" s="950" t="s">
        <v>43</v>
      </c>
      <c r="S200" s="955" t="str">
        <f>VLOOKUP(A200,Strat_Plan_Revit!$A$10:$S$321,14,FALSE)</f>
        <v>-</v>
      </c>
      <c r="T200" s="33" t="str">
        <f>VLOOKUP(A200,Strat_Plan_Revit!$A$10:$S$321,15,FALSE)</f>
        <v>-</v>
      </c>
      <c r="U200" s="960"/>
      <c r="V200" s="34" t="s">
        <v>88</v>
      </c>
      <c r="W200" s="52" t="s">
        <v>43</v>
      </c>
      <c r="X200" s="53"/>
      <c r="Y200" s="54"/>
      <c r="Z200" s="55"/>
      <c r="AA200" s="56"/>
      <c r="AB200" s="96" t="s">
        <v>88</v>
      </c>
      <c r="AC200" s="1239" t="s">
        <v>43</v>
      </c>
      <c r="AD200" s="1243" t="str">
        <f t="shared" si="3"/>
        <v>a</v>
      </c>
      <c r="AE200" s="1123"/>
      <c r="AF200" s="572"/>
      <c r="AG200" s="572"/>
    </row>
    <row r="201" spans="1:33" ht="37.5" customHeight="1" x14ac:dyDescent="0.25">
      <c r="A201" s="928">
        <v>323</v>
      </c>
      <c r="B201" s="40" t="s">
        <v>92</v>
      </c>
      <c r="C201" s="41" t="s">
        <v>168</v>
      </c>
      <c r="D201" s="42" t="s">
        <v>169</v>
      </c>
      <c r="E201" s="43" t="s">
        <v>38</v>
      </c>
      <c r="F201" s="60" t="s">
        <v>40</v>
      </c>
      <c r="G201" s="61" t="s">
        <v>52</v>
      </c>
      <c r="H201" s="61" t="s">
        <v>40</v>
      </c>
      <c r="I201" s="62">
        <v>8.4293964649352904E-2</v>
      </c>
      <c r="J201" s="65" t="s">
        <v>47</v>
      </c>
      <c r="K201" s="62">
        <v>9.6042833011000001E-2</v>
      </c>
      <c r="L201" s="65" t="s">
        <v>42</v>
      </c>
      <c r="M201" s="66" t="s">
        <v>170</v>
      </c>
      <c r="N201" s="68" t="s">
        <v>86</v>
      </c>
      <c r="O201" s="49"/>
      <c r="P201" s="69"/>
      <c r="Q201" s="51" t="s">
        <v>87</v>
      </c>
      <c r="R201" s="950" t="s">
        <v>72</v>
      </c>
      <c r="S201" s="955" t="str">
        <f>VLOOKUP(A201,Strat_Plan_Revit!$A$10:$S$321,14,FALSE)</f>
        <v>-</v>
      </c>
      <c r="T201" s="33" t="str">
        <f>VLOOKUP(A201,Strat_Plan_Revit!$A$10:$S$321,15,FALSE)</f>
        <v>-</v>
      </c>
      <c r="U201" s="960"/>
      <c r="V201" s="34" t="s">
        <v>88</v>
      </c>
      <c r="W201" s="52" t="s">
        <v>72</v>
      </c>
      <c r="X201" s="53"/>
      <c r="Y201" s="54"/>
      <c r="Z201" s="55"/>
      <c r="AA201" s="56"/>
      <c r="AB201" s="96" t="s">
        <v>88</v>
      </c>
      <c r="AC201" s="1239" t="s">
        <v>72</v>
      </c>
      <c r="AD201" s="1243" t="str">
        <f t="shared" si="3"/>
        <v>b</v>
      </c>
      <c r="AE201" s="1123"/>
      <c r="AF201" s="572"/>
      <c r="AG201" s="572"/>
    </row>
    <row r="202" spans="1:33" ht="37.5" customHeight="1" x14ac:dyDescent="0.25">
      <c r="A202" s="928">
        <v>324</v>
      </c>
      <c r="B202" s="40" t="s">
        <v>92</v>
      </c>
      <c r="C202" s="41" t="s">
        <v>171</v>
      </c>
      <c r="D202" s="42" t="s">
        <v>172</v>
      </c>
      <c r="E202" s="43" t="s">
        <v>38</v>
      </c>
      <c r="F202" s="60" t="s">
        <v>40</v>
      </c>
      <c r="G202" s="61" t="s">
        <v>52</v>
      </c>
      <c r="H202" s="61" t="s">
        <v>40</v>
      </c>
      <c r="I202" s="62">
        <v>0.190529280203522</v>
      </c>
      <c r="J202" s="65" t="s">
        <v>47</v>
      </c>
      <c r="K202" s="62">
        <v>0.26212304416999999</v>
      </c>
      <c r="L202" s="65" t="s">
        <v>42</v>
      </c>
      <c r="M202" s="66" t="s">
        <v>173</v>
      </c>
      <c r="N202" s="66" t="s">
        <v>84</v>
      </c>
      <c r="O202" s="66" t="s">
        <v>85</v>
      </c>
      <c r="P202" s="67" t="s">
        <v>86</v>
      </c>
      <c r="Q202" s="51" t="s">
        <v>87</v>
      </c>
      <c r="R202" s="950" t="s">
        <v>72</v>
      </c>
      <c r="S202" s="955" t="str">
        <f>VLOOKUP(A202,Strat_Plan_Revit!$A$10:$S$321,14,FALSE)</f>
        <v>-</v>
      </c>
      <c r="T202" s="33" t="str">
        <f>VLOOKUP(A202,Strat_Plan_Revit!$A$10:$S$321,15,FALSE)</f>
        <v>-</v>
      </c>
      <c r="U202" s="960"/>
      <c r="V202" s="34" t="s">
        <v>88</v>
      </c>
      <c r="W202" s="52" t="s">
        <v>72</v>
      </c>
      <c r="X202" s="53"/>
      <c r="Y202" s="54"/>
      <c r="Z202" s="55"/>
      <c r="AA202" s="56"/>
      <c r="AB202" s="96" t="s">
        <v>88</v>
      </c>
      <c r="AC202" s="1239" t="s">
        <v>72</v>
      </c>
      <c r="AD202" s="1243" t="str">
        <f t="shared" si="3"/>
        <v>b</v>
      </c>
      <c r="AE202" s="1123"/>
      <c r="AF202" s="572"/>
      <c r="AG202" s="572"/>
    </row>
    <row r="203" spans="1:33" ht="37.5" customHeight="1" x14ac:dyDescent="0.25">
      <c r="A203" s="928">
        <v>325</v>
      </c>
      <c r="B203" s="40" t="s">
        <v>92</v>
      </c>
      <c r="C203" s="41" t="s">
        <v>174</v>
      </c>
      <c r="D203" s="42" t="s">
        <v>125</v>
      </c>
      <c r="E203" s="43" t="s">
        <v>38</v>
      </c>
      <c r="F203" s="44" t="s">
        <v>88</v>
      </c>
      <c r="G203" s="45" t="s">
        <v>52</v>
      </c>
      <c r="H203" s="45" t="s">
        <v>40</v>
      </c>
      <c r="I203" s="46">
        <v>0.19713891514835399</v>
      </c>
      <c r="J203" s="47" t="s">
        <v>47</v>
      </c>
      <c r="K203" s="46">
        <v>0.36678373870999997</v>
      </c>
      <c r="L203" s="47" t="s">
        <v>61</v>
      </c>
      <c r="M203" s="48"/>
      <c r="N203" s="48"/>
      <c r="O203" s="48"/>
      <c r="P203" s="50"/>
      <c r="Q203" s="51" t="s">
        <v>88</v>
      </c>
      <c r="R203" s="950" t="s">
        <v>43</v>
      </c>
      <c r="S203" s="955" t="str">
        <f>VLOOKUP(A203,Strat_Plan_Revit!$A$10:$S$321,14,FALSE)</f>
        <v>-</v>
      </c>
      <c r="T203" s="33" t="str">
        <f>VLOOKUP(A203,Strat_Plan_Revit!$A$10:$S$321,15,FALSE)</f>
        <v>-</v>
      </c>
      <c r="U203" s="960"/>
      <c r="V203" s="34" t="s">
        <v>88</v>
      </c>
      <c r="W203" s="52" t="s">
        <v>43</v>
      </c>
      <c r="X203" s="53"/>
      <c r="Y203" s="54"/>
      <c r="Z203" s="55"/>
      <c r="AA203" s="56"/>
      <c r="AB203" s="96" t="s">
        <v>88</v>
      </c>
      <c r="AC203" s="1239" t="s">
        <v>43</v>
      </c>
      <c r="AD203" s="1243" t="str">
        <f t="shared" si="3"/>
        <v>a</v>
      </c>
      <c r="AE203" s="1123"/>
      <c r="AF203" s="572"/>
      <c r="AG203" s="572"/>
    </row>
    <row r="204" spans="1:33" ht="37.5" customHeight="1" x14ac:dyDescent="0.25">
      <c r="A204" s="927">
        <v>326.10000000000002</v>
      </c>
      <c r="B204" s="40" t="s">
        <v>92</v>
      </c>
      <c r="C204" s="41" t="s">
        <v>175</v>
      </c>
      <c r="D204" s="42" t="s">
        <v>176</v>
      </c>
      <c r="E204" s="43" t="s">
        <v>38</v>
      </c>
      <c r="F204" s="60" t="s">
        <v>40</v>
      </c>
      <c r="G204" s="61" t="s">
        <v>52</v>
      </c>
      <c r="H204" s="61" t="s">
        <v>40</v>
      </c>
      <c r="I204" s="62">
        <v>3.2200286123979002E-2</v>
      </c>
      <c r="J204" s="65" t="s">
        <v>47</v>
      </c>
      <c r="K204" s="46">
        <v>0.43304176830000002</v>
      </c>
      <c r="L204" s="63" t="s">
        <v>61</v>
      </c>
      <c r="M204" s="49"/>
      <c r="N204" s="49"/>
      <c r="O204" s="49"/>
      <c r="P204" s="69"/>
      <c r="Q204" s="51" t="s">
        <v>87</v>
      </c>
      <c r="R204" s="950" t="s">
        <v>72</v>
      </c>
      <c r="S204" s="955" t="str">
        <f>VLOOKUP(A204,Strat_Plan_Revit!$A$10:$S$321,14,FALSE)</f>
        <v>-</v>
      </c>
      <c r="T204" s="33" t="str">
        <f>VLOOKUP(A204,Strat_Plan_Revit!$A$10:$S$321,15,FALSE)</f>
        <v>-</v>
      </c>
      <c r="U204" s="960"/>
      <c r="V204" s="34" t="s">
        <v>88</v>
      </c>
      <c r="W204" s="52" t="s">
        <v>72</v>
      </c>
      <c r="X204" s="53"/>
      <c r="Y204" s="54"/>
      <c r="Z204" s="55"/>
      <c r="AA204" s="56"/>
      <c r="AB204" s="96" t="s">
        <v>88</v>
      </c>
      <c r="AC204" s="1239" t="s">
        <v>72</v>
      </c>
      <c r="AD204" s="1243" t="str">
        <f t="shared" si="3"/>
        <v>b</v>
      </c>
      <c r="AE204" s="1123"/>
      <c r="AF204" s="572"/>
      <c r="AG204" s="572"/>
    </row>
    <row r="205" spans="1:33" ht="37.5" customHeight="1" x14ac:dyDescent="0.25">
      <c r="A205" s="927">
        <v>326.2</v>
      </c>
      <c r="B205" s="40" t="s">
        <v>92</v>
      </c>
      <c r="C205" s="41" t="s">
        <v>175</v>
      </c>
      <c r="D205" s="42" t="s">
        <v>176</v>
      </c>
      <c r="E205" s="43" t="s">
        <v>38</v>
      </c>
      <c r="F205" s="60" t="s">
        <v>40</v>
      </c>
      <c r="G205" s="61" t="s">
        <v>52</v>
      </c>
      <c r="H205" s="61" t="s">
        <v>40</v>
      </c>
      <c r="I205" s="62">
        <v>0.361607835756871</v>
      </c>
      <c r="J205" s="63" t="s">
        <v>41</v>
      </c>
      <c r="K205" s="76">
        <v>0.18638577363</v>
      </c>
      <c r="L205" s="77" t="s">
        <v>42</v>
      </c>
      <c r="M205" s="48"/>
      <c r="N205" s="48"/>
      <c r="O205" s="48"/>
      <c r="P205" s="50"/>
      <c r="Q205" s="51" t="s">
        <v>87</v>
      </c>
      <c r="R205" s="950" t="s">
        <v>72</v>
      </c>
      <c r="S205" s="955">
        <f>VLOOKUP(A205,Strat_Plan_Revit!$A$10:$S$321,14,FALSE)</f>
        <v>0</v>
      </c>
      <c r="T205" s="33">
        <f>VLOOKUP(A205,Strat_Plan_Revit!$A$10:$S$321,15,FALSE)</f>
        <v>0</v>
      </c>
      <c r="U205" s="960"/>
      <c r="V205" s="34" t="s">
        <v>88</v>
      </c>
      <c r="W205" s="52" t="s">
        <v>72</v>
      </c>
      <c r="X205" s="53"/>
      <c r="Y205" s="54"/>
      <c r="Z205" s="55"/>
      <c r="AA205" s="56"/>
      <c r="AB205" s="96" t="s">
        <v>88</v>
      </c>
      <c r="AC205" s="1239" t="s">
        <v>72</v>
      </c>
      <c r="AD205" s="1243" t="str">
        <f t="shared" si="3"/>
        <v>b</v>
      </c>
      <c r="AE205" s="1123"/>
      <c r="AF205" s="572"/>
      <c r="AG205" s="572"/>
    </row>
    <row r="206" spans="1:33" ht="37.5" customHeight="1" x14ac:dyDescent="0.25">
      <c r="A206" s="928">
        <v>327</v>
      </c>
      <c r="B206" s="40" t="s">
        <v>92</v>
      </c>
      <c r="C206" s="41" t="s">
        <v>177</v>
      </c>
      <c r="D206" s="42" t="s">
        <v>178</v>
      </c>
      <c r="E206" s="43" t="s">
        <v>38</v>
      </c>
      <c r="F206" s="60" t="s">
        <v>40</v>
      </c>
      <c r="G206" s="61" t="s">
        <v>52</v>
      </c>
      <c r="H206" s="61" t="s">
        <v>40</v>
      </c>
      <c r="I206" s="62">
        <v>0</v>
      </c>
      <c r="J206" s="65" t="s">
        <v>47</v>
      </c>
      <c r="K206" s="62">
        <v>0.15518483875</v>
      </c>
      <c r="L206" s="65" t="s">
        <v>42</v>
      </c>
      <c r="M206" s="66" t="s">
        <v>179</v>
      </c>
      <c r="N206" s="68" t="s">
        <v>86</v>
      </c>
      <c r="O206" s="49"/>
      <c r="P206" s="69"/>
      <c r="Q206" s="51" t="s">
        <v>87</v>
      </c>
      <c r="R206" s="950" t="s">
        <v>72</v>
      </c>
      <c r="S206" s="955" t="str">
        <f>VLOOKUP(A206,Strat_Plan_Revit!$A$10:$S$321,14,FALSE)</f>
        <v>-</v>
      </c>
      <c r="T206" s="33" t="str">
        <f>VLOOKUP(A206,Strat_Plan_Revit!$A$10:$S$321,15,FALSE)</f>
        <v>-</v>
      </c>
      <c r="U206" s="960"/>
      <c r="V206" s="34" t="s">
        <v>88</v>
      </c>
      <c r="W206" s="52" t="s">
        <v>72</v>
      </c>
      <c r="X206" s="53"/>
      <c r="Y206" s="54"/>
      <c r="Z206" s="55"/>
      <c r="AA206" s="56"/>
      <c r="AB206" s="96" t="s">
        <v>88</v>
      </c>
      <c r="AC206" s="1239" t="s">
        <v>72</v>
      </c>
      <c r="AD206" s="1243" t="str">
        <f t="shared" si="3"/>
        <v>b</v>
      </c>
      <c r="AE206" s="1123"/>
      <c r="AF206" s="572"/>
      <c r="AG206" s="572"/>
    </row>
    <row r="207" spans="1:33" ht="37.5" customHeight="1" x14ac:dyDescent="0.25">
      <c r="A207" s="1233">
        <v>328</v>
      </c>
      <c r="B207" s="40" t="s">
        <v>92</v>
      </c>
      <c r="C207" s="41" t="s">
        <v>180</v>
      </c>
      <c r="D207" s="78" t="s">
        <v>181</v>
      </c>
      <c r="E207" s="43" t="s">
        <v>38</v>
      </c>
      <c r="F207" s="60" t="s">
        <v>40</v>
      </c>
      <c r="G207" s="61"/>
      <c r="H207" s="61" t="s">
        <v>40</v>
      </c>
      <c r="I207" s="63"/>
      <c r="J207" s="63"/>
      <c r="K207" s="63"/>
      <c r="L207" s="63" t="s">
        <v>52</v>
      </c>
      <c r="M207" s="66" t="s">
        <v>182</v>
      </c>
      <c r="N207" s="68" t="s">
        <v>86</v>
      </c>
      <c r="O207" s="48"/>
      <c r="P207" s="50"/>
      <c r="Q207" s="51" t="s">
        <v>87</v>
      </c>
      <c r="R207" s="950" t="s">
        <v>72</v>
      </c>
      <c r="S207" s="955" t="str">
        <f>VLOOKUP(A207,Strat_Plan_Revit!$A$10:$S$321,14,FALSE)</f>
        <v>-</v>
      </c>
      <c r="T207" s="33" t="str">
        <f>VLOOKUP(A207,Strat_Plan_Revit!$A$10:$S$321,15,FALSE)</f>
        <v>-</v>
      </c>
      <c r="U207" s="960"/>
      <c r="V207" s="34" t="s">
        <v>88</v>
      </c>
      <c r="W207" s="52" t="s">
        <v>72</v>
      </c>
      <c r="X207" s="53"/>
      <c r="Y207" s="54"/>
      <c r="Z207" s="55"/>
      <c r="AA207" s="56"/>
      <c r="AB207" s="96" t="s">
        <v>88</v>
      </c>
      <c r="AC207" s="1239" t="s">
        <v>72</v>
      </c>
      <c r="AD207" s="1243" t="str">
        <f t="shared" si="3"/>
        <v>b</v>
      </c>
      <c r="AE207" s="1123"/>
      <c r="AF207" s="572"/>
      <c r="AG207" s="572"/>
    </row>
    <row r="208" spans="1:33" ht="37.5" customHeight="1" x14ac:dyDescent="0.25">
      <c r="A208" s="929">
        <v>329</v>
      </c>
      <c r="B208" s="40" t="s">
        <v>625</v>
      </c>
      <c r="C208" s="41" t="s">
        <v>665</v>
      </c>
      <c r="D208" s="78" t="s">
        <v>666</v>
      </c>
      <c r="E208" s="43" t="s">
        <v>38</v>
      </c>
      <c r="F208" s="60" t="s">
        <v>40</v>
      </c>
      <c r="G208" s="61"/>
      <c r="H208" s="61" t="s">
        <v>40</v>
      </c>
      <c r="I208" s="63"/>
      <c r="J208" s="63" t="s">
        <v>52</v>
      </c>
      <c r="K208" s="63"/>
      <c r="L208" s="63" t="s">
        <v>52</v>
      </c>
      <c r="M208" s="66" t="s">
        <v>667</v>
      </c>
      <c r="N208" s="68" t="s">
        <v>86</v>
      </c>
      <c r="O208" s="48"/>
      <c r="P208" s="50"/>
      <c r="Q208" s="51" t="s">
        <v>87</v>
      </c>
      <c r="R208" s="950" t="s">
        <v>43</v>
      </c>
      <c r="S208" s="955" t="str">
        <f>VLOOKUP(A208,Strat_Plan_Revit!$A$10:$S$321,14,FALSE)</f>
        <v>atteinte significative</v>
      </c>
      <c r="T208" s="33" t="str">
        <f>VLOOKUP(A208,Strat_Plan_Revit!$A$10:$S$321,15,FALSE)</f>
        <v>pas de mesure prévue</v>
      </c>
      <c r="U208" s="960" t="s">
        <v>67</v>
      </c>
      <c r="V208" s="73" t="s">
        <v>67</v>
      </c>
      <c r="W208" s="52" t="s">
        <v>110</v>
      </c>
      <c r="X208" s="53"/>
      <c r="Y208" s="54"/>
      <c r="Z208" s="80"/>
      <c r="AA208" s="91"/>
      <c r="AB208" s="89" t="s">
        <v>67</v>
      </c>
      <c r="AC208" s="967" t="s">
        <v>110</v>
      </c>
      <c r="AD208" s="1243" t="str">
        <f t="shared" si="3"/>
        <v>a</v>
      </c>
      <c r="AE208" s="1123"/>
      <c r="AF208" s="572"/>
      <c r="AG208" s="572"/>
    </row>
    <row r="209" spans="1:33" ht="37.5" customHeight="1" x14ac:dyDescent="0.25">
      <c r="A209" s="1233">
        <v>330</v>
      </c>
      <c r="B209" s="40" t="s">
        <v>625</v>
      </c>
      <c r="C209" s="41" t="s">
        <v>668</v>
      </c>
      <c r="D209" s="78" t="s">
        <v>669</v>
      </c>
      <c r="E209" s="43" t="s">
        <v>38</v>
      </c>
      <c r="F209" s="60" t="s">
        <v>40</v>
      </c>
      <c r="G209" s="61"/>
      <c r="H209" s="61" t="s">
        <v>40</v>
      </c>
      <c r="I209" s="63"/>
      <c r="J209" s="63" t="s">
        <v>52</v>
      </c>
      <c r="K209" s="63"/>
      <c r="L209" s="63" t="s">
        <v>52</v>
      </c>
      <c r="M209" s="66" t="s">
        <v>670</v>
      </c>
      <c r="N209" s="68" t="s">
        <v>86</v>
      </c>
      <c r="O209" s="48"/>
      <c r="P209" s="50"/>
      <c r="Q209" s="51" t="s">
        <v>87</v>
      </c>
      <c r="R209" s="950" t="s">
        <v>72</v>
      </c>
      <c r="S209" s="955" t="str">
        <f>VLOOKUP(A209,Strat_Plan_Revit!$A$10:$S$321,14,FALSE)</f>
        <v>non évalué</v>
      </c>
      <c r="T209" s="33" t="str">
        <f>VLOOKUP(A209,Strat_Plan_Revit!$A$10:$S$321,15,FALSE)</f>
        <v>non évalué</v>
      </c>
      <c r="U209" s="960"/>
      <c r="V209" s="34" t="s">
        <v>88</v>
      </c>
      <c r="W209" s="52" t="s">
        <v>72</v>
      </c>
      <c r="X209" s="53"/>
      <c r="Y209" s="54"/>
      <c r="Z209" s="80"/>
      <c r="AA209" s="91"/>
      <c r="AB209" s="96" t="s">
        <v>88</v>
      </c>
      <c r="AC209" s="967" t="s">
        <v>72</v>
      </c>
      <c r="AD209" s="1243" t="str">
        <f t="shared" si="3"/>
        <v>b</v>
      </c>
      <c r="AE209" s="1123"/>
      <c r="AF209" s="572"/>
      <c r="AG209" s="572"/>
    </row>
    <row r="210" spans="1:33" ht="37.5" customHeight="1" x14ac:dyDescent="0.25">
      <c r="A210" s="1233">
        <v>331</v>
      </c>
      <c r="B210" s="40" t="s">
        <v>625</v>
      </c>
      <c r="C210" s="41" t="s">
        <v>671</v>
      </c>
      <c r="D210" s="78" t="s">
        <v>672</v>
      </c>
      <c r="E210" s="43" t="s">
        <v>38</v>
      </c>
      <c r="F210" s="60" t="s">
        <v>40</v>
      </c>
      <c r="G210" s="61"/>
      <c r="H210" s="61" t="s">
        <v>40</v>
      </c>
      <c r="I210" s="63"/>
      <c r="J210" s="63" t="s">
        <v>52</v>
      </c>
      <c r="K210" s="63"/>
      <c r="L210" s="63" t="s">
        <v>52</v>
      </c>
      <c r="M210" s="66" t="s">
        <v>673</v>
      </c>
      <c r="N210" s="68" t="s">
        <v>86</v>
      </c>
      <c r="O210" s="48"/>
      <c r="P210" s="50"/>
      <c r="Q210" s="51" t="s">
        <v>87</v>
      </c>
      <c r="R210" s="950" t="s">
        <v>72</v>
      </c>
      <c r="S210" s="955" t="str">
        <f>VLOOKUP(A210,Strat_Plan_Revit!$A$10:$S$321,14,FALSE)</f>
        <v>non évalué</v>
      </c>
      <c r="T210" s="33" t="str">
        <f>VLOOKUP(A210,Strat_Plan_Revit!$A$10:$S$321,15,FALSE)</f>
        <v>non évalué</v>
      </c>
      <c r="U210" s="960"/>
      <c r="V210" s="34" t="s">
        <v>88</v>
      </c>
      <c r="W210" s="52" t="s">
        <v>72</v>
      </c>
      <c r="X210" s="53"/>
      <c r="Y210" s="54"/>
      <c r="Z210" s="80"/>
      <c r="AA210" s="91"/>
      <c r="AB210" s="96" t="s">
        <v>88</v>
      </c>
      <c r="AC210" s="967" t="s">
        <v>72</v>
      </c>
      <c r="AD210" s="1243" t="str">
        <f t="shared" si="3"/>
        <v>b</v>
      </c>
      <c r="AE210" s="1123"/>
      <c r="AF210" s="572"/>
      <c r="AG210" s="572"/>
    </row>
    <row r="211" spans="1:33" ht="37.5" customHeight="1" x14ac:dyDescent="0.25">
      <c r="A211" s="1233">
        <v>332</v>
      </c>
      <c r="B211" s="40" t="s">
        <v>625</v>
      </c>
      <c r="C211" s="41" t="s">
        <v>674</v>
      </c>
      <c r="D211" s="78" t="s">
        <v>675</v>
      </c>
      <c r="E211" s="43" t="s">
        <v>38</v>
      </c>
      <c r="F211" s="60" t="s">
        <v>40</v>
      </c>
      <c r="G211" s="61"/>
      <c r="H211" s="61" t="s">
        <v>40</v>
      </c>
      <c r="I211" s="63"/>
      <c r="J211" s="63" t="s">
        <v>52</v>
      </c>
      <c r="K211" s="63"/>
      <c r="L211" s="63" t="s">
        <v>52</v>
      </c>
      <c r="M211" s="66" t="s">
        <v>676</v>
      </c>
      <c r="N211" s="68" t="s">
        <v>86</v>
      </c>
      <c r="O211" s="48"/>
      <c r="P211" s="50"/>
      <c r="Q211" s="51" t="s">
        <v>87</v>
      </c>
      <c r="R211" s="950" t="s">
        <v>43</v>
      </c>
      <c r="S211" s="955" t="str">
        <f>VLOOKUP(A211,Strat_Plan_Revit!$A$10:$S$321,14,FALSE)</f>
        <v>atteinte significative</v>
      </c>
      <c r="T211" s="33" t="str">
        <f>VLOOKUP(A211,Strat_Plan_Revit!$A$10:$S$321,15,FALSE)</f>
        <v>mesure prévue</v>
      </c>
      <c r="U211" s="960" t="s">
        <v>73</v>
      </c>
      <c r="V211" s="73" t="s">
        <v>73</v>
      </c>
      <c r="W211" s="52" t="s">
        <v>110</v>
      </c>
      <c r="X211" s="53" t="s">
        <v>634</v>
      </c>
      <c r="Y211" s="54"/>
      <c r="Z211" s="80"/>
      <c r="AA211" s="91"/>
      <c r="AB211" s="89" t="s">
        <v>73</v>
      </c>
      <c r="AC211" s="967" t="s">
        <v>110</v>
      </c>
      <c r="AD211" s="1243" t="str">
        <f t="shared" si="3"/>
        <v>a</v>
      </c>
      <c r="AE211" s="1123"/>
      <c r="AF211" s="572"/>
      <c r="AG211" s="572"/>
    </row>
    <row r="212" spans="1:33" ht="37.5" customHeight="1" x14ac:dyDescent="0.25">
      <c r="A212" s="1233">
        <v>333</v>
      </c>
      <c r="B212" s="40" t="s">
        <v>625</v>
      </c>
      <c r="C212" s="41" t="s">
        <v>677</v>
      </c>
      <c r="D212" s="78" t="s">
        <v>675</v>
      </c>
      <c r="E212" s="43" t="s">
        <v>38</v>
      </c>
      <c r="F212" s="60" t="s">
        <v>40</v>
      </c>
      <c r="G212" s="61"/>
      <c r="H212" s="61" t="s">
        <v>40</v>
      </c>
      <c r="I212" s="63"/>
      <c r="J212" s="63" t="s">
        <v>52</v>
      </c>
      <c r="K212" s="63"/>
      <c r="L212" s="63" t="s">
        <v>52</v>
      </c>
      <c r="M212" s="66" t="s">
        <v>678</v>
      </c>
      <c r="N212" s="68" t="s">
        <v>103</v>
      </c>
      <c r="O212" s="48"/>
      <c r="P212" s="50"/>
      <c r="Q212" s="51" t="s">
        <v>87</v>
      </c>
      <c r="R212" s="950" t="s">
        <v>43</v>
      </c>
      <c r="S212" s="955" t="str">
        <f>VLOOKUP(A212,Strat_Plan_Revit!$A$10:$S$321,14,FALSE)</f>
        <v>atteinte significative</v>
      </c>
      <c r="T212" s="33" t="str">
        <f>VLOOKUP(A212,Strat_Plan_Revit!$A$10:$S$321,15,FALSE)</f>
        <v>mesure prévue</v>
      </c>
      <c r="U212" s="960" t="s">
        <v>73</v>
      </c>
      <c r="V212" s="73" t="s">
        <v>73</v>
      </c>
      <c r="W212" s="52" t="s">
        <v>110</v>
      </c>
      <c r="X212" s="53" t="s">
        <v>634</v>
      </c>
      <c r="Y212" s="54"/>
      <c r="Z212" s="80"/>
      <c r="AA212" s="91"/>
      <c r="AB212" s="89" t="s">
        <v>73</v>
      </c>
      <c r="AC212" s="967" t="s">
        <v>110</v>
      </c>
      <c r="AD212" s="1243" t="str">
        <f t="shared" si="3"/>
        <v>a</v>
      </c>
      <c r="AE212" s="1123"/>
      <c r="AF212" s="572"/>
      <c r="AG212" s="572"/>
    </row>
    <row r="213" spans="1:33" ht="37.5" customHeight="1" x14ac:dyDescent="0.25">
      <c r="A213" s="1233">
        <v>334</v>
      </c>
      <c r="B213" s="40" t="s">
        <v>625</v>
      </c>
      <c r="C213" s="41" t="s">
        <v>679</v>
      </c>
      <c r="D213" s="78" t="s">
        <v>680</v>
      </c>
      <c r="E213" s="43" t="s">
        <v>38</v>
      </c>
      <c r="F213" s="60" t="s">
        <v>40</v>
      </c>
      <c r="G213" s="61"/>
      <c r="H213" s="61" t="s">
        <v>40</v>
      </c>
      <c r="I213" s="63"/>
      <c r="J213" s="63" t="s">
        <v>52</v>
      </c>
      <c r="K213" s="63"/>
      <c r="L213" s="63" t="s">
        <v>52</v>
      </c>
      <c r="M213" s="66" t="s">
        <v>681</v>
      </c>
      <c r="N213" s="68" t="s">
        <v>103</v>
      </c>
      <c r="O213" s="48"/>
      <c r="P213" s="50"/>
      <c r="Q213" s="51" t="s">
        <v>87</v>
      </c>
      <c r="R213" s="950" t="s">
        <v>43</v>
      </c>
      <c r="S213" s="955" t="str">
        <f>VLOOKUP(A213,Strat_Plan_Revit!$A$10:$S$321,14,FALSE)</f>
        <v>atteinte significative</v>
      </c>
      <c r="T213" s="33" t="str">
        <f>VLOOKUP(A213,Strat_Plan_Revit!$A$10:$S$321,15,FALSE)</f>
        <v>mesure prévue</v>
      </c>
      <c r="U213" s="960" t="s">
        <v>67</v>
      </c>
      <c r="V213" s="73" t="s">
        <v>67</v>
      </c>
      <c r="W213" s="52" t="s">
        <v>110</v>
      </c>
      <c r="X213" s="53"/>
      <c r="Y213" s="54"/>
      <c r="Z213" s="80"/>
      <c r="AA213" s="91"/>
      <c r="AB213" s="89" t="s">
        <v>67</v>
      </c>
      <c r="AC213" s="967" t="s">
        <v>110</v>
      </c>
      <c r="AD213" s="1243" t="str">
        <f t="shared" si="3"/>
        <v>a</v>
      </c>
      <c r="AE213" s="1123"/>
      <c r="AF213" s="572"/>
      <c r="AG213" s="572"/>
    </row>
    <row r="214" spans="1:33" ht="37.5" customHeight="1" x14ac:dyDescent="0.25">
      <c r="A214" s="1233">
        <v>335</v>
      </c>
      <c r="B214" s="40" t="s">
        <v>625</v>
      </c>
      <c r="C214" s="41" t="s">
        <v>682</v>
      </c>
      <c r="D214" s="78" t="s">
        <v>683</v>
      </c>
      <c r="E214" s="43" t="s">
        <v>38</v>
      </c>
      <c r="F214" s="60" t="s">
        <v>40</v>
      </c>
      <c r="G214" s="61"/>
      <c r="H214" s="61" t="s">
        <v>40</v>
      </c>
      <c r="I214" s="63"/>
      <c r="J214" s="63" t="s">
        <v>52</v>
      </c>
      <c r="K214" s="63"/>
      <c r="L214" s="63" t="s">
        <v>52</v>
      </c>
      <c r="M214" s="66" t="s">
        <v>684</v>
      </c>
      <c r="N214" s="68" t="s">
        <v>86</v>
      </c>
      <c r="O214" s="48"/>
      <c r="P214" s="50"/>
      <c r="Q214" s="51" t="s">
        <v>87</v>
      </c>
      <c r="R214" s="950" t="s">
        <v>72</v>
      </c>
      <c r="S214" s="955" t="str">
        <f>VLOOKUP(A214,Strat_Plan_Revit!$A$10:$S$321,14,FALSE)</f>
        <v>pas atteinte significative</v>
      </c>
      <c r="T214" s="33" t="str">
        <f>VLOOKUP(A214,Strat_Plan_Revit!$A$10:$S$321,15,FALSE)</f>
        <v>pas de mesure prévue</v>
      </c>
      <c r="U214" s="962" t="s">
        <v>88</v>
      </c>
      <c r="V214" s="34" t="s">
        <v>88</v>
      </c>
      <c r="W214" s="52" t="s">
        <v>110</v>
      </c>
      <c r="X214" s="53"/>
      <c r="Y214" s="54"/>
      <c r="Z214" s="80"/>
      <c r="AA214" s="91"/>
      <c r="AB214" s="96" t="s">
        <v>88</v>
      </c>
      <c r="AC214" s="967" t="s">
        <v>110</v>
      </c>
      <c r="AD214" s="1243" t="str">
        <f t="shared" si="3"/>
        <v>a</v>
      </c>
      <c r="AE214" s="1123"/>
      <c r="AF214" s="572"/>
      <c r="AG214" s="572"/>
    </row>
    <row r="215" spans="1:33" ht="37.5" customHeight="1" x14ac:dyDescent="0.25">
      <c r="A215" s="929">
        <v>336</v>
      </c>
      <c r="B215" s="40" t="s">
        <v>625</v>
      </c>
      <c r="C215" s="41" t="s">
        <v>685</v>
      </c>
      <c r="D215" s="78" t="s">
        <v>686</v>
      </c>
      <c r="E215" s="43" t="s">
        <v>38</v>
      </c>
      <c r="F215" s="60" t="s">
        <v>40</v>
      </c>
      <c r="G215" s="61"/>
      <c r="H215" s="61" t="s">
        <v>40</v>
      </c>
      <c r="I215" s="63"/>
      <c r="J215" s="63" t="s">
        <v>52</v>
      </c>
      <c r="K215" s="63"/>
      <c r="L215" s="63" t="s">
        <v>52</v>
      </c>
      <c r="M215" s="66" t="s">
        <v>684</v>
      </c>
      <c r="N215" s="68" t="s">
        <v>86</v>
      </c>
      <c r="O215" s="48"/>
      <c r="P215" s="50"/>
      <c r="Q215" s="51" t="s">
        <v>87</v>
      </c>
      <c r="R215" s="950" t="s">
        <v>72</v>
      </c>
      <c r="S215" s="955" t="str">
        <f>VLOOKUP(A215,Strat_Plan_Revit!$A$10:$S$321,14,FALSE)</f>
        <v>non évalué</v>
      </c>
      <c r="T215" s="33" t="str">
        <f>VLOOKUP(A215,Strat_Plan_Revit!$A$10:$S$321,15,FALSE)</f>
        <v>non évalué</v>
      </c>
      <c r="U215" s="960"/>
      <c r="V215" s="34" t="s">
        <v>88</v>
      </c>
      <c r="W215" s="52" t="s">
        <v>72</v>
      </c>
      <c r="X215" s="53"/>
      <c r="Y215" s="54"/>
      <c r="Z215" s="80"/>
      <c r="AA215" s="91"/>
      <c r="AB215" s="96" t="s">
        <v>88</v>
      </c>
      <c r="AC215" s="967" t="s">
        <v>72</v>
      </c>
      <c r="AD215" s="1243" t="str">
        <f t="shared" si="3"/>
        <v>b</v>
      </c>
      <c r="AE215" s="1123"/>
      <c r="AF215" s="572"/>
      <c r="AG215" s="572"/>
    </row>
    <row r="216" spans="1:33" ht="37.5" customHeight="1" x14ac:dyDescent="0.25">
      <c r="A216" s="926">
        <v>337</v>
      </c>
      <c r="B216" s="40" t="s">
        <v>35</v>
      </c>
      <c r="C216" s="41" t="s">
        <v>69</v>
      </c>
      <c r="D216" s="42" t="s">
        <v>70</v>
      </c>
      <c r="E216" s="43" t="s">
        <v>38</v>
      </c>
      <c r="F216" s="60" t="s">
        <v>40</v>
      </c>
      <c r="G216" s="61" t="s">
        <v>52</v>
      </c>
      <c r="H216" s="61" t="s">
        <v>40</v>
      </c>
      <c r="I216" s="62">
        <v>0.410656262709853</v>
      </c>
      <c r="J216" s="63" t="s">
        <v>41</v>
      </c>
      <c r="K216" s="46">
        <v>4.5517790896999998E-2</v>
      </c>
      <c r="L216" s="47" t="s">
        <v>42</v>
      </c>
      <c r="M216" s="48"/>
      <c r="N216" s="48"/>
      <c r="O216" s="48"/>
      <c r="P216" s="50"/>
      <c r="Q216" s="51" t="s">
        <v>71</v>
      </c>
      <c r="R216" s="950" t="s">
        <v>72</v>
      </c>
      <c r="S216" s="955" t="str">
        <f>VLOOKUP(A216,Strat_Plan_Revit!$A$10:$S$321,14,FALSE)</f>
        <v>-</v>
      </c>
      <c r="T216" s="33" t="str">
        <f>VLOOKUP(A216,Strat_Plan_Revit!$A$10:$S$321,15,FALSE)</f>
        <v>-</v>
      </c>
      <c r="U216" s="960"/>
      <c r="V216" s="34" t="s">
        <v>73</v>
      </c>
      <c r="W216" s="52" t="s">
        <v>72</v>
      </c>
      <c r="X216" s="53"/>
      <c r="Y216" s="54"/>
      <c r="Z216" s="55"/>
      <c r="AA216" s="56"/>
      <c r="AB216" s="96" t="s">
        <v>73</v>
      </c>
      <c r="AC216" s="1239" t="s">
        <v>72</v>
      </c>
      <c r="AD216" s="1243" t="str">
        <f t="shared" si="3"/>
        <v>b</v>
      </c>
      <c r="AE216" s="1123"/>
      <c r="AF216" s="572"/>
      <c r="AG216" s="572"/>
    </row>
    <row r="217" spans="1:33" ht="37.5" customHeight="1" x14ac:dyDescent="0.25">
      <c r="A217" s="926">
        <v>338</v>
      </c>
      <c r="B217" s="40" t="s">
        <v>376</v>
      </c>
      <c r="C217" s="41" t="s">
        <v>380</v>
      </c>
      <c r="D217" s="42" t="s">
        <v>381</v>
      </c>
      <c r="E217" s="43" t="s">
        <v>38</v>
      </c>
      <c r="F217" s="60" t="s">
        <v>40</v>
      </c>
      <c r="G217" s="61" t="s">
        <v>52</v>
      </c>
      <c r="H217" s="61" t="s">
        <v>40</v>
      </c>
      <c r="I217" s="62">
        <v>2.2338872682109399E-2</v>
      </c>
      <c r="J217" s="65" t="s">
        <v>47</v>
      </c>
      <c r="K217" s="62">
        <v>2.4928735870999998E-2</v>
      </c>
      <c r="L217" s="65" t="s">
        <v>42</v>
      </c>
      <c r="M217" s="66" t="s">
        <v>382</v>
      </c>
      <c r="N217" s="66" t="s">
        <v>84</v>
      </c>
      <c r="O217" s="66" t="s">
        <v>85</v>
      </c>
      <c r="P217" s="67" t="s">
        <v>86</v>
      </c>
      <c r="Q217" s="51" t="s">
        <v>87</v>
      </c>
      <c r="R217" s="950" t="s">
        <v>72</v>
      </c>
      <c r="S217" s="955" t="str">
        <f>VLOOKUP(A217,Strat_Plan_Revit!$A$10:$S$321,14,FALSE)</f>
        <v>stark</v>
      </c>
      <c r="T217" s="33" t="str">
        <f>VLOOKUP(A217,Strat_Plan_Revit!$A$10:$S$321,15,FALSE)</f>
        <v>Ja</v>
      </c>
      <c r="U217" s="960" t="s">
        <v>67</v>
      </c>
      <c r="V217" s="73" t="s">
        <v>67</v>
      </c>
      <c r="W217" s="52" t="s">
        <v>110</v>
      </c>
      <c r="X217" s="53"/>
      <c r="Y217" s="54"/>
      <c r="Z217" s="74" t="s">
        <v>67</v>
      </c>
      <c r="AA217" s="56"/>
      <c r="AB217" s="89" t="s">
        <v>67</v>
      </c>
      <c r="AC217" s="1239" t="s">
        <v>110</v>
      </c>
      <c r="AD217" s="1243" t="str">
        <f t="shared" si="3"/>
        <v>a</v>
      </c>
      <c r="AE217" s="1123"/>
      <c r="AF217" s="572"/>
      <c r="AG217" s="572"/>
    </row>
    <row r="218" spans="1:33" ht="37.5" customHeight="1" x14ac:dyDescent="0.25">
      <c r="A218" s="926">
        <v>339</v>
      </c>
      <c r="B218" s="40" t="s">
        <v>376</v>
      </c>
      <c r="C218" s="41" t="s">
        <v>383</v>
      </c>
      <c r="D218" s="42" t="s">
        <v>384</v>
      </c>
      <c r="E218" s="43" t="s">
        <v>38</v>
      </c>
      <c r="F218" s="60" t="s">
        <v>40</v>
      </c>
      <c r="G218" s="61" t="s">
        <v>52</v>
      </c>
      <c r="H218" s="61" t="s">
        <v>40</v>
      </c>
      <c r="I218" s="62">
        <v>4.0774039537228003E-2</v>
      </c>
      <c r="J218" s="65" t="s">
        <v>47</v>
      </c>
      <c r="K218" s="62">
        <v>0.2630234347</v>
      </c>
      <c r="L218" s="65" t="s">
        <v>42</v>
      </c>
      <c r="M218" s="66" t="s">
        <v>385</v>
      </c>
      <c r="N218" s="66" t="s">
        <v>84</v>
      </c>
      <c r="O218" s="66" t="s">
        <v>85</v>
      </c>
      <c r="P218" s="67" t="s">
        <v>86</v>
      </c>
      <c r="Q218" s="51" t="s">
        <v>87</v>
      </c>
      <c r="R218" s="950" t="s">
        <v>72</v>
      </c>
      <c r="S218" s="955" t="str">
        <f>VLOOKUP(A218,Strat_Plan_Revit!$A$10:$S$321,14,FALSE)</f>
        <v>-</v>
      </c>
      <c r="T218" s="33" t="str">
        <f>VLOOKUP(A218,Strat_Plan_Revit!$A$10:$S$321,15,FALSE)</f>
        <v>-</v>
      </c>
      <c r="U218" s="960"/>
      <c r="V218" s="73" t="s">
        <v>88</v>
      </c>
      <c r="W218" s="52" t="s">
        <v>72</v>
      </c>
      <c r="X218" s="53"/>
      <c r="Y218" s="54"/>
      <c r="Z218" s="74" t="s">
        <v>88</v>
      </c>
      <c r="AA218" s="56"/>
      <c r="AB218" s="89" t="s">
        <v>88</v>
      </c>
      <c r="AC218" s="1239" t="s">
        <v>72</v>
      </c>
      <c r="AD218" s="1243" t="str">
        <f t="shared" si="3"/>
        <v>b</v>
      </c>
      <c r="AE218" s="1123"/>
      <c r="AF218" s="572"/>
      <c r="AG218" s="572"/>
    </row>
    <row r="219" spans="1:33" ht="37.5" customHeight="1" x14ac:dyDescent="0.25">
      <c r="A219" s="926">
        <v>340</v>
      </c>
      <c r="B219" s="40" t="s">
        <v>376</v>
      </c>
      <c r="C219" s="41" t="s">
        <v>386</v>
      </c>
      <c r="D219" s="42" t="s">
        <v>387</v>
      </c>
      <c r="E219" s="43" t="s">
        <v>38</v>
      </c>
      <c r="F219" s="60" t="s">
        <v>40</v>
      </c>
      <c r="G219" s="61" t="s">
        <v>52</v>
      </c>
      <c r="H219" s="61" t="s">
        <v>40</v>
      </c>
      <c r="I219" s="62">
        <v>3.5156170918385903E-2</v>
      </c>
      <c r="J219" s="65" t="s">
        <v>47</v>
      </c>
      <c r="K219" s="62">
        <v>5.6542866480000002E-2</v>
      </c>
      <c r="L219" s="65" t="s">
        <v>42</v>
      </c>
      <c r="M219" s="66" t="s">
        <v>388</v>
      </c>
      <c r="N219" s="68" t="s">
        <v>86</v>
      </c>
      <c r="O219" s="49"/>
      <c r="P219" s="69"/>
      <c r="Q219" s="51" t="s">
        <v>87</v>
      </c>
      <c r="R219" s="950" t="s">
        <v>72</v>
      </c>
      <c r="S219" s="955" t="str">
        <f>VLOOKUP(A219,Strat_Plan_Revit!$A$10:$S$321,14,FALSE)</f>
        <v>-</v>
      </c>
      <c r="T219" s="33" t="str">
        <f>VLOOKUP(A219,Strat_Plan_Revit!$A$10:$S$321,15,FALSE)</f>
        <v>-</v>
      </c>
      <c r="U219" s="960"/>
      <c r="V219" s="73" t="s">
        <v>88</v>
      </c>
      <c r="W219" s="52" t="s">
        <v>72</v>
      </c>
      <c r="X219" s="53"/>
      <c r="Y219" s="54"/>
      <c r="Z219" s="74" t="s">
        <v>88</v>
      </c>
      <c r="AA219" s="56"/>
      <c r="AB219" s="89" t="s">
        <v>88</v>
      </c>
      <c r="AC219" s="1239" t="s">
        <v>72</v>
      </c>
      <c r="AD219" s="1243" t="str">
        <f t="shared" si="3"/>
        <v>b</v>
      </c>
      <c r="AE219" s="1123"/>
      <c r="AF219" s="572"/>
      <c r="AG219" s="572"/>
    </row>
    <row r="220" spans="1:33" ht="37.5" customHeight="1" x14ac:dyDescent="0.25">
      <c r="A220" s="926">
        <v>341</v>
      </c>
      <c r="B220" s="40" t="s">
        <v>376</v>
      </c>
      <c r="C220" s="41" t="s">
        <v>389</v>
      </c>
      <c r="D220" s="42" t="s">
        <v>390</v>
      </c>
      <c r="E220" s="43" t="s">
        <v>38</v>
      </c>
      <c r="F220" s="60" t="s">
        <v>40</v>
      </c>
      <c r="G220" s="61" t="s">
        <v>52</v>
      </c>
      <c r="H220" s="61" t="s">
        <v>40</v>
      </c>
      <c r="I220" s="62">
        <v>0.26775928744056698</v>
      </c>
      <c r="J220" s="63" t="s">
        <v>41</v>
      </c>
      <c r="K220" s="46">
        <v>5.9210562080000001E-2</v>
      </c>
      <c r="L220" s="47" t="s">
        <v>42</v>
      </c>
      <c r="M220" s="48"/>
      <c r="N220" s="48"/>
      <c r="O220" s="48"/>
      <c r="P220" s="50"/>
      <c r="Q220" s="51" t="s">
        <v>71</v>
      </c>
      <c r="R220" s="950" t="s">
        <v>72</v>
      </c>
      <c r="S220" s="955" t="str">
        <f>VLOOKUP(A220,Strat_Plan_Revit!$A$10:$S$321,14,FALSE)</f>
        <v>stark/mittel/gering</v>
      </c>
      <c r="T220" s="33" t="str">
        <f>VLOOKUP(A220,Strat_Plan_Revit!$A$10:$S$321,15,FALSE)</f>
        <v>Ja</v>
      </c>
      <c r="U220" s="960" t="s">
        <v>73</v>
      </c>
      <c r="V220" s="73" t="s">
        <v>73</v>
      </c>
      <c r="W220" s="52" t="s">
        <v>59</v>
      </c>
      <c r="X220" s="53" t="s">
        <v>392</v>
      </c>
      <c r="Y220" s="54"/>
      <c r="Z220" s="74" t="s">
        <v>73</v>
      </c>
      <c r="AA220" s="56"/>
      <c r="AB220" s="89" t="s">
        <v>73</v>
      </c>
      <c r="AC220" s="1239" t="s">
        <v>59</v>
      </c>
      <c r="AD220" s="1243" t="str">
        <f t="shared" si="3"/>
        <v>a</v>
      </c>
      <c r="AE220" s="1123"/>
      <c r="AF220" s="572"/>
      <c r="AG220" s="572"/>
    </row>
    <row r="221" spans="1:33" ht="37.5" customHeight="1" x14ac:dyDescent="0.25">
      <c r="A221" s="926">
        <v>342</v>
      </c>
      <c r="B221" s="40" t="s">
        <v>439</v>
      </c>
      <c r="C221" s="41" t="s">
        <v>445</v>
      </c>
      <c r="D221" s="42" t="s">
        <v>446</v>
      </c>
      <c r="E221" s="43" t="s">
        <v>38</v>
      </c>
      <c r="F221" s="60" t="s">
        <v>40</v>
      </c>
      <c r="G221" s="61" t="s">
        <v>52</v>
      </c>
      <c r="H221" s="61" t="s">
        <v>40</v>
      </c>
      <c r="I221" s="62">
        <v>0.150101006749148</v>
      </c>
      <c r="J221" s="65" t="s">
        <v>47</v>
      </c>
      <c r="K221" s="62">
        <v>0.51312966904000001</v>
      </c>
      <c r="L221" s="63" t="s">
        <v>61</v>
      </c>
      <c r="M221" s="48"/>
      <c r="N221" s="48"/>
      <c r="O221" s="48"/>
      <c r="P221" s="50"/>
      <c r="Q221" s="51" t="s">
        <v>99</v>
      </c>
      <c r="R221" s="950" t="s">
        <v>72</v>
      </c>
      <c r="S221" s="955" t="str">
        <f>VLOOKUP(A221,Strat_Plan_Revit!$A$10:$S$321,14,FALSE)</f>
        <v>nicht wesentlich</v>
      </c>
      <c r="T221" s="33" t="str">
        <f>VLOOKUP(A221,Strat_Plan_Revit!$A$10:$S$321,15,FALSE)</f>
        <v>-</v>
      </c>
      <c r="U221" s="960" t="s">
        <v>88</v>
      </c>
      <c r="V221" s="34" t="s">
        <v>88</v>
      </c>
      <c r="W221" s="52" t="s">
        <v>59</v>
      </c>
      <c r="X221" s="53"/>
      <c r="Y221" s="54"/>
      <c r="Z221" s="55"/>
      <c r="AA221" s="64" t="s">
        <v>447</v>
      </c>
      <c r="AB221" s="96" t="s">
        <v>88</v>
      </c>
      <c r="AC221" s="1239" t="s">
        <v>59</v>
      </c>
      <c r="AD221" s="1243" t="str">
        <f t="shared" si="3"/>
        <v>a</v>
      </c>
      <c r="AE221" s="1123"/>
      <c r="AF221" s="572"/>
      <c r="AG221" s="572"/>
    </row>
    <row r="222" spans="1:33" ht="37.5" customHeight="1" x14ac:dyDescent="0.25">
      <c r="A222" s="926">
        <v>343</v>
      </c>
      <c r="B222" s="40" t="s">
        <v>693</v>
      </c>
      <c r="C222" s="41" t="s">
        <v>694</v>
      </c>
      <c r="D222" s="42" t="s">
        <v>695</v>
      </c>
      <c r="E222" s="43" t="s">
        <v>38</v>
      </c>
      <c r="F222" s="60" t="s">
        <v>40</v>
      </c>
      <c r="G222" s="61" t="s">
        <v>52</v>
      </c>
      <c r="H222" s="61" t="s">
        <v>40</v>
      </c>
      <c r="I222" s="62">
        <v>9.8222462375855704E-2</v>
      </c>
      <c r="J222" s="65" t="s">
        <v>47</v>
      </c>
      <c r="K222" s="62">
        <v>0.12830680959999999</v>
      </c>
      <c r="L222" s="65" t="s">
        <v>42</v>
      </c>
      <c r="M222" s="66" t="s">
        <v>696</v>
      </c>
      <c r="N222" s="66" t="s">
        <v>84</v>
      </c>
      <c r="O222" s="66" t="s">
        <v>697</v>
      </c>
      <c r="P222" s="67" t="s">
        <v>201</v>
      </c>
      <c r="Q222" s="51" t="s">
        <v>202</v>
      </c>
      <c r="R222" s="950" t="s">
        <v>72</v>
      </c>
      <c r="S222" s="955" t="str">
        <f>VLOOKUP(A222,Strat_Plan_Revit!$A$10:$S$321,14,FALSE)</f>
        <v>moyen</v>
      </c>
      <c r="T222" s="33" t="str">
        <f>VLOOKUP(A222,Strat_Plan_Revit!$A$10:$S$321,15,FALSE)</f>
        <v>moyen</v>
      </c>
      <c r="U222" s="960" t="s">
        <v>73</v>
      </c>
      <c r="V222" s="73" t="s">
        <v>73</v>
      </c>
      <c r="W222" s="52" t="s">
        <v>59</v>
      </c>
      <c r="X222" s="53"/>
      <c r="Y222" s="54"/>
      <c r="Z222" s="55"/>
      <c r="AA222" s="64" t="s">
        <v>77</v>
      </c>
      <c r="AB222" s="89" t="s">
        <v>73</v>
      </c>
      <c r="AC222" s="1239" t="s">
        <v>59</v>
      </c>
      <c r="AD222" s="1243" t="str">
        <f t="shared" si="3"/>
        <v>a</v>
      </c>
      <c r="AE222" s="1123"/>
      <c r="AF222" s="572"/>
      <c r="AG222" s="572"/>
    </row>
    <row r="223" spans="1:33" ht="37.5" customHeight="1" x14ac:dyDescent="0.25">
      <c r="A223" s="926">
        <v>344</v>
      </c>
      <c r="B223" s="40" t="s">
        <v>693</v>
      </c>
      <c r="C223" s="41" t="s">
        <v>698</v>
      </c>
      <c r="D223" s="42" t="s">
        <v>695</v>
      </c>
      <c r="E223" s="43" t="s">
        <v>38</v>
      </c>
      <c r="F223" s="60" t="s">
        <v>40</v>
      </c>
      <c r="G223" s="61" t="s">
        <v>52</v>
      </c>
      <c r="H223" s="61" t="s">
        <v>40</v>
      </c>
      <c r="I223" s="62">
        <v>9.55523030051195E-3</v>
      </c>
      <c r="J223" s="65" t="s">
        <v>47</v>
      </c>
      <c r="K223" s="62">
        <v>0.24403141048999999</v>
      </c>
      <c r="L223" s="65" t="s">
        <v>42</v>
      </c>
      <c r="M223" s="66" t="s">
        <v>696</v>
      </c>
      <c r="N223" s="66" t="s">
        <v>84</v>
      </c>
      <c r="O223" s="66" t="s">
        <v>699</v>
      </c>
      <c r="P223" s="67" t="s">
        <v>201</v>
      </c>
      <c r="Q223" s="51" t="s">
        <v>202</v>
      </c>
      <c r="R223" s="950" t="s">
        <v>72</v>
      </c>
      <c r="S223" s="955" t="str">
        <f>VLOOKUP(A223,Strat_Plan_Revit!$A$10:$S$321,14,FALSE)</f>
        <v>moyen</v>
      </c>
      <c r="T223" s="33" t="str">
        <f>VLOOKUP(A223,Strat_Plan_Revit!$A$10:$S$321,15,FALSE)</f>
        <v>moyen</v>
      </c>
      <c r="U223" s="960" t="s">
        <v>73</v>
      </c>
      <c r="V223" s="73" t="s">
        <v>73</v>
      </c>
      <c r="W223" s="52" t="s">
        <v>59</v>
      </c>
      <c r="X223" s="53"/>
      <c r="Y223" s="54"/>
      <c r="Z223" s="55"/>
      <c r="AA223" s="64" t="s">
        <v>77</v>
      </c>
      <c r="AB223" s="89" t="s">
        <v>73</v>
      </c>
      <c r="AC223" s="1239" t="s">
        <v>59</v>
      </c>
      <c r="AD223" s="1243" t="str">
        <f t="shared" si="3"/>
        <v>a</v>
      </c>
      <c r="AE223" s="1123"/>
      <c r="AF223" s="572"/>
      <c r="AG223" s="572"/>
    </row>
    <row r="224" spans="1:33" ht="37.5" customHeight="1" x14ac:dyDescent="0.25">
      <c r="A224" s="926">
        <v>345</v>
      </c>
      <c r="B224" s="40" t="s">
        <v>693</v>
      </c>
      <c r="C224" s="41" t="s">
        <v>700</v>
      </c>
      <c r="D224" s="42" t="s">
        <v>412</v>
      </c>
      <c r="E224" s="43" t="s">
        <v>38</v>
      </c>
      <c r="F224" s="60" t="s">
        <v>40</v>
      </c>
      <c r="G224" s="61" t="s">
        <v>52</v>
      </c>
      <c r="H224" s="61" t="s">
        <v>40</v>
      </c>
      <c r="I224" s="62">
        <v>0.99789466699326301</v>
      </c>
      <c r="J224" s="63" t="s">
        <v>41</v>
      </c>
      <c r="K224" s="46">
        <v>0.22947775378999999</v>
      </c>
      <c r="L224" s="47" t="s">
        <v>42</v>
      </c>
      <c r="M224" s="48"/>
      <c r="N224" s="48"/>
      <c r="O224" s="48"/>
      <c r="P224" s="50"/>
      <c r="Q224" s="51" t="s">
        <v>71</v>
      </c>
      <c r="R224" s="950" t="s">
        <v>72</v>
      </c>
      <c r="S224" s="955" t="str">
        <f>VLOOKUP(A224,Strat_Plan_Revit!$A$10:$S$321,14,FALSE)</f>
        <v>moyen</v>
      </c>
      <c r="T224" s="33" t="str">
        <f>VLOOKUP(A224,Strat_Plan_Revit!$A$10:$S$321,15,FALSE)</f>
        <v>moyen</v>
      </c>
      <c r="U224" s="960" t="s">
        <v>73</v>
      </c>
      <c r="V224" s="73" t="s">
        <v>73</v>
      </c>
      <c r="W224" s="52" t="s">
        <v>59</v>
      </c>
      <c r="X224" s="53"/>
      <c r="Y224" s="54"/>
      <c r="Z224" s="320"/>
      <c r="AA224" s="64" t="s">
        <v>77</v>
      </c>
      <c r="AB224" s="89" t="s">
        <v>73</v>
      </c>
      <c r="AC224" s="1239" t="s">
        <v>59</v>
      </c>
      <c r="AD224" s="1243" t="str">
        <f t="shared" si="3"/>
        <v>a</v>
      </c>
      <c r="AE224" s="1123"/>
      <c r="AF224" s="572"/>
      <c r="AG224" s="572"/>
    </row>
    <row r="225" spans="1:33" ht="37.5" customHeight="1" x14ac:dyDescent="0.25">
      <c r="A225" s="930">
        <v>346</v>
      </c>
      <c r="B225" s="40" t="s">
        <v>460</v>
      </c>
      <c r="C225" s="41" t="s">
        <v>467</v>
      </c>
      <c r="D225" s="42" t="s">
        <v>462</v>
      </c>
      <c r="E225" s="43" t="s">
        <v>38</v>
      </c>
      <c r="F225" s="60" t="s">
        <v>40</v>
      </c>
      <c r="G225" s="61"/>
      <c r="H225" s="61" t="s">
        <v>40</v>
      </c>
      <c r="I225" s="62"/>
      <c r="J225" s="63" t="s">
        <v>52</v>
      </c>
      <c r="K225" s="63"/>
      <c r="L225" s="63" t="s">
        <v>52</v>
      </c>
      <c r="M225" s="66" t="s">
        <v>468</v>
      </c>
      <c r="N225" s="68" t="s">
        <v>103</v>
      </c>
      <c r="O225" s="48"/>
      <c r="P225" s="50"/>
      <c r="Q225" s="51" t="s">
        <v>104</v>
      </c>
      <c r="R225" s="950" t="s">
        <v>72</v>
      </c>
      <c r="S225" s="955" t="str">
        <f>VLOOKUP(A225,Strat_Plan_Revit!$A$10:$S$321,14,FALSE)</f>
        <v>nicht wesentlich</v>
      </c>
      <c r="T225" s="33" t="str">
        <f>VLOOKUP(A225,Strat_Plan_Revit!$A$10:$S$321,15,FALSE)</f>
        <v>Ja</v>
      </c>
      <c r="U225" s="960" t="s">
        <v>88</v>
      </c>
      <c r="V225" s="73" t="s">
        <v>88</v>
      </c>
      <c r="W225" s="52" t="s">
        <v>110</v>
      </c>
      <c r="X225" s="53"/>
      <c r="Y225" s="54"/>
      <c r="Z225" s="320"/>
      <c r="AA225" s="64" t="s">
        <v>469</v>
      </c>
      <c r="AB225" s="89" t="s">
        <v>88</v>
      </c>
      <c r="AC225" s="1239" t="s">
        <v>110</v>
      </c>
      <c r="AD225" s="1243" t="str">
        <f t="shared" si="3"/>
        <v>a</v>
      </c>
      <c r="AE225" s="1123"/>
      <c r="AF225" s="572"/>
      <c r="AG225" s="572"/>
    </row>
    <row r="226" spans="1:33" ht="37.5" customHeight="1" x14ac:dyDescent="0.25">
      <c r="A226" s="931">
        <v>347</v>
      </c>
      <c r="B226" s="40" t="s">
        <v>259</v>
      </c>
      <c r="C226" s="41" t="s">
        <v>269</v>
      </c>
      <c r="D226" s="42" t="s">
        <v>270</v>
      </c>
      <c r="E226" s="43" t="s">
        <v>38</v>
      </c>
      <c r="F226" s="60" t="s">
        <v>40</v>
      </c>
      <c r="G226" s="61"/>
      <c r="H226" s="61" t="s">
        <v>40</v>
      </c>
      <c r="I226" s="62">
        <v>1.2E-2</v>
      </c>
      <c r="J226" s="65" t="s">
        <v>47</v>
      </c>
      <c r="K226" s="81">
        <v>0.152</v>
      </c>
      <c r="L226" s="65" t="s">
        <v>42</v>
      </c>
      <c r="M226" s="66" t="s">
        <v>271</v>
      </c>
      <c r="N226" s="66" t="s">
        <v>84</v>
      </c>
      <c r="O226" s="66" t="s">
        <v>85</v>
      </c>
      <c r="P226" s="67" t="s">
        <v>86</v>
      </c>
      <c r="Q226" s="51" t="s">
        <v>87</v>
      </c>
      <c r="R226" s="950" t="s">
        <v>72</v>
      </c>
      <c r="S226" s="955" t="s">
        <v>1850</v>
      </c>
      <c r="T226" s="33" t="s">
        <v>1858</v>
      </c>
      <c r="U226" s="960"/>
      <c r="V226" s="34" t="s">
        <v>88</v>
      </c>
      <c r="W226" s="52" t="s">
        <v>72</v>
      </c>
      <c r="X226" s="53"/>
      <c r="Y226" s="54"/>
      <c r="Z226" s="321"/>
      <c r="AA226" s="64"/>
      <c r="AB226" s="96" t="s">
        <v>88</v>
      </c>
      <c r="AC226" s="967" t="s">
        <v>72</v>
      </c>
      <c r="AD226" s="1243" t="str">
        <f t="shared" si="3"/>
        <v>b</v>
      </c>
      <c r="AE226" s="1123"/>
      <c r="AF226" s="572"/>
      <c r="AG226" s="572"/>
    </row>
    <row r="227" spans="1:33" ht="37.5" customHeight="1" x14ac:dyDescent="0.25">
      <c r="A227" s="1233">
        <v>348</v>
      </c>
      <c r="B227" s="40" t="s">
        <v>259</v>
      </c>
      <c r="C227" s="41" t="s">
        <v>272</v>
      </c>
      <c r="D227" s="42" t="s">
        <v>273</v>
      </c>
      <c r="E227" s="43" t="s">
        <v>38</v>
      </c>
      <c r="F227" s="44" t="s">
        <v>73</v>
      </c>
      <c r="G227" s="45"/>
      <c r="H227" s="45" t="s">
        <v>40</v>
      </c>
      <c r="I227" s="47">
        <v>0.48299999999999998</v>
      </c>
      <c r="J227" s="47" t="s">
        <v>41</v>
      </c>
      <c r="K227" s="47"/>
      <c r="L227" s="47" t="s">
        <v>52</v>
      </c>
      <c r="M227" s="48"/>
      <c r="N227" s="48"/>
      <c r="O227" s="48"/>
      <c r="P227" s="50"/>
      <c r="Q227" s="51" t="s">
        <v>73</v>
      </c>
      <c r="R227" s="950" t="s">
        <v>43</v>
      </c>
      <c r="S227" s="955">
        <f>VLOOKUP(A227,Strat_Plan_Revit!$A$10:$S$321,14,FALSE)</f>
        <v>0</v>
      </c>
      <c r="T227" s="33">
        <f>VLOOKUP(A227,Strat_Plan_Revit!$A$10:$S$321,15,FALSE)</f>
        <v>0</v>
      </c>
      <c r="U227" s="960"/>
      <c r="V227" s="34" t="s">
        <v>73</v>
      </c>
      <c r="W227" s="52" t="s">
        <v>43</v>
      </c>
      <c r="X227" s="53"/>
      <c r="Y227" s="54"/>
      <c r="Z227" s="321"/>
      <c r="AA227" s="64"/>
      <c r="AB227" s="96" t="s">
        <v>73</v>
      </c>
      <c r="AC227" s="967" t="s">
        <v>43</v>
      </c>
      <c r="AD227" s="1243" t="str">
        <f t="shared" si="3"/>
        <v>a</v>
      </c>
      <c r="AE227" s="1123"/>
      <c r="AF227" s="572"/>
      <c r="AG227" s="572"/>
    </row>
    <row r="228" spans="1:33" ht="37.5" customHeight="1" x14ac:dyDescent="0.25">
      <c r="A228" s="926">
        <v>349</v>
      </c>
      <c r="B228" s="40" t="s">
        <v>551</v>
      </c>
      <c r="C228" s="41" t="s">
        <v>558</v>
      </c>
      <c r="D228" s="42" t="s">
        <v>559</v>
      </c>
      <c r="E228" s="43" t="s">
        <v>38</v>
      </c>
      <c r="F228" s="60" t="s">
        <v>40</v>
      </c>
      <c r="G228" s="61" t="s">
        <v>52</v>
      </c>
      <c r="H228" s="61" t="s">
        <v>40</v>
      </c>
      <c r="I228" s="62">
        <v>6.2208010836966303E-2</v>
      </c>
      <c r="J228" s="65" t="s">
        <v>47</v>
      </c>
      <c r="K228" s="62">
        <v>0.15050688355</v>
      </c>
      <c r="L228" s="65" t="s">
        <v>42</v>
      </c>
      <c r="M228" s="66" t="s">
        <v>560</v>
      </c>
      <c r="N228" s="68" t="s">
        <v>86</v>
      </c>
      <c r="O228" s="49"/>
      <c r="P228" s="69"/>
      <c r="Q228" s="51" t="s">
        <v>87</v>
      </c>
      <c r="R228" s="950" t="s">
        <v>72</v>
      </c>
      <c r="S228" s="955">
        <f>VLOOKUP(A228,Strat_Plan_Revit!$A$10:$S$321,14,FALSE)</f>
        <v>0</v>
      </c>
      <c r="T228" s="33">
        <f>VLOOKUP(A228,Strat_Plan_Revit!$A$10:$S$321,15,FALSE)</f>
        <v>0</v>
      </c>
      <c r="U228" s="960"/>
      <c r="V228" s="34" t="s">
        <v>88</v>
      </c>
      <c r="W228" s="52" t="s">
        <v>72</v>
      </c>
      <c r="X228" s="53"/>
      <c r="Y228" s="54"/>
      <c r="Z228" s="321"/>
      <c r="AA228" s="91"/>
      <c r="AB228" s="89" t="s">
        <v>88</v>
      </c>
      <c r="AC228" s="1239" t="s">
        <v>72</v>
      </c>
      <c r="AD228" s="1243" t="str">
        <f t="shared" si="3"/>
        <v>b</v>
      </c>
      <c r="AE228" s="1123"/>
      <c r="AF228" s="572"/>
      <c r="AG228" s="572"/>
    </row>
    <row r="229" spans="1:33" ht="37.5" customHeight="1" x14ac:dyDescent="0.25">
      <c r="A229" s="929">
        <v>350</v>
      </c>
      <c r="B229" s="40" t="s">
        <v>551</v>
      </c>
      <c r="C229" s="41" t="s">
        <v>561</v>
      </c>
      <c r="D229" s="42" t="s">
        <v>562</v>
      </c>
      <c r="E229" s="43" t="s">
        <v>38</v>
      </c>
      <c r="F229" s="60" t="s">
        <v>40</v>
      </c>
      <c r="G229" s="61"/>
      <c r="H229" s="61" t="s">
        <v>40</v>
      </c>
      <c r="I229" s="62">
        <v>0.55700000000000005</v>
      </c>
      <c r="J229" s="63" t="s">
        <v>41</v>
      </c>
      <c r="K229" s="46">
        <v>0.14000000000000001</v>
      </c>
      <c r="L229" s="47" t="s">
        <v>42</v>
      </c>
      <c r="M229" s="48"/>
      <c r="N229" s="48"/>
      <c r="O229" s="48"/>
      <c r="P229" s="50"/>
      <c r="Q229" s="51" t="s">
        <v>71</v>
      </c>
      <c r="R229" s="950" t="s">
        <v>72</v>
      </c>
      <c r="S229" s="955">
        <f>VLOOKUP(A229,Strat_Plan_Revit!$A$10:$S$321,14,FALSE)</f>
        <v>0</v>
      </c>
      <c r="T229" s="33">
        <f>VLOOKUP(A229,Strat_Plan_Revit!$A$10:$S$321,15,FALSE)</f>
        <v>0</v>
      </c>
      <c r="U229" s="960"/>
      <c r="V229" s="34" t="s">
        <v>88</v>
      </c>
      <c r="W229" s="52" t="s">
        <v>72</v>
      </c>
      <c r="X229" s="53"/>
      <c r="Y229" s="54"/>
      <c r="Z229" s="321"/>
      <c r="AA229" s="91"/>
      <c r="AB229" s="89" t="s">
        <v>88</v>
      </c>
      <c r="AC229" s="1239" t="s">
        <v>72</v>
      </c>
      <c r="AD229" s="1243" t="str">
        <f t="shared" si="3"/>
        <v>b</v>
      </c>
      <c r="AE229" s="1123"/>
      <c r="AF229" s="572"/>
      <c r="AG229" s="572"/>
    </row>
    <row r="230" spans="1:33" ht="37.5" customHeight="1" x14ac:dyDescent="0.25">
      <c r="A230" s="926">
        <v>351</v>
      </c>
      <c r="B230" s="40" t="s">
        <v>551</v>
      </c>
      <c r="C230" s="41" t="s">
        <v>563</v>
      </c>
      <c r="D230" s="42" t="s">
        <v>564</v>
      </c>
      <c r="E230" s="43" t="s">
        <v>38</v>
      </c>
      <c r="F230" s="44" t="s">
        <v>73</v>
      </c>
      <c r="G230" s="45" t="s">
        <v>52</v>
      </c>
      <c r="H230" s="45" t="s">
        <v>40</v>
      </c>
      <c r="I230" s="46">
        <v>0.117224847964189</v>
      </c>
      <c r="J230" s="47" t="s">
        <v>47</v>
      </c>
      <c r="K230" s="46">
        <v>0.21610821984</v>
      </c>
      <c r="L230" s="47" t="s">
        <v>42</v>
      </c>
      <c r="M230" s="48"/>
      <c r="N230" s="48"/>
      <c r="O230" s="48"/>
      <c r="P230" s="50"/>
      <c r="Q230" s="51" t="s">
        <v>73</v>
      </c>
      <c r="R230" s="950" t="s">
        <v>43</v>
      </c>
      <c r="S230" s="955">
        <f>VLOOKUP(A230,Strat_Plan_Revit!$A$10:$S$321,14,FALSE)</f>
        <v>0</v>
      </c>
      <c r="T230" s="33">
        <f>VLOOKUP(A230,Strat_Plan_Revit!$A$10:$S$321,15,FALSE)</f>
        <v>0</v>
      </c>
      <c r="U230" s="960"/>
      <c r="V230" s="34" t="s">
        <v>73</v>
      </c>
      <c r="W230" s="52" t="s">
        <v>43</v>
      </c>
      <c r="X230" s="53"/>
      <c r="Y230" s="54"/>
      <c r="Z230" s="321"/>
      <c r="AA230" s="91"/>
      <c r="AB230" s="96" t="s">
        <v>73</v>
      </c>
      <c r="AC230" s="1239" t="s">
        <v>43</v>
      </c>
      <c r="AD230" s="1243" t="str">
        <f t="shared" si="3"/>
        <v>a</v>
      </c>
      <c r="AE230" s="1123"/>
      <c r="AF230" s="572"/>
      <c r="AG230" s="572"/>
    </row>
    <row r="231" spans="1:33" ht="37.5" customHeight="1" x14ac:dyDescent="0.25">
      <c r="A231" s="926">
        <v>352</v>
      </c>
      <c r="B231" s="40" t="s">
        <v>407</v>
      </c>
      <c r="C231" s="41" t="s">
        <v>408</v>
      </c>
      <c r="D231" s="42" t="s">
        <v>409</v>
      </c>
      <c r="E231" s="43" t="s">
        <v>38</v>
      </c>
      <c r="F231" s="60" t="s">
        <v>40</v>
      </c>
      <c r="G231" s="61" t="s">
        <v>52</v>
      </c>
      <c r="H231" s="61" t="s">
        <v>40</v>
      </c>
      <c r="I231" s="62">
        <v>6.8012562932429702E-2</v>
      </c>
      <c r="J231" s="65" t="s">
        <v>47</v>
      </c>
      <c r="K231" s="62">
        <v>0.36403608649000002</v>
      </c>
      <c r="L231" s="63" t="s">
        <v>61</v>
      </c>
      <c r="M231" s="48"/>
      <c r="N231" s="48"/>
      <c r="O231" s="48"/>
      <c r="P231" s="50"/>
      <c r="Q231" s="51" t="s">
        <v>99</v>
      </c>
      <c r="R231" s="950" t="s">
        <v>72</v>
      </c>
      <c r="S231" s="955" t="s">
        <v>1860</v>
      </c>
      <c r="T231" s="469" t="s">
        <v>1850</v>
      </c>
      <c r="U231" s="962" t="s">
        <v>88</v>
      </c>
      <c r="V231" s="34" t="s">
        <v>88</v>
      </c>
      <c r="W231" s="52" t="s">
        <v>59</v>
      </c>
      <c r="X231" s="53"/>
      <c r="Y231" s="54"/>
      <c r="Z231" s="89" t="s">
        <v>88</v>
      </c>
      <c r="AA231" s="56"/>
      <c r="AB231" s="89" t="s">
        <v>88</v>
      </c>
      <c r="AC231" s="1239" t="s">
        <v>59</v>
      </c>
      <c r="AD231" s="1243" t="str">
        <f t="shared" si="3"/>
        <v>a</v>
      </c>
      <c r="AE231" s="1123"/>
      <c r="AF231" s="572"/>
      <c r="AG231" s="572"/>
    </row>
    <row r="232" spans="1:33" ht="37.5" customHeight="1" x14ac:dyDescent="0.25">
      <c r="A232" s="926">
        <v>353</v>
      </c>
      <c r="B232" s="40" t="s">
        <v>551</v>
      </c>
      <c r="C232" s="41" t="s">
        <v>565</v>
      </c>
      <c r="D232" s="42" t="s">
        <v>566</v>
      </c>
      <c r="E232" s="43" t="s">
        <v>38</v>
      </c>
      <c r="F232" s="60" t="s">
        <v>40</v>
      </c>
      <c r="G232" s="61" t="s">
        <v>52</v>
      </c>
      <c r="H232" s="61" t="s">
        <v>40</v>
      </c>
      <c r="I232" s="62">
        <v>1.8933422556575E-2</v>
      </c>
      <c r="J232" s="65" t="s">
        <v>47</v>
      </c>
      <c r="K232" s="62">
        <v>0</v>
      </c>
      <c r="L232" s="65" t="s">
        <v>42</v>
      </c>
      <c r="M232" s="66" t="s">
        <v>567</v>
      </c>
      <c r="N232" s="68" t="s">
        <v>86</v>
      </c>
      <c r="O232" s="49"/>
      <c r="P232" s="69"/>
      <c r="Q232" s="51" t="s">
        <v>87</v>
      </c>
      <c r="R232" s="950" t="s">
        <v>72</v>
      </c>
      <c r="S232" s="955">
        <f>VLOOKUP(A232,Strat_Plan_Revit!$A$10:$S$321,14,FALSE)</f>
        <v>0</v>
      </c>
      <c r="T232" s="33">
        <f>VLOOKUP(A232,Strat_Plan_Revit!$A$10:$S$321,15,FALSE)</f>
        <v>0</v>
      </c>
      <c r="U232" s="960"/>
      <c r="V232" s="34" t="s">
        <v>88</v>
      </c>
      <c r="W232" s="52" t="s">
        <v>72</v>
      </c>
      <c r="X232" s="53"/>
      <c r="Y232" s="54"/>
      <c r="Z232" s="321"/>
      <c r="AA232" s="91"/>
      <c r="AB232" s="89" t="s">
        <v>88</v>
      </c>
      <c r="AC232" s="1239" t="s">
        <v>72</v>
      </c>
      <c r="AD232" s="1243" t="str">
        <f t="shared" si="3"/>
        <v>b</v>
      </c>
      <c r="AE232" s="1123"/>
      <c r="AF232" s="572"/>
      <c r="AG232" s="572"/>
    </row>
    <row r="233" spans="1:33" ht="37.5" customHeight="1" x14ac:dyDescent="0.25">
      <c r="A233" s="926">
        <v>354</v>
      </c>
      <c r="B233" s="40" t="s">
        <v>551</v>
      </c>
      <c r="C233" s="41" t="s">
        <v>568</v>
      </c>
      <c r="D233" s="42" t="s">
        <v>569</v>
      </c>
      <c r="E233" s="43" t="s">
        <v>38</v>
      </c>
      <c r="F233" s="60" t="s">
        <v>40</v>
      </c>
      <c r="G233" s="61" t="s">
        <v>52</v>
      </c>
      <c r="H233" s="61" t="s">
        <v>40</v>
      </c>
      <c r="I233" s="62">
        <v>0.195439639521165</v>
      </c>
      <c r="J233" s="65" t="s">
        <v>47</v>
      </c>
      <c r="K233" s="62">
        <v>0.24187770453999999</v>
      </c>
      <c r="L233" s="65" t="s">
        <v>42</v>
      </c>
      <c r="M233" s="66" t="s">
        <v>567</v>
      </c>
      <c r="N233" s="68" t="s">
        <v>86</v>
      </c>
      <c r="O233" s="49"/>
      <c r="P233" s="69"/>
      <c r="Q233" s="51" t="s">
        <v>87</v>
      </c>
      <c r="R233" s="950" t="s">
        <v>72</v>
      </c>
      <c r="S233" s="955">
        <f>VLOOKUP(A233,Strat_Plan_Revit!$A$10:$S$321,14,FALSE)</f>
        <v>0</v>
      </c>
      <c r="T233" s="33">
        <f>VLOOKUP(A233,Strat_Plan_Revit!$A$10:$S$321,15,FALSE)</f>
        <v>0</v>
      </c>
      <c r="U233" s="960"/>
      <c r="V233" s="34" t="s">
        <v>88</v>
      </c>
      <c r="W233" s="52" t="s">
        <v>72</v>
      </c>
      <c r="X233" s="53"/>
      <c r="Y233" s="54"/>
      <c r="Z233" s="321"/>
      <c r="AA233" s="91"/>
      <c r="AB233" s="89" t="s">
        <v>88</v>
      </c>
      <c r="AC233" s="1239" t="s">
        <v>72</v>
      </c>
      <c r="AD233" s="1243" t="str">
        <f t="shared" si="3"/>
        <v>b</v>
      </c>
      <c r="AE233" s="1123"/>
      <c r="AF233" s="572"/>
      <c r="AG233" s="572"/>
    </row>
    <row r="234" spans="1:33" ht="37.5" customHeight="1" x14ac:dyDescent="0.25">
      <c r="A234" s="926">
        <v>355</v>
      </c>
      <c r="B234" s="40" t="s">
        <v>551</v>
      </c>
      <c r="C234" s="41" t="s">
        <v>570</v>
      </c>
      <c r="D234" s="42" t="s">
        <v>555</v>
      </c>
      <c r="E234" s="43" t="s">
        <v>38</v>
      </c>
      <c r="F234" s="44" t="s">
        <v>88</v>
      </c>
      <c r="G234" s="45" t="s">
        <v>52</v>
      </c>
      <c r="H234" s="45" t="s">
        <v>40</v>
      </c>
      <c r="I234" s="46">
        <v>3.0357827835276002E-2</v>
      </c>
      <c r="J234" s="47" t="s">
        <v>47</v>
      </c>
      <c r="K234" s="46">
        <v>0.33689385054999998</v>
      </c>
      <c r="L234" s="47" t="s">
        <v>42</v>
      </c>
      <c r="M234" s="48"/>
      <c r="N234" s="48"/>
      <c r="O234" s="48"/>
      <c r="P234" s="50"/>
      <c r="Q234" s="51" t="s">
        <v>88</v>
      </c>
      <c r="R234" s="950" t="s">
        <v>43</v>
      </c>
      <c r="S234" s="955">
        <f>VLOOKUP(A234,Strat_Plan_Revit!$A$10:$S$321,14,FALSE)</f>
        <v>0</v>
      </c>
      <c r="T234" s="33">
        <f>VLOOKUP(A234,Strat_Plan_Revit!$A$10:$S$321,15,FALSE)</f>
        <v>0</v>
      </c>
      <c r="U234" s="960"/>
      <c r="V234" s="34" t="s">
        <v>88</v>
      </c>
      <c r="W234" s="52" t="s">
        <v>43</v>
      </c>
      <c r="X234" s="53"/>
      <c r="Y234" s="54"/>
      <c r="Z234" s="321"/>
      <c r="AA234" s="91"/>
      <c r="AB234" s="89" t="s">
        <v>88</v>
      </c>
      <c r="AC234" s="1239" t="s">
        <v>43</v>
      </c>
      <c r="AD234" s="1243" t="str">
        <f t="shared" si="3"/>
        <v>a</v>
      </c>
      <c r="AE234" s="1123"/>
      <c r="AF234" s="572"/>
      <c r="AG234" s="572"/>
    </row>
    <row r="235" spans="1:33" ht="37.5" customHeight="1" x14ac:dyDescent="0.25">
      <c r="A235" s="926">
        <v>356</v>
      </c>
      <c r="B235" s="40" t="s">
        <v>551</v>
      </c>
      <c r="C235" s="41" t="s">
        <v>571</v>
      </c>
      <c r="D235" s="42" t="s">
        <v>572</v>
      </c>
      <c r="E235" s="43" t="s">
        <v>38</v>
      </c>
      <c r="F235" s="60" t="s">
        <v>40</v>
      </c>
      <c r="G235" s="61" t="s">
        <v>52</v>
      </c>
      <c r="H235" s="61" t="s">
        <v>40</v>
      </c>
      <c r="I235" s="62">
        <v>0.43627546356086</v>
      </c>
      <c r="J235" s="63" t="s">
        <v>41</v>
      </c>
      <c r="K235" s="46">
        <v>0.37379190273000001</v>
      </c>
      <c r="L235" s="47" t="s">
        <v>61</v>
      </c>
      <c r="M235" s="48"/>
      <c r="N235" s="48"/>
      <c r="O235" s="48"/>
      <c r="P235" s="50"/>
      <c r="Q235" s="51" t="s">
        <v>71</v>
      </c>
      <c r="R235" s="950" t="s">
        <v>72</v>
      </c>
      <c r="S235" s="955">
        <f>VLOOKUP(A235,Strat_Plan_Revit!$A$10:$S$321,14,FALSE)</f>
        <v>0</v>
      </c>
      <c r="T235" s="33">
        <f>VLOOKUP(A235,Strat_Plan_Revit!$A$10:$S$321,15,FALSE)</f>
        <v>0</v>
      </c>
      <c r="U235" s="960"/>
      <c r="V235" s="34" t="s">
        <v>73</v>
      </c>
      <c r="W235" s="52" t="s">
        <v>72</v>
      </c>
      <c r="X235" s="53"/>
      <c r="Y235" s="54"/>
      <c r="Z235" s="321"/>
      <c r="AA235" s="91"/>
      <c r="AB235" s="96" t="s">
        <v>73</v>
      </c>
      <c r="AC235" s="1239" t="s">
        <v>72</v>
      </c>
      <c r="AD235" s="1243" t="str">
        <f t="shared" si="3"/>
        <v>b</v>
      </c>
      <c r="AE235" s="1123"/>
      <c r="AF235" s="572"/>
      <c r="AG235" s="572"/>
    </row>
    <row r="236" spans="1:33" ht="37.5" customHeight="1" x14ac:dyDescent="0.25">
      <c r="A236" s="926">
        <v>357</v>
      </c>
      <c r="B236" s="40" t="s">
        <v>482</v>
      </c>
      <c r="C236" s="41" t="s">
        <v>524</v>
      </c>
      <c r="D236" s="42" t="s">
        <v>525</v>
      </c>
      <c r="E236" s="43" t="s">
        <v>38</v>
      </c>
      <c r="F236" s="60" t="s">
        <v>40</v>
      </c>
      <c r="G236" s="61" t="s">
        <v>52</v>
      </c>
      <c r="H236" s="61" t="s">
        <v>40</v>
      </c>
      <c r="I236" s="62">
        <v>0.120786460445897</v>
      </c>
      <c r="J236" s="65" t="s">
        <v>47</v>
      </c>
      <c r="K236" s="62">
        <v>0.43895282358999999</v>
      </c>
      <c r="L236" s="63" t="s">
        <v>61</v>
      </c>
      <c r="M236" s="48"/>
      <c r="N236" s="48"/>
      <c r="O236" s="48"/>
      <c r="P236" s="50"/>
      <c r="Q236" s="51" t="s">
        <v>71</v>
      </c>
      <c r="R236" s="950" t="s">
        <v>72</v>
      </c>
      <c r="S236" s="955" t="str">
        <f>VLOOKUP(A236,Strat_Plan_Revit!$A$10:$S$321,14,FALSE)</f>
        <v>faible</v>
      </c>
      <c r="T236" s="33" t="str">
        <f>VLOOKUP(A236,Strat_Plan_Revit!$A$10:$S$321,15,FALSE)</f>
        <v>nul</v>
      </c>
      <c r="U236" s="962" t="s">
        <v>73</v>
      </c>
      <c r="V236" s="34" t="s">
        <v>73</v>
      </c>
      <c r="W236" s="52" t="s">
        <v>59</v>
      </c>
      <c r="X236" s="53"/>
      <c r="Y236" s="54"/>
      <c r="Z236" s="320"/>
      <c r="AA236" s="56"/>
      <c r="AB236" s="96" t="s">
        <v>73</v>
      </c>
      <c r="AC236" s="967" t="s">
        <v>59</v>
      </c>
      <c r="AD236" s="1243" t="str">
        <f t="shared" si="3"/>
        <v>a</v>
      </c>
      <c r="AE236" s="1123"/>
      <c r="AF236" s="572"/>
      <c r="AG236" s="572"/>
    </row>
    <row r="237" spans="1:33" ht="37.5" customHeight="1" x14ac:dyDescent="0.25">
      <c r="A237" s="926">
        <v>358</v>
      </c>
      <c r="B237" s="40" t="s">
        <v>482</v>
      </c>
      <c r="C237" s="41" t="s">
        <v>526</v>
      </c>
      <c r="D237" s="42" t="s">
        <v>484</v>
      </c>
      <c r="E237" s="43" t="s">
        <v>38</v>
      </c>
      <c r="F237" s="60" t="s">
        <v>40</v>
      </c>
      <c r="G237" s="61" t="s">
        <v>52</v>
      </c>
      <c r="H237" s="61" t="s">
        <v>40</v>
      </c>
      <c r="I237" s="62">
        <v>0.104101428305931</v>
      </c>
      <c r="J237" s="65" t="s">
        <v>47</v>
      </c>
      <c r="K237" s="62">
        <v>0.28222327403000003</v>
      </c>
      <c r="L237" s="63" t="s">
        <v>61</v>
      </c>
      <c r="M237" s="48"/>
      <c r="N237" s="48"/>
      <c r="O237" s="48"/>
      <c r="P237" s="50"/>
      <c r="Q237" s="51" t="s">
        <v>104</v>
      </c>
      <c r="R237" s="950" t="s">
        <v>72</v>
      </c>
      <c r="S237" s="955" t="str">
        <f>VLOOKUP(A237,Strat_Plan_Revit!$A$10:$S$321,14,FALSE)</f>
        <v>moyen</v>
      </c>
      <c r="T237" s="33">
        <f>VLOOKUP(A237,Strat_Plan_Revit!$A$10:$S$321,15,FALSE)</f>
        <v>0</v>
      </c>
      <c r="U237" s="962" t="s">
        <v>67</v>
      </c>
      <c r="V237" s="34" t="s">
        <v>67</v>
      </c>
      <c r="W237" s="52" t="s">
        <v>59</v>
      </c>
      <c r="X237" s="53"/>
      <c r="Y237" s="54"/>
      <c r="Z237" s="320"/>
      <c r="AA237" s="56"/>
      <c r="AB237" s="96" t="s">
        <v>67</v>
      </c>
      <c r="AC237" s="967" t="s">
        <v>59</v>
      </c>
      <c r="AD237" s="1243" t="str">
        <f t="shared" si="3"/>
        <v>a</v>
      </c>
      <c r="AE237" s="1123"/>
      <c r="AF237" s="572"/>
      <c r="AG237" s="572"/>
    </row>
    <row r="238" spans="1:33" ht="37.5" customHeight="1" x14ac:dyDescent="0.25">
      <c r="A238" s="926">
        <v>359</v>
      </c>
      <c r="B238" s="40" t="s">
        <v>482</v>
      </c>
      <c r="C238" s="41" t="s">
        <v>528</v>
      </c>
      <c r="D238" s="42" t="s">
        <v>484</v>
      </c>
      <c r="E238" s="43" t="s">
        <v>38</v>
      </c>
      <c r="F238" s="60" t="s">
        <v>40</v>
      </c>
      <c r="G238" s="61" t="s">
        <v>52</v>
      </c>
      <c r="H238" s="61" t="s">
        <v>40</v>
      </c>
      <c r="I238" s="62">
        <v>0.101489837740707</v>
      </c>
      <c r="J238" s="65" t="s">
        <v>47</v>
      </c>
      <c r="K238" s="62">
        <v>5.6233252502000002E-2</v>
      </c>
      <c r="L238" s="65" t="s">
        <v>42</v>
      </c>
      <c r="M238" s="66" t="s">
        <v>529</v>
      </c>
      <c r="N238" s="68" t="s">
        <v>103</v>
      </c>
      <c r="O238" s="49"/>
      <c r="P238" s="69"/>
      <c r="Q238" s="51" t="s">
        <v>104</v>
      </c>
      <c r="R238" s="950" t="s">
        <v>72</v>
      </c>
      <c r="S238" s="955" t="str">
        <f>VLOOKUP(A238,Strat_Plan_Revit!$A$10:$S$321,14,FALSE)</f>
        <v>moyen</v>
      </c>
      <c r="T238" s="33">
        <f>VLOOKUP(A238,Strat_Plan_Revit!$A$10:$S$321,15,FALSE)</f>
        <v>0</v>
      </c>
      <c r="U238" s="962" t="s">
        <v>67</v>
      </c>
      <c r="V238" s="34" t="s">
        <v>67</v>
      </c>
      <c r="W238" s="52" t="s">
        <v>59</v>
      </c>
      <c r="X238" s="53"/>
      <c r="Y238" s="54"/>
      <c r="Z238" s="320"/>
      <c r="AA238" s="56"/>
      <c r="AB238" s="96" t="s">
        <v>67</v>
      </c>
      <c r="AC238" s="967" t="s">
        <v>59</v>
      </c>
      <c r="AD238" s="1243" t="str">
        <f t="shared" si="3"/>
        <v>a</v>
      </c>
      <c r="AE238" s="1123"/>
      <c r="AF238" s="572"/>
      <c r="AG238" s="572"/>
    </row>
    <row r="239" spans="1:33" ht="37.5" customHeight="1" x14ac:dyDescent="0.25">
      <c r="A239" s="926">
        <v>360</v>
      </c>
      <c r="B239" s="40" t="s">
        <v>482</v>
      </c>
      <c r="C239" s="41" t="s">
        <v>530</v>
      </c>
      <c r="D239" s="42" t="s">
        <v>531</v>
      </c>
      <c r="E239" s="43" t="s">
        <v>38</v>
      </c>
      <c r="F239" s="60" t="s">
        <v>40</v>
      </c>
      <c r="G239" s="61" t="s">
        <v>52</v>
      </c>
      <c r="H239" s="61" t="s">
        <v>40</v>
      </c>
      <c r="I239" s="62">
        <v>0</v>
      </c>
      <c r="J239" s="65" t="s">
        <v>47</v>
      </c>
      <c r="K239" s="62">
        <v>0.28591873689000002</v>
      </c>
      <c r="L239" s="65" t="s">
        <v>42</v>
      </c>
      <c r="M239" s="66" t="s">
        <v>532</v>
      </c>
      <c r="N239" s="68" t="s">
        <v>86</v>
      </c>
      <c r="O239" s="49"/>
      <c r="P239" s="69"/>
      <c r="Q239" s="51" t="s">
        <v>87</v>
      </c>
      <c r="R239" s="950" t="s">
        <v>72</v>
      </c>
      <c r="S239" s="955" t="str">
        <f>VLOOKUP(A239,Strat_Plan_Revit!$A$10:$S$321,14,FALSE)</f>
        <v>non évalué</v>
      </c>
      <c r="T239" s="33" t="str">
        <f>VLOOKUP(A239,Strat_Plan_Revit!$A$10:$S$321,15,FALSE)</f>
        <v>non évalué</v>
      </c>
      <c r="U239" s="960"/>
      <c r="V239" s="34" t="s">
        <v>88</v>
      </c>
      <c r="W239" s="102" t="s">
        <v>72</v>
      </c>
      <c r="X239" s="53"/>
      <c r="Y239" s="54"/>
      <c r="Z239" s="320"/>
      <c r="AA239" s="56"/>
      <c r="AB239" s="96" t="s">
        <v>88</v>
      </c>
      <c r="AC239" s="1242" t="s">
        <v>72</v>
      </c>
      <c r="AD239" s="1243" t="str">
        <f t="shared" si="3"/>
        <v>b</v>
      </c>
      <c r="AE239" s="1123"/>
      <c r="AF239" s="572"/>
      <c r="AG239" s="572"/>
    </row>
    <row r="240" spans="1:33" ht="37.5" customHeight="1" x14ac:dyDescent="0.25">
      <c r="A240" s="926">
        <v>361</v>
      </c>
      <c r="B240" s="40" t="s">
        <v>482</v>
      </c>
      <c r="C240" s="41" t="s">
        <v>533</v>
      </c>
      <c r="D240" s="42" t="s">
        <v>531</v>
      </c>
      <c r="E240" s="43" t="s">
        <v>38</v>
      </c>
      <c r="F240" s="60" t="s">
        <v>40</v>
      </c>
      <c r="G240" s="61" t="s">
        <v>52</v>
      </c>
      <c r="H240" s="61" t="s">
        <v>40</v>
      </c>
      <c r="I240" s="62">
        <v>0</v>
      </c>
      <c r="J240" s="65" t="s">
        <v>47</v>
      </c>
      <c r="K240" s="62">
        <v>0.16986388180000001</v>
      </c>
      <c r="L240" s="65" t="s">
        <v>42</v>
      </c>
      <c r="M240" s="66" t="s">
        <v>532</v>
      </c>
      <c r="N240" s="68" t="s">
        <v>86</v>
      </c>
      <c r="O240" s="49"/>
      <c r="P240" s="69"/>
      <c r="Q240" s="51" t="s">
        <v>87</v>
      </c>
      <c r="R240" s="950" t="s">
        <v>72</v>
      </c>
      <c r="S240" s="955" t="str">
        <f>VLOOKUP(A240,Strat_Plan_Revit!$A$10:$S$321,14,FALSE)</f>
        <v>non évalué</v>
      </c>
      <c r="T240" s="33" t="str">
        <f>VLOOKUP(A240,Strat_Plan_Revit!$A$10:$S$321,15,FALSE)</f>
        <v>non évalué</v>
      </c>
      <c r="U240" s="960"/>
      <c r="V240" s="34" t="s">
        <v>88</v>
      </c>
      <c r="W240" s="102" t="s">
        <v>72</v>
      </c>
      <c r="X240" s="53"/>
      <c r="Y240" s="54"/>
      <c r="Z240" s="320"/>
      <c r="AA240" s="56"/>
      <c r="AB240" s="96" t="s">
        <v>88</v>
      </c>
      <c r="AC240" s="1242" t="s">
        <v>72</v>
      </c>
      <c r="AD240" s="1243" t="str">
        <f t="shared" si="3"/>
        <v>b</v>
      </c>
      <c r="AE240" s="1123"/>
      <c r="AF240" s="572"/>
      <c r="AG240" s="572"/>
    </row>
    <row r="241" spans="1:33" ht="37.5" customHeight="1" x14ac:dyDescent="0.25">
      <c r="A241" s="926">
        <v>362</v>
      </c>
      <c r="B241" s="40" t="s">
        <v>482</v>
      </c>
      <c r="C241" s="41" t="s">
        <v>534</v>
      </c>
      <c r="D241" s="42" t="s">
        <v>535</v>
      </c>
      <c r="E241" s="43" t="s">
        <v>38</v>
      </c>
      <c r="F241" s="60" t="s">
        <v>40</v>
      </c>
      <c r="G241" s="61" t="s">
        <v>52</v>
      </c>
      <c r="H241" s="61" t="s">
        <v>40</v>
      </c>
      <c r="I241" s="62">
        <v>0</v>
      </c>
      <c r="J241" s="65" t="s">
        <v>47</v>
      </c>
      <c r="K241" s="62">
        <v>8.5933357202999994E-2</v>
      </c>
      <c r="L241" s="65" t="s">
        <v>42</v>
      </c>
      <c r="M241" s="66" t="s">
        <v>536</v>
      </c>
      <c r="N241" s="68" t="s">
        <v>86</v>
      </c>
      <c r="O241" s="49"/>
      <c r="P241" s="69"/>
      <c r="Q241" s="51" t="s">
        <v>87</v>
      </c>
      <c r="R241" s="950" t="s">
        <v>72</v>
      </c>
      <c r="S241" s="955" t="str">
        <f>VLOOKUP(A241,Strat_Plan_Revit!$A$10:$S$321,14,FALSE)</f>
        <v>non évalué</v>
      </c>
      <c r="T241" s="33" t="str">
        <f>VLOOKUP(A241,Strat_Plan_Revit!$A$10:$S$321,15,FALSE)</f>
        <v>non évalué</v>
      </c>
      <c r="U241" s="960"/>
      <c r="V241" s="34" t="s">
        <v>88</v>
      </c>
      <c r="W241" s="102" t="s">
        <v>72</v>
      </c>
      <c r="X241" s="53"/>
      <c r="Y241" s="54"/>
      <c r="Z241" s="320"/>
      <c r="AA241" s="56"/>
      <c r="AB241" s="96" t="s">
        <v>88</v>
      </c>
      <c r="AC241" s="1242" t="s">
        <v>72</v>
      </c>
      <c r="AD241" s="1243" t="str">
        <f t="shared" si="3"/>
        <v>b</v>
      </c>
      <c r="AE241" s="1123"/>
      <c r="AF241" s="572"/>
      <c r="AG241" s="572"/>
    </row>
    <row r="242" spans="1:33" ht="37.5" customHeight="1" x14ac:dyDescent="0.25">
      <c r="A242" s="926">
        <v>363</v>
      </c>
      <c r="B242" s="40" t="s">
        <v>482</v>
      </c>
      <c r="C242" s="41" t="s">
        <v>537</v>
      </c>
      <c r="D242" s="42" t="s">
        <v>538</v>
      </c>
      <c r="E242" s="43" t="s">
        <v>38</v>
      </c>
      <c r="F242" s="60" t="s">
        <v>40</v>
      </c>
      <c r="G242" s="61" t="s">
        <v>52</v>
      </c>
      <c r="H242" s="61" t="s">
        <v>40</v>
      </c>
      <c r="I242" s="62">
        <v>0.107788109378836</v>
      </c>
      <c r="J242" s="65" t="s">
        <v>47</v>
      </c>
      <c r="K242" s="62">
        <v>0.38333989254</v>
      </c>
      <c r="L242" s="63" t="s">
        <v>61</v>
      </c>
      <c r="M242" s="48"/>
      <c r="N242" s="48"/>
      <c r="O242" s="48"/>
      <c r="P242" s="50"/>
      <c r="Q242" s="51" t="s">
        <v>99</v>
      </c>
      <c r="R242" s="950" t="s">
        <v>72</v>
      </c>
      <c r="S242" s="955" t="str">
        <f>VLOOKUP(A242,Strat_Plan_Revit!$A$10:$S$321,14,FALSE)</f>
        <v>non évalué</v>
      </c>
      <c r="T242" s="33" t="str">
        <f>VLOOKUP(A242,Strat_Plan_Revit!$A$10:$S$321,15,FALSE)</f>
        <v>non évalué</v>
      </c>
      <c r="U242" s="960"/>
      <c r="V242" s="34" t="s">
        <v>88</v>
      </c>
      <c r="W242" s="102" t="s">
        <v>72</v>
      </c>
      <c r="X242" s="53"/>
      <c r="Y242" s="54"/>
      <c r="Z242" s="320"/>
      <c r="AA242" s="56"/>
      <c r="AB242" s="96" t="s">
        <v>88</v>
      </c>
      <c r="AC242" s="1242" t="s">
        <v>72</v>
      </c>
      <c r="AD242" s="1243" t="str">
        <f t="shared" si="3"/>
        <v>b</v>
      </c>
      <c r="AE242" s="1123"/>
      <c r="AF242" s="572"/>
      <c r="AG242" s="572"/>
    </row>
    <row r="243" spans="1:33" ht="37.5" customHeight="1" x14ac:dyDescent="0.25">
      <c r="A243" s="926">
        <v>364</v>
      </c>
      <c r="B243" s="40" t="s">
        <v>482</v>
      </c>
      <c r="C243" s="41" t="s">
        <v>539</v>
      </c>
      <c r="D243" s="42" t="s">
        <v>540</v>
      </c>
      <c r="E243" s="43" t="s">
        <v>38</v>
      </c>
      <c r="F243" s="60" t="s">
        <v>40</v>
      </c>
      <c r="G243" s="61" t="s">
        <v>52</v>
      </c>
      <c r="H243" s="61" t="s">
        <v>40</v>
      </c>
      <c r="I243" s="62">
        <v>0.29599999999999999</v>
      </c>
      <c r="J243" s="63" t="s">
        <v>41</v>
      </c>
      <c r="K243" s="46">
        <v>0.20980125592000001</v>
      </c>
      <c r="L243" s="47" t="s">
        <v>42</v>
      </c>
      <c r="M243" s="48"/>
      <c r="N243" s="48"/>
      <c r="O243" s="48"/>
      <c r="P243" s="50"/>
      <c r="Q243" s="51" t="s">
        <v>71</v>
      </c>
      <c r="R243" s="950" t="s">
        <v>72</v>
      </c>
      <c r="S243" s="955" t="str">
        <f>VLOOKUP(A243,Strat_Plan_Revit!$A$10:$S$321,14,FALSE)</f>
        <v>nul</v>
      </c>
      <c r="T243" s="33">
        <f>VLOOKUP(A243,Strat_Plan_Revit!$A$10:$S$321,15,FALSE)</f>
        <v>0</v>
      </c>
      <c r="U243" s="962" t="s">
        <v>88</v>
      </c>
      <c r="V243" s="73" t="s">
        <v>88</v>
      </c>
      <c r="W243" s="52" t="s">
        <v>110</v>
      </c>
      <c r="X243" s="53"/>
      <c r="Y243" s="54"/>
      <c r="Z243" s="320"/>
      <c r="AA243" s="56"/>
      <c r="AB243" s="89" t="s">
        <v>88</v>
      </c>
      <c r="AC243" s="967" t="s">
        <v>110</v>
      </c>
      <c r="AD243" s="1243" t="str">
        <f t="shared" si="3"/>
        <v>a</v>
      </c>
      <c r="AE243" s="1123"/>
      <c r="AF243" s="572"/>
      <c r="AG243" s="572"/>
    </row>
    <row r="244" spans="1:33" ht="37.5" customHeight="1" x14ac:dyDescent="0.25">
      <c r="A244" s="926">
        <v>365</v>
      </c>
      <c r="B244" s="40" t="s">
        <v>482</v>
      </c>
      <c r="C244" s="41" t="s">
        <v>541</v>
      </c>
      <c r="D244" s="42" t="s">
        <v>542</v>
      </c>
      <c r="E244" s="43" t="s">
        <v>38</v>
      </c>
      <c r="F244" s="60" t="s">
        <v>40</v>
      </c>
      <c r="G244" s="61" t="s">
        <v>52</v>
      </c>
      <c r="H244" s="61" t="s">
        <v>40</v>
      </c>
      <c r="I244" s="62">
        <v>0</v>
      </c>
      <c r="J244" s="65" t="s">
        <v>47</v>
      </c>
      <c r="K244" s="62">
        <v>0.53158213965000001</v>
      </c>
      <c r="L244" s="63" t="s">
        <v>61</v>
      </c>
      <c r="M244" s="48"/>
      <c r="N244" s="48"/>
      <c r="O244" s="48"/>
      <c r="P244" s="50"/>
      <c r="Q244" s="51" t="s">
        <v>87</v>
      </c>
      <c r="R244" s="950" t="s">
        <v>72</v>
      </c>
      <c r="S244" s="955" t="str">
        <f>VLOOKUP(A244,Strat_Plan_Revit!$A$10:$S$321,14,FALSE)</f>
        <v>non évalué</v>
      </c>
      <c r="T244" s="33" t="str">
        <f>VLOOKUP(A244,Strat_Plan_Revit!$A$10:$S$321,15,FALSE)</f>
        <v>non évalué</v>
      </c>
      <c r="U244" s="960"/>
      <c r="V244" s="34" t="s">
        <v>88</v>
      </c>
      <c r="W244" s="102" t="s">
        <v>72</v>
      </c>
      <c r="X244" s="53"/>
      <c r="Y244" s="54"/>
      <c r="Z244" s="320"/>
      <c r="AA244" s="56"/>
      <c r="AB244" s="96" t="s">
        <v>88</v>
      </c>
      <c r="AC244" s="1242" t="s">
        <v>72</v>
      </c>
      <c r="AD244" s="1243" t="str">
        <f t="shared" si="3"/>
        <v>b</v>
      </c>
      <c r="AE244" s="1123"/>
      <c r="AF244" s="572"/>
      <c r="AG244" s="572"/>
    </row>
    <row r="245" spans="1:33" ht="37.5" customHeight="1" x14ac:dyDescent="0.25">
      <c r="A245" s="926">
        <v>366</v>
      </c>
      <c r="B245" s="40" t="s">
        <v>482</v>
      </c>
      <c r="C245" s="41" t="s">
        <v>543</v>
      </c>
      <c r="D245" s="42" t="s">
        <v>544</v>
      </c>
      <c r="E245" s="43" t="s">
        <v>38</v>
      </c>
      <c r="F245" s="60" t="s">
        <v>40</v>
      </c>
      <c r="G245" s="61" t="s">
        <v>52</v>
      </c>
      <c r="H245" s="61" t="s">
        <v>40</v>
      </c>
      <c r="I245" s="62">
        <v>3.5296845767498898E-2</v>
      </c>
      <c r="J245" s="65" t="s">
        <v>47</v>
      </c>
      <c r="K245" s="62">
        <v>0.16196882832000001</v>
      </c>
      <c r="L245" s="65" t="s">
        <v>42</v>
      </c>
      <c r="M245" s="66"/>
      <c r="N245" s="66" t="s">
        <v>84</v>
      </c>
      <c r="O245" s="66" t="s">
        <v>85</v>
      </c>
      <c r="P245" s="67" t="s">
        <v>86</v>
      </c>
      <c r="Q245" s="51" t="s">
        <v>87</v>
      </c>
      <c r="R245" s="950" t="s">
        <v>72</v>
      </c>
      <c r="S245" s="955" t="str">
        <f>VLOOKUP(A245,Strat_Plan_Revit!$A$10:$S$321,14,FALSE)</f>
        <v>non évalué</v>
      </c>
      <c r="T245" s="33" t="str">
        <f>VLOOKUP(A245,Strat_Plan_Revit!$A$10:$S$321,15,FALSE)</f>
        <v>non évalué</v>
      </c>
      <c r="U245" s="960"/>
      <c r="V245" s="34" t="s">
        <v>88</v>
      </c>
      <c r="W245" s="102" t="s">
        <v>72</v>
      </c>
      <c r="X245" s="53"/>
      <c r="Y245" s="54"/>
      <c r="Z245" s="320"/>
      <c r="AA245" s="56"/>
      <c r="AB245" s="96" t="s">
        <v>88</v>
      </c>
      <c r="AC245" s="1242" t="s">
        <v>72</v>
      </c>
      <c r="AD245" s="1243" t="str">
        <f t="shared" si="3"/>
        <v>b</v>
      </c>
      <c r="AE245" s="1123"/>
      <c r="AF245" s="572"/>
      <c r="AG245" s="572"/>
    </row>
    <row r="246" spans="1:33" ht="37.5" customHeight="1" x14ac:dyDescent="0.25">
      <c r="A246" s="926">
        <v>367</v>
      </c>
      <c r="B246" s="40" t="s">
        <v>482</v>
      </c>
      <c r="C246" s="41" t="s">
        <v>545</v>
      </c>
      <c r="D246" s="42" t="s">
        <v>546</v>
      </c>
      <c r="E246" s="43" t="s">
        <v>38</v>
      </c>
      <c r="F246" s="60" t="s">
        <v>40</v>
      </c>
      <c r="G246" s="61" t="s">
        <v>52</v>
      </c>
      <c r="H246" s="61" t="s">
        <v>40</v>
      </c>
      <c r="I246" s="62">
        <v>0.42409928573355099</v>
      </c>
      <c r="J246" s="63" t="s">
        <v>41</v>
      </c>
      <c r="K246" s="46">
        <v>9.2140458142999995E-2</v>
      </c>
      <c r="L246" s="47" t="s">
        <v>42</v>
      </c>
      <c r="M246" s="48"/>
      <c r="N246" s="48"/>
      <c r="O246" s="48"/>
      <c r="P246" s="50"/>
      <c r="Q246" s="51" t="s">
        <v>71</v>
      </c>
      <c r="R246" s="950" t="s">
        <v>72</v>
      </c>
      <c r="S246" s="955" t="str">
        <f>VLOOKUP(A246,Strat_Plan_Revit!$A$10:$S$321,14,FALSE)</f>
        <v>non évalué</v>
      </c>
      <c r="T246" s="33" t="str">
        <f>VLOOKUP(A246,Strat_Plan_Revit!$A$10:$S$321,15,FALSE)</f>
        <v>non évalué</v>
      </c>
      <c r="U246" s="960"/>
      <c r="V246" s="34" t="s">
        <v>73</v>
      </c>
      <c r="W246" s="102" t="s">
        <v>72</v>
      </c>
      <c r="X246" s="53"/>
      <c r="Y246" s="54"/>
      <c r="Z246" s="320"/>
      <c r="AA246" s="56"/>
      <c r="AB246" s="96" t="s">
        <v>73</v>
      </c>
      <c r="AC246" s="1242" t="s">
        <v>72</v>
      </c>
      <c r="AD246" s="1243" t="str">
        <f t="shared" si="3"/>
        <v>b</v>
      </c>
      <c r="AE246" s="1123"/>
      <c r="AF246" s="572"/>
      <c r="AG246" s="572"/>
    </row>
    <row r="247" spans="1:33" ht="37.5" customHeight="1" x14ac:dyDescent="0.25">
      <c r="A247" s="930">
        <v>368</v>
      </c>
      <c r="B247" s="40" t="s">
        <v>482</v>
      </c>
      <c r="C247" s="41" t="s">
        <v>547</v>
      </c>
      <c r="D247" s="82" t="s">
        <v>548</v>
      </c>
      <c r="E247" s="43" t="s">
        <v>38</v>
      </c>
      <c r="F247" s="60" t="s">
        <v>40</v>
      </c>
      <c r="G247" s="61"/>
      <c r="H247" s="61" t="s">
        <v>40</v>
      </c>
      <c r="I247" s="62"/>
      <c r="J247" s="63" t="s">
        <v>52</v>
      </c>
      <c r="K247" s="63"/>
      <c r="L247" s="63" t="s">
        <v>52</v>
      </c>
      <c r="M247" s="66" t="s">
        <v>549</v>
      </c>
      <c r="N247" s="66" t="s">
        <v>86</v>
      </c>
      <c r="O247" s="66" t="s">
        <v>85</v>
      </c>
      <c r="P247" s="67" t="s">
        <v>86</v>
      </c>
      <c r="Q247" s="51" t="s">
        <v>87</v>
      </c>
      <c r="R247" s="950" t="s">
        <v>72</v>
      </c>
      <c r="S247" s="955" t="e">
        <f>VLOOKUP(A247,Strat_Plan_Revit!$A$10:$S$321,14,FALSE)</f>
        <v>#N/A</v>
      </c>
      <c r="T247" s="33" t="e">
        <f>VLOOKUP(A247,Strat_Plan_Revit!$A$10:$S$321,15,FALSE)</f>
        <v>#N/A</v>
      </c>
      <c r="U247" s="960"/>
      <c r="V247" s="34" t="s">
        <v>88</v>
      </c>
      <c r="W247" s="52" t="s">
        <v>72</v>
      </c>
      <c r="X247" s="53"/>
      <c r="Y247" s="54"/>
      <c r="Z247" s="320"/>
      <c r="AA247" s="56"/>
      <c r="AB247" s="96" t="s">
        <v>88</v>
      </c>
      <c r="AC247" s="967" t="s">
        <v>72</v>
      </c>
      <c r="AD247" s="1243" t="str">
        <f t="shared" si="3"/>
        <v>b</v>
      </c>
      <c r="AE247" s="1123"/>
      <c r="AF247" s="572"/>
      <c r="AG247" s="572"/>
    </row>
    <row r="248" spans="1:33" ht="37.5" customHeight="1" x14ac:dyDescent="0.25">
      <c r="A248" s="926">
        <v>369</v>
      </c>
      <c r="B248" s="40" t="s">
        <v>410</v>
      </c>
      <c r="C248" s="41" t="s">
        <v>424</v>
      </c>
      <c r="D248" s="42" t="s">
        <v>425</v>
      </c>
      <c r="E248" s="43" t="s">
        <v>38</v>
      </c>
      <c r="F248" s="60" t="s">
        <v>40</v>
      </c>
      <c r="G248" s="61" t="s">
        <v>52</v>
      </c>
      <c r="H248" s="61" t="s">
        <v>40</v>
      </c>
      <c r="I248" s="62">
        <v>5.3999999999999999E-2</v>
      </c>
      <c r="J248" s="65" t="s">
        <v>47</v>
      </c>
      <c r="K248" s="62">
        <v>4.4667734838000003E-2</v>
      </c>
      <c r="L248" s="65" t="s">
        <v>42</v>
      </c>
      <c r="M248" s="66" t="s">
        <v>426</v>
      </c>
      <c r="N248" s="68" t="s">
        <v>86</v>
      </c>
      <c r="O248" s="49"/>
      <c r="P248" s="69"/>
      <c r="Q248" s="51" t="s">
        <v>87</v>
      </c>
      <c r="R248" s="950" t="s">
        <v>72</v>
      </c>
      <c r="S248" s="955" t="str">
        <f>VLOOKUP(A248,Strat_Plan_Revit!$A$10:$S$321,14,FALSE)</f>
        <v>non dét.</v>
      </c>
      <c r="T248" s="33">
        <f>VLOOKUP(A248,Strat_Plan_Revit!$A$10:$S$321,15,FALSE)</f>
        <v>0</v>
      </c>
      <c r="U248" s="960"/>
      <c r="V248" s="34" t="s">
        <v>88</v>
      </c>
      <c r="W248" s="52" t="s">
        <v>72</v>
      </c>
      <c r="X248" s="53"/>
      <c r="Y248" s="54"/>
      <c r="Z248" s="320"/>
      <c r="AA248" s="56"/>
      <c r="AB248" s="96" t="s">
        <v>88</v>
      </c>
      <c r="AC248" s="1239" t="s">
        <v>72</v>
      </c>
      <c r="AD248" s="1243" t="str">
        <f t="shared" si="3"/>
        <v>b</v>
      </c>
      <c r="AE248" s="1123"/>
      <c r="AF248" s="572"/>
      <c r="AG248" s="572"/>
    </row>
    <row r="249" spans="1:33" ht="37.5" customHeight="1" x14ac:dyDescent="0.25">
      <c r="A249" s="926">
        <v>371</v>
      </c>
      <c r="B249" s="40" t="s">
        <v>89</v>
      </c>
      <c r="C249" s="41" t="s">
        <v>90</v>
      </c>
      <c r="D249" s="42" t="s">
        <v>91</v>
      </c>
      <c r="E249" s="43" t="s">
        <v>38</v>
      </c>
      <c r="F249" s="44" t="s">
        <v>88</v>
      </c>
      <c r="G249" s="45" t="s">
        <v>52</v>
      </c>
      <c r="H249" s="45" t="s">
        <v>40</v>
      </c>
      <c r="I249" s="46">
        <v>0</v>
      </c>
      <c r="J249" s="47" t="s">
        <v>47</v>
      </c>
      <c r="K249" s="46">
        <v>0.24092088723999999</v>
      </c>
      <c r="L249" s="47" t="s">
        <v>42</v>
      </c>
      <c r="M249" s="48"/>
      <c r="N249" s="48"/>
      <c r="O249" s="48"/>
      <c r="P249" s="50"/>
      <c r="Q249" s="51" t="s">
        <v>88</v>
      </c>
      <c r="R249" s="950" t="s">
        <v>43</v>
      </c>
      <c r="S249" s="955" t="s">
        <v>1862</v>
      </c>
      <c r="T249" s="33" t="s">
        <v>1862</v>
      </c>
      <c r="U249" s="960"/>
      <c r="V249" s="34" t="s">
        <v>88</v>
      </c>
      <c r="W249" s="52" t="s">
        <v>43</v>
      </c>
      <c r="X249" s="53"/>
      <c r="Y249" s="54"/>
      <c r="Z249" s="55"/>
      <c r="AA249" s="56"/>
      <c r="AB249" s="96" t="s">
        <v>88</v>
      </c>
      <c r="AC249" s="1239" t="s">
        <v>43</v>
      </c>
      <c r="AD249" s="1243" t="str">
        <f t="shared" si="3"/>
        <v>a</v>
      </c>
      <c r="AE249" s="1123"/>
      <c r="AF249" s="572"/>
      <c r="AG249" s="572"/>
    </row>
    <row r="250" spans="1:33" ht="37.5" customHeight="1" x14ac:dyDescent="0.25">
      <c r="A250" s="1233">
        <v>372</v>
      </c>
      <c r="B250" s="40" t="s">
        <v>80</v>
      </c>
      <c r="C250" s="41" t="s">
        <v>81</v>
      </c>
      <c r="D250" s="82" t="s">
        <v>82</v>
      </c>
      <c r="E250" s="43" t="s">
        <v>38</v>
      </c>
      <c r="F250" s="60" t="s">
        <v>40</v>
      </c>
      <c r="G250" s="61"/>
      <c r="H250" s="61" t="s">
        <v>40</v>
      </c>
      <c r="I250" s="62">
        <v>0</v>
      </c>
      <c r="J250" s="65" t="s">
        <v>47</v>
      </c>
      <c r="K250" s="62">
        <v>0.17299999999999999</v>
      </c>
      <c r="L250" s="65" t="s">
        <v>42</v>
      </c>
      <c r="M250" s="66" t="s">
        <v>83</v>
      </c>
      <c r="N250" s="66" t="s">
        <v>84</v>
      </c>
      <c r="O250" s="66" t="s">
        <v>85</v>
      </c>
      <c r="P250" s="67" t="s">
        <v>86</v>
      </c>
      <c r="Q250" s="51" t="s">
        <v>87</v>
      </c>
      <c r="R250" s="950" t="s">
        <v>43</v>
      </c>
      <c r="S250" s="955" t="str">
        <f>VLOOKUP(A250,Strat_Plan_Revit!$A$10:$S$321,14,FALSE)</f>
        <v>-</v>
      </c>
      <c r="T250" s="33" t="str">
        <f>VLOOKUP(A250,Strat_Plan_Revit!$A$10:$S$321,15,FALSE)</f>
        <v>-</v>
      </c>
      <c r="U250" s="960"/>
      <c r="V250" s="34" t="s">
        <v>88</v>
      </c>
      <c r="W250" s="52" t="s">
        <v>43</v>
      </c>
      <c r="X250" s="53"/>
      <c r="Y250" s="54"/>
      <c r="Z250" s="55"/>
      <c r="AA250" s="56"/>
      <c r="AB250" s="96" t="s">
        <v>88</v>
      </c>
      <c r="AC250" s="1239" t="s">
        <v>43</v>
      </c>
      <c r="AD250" s="1243" t="str">
        <f t="shared" si="3"/>
        <v>a</v>
      </c>
      <c r="AE250" s="1123"/>
      <c r="AF250" s="572"/>
      <c r="AG250" s="572"/>
    </row>
    <row r="251" spans="1:33" ht="37.5" customHeight="1" x14ac:dyDescent="0.25">
      <c r="A251" s="926">
        <v>373</v>
      </c>
      <c r="B251" s="40" t="s">
        <v>410</v>
      </c>
      <c r="C251" s="41" t="s">
        <v>427</v>
      </c>
      <c r="D251" s="42" t="s">
        <v>428</v>
      </c>
      <c r="E251" s="43" t="s">
        <v>38</v>
      </c>
      <c r="F251" s="60" t="s">
        <v>40</v>
      </c>
      <c r="G251" s="61" t="s">
        <v>52</v>
      </c>
      <c r="H251" s="61" t="s">
        <v>40</v>
      </c>
      <c r="I251" s="62">
        <v>7.9773288256720407E-2</v>
      </c>
      <c r="J251" s="65" t="s">
        <v>47</v>
      </c>
      <c r="K251" s="62">
        <v>0.35635395484999999</v>
      </c>
      <c r="L251" s="63" t="s">
        <v>61</v>
      </c>
      <c r="M251" s="48"/>
      <c r="N251" s="48"/>
      <c r="O251" s="48"/>
      <c r="P251" s="50"/>
      <c r="Q251" s="51" t="s">
        <v>99</v>
      </c>
      <c r="R251" s="950" t="s">
        <v>72</v>
      </c>
      <c r="S251" s="955" t="str">
        <f>VLOOKUP(A251,Strat_Plan_Revit!$A$10:$S$321,14,FALSE)</f>
        <v>non dét.</v>
      </c>
      <c r="T251" s="33">
        <f>VLOOKUP(A251,Strat_Plan_Revit!$A$10:$S$321,15,FALSE)</f>
        <v>0</v>
      </c>
      <c r="U251" s="960"/>
      <c r="V251" s="34" t="s">
        <v>88</v>
      </c>
      <c r="W251" s="52" t="s">
        <v>72</v>
      </c>
      <c r="X251" s="53"/>
      <c r="Y251" s="54"/>
      <c r="Z251" s="55"/>
      <c r="AA251" s="56"/>
      <c r="AB251" s="96" t="s">
        <v>88</v>
      </c>
      <c r="AC251" s="1239" t="s">
        <v>72</v>
      </c>
      <c r="AD251" s="1243" t="str">
        <f t="shared" si="3"/>
        <v>b</v>
      </c>
      <c r="AE251" s="1123"/>
      <c r="AF251" s="572"/>
      <c r="AG251" s="572"/>
    </row>
    <row r="252" spans="1:33" ht="37.5" customHeight="1" x14ac:dyDescent="0.25">
      <c r="A252" s="926">
        <v>374</v>
      </c>
      <c r="B252" s="40" t="s">
        <v>410</v>
      </c>
      <c r="C252" s="41" t="s">
        <v>429</v>
      </c>
      <c r="D252" s="42" t="s">
        <v>430</v>
      </c>
      <c r="E252" s="43" t="s">
        <v>38</v>
      </c>
      <c r="F252" s="44" t="s">
        <v>73</v>
      </c>
      <c r="G252" s="45" t="s">
        <v>52</v>
      </c>
      <c r="H252" s="45" t="s">
        <v>40</v>
      </c>
      <c r="I252" s="46">
        <v>4.1431010861209601E-2</v>
      </c>
      <c r="J252" s="47" t="s">
        <v>47</v>
      </c>
      <c r="K252" s="46">
        <v>9.4745091783000002E-2</v>
      </c>
      <c r="L252" s="47" t="s">
        <v>42</v>
      </c>
      <c r="M252" s="48"/>
      <c r="N252" s="48"/>
      <c r="O252" s="48"/>
      <c r="P252" s="50"/>
      <c r="Q252" s="51" t="s">
        <v>73</v>
      </c>
      <c r="R252" s="950" t="s">
        <v>43</v>
      </c>
      <c r="S252" s="955" t="str">
        <f>VLOOKUP(A252,Strat_Plan_Revit!$A$10:$S$321,14,FALSE)</f>
        <v>non dét.</v>
      </c>
      <c r="T252" s="33">
        <f>VLOOKUP(A252,Strat_Plan_Revit!$A$10:$S$321,15,FALSE)</f>
        <v>0</v>
      </c>
      <c r="U252" s="960"/>
      <c r="V252" s="34" t="s">
        <v>73</v>
      </c>
      <c r="W252" s="52" t="s">
        <v>43</v>
      </c>
      <c r="X252" s="53"/>
      <c r="Y252" s="54"/>
      <c r="Z252" s="94" t="s">
        <v>431</v>
      </c>
      <c r="AA252" s="64" t="s">
        <v>432</v>
      </c>
      <c r="AB252" s="96" t="s">
        <v>73</v>
      </c>
      <c r="AC252" s="1239" t="s">
        <v>43</v>
      </c>
      <c r="AD252" s="1243" t="str">
        <f t="shared" si="3"/>
        <v>a</v>
      </c>
      <c r="AE252" s="1123"/>
      <c r="AF252" s="572"/>
      <c r="AG252" s="572"/>
    </row>
    <row r="253" spans="1:33" ht="37.5" customHeight="1" x14ac:dyDescent="0.25">
      <c r="A253" s="929">
        <v>375</v>
      </c>
      <c r="B253" s="40" t="s">
        <v>274</v>
      </c>
      <c r="C253" s="41" t="s">
        <v>324</v>
      </c>
      <c r="D253" s="82" t="s">
        <v>37</v>
      </c>
      <c r="E253" s="43" t="s">
        <v>38</v>
      </c>
      <c r="F253" s="44" t="s">
        <v>67</v>
      </c>
      <c r="G253" s="45"/>
      <c r="H253" s="45" t="s">
        <v>40</v>
      </c>
      <c r="I253" s="46">
        <v>0.49399999999999999</v>
      </c>
      <c r="J253" s="47" t="s">
        <v>41</v>
      </c>
      <c r="K253" s="46">
        <v>0.60799999999999998</v>
      </c>
      <c r="L253" s="47" t="s">
        <v>61</v>
      </c>
      <c r="M253" s="48"/>
      <c r="N253" s="48"/>
      <c r="O253" s="48"/>
      <c r="P253" s="50"/>
      <c r="Q253" s="51" t="s">
        <v>67</v>
      </c>
      <c r="R253" s="950" t="s">
        <v>43</v>
      </c>
      <c r="S253" s="955" t="str">
        <f>VLOOKUP(A253,Strat_Plan_Revit!$A$10:$S$321,14,FALSE)</f>
        <v>besond. Verhältnisse</v>
      </c>
      <c r="T253" s="33">
        <f>VLOOKUP(A253,Strat_Plan_Revit!$A$10:$S$321,15,FALSE)</f>
        <v>0</v>
      </c>
      <c r="U253" s="960" t="s">
        <v>67</v>
      </c>
      <c r="V253" s="73" t="s">
        <v>67</v>
      </c>
      <c r="W253" s="52" t="s">
        <v>59</v>
      </c>
      <c r="X253" s="53"/>
      <c r="Y253" s="54"/>
      <c r="Z253" s="80"/>
      <c r="AA253" s="64"/>
      <c r="AB253" s="89" t="s">
        <v>67</v>
      </c>
      <c r="AC253" s="967" t="s">
        <v>59</v>
      </c>
      <c r="AD253" s="1243" t="str">
        <f t="shared" si="3"/>
        <v>a</v>
      </c>
      <c r="AE253" s="1123"/>
      <c r="AF253" s="572"/>
      <c r="AG253" s="572"/>
    </row>
    <row r="254" spans="1:33" ht="37.5" customHeight="1" x14ac:dyDescent="0.25">
      <c r="A254" s="926">
        <v>376</v>
      </c>
      <c r="B254" s="40" t="s">
        <v>410</v>
      </c>
      <c r="C254" s="41" t="s">
        <v>433</v>
      </c>
      <c r="D254" s="42" t="s">
        <v>37</v>
      </c>
      <c r="E254" s="43" t="s">
        <v>38</v>
      </c>
      <c r="F254" s="44" t="s">
        <v>67</v>
      </c>
      <c r="G254" s="45" t="s">
        <v>52</v>
      </c>
      <c r="H254" s="45" t="s">
        <v>40</v>
      </c>
      <c r="I254" s="46">
        <v>1.4936194099092299</v>
      </c>
      <c r="J254" s="47" t="s">
        <v>41</v>
      </c>
      <c r="K254" s="46">
        <v>1.3565413445999999E-2</v>
      </c>
      <c r="L254" s="47" t="s">
        <v>42</v>
      </c>
      <c r="M254" s="48"/>
      <c r="N254" s="48"/>
      <c r="O254" s="48"/>
      <c r="P254" s="50"/>
      <c r="Q254" s="51" t="s">
        <v>67</v>
      </c>
      <c r="R254" s="950" t="s">
        <v>43</v>
      </c>
      <c r="S254" s="955" t="str">
        <f>VLOOKUP(A254,Strat_Plan_Revit!$A$10:$S$321,14,FALSE)</f>
        <v>non dét.</v>
      </c>
      <c r="T254" s="33">
        <f>VLOOKUP(A254,Strat_Plan_Revit!$A$10:$S$321,15,FALSE)</f>
        <v>0</v>
      </c>
      <c r="U254" s="960"/>
      <c r="V254" s="34" t="s">
        <v>67</v>
      </c>
      <c r="W254" s="52" t="s">
        <v>43</v>
      </c>
      <c r="X254" s="53"/>
      <c r="Y254" s="54"/>
      <c r="Z254" s="95"/>
      <c r="AA254" s="64" t="s">
        <v>434</v>
      </c>
      <c r="AB254" s="96" t="s">
        <v>67</v>
      </c>
      <c r="AC254" s="1239" t="s">
        <v>43</v>
      </c>
      <c r="AD254" s="1243" t="str">
        <f t="shared" si="3"/>
        <v>a</v>
      </c>
      <c r="AE254" s="1123"/>
      <c r="AF254" s="572"/>
      <c r="AG254" s="572"/>
    </row>
    <row r="255" spans="1:33" ht="37.5" customHeight="1" x14ac:dyDescent="0.25">
      <c r="A255" s="1233">
        <v>379</v>
      </c>
      <c r="B255" s="40" t="s">
        <v>274</v>
      </c>
      <c r="C255" s="41" t="s">
        <v>325</v>
      </c>
      <c r="D255" s="82" t="s">
        <v>326</v>
      </c>
      <c r="E255" s="43" t="s">
        <v>38</v>
      </c>
      <c r="F255" s="60" t="s">
        <v>40</v>
      </c>
      <c r="G255" s="61"/>
      <c r="H255" s="61" t="s">
        <v>40</v>
      </c>
      <c r="I255" s="62">
        <v>0.33200000000000002</v>
      </c>
      <c r="J255" s="63" t="s">
        <v>41</v>
      </c>
      <c r="K255" s="46">
        <v>0.28899999999999998</v>
      </c>
      <c r="L255" s="47" t="s">
        <v>42</v>
      </c>
      <c r="M255" s="48"/>
      <c r="N255" s="48"/>
      <c r="O255" s="48"/>
      <c r="P255" s="50"/>
      <c r="Q255" s="51" t="s">
        <v>87</v>
      </c>
      <c r="R255" s="950" t="s">
        <v>43</v>
      </c>
      <c r="S255" s="955" t="str">
        <f>VLOOKUP(A255,Strat_Plan_Revit!$A$10:$S$321,14,FALSE)</f>
        <v>-</v>
      </c>
      <c r="T255" s="33">
        <f>VLOOKUP(A255,Strat_Plan_Revit!$A$10:$S$321,15,FALSE)</f>
        <v>0</v>
      </c>
      <c r="U255" s="960"/>
      <c r="V255" s="73" t="s">
        <v>88</v>
      </c>
      <c r="W255" s="52" t="s">
        <v>43</v>
      </c>
      <c r="X255" s="53"/>
      <c r="Y255" s="54"/>
      <c r="Z255" s="80"/>
      <c r="AA255" s="64"/>
      <c r="AB255" s="89" t="s">
        <v>88</v>
      </c>
      <c r="AC255" s="967" t="s">
        <v>43</v>
      </c>
      <c r="AD255" s="1243" t="str">
        <f t="shared" si="3"/>
        <v>a</v>
      </c>
      <c r="AE255" s="1123"/>
      <c r="AF255" s="572"/>
      <c r="AG255" s="572"/>
    </row>
    <row r="256" spans="1:33" ht="37.5" customHeight="1" x14ac:dyDescent="0.25">
      <c r="A256" s="926">
        <v>380</v>
      </c>
      <c r="B256" s="40" t="s">
        <v>274</v>
      </c>
      <c r="C256" s="41" t="s">
        <v>327</v>
      </c>
      <c r="D256" s="42" t="s">
        <v>328</v>
      </c>
      <c r="E256" s="43" t="s">
        <v>38</v>
      </c>
      <c r="F256" s="44" t="s">
        <v>88</v>
      </c>
      <c r="G256" s="45" t="s">
        <v>52</v>
      </c>
      <c r="H256" s="45" t="s">
        <v>40</v>
      </c>
      <c r="I256" s="46">
        <v>0</v>
      </c>
      <c r="J256" s="47" t="s">
        <v>47</v>
      </c>
      <c r="K256" s="46">
        <v>0.31474372327</v>
      </c>
      <c r="L256" s="47" t="s">
        <v>42</v>
      </c>
      <c r="M256" s="48"/>
      <c r="N256" s="48"/>
      <c r="O256" s="48"/>
      <c r="P256" s="50"/>
      <c r="Q256" s="51" t="s">
        <v>88</v>
      </c>
      <c r="R256" s="950" t="s">
        <v>43</v>
      </c>
      <c r="S256" s="955" t="str">
        <f>VLOOKUP(A256,Strat_Plan_Revit!$A$10:$S$321,14,FALSE)</f>
        <v>-</v>
      </c>
      <c r="T256" s="33">
        <f>VLOOKUP(A256,Strat_Plan_Revit!$A$10:$S$321,15,FALSE)</f>
        <v>0</v>
      </c>
      <c r="U256" s="960"/>
      <c r="V256" s="73" t="s">
        <v>88</v>
      </c>
      <c r="W256" s="52" t="s">
        <v>43</v>
      </c>
      <c r="X256" s="53"/>
      <c r="Y256" s="54"/>
      <c r="Z256" s="80"/>
      <c r="AA256" s="64"/>
      <c r="AB256" s="89" t="s">
        <v>88</v>
      </c>
      <c r="AC256" s="967" t="s">
        <v>43</v>
      </c>
      <c r="AD256" s="1243" t="str">
        <f t="shared" si="3"/>
        <v>a</v>
      </c>
      <c r="AE256" s="1123"/>
      <c r="AF256" s="572"/>
      <c r="AG256" s="572"/>
    </row>
    <row r="257" spans="1:33" ht="37.5" customHeight="1" x14ac:dyDescent="0.25">
      <c r="A257" s="929">
        <v>381</v>
      </c>
      <c r="B257" s="40" t="s">
        <v>274</v>
      </c>
      <c r="C257" s="41" t="s">
        <v>329</v>
      </c>
      <c r="D257" s="42" t="s">
        <v>284</v>
      </c>
      <c r="E257" s="43" t="s">
        <v>38</v>
      </c>
      <c r="F257" s="44" t="s">
        <v>73</v>
      </c>
      <c r="G257" s="45"/>
      <c r="H257" s="45" t="s">
        <v>40</v>
      </c>
      <c r="I257" s="46">
        <v>0.41199999999999998</v>
      </c>
      <c r="J257" s="47" t="s">
        <v>41</v>
      </c>
      <c r="K257" s="46">
        <v>0.498</v>
      </c>
      <c r="L257" s="47" t="s">
        <v>42</v>
      </c>
      <c r="M257" s="48"/>
      <c r="N257" s="48"/>
      <c r="O257" s="48"/>
      <c r="P257" s="50"/>
      <c r="Q257" s="51" t="s">
        <v>73</v>
      </c>
      <c r="R257" s="950" t="s">
        <v>43</v>
      </c>
      <c r="S257" s="955" t="str">
        <f>VLOOKUP(A257,Strat_Plan_Revit!$A$10:$S$321,14,FALSE)</f>
        <v>vernachlässigbar</v>
      </c>
      <c r="T257" s="33">
        <f>VLOOKUP(A257,Strat_Plan_Revit!$A$10:$S$321,15,FALSE)</f>
        <v>0</v>
      </c>
      <c r="U257" s="960" t="s">
        <v>73</v>
      </c>
      <c r="V257" s="73" t="s">
        <v>73</v>
      </c>
      <c r="W257" s="52" t="s">
        <v>59</v>
      </c>
      <c r="X257" s="53"/>
      <c r="Y257" s="54"/>
      <c r="Z257" s="80"/>
      <c r="AA257" s="64"/>
      <c r="AB257" s="89" t="s">
        <v>73</v>
      </c>
      <c r="AC257" s="967" t="s">
        <v>59</v>
      </c>
      <c r="AD257" s="1243" t="str">
        <f t="shared" si="3"/>
        <v>a</v>
      </c>
      <c r="AE257" s="1123"/>
      <c r="AF257" s="572"/>
      <c r="AG257" s="572"/>
    </row>
    <row r="258" spans="1:33" ht="37.5" customHeight="1" x14ac:dyDescent="0.25">
      <c r="A258" s="929">
        <v>382</v>
      </c>
      <c r="B258" s="40" t="s">
        <v>274</v>
      </c>
      <c r="C258" s="41" t="s">
        <v>330</v>
      </c>
      <c r="D258" s="42" t="s">
        <v>331</v>
      </c>
      <c r="E258" s="43"/>
      <c r="F258" s="44" t="s">
        <v>88</v>
      </c>
      <c r="G258" s="45"/>
      <c r="H258" s="45" t="s">
        <v>40</v>
      </c>
      <c r="I258" s="46">
        <v>4.0000000000000001E-3</v>
      </c>
      <c r="J258" s="47" t="s">
        <v>47</v>
      </c>
      <c r="K258" s="46">
        <v>0.30299999999999999</v>
      </c>
      <c r="L258" s="47" t="s">
        <v>42</v>
      </c>
      <c r="M258" s="48"/>
      <c r="N258" s="48"/>
      <c r="O258" s="48"/>
      <c r="P258" s="50"/>
      <c r="Q258" s="51" t="s">
        <v>88</v>
      </c>
      <c r="R258" s="950" t="s">
        <v>43</v>
      </c>
      <c r="S258" s="955" t="str">
        <f>VLOOKUP(A258,Strat_Plan_Revit!$A$10:$S$321,14,FALSE)</f>
        <v>-</v>
      </c>
      <c r="T258" s="33">
        <f>VLOOKUP(A258,Strat_Plan_Revit!$A$10:$S$321,15,FALSE)</f>
        <v>0</v>
      </c>
      <c r="U258" s="960"/>
      <c r="V258" s="34" t="s">
        <v>88</v>
      </c>
      <c r="W258" s="52" t="s">
        <v>43</v>
      </c>
      <c r="X258" s="53"/>
      <c r="Y258" s="54"/>
      <c r="Z258" s="80"/>
      <c r="AA258" s="64"/>
      <c r="AB258" s="96" t="s">
        <v>88</v>
      </c>
      <c r="AC258" s="967" t="s">
        <v>43</v>
      </c>
      <c r="AD258" s="1243" t="str">
        <f t="shared" si="3"/>
        <v>a</v>
      </c>
      <c r="AE258" s="1123"/>
      <c r="AF258" s="572"/>
      <c r="AG258" s="572"/>
    </row>
    <row r="259" spans="1:33" ht="37.5" customHeight="1" x14ac:dyDescent="0.25">
      <c r="A259" s="929">
        <v>383</v>
      </c>
      <c r="B259" s="40" t="s">
        <v>274</v>
      </c>
      <c r="C259" s="41" t="s">
        <v>332</v>
      </c>
      <c r="D259" s="42" t="s">
        <v>331</v>
      </c>
      <c r="E259" s="43" t="s">
        <v>38</v>
      </c>
      <c r="F259" s="44" t="s">
        <v>88</v>
      </c>
      <c r="G259" s="45"/>
      <c r="H259" s="45" t="s">
        <v>40</v>
      </c>
      <c r="I259" s="46">
        <v>0</v>
      </c>
      <c r="J259" s="47" t="s">
        <v>47</v>
      </c>
      <c r="K259" s="46">
        <v>0.30199999999999999</v>
      </c>
      <c r="L259" s="47" t="s">
        <v>42</v>
      </c>
      <c r="M259" s="48"/>
      <c r="N259" s="48"/>
      <c r="O259" s="48"/>
      <c r="P259" s="50"/>
      <c r="Q259" s="51" t="s">
        <v>88</v>
      </c>
      <c r="R259" s="950" t="s">
        <v>43</v>
      </c>
      <c r="S259" s="955" t="str">
        <f>VLOOKUP(A259,Strat_Plan_Revit!$A$10:$S$321,14,FALSE)</f>
        <v>keine</v>
      </c>
      <c r="T259" s="33">
        <f>VLOOKUP(A259,Strat_Plan_Revit!$A$10:$S$321,15,FALSE)</f>
        <v>0</v>
      </c>
      <c r="U259" s="960" t="s">
        <v>88</v>
      </c>
      <c r="V259" s="34" t="s">
        <v>88</v>
      </c>
      <c r="W259" s="52" t="s">
        <v>59</v>
      </c>
      <c r="X259" s="53"/>
      <c r="Y259" s="54"/>
      <c r="Z259" s="80"/>
      <c r="AA259" s="64"/>
      <c r="AB259" s="96" t="s">
        <v>88</v>
      </c>
      <c r="AC259" s="967" t="s">
        <v>59</v>
      </c>
      <c r="AD259" s="1243" t="str">
        <f t="shared" si="3"/>
        <v>a</v>
      </c>
      <c r="AE259" s="1123"/>
      <c r="AF259" s="572"/>
      <c r="AG259" s="572"/>
    </row>
    <row r="260" spans="1:33" ht="37.5" customHeight="1" x14ac:dyDescent="0.25">
      <c r="A260" s="929">
        <v>384</v>
      </c>
      <c r="B260" s="40" t="s">
        <v>274</v>
      </c>
      <c r="C260" s="41" t="s">
        <v>333</v>
      </c>
      <c r="D260" s="42" t="s">
        <v>331</v>
      </c>
      <c r="E260" s="43" t="s">
        <v>38</v>
      </c>
      <c r="F260" s="44" t="s">
        <v>88</v>
      </c>
      <c r="G260" s="45"/>
      <c r="H260" s="45" t="s">
        <v>40</v>
      </c>
      <c r="I260" s="46"/>
      <c r="J260" s="47" t="s">
        <v>52</v>
      </c>
      <c r="K260" s="46"/>
      <c r="L260" s="47" t="s">
        <v>52</v>
      </c>
      <c r="M260" s="48"/>
      <c r="N260" s="48"/>
      <c r="O260" s="48"/>
      <c r="P260" s="50"/>
      <c r="Q260" s="51" t="s">
        <v>88</v>
      </c>
      <c r="R260" s="950" t="s">
        <v>43</v>
      </c>
      <c r="S260" s="955" t="str">
        <f>VLOOKUP(A260,Strat_Plan_Revit!$A$10:$S$321,14,FALSE)</f>
        <v>keine</v>
      </c>
      <c r="T260" s="33">
        <f>VLOOKUP(A260,Strat_Plan_Revit!$A$10:$S$321,15,FALSE)</f>
        <v>0</v>
      </c>
      <c r="U260" s="960" t="s">
        <v>88</v>
      </c>
      <c r="V260" s="34" t="s">
        <v>88</v>
      </c>
      <c r="W260" s="52" t="s">
        <v>59</v>
      </c>
      <c r="X260" s="53"/>
      <c r="Y260" s="54"/>
      <c r="Z260" s="80"/>
      <c r="AA260" s="64"/>
      <c r="AB260" s="96" t="s">
        <v>88</v>
      </c>
      <c r="AC260" s="967" t="s">
        <v>59</v>
      </c>
      <c r="AD260" s="1243" t="str">
        <f t="shared" si="3"/>
        <v>a</v>
      </c>
      <c r="AE260" s="1123"/>
      <c r="AF260" s="572"/>
      <c r="AG260" s="572"/>
    </row>
    <row r="261" spans="1:33" ht="37.5" customHeight="1" x14ac:dyDescent="0.25">
      <c r="A261" s="1233">
        <v>385</v>
      </c>
      <c r="B261" s="40" t="s">
        <v>274</v>
      </c>
      <c r="C261" s="41" t="s">
        <v>334</v>
      </c>
      <c r="D261" s="42" t="s">
        <v>335</v>
      </c>
      <c r="E261" s="43" t="s">
        <v>38</v>
      </c>
      <c r="F261" s="44" t="s">
        <v>88</v>
      </c>
      <c r="G261" s="45"/>
      <c r="H261" s="45" t="s">
        <v>40</v>
      </c>
      <c r="I261" s="46">
        <v>0.16200000000000001</v>
      </c>
      <c r="J261" s="47" t="s">
        <v>47</v>
      </c>
      <c r="K261" s="46">
        <v>0.21099999999999999</v>
      </c>
      <c r="L261" s="47" t="s">
        <v>42</v>
      </c>
      <c r="M261" s="48"/>
      <c r="N261" s="48"/>
      <c r="O261" s="48"/>
      <c r="P261" s="50"/>
      <c r="Q261" s="51" t="s">
        <v>88</v>
      </c>
      <c r="R261" s="950" t="s">
        <v>43</v>
      </c>
      <c r="S261" s="955" t="str">
        <f>VLOOKUP(A261,Strat_Plan_Revit!$A$10:$S$321,14,FALSE)</f>
        <v>keine</v>
      </c>
      <c r="T261" s="33">
        <f>VLOOKUP(A261,Strat_Plan_Revit!$A$10:$S$321,15,FALSE)</f>
        <v>0</v>
      </c>
      <c r="U261" s="960" t="s">
        <v>88</v>
      </c>
      <c r="V261" s="34" t="s">
        <v>88</v>
      </c>
      <c r="W261" s="52" t="s">
        <v>59</v>
      </c>
      <c r="X261" s="53"/>
      <c r="Y261" s="54"/>
      <c r="Z261" s="80"/>
      <c r="AA261" s="64"/>
      <c r="AB261" s="96" t="s">
        <v>88</v>
      </c>
      <c r="AC261" s="967" t="s">
        <v>59</v>
      </c>
      <c r="AD261" s="1243" t="str">
        <f t="shared" ref="AD261:AD275" si="4">IF(AC261="a",AC261,IF(AC261="b",AC261,IF(AC261="c","a",IF(AC261="d","a",IF(AC261="e","b")))))</f>
        <v>a</v>
      </c>
      <c r="AE261" s="1123"/>
      <c r="AF261" s="572"/>
      <c r="AG261" s="572"/>
    </row>
    <row r="262" spans="1:33" ht="37.5" customHeight="1" x14ac:dyDescent="0.25">
      <c r="A262" s="932">
        <v>386</v>
      </c>
      <c r="B262" s="40" t="s">
        <v>274</v>
      </c>
      <c r="C262" s="41" t="s">
        <v>336</v>
      </c>
      <c r="D262" s="42" t="s">
        <v>337</v>
      </c>
      <c r="E262" s="43" t="s">
        <v>38</v>
      </c>
      <c r="F262" s="44" t="s">
        <v>88</v>
      </c>
      <c r="G262" s="45"/>
      <c r="H262" s="45" t="s">
        <v>40</v>
      </c>
      <c r="I262" s="46">
        <v>0.122</v>
      </c>
      <c r="J262" s="47" t="s">
        <v>47</v>
      </c>
      <c r="K262" s="46">
        <v>0.108</v>
      </c>
      <c r="L262" s="47" t="s">
        <v>42</v>
      </c>
      <c r="M262" s="48"/>
      <c r="N262" s="48"/>
      <c r="O262" s="48"/>
      <c r="P262" s="50"/>
      <c r="Q262" s="51" t="s">
        <v>88</v>
      </c>
      <c r="R262" s="950" t="s">
        <v>43</v>
      </c>
      <c r="S262" s="955" t="e">
        <f>VLOOKUP(A262,Strat_Plan_Revit!$A$10:$S$321,14,FALSE)</f>
        <v>#N/A</v>
      </c>
      <c r="T262" s="33" t="e">
        <f>VLOOKUP(A262,Strat_Plan_Revit!$A$10:$S$321,15,FALSE)</f>
        <v>#N/A</v>
      </c>
      <c r="U262" s="960"/>
      <c r="V262" s="34" t="s">
        <v>88</v>
      </c>
      <c r="W262" s="52" t="s">
        <v>43</v>
      </c>
      <c r="X262" s="53"/>
      <c r="Y262" s="54"/>
      <c r="Z262" s="80"/>
      <c r="AA262" s="64"/>
      <c r="AB262" s="96" t="s">
        <v>88</v>
      </c>
      <c r="AC262" s="967" t="s">
        <v>43</v>
      </c>
      <c r="AD262" s="1243" t="str">
        <f t="shared" si="4"/>
        <v>a</v>
      </c>
      <c r="AE262" s="1123"/>
      <c r="AF262" s="572"/>
      <c r="AG262" s="572"/>
    </row>
    <row r="263" spans="1:33" ht="37.5" customHeight="1" x14ac:dyDescent="0.25">
      <c r="A263" s="1233">
        <v>387</v>
      </c>
      <c r="B263" s="40" t="s">
        <v>274</v>
      </c>
      <c r="C263" s="41" t="s">
        <v>338</v>
      </c>
      <c r="D263" s="42" t="s">
        <v>337</v>
      </c>
      <c r="E263" s="43" t="s">
        <v>38</v>
      </c>
      <c r="F263" s="44" t="s">
        <v>88</v>
      </c>
      <c r="G263" s="45"/>
      <c r="H263" s="45" t="s">
        <v>40</v>
      </c>
      <c r="I263" s="46">
        <v>4.5999999999999999E-2</v>
      </c>
      <c r="J263" s="47" t="s">
        <v>47</v>
      </c>
      <c r="K263" s="46">
        <v>0.23200000000000001</v>
      </c>
      <c r="L263" s="47" t="s">
        <v>42</v>
      </c>
      <c r="M263" s="48"/>
      <c r="N263" s="48"/>
      <c r="O263" s="48"/>
      <c r="P263" s="50"/>
      <c r="Q263" s="51" t="s">
        <v>88</v>
      </c>
      <c r="R263" s="950" t="s">
        <v>43</v>
      </c>
      <c r="S263" s="955" t="str">
        <f>VLOOKUP(A263,Strat_Plan_Revit!$A$10:$S$321,14,FALSE)</f>
        <v>keine</v>
      </c>
      <c r="T263" s="33">
        <f>VLOOKUP(A263,Strat_Plan_Revit!$A$10:$S$321,15,FALSE)</f>
        <v>0</v>
      </c>
      <c r="U263" s="960" t="s">
        <v>88</v>
      </c>
      <c r="V263" s="34" t="s">
        <v>88</v>
      </c>
      <c r="W263" s="52" t="s">
        <v>59</v>
      </c>
      <c r="X263" s="53"/>
      <c r="Y263" s="54"/>
      <c r="Z263" s="80"/>
      <c r="AA263" s="64"/>
      <c r="AB263" s="96" t="s">
        <v>88</v>
      </c>
      <c r="AC263" s="967" t="s">
        <v>59</v>
      </c>
      <c r="AD263" s="1243" t="str">
        <f t="shared" si="4"/>
        <v>a</v>
      </c>
      <c r="AE263" s="1123"/>
      <c r="AF263" s="572"/>
      <c r="AG263" s="572"/>
    </row>
    <row r="264" spans="1:33" ht="37.5" customHeight="1" x14ac:dyDescent="0.25">
      <c r="A264" s="929">
        <v>388</v>
      </c>
      <c r="B264" s="40" t="s">
        <v>274</v>
      </c>
      <c r="C264" s="41" t="s">
        <v>339</v>
      </c>
      <c r="D264" s="42" t="s">
        <v>340</v>
      </c>
      <c r="E264" s="43" t="s">
        <v>38</v>
      </c>
      <c r="F264" s="44" t="s">
        <v>88</v>
      </c>
      <c r="G264" s="45"/>
      <c r="H264" s="45" t="s">
        <v>40</v>
      </c>
      <c r="I264" s="46">
        <v>0</v>
      </c>
      <c r="J264" s="47" t="s">
        <v>47</v>
      </c>
      <c r="K264" s="46">
        <v>0.23799999999999999</v>
      </c>
      <c r="L264" s="47" t="s">
        <v>42</v>
      </c>
      <c r="M264" s="48"/>
      <c r="N264" s="48"/>
      <c r="O264" s="48"/>
      <c r="P264" s="50"/>
      <c r="Q264" s="51" t="s">
        <v>88</v>
      </c>
      <c r="R264" s="950" t="s">
        <v>43</v>
      </c>
      <c r="S264" s="955" t="str">
        <f>VLOOKUP(A264,Strat_Plan_Revit!$A$10:$S$321,14,FALSE)</f>
        <v>keine</v>
      </c>
      <c r="T264" s="33">
        <f>VLOOKUP(A264,Strat_Plan_Revit!$A$10:$S$321,15,FALSE)</f>
        <v>0</v>
      </c>
      <c r="U264" s="960" t="s">
        <v>88</v>
      </c>
      <c r="V264" s="34" t="s">
        <v>88</v>
      </c>
      <c r="W264" s="52" t="s">
        <v>59</v>
      </c>
      <c r="X264" s="53"/>
      <c r="Y264" s="54"/>
      <c r="Z264" s="80"/>
      <c r="AA264" s="64"/>
      <c r="AB264" s="96" t="s">
        <v>88</v>
      </c>
      <c r="AC264" s="967" t="s">
        <v>59</v>
      </c>
      <c r="AD264" s="1243" t="str">
        <f t="shared" si="4"/>
        <v>a</v>
      </c>
      <c r="AE264" s="1123"/>
      <c r="AF264" s="572"/>
      <c r="AG264" s="572"/>
    </row>
    <row r="265" spans="1:33" ht="37.5" customHeight="1" x14ac:dyDescent="0.25">
      <c r="A265" s="1233">
        <v>389</v>
      </c>
      <c r="B265" s="40" t="s">
        <v>274</v>
      </c>
      <c r="C265" s="41" t="s">
        <v>341</v>
      </c>
      <c r="D265" s="42" t="s">
        <v>342</v>
      </c>
      <c r="E265" s="43" t="s">
        <v>38</v>
      </c>
      <c r="F265" s="44" t="s">
        <v>88</v>
      </c>
      <c r="G265" s="45"/>
      <c r="H265" s="45" t="s">
        <v>40</v>
      </c>
      <c r="I265" s="46">
        <v>0.128</v>
      </c>
      <c r="J265" s="47" t="s">
        <v>47</v>
      </c>
      <c r="K265" s="46">
        <v>0.33700000000000002</v>
      </c>
      <c r="L265" s="47" t="s">
        <v>42</v>
      </c>
      <c r="M265" s="48"/>
      <c r="N265" s="48"/>
      <c r="O265" s="48"/>
      <c r="P265" s="50"/>
      <c r="Q265" s="51" t="s">
        <v>88</v>
      </c>
      <c r="R265" s="950" t="s">
        <v>43</v>
      </c>
      <c r="S265" s="955" t="str">
        <f>VLOOKUP(A265,Strat_Plan_Revit!$A$10:$S$321,14,FALSE)</f>
        <v>vernachlässigbar</v>
      </c>
      <c r="T265" s="33">
        <f>VLOOKUP(A265,Strat_Plan_Revit!$A$10:$S$321,15,FALSE)</f>
        <v>0</v>
      </c>
      <c r="U265" s="960" t="s">
        <v>73</v>
      </c>
      <c r="V265" s="73" t="s">
        <v>73</v>
      </c>
      <c r="W265" s="52" t="s">
        <v>110</v>
      </c>
      <c r="X265" s="53"/>
      <c r="Y265" s="54"/>
      <c r="Z265" s="80"/>
      <c r="AA265" s="64"/>
      <c r="AB265" s="89" t="s">
        <v>73</v>
      </c>
      <c r="AC265" s="967" t="s">
        <v>110</v>
      </c>
      <c r="AD265" s="1243" t="str">
        <f t="shared" si="4"/>
        <v>a</v>
      </c>
      <c r="AE265" s="1123"/>
      <c r="AF265" s="572"/>
      <c r="AG265" s="572"/>
    </row>
    <row r="266" spans="1:33" ht="37.5" customHeight="1" x14ac:dyDescent="0.25">
      <c r="A266" s="1233">
        <v>390</v>
      </c>
      <c r="B266" s="40" t="s">
        <v>274</v>
      </c>
      <c r="C266" s="41" t="s">
        <v>343</v>
      </c>
      <c r="D266" s="42" t="s">
        <v>344</v>
      </c>
      <c r="E266" s="43" t="s">
        <v>38</v>
      </c>
      <c r="F266" s="60" t="s">
        <v>40</v>
      </c>
      <c r="G266" s="61"/>
      <c r="H266" s="61" t="s">
        <v>40</v>
      </c>
      <c r="I266" s="62">
        <v>0.23200000000000001</v>
      </c>
      <c r="J266" s="65" t="s">
        <v>47</v>
      </c>
      <c r="K266" s="62">
        <v>0.41499999999999998</v>
      </c>
      <c r="L266" s="63" t="s">
        <v>61</v>
      </c>
      <c r="M266" s="48"/>
      <c r="N266" s="48"/>
      <c r="O266" s="48"/>
      <c r="P266" s="50"/>
      <c r="Q266" s="51" t="s">
        <v>99</v>
      </c>
      <c r="R266" s="950" t="s">
        <v>72</v>
      </c>
      <c r="S266" s="955" t="str">
        <f>VLOOKUP(A266,Strat_Plan_Revit!$A$10:$S$321,14,FALSE)</f>
        <v>-</v>
      </c>
      <c r="T266" s="33">
        <f>VLOOKUP(A266,Strat_Plan_Revit!$A$10:$S$321,15,FALSE)</f>
        <v>0</v>
      </c>
      <c r="U266" s="960"/>
      <c r="V266" s="34" t="s">
        <v>88</v>
      </c>
      <c r="W266" s="52" t="s">
        <v>72</v>
      </c>
      <c r="X266" s="53"/>
      <c r="Y266" s="54"/>
      <c r="Z266" s="80"/>
      <c r="AA266" s="64"/>
      <c r="AB266" s="96" t="s">
        <v>88</v>
      </c>
      <c r="AC266" s="967" t="s">
        <v>72</v>
      </c>
      <c r="AD266" s="1243" t="str">
        <f t="shared" si="4"/>
        <v>b</v>
      </c>
      <c r="AE266" s="1123"/>
      <c r="AF266" s="572"/>
      <c r="AG266" s="572"/>
    </row>
    <row r="267" spans="1:33" ht="37.5" customHeight="1" x14ac:dyDescent="0.25">
      <c r="A267" s="1233">
        <v>391</v>
      </c>
      <c r="B267" s="40" t="s">
        <v>274</v>
      </c>
      <c r="C267" s="41" t="s">
        <v>345</v>
      </c>
      <c r="D267" s="42" t="s">
        <v>346</v>
      </c>
      <c r="E267" s="43" t="s">
        <v>38</v>
      </c>
      <c r="F267" s="60" t="s">
        <v>40</v>
      </c>
      <c r="G267" s="61"/>
      <c r="H267" s="61" t="s">
        <v>40</v>
      </c>
      <c r="I267" s="62">
        <v>0.26400000000000001</v>
      </c>
      <c r="J267" s="63" t="s">
        <v>41</v>
      </c>
      <c r="K267" s="46">
        <v>0.379</v>
      </c>
      <c r="L267" s="47" t="s">
        <v>42</v>
      </c>
      <c r="M267" s="48"/>
      <c r="N267" s="48"/>
      <c r="O267" s="48"/>
      <c r="P267" s="50"/>
      <c r="Q267" s="51" t="s">
        <v>71</v>
      </c>
      <c r="R267" s="950" t="s">
        <v>72</v>
      </c>
      <c r="S267" s="955" t="str">
        <f>VLOOKUP(A267,Strat_Plan_Revit!$A$10:$S$321,14,FALSE)</f>
        <v>vernachlässigbar</v>
      </c>
      <c r="T267" s="33">
        <f>VLOOKUP(A267,Strat_Plan_Revit!$A$10:$S$321,15,FALSE)</f>
        <v>0</v>
      </c>
      <c r="U267" s="960" t="s">
        <v>73</v>
      </c>
      <c r="V267" s="34" t="s">
        <v>73</v>
      </c>
      <c r="W267" s="52" t="s">
        <v>59</v>
      </c>
      <c r="X267" s="53"/>
      <c r="Y267" s="54"/>
      <c r="Z267" s="80"/>
      <c r="AA267" s="64"/>
      <c r="AB267" s="96" t="s">
        <v>73</v>
      </c>
      <c r="AC267" s="967" t="s">
        <v>59</v>
      </c>
      <c r="AD267" s="1243" t="str">
        <f t="shared" si="4"/>
        <v>a</v>
      </c>
      <c r="AE267" s="1123"/>
      <c r="AF267" s="572"/>
      <c r="AG267" s="572"/>
    </row>
    <row r="268" spans="1:33" ht="37.5" customHeight="1" x14ac:dyDescent="0.25">
      <c r="A268" s="1233">
        <v>392</v>
      </c>
      <c r="B268" s="40" t="s">
        <v>274</v>
      </c>
      <c r="C268" s="41" t="s">
        <v>347</v>
      </c>
      <c r="D268" s="42" t="s">
        <v>348</v>
      </c>
      <c r="E268" s="43" t="s">
        <v>38</v>
      </c>
      <c r="F268" s="44" t="s">
        <v>88</v>
      </c>
      <c r="G268" s="45"/>
      <c r="H268" s="45" t="s">
        <v>40</v>
      </c>
      <c r="I268" s="46">
        <v>0.33200000000000002</v>
      </c>
      <c r="J268" s="47" t="s">
        <v>41</v>
      </c>
      <c r="K268" s="46">
        <v>0.45400000000000001</v>
      </c>
      <c r="L268" s="47" t="s">
        <v>42</v>
      </c>
      <c r="M268" s="48"/>
      <c r="N268" s="48"/>
      <c r="O268" s="48"/>
      <c r="P268" s="50"/>
      <c r="Q268" s="51" t="s">
        <v>88</v>
      </c>
      <c r="R268" s="950" t="s">
        <v>43</v>
      </c>
      <c r="S268" s="955" t="str">
        <f>VLOOKUP(A268,Strat_Plan_Revit!$A$10:$S$321,14,FALSE)</f>
        <v>vernachlässigbar</v>
      </c>
      <c r="T268" s="33">
        <f>VLOOKUP(A268,Strat_Plan_Revit!$A$10:$S$321,15,FALSE)</f>
        <v>0</v>
      </c>
      <c r="U268" s="960" t="s">
        <v>73</v>
      </c>
      <c r="V268" s="34" t="s">
        <v>73</v>
      </c>
      <c r="W268" s="52" t="s">
        <v>59</v>
      </c>
      <c r="X268" s="53"/>
      <c r="Y268" s="54"/>
      <c r="Z268" s="80"/>
      <c r="AA268" s="64"/>
      <c r="AB268" s="96" t="s">
        <v>73</v>
      </c>
      <c r="AC268" s="967" t="s">
        <v>59</v>
      </c>
      <c r="AD268" s="1243" t="str">
        <f t="shared" si="4"/>
        <v>a</v>
      </c>
      <c r="AE268" s="1123"/>
      <c r="AF268" s="572"/>
      <c r="AG268" s="572"/>
    </row>
    <row r="269" spans="1:33" ht="37.5" customHeight="1" x14ac:dyDescent="0.25">
      <c r="A269" s="926">
        <v>393</v>
      </c>
      <c r="B269" s="40" t="s">
        <v>274</v>
      </c>
      <c r="C269" s="41" t="s">
        <v>349</v>
      </c>
      <c r="D269" s="42" t="s">
        <v>350</v>
      </c>
      <c r="E269" s="43" t="s">
        <v>38</v>
      </c>
      <c r="F269" s="60" t="s">
        <v>40</v>
      </c>
      <c r="G269" s="61" t="s">
        <v>52</v>
      </c>
      <c r="H269" s="61" t="s">
        <v>40</v>
      </c>
      <c r="I269" s="62">
        <v>8.5148988930501698E-2</v>
      </c>
      <c r="J269" s="65" t="s">
        <v>47</v>
      </c>
      <c r="K269" s="62">
        <v>0.58667955721999998</v>
      </c>
      <c r="L269" s="63" t="s">
        <v>61</v>
      </c>
      <c r="M269" s="48"/>
      <c r="N269" s="48"/>
      <c r="O269" s="48"/>
      <c r="P269" s="50"/>
      <c r="Q269" s="51" t="s">
        <v>99</v>
      </c>
      <c r="R269" s="950" t="s">
        <v>72</v>
      </c>
      <c r="S269" s="955" t="str">
        <f>VLOOKUP(A269,Strat_Plan_Revit!$A$10:$S$321,14,FALSE)</f>
        <v>-</v>
      </c>
      <c r="T269" s="33">
        <f>VLOOKUP(A269,Strat_Plan_Revit!$A$10:$S$321,15,FALSE)</f>
        <v>0</v>
      </c>
      <c r="U269" s="960"/>
      <c r="V269" s="34" t="s">
        <v>88</v>
      </c>
      <c r="W269" s="52" t="s">
        <v>72</v>
      </c>
      <c r="X269" s="53"/>
      <c r="Y269" s="54"/>
      <c r="Z269" s="80"/>
      <c r="AA269" s="64"/>
      <c r="AB269" s="96" t="s">
        <v>88</v>
      </c>
      <c r="AC269" s="967" t="s">
        <v>72</v>
      </c>
      <c r="AD269" s="1243" t="str">
        <f t="shared" si="4"/>
        <v>b</v>
      </c>
      <c r="AE269" s="1123"/>
      <c r="AF269" s="572"/>
      <c r="AG269" s="572"/>
    </row>
    <row r="270" spans="1:33" ht="37.5" customHeight="1" x14ac:dyDescent="0.25">
      <c r="A270" s="926">
        <v>394</v>
      </c>
      <c r="B270" s="40" t="s">
        <v>274</v>
      </c>
      <c r="C270" s="41" t="s">
        <v>351</v>
      </c>
      <c r="D270" s="42" t="s">
        <v>351</v>
      </c>
      <c r="E270" s="43" t="s">
        <v>38</v>
      </c>
      <c r="F270" s="60" t="s">
        <v>40</v>
      </c>
      <c r="G270" s="61" t="s">
        <v>52</v>
      </c>
      <c r="H270" s="61" t="s">
        <v>40</v>
      </c>
      <c r="I270" s="62">
        <v>0.50860755863705398</v>
      </c>
      <c r="J270" s="63" t="s">
        <v>41</v>
      </c>
      <c r="K270" s="46">
        <v>0.23168275940999999</v>
      </c>
      <c r="L270" s="47" t="s">
        <v>42</v>
      </c>
      <c r="M270" s="48"/>
      <c r="N270" s="48"/>
      <c r="O270" s="48"/>
      <c r="P270" s="50"/>
      <c r="Q270" s="51" t="s">
        <v>71</v>
      </c>
      <c r="R270" s="950" t="s">
        <v>72</v>
      </c>
      <c r="S270" s="955" t="str">
        <f>VLOOKUP(A270,Strat_Plan_Revit!$A$10:$S$321,14,FALSE)</f>
        <v>-</v>
      </c>
      <c r="T270" s="33">
        <f>VLOOKUP(A270,Strat_Plan_Revit!$A$10:$S$321,15,FALSE)</f>
        <v>0</v>
      </c>
      <c r="U270" s="960"/>
      <c r="V270" s="34" t="s">
        <v>73</v>
      </c>
      <c r="W270" s="52" t="s">
        <v>72</v>
      </c>
      <c r="X270" s="53"/>
      <c r="Y270" s="54"/>
      <c r="Z270" s="80"/>
      <c r="AA270" s="64"/>
      <c r="AB270" s="96" t="s">
        <v>73</v>
      </c>
      <c r="AC270" s="967" t="s">
        <v>72</v>
      </c>
      <c r="AD270" s="1243" t="str">
        <f t="shared" si="4"/>
        <v>b</v>
      </c>
      <c r="AE270" s="1123"/>
      <c r="AF270" s="572"/>
      <c r="AG270" s="572"/>
    </row>
    <row r="271" spans="1:33" ht="37.5" customHeight="1" x14ac:dyDescent="0.25">
      <c r="A271" s="1233">
        <v>395</v>
      </c>
      <c r="B271" s="40" t="s">
        <v>274</v>
      </c>
      <c r="C271" s="41" t="s">
        <v>352</v>
      </c>
      <c r="D271" s="42" t="s">
        <v>353</v>
      </c>
      <c r="E271" s="43" t="s">
        <v>38</v>
      </c>
      <c r="F271" s="60" t="s">
        <v>40</v>
      </c>
      <c r="G271" s="61"/>
      <c r="H271" s="61" t="s">
        <v>40</v>
      </c>
      <c r="I271" s="62">
        <v>0.152</v>
      </c>
      <c r="J271" s="65" t="s">
        <v>47</v>
      </c>
      <c r="K271" s="62">
        <v>0.16</v>
      </c>
      <c r="L271" s="65" t="s">
        <v>42</v>
      </c>
      <c r="M271" s="66"/>
      <c r="N271" s="66" t="s">
        <v>84</v>
      </c>
      <c r="O271" s="66" t="s">
        <v>85</v>
      </c>
      <c r="P271" s="67" t="s">
        <v>86</v>
      </c>
      <c r="Q271" s="51" t="s">
        <v>87</v>
      </c>
      <c r="R271" s="950" t="s">
        <v>72</v>
      </c>
      <c r="S271" s="955" t="str">
        <f>VLOOKUP(A271,Strat_Plan_Revit!$A$10:$S$321,14,FALSE)</f>
        <v>-</v>
      </c>
      <c r="T271" s="33">
        <f>VLOOKUP(A271,Strat_Plan_Revit!$A$10:$S$321,15,FALSE)</f>
        <v>0</v>
      </c>
      <c r="U271" s="960"/>
      <c r="V271" s="34" t="s">
        <v>88</v>
      </c>
      <c r="W271" s="52" t="s">
        <v>72</v>
      </c>
      <c r="X271" s="53"/>
      <c r="Y271" s="54"/>
      <c r="Z271" s="80"/>
      <c r="AA271" s="98"/>
      <c r="AB271" s="96" t="s">
        <v>88</v>
      </c>
      <c r="AC271" s="967" t="s">
        <v>72</v>
      </c>
      <c r="AD271" s="1243" t="str">
        <f t="shared" si="4"/>
        <v>b</v>
      </c>
      <c r="AE271" s="1123"/>
      <c r="AF271" s="572"/>
      <c r="AG271" s="572"/>
    </row>
    <row r="272" spans="1:33" ht="37.5" customHeight="1" x14ac:dyDescent="0.25">
      <c r="A272" s="1234">
        <v>396</v>
      </c>
      <c r="B272" s="40" t="s">
        <v>274</v>
      </c>
      <c r="C272" s="105" t="s">
        <v>354</v>
      </c>
      <c r="D272" s="42" t="s">
        <v>354</v>
      </c>
      <c r="E272" s="43" t="s">
        <v>38</v>
      </c>
      <c r="F272" s="60" t="s">
        <v>40</v>
      </c>
      <c r="G272" s="61" t="s">
        <v>52</v>
      </c>
      <c r="H272" s="61" t="s">
        <v>40</v>
      </c>
      <c r="I272" s="62">
        <v>4.40780440979123E-2</v>
      </c>
      <c r="J272" s="65" t="s">
        <v>47</v>
      </c>
      <c r="K272" s="62">
        <v>0.11628743766000001</v>
      </c>
      <c r="L272" s="65" t="s">
        <v>42</v>
      </c>
      <c r="M272" s="66" t="s">
        <v>355</v>
      </c>
      <c r="N272" s="68" t="s">
        <v>86</v>
      </c>
      <c r="O272" s="49"/>
      <c r="P272" s="69"/>
      <c r="Q272" s="51" t="s">
        <v>87</v>
      </c>
      <c r="R272" s="950" t="s">
        <v>72</v>
      </c>
      <c r="S272" s="955" t="str">
        <f>VLOOKUP(A272,Strat_Plan_Revit!$A$10:$S$321,14,FALSE)</f>
        <v>-</v>
      </c>
      <c r="T272" s="33">
        <f>VLOOKUP(A272,Strat_Plan_Revit!$A$10:$S$321,15,FALSE)</f>
        <v>0</v>
      </c>
      <c r="U272" s="960"/>
      <c r="V272" s="34" t="s">
        <v>88</v>
      </c>
      <c r="W272" s="52" t="s">
        <v>72</v>
      </c>
      <c r="X272" s="53"/>
      <c r="Y272" s="54"/>
      <c r="Z272" s="80"/>
      <c r="AA272" s="64"/>
      <c r="AB272" s="96" t="s">
        <v>88</v>
      </c>
      <c r="AC272" s="967" t="s">
        <v>72</v>
      </c>
      <c r="AD272" s="1243" t="str">
        <f t="shared" si="4"/>
        <v>b</v>
      </c>
      <c r="AE272" s="1123"/>
      <c r="AF272" s="572"/>
      <c r="AG272" s="572"/>
    </row>
    <row r="273" spans="1:33" ht="37.5" customHeight="1" x14ac:dyDescent="0.25">
      <c r="A273" s="1235">
        <v>397</v>
      </c>
      <c r="B273" s="40" t="s">
        <v>274</v>
      </c>
      <c r="C273" s="105" t="s">
        <v>356</v>
      </c>
      <c r="D273" s="42" t="s">
        <v>357</v>
      </c>
      <c r="E273" s="43" t="s">
        <v>38</v>
      </c>
      <c r="F273" s="60" t="s">
        <v>40</v>
      </c>
      <c r="G273" s="61"/>
      <c r="H273" s="61" t="s">
        <v>40</v>
      </c>
      <c r="I273" s="62">
        <v>0.28499999999999998</v>
      </c>
      <c r="J273" s="63" t="s">
        <v>41</v>
      </c>
      <c r="K273" s="46">
        <v>0.16900000000000001</v>
      </c>
      <c r="L273" s="47" t="s">
        <v>42</v>
      </c>
      <c r="M273" s="48"/>
      <c r="N273" s="48"/>
      <c r="O273" s="48"/>
      <c r="P273" s="50"/>
      <c r="Q273" s="51" t="s">
        <v>87</v>
      </c>
      <c r="R273" s="950" t="s">
        <v>72</v>
      </c>
      <c r="S273" s="955" t="str">
        <f>VLOOKUP(A273,Strat_Plan_Revit!$A$10:$S$321,14,FALSE)</f>
        <v>-</v>
      </c>
      <c r="T273" s="33">
        <f>VLOOKUP(A273,Strat_Plan_Revit!$A$10:$S$321,15,FALSE)</f>
        <v>0</v>
      </c>
      <c r="U273" s="960"/>
      <c r="V273" s="34" t="s">
        <v>88</v>
      </c>
      <c r="W273" s="52" t="s">
        <v>72</v>
      </c>
      <c r="X273" s="53"/>
      <c r="Y273" s="54"/>
      <c r="Z273" s="80"/>
      <c r="AA273" s="64"/>
      <c r="AB273" s="96" t="s">
        <v>88</v>
      </c>
      <c r="AC273" s="967" t="s">
        <v>72</v>
      </c>
      <c r="AD273" s="1243" t="str">
        <f t="shared" si="4"/>
        <v>b</v>
      </c>
      <c r="AE273" s="1123"/>
      <c r="AF273" s="572"/>
      <c r="AG273" s="572"/>
    </row>
    <row r="274" spans="1:33" ht="37.5" customHeight="1" x14ac:dyDescent="0.25">
      <c r="A274" s="934">
        <v>398</v>
      </c>
      <c r="B274" s="40" t="s">
        <v>482</v>
      </c>
      <c r="C274" s="41" t="s">
        <v>550</v>
      </c>
      <c r="D274" s="82" t="s">
        <v>484</v>
      </c>
      <c r="E274" s="43"/>
      <c r="F274" s="60" t="s">
        <v>40</v>
      </c>
      <c r="G274" s="61"/>
      <c r="H274" s="61" t="s">
        <v>40</v>
      </c>
      <c r="I274" s="62">
        <v>1.0760000000000001</v>
      </c>
      <c r="J274" s="63" t="s">
        <v>41</v>
      </c>
      <c r="K274" s="46">
        <v>0.11799999999999999</v>
      </c>
      <c r="L274" s="47" t="s">
        <v>42</v>
      </c>
      <c r="M274" s="48"/>
      <c r="N274" s="48"/>
      <c r="O274" s="48"/>
      <c r="P274" s="50"/>
      <c r="Q274" s="51" t="s">
        <v>71</v>
      </c>
      <c r="R274" s="950" t="s">
        <v>72</v>
      </c>
      <c r="S274" s="955" t="str">
        <f>VLOOKUP(A274,Strat_Plan_Revit!$A$10:$S$321,14,FALSE)</f>
        <v>important</v>
      </c>
      <c r="T274" s="33">
        <f>VLOOKUP(A274,Strat_Plan_Revit!$A$10:$S$321,15,FALSE)</f>
        <v>0</v>
      </c>
      <c r="U274" s="960" t="s">
        <v>45</v>
      </c>
      <c r="V274" s="73" t="s">
        <v>45</v>
      </c>
      <c r="W274" s="52" t="s">
        <v>110</v>
      </c>
      <c r="X274" s="53"/>
      <c r="Y274" s="54"/>
      <c r="Z274" s="55"/>
      <c r="AA274" s="56"/>
      <c r="AB274" s="89" t="s">
        <v>45</v>
      </c>
      <c r="AC274" s="967" t="s">
        <v>110</v>
      </c>
      <c r="AD274" s="1243" t="str">
        <f t="shared" si="4"/>
        <v>a</v>
      </c>
      <c r="AE274" s="1123"/>
      <c r="AF274" s="572"/>
      <c r="AG274" s="572"/>
    </row>
    <row r="275" spans="1:33" ht="24.6" customHeight="1" thickBot="1" x14ac:dyDescent="0.3">
      <c r="A275" s="933">
        <v>399</v>
      </c>
      <c r="B275" s="106" t="s">
        <v>361</v>
      </c>
      <c r="C275" s="107" t="s">
        <v>372</v>
      </c>
      <c r="D275" s="108" t="s">
        <v>363</v>
      </c>
      <c r="E275" s="86" t="s">
        <v>38</v>
      </c>
      <c r="F275" s="316" t="s">
        <v>40</v>
      </c>
      <c r="G275" s="85"/>
      <c r="H275" s="316" t="s">
        <v>40</v>
      </c>
      <c r="I275" s="62"/>
      <c r="J275" s="63" t="s">
        <v>52</v>
      </c>
      <c r="K275" s="63"/>
      <c r="L275" s="63" t="s">
        <v>52</v>
      </c>
      <c r="M275" s="66" t="s">
        <v>373</v>
      </c>
      <c r="N275" s="68" t="s">
        <v>103</v>
      </c>
      <c r="O275" s="87"/>
      <c r="P275" s="88"/>
      <c r="Q275" s="109" t="s">
        <v>104</v>
      </c>
      <c r="R275" s="952" t="s">
        <v>72</v>
      </c>
      <c r="S275" s="955" t="str">
        <f>VLOOKUP(A275,Strat_Plan_Revit!$A$10:$S$321,14,FALSE)</f>
        <v>51-80% (charriage présumé perturbé)</v>
      </c>
      <c r="T275" s="33" t="str">
        <f>VLOOKUP(A275,Strat_Plan_Revit!$A$10:$S$321,15,FALSE)</f>
        <v>moyen/important</v>
      </c>
      <c r="U275" s="964" t="s">
        <v>67</v>
      </c>
      <c r="V275" s="317" t="s">
        <v>67</v>
      </c>
      <c r="W275" s="110" t="s">
        <v>59</v>
      </c>
      <c r="X275" s="111"/>
      <c r="Y275" s="112"/>
      <c r="Z275" s="322" t="s">
        <v>374</v>
      </c>
      <c r="AA275" s="113" t="s">
        <v>375</v>
      </c>
      <c r="AB275" s="1250" t="s">
        <v>73</v>
      </c>
      <c r="AC275" s="1251" t="s">
        <v>368</v>
      </c>
      <c r="AD275" s="1252" t="str">
        <f t="shared" si="4"/>
        <v>b</v>
      </c>
      <c r="AE275" s="1123"/>
      <c r="AF275" s="572"/>
      <c r="AG275" s="572"/>
    </row>
    <row r="276" spans="1:33" ht="37.5" customHeight="1" x14ac:dyDescent="0.25">
      <c r="L276" s="262"/>
      <c r="M276" s="263"/>
      <c r="N276" s="263"/>
      <c r="O276" s="263"/>
      <c r="P276" s="264"/>
      <c r="Q276" s="264"/>
      <c r="R276" s="953"/>
      <c r="T276" s="16"/>
      <c r="U276" s="965"/>
      <c r="V276" s="16"/>
    </row>
    <row r="278" spans="1:33" ht="37.5" customHeight="1" x14ac:dyDescent="0.25">
      <c r="O278" s="16"/>
    </row>
    <row r="279" spans="1:33" ht="37.5" customHeight="1" x14ac:dyDescent="0.25">
      <c r="O279" s="16"/>
    </row>
    <row r="280" spans="1:33" ht="37.5" customHeight="1" x14ac:dyDescent="0.25">
      <c r="O280" s="16"/>
    </row>
    <row r="281" spans="1:33" ht="37.5" customHeight="1" x14ac:dyDescent="0.25">
      <c r="O281" s="16"/>
    </row>
    <row r="282" spans="1:33" ht="37.5" customHeight="1" x14ac:dyDescent="0.25">
      <c r="O282" s="16"/>
    </row>
    <row r="283" spans="1:33" ht="37.5" customHeight="1" x14ac:dyDescent="0.25">
      <c r="O283" s="16"/>
    </row>
    <row r="284" spans="1:33" ht="37.5" customHeight="1" x14ac:dyDescent="0.25">
      <c r="O284" s="16"/>
    </row>
    <row r="285" spans="1:33" ht="37.5" customHeight="1" x14ac:dyDescent="0.25">
      <c r="O285" s="16"/>
    </row>
    <row r="286" spans="1:33" ht="37.5" customHeight="1" x14ac:dyDescent="0.25">
      <c r="O286" s="16"/>
    </row>
    <row r="287" spans="1:33" ht="37.5" customHeight="1" x14ac:dyDescent="0.25">
      <c r="O287" s="16"/>
    </row>
    <row r="288" spans="1:33" ht="37.5" customHeight="1" x14ac:dyDescent="0.25">
      <c r="O288" s="16"/>
    </row>
    <row r="289" spans="15:15" ht="37.5" customHeight="1" x14ac:dyDescent="0.25">
      <c r="O289" s="16"/>
    </row>
    <row r="290" spans="15:15" ht="37.5" customHeight="1" x14ac:dyDescent="0.25">
      <c r="O290" s="16"/>
    </row>
    <row r="291" spans="15:15" ht="37.5" customHeight="1" x14ac:dyDescent="0.25">
      <c r="O291" s="16"/>
    </row>
    <row r="292" spans="15:15" ht="37.5" customHeight="1" x14ac:dyDescent="0.25">
      <c r="O292" s="16"/>
    </row>
    <row r="293" spans="15:15" ht="37.5" customHeight="1" x14ac:dyDescent="0.25">
      <c r="O293" s="16"/>
    </row>
    <row r="294" spans="15:15" ht="37.5" customHeight="1" x14ac:dyDescent="0.25">
      <c r="O294" s="16"/>
    </row>
    <row r="295" spans="15:15" ht="37.5" customHeight="1" x14ac:dyDescent="0.25">
      <c r="O295" s="16"/>
    </row>
  </sheetData>
  <autoFilter ref="A3:AG275"/>
  <sortState ref="A3:AC274">
    <sortCondition ref="A3:A274"/>
  </sortState>
  <mergeCells count="11">
    <mergeCell ref="Q1:R1"/>
    <mergeCell ref="G1:H1"/>
    <mergeCell ref="I1:J1"/>
    <mergeCell ref="K1:L1"/>
    <mergeCell ref="M1:N1"/>
    <mergeCell ref="O1:P1"/>
    <mergeCell ref="AB1:AD1"/>
    <mergeCell ref="S2:U2"/>
    <mergeCell ref="V2:Y2"/>
    <mergeCell ref="Z2:AA2"/>
    <mergeCell ref="AB2:AD2"/>
  </mergeCells>
  <conditionalFormatting sqref="Q4:Q274">
    <cfRule type="cellIs" dxfId="9812" priority="1115" stopIfTrue="1" operator="equal">
      <formula>"Charriage présumé faiblement perturbé / Geschiebe vermutlich leicht beeinträchtigt"</formula>
    </cfRule>
    <cfRule type="cellIs" dxfId="9811" priority="1116" stopIfTrue="1" operator="equal">
      <formula>"La remobilisation des sédiments est perturbée / Mobilisierung von Geschiebe beeinträchtigt"</formula>
    </cfRule>
    <cfRule type="cellIs" dxfId="9810" priority="1117" stopIfTrue="1" operator="equal">
      <formula>"Problème lié à un manque de charriage ou à un manque de remobilisation des sédiments / Problem aufgrund Geschiebemangels bzw. mangelnder Mobilisierung von Geschiebe"</formula>
    </cfRule>
    <cfRule type="cellIs" dxfId="9809" priority="1118" stopIfTrue="1" operator="equal">
      <formula>"Déficit non apparent en charriage ou en remobilisation des sédiments / kein sichtbares Defizit beim Geschiebehaushalt bzw. bei der Mobilisierung von Geschiebe"</formula>
    </cfRule>
    <cfRule type="cellIs" dxfId="9808" priority="1119" stopIfTrue="1" operator="equal">
      <formula>"Charriage présumé perturbé / Geschiebehaushalt vermutlich beeinträchtigt"</formula>
    </cfRule>
    <cfRule type="cellIs" dxfId="9807" priority="1120" stopIfTrue="1" operator="equal">
      <formula>"Charriage présumé naturel / Geschiebehaushalt vermutlich natürlich"</formula>
    </cfRule>
    <cfRule type="cellIs" dxfId="9806" priority="1121" stopIfTrue="1" operator="equal">
      <formula>"non pertinent / nicht relevant"</formula>
    </cfRule>
    <cfRule type="cellIs" dxfId="9805" priority="1122" stopIfTrue="1" operator="equal">
      <formula>"21-50%"</formula>
    </cfRule>
    <cfRule type="cellIs" dxfId="9804" priority="1123" stopIfTrue="1" operator="equal">
      <formula>"51-80%"</formula>
    </cfRule>
  </conditionalFormatting>
  <conditionalFormatting sqref="Q4:Q274">
    <cfRule type="cellIs" dxfId="9803" priority="1124" stopIfTrue="1" operator="equal">
      <formula>"81 -100%"</formula>
    </cfRule>
    <cfRule type="cellIs" dxfId="9802" priority="1125" stopIfTrue="1" operator="equal">
      <formula>"0-20%"</formula>
    </cfRule>
  </conditionalFormatting>
  <conditionalFormatting sqref="U105">
    <cfRule type="cellIs" dxfId="9801" priority="1104" stopIfTrue="1" operator="equal">
      <formula>"Charriage présumé faiblement perturbé / Geschiebe vermutlich leicht beeinträchtigt"</formula>
    </cfRule>
    <cfRule type="cellIs" dxfId="9800" priority="1105" stopIfTrue="1" operator="equal">
      <formula>"La remobilisation des sédiments est perturbée / Mobilisierung von Geschiebe beeinträchtigt"</formula>
    </cfRule>
    <cfRule type="cellIs" dxfId="9799" priority="1106" stopIfTrue="1" operator="equal">
      <formula>"Problème lié à un manque de charriage ou à un manque de remobilisation des sédiments / Problem aufgrund Geschiebemangels bzw. mangelnder Mobilisierung von Geschiebe"</formula>
    </cfRule>
    <cfRule type="cellIs" dxfId="9798" priority="1107" stopIfTrue="1" operator="equal">
      <formula>"Déficit non apparent en charriage ou en remobilisation des sédiments / kein sichtbares Defizit beim Geschiebehaushalt bzw. bei der Mobilisierung von Geschiebe"</formula>
    </cfRule>
    <cfRule type="cellIs" dxfId="9797" priority="1108" stopIfTrue="1" operator="equal">
      <formula>"Charriage présumé perturbé / Geschiebehaushalt vermutlich beeinträchtigt"</formula>
    </cfRule>
    <cfRule type="cellIs" dxfId="9796" priority="1109" stopIfTrue="1" operator="equal">
      <formula>"Charriage présumé naturel / Geschiebehaushalt vermutlich natürlich"</formula>
    </cfRule>
    <cfRule type="cellIs" dxfId="9795" priority="1110" stopIfTrue="1" operator="equal">
      <formula>"non pertinent / nicht relevant"</formula>
    </cfRule>
    <cfRule type="cellIs" dxfId="9794" priority="1111" stopIfTrue="1" operator="equal">
      <formula>"21-50%"</formula>
    </cfRule>
    <cfRule type="cellIs" dxfId="9793" priority="1112" stopIfTrue="1" operator="equal">
      <formula>"51-80%"</formula>
    </cfRule>
  </conditionalFormatting>
  <conditionalFormatting sqref="U105">
    <cfRule type="cellIs" dxfId="9792" priority="1113" stopIfTrue="1" operator="equal">
      <formula>"81 -100%"</formula>
    </cfRule>
    <cfRule type="cellIs" dxfId="9791" priority="1114" stopIfTrue="1" operator="equal">
      <formula>"0-20%"</formula>
    </cfRule>
  </conditionalFormatting>
  <conditionalFormatting sqref="U106">
    <cfRule type="cellIs" dxfId="9790" priority="1093" stopIfTrue="1" operator="equal">
      <formula>"Charriage présumé faiblement perturbé / Geschiebe vermutlich leicht beeinträchtigt"</formula>
    </cfRule>
    <cfRule type="cellIs" dxfId="9789" priority="1094" stopIfTrue="1" operator="equal">
      <formula>"La remobilisation des sédiments est perturbée / Mobilisierung von Geschiebe beeinträchtigt"</formula>
    </cfRule>
    <cfRule type="cellIs" dxfId="9788" priority="1095" stopIfTrue="1" operator="equal">
      <formula>"Problème lié à un manque de charriage ou à un manque de remobilisation des sédiments / Problem aufgrund Geschiebemangels bzw. mangelnder Mobilisierung von Geschiebe"</formula>
    </cfRule>
    <cfRule type="cellIs" dxfId="9787" priority="1096" stopIfTrue="1" operator="equal">
      <formula>"Déficit non apparent en charriage ou en remobilisation des sédiments / kein sichtbares Defizit beim Geschiebehaushalt bzw. bei der Mobilisierung von Geschiebe"</formula>
    </cfRule>
    <cfRule type="cellIs" dxfId="9786" priority="1097" stopIfTrue="1" operator="equal">
      <formula>"Charriage présumé perturbé / Geschiebehaushalt vermutlich beeinträchtigt"</formula>
    </cfRule>
    <cfRule type="cellIs" dxfId="9785" priority="1098" stopIfTrue="1" operator="equal">
      <formula>"Charriage présumé naturel / Geschiebehaushalt vermutlich natürlich"</formula>
    </cfRule>
    <cfRule type="cellIs" dxfId="9784" priority="1099" stopIfTrue="1" operator="equal">
      <formula>"non pertinent / nicht relevant"</formula>
    </cfRule>
    <cfRule type="cellIs" dxfId="9783" priority="1100" stopIfTrue="1" operator="equal">
      <formula>"21-50%"</formula>
    </cfRule>
    <cfRule type="cellIs" dxfId="9782" priority="1101" stopIfTrue="1" operator="equal">
      <formula>"51-80%"</formula>
    </cfRule>
  </conditionalFormatting>
  <conditionalFormatting sqref="U106">
    <cfRule type="cellIs" dxfId="9781" priority="1102" stopIfTrue="1" operator="equal">
      <formula>"81 -100%"</formula>
    </cfRule>
    <cfRule type="cellIs" dxfId="9780" priority="1103" stopIfTrue="1" operator="equal">
      <formula>"0-20%"</formula>
    </cfRule>
  </conditionalFormatting>
  <conditionalFormatting sqref="U107">
    <cfRule type="cellIs" dxfId="9779" priority="1082" stopIfTrue="1" operator="equal">
      <formula>"Charriage présumé faiblement perturbé / Geschiebe vermutlich leicht beeinträchtigt"</formula>
    </cfRule>
    <cfRule type="cellIs" dxfId="9778" priority="1083" stopIfTrue="1" operator="equal">
      <formula>"La remobilisation des sédiments est perturbée / Mobilisierung von Geschiebe beeinträchtigt"</formula>
    </cfRule>
    <cfRule type="cellIs" dxfId="9777" priority="1084" stopIfTrue="1" operator="equal">
      <formula>"Problème lié à un manque de charriage ou à un manque de remobilisation des sédiments / Problem aufgrund Geschiebemangels bzw. mangelnder Mobilisierung von Geschiebe"</formula>
    </cfRule>
    <cfRule type="cellIs" dxfId="9776" priority="1085" stopIfTrue="1" operator="equal">
      <formula>"Déficit non apparent en charriage ou en remobilisation des sédiments / kein sichtbares Defizit beim Geschiebehaushalt bzw. bei der Mobilisierung von Geschiebe"</formula>
    </cfRule>
    <cfRule type="cellIs" dxfId="9775" priority="1086" stopIfTrue="1" operator="equal">
      <formula>"Charriage présumé perturbé / Geschiebehaushalt vermutlich beeinträchtigt"</formula>
    </cfRule>
    <cfRule type="cellIs" dxfId="9774" priority="1087" stopIfTrue="1" operator="equal">
      <formula>"Charriage présumé naturel / Geschiebehaushalt vermutlich natürlich"</formula>
    </cfRule>
    <cfRule type="cellIs" dxfId="9773" priority="1088" stopIfTrue="1" operator="equal">
      <formula>"non pertinent / nicht relevant"</formula>
    </cfRule>
    <cfRule type="cellIs" dxfId="9772" priority="1089" stopIfTrue="1" operator="equal">
      <formula>"21-50%"</formula>
    </cfRule>
    <cfRule type="cellIs" dxfId="9771" priority="1090" stopIfTrue="1" operator="equal">
      <formula>"51-80%"</formula>
    </cfRule>
  </conditionalFormatting>
  <conditionalFormatting sqref="U107">
    <cfRule type="cellIs" dxfId="9770" priority="1091" stopIfTrue="1" operator="equal">
      <formula>"81 -100%"</formula>
    </cfRule>
    <cfRule type="cellIs" dxfId="9769" priority="1092" stopIfTrue="1" operator="equal">
      <formula>"0-20%"</formula>
    </cfRule>
  </conditionalFormatting>
  <conditionalFormatting sqref="U108">
    <cfRule type="cellIs" dxfId="9768" priority="1071" stopIfTrue="1" operator="equal">
      <formula>"Charriage présumé faiblement perturbé / Geschiebe vermutlich leicht beeinträchtigt"</formula>
    </cfRule>
    <cfRule type="cellIs" dxfId="9767" priority="1072" stopIfTrue="1" operator="equal">
      <formula>"La remobilisation des sédiments est perturbée / Mobilisierung von Geschiebe beeinträchtigt"</formula>
    </cfRule>
    <cfRule type="cellIs" dxfId="9766" priority="1073" stopIfTrue="1" operator="equal">
      <formula>"Problème lié à un manque de charriage ou à un manque de remobilisation des sédiments / Problem aufgrund Geschiebemangels bzw. mangelnder Mobilisierung von Geschiebe"</formula>
    </cfRule>
    <cfRule type="cellIs" dxfId="9765" priority="1074" stopIfTrue="1" operator="equal">
      <formula>"Déficit non apparent en charriage ou en remobilisation des sédiments / kein sichtbares Defizit beim Geschiebehaushalt bzw. bei der Mobilisierung von Geschiebe"</formula>
    </cfRule>
    <cfRule type="cellIs" dxfId="9764" priority="1075" stopIfTrue="1" operator="equal">
      <formula>"Charriage présumé perturbé / Geschiebehaushalt vermutlich beeinträchtigt"</formula>
    </cfRule>
    <cfRule type="cellIs" dxfId="9763" priority="1076" stopIfTrue="1" operator="equal">
      <formula>"Charriage présumé naturel / Geschiebehaushalt vermutlich natürlich"</formula>
    </cfRule>
    <cfRule type="cellIs" dxfId="9762" priority="1077" stopIfTrue="1" operator="equal">
      <formula>"non pertinent / nicht relevant"</formula>
    </cfRule>
    <cfRule type="cellIs" dxfId="9761" priority="1078" stopIfTrue="1" operator="equal">
      <formula>"21-50%"</formula>
    </cfRule>
    <cfRule type="cellIs" dxfId="9760" priority="1079" stopIfTrue="1" operator="equal">
      <formula>"51-80%"</formula>
    </cfRule>
  </conditionalFormatting>
  <conditionalFormatting sqref="U108">
    <cfRule type="cellIs" dxfId="9759" priority="1080" stopIfTrue="1" operator="equal">
      <formula>"81 -100%"</formula>
    </cfRule>
    <cfRule type="cellIs" dxfId="9758" priority="1081" stopIfTrue="1" operator="equal">
      <formula>"0-20%"</formula>
    </cfRule>
  </conditionalFormatting>
  <conditionalFormatting sqref="U109">
    <cfRule type="cellIs" dxfId="9757" priority="1060" stopIfTrue="1" operator="equal">
      <formula>"Charriage présumé faiblement perturbé / Geschiebe vermutlich leicht beeinträchtigt"</formula>
    </cfRule>
    <cfRule type="cellIs" dxfId="9756" priority="1061" stopIfTrue="1" operator="equal">
      <formula>"La remobilisation des sédiments est perturbée / Mobilisierung von Geschiebe beeinträchtigt"</formula>
    </cfRule>
    <cfRule type="cellIs" dxfId="9755" priority="1062" stopIfTrue="1" operator="equal">
      <formula>"Problème lié à un manque de charriage ou à un manque de remobilisation des sédiments / Problem aufgrund Geschiebemangels bzw. mangelnder Mobilisierung von Geschiebe"</formula>
    </cfRule>
    <cfRule type="cellIs" dxfId="9754" priority="1063" stopIfTrue="1" operator="equal">
      <formula>"Déficit non apparent en charriage ou en remobilisation des sédiments / kein sichtbares Defizit beim Geschiebehaushalt bzw. bei der Mobilisierung von Geschiebe"</formula>
    </cfRule>
    <cfRule type="cellIs" dxfId="9753" priority="1064" stopIfTrue="1" operator="equal">
      <formula>"Charriage présumé perturbé / Geschiebehaushalt vermutlich beeinträchtigt"</formula>
    </cfRule>
    <cfRule type="cellIs" dxfId="9752" priority="1065" stopIfTrue="1" operator="equal">
      <formula>"Charriage présumé naturel / Geschiebehaushalt vermutlich natürlich"</formula>
    </cfRule>
    <cfRule type="cellIs" dxfId="9751" priority="1066" stopIfTrue="1" operator="equal">
      <formula>"non pertinent / nicht relevant"</formula>
    </cfRule>
    <cfRule type="cellIs" dxfId="9750" priority="1067" stopIfTrue="1" operator="equal">
      <formula>"21-50%"</formula>
    </cfRule>
    <cfRule type="cellIs" dxfId="9749" priority="1068" stopIfTrue="1" operator="equal">
      <formula>"51-80%"</formula>
    </cfRule>
  </conditionalFormatting>
  <conditionalFormatting sqref="U109">
    <cfRule type="cellIs" dxfId="9748" priority="1069" stopIfTrue="1" operator="equal">
      <formula>"81 -100%"</formula>
    </cfRule>
    <cfRule type="cellIs" dxfId="9747" priority="1070" stopIfTrue="1" operator="equal">
      <formula>"0-20%"</formula>
    </cfRule>
  </conditionalFormatting>
  <conditionalFormatting sqref="U111">
    <cfRule type="cellIs" dxfId="9746" priority="1049" stopIfTrue="1" operator="equal">
      <formula>"Charriage présumé faiblement perturbé / Geschiebe vermutlich leicht beeinträchtigt"</formula>
    </cfRule>
    <cfRule type="cellIs" dxfId="9745" priority="1050" stopIfTrue="1" operator="equal">
      <formula>"La remobilisation des sédiments est perturbée / Mobilisierung von Geschiebe beeinträchtigt"</formula>
    </cfRule>
    <cfRule type="cellIs" dxfId="9744" priority="1051" stopIfTrue="1" operator="equal">
      <formula>"Problème lié à un manque de charriage ou à un manque de remobilisation des sédiments / Problem aufgrund Geschiebemangels bzw. mangelnder Mobilisierung von Geschiebe"</formula>
    </cfRule>
    <cfRule type="cellIs" dxfId="9743" priority="1052" stopIfTrue="1" operator="equal">
      <formula>"Déficit non apparent en charriage ou en remobilisation des sédiments / kein sichtbares Defizit beim Geschiebehaushalt bzw. bei der Mobilisierung von Geschiebe"</formula>
    </cfRule>
    <cfRule type="cellIs" dxfId="9742" priority="1053" stopIfTrue="1" operator="equal">
      <formula>"Charriage présumé perturbé / Geschiebehaushalt vermutlich beeinträchtigt"</formula>
    </cfRule>
    <cfRule type="cellIs" dxfId="9741" priority="1054" stopIfTrue="1" operator="equal">
      <formula>"Charriage présumé naturel / Geschiebehaushalt vermutlich natürlich"</formula>
    </cfRule>
    <cfRule type="cellIs" dxfId="9740" priority="1055" stopIfTrue="1" operator="equal">
      <formula>"non pertinent / nicht relevant"</formula>
    </cfRule>
    <cfRule type="cellIs" dxfId="9739" priority="1056" stopIfTrue="1" operator="equal">
      <formula>"21-50%"</formula>
    </cfRule>
    <cfRule type="cellIs" dxfId="9738" priority="1057" stopIfTrue="1" operator="equal">
      <formula>"51-80%"</formula>
    </cfRule>
  </conditionalFormatting>
  <conditionalFormatting sqref="U111">
    <cfRule type="cellIs" dxfId="9737" priority="1058" stopIfTrue="1" operator="equal">
      <formula>"81 -100%"</formula>
    </cfRule>
    <cfRule type="cellIs" dxfId="9736" priority="1059" stopIfTrue="1" operator="equal">
      <formula>"0-20%"</formula>
    </cfRule>
  </conditionalFormatting>
  <conditionalFormatting sqref="U112">
    <cfRule type="cellIs" dxfId="9735" priority="1038" stopIfTrue="1" operator="equal">
      <formula>"Charriage présumé faiblement perturbé / Geschiebe vermutlich leicht beeinträchtigt"</formula>
    </cfRule>
    <cfRule type="cellIs" dxfId="9734" priority="1039" stopIfTrue="1" operator="equal">
      <formula>"La remobilisation des sédiments est perturbée / Mobilisierung von Geschiebe beeinträchtigt"</formula>
    </cfRule>
    <cfRule type="cellIs" dxfId="9733" priority="1040" stopIfTrue="1" operator="equal">
      <formula>"Problème lié à un manque de charriage ou à un manque de remobilisation des sédiments / Problem aufgrund Geschiebemangels bzw. mangelnder Mobilisierung von Geschiebe"</formula>
    </cfRule>
    <cfRule type="cellIs" dxfId="9732" priority="1041" stopIfTrue="1" operator="equal">
      <formula>"Déficit non apparent en charriage ou en remobilisation des sédiments / kein sichtbares Defizit beim Geschiebehaushalt bzw. bei der Mobilisierung von Geschiebe"</formula>
    </cfRule>
    <cfRule type="cellIs" dxfId="9731" priority="1042" stopIfTrue="1" operator="equal">
      <formula>"Charriage présumé perturbé / Geschiebehaushalt vermutlich beeinträchtigt"</formula>
    </cfRule>
    <cfRule type="cellIs" dxfId="9730" priority="1043" stopIfTrue="1" operator="equal">
      <formula>"Charriage présumé naturel / Geschiebehaushalt vermutlich natürlich"</formula>
    </cfRule>
    <cfRule type="cellIs" dxfId="9729" priority="1044" stopIfTrue="1" operator="equal">
      <formula>"non pertinent / nicht relevant"</formula>
    </cfRule>
    <cfRule type="cellIs" dxfId="9728" priority="1045" stopIfTrue="1" operator="equal">
      <formula>"21-50%"</formula>
    </cfRule>
    <cfRule type="cellIs" dxfId="9727" priority="1046" stopIfTrue="1" operator="equal">
      <formula>"51-80%"</formula>
    </cfRule>
  </conditionalFormatting>
  <conditionalFormatting sqref="U112">
    <cfRule type="cellIs" dxfId="9726" priority="1047" stopIfTrue="1" operator="equal">
      <formula>"81 -100%"</formula>
    </cfRule>
    <cfRule type="cellIs" dxfId="9725" priority="1048" stopIfTrue="1" operator="equal">
      <formula>"0-20%"</formula>
    </cfRule>
  </conditionalFormatting>
  <conditionalFormatting sqref="U113">
    <cfRule type="cellIs" dxfId="9724" priority="1027" stopIfTrue="1" operator="equal">
      <formula>"Charriage présumé faiblement perturbé / Geschiebe vermutlich leicht beeinträchtigt"</formula>
    </cfRule>
    <cfRule type="cellIs" dxfId="9723" priority="1028" stopIfTrue="1" operator="equal">
      <formula>"La remobilisation des sédiments est perturbée / Mobilisierung von Geschiebe beeinträchtigt"</formula>
    </cfRule>
    <cfRule type="cellIs" dxfId="9722" priority="1029" stopIfTrue="1" operator="equal">
      <formula>"Problème lié à un manque de charriage ou à un manque de remobilisation des sédiments / Problem aufgrund Geschiebemangels bzw. mangelnder Mobilisierung von Geschiebe"</formula>
    </cfRule>
    <cfRule type="cellIs" dxfId="9721" priority="1030" stopIfTrue="1" operator="equal">
      <formula>"Déficit non apparent en charriage ou en remobilisation des sédiments / kein sichtbares Defizit beim Geschiebehaushalt bzw. bei der Mobilisierung von Geschiebe"</formula>
    </cfRule>
    <cfRule type="cellIs" dxfId="9720" priority="1031" stopIfTrue="1" operator="equal">
      <formula>"Charriage présumé perturbé / Geschiebehaushalt vermutlich beeinträchtigt"</formula>
    </cfRule>
    <cfRule type="cellIs" dxfId="9719" priority="1032" stopIfTrue="1" operator="equal">
      <formula>"Charriage présumé naturel / Geschiebehaushalt vermutlich natürlich"</formula>
    </cfRule>
    <cfRule type="cellIs" dxfId="9718" priority="1033" stopIfTrue="1" operator="equal">
      <formula>"non pertinent / nicht relevant"</formula>
    </cfRule>
    <cfRule type="cellIs" dxfId="9717" priority="1034" stopIfTrue="1" operator="equal">
      <formula>"21-50%"</formula>
    </cfRule>
    <cfRule type="cellIs" dxfId="9716" priority="1035" stopIfTrue="1" operator="equal">
      <formula>"51-80%"</formula>
    </cfRule>
  </conditionalFormatting>
  <conditionalFormatting sqref="U113">
    <cfRule type="cellIs" dxfId="9715" priority="1036" stopIfTrue="1" operator="equal">
      <formula>"81 -100%"</formula>
    </cfRule>
    <cfRule type="cellIs" dxfId="9714" priority="1037" stopIfTrue="1" operator="equal">
      <formula>"0-20%"</formula>
    </cfRule>
  </conditionalFormatting>
  <conditionalFormatting sqref="U114">
    <cfRule type="cellIs" dxfId="9713" priority="1016" stopIfTrue="1" operator="equal">
      <formula>"Charriage présumé faiblement perturbé / Geschiebe vermutlich leicht beeinträchtigt"</formula>
    </cfRule>
    <cfRule type="cellIs" dxfId="9712" priority="1017" stopIfTrue="1" operator="equal">
      <formula>"La remobilisation des sédiments est perturbée / Mobilisierung von Geschiebe beeinträchtigt"</formula>
    </cfRule>
    <cfRule type="cellIs" dxfId="9711" priority="1018" stopIfTrue="1" operator="equal">
      <formula>"Problème lié à un manque de charriage ou à un manque de remobilisation des sédiments / Problem aufgrund Geschiebemangels bzw. mangelnder Mobilisierung von Geschiebe"</formula>
    </cfRule>
    <cfRule type="cellIs" dxfId="9710" priority="1019" stopIfTrue="1" operator="equal">
      <formula>"Déficit non apparent en charriage ou en remobilisation des sédiments / kein sichtbares Defizit beim Geschiebehaushalt bzw. bei der Mobilisierung von Geschiebe"</formula>
    </cfRule>
    <cfRule type="cellIs" dxfId="9709" priority="1020" stopIfTrue="1" operator="equal">
      <formula>"Charriage présumé perturbé / Geschiebehaushalt vermutlich beeinträchtigt"</formula>
    </cfRule>
    <cfRule type="cellIs" dxfId="9708" priority="1021" stopIfTrue="1" operator="equal">
      <formula>"Charriage présumé naturel / Geschiebehaushalt vermutlich natürlich"</formula>
    </cfRule>
    <cfRule type="cellIs" dxfId="9707" priority="1022" stopIfTrue="1" operator="equal">
      <formula>"non pertinent / nicht relevant"</formula>
    </cfRule>
    <cfRule type="cellIs" dxfId="9706" priority="1023" stopIfTrue="1" operator="equal">
      <formula>"21-50%"</formula>
    </cfRule>
    <cfRule type="cellIs" dxfId="9705" priority="1024" stopIfTrue="1" operator="equal">
      <formula>"51-80%"</formula>
    </cfRule>
  </conditionalFormatting>
  <conditionalFormatting sqref="U114">
    <cfRule type="cellIs" dxfId="9704" priority="1025" stopIfTrue="1" operator="equal">
      <formula>"81 -100%"</formula>
    </cfRule>
    <cfRule type="cellIs" dxfId="9703" priority="1026" stopIfTrue="1" operator="equal">
      <formula>"0-20%"</formula>
    </cfRule>
  </conditionalFormatting>
  <conditionalFormatting sqref="U214">
    <cfRule type="cellIs" dxfId="9702" priority="1005" stopIfTrue="1" operator="equal">
      <formula>"Charriage présumé faiblement perturbé / Geschiebe vermutlich leicht beeinträchtigt"</formula>
    </cfRule>
    <cfRule type="cellIs" dxfId="9701" priority="1006" stopIfTrue="1" operator="equal">
      <formula>"La remobilisation des sédiments est perturbée / Mobilisierung von Geschiebe beeinträchtigt"</formula>
    </cfRule>
    <cfRule type="cellIs" dxfId="9700" priority="1007" stopIfTrue="1" operator="equal">
      <formula>"Problème lié à un manque de charriage ou à un manque de remobilisation des sédiments / Problem aufgrund Geschiebemangels bzw. mangelnder Mobilisierung von Geschiebe"</formula>
    </cfRule>
    <cfRule type="cellIs" dxfId="9699" priority="1008" stopIfTrue="1" operator="equal">
      <formula>"Déficit non apparent en charriage ou en remobilisation des sédiments / kein sichtbares Defizit beim Geschiebehaushalt bzw. bei der Mobilisierung von Geschiebe"</formula>
    </cfRule>
    <cfRule type="cellIs" dxfId="9698" priority="1009" stopIfTrue="1" operator="equal">
      <formula>"Charriage présumé perturbé / Geschiebehaushalt vermutlich beeinträchtigt"</formula>
    </cfRule>
    <cfRule type="cellIs" dxfId="9697" priority="1010" stopIfTrue="1" operator="equal">
      <formula>"Charriage présumé naturel / Geschiebehaushalt vermutlich natürlich"</formula>
    </cfRule>
    <cfRule type="cellIs" dxfId="9696" priority="1011" stopIfTrue="1" operator="equal">
      <formula>"non pertinent / nicht relevant"</formula>
    </cfRule>
    <cfRule type="cellIs" dxfId="9695" priority="1012" stopIfTrue="1" operator="equal">
      <formula>"21-50%"</formula>
    </cfRule>
    <cfRule type="cellIs" dxfId="9694" priority="1013" stopIfTrue="1" operator="equal">
      <formula>"51-80%"</formula>
    </cfRule>
  </conditionalFormatting>
  <conditionalFormatting sqref="U214">
    <cfRule type="cellIs" dxfId="9693" priority="1014" stopIfTrue="1" operator="equal">
      <formula>"81 -100%"</formula>
    </cfRule>
    <cfRule type="cellIs" dxfId="9692" priority="1015" stopIfTrue="1" operator="equal">
      <formula>"0-20%"</formula>
    </cfRule>
  </conditionalFormatting>
  <conditionalFormatting sqref="U237">
    <cfRule type="cellIs" dxfId="9691" priority="994" stopIfTrue="1" operator="equal">
      <formula>"Charriage présumé faiblement perturbé / Geschiebe vermutlich leicht beeinträchtigt"</formula>
    </cfRule>
    <cfRule type="cellIs" dxfId="9690" priority="995" stopIfTrue="1" operator="equal">
      <formula>"La remobilisation des sédiments est perturbée / Mobilisierung von Geschiebe beeinträchtigt"</formula>
    </cfRule>
    <cfRule type="cellIs" dxfId="9689" priority="996" stopIfTrue="1" operator="equal">
      <formula>"Problème lié à un manque de charriage ou à un manque de remobilisation des sédiments / Problem aufgrund Geschiebemangels bzw. mangelnder Mobilisierung von Geschiebe"</formula>
    </cfRule>
    <cfRule type="cellIs" dxfId="9688" priority="997" stopIfTrue="1" operator="equal">
      <formula>"Déficit non apparent en charriage ou en remobilisation des sédiments / kein sichtbares Defizit beim Geschiebehaushalt bzw. bei der Mobilisierung von Geschiebe"</formula>
    </cfRule>
    <cfRule type="cellIs" dxfId="9687" priority="998" stopIfTrue="1" operator="equal">
      <formula>"Charriage présumé perturbé / Geschiebehaushalt vermutlich beeinträchtigt"</formula>
    </cfRule>
    <cfRule type="cellIs" dxfId="9686" priority="999" stopIfTrue="1" operator="equal">
      <formula>"Charriage présumé naturel / Geschiebehaushalt vermutlich natürlich"</formula>
    </cfRule>
    <cfRule type="cellIs" dxfId="9685" priority="1000" stopIfTrue="1" operator="equal">
      <formula>"non pertinent / nicht relevant"</formula>
    </cfRule>
    <cfRule type="cellIs" dxfId="9684" priority="1001" stopIfTrue="1" operator="equal">
      <formula>"21-50%"</formula>
    </cfRule>
    <cfRule type="cellIs" dxfId="9683" priority="1002" stopIfTrue="1" operator="equal">
      <formula>"51-80%"</formula>
    </cfRule>
  </conditionalFormatting>
  <conditionalFormatting sqref="U237">
    <cfRule type="cellIs" dxfId="9682" priority="1003" stopIfTrue="1" operator="equal">
      <formula>"81 -100%"</formula>
    </cfRule>
    <cfRule type="cellIs" dxfId="9681" priority="1004" stopIfTrue="1" operator="equal">
      <formula>"0-20%"</formula>
    </cfRule>
  </conditionalFormatting>
  <conditionalFormatting sqref="U238">
    <cfRule type="cellIs" dxfId="9680" priority="983" stopIfTrue="1" operator="equal">
      <formula>"Charriage présumé faiblement perturbé / Geschiebe vermutlich leicht beeinträchtigt"</formula>
    </cfRule>
    <cfRule type="cellIs" dxfId="9679" priority="984" stopIfTrue="1" operator="equal">
      <formula>"La remobilisation des sédiments est perturbée / Mobilisierung von Geschiebe beeinträchtigt"</formula>
    </cfRule>
    <cfRule type="cellIs" dxfId="9678" priority="985" stopIfTrue="1" operator="equal">
      <formula>"Problème lié à un manque de charriage ou à un manque de remobilisation des sédiments / Problem aufgrund Geschiebemangels bzw. mangelnder Mobilisierung von Geschiebe"</formula>
    </cfRule>
    <cfRule type="cellIs" dxfId="9677" priority="986" stopIfTrue="1" operator="equal">
      <formula>"Déficit non apparent en charriage ou en remobilisation des sédiments / kein sichtbares Defizit beim Geschiebehaushalt bzw. bei der Mobilisierung von Geschiebe"</formula>
    </cfRule>
    <cfRule type="cellIs" dxfId="9676" priority="987" stopIfTrue="1" operator="equal">
      <formula>"Charriage présumé perturbé / Geschiebehaushalt vermutlich beeinträchtigt"</formula>
    </cfRule>
    <cfRule type="cellIs" dxfId="9675" priority="988" stopIfTrue="1" operator="equal">
      <formula>"Charriage présumé naturel / Geschiebehaushalt vermutlich natürlich"</formula>
    </cfRule>
    <cfRule type="cellIs" dxfId="9674" priority="989" stopIfTrue="1" operator="equal">
      <formula>"non pertinent / nicht relevant"</formula>
    </cfRule>
    <cfRule type="cellIs" dxfId="9673" priority="990" stopIfTrue="1" operator="equal">
      <formula>"21-50%"</formula>
    </cfRule>
    <cfRule type="cellIs" dxfId="9672" priority="991" stopIfTrue="1" operator="equal">
      <formula>"51-80%"</formula>
    </cfRule>
  </conditionalFormatting>
  <conditionalFormatting sqref="U238">
    <cfRule type="cellIs" dxfId="9671" priority="992" stopIfTrue="1" operator="equal">
      <formula>"81 -100%"</formula>
    </cfRule>
    <cfRule type="cellIs" dxfId="9670" priority="993" stopIfTrue="1" operator="equal">
      <formula>"0-20%"</formula>
    </cfRule>
  </conditionalFormatting>
  <conditionalFormatting sqref="U231">
    <cfRule type="cellIs" dxfId="9669" priority="972" stopIfTrue="1" operator="equal">
      <formula>"Charriage présumé faiblement perturbé / Geschiebe vermutlich leicht beeinträchtigt"</formula>
    </cfRule>
    <cfRule type="cellIs" dxfId="9668" priority="973" stopIfTrue="1" operator="equal">
      <formula>"La remobilisation des sédiments est perturbée / Mobilisierung von Geschiebe beeinträchtigt"</formula>
    </cfRule>
    <cfRule type="cellIs" dxfId="9667" priority="974" stopIfTrue="1" operator="equal">
      <formula>"Problème lié à un manque de charriage ou à un manque de remobilisation des sédiments / Problem aufgrund Geschiebemangels bzw. mangelnder Mobilisierung von Geschiebe"</formula>
    </cfRule>
    <cfRule type="cellIs" dxfId="9666" priority="975" stopIfTrue="1" operator="equal">
      <formula>"Déficit non apparent en charriage ou en remobilisation des sédiments / kein sichtbares Defizit beim Geschiebehaushalt bzw. bei der Mobilisierung von Geschiebe"</formula>
    </cfRule>
    <cfRule type="cellIs" dxfId="9665" priority="976" stopIfTrue="1" operator="equal">
      <formula>"Charriage présumé perturbé / Geschiebehaushalt vermutlich beeinträchtigt"</formula>
    </cfRule>
    <cfRule type="cellIs" dxfId="9664" priority="977" stopIfTrue="1" operator="equal">
      <formula>"Charriage présumé naturel / Geschiebehaushalt vermutlich natürlich"</formula>
    </cfRule>
    <cfRule type="cellIs" dxfId="9663" priority="978" stopIfTrue="1" operator="equal">
      <formula>"non pertinent / nicht relevant"</formula>
    </cfRule>
    <cfRule type="cellIs" dxfId="9662" priority="979" stopIfTrue="1" operator="equal">
      <formula>"21-50%"</formula>
    </cfRule>
    <cfRule type="cellIs" dxfId="9661" priority="980" stopIfTrue="1" operator="equal">
      <formula>"51-80%"</formula>
    </cfRule>
  </conditionalFormatting>
  <conditionalFormatting sqref="U231">
    <cfRule type="cellIs" dxfId="9660" priority="981" stopIfTrue="1" operator="equal">
      <formula>"81 -100%"</formula>
    </cfRule>
    <cfRule type="cellIs" dxfId="9659" priority="982" stopIfTrue="1" operator="equal">
      <formula>"0-20%"</formula>
    </cfRule>
  </conditionalFormatting>
  <conditionalFormatting sqref="U178">
    <cfRule type="cellIs" dxfId="9658" priority="961" stopIfTrue="1" operator="equal">
      <formula>"Charriage présumé faiblement perturbé / Geschiebe vermutlich leicht beeinträchtigt"</formula>
    </cfRule>
    <cfRule type="cellIs" dxfId="9657" priority="962" stopIfTrue="1" operator="equal">
      <formula>"La remobilisation des sédiments est perturbée / Mobilisierung von Geschiebe beeinträchtigt"</formula>
    </cfRule>
    <cfRule type="cellIs" dxfId="9656" priority="963" stopIfTrue="1" operator="equal">
      <formula>"Problème lié à un manque de charriage ou à un manque de remobilisation des sédiments / Problem aufgrund Geschiebemangels bzw. mangelnder Mobilisierung von Geschiebe"</formula>
    </cfRule>
    <cfRule type="cellIs" dxfId="9655" priority="964" stopIfTrue="1" operator="equal">
      <formula>"Déficit non apparent en charriage ou en remobilisation des sédiments / kein sichtbares Defizit beim Geschiebehaushalt bzw. bei der Mobilisierung von Geschiebe"</formula>
    </cfRule>
    <cfRule type="cellIs" dxfId="9654" priority="965" stopIfTrue="1" operator="equal">
      <formula>"Charriage présumé perturbé / Geschiebehaushalt vermutlich beeinträchtigt"</formula>
    </cfRule>
    <cfRule type="cellIs" dxfId="9653" priority="966" stopIfTrue="1" operator="equal">
      <formula>"Charriage présumé naturel / Geschiebehaushalt vermutlich natürlich"</formula>
    </cfRule>
    <cfRule type="cellIs" dxfId="9652" priority="967" stopIfTrue="1" operator="equal">
      <formula>"non pertinent / nicht relevant"</formula>
    </cfRule>
    <cfRule type="cellIs" dxfId="9651" priority="968" stopIfTrue="1" operator="equal">
      <formula>"21-50%"</formula>
    </cfRule>
    <cfRule type="cellIs" dxfId="9650" priority="969" stopIfTrue="1" operator="equal">
      <formula>"51-80%"</formula>
    </cfRule>
  </conditionalFormatting>
  <conditionalFormatting sqref="U178">
    <cfRule type="cellIs" dxfId="9649" priority="970" stopIfTrue="1" operator="equal">
      <formula>"81 -100%"</formula>
    </cfRule>
    <cfRule type="cellIs" dxfId="9648" priority="971" stopIfTrue="1" operator="equal">
      <formula>"0-20%"</formula>
    </cfRule>
  </conditionalFormatting>
  <conditionalFormatting sqref="U142">
    <cfRule type="cellIs" dxfId="9647" priority="950" stopIfTrue="1" operator="equal">
      <formula>"Charriage présumé faiblement perturbé / Geschiebe vermutlich leicht beeinträchtigt"</formula>
    </cfRule>
    <cfRule type="cellIs" dxfId="9646" priority="951" stopIfTrue="1" operator="equal">
      <formula>"La remobilisation des sédiments est perturbée / Mobilisierung von Geschiebe beeinträchtigt"</formula>
    </cfRule>
    <cfRule type="cellIs" dxfId="9645" priority="952" stopIfTrue="1" operator="equal">
      <formula>"Problème lié à un manque de charriage ou à un manque de remobilisation des sédiments / Problem aufgrund Geschiebemangels bzw. mangelnder Mobilisierung von Geschiebe"</formula>
    </cfRule>
    <cfRule type="cellIs" dxfId="9644" priority="953" stopIfTrue="1" operator="equal">
      <formula>"Déficit non apparent en charriage ou en remobilisation des sédiments / kein sichtbares Defizit beim Geschiebehaushalt bzw. bei der Mobilisierung von Geschiebe"</formula>
    </cfRule>
    <cfRule type="cellIs" dxfId="9643" priority="954" stopIfTrue="1" operator="equal">
      <formula>"Charriage présumé perturbé / Geschiebehaushalt vermutlich beeinträchtigt"</formula>
    </cfRule>
    <cfRule type="cellIs" dxfId="9642" priority="955" stopIfTrue="1" operator="equal">
      <formula>"Charriage présumé naturel / Geschiebehaushalt vermutlich natürlich"</formula>
    </cfRule>
    <cfRule type="cellIs" dxfId="9641" priority="956" stopIfTrue="1" operator="equal">
      <formula>"non pertinent / nicht relevant"</formula>
    </cfRule>
    <cfRule type="cellIs" dxfId="9640" priority="957" stopIfTrue="1" operator="equal">
      <formula>"21-50%"</formula>
    </cfRule>
    <cfRule type="cellIs" dxfId="9639" priority="958" stopIfTrue="1" operator="equal">
      <formula>"51-80%"</formula>
    </cfRule>
  </conditionalFormatting>
  <conditionalFormatting sqref="U142">
    <cfRule type="cellIs" dxfId="9638" priority="959" stopIfTrue="1" operator="equal">
      <formula>"81 -100%"</formula>
    </cfRule>
    <cfRule type="cellIs" dxfId="9637" priority="960" stopIfTrue="1" operator="equal">
      <formula>"0-20%"</formula>
    </cfRule>
  </conditionalFormatting>
  <conditionalFormatting sqref="U141">
    <cfRule type="cellIs" dxfId="9636" priority="939" stopIfTrue="1" operator="equal">
      <formula>"Charriage présumé faiblement perturbé / Geschiebe vermutlich leicht beeinträchtigt"</formula>
    </cfRule>
    <cfRule type="cellIs" dxfId="9635" priority="940" stopIfTrue="1" operator="equal">
      <formula>"La remobilisation des sédiments est perturbée / Mobilisierung von Geschiebe beeinträchtigt"</formula>
    </cfRule>
    <cfRule type="cellIs" dxfId="9634" priority="941" stopIfTrue="1" operator="equal">
      <formula>"Problème lié à un manque de charriage ou à un manque de remobilisation des sédiments / Problem aufgrund Geschiebemangels bzw. mangelnder Mobilisierung von Geschiebe"</formula>
    </cfRule>
    <cfRule type="cellIs" dxfId="9633" priority="942" stopIfTrue="1" operator="equal">
      <formula>"Déficit non apparent en charriage ou en remobilisation des sédiments / kein sichtbares Defizit beim Geschiebehaushalt bzw. bei der Mobilisierung von Geschiebe"</formula>
    </cfRule>
    <cfRule type="cellIs" dxfId="9632" priority="943" stopIfTrue="1" operator="equal">
      <formula>"Charriage présumé perturbé / Geschiebehaushalt vermutlich beeinträchtigt"</formula>
    </cfRule>
    <cfRule type="cellIs" dxfId="9631" priority="944" stopIfTrue="1" operator="equal">
      <formula>"Charriage présumé naturel / Geschiebehaushalt vermutlich natürlich"</formula>
    </cfRule>
    <cfRule type="cellIs" dxfId="9630" priority="945" stopIfTrue="1" operator="equal">
      <formula>"non pertinent / nicht relevant"</formula>
    </cfRule>
    <cfRule type="cellIs" dxfId="9629" priority="946" stopIfTrue="1" operator="equal">
      <formula>"21-50%"</formula>
    </cfRule>
    <cfRule type="cellIs" dxfId="9628" priority="947" stopIfTrue="1" operator="equal">
      <formula>"51-80%"</formula>
    </cfRule>
  </conditionalFormatting>
  <conditionalFormatting sqref="U141">
    <cfRule type="cellIs" dxfId="9627" priority="948" stopIfTrue="1" operator="equal">
      <formula>"81 -100%"</formula>
    </cfRule>
    <cfRule type="cellIs" dxfId="9626" priority="949" stopIfTrue="1" operator="equal">
      <formula>"0-20%"</formula>
    </cfRule>
  </conditionalFormatting>
  <conditionalFormatting sqref="U130">
    <cfRule type="cellIs" dxfId="9625" priority="928" stopIfTrue="1" operator="equal">
      <formula>"Charriage présumé faiblement perturbé / Geschiebe vermutlich leicht beeinträchtigt"</formula>
    </cfRule>
    <cfRule type="cellIs" dxfId="9624" priority="929" stopIfTrue="1" operator="equal">
      <formula>"La remobilisation des sédiments est perturbée / Mobilisierung von Geschiebe beeinträchtigt"</formula>
    </cfRule>
    <cfRule type="cellIs" dxfId="9623" priority="930" stopIfTrue="1" operator="equal">
      <formula>"Problème lié à un manque de charriage ou à un manque de remobilisation des sédiments / Problem aufgrund Geschiebemangels bzw. mangelnder Mobilisierung von Geschiebe"</formula>
    </cfRule>
    <cfRule type="cellIs" dxfId="9622" priority="931" stopIfTrue="1" operator="equal">
      <formula>"Déficit non apparent en charriage ou en remobilisation des sédiments / kein sichtbares Defizit beim Geschiebehaushalt bzw. bei der Mobilisierung von Geschiebe"</formula>
    </cfRule>
    <cfRule type="cellIs" dxfId="9621" priority="932" stopIfTrue="1" operator="equal">
      <formula>"Charriage présumé perturbé / Geschiebehaushalt vermutlich beeinträchtigt"</formula>
    </cfRule>
    <cfRule type="cellIs" dxfId="9620" priority="933" stopIfTrue="1" operator="equal">
      <formula>"Charriage présumé naturel / Geschiebehaushalt vermutlich natürlich"</formula>
    </cfRule>
    <cfRule type="cellIs" dxfId="9619" priority="934" stopIfTrue="1" operator="equal">
      <formula>"non pertinent / nicht relevant"</formula>
    </cfRule>
    <cfRule type="cellIs" dxfId="9618" priority="935" stopIfTrue="1" operator="equal">
      <formula>"21-50%"</formula>
    </cfRule>
    <cfRule type="cellIs" dxfId="9617" priority="936" stopIfTrue="1" operator="equal">
      <formula>"51-80%"</formula>
    </cfRule>
  </conditionalFormatting>
  <conditionalFormatting sqref="U130">
    <cfRule type="cellIs" dxfId="9616" priority="937" stopIfTrue="1" operator="equal">
      <formula>"81 -100%"</formula>
    </cfRule>
    <cfRule type="cellIs" dxfId="9615" priority="938" stopIfTrue="1" operator="equal">
      <formula>"0-20%"</formula>
    </cfRule>
  </conditionalFormatting>
  <conditionalFormatting sqref="U129">
    <cfRule type="cellIs" dxfId="9614" priority="917" stopIfTrue="1" operator="equal">
      <formula>"Charriage présumé faiblement perturbé / Geschiebe vermutlich leicht beeinträchtigt"</formula>
    </cfRule>
    <cfRule type="cellIs" dxfId="9613" priority="918" stopIfTrue="1" operator="equal">
      <formula>"La remobilisation des sédiments est perturbée / Mobilisierung von Geschiebe beeinträchtigt"</formula>
    </cfRule>
    <cfRule type="cellIs" dxfId="9612" priority="919" stopIfTrue="1" operator="equal">
      <formula>"Problème lié à un manque de charriage ou à un manque de remobilisation des sédiments / Problem aufgrund Geschiebemangels bzw. mangelnder Mobilisierung von Geschiebe"</formula>
    </cfRule>
    <cfRule type="cellIs" dxfId="9611" priority="920" stopIfTrue="1" operator="equal">
      <formula>"Déficit non apparent en charriage ou en remobilisation des sédiments / kein sichtbares Defizit beim Geschiebehaushalt bzw. bei der Mobilisierung von Geschiebe"</formula>
    </cfRule>
    <cfRule type="cellIs" dxfId="9610" priority="921" stopIfTrue="1" operator="equal">
      <formula>"Charriage présumé perturbé / Geschiebehaushalt vermutlich beeinträchtigt"</formula>
    </cfRule>
    <cfRule type="cellIs" dxfId="9609" priority="922" stopIfTrue="1" operator="equal">
      <formula>"Charriage présumé naturel / Geschiebehaushalt vermutlich natürlich"</formula>
    </cfRule>
    <cfRule type="cellIs" dxfId="9608" priority="923" stopIfTrue="1" operator="equal">
      <formula>"non pertinent / nicht relevant"</formula>
    </cfRule>
    <cfRule type="cellIs" dxfId="9607" priority="924" stopIfTrue="1" operator="equal">
      <formula>"21-50%"</formula>
    </cfRule>
    <cfRule type="cellIs" dxfId="9606" priority="925" stopIfTrue="1" operator="equal">
      <formula>"51-80%"</formula>
    </cfRule>
  </conditionalFormatting>
  <conditionalFormatting sqref="U129">
    <cfRule type="cellIs" dxfId="9605" priority="926" stopIfTrue="1" operator="equal">
      <formula>"81 -100%"</formula>
    </cfRule>
    <cfRule type="cellIs" dxfId="9604" priority="927" stopIfTrue="1" operator="equal">
      <formula>"0-20%"</formula>
    </cfRule>
  </conditionalFormatting>
  <conditionalFormatting sqref="U128">
    <cfRule type="cellIs" dxfId="9603" priority="906" stopIfTrue="1" operator="equal">
      <formula>"Charriage présumé faiblement perturbé / Geschiebe vermutlich leicht beeinträchtigt"</formula>
    </cfRule>
    <cfRule type="cellIs" dxfId="9602" priority="907" stopIfTrue="1" operator="equal">
      <formula>"La remobilisation des sédiments est perturbée / Mobilisierung von Geschiebe beeinträchtigt"</formula>
    </cfRule>
    <cfRule type="cellIs" dxfId="9601" priority="908" stopIfTrue="1" operator="equal">
      <formula>"Problème lié à un manque de charriage ou à un manque de remobilisation des sédiments / Problem aufgrund Geschiebemangels bzw. mangelnder Mobilisierung von Geschiebe"</formula>
    </cfRule>
    <cfRule type="cellIs" dxfId="9600" priority="909" stopIfTrue="1" operator="equal">
      <formula>"Déficit non apparent en charriage ou en remobilisation des sédiments / kein sichtbares Defizit beim Geschiebehaushalt bzw. bei der Mobilisierung von Geschiebe"</formula>
    </cfRule>
    <cfRule type="cellIs" dxfId="9599" priority="910" stopIfTrue="1" operator="equal">
      <formula>"Charriage présumé perturbé / Geschiebehaushalt vermutlich beeinträchtigt"</formula>
    </cfRule>
    <cfRule type="cellIs" dxfId="9598" priority="911" stopIfTrue="1" operator="equal">
      <formula>"Charriage présumé naturel / Geschiebehaushalt vermutlich natürlich"</formula>
    </cfRule>
    <cfRule type="cellIs" dxfId="9597" priority="912" stopIfTrue="1" operator="equal">
      <formula>"non pertinent / nicht relevant"</formula>
    </cfRule>
    <cfRule type="cellIs" dxfId="9596" priority="913" stopIfTrue="1" operator="equal">
      <formula>"21-50%"</formula>
    </cfRule>
    <cfRule type="cellIs" dxfId="9595" priority="914" stopIfTrue="1" operator="equal">
      <formula>"51-80%"</formula>
    </cfRule>
  </conditionalFormatting>
  <conditionalFormatting sqref="U128">
    <cfRule type="cellIs" dxfId="9594" priority="915" stopIfTrue="1" operator="equal">
      <formula>"81 -100%"</formula>
    </cfRule>
    <cfRule type="cellIs" dxfId="9593" priority="916" stopIfTrue="1" operator="equal">
      <formula>"0-20%"</formula>
    </cfRule>
  </conditionalFormatting>
  <conditionalFormatting sqref="U127">
    <cfRule type="cellIs" dxfId="9592" priority="895" stopIfTrue="1" operator="equal">
      <formula>"Charriage présumé faiblement perturbé / Geschiebe vermutlich leicht beeinträchtigt"</formula>
    </cfRule>
    <cfRule type="cellIs" dxfId="9591" priority="896" stopIfTrue="1" operator="equal">
      <formula>"La remobilisation des sédiments est perturbée / Mobilisierung von Geschiebe beeinträchtigt"</formula>
    </cfRule>
    <cfRule type="cellIs" dxfId="9590" priority="897" stopIfTrue="1" operator="equal">
      <formula>"Problème lié à un manque de charriage ou à un manque de remobilisation des sédiments / Problem aufgrund Geschiebemangels bzw. mangelnder Mobilisierung von Geschiebe"</formula>
    </cfRule>
    <cfRule type="cellIs" dxfId="9589" priority="898" stopIfTrue="1" operator="equal">
      <formula>"Déficit non apparent en charriage ou en remobilisation des sédiments / kein sichtbares Defizit beim Geschiebehaushalt bzw. bei der Mobilisierung von Geschiebe"</formula>
    </cfRule>
    <cfRule type="cellIs" dxfId="9588" priority="899" stopIfTrue="1" operator="equal">
      <formula>"Charriage présumé perturbé / Geschiebehaushalt vermutlich beeinträchtigt"</formula>
    </cfRule>
    <cfRule type="cellIs" dxfId="9587" priority="900" stopIfTrue="1" operator="equal">
      <formula>"Charriage présumé naturel / Geschiebehaushalt vermutlich natürlich"</formula>
    </cfRule>
    <cfRule type="cellIs" dxfId="9586" priority="901" stopIfTrue="1" operator="equal">
      <formula>"non pertinent / nicht relevant"</formula>
    </cfRule>
    <cfRule type="cellIs" dxfId="9585" priority="902" stopIfTrue="1" operator="equal">
      <formula>"21-50%"</formula>
    </cfRule>
    <cfRule type="cellIs" dxfId="9584" priority="903" stopIfTrue="1" operator="equal">
      <formula>"51-80%"</formula>
    </cfRule>
  </conditionalFormatting>
  <conditionalFormatting sqref="U127">
    <cfRule type="cellIs" dxfId="9583" priority="904" stopIfTrue="1" operator="equal">
      <formula>"81 -100%"</formula>
    </cfRule>
    <cfRule type="cellIs" dxfId="9582" priority="905" stopIfTrue="1" operator="equal">
      <formula>"0-20%"</formula>
    </cfRule>
  </conditionalFormatting>
  <conditionalFormatting sqref="U126">
    <cfRule type="cellIs" dxfId="9581" priority="884" stopIfTrue="1" operator="equal">
      <formula>"Charriage présumé faiblement perturbé / Geschiebe vermutlich leicht beeinträchtigt"</formula>
    </cfRule>
    <cfRule type="cellIs" dxfId="9580" priority="885" stopIfTrue="1" operator="equal">
      <formula>"La remobilisation des sédiments est perturbée / Mobilisierung von Geschiebe beeinträchtigt"</formula>
    </cfRule>
    <cfRule type="cellIs" dxfId="9579" priority="886" stopIfTrue="1" operator="equal">
      <formula>"Problème lié à un manque de charriage ou à un manque de remobilisation des sédiments / Problem aufgrund Geschiebemangels bzw. mangelnder Mobilisierung von Geschiebe"</formula>
    </cfRule>
    <cfRule type="cellIs" dxfId="9578" priority="887" stopIfTrue="1" operator="equal">
      <formula>"Déficit non apparent en charriage ou en remobilisation des sédiments / kein sichtbares Defizit beim Geschiebehaushalt bzw. bei der Mobilisierung von Geschiebe"</formula>
    </cfRule>
    <cfRule type="cellIs" dxfId="9577" priority="888" stopIfTrue="1" operator="equal">
      <formula>"Charriage présumé perturbé / Geschiebehaushalt vermutlich beeinträchtigt"</formula>
    </cfRule>
    <cfRule type="cellIs" dxfId="9576" priority="889" stopIfTrue="1" operator="equal">
      <formula>"Charriage présumé naturel / Geschiebehaushalt vermutlich natürlich"</formula>
    </cfRule>
    <cfRule type="cellIs" dxfId="9575" priority="890" stopIfTrue="1" operator="equal">
      <formula>"non pertinent / nicht relevant"</formula>
    </cfRule>
    <cfRule type="cellIs" dxfId="9574" priority="891" stopIfTrue="1" operator="equal">
      <formula>"21-50%"</formula>
    </cfRule>
    <cfRule type="cellIs" dxfId="9573" priority="892" stopIfTrue="1" operator="equal">
      <formula>"51-80%"</formula>
    </cfRule>
  </conditionalFormatting>
  <conditionalFormatting sqref="U126">
    <cfRule type="cellIs" dxfId="9572" priority="893" stopIfTrue="1" operator="equal">
      <formula>"81 -100%"</formula>
    </cfRule>
    <cfRule type="cellIs" dxfId="9571" priority="894" stopIfTrue="1" operator="equal">
      <formula>"0-20%"</formula>
    </cfRule>
  </conditionalFormatting>
  <conditionalFormatting sqref="U124">
    <cfRule type="cellIs" dxfId="9570" priority="873" stopIfTrue="1" operator="equal">
      <formula>"Charriage présumé faiblement perturbé / Geschiebe vermutlich leicht beeinträchtigt"</formula>
    </cfRule>
    <cfRule type="cellIs" dxfId="9569" priority="874" stopIfTrue="1" operator="equal">
      <formula>"La remobilisation des sédiments est perturbée / Mobilisierung von Geschiebe beeinträchtigt"</formula>
    </cfRule>
    <cfRule type="cellIs" dxfId="9568" priority="875" stopIfTrue="1" operator="equal">
      <formula>"Problème lié à un manque de charriage ou à un manque de remobilisation des sédiments / Problem aufgrund Geschiebemangels bzw. mangelnder Mobilisierung von Geschiebe"</formula>
    </cfRule>
    <cfRule type="cellIs" dxfId="9567" priority="876" stopIfTrue="1" operator="equal">
      <formula>"Déficit non apparent en charriage ou en remobilisation des sédiments / kein sichtbares Defizit beim Geschiebehaushalt bzw. bei der Mobilisierung von Geschiebe"</formula>
    </cfRule>
    <cfRule type="cellIs" dxfId="9566" priority="877" stopIfTrue="1" operator="equal">
      <formula>"Charriage présumé perturbé / Geschiebehaushalt vermutlich beeinträchtigt"</formula>
    </cfRule>
    <cfRule type="cellIs" dxfId="9565" priority="878" stopIfTrue="1" operator="equal">
      <formula>"Charriage présumé naturel / Geschiebehaushalt vermutlich natürlich"</formula>
    </cfRule>
    <cfRule type="cellIs" dxfId="9564" priority="879" stopIfTrue="1" operator="equal">
      <formula>"non pertinent / nicht relevant"</formula>
    </cfRule>
    <cfRule type="cellIs" dxfId="9563" priority="880" stopIfTrue="1" operator="equal">
      <formula>"21-50%"</formula>
    </cfRule>
    <cfRule type="cellIs" dxfId="9562" priority="881" stopIfTrue="1" operator="equal">
      <formula>"51-80%"</formula>
    </cfRule>
  </conditionalFormatting>
  <conditionalFormatting sqref="U124">
    <cfRule type="cellIs" dxfId="9561" priority="882" stopIfTrue="1" operator="equal">
      <formula>"81 -100%"</formula>
    </cfRule>
    <cfRule type="cellIs" dxfId="9560" priority="883" stopIfTrue="1" operator="equal">
      <formula>"0-20%"</formula>
    </cfRule>
  </conditionalFormatting>
  <conditionalFormatting sqref="U121">
    <cfRule type="cellIs" dxfId="9559" priority="862" stopIfTrue="1" operator="equal">
      <formula>"Charriage présumé faiblement perturbé / Geschiebe vermutlich leicht beeinträchtigt"</formula>
    </cfRule>
    <cfRule type="cellIs" dxfId="9558" priority="863" stopIfTrue="1" operator="equal">
      <formula>"La remobilisation des sédiments est perturbée / Mobilisierung von Geschiebe beeinträchtigt"</formula>
    </cfRule>
    <cfRule type="cellIs" dxfId="9557" priority="864" stopIfTrue="1" operator="equal">
      <formula>"Problème lié à un manque de charriage ou à un manque de remobilisation des sédiments / Problem aufgrund Geschiebemangels bzw. mangelnder Mobilisierung von Geschiebe"</formula>
    </cfRule>
    <cfRule type="cellIs" dxfId="9556" priority="865" stopIfTrue="1" operator="equal">
      <formula>"Déficit non apparent en charriage ou en remobilisation des sédiments / kein sichtbares Defizit beim Geschiebehaushalt bzw. bei der Mobilisierung von Geschiebe"</formula>
    </cfRule>
    <cfRule type="cellIs" dxfId="9555" priority="866" stopIfTrue="1" operator="equal">
      <formula>"Charriage présumé perturbé / Geschiebehaushalt vermutlich beeinträchtigt"</formula>
    </cfRule>
    <cfRule type="cellIs" dxfId="9554" priority="867" stopIfTrue="1" operator="equal">
      <formula>"Charriage présumé naturel / Geschiebehaushalt vermutlich natürlich"</formula>
    </cfRule>
    <cfRule type="cellIs" dxfId="9553" priority="868" stopIfTrue="1" operator="equal">
      <formula>"non pertinent / nicht relevant"</formula>
    </cfRule>
    <cfRule type="cellIs" dxfId="9552" priority="869" stopIfTrue="1" operator="equal">
      <formula>"21-50%"</formula>
    </cfRule>
    <cfRule type="cellIs" dxfId="9551" priority="870" stopIfTrue="1" operator="equal">
      <formula>"51-80%"</formula>
    </cfRule>
  </conditionalFormatting>
  <conditionalFormatting sqref="U121">
    <cfRule type="cellIs" dxfId="9550" priority="871" stopIfTrue="1" operator="equal">
      <formula>"81 -100%"</formula>
    </cfRule>
    <cfRule type="cellIs" dxfId="9549" priority="872" stopIfTrue="1" operator="equal">
      <formula>"0-20%"</formula>
    </cfRule>
  </conditionalFormatting>
  <conditionalFormatting sqref="U122">
    <cfRule type="cellIs" dxfId="9548" priority="851" stopIfTrue="1" operator="equal">
      <formula>"Charriage présumé faiblement perturbé / Geschiebe vermutlich leicht beeinträchtigt"</formula>
    </cfRule>
    <cfRule type="cellIs" dxfId="9547" priority="852" stopIfTrue="1" operator="equal">
      <formula>"La remobilisation des sédiments est perturbée / Mobilisierung von Geschiebe beeinträchtigt"</formula>
    </cfRule>
    <cfRule type="cellIs" dxfId="9546" priority="853" stopIfTrue="1" operator="equal">
      <formula>"Problème lié à un manque de charriage ou à un manque de remobilisation des sédiments / Problem aufgrund Geschiebemangels bzw. mangelnder Mobilisierung von Geschiebe"</formula>
    </cfRule>
    <cfRule type="cellIs" dxfId="9545" priority="854" stopIfTrue="1" operator="equal">
      <formula>"Déficit non apparent en charriage ou en remobilisation des sédiments / kein sichtbares Defizit beim Geschiebehaushalt bzw. bei der Mobilisierung von Geschiebe"</formula>
    </cfRule>
    <cfRule type="cellIs" dxfId="9544" priority="855" stopIfTrue="1" operator="equal">
      <formula>"Charriage présumé perturbé / Geschiebehaushalt vermutlich beeinträchtigt"</formula>
    </cfRule>
    <cfRule type="cellIs" dxfId="9543" priority="856" stopIfTrue="1" operator="equal">
      <formula>"Charriage présumé naturel / Geschiebehaushalt vermutlich natürlich"</formula>
    </cfRule>
    <cfRule type="cellIs" dxfId="9542" priority="857" stopIfTrue="1" operator="equal">
      <formula>"non pertinent / nicht relevant"</formula>
    </cfRule>
    <cfRule type="cellIs" dxfId="9541" priority="858" stopIfTrue="1" operator="equal">
      <formula>"21-50%"</formula>
    </cfRule>
    <cfRule type="cellIs" dxfId="9540" priority="859" stopIfTrue="1" operator="equal">
      <formula>"51-80%"</formula>
    </cfRule>
  </conditionalFormatting>
  <conditionalFormatting sqref="U122">
    <cfRule type="cellIs" dxfId="9539" priority="860" stopIfTrue="1" operator="equal">
      <formula>"81 -100%"</formula>
    </cfRule>
    <cfRule type="cellIs" dxfId="9538" priority="861" stopIfTrue="1" operator="equal">
      <formula>"0-20%"</formula>
    </cfRule>
  </conditionalFormatting>
  <conditionalFormatting sqref="U123">
    <cfRule type="cellIs" dxfId="9537" priority="840" stopIfTrue="1" operator="equal">
      <formula>"Charriage présumé faiblement perturbé / Geschiebe vermutlich leicht beeinträchtigt"</formula>
    </cfRule>
    <cfRule type="cellIs" dxfId="9536" priority="841" stopIfTrue="1" operator="equal">
      <formula>"La remobilisation des sédiments est perturbée / Mobilisierung von Geschiebe beeinträchtigt"</formula>
    </cfRule>
    <cfRule type="cellIs" dxfId="9535" priority="842" stopIfTrue="1" operator="equal">
      <formula>"Problème lié à un manque de charriage ou à un manque de remobilisation des sédiments / Problem aufgrund Geschiebemangels bzw. mangelnder Mobilisierung von Geschiebe"</formula>
    </cfRule>
    <cfRule type="cellIs" dxfId="9534" priority="843" stopIfTrue="1" operator="equal">
      <formula>"Déficit non apparent en charriage ou en remobilisation des sédiments / kein sichtbares Defizit beim Geschiebehaushalt bzw. bei der Mobilisierung von Geschiebe"</formula>
    </cfRule>
    <cfRule type="cellIs" dxfId="9533" priority="844" stopIfTrue="1" operator="equal">
      <formula>"Charriage présumé perturbé / Geschiebehaushalt vermutlich beeinträchtigt"</formula>
    </cfRule>
    <cfRule type="cellIs" dxfId="9532" priority="845" stopIfTrue="1" operator="equal">
      <formula>"Charriage présumé naturel / Geschiebehaushalt vermutlich natürlich"</formula>
    </cfRule>
    <cfRule type="cellIs" dxfId="9531" priority="846" stopIfTrue="1" operator="equal">
      <formula>"non pertinent / nicht relevant"</formula>
    </cfRule>
    <cfRule type="cellIs" dxfId="9530" priority="847" stopIfTrue="1" operator="equal">
      <formula>"21-50%"</formula>
    </cfRule>
    <cfRule type="cellIs" dxfId="9529" priority="848" stopIfTrue="1" operator="equal">
      <formula>"51-80%"</formula>
    </cfRule>
  </conditionalFormatting>
  <conditionalFormatting sqref="U123">
    <cfRule type="cellIs" dxfId="9528" priority="849" stopIfTrue="1" operator="equal">
      <formula>"81 -100%"</formula>
    </cfRule>
    <cfRule type="cellIs" dxfId="9527" priority="850" stopIfTrue="1" operator="equal">
      <formula>"0-20%"</formula>
    </cfRule>
  </conditionalFormatting>
  <conditionalFormatting sqref="U179">
    <cfRule type="cellIs" dxfId="9526" priority="829" stopIfTrue="1" operator="equal">
      <formula>"Charriage présumé faiblement perturbé / Geschiebe vermutlich leicht beeinträchtigt"</formula>
    </cfRule>
    <cfRule type="cellIs" dxfId="9525" priority="830" stopIfTrue="1" operator="equal">
      <formula>"La remobilisation des sédiments est perturbée / Mobilisierung von Geschiebe beeinträchtigt"</formula>
    </cfRule>
    <cfRule type="cellIs" dxfId="9524" priority="831" stopIfTrue="1" operator="equal">
      <formula>"Problème lié à un manque de charriage ou à un manque de remobilisation des sédiments / Problem aufgrund Geschiebemangels bzw. mangelnder Mobilisierung von Geschiebe"</formula>
    </cfRule>
    <cfRule type="cellIs" dxfId="9523" priority="832" stopIfTrue="1" operator="equal">
      <formula>"Déficit non apparent en charriage ou en remobilisation des sédiments / kein sichtbares Defizit beim Geschiebehaushalt bzw. bei der Mobilisierung von Geschiebe"</formula>
    </cfRule>
    <cfRule type="cellIs" dxfId="9522" priority="833" stopIfTrue="1" operator="equal">
      <formula>"Charriage présumé perturbé / Geschiebehaushalt vermutlich beeinträchtigt"</formula>
    </cfRule>
    <cfRule type="cellIs" dxfId="9521" priority="834" stopIfTrue="1" operator="equal">
      <formula>"Charriage présumé naturel / Geschiebehaushalt vermutlich natürlich"</formula>
    </cfRule>
    <cfRule type="cellIs" dxfId="9520" priority="835" stopIfTrue="1" operator="equal">
      <formula>"non pertinent / nicht relevant"</formula>
    </cfRule>
    <cfRule type="cellIs" dxfId="9519" priority="836" stopIfTrue="1" operator="equal">
      <formula>"21-50%"</formula>
    </cfRule>
    <cfRule type="cellIs" dxfId="9518" priority="837" stopIfTrue="1" operator="equal">
      <formula>"51-80%"</formula>
    </cfRule>
  </conditionalFormatting>
  <conditionalFormatting sqref="U179">
    <cfRule type="cellIs" dxfId="9517" priority="838" stopIfTrue="1" operator="equal">
      <formula>"81 -100%"</formula>
    </cfRule>
    <cfRule type="cellIs" dxfId="9516" priority="839" stopIfTrue="1" operator="equal">
      <formula>"0-20%"</formula>
    </cfRule>
  </conditionalFormatting>
  <conditionalFormatting sqref="U243">
    <cfRule type="cellIs" dxfId="9515" priority="818" stopIfTrue="1" operator="equal">
      <formula>"Charriage présumé faiblement perturbé / Geschiebe vermutlich leicht beeinträchtigt"</formula>
    </cfRule>
    <cfRule type="cellIs" dxfId="9514" priority="819" stopIfTrue="1" operator="equal">
      <formula>"La remobilisation des sédiments est perturbée / Mobilisierung von Geschiebe beeinträchtigt"</formula>
    </cfRule>
    <cfRule type="cellIs" dxfId="9513" priority="820" stopIfTrue="1" operator="equal">
      <formula>"Problème lié à un manque de charriage ou à un manque de remobilisation des sédiments / Problem aufgrund Geschiebemangels bzw. mangelnder Mobilisierung von Geschiebe"</formula>
    </cfRule>
    <cfRule type="cellIs" dxfId="9512" priority="821" stopIfTrue="1" operator="equal">
      <formula>"Déficit non apparent en charriage ou en remobilisation des sédiments / kein sichtbares Defizit beim Geschiebehaushalt bzw. bei der Mobilisierung von Geschiebe"</formula>
    </cfRule>
    <cfRule type="cellIs" dxfId="9511" priority="822" stopIfTrue="1" operator="equal">
      <formula>"Charriage présumé perturbé / Geschiebehaushalt vermutlich beeinträchtigt"</formula>
    </cfRule>
    <cfRule type="cellIs" dxfId="9510" priority="823" stopIfTrue="1" operator="equal">
      <formula>"Charriage présumé naturel / Geschiebehaushalt vermutlich natürlich"</formula>
    </cfRule>
    <cfRule type="cellIs" dxfId="9509" priority="824" stopIfTrue="1" operator="equal">
      <formula>"non pertinent / nicht relevant"</formula>
    </cfRule>
    <cfRule type="cellIs" dxfId="9508" priority="825" stopIfTrue="1" operator="equal">
      <formula>"21-50%"</formula>
    </cfRule>
    <cfRule type="cellIs" dxfId="9507" priority="826" stopIfTrue="1" operator="equal">
      <formula>"51-80%"</formula>
    </cfRule>
  </conditionalFormatting>
  <conditionalFormatting sqref="U243">
    <cfRule type="cellIs" dxfId="9506" priority="827" stopIfTrue="1" operator="equal">
      <formula>"81 -100%"</formula>
    </cfRule>
    <cfRule type="cellIs" dxfId="9505" priority="828" stopIfTrue="1" operator="equal">
      <formula>"0-20%"</formula>
    </cfRule>
  </conditionalFormatting>
  <conditionalFormatting sqref="U115">
    <cfRule type="cellIs" dxfId="9504" priority="807" stopIfTrue="1" operator="equal">
      <formula>"Charriage présumé faiblement perturbé / Geschiebe vermutlich leicht beeinträchtigt"</formula>
    </cfRule>
    <cfRule type="cellIs" dxfId="9503" priority="808" stopIfTrue="1" operator="equal">
      <formula>"La remobilisation des sédiments est perturbée / Mobilisierung von Geschiebe beeinträchtigt"</formula>
    </cfRule>
    <cfRule type="cellIs" dxfId="9502" priority="809" stopIfTrue="1" operator="equal">
      <formula>"Problème lié à un manque de charriage ou à un manque de remobilisation des sédiments / Problem aufgrund Geschiebemangels bzw. mangelnder Mobilisierung von Geschiebe"</formula>
    </cfRule>
    <cfRule type="cellIs" dxfId="9501" priority="810" stopIfTrue="1" operator="equal">
      <formula>"Déficit non apparent en charriage ou en remobilisation des sédiments / kein sichtbares Defizit beim Geschiebehaushalt bzw. bei der Mobilisierung von Geschiebe"</formula>
    </cfRule>
    <cfRule type="cellIs" dxfId="9500" priority="811" stopIfTrue="1" operator="equal">
      <formula>"Charriage présumé perturbé / Geschiebehaushalt vermutlich beeinträchtigt"</formula>
    </cfRule>
    <cfRule type="cellIs" dxfId="9499" priority="812" stopIfTrue="1" operator="equal">
      <formula>"Charriage présumé naturel / Geschiebehaushalt vermutlich natürlich"</formula>
    </cfRule>
    <cfRule type="cellIs" dxfId="9498" priority="813" stopIfTrue="1" operator="equal">
      <formula>"non pertinent / nicht relevant"</formula>
    </cfRule>
    <cfRule type="cellIs" dxfId="9497" priority="814" stopIfTrue="1" operator="equal">
      <formula>"21-50%"</formula>
    </cfRule>
    <cfRule type="cellIs" dxfId="9496" priority="815" stopIfTrue="1" operator="equal">
      <formula>"51-80%"</formula>
    </cfRule>
  </conditionalFormatting>
  <conditionalFormatting sqref="U115">
    <cfRule type="cellIs" dxfId="9495" priority="816" stopIfTrue="1" operator="equal">
      <formula>"81 -100%"</formula>
    </cfRule>
    <cfRule type="cellIs" dxfId="9494" priority="817" stopIfTrue="1" operator="equal">
      <formula>"0-20%"</formula>
    </cfRule>
  </conditionalFormatting>
  <conditionalFormatting sqref="U116">
    <cfRule type="cellIs" dxfId="9493" priority="796" stopIfTrue="1" operator="equal">
      <formula>"Charriage présumé faiblement perturbé / Geschiebe vermutlich leicht beeinträchtigt"</formula>
    </cfRule>
    <cfRule type="cellIs" dxfId="9492" priority="797" stopIfTrue="1" operator="equal">
      <formula>"La remobilisation des sédiments est perturbée / Mobilisierung von Geschiebe beeinträchtigt"</formula>
    </cfRule>
    <cfRule type="cellIs" dxfId="9491" priority="798" stopIfTrue="1" operator="equal">
      <formula>"Problème lié à un manque de charriage ou à un manque de remobilisation des sédiments / Problem aufgrund Geschiebemangels bzw. mangelnder Mobilisierung von Geschiebe"</formula>
    </cfRule>
    <cfRule type="cellIs" dxfId="9490" priority="799" stopIfTrue="1" operator="equal">
      <formula>"Déficit non apparent en charriage ou en remobilisation des sédiments / kein sichtbares Defizit beim Geschiebehaushalt bzw. bei der Mobilisierung von Geschiebe"</formula>
    </cfRule>
    <cfRule type="cellIs" dxfId="9489" priority="800" stopIfTrue="1" operator="equal">
      <formula>"Charriage présumé perturbé / Geschiebehaushalt vermutlich beeinträchtigt"</formula>
    </cfRule>
    <cfRule type="cellIs" dxfId="9488" priority="801" stopIfTrue="1" operator="equal">
      <formula>"Charriage présumé naturel / Geschiebehaushalt vermutlich natürlich"</formula>
    </cfRule>
    <cfRule type="cellIs" dxfId="9487" priority="802" stopIfTrue="1" operator="equal">
      <formula>"non pertinent / nicht relevant"</formula>
    </cfRule>
    <cfRule type="cellIs" dxfId="9486" priority="803" stopIfTrue="1" operator="equal">
      <formula>"21-50%"</formula>
    </cfRule>
    <cfRule type="cellIs" dxfId="9485" priority="804" stopIfTrue="1" operator="equal">
      <formula>"51-80%"</formula>
    </cfRule>
  </conditionalFormatting>
  <conditionalFormatting sqref="U116">
    <cfRule type="cellIs" dxfId="9484" priority="805" stopIfTrue="1" operator="equal">
      <formula>"81 -100%"</formula>
    </cfRule>
    <cfRule type="cellIs" dxfId="9483" priority="806" stopIfTrue="1" operator="equal">
      <formula>"0-20%"</formula>
    </cfRule>
  </conditionalFormatting>
  <conditionalFormatting sqref="U117">
    <cfRule type="cellIs" dxfId="9482" priority="785" stopIfTrue="1" operator="equal">
      <formula>"Charriage présumé faiblement perturbé / Geschiebe vermutlich leicht beeinträchtigt"</formula>
    </cfRule>
    <cfRule type="cellIs" dxfId="9481" priority="786" stopIfTrue="1" operator="equal">
      <formula>"La remobilisation des sédiments est perturbée / Mobilisierung von Geschiebe beeinträchtigt"</formula>
    </cfRule>
    <cfRule type="cellIs" dxfId="9480" priority="787" stopIfTrue="1" operator="equal">
      <formula>"Problème lié à un manque de charriage ou à un manque de remobilisation des sédiments / Problem aufgrund Geschiebemangels bzw. mangelnder Mobilisierung von Geschiebe"</formula>
    </cfRule>
    <cfRule type="cellIs" dxfId="9479" priority="788" stopIfTrue="1" operator="equal">
      <formula>"Déficit non apparent en charriage ou en remobilisation des sédiments / kein sichtbares Defizit beim Geschiebehaushalt bzw. bei der Mobilisierung von Geschiebe"</formula>
    </cfRule>
    <cfRule type="cellIs" dxfId="9478" priority="789" stopIfTrue="1" operator="equal">
      <formula>"Charriage présumé perturbé / Geschiebehaushalt vermutlich beeinträchtigt"</formula>
    </cfRule>
    <cfRule type="cellIs" dxfId="9477" priority="790" stopIfTrue="1" operator="equal">
      <formula>"Charriage présumé naturel / Geschiebehaushalt vermutlich natürlich"</formula>
    </cfRule>
    <cfRule type="cellIs" dxfId="9476" priority="791" stopIfTrue="1" operator="equal">
      <formula>"non pertinent / nicht relevant"</formula>
    </cfRule>
    <cfRule type="cellIs" dxfId="9475" priority="792" stopIfTrue="1" operator="equal">
      <formula>"21-50%"</formula>
    </cfRule>
    <cfRule type="cellIs" dxfId="9474" priority="793" stopIfTrue="1" operator="equal">
      <formula>"51-80%"</formula>
    </cfRule>
  </conditionalFormatting>
  <conditionalFormatting sqref="U117">
    <cfRule type="cellIs" dxfId="9473" priority="794" stopIfTrue="1" operator="equal">
      <formula>"81 -100%"</formula>
    </cfRule>
    <cfRule type="cellIs" dxfId="9472" priority="795" stopIfTrue="1" operator="equal">
      <formula>"0-20%"</formula>
    </cfRule>
  </conditionalFormatting>
  <conditionalFormatting sqref="U118">
    <cfRule type="cellIs" dxfId="9471" priority="774" stopIfTrue="1" operator="equal">
      <formula>"Charriage présumé faiblement perturbé / Geschiebe vermutlich leicht beeinträchtigt"</formula>
    </cfRule>
    <cfRule type="cellIs" dxfId="9470" priority="775" stopIfTrue="1" operator="equal">
      <formula>"La remobilisation des sédiments est perturbée / Mobilisierung von Geschiebe beeinträchtigt"</formula>
    </cfRule>
    <cfRule type="cellIs" dxfId="9469" priority="776" stopIfTrue="1" operator="equal">
      <formula>"Problème lié à un manque de charriage ou à un manque de remobilisation des sédiments / Problem aufgrund Geschiebemangels bzw. mangelnder Mobilisierung von Geschiebe"</formula>
    </cfRule>
    <cfRule type="cellIs" dxfId="9468" priority="777" stopIfTrue="1" operator="equal">
      <formula>"Déficit non apparent en charriage ou en remobilisation des sédiments / kein sichtbares Defizit beim Geschiebehaushalt bzw. bei der Mobilisierung von Geschiebe"</formula>
    </cfRule>
    <cfRule type="cellIs" dxfId="9467" priority="778" stopIfTrue="1" operator="equal">
      <formula>"Charriage présumé perturbé / Geschiebehaushalt vermutlich beeinträchtigt"</formula>
    </cfRule>
    <cfRule type="cellIs" dxfId="9466" priority="779" stopIfTrue="1" operator="equal">
      <formula>"Charriage présumé naturel / Geschiebehaushalt vermutlich natürlich"</formula>
    </cfRule>
    <cfRule type="cellIs" dxfId="9465" priority="780" stopIfTrue="1" operator="equal">
      <formula>"non pertinent / nicht relevant"</formula>
    </cfRule>
    <cfRule type="cellIs" dxfId="9464" priority="781" stopIfTrue="1" operator="equal">
      <formula>"21-50%"</formula>
    </cfRule>
    <cfRule type="cellIs" dxfId="9463" priority="782" stopIfTrue="1" operator="equal">
      <formula>"51-80%"</formula>
    </cfRule>
  </conditionalFormatting>
  <conditionalFormatting sqref="U118">
    <cfRule type="cellIs" dxfId="9462" priority="783" stopIfTrue="1" operator="equal">
      <formula>"81 -100%"</formula>
    </cfRule>
    <cfRule type="cellIs" dxfId="9461" priority="784" stopIfTrue="1" operator="equal">
      <formula>"0-20%"</formula>
    </cfRule>
  </conditionalFormatting>
  <conditionalFormatting sqref="V178">
    <cfRule type="cellIs" dxfId="9460" priority="763" stopIfTrue="1" operator="equal">
      <formula>"Charriage présumé faiblement perturbé / Geschiebe vermutlich leicht beeinträchtigt"</formula>
    </cfRule>
    <cfRule type="cellIs" dxfId="9459" priority="764" stopIfTrue="1" operator="equal">
      <formula>"La remobilisation des sédiments est perturbée / Mobilisierung von Geschiebe beeinträchtigt"</formula>
    </cfRule>
    <cfRule type="cellIs" dxfId="9458" priority="765" stopIfTrue="1" operator="equal">
      <formula>"Problème lié à un manque de charriage ou à un manque de remobilisation des sédiments / Problem aufgrund Geschiebemangels bzw. mangelnder Mobilisierung von Geschiebe"</formula>
    </cfRule>
    <cfRule type="cellIs" dxfId="9457" priority="766" stopIfTrue="1" operator="equal">
      <formula>"Déficit non apparent en charriage ou en remobilisation des sédiments / kein sichtbares Defizit beim Geschiebehaushalt bzw. bei der Mobilisierung von Geschiebe"</formula>
    </cfRule>
    <cfRule type="cellIs" dxfId="9456" priority="767" stopIfTrue="1" operator="equal">
      <formula>"Charriage présumé perturbé / Geschiebehaushalt vermutlich beeinträchtigt"</formula>
    </cfRule>
    <cfRule type="cellIs" dxfId="9455" priority="768" stopIfTrue="1" operator="equal">
      <formula>"Charriage présumé naturel / Geschiebehaushalt vermutlich natürlich"</formula>
    </cfRule>
    <cfRule type="cellIs" dxfId="9454" priority="769" stopIfTrue="1" operator="equal">
      <formula>"non pertinent / nicht relevant"</formula>
    </cfRule>
    <cfRule type="cellIs" dxfId="9453" priority="770" stopIfTrue="1" operator="equal">
      <formula>"21-50%"</formula>
    </cfRule>
    <cfRule type="cellIs" dxfId="9452" priority="771" stopIfTrue="1" operator="equal">
      <formula>"51-80%"</formula>
    </cfRule>
  </conditionalFormatting>
  <conditionalFormatting sqref="V178">
    <cfRule type="cellIs" dxfId="9451" priority="772" stopIfTrue="1" operator="equal">
      <formula>"81 -100%"</formula>
    </cfRule>
    <cfRule type="cellIs" dxfId="9450" priority="773" stopIfTrue="1" operator="equal">
      <formula>"0-20%"</formula>
    </cfRule>
  </conditionalFormatting>
  <conditionalFormatting sqref="U236">
    <cfRule type="cellIs" dxfId="9449" priority="752" stopIfTrue="1" operator="equal">
      <formula>"Charriage présumé faiblement perturbé / Geschiebe vermutlich leicht beeinträchtigt"</formula>
    </cfRule>
    <cfRule type="cellIs" dxfId="9448" priority="753" stopIfTrue="1" operator="equal">
      <formula>"La remobilisation des sédiments est perturbée / Mobilisierung von Geschiebe beeinträchtigt"</formula>
    </cfRule>
    <cfRule type="cellIs" dxfId="9447" priority="754" stopIfTrue="1" operator="equal">
      <formula>"Problème lié à un manque de charriage ou à un manque de remobilisation des sédiments / Problem aufgrund Geschiebemangels bzw. mangelnder Mobilisierung von Geschiebe"</formula>
    </cfRule>
    <cfRule type="cellIs" dxfId="9446" priority="755" stopIfTrue="1" operator="equal">
      <formula>"Déficit non apparent en charriage ou en remobilisation des sédiments / kein sichtbares Defizit beim Geschiebehaushalt bzw. bei der Mobilisierung von Geschiebe"</formula>
    </cfRule>
    <cfRule type="cellIs" dxfId="9445" priority="756" stopIfTrue="1" operator="equal">
      <formula>"Charriage présumé perturbé / Geschiebehaushalt vermutlich beeinträchtigt"</formula>
    </cfRule>
    <cfRule type="cellIs" dxfId="9444" priority="757" stopIfTrue="1" operator="equal">
      <formula>"Charriage présumé naturel / Geschiebehaushalt vermutlich natürlich"</formula>
    </cfRule>
    <cfRule type="cellIs" dxfId="9443" priority="758" stopIfTrue="1" operator="equal">
      <formula>"non pertinent / nicht relevant"</formula>
    </cfRule>
    <cfRule type="cellIs" dxfId="9442" priority="759" stopIfTrue="1" operator="equal">
      <formula>"21-50%"</formula>
    </cfRule>
    <cfRule type="cellIs" dxfId="9441" priority="760" stopIfTrue="1" operator="equal">
      <formula>"51-80%"</formula>
    </cfRule>
  </conditionalFormatting>
  <conditionalFormatting sqref="U236">
    <cfRule type="cellIs" dxfId="9440" priority="761" stopIfTrue="1" operator="equal">
      <formula>"81-100%"</formula>
    </cfRule>
    <cfRule type="cellIs" dxfId="9439" priority="762" stopIfTrue="1" operator="equal">
      <formula>"0-20%"</formula>
    </cfRule>
  </conditionalFormatting>
  <conditionalFormatting sqref="U4:V9 U79:U143 U58:V78 U10:U57 V79 U144:V274">
    <cfRule type="cellIs" dxfId="9438" priority="747" operator="equal">
      <formula>"non pertinent / nicht relevant"</formula>
    </cfRule>
    <cfRule type="cellIs" dxfId="9437" priority="748" operator="equal">
      <formula>"81-100%"</formula>
    </cfRule>
    <cfRule type="cellIs" dxfId="9436" priority="749" operator="equal">
      <formula>"51-80%"</formula>
    </cfRule>
    <cfRule type="cellIs" dxfId="9435" priority="750" operator="equal">
      <formula>"21-50%"</formula>
    </cfRule>
    <cfRule type="cellIs" dxfId="9434" priority="751" operator="equal">
      <formula>"0-20%"</formula>
    </cfRule>
  </conditionalFormatting>
  <conditionalFormatting sqref="Q275">
    <cfRule type="cellIs" dxfId="9433" priority="736" stopIfTrue="1" operator="equal">
      <formula>"Charriage présumé faiblement perturbé / Geschiebe vermutlich leicht beeinträchtigt"</formula>
    </cfRule>
    <cfRule type="cellIs" dxfId="9432" priority="737" stopIfTrue="1" operator="equal">
      <formula>"La remobilisation des sédiments est perturbée / Mobilisierung von Geschiebe beeinträchtigt"</formula>
    </cfRule>
    <cfRule type="cellIs" dxfId="9431" priority="738" stopIfTrue="1" operator="equal">
      <formula>"Problème lié à un manque de charriage ou à un manque de remobilisation des sédiments / Problem aufgrund Geschiebemangels bzw. mangelnder Mobilisierung von Geschiebe"</formula>
    </cfRule>
    <cfRule type="cellIs" dxfId="9430" priority="739" stopIfTrue="1" operator="equal">
      <formula>"Déficit non apparent en charriage ou en remobilisation des sédiments / kein sichtbares Defizit beim Geschiebehaushalt bzw. bei der Mobilisierung von Geschiebe"</formula>
    </cfRule>
    <cfRule type="cellIs" dxfId="9429" priority="740" stopIfTrue="1" operator="equal">
      <formula>"Charriage présumé perturbé / Geschiebehaushalt vermutlich beeinträchtigt"</formula>
    </cfRule>
    <cfRule type="cellIs" dxfId="9428" priority="741" stopIfTrue="1" operator="equal">
      <formula>"Charriage présumé naturel / Geschiebehaushalt vermutlich natürlich"</formula>
    </cfRule>
    <cfRule type="cellIs" dxfId="9427" priority="742" stopIfTrue="1" operator="equal">
      <formula>"non pertinent / nicht relevant"</formula>
    </cfRule>
    <cfRule type="cellIs" dxfId="9426" priority="743" stopIfTrue="1" operator="equal">
      <formula>"21-50%"</formula>
    </cfRule>
    <cfRule type="cellIs" dxfId="9425" priority="744" stopIfTrue="1" operator="equal">
      <formula>"51-80%"</formula>
    </cfRule>
  </conditionalFormatting>
  <conditionalFormatting sqref="Q275">
    <cfRule type="cellIs" dxfId="9424" priority="745" stopIfTrue="1" operator="equal">
      <formula>"81 -100%"</formula>
    </cfRule>
    <cfRule type="cellIs" dxfId="9423" priority="746" stopIfTrue="1" operator="equal">
      <formula>"0-20%"</formula>
    </cfRule>
  </conditionalFormatting>
  <conditionalFormatting sqref="U275:V275">
    <cfRule type="cellIs" dxfId="9422" priority="731" operator="equal">
      <formula>"non pertinent / nicht relevant"</formula>
    </cfRule>
    <cfRule type="cellIs" dxfId="9421" priority="732" operator="equal">
      <formula>"81-100%"</formula>
    </cfRule>
    <cfRule type="cellIs" dxfId="9420" priority="733" operator="equal">
      <formula>"51-80%"</formula>
    </cfRule>
    <cfRule type="cellIs" dxfId="9419" priority="734" operator="equal">
      <formula>"21-50%"</formula>
    </cfRule>
    <cfRule type="cellIs" dxfId="9418" priority="735" operator="equal">
      <formula>"0-20%"</formula>
    </cfRule>
  </conditionalFormatting>
  <conditionalFormatting sqref="V80:V142">
    <cfRule type="cellIs" dxfId="9417" priority="726" operator="equal">
      <formula>"non pertinent / nicht relevant"</formula>
    </cfRule>
    <cfRule type="cellIs" dxfId="9416" priority="727" operator="equal">
      <formula>"81-100%"</formula>
    </cfRule>
    <cfRule type="cellIs" dxfId="9415" priority="728" operator="equal">
      <formula>"51-80%"</formula>
    </cfRule>
    <cfRule type="cellIs" dxfId="9414" priority="729" operator="equal">
      <formula>"21-50%"</formula>
    </cfRule>
    <cfRule type="cellIs" dxfId="9413" priority="730" operator="equal">
      <formula>"0-20%"</formula>
    </cfRule>
  </conditionalFormatting>
  <conditionalFormatting sqref="V11:V17">
    <cfRule type="cellIs" dxfId="9412" priority="721" operator="equal">
      <formula>"non pertinent / nicht relevant"</formula>
    </cfRule>
    <cfRule type="cellIs" dxfId="9411" priority="722" operator="equal">
      <formula>"81-100%"</formula>
    </cfRule>
    <cfRule type="cellIs" dxfId="9410" priority="723" operator="equal">
      <formula>"51-80%"</formula>
    </cfRule>
    <cfRule type="cellIs" dxfId="9409" priority="724" operator="equal">
      <formula>"21-50%"</formula>
    </cfRule>
    <cfRule type="cellIs" dxfId="9408" priority="725" operator="equal">
      <formula>"0-20%"</formula>
    </cfRule>
  </conditionalFormatting>
  <conditionalFormatting sqref="V22:V57">
    <cfRule type="cellIs" dxfId="9407" priority="716" operator="equal">
      <formula>"non pertinent / nicht relevant"</formula>
    </cfRule>
    <cfRule type="cellIs" dxfId="9406" priority="717" operator="equal">
      <formula>"81-100%"</formula>
    </cfRule>
    <cfRule type="cellIs" dxfId="9405" priority="718" operator="equal">
      <formula>"51-80%"</formula>
    </cfRule>
    <cfRule type="cellIs" dxfId="9404" priority="719" operator="equal">
      <formula>"21-50%"</formula>
    </cfRule>
    <cfRule type="cellIs" dxfId="9403" priority="720" operator="equal">
      <formula>"0-20%"</formula>
    </cfRule>
  </conditionalFormatting>
  <conditionalFormatting sqref="V18">
    <cfRule type="cellIs" dxfId="9402" priority="711" operator="equal">
      <formula>"non pertinent / nicht relevant"</formula>
    </cfRule>
    <cfRule type="cellIs" dxfId="9401" priority="712" operator="equal">
      <formula>"81-100%"</formula>
    </cfRule>
    <cfRule type="cellIs" dxfId="9400" priority="713" operator="equal">
      <formula>"51-80%"</formula>
    </cfRule>
    <cfRule type="cellIs" dxfId="9399" priority="714" operator="equal">
      <formula>"21-50%"</formula>
    </cfRule>
    <cfRule type="cellIs" dxfId="9398" priority="715" operator="equal">
      <formula>"0-20%"</formula>
    </cfRule>
  </conditionalFormatting>
  <conditionalFormatting sqref="V19:V20">
    <cfRule type="cellIs" dxfId="9397" priority="706" operator="equal">
      <formula>"non pertinent / nicht relevant"</formula>
    </cfRule>
    <cfRule type="cellIs" dxfId="9396" priority="707" operator="equal">
      <formula>"81-100%"</formula>
    </cfRule>
    <cfRule type="cellIs" dxfId="9395" priority="708" operator="equal">
      <formula>"51-80%"</formula>
    </cfRule>
    <cfRule type="cellIs" dxfId="9394" priority="709" operator="equal">
      <formula>"21-50%"</formula>
    </cfRule>
    <cfRule type="cellIs" dxfId="9393" priority="710" operator="equal">
      <formula>"0-20%"</formula>
    </cfRule>
  </conditionalFormatting>
  <conditionalFormatting sqref="V21">
    <cfRule type="cellIs" dxfId="9392" priority="701" operator="equal">
      <formula>"non pertinent / nicht relevant"</formula>
    </cfRule>
    <cfRule type="cellIs" dxfId="9391" priority="702" operator="equal">
      <formula>"81-100%"</formula>
    </cfRule>
    <cfRule type="cellIs" dxfId="9390" priority="703" operator="equal">
      <formula>"51-80%"</formula>
    </cfRule>
    <cfRule type="cellIs" dxfId="9389" priority="704" operator="equal">
      <formula>"21-50%"</formula>
    </cfRule>
    <cfRule type="cellIs" dxfId="9388" priority="705" operator="equal">
      <formula>"0-20%"</formula>
    </cfRule>
  </conditionalFormatting>
  <conditionalFormatting sqref="V143">
    <cfRule type="cellIs" dxfId="9387" priority="696" operator="equal">
      <formula>"non pertinent / nicht relevant"</formula>
    </cfRule>
    <cfRule type="cellIs" dxfId="9386" priority="697" operator="equal">
      <formula>"81-100%"</formula>
    </cfRule>
    <cfRule type="cellIs" dxfId="9385" priority="698" operator="equal">
      <formula>"51-80%"</formula>
    </cfRule>
    <cfRule type="cellIs" dxfId="9384" priority="699" operator="equal">
      <formula>"21-50%"</formula>
    </cfRule>
    <cfRule type="cellIs" dxfId="9383" priority="700" operator="equal">
      <formula>"0-20%"</formula>
    </cfRule>
  </conditionalFormatting>
  <conditionalFormatting sqref="V10">
    <cfRule type="cellIs" dxfId="9382" priority="691" operator="equal">
      <formula>"non pertinent / nicht relevant"</formula>
    </cfRule>
    <cfRule type="cellIs" dxfId="9381" priority="692" operator="equal">
      <formula>"81-100%"</formula>
    </cfRule>
    <cfRule type="cellIs" dxfId="9380" priority="693" operator="equal">
      <formula>"51-80%"</formula>
    </cfRule>
    <cfRule type="cellIs" dxfId="9379" priority="694" operator="equal">
      <formula>"21-50%"</formula>
    </cfRule>
    <cfRule type="cellIs" dxfId="9378" priority="695" operator="equal">
      <formula>"0-20%"</formula>
    </cfRule>
  </conditionalFormatting>
  <conditionalFormatting sqref="Z147">
    <cfRule type="cellIs" dxfId="9377" priority="686" operator="equal">
      <formula>"non pertinent / nicht relevant"</formula>
    </cfRule>
    <cfRule type="cellIs" dxfId="9376" priority="687" operator="equal">
      <formula>"81-100%"</formula>
    </cfRule>
    <cfRule type="cellIs" dxfId="9375" priority="688" operator="equal">
      <formula>"51-80%"</formula>
    </cfRule>
    <cfRule type="cellIs" dxfId="9374" priority="689" operator="equal">
      <formula>"21-50%"</formula>
    </cfRule>
    <cfRule type="cellIs" dxfId="9373" priority="690" operator="equal">
      <formula>"0-20%"</formula>
    </cfRule>
  </conditionalFormatting>
  <conditionalFormatting sqref="Z148">
    <cfRule type="cellIs" dxfId="9372" priority="681" operator="equal">
      <formula>"non pertinent / nicht relevant"</formula>
    </cfRule>
    <cfRule type="cellIs" dxfId="9371" priority="682" operator="equal">
      <formula>"81-100%"</formula>
    </cfRule>
    <cfRule type="cellIs" dxfId="9370" priority="683" operator="equal">
      <formula>"51-80%"</formula>
    </cfRule>
    <cfRule type="cellIs" dxfId="9369" priority="684" operator="equal">
      <formula>"21-50%"</formula>
    </cfRule>
    <cfRule type="cellIs" dxfId="9368" priority="685" operator="equal">
      <formula>"0-20%"</formula>
    </cfRule>
  </conditionalFormatting>
  <conditionalFormatting sqref="Z149">
    <cfRule type="cellIs" dxfId="9367" priority="676" operator="equal">
      <formula>"non pertinent / nicht relevant"</formula>
    </cfRule>
    <cfRule type="cellIs" dxfId="9366" priority="677" operator="equal">
      <formula>"81-100%"</formula>
    </cfRule>
    <cfRule type="cellIs" dxfId="9365" priority="678" operator="equal">
      <formula>"51-80%"</formula>
    </cfRule>
    <cfRule type="cellIs" dxfId="9364" priority="679" operator="equal">
      <formula>"21-50%"</formula>
    </cfRule>
    <cfRule type="cellIs" dxfId="9363" priority="680" operator="equal">
      <formula>"0-20%"</formula>
    </cfRule>
  </conditionalFormatting>
  <conditionalFormatting sqref="Z150">
    <cfRule type="cellIs" dxfId="9362" priority="671" operator="equal">
      <formula>"non pertinent / nicht relevant"</formula>
    </cfRule>
    <cfRule type="cellIs" dxfId="9361" priority="672" operator="equal">
      <formula>"81-100%"</formula>
    </cfRule>
    <cfRule type="cellIs" dxfId="9360" priority="673" operator="equal">
      <formula>"51-80%"</formula>
    </cfRule>
    <cfRule type="cellIs" dxfId="9359" priority="674" operator="equal">
      <formula>"21-50%"</formula>
    </cfRule>
    <cfRule type="cellIs" dxfId="9358" priority="675" operator="equal">
      <formula>"0-20%"</formula>
    </cfRule>
  </conditionalFormatting>
  <conditionalFormatting sqref="Z151">
    <cfRule type="cellIs" dxfId="9357" priority="666" operator="equal">
      <formula>"non pertinent / nicht relevant"</formula>
    </cfRule>
    <cfRule type="cellIs" dxfId="9356" priority="667" operator="equal">
      <formula>"81-100%"</formula>
    </cfRule>
    <cfRule type="cellIs" dxfId="9355" priority="668" operator="equal">
      <formula>"51-80%"</formula>
    </cfRule>
    <cfRule type="cellIs" dxfId="9354" priority="669" operator="equal">
      <formula>"21-50%"</formula>
    </cfRule>
    <cfRule type="cellIs" dxfId="9353" priority="670" operator="equal">
      <formula>"0-20%"</formula>
    </cfRule>
  </conditionalFormatting>
  <conditionalFormatting sqref="Z153">
    <cfRule type="cellIs" dxfId="9352" priority="661" operator="equal">
      <formula>"non pertinent / nicht relevant"</formula>
    </cfRule>
    <cfRule type="cellIs" dxfId="9351" priority="662" operator="equal">
      <formula>"81-100%"</formula>
    </cfRule>
    <cfRule type="cellIs" dxfId="9350" priority="663" operator="equal">
      <formula>"51-80%"</formula>
    </cfRule>
    <cfRule type="cellIs" dxfId="9349" priority="664" operator="equal">
      <formula>"21-50%"</formula>
    </cfRule>
    <cfRule type="cellIs" dxfId="9348" priority="665" operator="equal">
      <formula>"0-20%"</formula>
    </cfRule>
  </conditionalFormatting>
  <conditionalFormatting sqref="Z154">
    <cfRule type="cellIs" dxfId="9347" priority="656" operator="equal">
      <formula>"non pertinent / nicht relevant"</formula>
    </cfRule>
    <cfRule type="cellIs" dxfId="9346" priority="657" operator="equal">
      <formula>"81-100%"</formula>
    </cfRule>
    <cfRule type="cellIs" dxfId="9345" priority="658" operator="equal">
      <formula>"51-80%"</formula>
    </cfRule>
    <cfRule type="cellIs" dxfId="9344" priority="659" operator="equal">
      <formula>"21-50%"</formula>
    </cfRule>
    <cfRule type="cellIs" dxfId="9343" priority="660" operator="equal">
      <formula>"0-20%"</formula>
    </cfRule>
  </conditionalFormatting>
  <conditionalFormatting sqref="Z155">
    <cfRule type="cellIs" dxfId="9342" priority="651" operator="equal">
      <formula>"non pertinent / nicht relevant"</formula>
    </cfRule>
    <cfRule type="cellIs" dxfId="9341" priority="652" operator="equal">
      <formula>"81-100%"</formula>
    </cfRule>
    <cfRule type="cellIs" dxfId="9340" priority="653" operator="equal">
      <formula>"51-80%"</formula>
    </cfRule>
    <cfRule type="cellIs" dxfId="9339" priority="654" operator="equal">
      <formula>"21-50%"</formula>
    </cfRule>
    <cfRule type="cellIs" dxfId="9338" priority="655" operator="equal">
      <formula>"0-20%"</formula>
    </cfRule>
  </conditionalFormatting>
  <conditionalFormatting sqref="Z156">
    <cfRule type="cellIs" dxfId="9337" priority="646" operator="equal">
      <formula>"non pertinent / nicht relevant"</formula>
    </cfRule>
    <cfRule type="cellIs" dxfId="9336" priority="647" operator="equal">
      <formula>"81-100%"</formula>
    </cfRule>
    <cfRule type="cellIs" dxfId="9335" priority="648" operator="equal">
      <formula>"51-80%"</formula>
    </cfRule>
    <cfRule type="cellIs" dxfId="9334" priority="649" operator="equal">
      <formula>"21-50%"</formula>
    </cfRule>
    <cfRule type="cellIs" dxfId="9333" priority="650" operator="equal">
      <formula>"0-20%"</formula>
    </cfRule>
  </conditionalFormatting>
  <conditionalFormatting sqref="Z157">
    <cfRule type="cellIs" dxfId="9332" priority="641" operator="equal">
      <formula>"non pertinent / nicht relevant"</formula>
    </cfRule>
    <cfRule type="cellIs" dxfId="9331" priority="642" operator="equal">
      <formula>"81-100%"</formula>
    </cfRule>
    <cfRule type="cellIs" dxfId="9330" priority="643" operator="equal">
      <formula>"51-80%"</formula>
    </cfRule>
    <cfRule type="cellIs" dxfId="9329" priority="644" operator="equal">
      <formula>"21-50%"</formula>
    </cfRule>
    <cfRule type="cellIs" dxfId="9328" priority="645" operator="equal">
      <formula>"0-20%"</formula>
    </cfRule>
  </conditionalFormatting>
  <conditionalFormatting sqref="AB18">
    <cfRule type="cellIs" dxfId="9327" priority="556" operator="equal">
      <formula>"non pertinent / nicht relevant"</formula>
    </cfRule>
    <cfRule type="cellIs" dxfId="9326" priority="557" operator="equal">
      <formula>"81-100%"</formula>
    </cfRule>
    <cfRule type="cellIs" dxfId="9325" priority="558" operator="equal">
      <formula>"51-80%"</formula>
    </cfRule>
    <cfRule type="cellIs" dxfId="9324" priority="559" operator="equal">
      <formula>"21-50%"</formula>
    </cfRule>
    <cfRule type="cellIs" dxfId="9323" priority="560" operator="equal">
      <formula>"0-20%"</formula>
    </cfRule>
  </conditionalFormatting>
  <conditionalFormatting sqref="AB9">
    <cfRule type="cellIs" dxfId="9322" priority="616" operator="equal">
      <formula>"non pertinent / nicht relevant"</formula>
    </cfRule>
    <cfRule type="cellIs" dxfId="9321" priority="617" operator="equal">
      <formula>"81-100%"</formula>
    </cfRule>
    <cfRule type="cellIs" dxfId="9320" priority="618" operator="equal">
      <formula>"51-80%"</formula>
    </cfRule>
    <cfRule type="cellIs" dxfId="9319" priority="619" operator="equal">
      <formula>"21-50%"</formula>
    </cfRule>
    <cfRule type="cellIs" dxfId="9318" priority="620" operator="equal">
      <formula>"0-20%"</formula>
    </cfRule>
  </conditionalFormatting>
  <conditionalFormatting sqref="AB10">
    <cfRule type="cellIs" dxfId="9317" priority="611" operator="equal">
      <formula>"non pertinent / nicht relevant"</formula>
    </cfRule>
    <cfRule type="cellIs" dxfId="9316" priority="612" operator="equal">
      <formula>"81-100%"</formula>
    </cfRule>
    <cfRule type="cellIs" dxfId="9315" priority="613" operator="equal">
      <formula>"51-80%"</formula>
    </cfRule>
    <cfRule type="cellIs" dxfId="9314" priority="614" operator="equal">
      <formula>"21-50%"</formula>
    </cfRule>
    <cfRule type="cellIs" dxfId="9313" priority="615" operator="equal">
      <formula>"0-20%"</formula>
    </cfRule>
  </conditionalFormatting>
  <conditionalFormatting sqref="AB11">
    <cfRule type="cellIs" dxfId="9312" priority="606" operator="equal">
      <formula>"non pertinent / nicht relevant"</formula>
    </cfRule>
    <cfRule type="cellIs" dxfId="9311" priority="607" operator="equal">
      <formula>"81-100%"</formula>
    </cfRule>
    <cfRule type="cellIs" dxfId="9310" priority="608" operator="equal">
      <formula>"51-80%"</formula>
    </cfRule>
    <cfRule type="cellIs" dxfId="9309" priority="609" operator="equal">
      <formula>"21-50%"</formula>
    </cfRule>
    <cfRule type="cellIs" dxfId="9308" priority="610" operator="equal">
      <formula>"0-20%"</formula>
    </cfRule>
  </conditionalFormatting>
  <conditionalFormatting sqref="AB13">
    <cfRule type="cellIs" dxfId="9307" priority="601" operator="equal">
      <formula>"non pertinent / nicht relevant"</formula>
    </cfRule>
    <cfRule type="cellIs" dxfId="9306" priority="602" operator="equal">
      <formula>"81-100%"</formula>
    </cfRule>
    <cfRule type="cellIs" dxfId="9305" priority="603" operator="equal">
      <formula>"51-80%"</formula>
    </cfRule>
    <cfRule type="cellIs" dxfId="9304" priority="604" operator="equal">
      <formula>"21-50%"</formula>
    </cfRule>
    <cfRule type="cellIs" dxfId="9303" priority="605" operator="equal">
      <formula>"0-20%"</formula>
    </cfRule>
  </conditionalFormatting>
  <conditionalFormatting sqref="AB45">
    <cfRule type="cellIs" dxfId="9302" priority="596" operator="equal">
      <formula>"non pertinent / nicht relevant"</formula>
    </cfRule>
    <cfRule type="cellIs" dxfId="9301" priority="597" operator="equal">
      <formula>"81-100%"</formula>
    </cfRule>
    <cfRule type="cellIs" dxfId="9300" priority="598" operator="equal">
      <formula>"51-80%"</formula>
    </cfRule>
    <cfRule type="cellIs" dxfId="9299" priority="599" operator="equal">
      <formula>"21-50%"</formula>
    </cfRule>
    <cfRule type="cellIs" dxfId="9298" priority="600" operator="equal">
      <formula>"0-20%"</formula>
    </cfRule>
  </conditionalFormatting>
  <conditionalFormatting sqref="AB69">
    <cfRule type="cellIs" dxfId="9297" priority="591" operator="equal">
      <formula>"non pertinent / nicht relevant"</formula>
    </cfRule>
    <cfRule type="cellIs" dxfId="9296" priority="592" operator="equal">
      <formula>"81-100%"</formula>
    </cfRule>
    <cfRule type="cellIs" dxfId="9295" priority="593" operator="equal">
      <formula>"51-80%"</formula>
    </cfRule>
    <cfRule type="cellIs" dxfId="9294" priority="594" operator="equal">
      <formula>"21-50%"</formula>
    </cfRule>
    <cfRule type="cellIs" dxfId="9293" priority="595" operator="equal">
      <formula>"0-20%"</formula>
    </cfRule>
  </conditionalFormatting>
  <conditionalFormatting sqref="AB70">
    <cfRule type="cellIs" dxfId="9292" priority="586" operator="equal">
      <formula>"non pertinent / nicht relevant"</formula>
    </cfRule>
    <cfRule type="cellIs" dxfId="9291" priority="587" operator="equal">
      <formula>"81-100%"</formula>
    </cfRule>
    <cfRule type="cellIs" dxfId="9290" priority="588" operator="equal">
      <formula>"51-80%"</formula>
    </cfRule>
    <cfRule type="cellIs" dxfId="9289" priority="589" operator="equal">
      <formula>"21-50%"</formula>
    </cfRule>
    <cfRule type="cellIs" dxfId="9288" priority="590" operator="equal">
      <formula>"0-20%"</formula>
    </cfRule>
  </conditionalFormatting>
  <conditionalFormatting sqref="AB72">
    <cfRule type="cellIs" dxfId="9287" priority="581" operator="equal">
      <formula>"non pertinent / nicht relevant"</formula>
    </cfRule>
    <cfRule type="cellIs" dxfId="9286" priority="582" operator="equal">
      <formula>"81-100%"</formula>
    </cfRule>
    <cfRule type="cellIs" dxfId="9285" priority="583" operator="equal">
      <formula>"51-80%"</formula>
    </cfRule>
    <cfRule type="cellIs" dxfId="9284" priority="584" operator="equal">
      <formula>"21-50%"</formula>
    </cfRule>
    <cfRule type="cellIs" dxfId="9283" priority="585" operator="equal">
      <formula>"0-20%"</formula>
    </cfRule>
  </conditionalFormatting>
  <conditionalFormatting sqref="AB73">
    <cfRule type="cellIs" dxfId="9282" priority="576" operator="equal">
      <formula>"non pertinent / nicht relevant"</formula>
    </cfRule>
    <cfRule type="cellIs" dxfId="9281" priority="577" operator="equal">
      <formula>"81-100%"</formula>
    </cfRule>
    <cfRule type="cellIs" dxfId="9280" priority="578" operator="equal">
      <formula>"51-80%"</formula>
    </cfRule>
    <cfRule type="cellIs" dxfId="9279" priority="579" operator="equal">
      <formula>"21-50%"</formula>
    </cfRule>
    <cfRule type="cellIs" dxfId="9278" priority="580" operator="equal">
      <formula>"0-20%"</formula>
    </cfRule>
  </conditionalFormatting>
  <conditionalFormatting sqref="AB12">
    <cfRule type="cellIs" dxfId="9277" priority="571" operator="equal">
      <formula>"non pertinent / nicht relevant"</formula>
    </cfRule>
    <cfRule type="cellIs" dxfId="9276" priority="572" operator="equal">
      <formula>"81-100%"</formula>
    </cfRule>
    <cfRule type="cellIs" dxfId="9275" priority="573" operator="equal">
      <formula>"51-80%"</formula>
    </cfRule>
    <cfRule type="cellIs" dxfId="9274" priority="574" operator="equal">
      <formula>"21-50%"</formula>
    </cfRule>
    <cfRule type="cellIs" dxfId="9273" priority="575" operator="equal">
      <formula>"0-20%"</formula>
    </cfRule>
  </conditionalFormatting>
  <conditionalFormatting sqref="AB14">
    <cfRule type="cellIs" dxfId="9272" priority="566" operator="equal">
      <formula>"non pertinent / nicht relevant"</formula>
    </cfRule>
    <cfRule type="cellIs" dxfId="9271" priority="567" operator="equal">
      <formula>"81-100%"</formula>
    </cfRule>
    <cfRule type="cellIs" dxfId="9270" priority="568" operator="equal">
      <formula>"51-80%"</formula>
    </cfRule>
    <cfRule type="cellIs" dxfId="9269" priority="569" operator="equal">
      <formula>"21-50%"</formula>
    </cfRule>
    <cfRule type="cellIs" dxfId="9268" priority="570" operator="equal">
      <formula>"0-20%"</formula>
    </cfRule>
  </conditionalFormatting>
  <conditionalFormatting sqref="AB17">
    <cfRule type="cellIs" dxfId="9267" priority="561" operator="equal">
      <formula>"non pertinent / nicht relevant"</formula>
    </cfRule>
    <cfRule type="cellIs" dxfId="9266" priority="562" operator="equal">
      <formula>"81-100%"</formula>
    </cfRule>
    <cfRule type="cellIs" dxfId="9265" priority="563" operator="equal">
      <formula>"51-80%"</formula>
    </cfRule>
    <cfRule type="cellIs" dxfId="9264" priority="564" operator="equal">
      <formula>"21-50%"</formula>
    </cfRule>
    <cfRule type="cellIs" dxfId="9263" priority="565" operator="equal">
      <formula>"0-20%"</formula>
    </cfRule>
  </conditionalFormatting>
  <conditionalFormatting sqref="AB146">
    <cfRule type="cellIs" dxfId="9262" priority="86" operator="equal">
      <formula>"non pertinent / nicht relevant"</formula>
    </cfRule>
    <cfRule type="cellIs" dxfId="9261" priority="87" operator="equal">
      <formula>"81-100%"</formula>
    </cfRule>
    <cfRule type="cellIs" dxfId="9260" priority="88" operator="equal">
      <formula>"51-80%"</formula>
    </cfRule>
    <cfRule type="cellIs" dxfId="9259" priority="89" operator="equal">
      <formula>"21-50%"</formula>
    </cfRule>
    <cfRule type="cellIs" dxfId="9258" priority="90" operator="equal">
      <formula>"0-20%"</formula>
    </cfRule>
  </conditionalFormatting>
  <conditionalFormatting sqref="AB21">
    <cfRule type="cellIs" dxfId="9257" priority="551" operator="equal">
      <formula>"non pertinent / nicht relevant"</formula>
    </cfRule>
    <cfRule type="cellIs" dxfId="9256" priority="552" operator="equal">
      <formula>"81-100%"</formula>
    </cfRule>
    <cfRule type="cellIs" dxfId="9255" priority="553" operator="equal">
      <formula>"51-80%"</formula>
    </cfRule>
    <cfRule type="cellIs" dxfId="9254" priority="554" operator="equal">
      <formula>"21-50%"</formula>
    </cfRule>
    <cfRule type="cellIs" dxfId="9253" priority="555" operator="equal">
      <formula>"0-20%"</formula>
    </cfRule>
  </conditionalFormatting>
  <conditionalFormatting sqref="AB19">
    <cfRule type="cellIs" dxfId="9252" priority="546" operator="equal">
      <formula>"non pertinent / nicht relevant"</formula>
    </cfRule>
    <cfRule type="cellIs" dxfId="9251" priority="547" operator="equal">
      <formula>"81-100%"</formula>
    </cfRule>
    <cfRule type="cellIs" dxfId="9250" priority="548" operator="equal">
      <formula>"51-80%"</formula>
    </cfRule>
    <cfRule type="cellIs" dxfId="9249" priority="549" operator="equal">
      <formula>"21-50%"</formula>
    </cfRule>
    <cfRule type="cellIs" dxfId="9248" priority="550" operator="equal">
      <formula>"0-20%"</formula>
    </cfRule>
  </conditionalFormatting>
  <conditionalFormatting sqref="AB20">
    <cfRule type="cellIs" dxfId="9247" priority="541" operator="equal">
      <formula>"non pertinent / nicht relevant"</formula>
    </cfRule>
    <cfRule type="cellIs" dxfId="9246" priority="542" operator="equal">
      <formula>"81-100%"</formula>
    </cfRule>
    <cfRule type="cellIs" dxfId="9245" priority="543" operator="equal">
      <formula>"51-80%"</formula>
    </cfRule>
    <cfRule type="cellIs" dxfId="9244" priority="544" operator="equal">
      <formula>"21-50%"</formula>
    </cfRule>
    <cfRule type="cellIs" dxfId="9243" priority="545" operator="equal">
      <formula>"0-20%"</formula>
    </cfRule>
  </conditionalFormatting>
  <conditionalFormatting sqref="AB22">
    <cfRule type="cellIs" dxfId="9242" priority="536" operator="equal">
      <formula>"non pertinent / nicht relevant"</formula>
    </cfRule>
    <cfRule type="cellIs" dxfId="9241" priority="537" operator="equal">
      <formula>"81-100%"</formula>
    </cfRule>
    <cfRule type="cellIs" dxfId="9240" priority="538" operator="equal">
      <formula>"51-80%"</formula>
    </cfRule>
    <cfRule type="cellIs" dxfId="9239" priority="539" operator="equal">
      <formula>"21-50%"</formula>
    </cfRule>
    <cfRule type="cellIs" dxfId="9238" priority="540" operator="equal">
      <formula>"0-20%"</formula>
    </cfRule>
  </conditionalFormatting>
  <conditionalFormatting sqref="AB23">
    <cfRule type="cellIs" dxfId="9237" priority="531" operator="equal">
      <formula>"non pertinent / nicht relevant"</formula>
    </cfRule>
    <cfRule type="cellIs" dxfId="9236" priority="532" operator="equal">
      <formula>"81-100%"</formula>
    </cfRule>
    <cfRule type="cellIs" dxfId="9235" priority="533" operator="equal">
      <formula>"51-80%"</formula>
    </cfRule>
    <cfRule type="cellIs" dxfId="9234" priority="534" operator="equal">
      <formula>"21-50%"</formula>
    </cfRule>
    <cfRule type="cellIs" dxfId="9233" priority="535" operator="equal">
      <formula>"0-20%"</formula>
    </cfRule>
  </conditionalFormatting>
  <conditionalFormatting sqref="AB24">
    <cfRule type="cellIs" dxfId="9232" priority="526" operator="equal">
      <formula>"non pertinent / nicht relevant"</formula>
    </cfRule>
    <cfRule type="cellIs" dxfId="9231" priority="527" operator="equal">
      <formula>"81-100%"</formula>
    </cfRule>
    <cfRule type="cellIs" dxfId="9230" priority="528" operator="equal">
      <formula>"51-80%"</formula>
    </cfRule>
    <cfRule type="cellIs" dxfId="9229" priority="529" operator="equal">
      <formula>"21-50%"</formula>
    </cfRule>
    <cfRule type="cellIs" dxfId="9228" priority="530" operator="equal">
      <formula>"0-20%"</formula>
    </cfRule>
  </conditionalFormatting>
  <conditionalFormatting sqref="AB25">
    <cfRule type="cellIs" dxfId="9227" priority="521" operator="equal">
      <formula>"non pertinent / nicht relevant"</formula>
    </cfRule>
    <cfRule type="cellIs" dxfId="9226" priority="522" operator="equal">
      <formula>"81-100%"</formula>
    </cfRule>
    <cfRule type="cellIs" dxfId="9225" priority="523" operator="equal">
      <formula>"51-80%"</formula>
    </cfRule>
    <cfRule type="cellIs" dxfId="9224" priority="524" operator="equal">
      <formula>"21-50%"</formula>
    </cfRule>
    <cfRule type="cellIs" dxfId="9223" priority="525" operator="equal">
      <formula>"0-20%"</formula>
    </cfRule>
  </conditionalFormatting>
  <conditionalFormatting sqref="AB26">
    <cfRule type="cellIs" dxfId="9222" priority="516" operator="equal">
      <formula>"non pertinent / nicht relevant"</formula>
    </cfRule>
    <cfRule type="cellIs" dxfId="9221" priority="517" operator="equal">
      <formula>"81-100%"</formula>
    </cfRule>
    <cfRule type="cellIs" dxfId="9220" priority="518" operator="equal">
      <formula>"51-80%"</formula>
    </cfRule>
    <cfRule type="cellIs" dxfId="9219" priority="519" operator="equal">
      <formula>"21-50%"</formula>
    </cfRule>
    <cfRule type="cellIs" dxfId="9218" priority="520" operator="equal">
      <formula>"0-20%"</formula>
    </cfRule>
  </conditionalFormatting>
  <conditionalFormatting sqref="AB27">
    <cfRule type="cellIs" dxfId="9217" priority="511" operator="equal">
      <formula>"non pertinent / nicht relevant"</formula>
    </cfRule>
    <cfRule type="cellIs" dxfId="9216" priority="512" operator="equal">
      <formula>"81-100%"</formula>
    </cfRule>
    <cfRule type="cellIs" dxfId="9215" priority="513" operator="equal">
      <formula>"51-80%"</formula>
    </cfRule>
    <cfRule type="cellIs" dxfId="9214" priority="514" operator="equal">
      <formula>"21-50%"</formula>
    </cfRule>
    <cfRule type="cellIs" dxfId="9213" priority="515" operator="equal">
      <formula>"0-20%"</formula>
    </cfRule>
  </conditionalFormatting>
  <conditionalFormatting sqref="AB29">
    <cfRule type="cellIs" dxfId="9212" priority="506" operator="equal">
      <formula>"non pertinent / nicht relevant"</formula>
    </cfRule>
    <cfRule type="cellIs" dxfId="9211" priority="507" operator="equal">
      <formula>"81-100%"</formula>
    </cfRule>
    <cfRule type="cellIs" dxfId="9210" priority="508" operator="equal">
      <formula>"51-80%"</formula>
    </cfRule>
    <cfRule type="cellIs" dxfId="9209" priority="509" operator="equal">
      <formula>"21-50%"</formula>
    </cfRule>
    <cfRule type="cellIs" dxfId="9208" priority="510" operator="equal">
      <formula>"0-20%"</formula>
    </cfRule>
  </conditionalFormatting>
  <conditionalFormatting sqref="AB30">
    <cfRule type="cellIs" dxfId="9207" priority="501" operator="equal">
      <formula>"non pertinent / nicht relevant"</formula>
    </cfRule>
    <cfRule type="cellIs" dxfId="9206" priority="502" operator="equal">
      <formula>"81-100%"</formula>
    </cfRule>
    <cfRule type="cellIs" dxfId="9205" priority="503" operator="equal">
      <formula>"51-80%"</formula>
    </cfRule>
    <cfRule type="cellIs" dxfId="9204" priority="504" operator="equal">
      <formula>"21-50%"</formula>
    </cfRule>
    <cfRule type="cellIs" dxfId="9203" priority="505" operator="equal">
      <formula>"0-20%"</formula>
    </cfRule>
  </conditionalFormatting>
  <conditionalFormatting sqref="AB28">
    <cfRule type="cellIs" dxfId="9202" priority="496" operator="equal">
      <formula>"non pertinent / nicht relevant"</formula>
    </cfRule>
    <cfRule type="cellIs" dxfId="9201" priority="497" operator="equal">
      <formula>"81-100%"</formula>
    </cfRule>
    <cfRule type="cellIs" dxfId="9200" priority="498" operator="equal">
      <formula>"51-80%"</formula>
    </cfRule>
    <cfRule type="cellIs" dxfId="9199" priority="499" operator="equal">
      <formula>"21-50%"</formula>
    </cfRule>
    <cfRule type="cellIs" dxfId="9198" priority="500" operator="equal">
      <formula>"0-20%"</formula>
    </cfRule>
  </conditionalFormatting>
  <conditionalFormatting sqref="AB31">
    <cfRule type="cellIs" dxfId="9197" priority="491" operator="equal">
      <formula>"non pertinent / nicht relevant"</formula>
    </cfRule>
    <cfRule type="cellIs" dxfId="9196" priority="492" operator="equal">
      <formula>"81-100%"</formula>
    </cfRule>
    <cfRule type="cellIs" dxfId="9195" priority="493" operator="equal">
      <formula>"51-80%"</formula>
    </cfRule>
    <cfRule type="cellIs" dxfId="9194" priority="494" operator="equal">
      <formula>"21-50%"</formula>
    </cfRule>
    <cfRule type="cellIs" dxfId="9193" priority="495" operator="equal">
      <formula>"0-20%"</formula>
    </cfRule>
  </conditionalFormatting>
  <conditionalFormatting sqref="AB33">
    <cfRule type="cellIs" dxfId="9192" priority="486" operator="equal">
      <formula>"non pertinent / nicht relevant"</formula>
    </cfRule>
    <cfRule type="cellIs" dxfId="9191" priority="487" operator="equal">
      <formula>"81-100%"</formula>
    </cfRule>
    <cfRule type="cellIs" dxfId="9190" priority="488" operator="equal">
      <formula>"51-80%"</formula>
    </cfRule>
    <cfRule type="cellIs" dxfId="9189" priority="489" operator="equal">
      <formula>"21-50%"</formula>
    </cfRule>
    <cfRule type="cellIs" dxfId="9188" priority="490" operator="equal">
      <formula>"0-20%"</formula>
    </cfRule>
  </conditionalFormatting>
  <conditionalFormatting sqref="AB34">
    <cfRule type="cellIs" dxfId="9187" priority="481" operator="equal">
      <formula>"non pertinent / nicht relevant"</formula>
    </cfRule>
    <cfRule type="cellIs" dxfId="9186" priority="482" operator="equal">
      <formula>"81-100%"</formula>
    </cfRule>
    <cfRule type="cellIs" dxfId="9185" priority="483" operator="equal">
      <formula>"51-80%"</formula>
    </cfRule>
    <cfRule type="cellIs" dxfId="9184" priority="484" operator="equal">
      <formula>"21-50%"</formula>
    </cfRule>
    <cfRule type="cellIs" dxfId="9183" priority="485" operator="equal">
      <formula>"0-20%"</formula>
    </cfRule>
  </conditionalFormatting>
  <conditionalFormatting sqref="AB35">
    <cfRule type="cellIs" dxfId="9182" priority="476" operator="equal">
      <formula>"non pertinent / nicht relevant"</formula>
    </cfRule>
    <cfRule type="cellIs" dxfId="9181" priority="477" operator="equal">
      <formula>"81-100%"</formula>
    </cfRule>
    <cfRule type="cellIs" dxfId="9180" priority="478" operator="equal">
      <formula>"51-80%"</formula>
    </cfRule>
    <cfRule type="cellIs" dxfId="9179" priority="479" operator="equal">
      <formula>"21-50%"</formula>
    </cfRule>
    <cfRule type="cellIs" dxfId="9178" priority="480" operator="equal">
      <formula>"0-20%"</formula>
    </cfRule>
  </conditionalFormatting>
  <conditionalFormatting sqref="AB36">
    <cfRule type="cellIs" dxfId="9177" priority="471" operator="equal">
      <formula>"non pertinent / nicht relevant"</formula>
    </cfRule>
    <cfRule type="cellIs" dxfId="9176" priority="472" operator="equal">
      <formula>"81-100%"</formula>
    </cfRule>
    <cfRule type="cellIs" dxfId="9175" priority="473" operator="equal">
      <formula>"51-80%"</formula>
    </cfRule>
    <cfRule type="cellIs" dxfId="9174" priority="474" operator="equal">
      <formula>"21-50%"</formula>
    </cfRule>
    <cfRule type="cellIs" dxfId="9173" priority="475" operator="equal">
      <formula>"0-20%"</formula>
    </cfRule>
  </conditionalFormatting>
  <conditionalFormatting sqref="AB37">
    <cfRule type="cellIs" dxfId="9172" priority="466" operator="equal">
      <formula>"non pertinent / nicht relevant"</formula>
    </cfRule>
    <cfRule type="cellIs" dxfId="9171" priority="467" operator="equal">
      <formula>"81-100%"</formula>
    </cfRule>
    <cfRule type="cellIs" dxfId="9170" priority="468" operator="equal">
      <formula>"51-80%"</formula>
    </cfRule>
    <cfRule type="cellIs" dxfId="9169" priority="469" operator="equal">
      <formula>"21-50%"</formula>
    </cfRule>
    <cfRule type="cellIs" dxfId="9168" priority="470" operator="equal">
      <formula>"0-20%"</formula>
    </cfRule>
  </conditionalFormatting>
  <conditionalFormatting sqref="AB32">
    <cfRule type="cellIs" dxfId="9167" priority="461" operator="equal">
      <formula>"non pertinent / nicht relevant"</formula>
    </cfRule>
    <cfRule type="cellIs" dxfId="9166" priority="462" operator="equal">
      <formula>"81-100%"</formula>
    </cfRule>
    <cfRule type="cellIs" dxfId="9165" priority="463" operator="equal">
      <formula>"51-80%"</formula>
    </cfRule>
    <cfRule type="cellIs" dxfId="9164" priority="464" operator="equal">
      <formula>"21-50%"</formula>
    </cfRule>
    <cfRule type="cellIs" dxfId="9163" priority="465" operator="equal">
      <formula>"0-20%"</formula>
    </cfRule>
  </conditionalFormatting>
  <conditionalFormatting sqref="AB39">
    <cfRule type="cellIs" dxfId="9162" priority="456" operator="equal">
      <formula>"non pertinent / nicht relevant"</formula>
    </cfRule>
    <cfRule type="cellIs" dxfId="9161" priority="457" operator="equal">
      <formula>"81-100%"</formula>
    </cfRule>
    <cfRule type="cellIs" dxfId="9160" priority="458" operator="equal">
      <formula>"51-80%"</formula>
    </cfRule>
    <cfRule type="cellIs" dxfId="9159" priority="459" operator="equal">
      <formula>"21-50%"</formula>
    </cfRule>
    <cfRule type="cellIs" dxfId="9158" priority="460" operator="equal">
      <formula>"0-20%"</formula>
    </cfRule>
  </conditionalFormatting>
  <conditionalFormatting sqref="AB40">
    <cfRule type="cellIs" dxfId="9157" priority="451" operator="equal">
      <formula>"non pertinent / nicht relevant"</formula>
    </cfRule>
    <cfRule type="cellIs" dxfId="9156" priority="452" operator="equal">
      <formula>"81-100%"</formula>
    </cfRule>
    <cfRule type="cellIs" dxfId="9155" priority="453" operator="equal">
      <formula>"51-80%"</formula>
    </cfRule>
    <cfRule type="cellIs" dxfId="9154" priority="454" operator="equal">
      <formula>"21-50%"</formula>
    </cfRule>
    <cfRule type="cellIs" dxfId="9153" priority="455" operator="equal">
      <formula>"0-20%"</formula>
    </cfRule>
  </conditionalFormatting>
  <conditionalFormatting sqref="AB42">
    <cfRule type="cellIs" dxfId="9152" priority="446" operator="equal">
      <formula>"non pertinent / nicht relevant"</formula>
    </cfRule>
    <cfRule type="cellIs" dxfId="9151" priority="447" operator="equal">
      <formula>"81-100%"</formula>
    </cfRule>
    <cfRule type="cellIs" dxfId="9150" priority="448" operator="equal">
      <formula>"51-80%"</formula>
    </cfRule>
    <cfRule type="cellIs" dxfId="9149" priority="449" operator="equal">
      <formula>"21-50%"</formula>
    </cfRule>
    <cfRule type="cellIs" dxfId="9148" priority="450" operator="equal">
      <formula>"0-20%"</formula>
    </cfRule>
  </conditionalFormatting>
  <conditionalFormatting sqref="AB43">
    <cfRule type="cellIs" dxfId="9147" priority="441" operator="equal">
      <formula>"non pertinent / nicht relevant"</formula>
    </cfRule>
    <cfRule type="cellIs" dxfId="9146" priority="442" operator="equal">
      <formula>"81-100%"</formula>
    </cfRule>
    <cfRule type="cellIs" dxfId="9145" priority="443" operator="equal">
      <formula>"51-80%"</formula>
    </cfRule>
    <cfRule type="cellIs" dxfId="9144" priority="444" operator="equal">
      <formula>"21-50%"</formula>
    </cfRule>
    <cfRule type="cellIs" dxfId="9143" priority="445" operator="equal">
      <formula>"0-20%"</formula>
    </cfRule>
  </conditionalFormatting>
  <conditionalFormatting sqref="AB49">
    <cfRule type="cellIs" dxfId="9142" priority="436" operator="equal">
      <formula>"non pertinent / nicht relevant"</formula>
    </cfRule>
    <cfRule type="cellIs" dxfId="9141" priority="437" operator="equal">
      <formula>"81-100%"</formula>
    </cfRule>
    <cfRule type="cellIs" dxfId="9140" priority="438" operator="equal">
      <formula>"51-80%"</formula>
    </cfRule>
    <cfRule type="cellIs" dxfId="9139" priority="439" operator="equal">
      <formula>"21-50%"</formula>
    </cfRule>
    <cfRule type="cellIs" dxfId="9138" priority="440" operator="equal">
      <formula>"0-20%"</formula>
    </cfRule>
  </conditionalFormatting>
  <conditionalFormatting sqref="AB50">
    <cfRule type="cellIs" dxfId="9137" priority="431" operator="equal">
      <formula>"non pertinent / nicht relevant"</formula>
    </cfRule>
    <cfRule type="cellIs" dxfId="9136" priority="432" operator="equal">
      <formula>"81-100%"</formula>
    </cfRule>
    <cfRule type="cellIs" dxfId="9135" priority="433" operator="equal">
      <formula>"51-80%"</formula>
    </cfRule>
    <cfRule type="cellIs" dxfId="9134" priority="434" operator="equal">
      <formula>"21-50%"</formula>
    </cfRule>
    <cfRule type="cellIs" dxfId="9133" priority="435" operator="equal">
      <formula>"0-20%"</formula>
    </cfRule>
  </conditionalFormatting>
  <conditionalFormatting sqref="AB52">
    <cfRule type="cellIs" dxfId="9132" priority="426" operator="equal">
      <formula>"non pertinent / nicht relevant"</formula>
    </cfRule>
    <cfRule type="cellIs" dxfId="9131" priority="427" operator="equal">
      <formula>"81-100%"</formula>
    </cfRule>
    <cfRule type="cellIs" dxfId="9130" priority="428" operator="equal">
      <formula>"51-80%"</formula>
    </cfRule>
    <cfRule type="cellIs" dxfId="9129" priority="429" operator="equal">
      <formula>"21-50%"</formula>
    </cfRule>
    <cfRule type="cellIs" dxfId="9128" priority="430" operator="equal">
      <formula>"0-20%"</formula>
    </cfRule>
  </conditionalFormatting>
  <conditionalFormatting sqref="AB55">
    <cfRule type="cellIs" dxfId="9127" priority="421" operator="equal">
      <formula>"non pertinent / nicht relevant"</formula>
    </cfRule>
    <cfRule type="cellIs" dxfId="9126" priority="422" operator="equal">
      <formula>"81-100%"</formula>
    </cfRule>
    <cfRule type="cellIs" dxfId="9125" priority="423" operator="equal">
      <formula>"51-80%"</formula>
    </cfRule>
    <cfRule type="cellIs" dxfId="9124" priority="424" operator="equal">
      <formula>"21-50%"</formula>
    </cfRule>
    <cfRule type="cellIs" dxfId="9123" priority="425" operator="equal">
      <formula>"0-20%"</formula>
    </cfRule>
  </conditionalFormatting>
  <conditionalFormatting sqref="AB56">
    <cfRule type="cellIs" dxfId="9122" priority="416" operator="equal">
      <formula>"non pertinent / nicht relevant"</formula>
    </cfRule>
    <cfRule type="cellIs" dxfId="9121" priority="417" operator="equal">
      <formula>"81-100%"</formula>
    </cfRule>
    <cfRule type="cellIs" dxfId="9120" priority="418" operator="equal">
      <formula>"51-80%"</formula>
    </cfRule>
    <cfRule type="cellIs" dxfId="9119" priority="419" operator="equal">
      <formula>"21-50%"</formula>
    </cfRule>
    <cfRule type="cellIs" dxfId="9118" priority="420" operator="equal">
      <formula>"0-20%"</formula>
    </cfRule>
  </conditionalFormatting>
  <conditionalFormatting sqref="AB57">
    <cfRule type="cellIs" dxfId="9117" priority="411" operator="equal">
      <formula>"non pertinent / nicht relevant"</formula>
    </cfRule>
    <cfRule type="cellIs" dxfId="9116" priority="412" operator="equal">
      <formula>"81-100%"</formula>
    </cfRule>
    <cfRule type="cellIs" dxfId="9115" priority="413" operator="equal">
      <formula>"51-80%"</formula>
    </cfRule>
    <cfRule type="cellIs" dxfId="9114" priority="414" operator="equal">
      <formula>"21-50%"</formula>
    </cfRule>
    <cfRule type="cellIs" dxfId="9113" priority="415" operator="equal">
      <formula>"0-20%"</formula>
    </cfRule>
  </conditionalFormatting>
  <conditionalFormatting sqref="AB58:AB64">
    <cfRule type="cellIs" dxfId="9112" priority="406" operator="equal">
      <formula>"non pertinent / nicht relevant"</formula>
    </cfRule>
    <cfRule type="cellIs" dxfId="9111" priority="407" operator="equal">
      <formula>"81-100%"</formula>
    </cfRule>
    <cfRule type="cellIs" dxfId="9110" priority="408" operator="equal">
      <formula>"51-80%"</formula>
    </cfRule>
    <cfRule type="cellIs" dxfId="9109" priority="409" operator="equal">
      <formula>"21-50%"</formula>
    </cfRule>
    <cfRule type="cellIs" dxfId="9108" priority="410" operator="equal">
      <formula>"0-20%"</formula>
    </cfRule>
  </conditionalFormatting>
  <conditionalFormatting sqref="AB53">
    <cfRule type="cellIs" dxfId="9107" priority="401" operator="equal">
      <formula>"non pertinent / nicht relevant"</formula>
    </cfRule>
    <cfRule type="cellIs" dxfId="9106" priority="402" operator="equal">
      <formula>"81-100%"</formula>
    </cfRule>
    <cfRule type="cellIs" dxfId="9105" priority="403" operator="equal">
      <formula>"51-80%"</formula>
    </cfRule>
    <cfRule type="cellIs" dxfId="9104" priority="404" operator="equal">
      <formula>"21-50%"</formula>
    </cfRule>
    <cfRule type="cellIs" dxfId="9103" priority="405" operator="equal">
      <formula>"0-20%"</formula>
    </cfRule>
  </conditionalFormatting>
  <conditionalFormatting sqref="AB54">
    <cfRule type="cellIs" dxfId="9102" priority="396" operator="equal">
      <formula>"non pertinent / nicht relevant"</formula>
    </cfRule>
    <cfRule type="cellIs" dxfId="9101" priority="397" operator="equal">
      <formula>"81-100%"</formula>
    </cfRule>
    <cfRule type="cellIs" dxfId="9100" priority="398" operator="equal">
      <formula>"51-80%"</formula>
    </cfRule>
    <cfRule type="cellIs" dxfId="9099" priority="399" operator="equal">
      <formula>"21-50%"</formula>
    </cfRule>
    <cfRule type="cellIs" dxfId="9098" priority="400" operator="equal">
      <formula>"0-20%"</formula>
    </cfRule>
  </conditionalFormatting>
  <conditionalFormatting sqref="AB51">
    <cfRule type="cellIs" dxfId="9097" priority="391" operator="equal">
      <formula>"non pertinent / nicht relevant"</formula>
    </cfRule>
    <cfRule type="cellIs" dxfId="9096" priority="392" operator="equal">
      <formula>"81-100%"</formula>
    </cfRule>
    <cfRule type="cellIs" dxfId="9095" priority="393" operator="equal">
      <formula>"51-80%"</formula>
    </cfRule>
    <cfRule type="cellIs" dxfId="9094" priority="394" operator="equal">
      <formula>"21-50%"</formula>
    </cfRule>
    <cfRule type="cellIs" dxfId="9093" priority="395" operator="equal">
      <formula>"0-20%"</formula>
    </cfRule>
  </conditionalFormatting>
  <conditionalFormatting sqref="AB47">
    <cfRule type="cellIs" dxfId="9092" priority="386" operator="equal">
      <formula>"non pertinent / nicht relevant"</formula>
    </cfRule>
    <cfRule type="cellIs" dxfId="9091" priority="387" operator="equal">
      <formula>"81-100%"</formula>
    </cfRule>
    <cfRule type="cellIs" dxfId="9090" priority="388" operator="equal">
      <formula>"51-80%"</formula>
    </cfRule>
    <cfRule type="cellIs" dxfId="9089" priority="389" operator="equal">
      <formula>"21-50%"</formula>
    </cfRule>
    <cfRule type="cellIs" dxfId="9088" priority="390" operator="equal">
      <formula>"0-20%"</formula>
    </cfRule>
  </conditionalFormatting>
  <conditionalFormatting sqref="AB48">
    <cfRule type="cellIs" dxfId="9087" priority="381" operator="equal">
      <formula>"non pertinent / nicht relevant"</formula>
    </cfRule>
    <cfRule type="cellIs" dxfId="9086" priority="382" operator="equal">
      <formula>"81-100%"</formula>
    </cfRule>
    <cfRule type="cellIs" dxfId="9085" priority="383" operator="equal">
      <formula>"51-80%"</formula>
    </cfRule>
    <cfRule type="cellIs" dxfId="9084" priority="384" operator="equal">
      <formula>"21-50%"</formula>
    </cfRule>
    <cfRule type="cellIs" dxfId="9083" priority="385" operator="equal">
      <formula>"0-20%"</formula>
    </cfRule>
  </conditionalFormatting>
  <conditionalFormatting sqref="AB66">
    <cfRule type="cellIs" dxfId="9082" priority="376" operator="equal">
      <formula>"non pertinent / nicht relevant"</formula>
    </cfRule>
    <cfRule type="cellIs" dxfId="9081" priority="377" operator="equal">
      <formula>"81-100%"</formula>
    </cfRule>
    <cfRule type="cellIs" dxfId="9080" priority="378" operator="equal">
      <formula>"51-80%"</formula>
    </cfRule>
    <cfRule type="cellIs" dxfId="9079" priority="379" operator="equal">
      <formula>"21-50%"</formula>
    </cfRule>
    <cfRule type="cellIs" dxfId="9078" priority="380" operator="equal">
      <formula>"0-20%"</formula>
    </cfRule>
  </conditionalFormatting>
  <conditionalFormatting sqref="AB67">
    <cfRule type="cellIs" dxfId="9077" priority="371" operator="equal">
      <formula>"non pertinent / nicht relevant"</formula>
    </cfRule>
    <cfRule type="cellIs" dxfId="9076" priority="372" operator="equal">
      <formula>"81-100%"</formula>
    </cfRule>
    <cfRule type="cellIs" dxfId="9075" priority="373" operator="equal">
      <formula>"51-80%"</formula>
    </cfRule>
    <cfRule type="cellIs" dxfId="9074" priority="374" operator="equal">
      <formula>"21-50%"</formula>
    </cfRule>
    <cfRule type="cellIs" dxfId="9073" priority="375" operator="equal">
      <formula>"0-20%"</formula>
    </cfRule>
  </conditionalFormatting>
  <conditionalFormatting sqref="AB68">
    <cfRule type="cellIs" dxfId="9072" priority="366" operator="equal">
      <formula>"non pertinent / nicht relevant"</formula>
    </cfRule>
    <cfRule type="cellIs" dxfId="9071" priority="367" operator="equal">
      <formula>"81-100%"</formula>
    </cfRule>
    <cfRule type="cellIs" dxfId="9070" priority="368" operator="equal">
      <formula>"51-80%"</formula>
    </cfRule>
    <cfRule type="cellIs" dxfId="9069" priority="369" operator="equal">
      <formula>"21-50%"</formula>
    </cfRule>
    <cfRule type="cellIs" dxfId="9068" priority="370" operator="equal">
      <formula>"0-20%"</formula>
    </cfRule>
  </conditionalFormatting>
  <conditionalFormatting sqref="AB75">
    <cfRule type="cellIs" dxfId="9067" priority="361" operator="equal">
      <formula>"non pertinent / nicht relevant"</formula>
    </cfRule>
    <cfRule type="cellIs" dxfId="9066" priority="362" operator="equal">
      <formula>"81-100%"</formula>
    </cfRule>
    <cfRule type="cellIs" dxfId="9065" priority="363" operator="equal">
      <formula>"51-80%"</formula>
    </cfRule>
    <cfRule type="cellIs" dxfId="9064" priority="364" operator="equal">
      <formula>"21-50%"</formula>
    </cfRule>
    <cfRule type="cellIs" dxfId="9063" priority="365" operator="equal">
      <formula>"0-20%"</formula>
    </cfRule>
  </conditionalFormatting>
  <conditionalFormatting sqref="AB78">
    <cfRule type="cellIs" dxfId="9062" priority="356" operator="equal">
      <formula>"non pertinent / nicht relevant"</formula>
    </cfRule>
    <cfRule type="cellIs" dxfId="9061" priority="357" operator="equal">
      <formula>"81-100%"</formula>
    </cfRule>
    <cfRule type="cellIs" dxfId="9060" priority="358" operator="equal">
      <formula>"51-80%"</formula>
    </cfRule>
    <cfRule type="cellIs" dxfId="9059" priority="359" operator="equal">
      <formula>"21-50%"</formula>
    </cfRule>
    <cfRule type="cellIs" dxfId="9058" priority="360" operator="equal">
      <formula>"0-20%"</formula>
    </cfRule>
  </conditionalFormatting>
  <conditionalFormatting sqref="AB79">
    <cfRule type="cellIs" dxfId="9057" priority="351" operator="equal">
      <formula>"non pertinent / nicht relevant"</formula>
    </cfRule>
    <cfRule type="cellIs" dxfId="9056" priority="352" operator="equal">
      <formula>"81-100%"</formula>
    </cfRule>
    <cfRule type="cellIs" dxfId="9055" priority="353" operator="equal">
      <formula>"51-80%"</formula>
    </cfRule>
    <cfRule type="cellIs" dxfId="9054" priority="354" operator="equal">
      <formula>"21-50%"</formula>
    </cfRule>
    <cfRule type="cellIs" dxfId="9053" priority="355" operator="equal">
      <formula>"0-20%"</formula>
    </cfRule>
  </conditionalFormatting>
  <conditionalFormatting sqref="AB80">
    <cfRule type="cellIs" dxfId="9052" priority="346" operator="equal">
      <formula>"non pertinent / nicht relevant"</formula>
    </cfRule>
    <cfRule type="cellIs" dxfId="9051" priority="347" operator="equal">
      <formula>"81-100%"</formula>
    </cfRule>
    <cfRule type="cellIs" dxfId="9050" priority="348" operator="equal">
      <formula>"51-80%"</formula>
    </cfRule>
    <cfRule type="cellIs" dxfId="9049" priority="349" operator="equal">
      <formula>"21-50%"</formula>
    </cfRule>
    <cfRule type="cellIs" dxfId="9048" priority="350" operator="equal">
      <formula>"0-20%"</formula>
    </cfRule>
  </conditionalFormatting>
  <conditionalFormatting sqref="AB77">
    <cfRule type="cellIs" dxfId="9047" priority="341" operator="equal">
      <formula>"non pertinent / nicht relevant"</formula>
    </cfRule>
    <cfRule type="cellIs" dxfId="9046" priority="342" operator="equal">
      <formula>"81-100%"</formula>
    </cfRule>
    <cfRule type="cellIs" dxfId="9045" priority="343" operator="equal">
      <formula>"51-80%"</formula>
    </cfRule>
    <cfRule type="cellIs" dxfId="9044" priority="344" operator="equal">
      <formula>"21-50%"</formula>
    </cfRule>
    <cfRule type="cellIs" dxfId="9043" priority="345" operator="equal">
      <formula>"0-20%"</formula>
    </cfRule>
  </conditionalFormatting>
  <conditionalFormatting sqref="AB81">
    <cfRule type="cellIs" dxfId="9042" priority="336" operator="equal">
      <formula>"non pertinent / nicht relevant"</formula>
    </cfRule>
    <cfRule type="cellIs" dxfId="9041" priority="337" operator="equal">
      <formula>"81-100%"</formula>
    </cfRule>
    <cfRule type="cellIs" dxfId="9040" priority="338" operator="equal">
      <formula>"51-80%"</formula>
    </cfRule>
    <cfRule type="cellIs" dxfId="9039" priority="339" operator="equal">
      <formula>"21-50%"</formula>
    </cfRule>
    <cfRule type="cellIs" dxfId="9038" priority="340" operator="equal">
      <formula>"0-20%"</formula>
    </cfRule>
  </conditionalFormatting>
  <conditionalFormatting sqref="AB147">
    <cfRule type="cellIs" dxfId="9037" priority="331" operator="equal">
      <formula>"non pertinent / nicht relevant"</formula>
    </cfRule>
    <cfRule type="cellIs" dxfId="9036" priority="332" operator="equal">
      <formula>"81-100%"</formula>
    </cfRule>
    <cfRule type="cellIs" dxfId="9035" priority="333" operator="equal">
      <formula>"51-80%"</formula>
    </cfRule>
    <cfRule type="cellIs" dxfId="9034" priority="334" operator="equal">
      <formula>"21-50%"</formula>
    </cfRule>
    <cfRule type="cellIs" dxfId="9033" priority="335" operator="equal">
      <formula>"0-20%"</formula>
    </cfRule>
  </conditionalFormatting>
  <conditionalFormatting sqref="AB148">
    <cfRule type="cellIs" dxfId="9032" priority="326" operator="equal">
      <formula>"non pertinent / nicht relevant"</formula>
    </cfRule>
    <cfRule type="cellIs" dxfId="9031" priority="327" operator="equal">
      <formula>"81-100%"</formula>
    </cfRule>
    <cfRule type="cellIs" dxfId="9030" priority="328" operator="equal">
      <formula>"51-80%"</formula>
    </cfRule>
    <cfRule type="cellIs" dxfId="9029" priority="329" operator="equal">
      <formula>"21-50%"</formula>
    </cfRule>
    <cfRule type="cellIs" dxfId="9028" priority="330" operator="equal">
      <formula>"0-20%"</formula>
    </cfRule>
  </conditionalFormatting>
  <conditionalFormatting sqref="AB149">
    <cfRule type="cellIs" dxfId="9027" priority="321" operator="equal">
      <formula>"non pertinent / nicht relevant"</formula>
    </cfRule>
    <cfRule type="cellIs" dxfId="9026" priority="322" operator="equal">
      <formula>"81-100%"</formula>
    </cfRule>
    <cfRule type="cellIs" dxfId="9025" priority="323" operator="equal">
      <formula>"51-80%"</formula>
    </cfRule>
    <cfRule type="cellIs" dxfId="9024" priority="324" operator="equal">
      <formula>"21-50%"</formula>
    </cfRule>
    <cfRule type="cellIs" dxfId="9023" priority="325" operator="equal">
      <formula>"0-20%"</formula>
    </cfRule>
  </conditionalFormatting>
  <conditionalFormatting sqref="AB150">
    <cfRule type="cellIs" dxfId="9022" priority="316" operator="equal">
      <formula>"non pertinent / nicht relevant"</formula>
    </cfRule>
    <cfRule type="cellIs" dxfId="9021" priority="317" operator="equal">
      <formula>"81-100%"</formula>
    </cfRule>
    <cfRule type="cellIs" dxfId="9020" priority="318" operator="equal">
      <formula>"51-80%"</formula>
    </cfRule>
    <cfRule type="cellIs" dxfId="9019" priority="319" operator="equal">
      <formula>"21-50%"</formula>
    </cfRule>
    <cfRule type="cellIs" dxfId="9018" priority="320" operator="equal">
      <formula>"0-20%"</formula>
    </cfRule>
  </conditionalFormatting>
  <conditionalFormatting sqref="AB151">
    <cfRule type="cellIs" dxfId="9017" priority="311" operator="equal">
      <formula>"non pertinent / nicht relevant"</formula>
    </cfRule>
    <cfRule type="cellIs" dxfId="9016" priority="312" operator="equal">
      <formula>"81-100%"</formula>
    </cfRule>
    <cfRule type="cellIs" dxfId="9015" priority="313" operator="equal">
      <formula>"51-80%"</formula>
    </cfRule>
    <cfRule type="cellIs" dxfId="9014" priority="314" operator="equal">
      <formula>"21-50%"</formula>
    </cfRule>
    <cfRule type="cellIs" dxfId="9013" priority="315" operator="equal">
      <formula>"0-20%"</formula>
    </cfRule>
  </conditionalFormatting>
  <conditionalFormatting sqref="AB153">
    <cfRule type="cellIs" dxfId="9012" priority="306" operator="equal">
      <formula>"non pertinent / nicht relevant"</formula>
    </cfRule>
    <cfRule type="cellIs" dxfId="9011" priority="307" operator="equal">
      <formula>"81-100%"</formula>
    </cfRule>
    <cfRule type="cellIs" dxfId="9010" priority="308" operator="equal">
      <formula>"51-80%"</formula>
    </cfRule>
    <cfRule type="cellIs" dxfId="9009" priority="309" operator="equal">
      <formula>"21-50%"</formula>
    </cfRule>
    <cfRule type="cellIs" dxfId="9008" priority="310" operator="equal">
      <formula>"0-20%"</formula>
    </cfRule>
  </conditionalFormatting>
  <conditionalFormatting sqref="AB155">
    <cfRule type="cellIs" dxfId="9007" priority="301" operator="equal">
      <formula>"non pertinent / nicht relevant"</formula>
    </cfRule>
    <cfRule type="cellIs" dxfId="9006" priority="302" operator="equal">
      <formula>"81-100%"</formula>
    </cfRule>
    <cfRule type="cellIs" dxfId="9005" priority="303" operator="equal">
      <formula>"51-80%"</formula>
    </cfRule>
    <cfRule type="cellIs" dxfId="9004" priority="304" operator="equal">
      <formula>"21-50%"</formula>
    </cfRule>
    <cfRule type="cellIs" dxfId="9003" priority="305" operator="equal">
      <formula>"0-20%"</formula>
    </cfRule>
  </conditionalFormatting>
  <conditionalFormatting sqref="AB156">
    <cfRule type="cellIs" dxfId="9002" priority="296" operator="equal">
      <formula>"non pertinent / nicht relevant"</formula>
    </cfRule>
    <cfRule type="cellIs" dxfId="9001" priority="297" operator="equal">
      <formula>"81-100%"</formula>
    </cfRule>
    <cfRule type="cellIs" dxfId="9000" priority="298" operator="equal">
      <formula>"51-80%"</formula>
    </cfRule>
    <cfRule type="cellIs" dxfId="8999" priority="299" operator="equal">
      <formula>"21-50%"</formula>
    </cfRule>
    <cfRule type="cellIs" dxfId="8998" priority="300" operator="equal">
      <formula>"0-20%"</formula>
    </cfRule>
  </conditionalFormatting>
  <conditionalFormatting sqref="AB157">
    <cfRule type="cellIs" dxfId="8997" priority="291" operator="equal">
      <formula>"non pertinent / nicht relevant"</formula>
    </cfRule>
    <cfRule type="cellIs" dxfId="8996" priority="292" operator="equal">
      <formula>"81-100%"</formula>
    </cfRule>
    <cfRule type="cellIs" dxfId="8995" priority="293" operator="equal">
      <formula>"51-80%"</formula>
    </cfRule>
    <cfRule type="cellIs" dxfId="8994" priority="294" operator="equal">
      <formula>"21-50%"</formula>
    </cfRule>
    <cfRule type="cellIs" dxfId="8993" priority="295" operator="equal">
      <formula>"0-20%"</formula>
    </cfRule>
  </conditionalFormatting>
  <conditionalFormatting sqref="AB159">
    <cfRule type="cellIs" dxfId="8992" priority="286" operator="equal">
      <formula>"non pertinent / nicht relevant"</formula>
    </cfRule>
    <cfRule type="cellIs" dxfId="8991" priority="287" operator="equal">
      <formula>"81-100%"</formula>
    </cfRule>
    <cfRule type="cellIs" dxfId="8990" priority="288" operator="equal">
      <formula>"51-80%"</formula>
    </cfRule>
    <cfRule type="cellIs" dxfId="8989" priority="289" operator="equal">
      <formula>"21-50%"</formula>
    </cfRule>
    <cfRule type="cellIs" dxfId="8988" priority="290" operator="equal">
      <formula>"0-20%"</formula>
    </cfRule>
  </conditionalFormatting>
  <conditionalFormatting sqref="AB160">
    <cfRule type="cellIs" dxfId="8987" priority="281" operator="equal">
      <formula>"non pertinent / nicht relevant"</formula>
    </cfRule>
    <cfRule type="cellIs" dxfId="8986" priority="282" operator="equal">
      <formula>"81-100%"</formula>
    </cfRule>
    <cfRule type="cellIs" dxfId="8985" priority="283" operator="equal">
      <formula>"51-80%"</formula>
    </cfRule>
    <cfRule type="cellIs" dxfId="8984" priority="284" operator="equal">
      <formula>"21-50%"</formula>
    </cfRule>
    <cfRule type="cellIs" dxfId="8983" priority="285" operator="equal">
      <formula>"0-20%"</formula>
    </cfRule>
  </conditionalFormatting>
  <conditionalFormatting sqref="AB161">
    <cfRule type="cellIs" dxfId="8982" priority="276" operator="equal">
      <formula>"non pertinent / nicht relevant"</formula>
    </cfRule>
    <cfRule type="cellIs" dxfId="8981" priority="277" operator="equal">
      <formula>"81-100%"</formula>
    </cfRule>
    <cfRule type="cellIs" dxfId="8980" priority="278" operator="equal">
      <formula>"51-80%"</formula>
    </cfRule>
    <cfRule type="cellIs" dxfId="8979" priority="279" operator="equal">
      <formula>"21-50%"</formula>
    </cfRule>
    <cfRule type="cellIs" dxfId="8978" priority="280" operator="equal">
      <formula>"0-20%"</formula>
    </cfRule>
  </conditionalFormatting>
  <conditionalFormatting sqref="AB71">
    <cfRule type="cellIs" dxfId="8977" priority="271" operator="equal">
      <formula>"non pertinent / nicht relevant"</formula>
    </cfRule>
    <cfRule type="cellIs" dxfId="8976" priority="272" operator="equal">
      <formula>"81-100%"</formula>
    </cfRule>
    <cfRule type="cellIs" dxfId="8975" priority="273" operator="equal">
      <formula>"51-80%"</formula>
    </cfRule>
    <cfRule type="cellIs" dxfId="8974" priority="274" operator="equal">
      <formula>"21-50%"</formula>
    </cfRule>
    <cfRule type="cellIs" dxfId="8973" priority="275" operator="equal">
      <formula>"0-20%"</formula>
    </cfRule>
  </conditionalFormatting>
  <conditionalFormatting sqref="AB6">
    <cfRule type="cellIs" dxfId="8972" priority="266" operator="equal">
      <formula>"non pertinent / nicht relevant"</formula>
    </cfRule>
    <cfRule type="cellIs" dxfId="8971" priority="267" operator="equal">
      <formula>"81-100%"</formula>
    </cfRule>
    <cfRule type="cellIs" dxfId="8970" priority="268" operator="equal">
      <formula>"51-80%"</formula>
    </cfRule>
    <cfRule type="cellIs" dxfId="8969" priority="269" operator="equal">
      <formula>"21-50%"</formula>
    </cfRule>
    <cfRule type="cellIs" dxfId="8968" priority="270" operator="equal">
      <formula>"0-20%"</formula>
    </cfRule>
  </conditionalFormatting>
  <conditionalFormatting sqref="AB38">
    <cfRule type="cellIs" dxfId="8967" priority="261" operator="equal">
      <formula>"non pertinent / nicht relevant"</formula>
    </cfRule>
    <cfRule type="cellIs" dxfId="8966" priority="262" operator="equal">
      <formula>"81-100%"</formula>
    </cfRule>
    <cfRule type="cellIs" dxfId="8965" priority="263" operator="equal">
      <formula>"51-80%"</formula>
    </cfRule>
    <cfRule type="cellIs" dxfId="8964" priority="264" operator="equal">
      <formula>"21-50%"</formula>
    </cfRule>
    <cfRule type="cellIs" dxfId="8963" priority="265" operator="equal">
      <formula>"0-20%"</formula>
    </cfRule>
  </conditionalFormatting>
  <conditionalFormatting sqref="AB41">
    <cfRule type="cellIs" dxfId="8962" priority="256" operator="equal">
      <formula>"non pertinent / nicht relevant"</formula>
    </cfRule>
    <cfRule type="cellIs" dxfId="8961" priority="257" operator="equal">
      <formula>"81-100%"</formula>
    </cfRule>
    <cfRule type="cellIs" dxfId="8960" priority="258" operator="equal">
      <formula>"51-80%"</formula>
    </cfRule>
    <cfRule type="cellIs" dxfId="8959" priority="259" operator="equal">
      <formula>"21-50%"</formula>
    </cfRule>
    <cfRule type="cellIs" dxfId="8958" priority="260" operator="equal">
      <formula>"0-20%"</formula>
    </cfRule>
  </conditionalFormatting>
  <conditionalFormatting sqref="AB44">
    <cfRule type="cellIs" dxfId="8957" priority="251" operator="equal">
      <formula>"non pertinent / nicht relevant"</formula>
    </cfRule>
    <cfRule type="cellIs" dxfId="8956" priority="252" operator="equal">
      <formula>"81-100%"</formula>
    </cfRule>
    <cfRule type="cellIs" dxfId="8955" priority="253" operator="equal">
      <formula>"51-80%"</formula>
    </cfRule>
    <cfRule type="cellIs" dxfId="8954" priority="254" operator="equal">
      <formula>"21-50%"</formula>
    </cfRule>
    <cfRule type="cellIs" dxfId="8953" priority="255" operator="equal">
      <formula>"0-20%"</formula>
    </cfRule>
  </conditionalFormatting>
  <conditionalFormatting sqref="AB46">
    <cfRule type="cellIs" dxfId="8952" priority="246" operator="equal">
      <formula>"non pertinent / nicht relevant"</formula>
    </cfRule>
    <cfRule type="cellIs" dxfId="8951" priority="247" operator="equal">
      <formula>"81-100%"</formula>
    </cfRule>
    <cfRule type="cellIs" dxfId="8950" priority="248" operator="equal">
      <formula>"51-80%"</formula>
    </cfRule>
    <cfRule type="cellIs" dxfId="8949" priority="249" operator="equal">
      <formula>"21-50%"</formula>
    </cfRule>
    <cfRule type="cellIs" dxfId="8948" priority="250" operator="equal">
      <formula>"0-20%"</formula>
    </cfRule>
  </conditionalFormatting>
  <conditionalFormatting sqref="AB65">
    <cfRule type="cellIs" dxfId="8947" priority="241" operator="equal">
      <formula>"non pertinent / nicht relevant"</formula>
    </cfRule>
    <cfRule type="cellIs" dxfId="8946" priority="242" operator="equal">
      <formula>"81-100%"</formula>
    </cfRule>
    <cfRule type="cellIs" dxfId="8945" priority="243" operator="equal">
      <formula>"51-80%"</formula>
    </cfRule>
    <cfRule type="cellIs" dxfId="8944" priority="244" operator="equal">
      <formula>"21-50%"</formula>
    </cfRule>
    <cfRule type="cellIs" dxfId="8943" priority="245" operator="equal">
      <formula>"0-20%"</formula>
    </cfRule>
  </conditionalFormatting>
  <conditionalFormatting sqref="AB74">
    <cfRule type="cellIs" dxfId="8942" priority="236" operator="equal">
      <formula>"non pertinent / nicht relevant"</formula>
    </cfRule>
    <cfRule type="cellIs" dxfId="8941" priority="237" operator="equal">
      <formula>"81-100%"</formula>
    </cfRule>
    <cfRule type="cellIs" dxfId="8940" priority="238" operator="equal">
      <formula>"51-80%"</formula>
    </cfRule>
    <cfRule type="cellIs" dxfId="8939" priority="239" operator="equal">
      <formula>"21-50%"</formula>
    </cfRule>
    <cfRule type="cellIs" dxfId="8938" priority="240" operator="equal">
      <formula>"0-20%"</formula>
    </cfRule>
  </conditionalFormatting>
  <conditionalFormatting sqref="AB76">
    <cfRule type="cellIs" dxfId="8937" priority="231" operator="equal">
      <formula>"non pertinent / nicht relevant"</formula>
    </cfRule>
    <cfRule type="cellIs" dxfId="8936" priority="232" operator="equal">
      <formula>"81-100%"</formula>
    </cfRule>
    <cfRule type="cellIs" dxfId="8935" priority="233" operator="equal">
      <formula>"51-80%"</formula>
    </cfRule>
    <cfRule type="cellIs" dxfId="8934" priority="234" operator="equal">
      <formula>"21-50%"</formula>
    </cfRule>
    <cfRule type="cellIs" dxfId="8933" priority="235" operator="equal">
      <formula>"0-20%"</formula>
    </cfRule>
  </conditionalFormatting>
  <conditionalFormatting sqref="AB152">
    <cfRule type="cellIs" dxfId="8932" priority="226" operator="equal">
      <formula>"non pertinent / nicht relevant"</formula>
    </cfRule>
    <cfRule type="cellIs" dxfId="8931" priority="227" operator="equal">
      <formula>"81-100%"</formula>
    </cfRule>
    <cfRule type="cellIs" dxfId="8930" priority="228" operator="equal">
      <formula>"51-80%"</formula>
    </cfRule>
    <cfRule type="cellIs" dxfId="8929" priority="229" operator="equal">
      <formula>"21-50%"</formula>
    </cfRule>
    <cfRule type="cellIs" dxfId="8928" priority="230" operator="equal">
      <formula>"0-20%"</formula>
    </cfRule>
  </conditionalFormatting>
  <conditionalFormatting sqref="AB162">
    <cfRule type="cellIs" dxfId="8927" priority="221" operator="equal">
      <formula>"non pertinent / nicht relevant"</formula>
    </cfRule>
    <cfRule type="cellIs" dxfId="8926" priority="222" operator="equal">
      <formula>"81-100%"</formula>
    </cfRule>
    <cfRule type="cellIs" dxfId="8925" priority="223" operator="equal">
      <formula>"51-80%"</formula>
    </cfRule>
    <cfRule type="cellIs" dxfId="8924" priority="224" operator="equal">
      <formula>"21-50%"</formula>
    </cfRule>
    <cfRule type="cellIs" dxfId="8923" priority="225" operator="equal">
      <formula>"0-20%"</formula>
    </cfRule>
  </conditionalFormatting>
  <conditionalFormatting sqref="AB163">
    <cfRule type="cellIs" dxfId="8922" priority="216" operator="equal">
      <formula>"non pertinent / nicht relevant"</formula>
    </cfRule>
    <cfRule type="cellIs" dxfId="8921" priority="217" operator="equal">
      <formula>"81-100%"</formula>
    </cfRule>
    <cfRule type="cellIs" dxfId="8920" priority="218" operator="equal">
      <formula>"51-80%"</formula>
    </cfRule>
    <cfRule type="cellIs" dxfId="8919" priority="219" operator="equal">
      <formula>"21-50%"</formula>
    </cfRule>
    <cfRule type="cellIs" dxfId="8918" priority="220" operator="equal">
      <formula>"0-20%"</formula>
    </cfRule>
  </conditionalFormatting>
  <conditionalFormatting sqref="AB164">
    <cfRule type="cellIs" dxfId="8917" priority="211" operator="equal">
      <formula>"non pertinent / nicht relevant"</formula>
    </cfRule>
    <cfRule type="cellIs" dxfId="8916" priority="212" operator="equal">
      <formula>"81-100%"</formula>
    </cfRule>
    <cfRule type="cellIs" dxfId="8915" priority="213" operator="equal">
      <formula>"51-80%"</formula>
    </cfRule>
    <cfRule type="cellIs" dxfId="8914" priority="214" operator="equal">
      <formula>"21-50%"</formula>
    </cfRule>
    <cfRule type="cellIs" dxfId="8913" priority="215" operator="equal">
      <formula>"0-20%"</formula>
    </cfRule>
  </conditionalFormatting>
  <conditionalFormatting sqref="AB167">
    <cfRule type="cellIs" dxfId="8912" priority="206" operator="equal">
      <formula>"non pertinent / nicht relevant"</formula>
    </cfRule>
    <cfRule type="cellIs" dxfId="8911" priority="207" operator="equal">
      <formula>"81-100%"</formula>
    </cfRule>
    <cfRule type="cellIs" dxfId="8910" priority="208" operator="equal">
      <formula>"51-80%"</formula>
    </cfRule>
    <cfRule type="cellIs" dxfId="8909" priority="209" operator="equal">
      <formula>"21-50%"</formula>
    </cfRule>
    <cfRule type="cellIs" dxfId="8908" priority="210" operator="equal">
      <formula>"0-20%"</formula>
    </cfRule>
  </conditionalFormatting>
  <conditionalFormatting sqref="AB172">
    <cfRule type="cellIs" dxfId="8907" priority="201" operator="equal">
      <formula>"non pertinent / nicht relevant"</formula>
    </cfRule>
    <cfRule type="cellIs" dxfId="8906" priority="202" operator="equal">
      <formula>"81-100%"</formula>
    </cfRule>
    <cfRule type="cellIs" dxfId="8905" priority="203" operator="equal">
      <formula>"51-80%"</formula>
    </cfRule>
    <cfRule type="cellIs" dxfId="8904" priority="204" operator="equal">
      <formula>"21-50%"</formula>
    </cfRule>
    <cfRule type="cellIs" dxfId="8903" priority="205" operator="equal">
      <formula>"0-20%"</formula>
    </cfRule>
  </conditionalFormatting>
  <conditionalFormatting sqref="AB173">
    <cfRule type="cellIs" dxfId="8902" priority="196" operator="equal">
      <formula>"non pertinent / nicht relevant"</formula>
    </cfRule>
    <cfRule type="cellIs" dxfId="8901" priority="197" operator="equal">
      <formula>"81-100%"</formula>
    </cfRule>
    <cfRule type="cellIs" dxfId="8900" priority="198" operator="equal">
      <formula>"51-80%"</formula>
    </cfRule>
    <cfRule type="cellIs" dxfId="8899" priority="199" operator="equal">
      <formula>"21-50%"</formula>
    </cfRule>
    <cfRule type="cellIs" dxfId="8898" priority="200" operator="equal">
      <formula>"0-20%"</formula>
    </cfRule>
  </conditionalFormatting>
  <conditionalFormatting sqref="AB166">
    <cfRule type="cellIs" dxfId="8897" priority="191" operator="equal">
      <formula>"non pertinent / nicht relevant"</formula>
    </cfRule>
    <cfRule type="cellIs" dxfId="8896" priority="192" operator="equal">
      <formula>"81-100%"</formula>
    </cfRule>
    <cfRule type="cellIs" dxfId="8895" priority="193" operator="equal">
      <formula>"51-80%"</formula>
    </cfRule>
    <cfRule type="cellIs" dxfId="8894" priority="194" operator="equal">
      <formula>"21-50%"</formula>
    </cfRule>
    <cfRule type="cellIs" dxfId="8893" priority="195" operator="equal">
      <formula>"0-20%"</formula>
    </cfRule>
  </conditionalFormatting>
  <conditionalFormatting sqref="AB171">
    <cfRule type="cellIs" dxfId="8892" priority="186" operator="equal">
      <formula>"non pertinent / nicht relevant"</formula>
    </cfRule>
    <cfRule type="cellIs" dxfId="8891" priority="187" operator="equal">
      <formula>"81-100%"</formula>
    </cfRule>
    <cfRule type="cellIs" dxfId="8890" priority="188" operator="equal">
      <formula>"51-80%"</formula>
    </cfRule>
    <cfRule type="cellIs" dxfId="8889" priority="189" operator="equal">
      <formula>"21-50%"</formula>
    </cfRule>
    <cfRule type="cellIs" dxfId="8888" priority="190" operator="equal">
      <formula>"0-20%"</formula>
    </cfRule>
  </conditionalFormatting>
  <conditionalFormatting sqref="AB174">
    <cfRule type="cellIs" dxfId="8887" priority="181" operator="equal">
      <formula>"non pertinent / nicht relevant"</formula>
    </cfRule>
    <cfRule type="cellIs" dxfId="8886" priority="182" operator="equal">
      <formula>"81-100%"</formula>
    </cfRule>
    <cfRule type="cellIs" dxfId="8885" priority="183" operator="equal">
      <formula>"51-80%"</formula>
    </cfRule>
    <cfRule type="cellIs" dxfId="8884" priority="184" operator="equal">
      <formula>"21-50%"</formula>
    </cfRule>
    <cfRule type="cellIs" dxfId="8883" priority="185" operator="equal">
      <formula>"0-20%"</formula>
    </cfRule>
  </conditionalFormatting>
  <conditionalFormatting sqref="AB175">
    <cfRule type="cellIs" dxfId="8882" priority="176" operator="equal">
      <formula>"non pertinent / nicht relevant"</formula>
    </cfRule>
    <cfRule type="cellIs" dxfId="8881" priority="177" operator="equal">
      <formula>"81-100%"</formula>
    </cfRule>
    <cfRule type="cellIs" dxfId="8880" priority="178" operator="equal">
      <formula>"51-80%"</formula>
    </cfRule>
    <cfRule type="cellIs" dxfId="8879" priority="179" operator="equal">
      <formula>"21-50%"</formula>
    </cfRule>
    <cfRule type="cellIs" dxfId="8878" priority="180" operator="equal">
      <formula>"0-20%"</formula>
    </cfRule>
  </conditionalFormatting>
  <conditionalFormatting sqref="AB176">
    <cfRule type="cellIs" dxfId="8877" priority="171" operator="equal">
      <formula>"non pertinent / nicht relevant"</formula>
    </cfRule>
    <cfRule type="cellIs" dxfId="8876" priority="172" operator="equal">
      <formula>"81-100%"</formula>
    </cfRule>
    <cfRule type="cellIs" dxfId="8875" priority="173" operator="equal">
      <formula>"51-80%"</formula>
    </cfRule>
    <cfRule type="cellIs" dxfId="8874" priority="174" operator="equal">
      <formula>"21-50%"</formula>
    </cfRule>
    <cfRule type="cellIs" dxfId="8873" priority="175" operator="equal">
      <formula>"0-20%"</formula>
    </cfRule>
  </conditionalFormatting>
  <conditionalFormatting sqref="AB213">
    <cfRule type="cellIs" dxfId="8872" priority="166" operator="equal">
      <formula>"non pertinent / nicht relevant"</formula>
    </cfRule>
    <cfRule type="cellIs" dxfId="8871" priority="167" operator="equal">
      <formula>"81-100%"</formula>
    </cfRule>
    <cfRule type="cellIs" dxfId="8870" priority="168" operator="equal">
      <formula>"51-80%"</formula>
    </cfRule>
    <cfRule type="cellIs" dxfId="8869" priority="169" operator="equal">
      <formula>"21-50%"</formula>
    </cfRule>
    <cfRule type="cellIs" dxfId="8868" priority="170" operator="equal">
      <formula>"0-20%"</formula>
    </cfRule>
  </conditionalFormatting>
  <conditionalFormatting sqref="AB219">
    <cfRule type="cellIs" dxfId="8867" priority="146" operator="equal">
      <formula>"non pertinent / nicht relevant"</formula>
    </cfRule>
    <cfRule type="cellIs" dxfId="8866" priority="147" operator="equal">
      <formula>"81-100%"</formula>
    </cfRule>
    <cfRule type="cellIs" dxfId="8865" priority="148" operator="equal">
      <formula>"51-80%"</formula>
    </cfRule>
    <cfRule type="cellIs" dxfId="8864" priority="149" operator="equal">
      <formula>"21-50%"</formula>
    </cfRule>
    <cfRule type="cellIs" dxfId="8863" priority="150" operator="equal">
      <formula>"0-20%"</formula>
    </cfRule>
  </conditionalFormatting>
  <conditionalFormatting sqref="AB214">
    <cfRule type="cellIs" dxfId="8862" priority="161" operator="equal">
      <formula>"non pertinent / nicht relevant"</formula>
    </cfRule>
    <cfRule type="cellIs" dxfId="8861" priority="162" operator="equal">
      <formula>"81-100%"</formula>
    </cfRule>
    <cfRule type="cellIs" dxfId="8860" priority="163" operator="equal">
      <formula>"51-80%"</formula>
    </cfRule>
    <cfRule type="cellIs" dxfId="8859" priority="164" operator="equal">
      <formula>"21-50%"</formula>
    </cfRule>
    <cfRule type="cellIs" dxfId="8858" priority="165" operator="equal">
      <formula>"0-20%"</formula>
    </cfRule>
  </conditionalFormatting>
  <conditionalFormatting sqref="AB215:AB218">
    <cfRule type="cellIs" dxfId="8857" priority="156" operator="equal">
      <formula>"non pertinent / nicht relevant"</formula>
    </cfRule>
    <cfRule type="cellIs" dxfId="8856" priority="157" operator="equal">
      <formula>"81-100%"</formula>
    </cfRule>
    <cfRule type="cellIs" dxfId="8855" priority="158" operator="equal">
      <formula>"51-80%"</formula>
    </cfRule>
    <cfRule type="cellIs" dxfId="8854" priority="159" operator="equal">
      <formula>"21-50%"</formula>
    </cfRule>
    <cfRule type="cellIs" dxfId="8853" priority="160" operator="equal">
      <formula>"0-20%"</formula>
    </cfRule>
  </conditionalFormatting>
  <conditionalFormatting sqref="AB220:AB222">
    <cfRule type="cellIs" dxfId="8852" priority="151" operator="equal">
      <formula>"non pertinent / nicht relevant"</formula>
    </cfRule>
    <cfRule type="cellIs" dxfId="8851" priority="152" operator="equal">
      <formula>"81-100%"</formula>
    </cfRule>
    <cfRule type="cellIs" dxfId="8850" priority="153" operator="equal">
      <formula>"51-80%"</formula>
    </cfRule>
    <cfRule type="cellIs" dxfId="8849" priority="154" operator="equal">
      <formula>"21-50%"</formula>
    </cfRule>
    <cfRule type="cellIs" dxfId="8848" priority="155" operator="equal">
      <formula>"0-20%"</formula>
    </cfRule>
  </conditionalFormatting>
  <conditionalFormatting sqref="AB223">
    <cfRule type="cellIs" dxfId="8847" priority="141" operator="equal">
      <formula>"non pertinent / nicht relevant"</formula>
    </cfRule>
    <cfRule type="cellIs" dxfId="8846" priority="142" operator="equal">
      <formula>"81-100%"</formula>
    </cfRule>
    <cfRule type="cellIs" dxfId="8845" priority="143" operator="equal">
      <formula>"51-80%"</formula>
    </cfRule>
    <cfRule type="cellIs" dxfId="8844" priority="144" operator="equal">
      <formula>"21-50%"</formula>
    </cfRule>
    <cfRule type="cellIs" dxfId="8843" priority="145" operator="equal">
      <formula>"0-20%"</formula>
    </cfRule>
  </conditionalFormatting>
  <conditionalFormatting sqref="AB273">
    <cfRule type="cellIs" dxfId="8842" priority="136" operator="equal">
      <formula>"non pertinent / nicht relevant"</formula>
    </cfRule>
    <cfRule type="cellIs" dxfId="8841" priority="137" operator="equal">
      <formula>"81-100%"</formula>
    </cfRule>
    <cfRule type="cellIs" dxfId="8840" priority="138" operator="equal">
      <formula>"51-80%"</formula>
    </cfRule>
    <cfRule type="cellIs" dxfId="8839" priority="139" operator="equal">
      <formula>"21-50%"</formula>
    </cfRule>
    <cfRule type="cellIs" dxfId="8838" priority="140" operator="equal">
      <formula>"0-20%"</formula>
    </cfRule>
  </conditionalFormatting>
  <conditionalFormatting sqref="AB274">
    <cfRule type="cellIs" dxfId="8837" priority="131" operator="equal">
      <formula>"non pertinent / nicht relevant"</formula>
    </cfRule>
    <cfRule type="cellIs" dxfId="8836" priority="132" operator="equal">
      <formula>"81-100%"</formula>
    </cfRule>
    <cfRule type="cellIs" dxfId="8835" priority="133" operator="equal">
      <formula>"51-80%"</formula>
    </cfRule>
    <cfRule type="cellIs" dxfId="8834" priority="134" operator="equal">
      <formula>"21-50%"</formula>
    </cfRule>
    <cfRule type="cellIs" dxfId="8833" priority="135" operator="equal">
      <formula>"0-20%"</formula>
    </cfRule>
  </conditionalFormatting>
  <conditionalFormatting sqref="AB275">
    <cfRule type="cellIs" dxfId="8832" priority="126" operator="equal">
      <formula>"non pertinent / nicht relevant"</formula>
    </cfRule>
    <cfRule type="cellIs" dxfId="8831" priority="127" operator="equal">
      <formula>"81-100%"</formula>
    </cfRule>
    <cfRule type="cellIs" dxfId="8830" priority="128" operator="equal">
      <formula>"51-80%"</formula>
    </cfRule>
    <cfRule type="cellIs" dxfId="8829" priority="129" operator="equal">
      <formula>"21-50%"</formula>
    </cfRule>
    <cfRule type="cellIs" dxfId="8828" priority="130" operator="equal">
      <formula>"0-20%"</formula>
    </cfRule>
  </conditionalFormatting>
  <conditionalFormatting sqref="AB272">
    <cfRule type="cellIs" dxfId="8827" priority="121" operator="equal">
      <formula>"non pertinent / nicht relevant"</formula>
    </cfRule>
    <cfRule type="cellIs" dxfId="8826" priority="122" operator="equal">
      <formula>"81-100%"</formula>
    </cfRule>
    <cfRule type="cellIs" dxfId="8825" priority="123" operator="equal">
      <formula>"51-80%"</formula>
    </cfRule>
    <cfRule type="cellIs" dxfId="8824" priority="124" operator="equal">
      <formula>"21-50%"</formula>
    </cfRule>
    <cfRule type="cellIs" dxfId="8823" priority="125" operator="equal">
      <formula>"0-20%"</formula>
    </cfRule>
  </conditionalFormatting>
  <conditionalFormatting sqref="AB177">
    <cfRule type="cellIs" dxfId="8822" priority="116" operator="equal">
      <formula>"non pertinent / nicht relevant"</formula>
    </cfRule>
    <cfRule type="cellIs" dxfId="8821" priority="117" operator="equal">
      <formula>"81-100%"</formula>
    </cfRule>
    <cfRule type="cellIs" dxfId="8820" priority="118" operator="equal">
      <formula>"51-80%"</formula>
    </cfRule>
    <cfRule type="cellIs" dxfId="8819" priority="119" operator="equal">
      <formula>"21-50%"</formula>
    </cfRule>
    <cfRule type="cellIs" dxfId="8818" priority="120" operator="equal">
      <formula>"0-20%"</formula>
    </cfRule>
  </conditionalFormatting>
  <conditionalFormatting sqref="AB178">
    <cfRule type="cellIs" dxfId="8817" priority="111" operator="equal">
      <formula>"non pertinent / nicht relevant"</formula>
    </cfRule>
    <cfRule type="cellIs" dxfId="8816" priority="112" operator="equal">
      <formula>"81-100%"</formula>
    </cfRule>
    <cfRule type="cellIs" dxfId="8815" priority="113" operator="equal">
      <formula>"51-80%"</formula>
    </cfRule>
    <cfRule type="cellIs" dxfId="8814" priority="114" operator="equal">
      <formula>"21-50%"</formula>
    </cfRule>
    <cfRule type="cellIs" dxfId="8813" priority="115" operator="equal">
      <formula>"0-20%"</formula>
    </cfRule>
  </conditionalFormatting>
  <conditionalFormatting sqref="AB179">
    <cfRule type="cellIs" dxfId="8812" priority="106" operator="equal">
      <formula>"non pertinent / nicht relevant"</formula>
    </cfRule>
    <cfRule type="cellIs" dxfId="8811" priority="107" operator="equal">
      <formula>"81-100%"</formula>
    </cfRule>
    <cfRule type="cellIs" dxfId="8810" priority="108" operator="equal">
      <formula>"51-80%"</formula>
    </cfRule>
    <cfRule type="cellIs" dxfId="8809" priority="109" operator="equal">
      <formula>"21-50%"</formula>
    </cfRule>
    <cfRule type="cellIs" dxfId="8808" priority="110" operator="equal">
      <formula>"0-20%"</formula>
    </cfRule>
  </conditionalFormatting>
  <conditionalFormatting sqref="AB180">
    <cfRule type="cellIs" dxfId="8807" priority="101" operator="equal">
      <formula>"non pertinent / nicht relevant"</formula>
    </cfRule>
    <cfRule type="cellIs" dxfId="8806" priority="102" operator="equal">
      <formula>"81-100%"</formula>
    </cfRule>
    <cfRule type="cellIs" dxfId="8805" priority="103" operator="equal">
      <formula>"51-80%"</formula>
    </cfRule>
    <cfRule type="cellIs" dxfId="8804" priority="104" operator="equal">
      <formula>"21-50%"</formula>
    </cfRule>
    <cfRule type="cellIs" dxfId="8803" priority="105" operator="equal">
      <formula>"0-20%"</formula>
    </cfRule>
  </conditionalFormatting>
  <conditionalFormatting sqref="AB145">
    <cfRule type="cellIs" dxfId="8802" priority="96" operator="equal">
      <formula>"non pertinent / nicht relevant"</formula>
    </cfRule>
    <cfRule type="cellIs" dxfId="8801" priority="97" operator="equal">
      <formula>"81-100%"</formula>
    </cfRule>
    <cfRule type="cellIs" dxfId="8800" priority="98" operator="equal">
      <formula>"51-80%"</formula>
    </cfRule>
    <cfRule type="cellIs" dxfId="8799" priority="99" operator="equal">
      <formula>"21-50%"</formula>
    </cfRule>
    <cfRule type="cellIs" dxfId="8798" priority="100" operator="equal">
      <formula>"0-20%"</formula>
    </cfRule>
  </conditionalFormatting>
  <conditionalFormatting sqref="AB144">
    <cfRule type="cellIs" dxfId="8797" priority="91" operator="equal">
      <formula>"non pertinent / nicht relevant"</formula>
    </cfRule>
    <cfRule type="cellIs" dxfId="8796" priority="92" operator="equal">
      <formula>"81-100%"</formula>
    </cfRule>
    <cfRule type="cellIs" dxfId="8795" priority="93" operator="equal">
      <formula>"51-80%"</formula>
    </cfRule>
    <cfRule type="cellIs" dxfId="8794" priority="94" operator="equal">
      <formula>"21-50%"</formula>
    </cfRule>
    <cfRule type="cellIs" dxfId="8793" priority="95" operator="equal">
      <formula>"0-20%"</formula>
    </cfRule>
  </conditionalFormatting>
  <conditionalFormatting sqref="AB15">
    <cfRule type="cellIs" dxfId="8792" priority="81" operator="equal">
      <formula>"non pertinent / nicht relevant"</formula>
    </cfRule>
    <cfRule type="cellIs" dxfId="8791" priority="82" operator="equal">
      <formula>"81-100%"</formula>
    </cfRule>
    <cfRule type="cellIs" dxfId="8790" priority="83" operator="equal">
      <formula>"51-80%"</formula>
    </cfRule>
    <cfRule type="cellIs" dxfId="8789" priority="84" operator="equal">
      <formula>"21-50%"</formula>
    </cfRule>
    <cfRule type="cellIs" dxfId="8788" priority="85" operator="equal">
      <formula>"0-20%"</formula>
    </cfRule>
  </conditionalFormatting>
  <conditionalFormatting sqref="AB16">
    <cfRule type="cellIs" dxfId="8787" priority="76" operator="equal">
      <formula>"non pertinent / nicht relevant"</formula>
    </cfRule>
    <cfRule type="cellIs" dxfId="8786" priority="77" operator="equal">
      <formula>"81-100%"</formula>
    </cfRule>
    <cfRule type="cellIs" dxfId="8785" priority="78" operator="equal">
      <formula>"51-80%"</formula>
    </cfRule>
    <cfRule type="cellIs" dxfId="8784" priority="79" operator="equal">
      <formula>"21-50%"</formula>
    </cfRule>
    <cfRule type="cellIs" dxfId="8783" priority="80" operator="equal">
      <formula>"0-20%"</formula>
    </cfRule>
  </conditionalFormatting>
  <conditionalFormatting sqref="AB168">
    <cfRule type="cellIs" dxfId="8782" priority="71" operator="equal">
      <formula>"non pertinent / nicht relevant"</formula>
    </cfRule>
    <cfRule type="cellIs" dxfId="8781" priority="72" operator="equal">
      <formula>"81-100%"</formula>
    </cfRule>
    <cfRule type="cellIs" dxfId="8780" priority="73" operator="equal">
      <formula>"51-80%"</formula>
    </cfRule>
    <cfRule type="cellIs" dxfId="8779" priority="74" operator="equal">
      <formula>"21-50%"</formula>
    </cfRule>
    <cfRule type="cellIs" dxfId="8778" priority="75" operator="equal">
      <formula>"0-20%"</formula>
    </cfRule>
  </conditionalFormatting>
  <conditionalFormatting sqref="AB169">
    <cfRule type="cellIs" dxfId="8777" priority="66" operator="equal">
      <formula>"non pertinent / nicht relevant"</formula>
    </cfRule>
    <cfRule type="cellIs" dxfId="8776" priority="67" operator="equal">
      <formula>"81-100%"</formula>
    </cfRule>
    <cfRule type="cellIs" dxfId="8775" priority="68" operator="equal">
      <formula>"51-80%"</formula>
    </cfRule>
    <cfRule type="cellIs" dxfId="8774" priority="69" operator="equal">
      <formula>"21-50%"</formula>
    </cfRule>
    <cfRule type="cellIs" dxfId="8773" priority="70" operator="equal">
      <formula>"0-20%"</formula>
    </cfRule>
  </conditionalFormatting>
  <conditionalFormatting sqref="AB170">
    <cfRule type="cellIs" dxfId="8772" priority="61" operator="equal">
      <formula>"non pertinent / nicht relevant"</formula>
    </cfRule>
    <cfRule type="cellIs" dxfId="8771" priority="62" operator="equal">
      <formula>"81-100%"</formula>
    </cfRule>
    <cfRule type="cellIs" dxfId="8770" priority="63" operator="equal">
      <formula>"51-80%"</formula>
    </cfRule>
    <cfRule type="cellIs" dxfId="8769" priority="64" operator="equal">
      <formula>"21-50%"</formula>
    </cfRule>
    <cfRule type="cellIs" dxfId="8768" priority="65" operator="equal">
      <formula>"0-20%"</formula>
    </cfRule>
  </conditionalFormatting>
  <conditionalFormatting sqref="AB4">
    <cfRule type="cellIs" dxfId="8767" priority="636" operator="equal">
      <formula>"non pertinent / nicht relevant"</formula>
    </cfRule>
    <cfRule type="cellIs" dxfId="8766" priority="637" operator="equal">
      <formula>"81-100%"</formula>
    </cfRule>
    <cfRule type="cellIs" dxfId="8765" priority="638" operator="equal">
      <formula>"51-80%"</formula>
    </cfRule>
    <cfRule type="cellIs" dxfId="8764" priority="639" operator="equal">
      <formula>"21-50%"</formula>
    </cfRule>
    <cfRule type="cellIs" dxfId="8763" priority="640" operator="equal">
      <formula>"0-20%"</formula>
    </cfRule>
  </conditionalFormatting>
  <conditionalFormatting sqref="AB5">
    <cfRule type="cellIs" dxfId="8762" priority="631" operator="equal">
      <formula>"non pertinent / nicht relevant"</formula>
    </cfRule>
    <cfRule type="cellIs" dxfId="8761" priority="632" operator="equal">
      <formula>"81-100%"</formula>
    </cfRule>
    <cfRule type="cellIs" dxfId="8760" priority="633" operator="equal">
      <formula>"51-80%"</formula>
    </cfRule>
    <cfRule type="cellIs" dxfId="8759" priority="634" operator="equal">
      <formula>"21-50%"</formula>
    </cfRule>
    <cfRule type="cellIs" dxfId="8758" priority="635" operator="equal">
      <formula>"0-20%"</formula>
    </cfRule>
  </conditionalFormatting>
  <conditionalFormatting sqref="AB7">
    <cfRule type="cellIs" dxfId="8757" priority="626" operator="equal">
      <formula>"non pertinent / nicht relevant"</formula>
    </cfRule>
    <cfRule type="cellIs" dxfId="8756" priority="627" operator="equal">
      <formula>"81-100%"</formula>
    </cfRule>
    <cfRule type="cellIs" dxfId="8755" priority="628" operator="equal">
      <formula>"51-80%"</formula>
    </cfRule>
    <cfRule type="cellIs" dxfId="8754" priority="629" operator="equal">
      <formula>"21-50%"</formula>
    </cfRule>
    <cfRule type="cellIs" dxfId="8753" priority="630" operator="equal">
      <formula>"0-20%"</formula>
    </cfRule>
  </conditionalFormatting>
  <conditionalFormatting sqref="AB8">
    <cfRule type="cellIs" dxfId="8752" priority="621" operator="equal">
      <formula>"non pertinent / nicht relevant"</formula>
    </cfRule>
    <cfRule type="cellIs" dxfId="8751" priority="622" operator="equal">
      <formula>"81-100%"</formula>
    </cfRule>
    <cfRule type="cellIs" dxfId="8750" priority="623" operator="equal">
      <formula>"51-80%"</formula>
    </cfRule>
    <cfRule type="cellIs" dxfId="8749" priority="624" operator="equal">
      <formula>"21-50%"</formula>
    </cfRule>
    <cfRule type="cellIs" dxfId="8748" priority="625" operator="equal">
      <formula>"0-20%"</formula>
    </cfRule>
  </conditionalFormatting>
  <conditionalFormatting sqref="AB202:AB212">
    <cfRule type="cellIs" dxfId="8747" priority="56" operator="equal">
      <formula>"non pertinent / nicht relevant"</formula>
    </cfRule>
    <cfRule type="cellIs" dxfId="8746" priority="57" operator="equal">
      <formula>"81-100%"</formula>
    </cfRule>
    <cfRule type="cellIs" dxfId="8745" priority="58" operator="equal">
      <formula>"51-80%"</formula>
    </cfRule>
    <cfRule type="cellIs" dxfId="8744" priority="59" operator="equal">
      <formula>"21-50%"</formula>
    </cfRule>
    <cfRule type="cellIs" dxfId="8743" priority="60" operator="equal">
      <formula>"0-20%"</formula>
    </cfRule>
  </conditionalFormatting>
  <conditionalFormatting sqref="AB197:AB201">
    <cfRule type="cellIs" dxfId="8742" priority="51" operator="equal">
      <formula>"non pertinent / nicht relevant"</formula>
    </cfRule>
    <cfRule type="cellIs" dxfId="8741" priority="52" operator="equal">
      <formula>"81-100%"</formula>
    </cfRule>
    <cfRule type="cellIs" dxfId="8740" priority="53" operator="equal">
      <formula>"51-80%"</formula>
    </cfRule>
    <cfRule type="cellIs" dxfId="8739" priority="54" operator="equal">
      <formula>"21-50%"</formula>
    </cfRule>
    <cfRule type="cellIs" dxfId="8738" priority="55" operator="equal">
      <formula>"0-20%"</formula>
    </cfRule>
  </conditionalFormatting>
  <conditionalFormatting sqref="AB185:AB193">
    <cfRule type="cellIs" dxfId="8737" priority="46" operator="equal">
      <formula>"non pertinent / nicht relevant"</formula>
    </cfRule>
    <cfRule type="cellIs" dxfId="8736" priority="47" operator="equal">
      <formula>"81-100%"</formula>
    </cfRule>
    <cfRule type="cellIs" dxfId="8735" priority="48" operator="equal">
      <formula>"51-80%"</formula>
    </cfRule>
    <cfRule type="cellIs" dxfId="8734" priority="49" operator="equal">
      <formula>"21-50%"</formula>
    </cfRule>
    <cfRule type="cellIs" dxfId="8733" priority="50" operator="equal">
      <formula>"0-20%"</formula>
    </cfRule>
  </conditionalFormatting>
  <conditionalFormatting sqref="AB181:AB184">
    <cfRule type="cellIs" dxfId="8732" priority="41" operator="equal">
      <formula>"non pertinent / nicht relevant"</formula>
    </cfRule>
    <cfRule type="cellIs" dxfId="8731" priority="42" operator="equal">
      <formula>"81-100%"</formula>
    </cfRule>
    <cfRule type="cellIs" dxfId="8730" priority="43" operator="equal">
      <formula>"51-80%"</formula>
    </cfRule>
    <cfRule type="cellIs" dxfId="8729" priority="44" operator="equal">
      <formula>"21-50%"</formula>
    </cfRule>
    <cfRule type="cellIs" dxfId="8728" priority="45" operator="equal">
      <formula>"0-20%"</formula>
    </cfRule>
  </conditionalFormatting>
  <conditionalFormatting sqref="AB196">
    <cfRule type="cellIs" dxfId="8727" priority="36" operator="equal">
      <formula>"non pertinent / nicht relevant"</formula>
    </cfRule>
    <cfRule type="cellIs" dxfId="8726" priority="37" operator="equal">
      <formula>"81-100%"</formula>
    </cfRule>
    <cfRule type="cellIs" dxfId="8725" priority="38" operator="equal">
      <formula>"51-80%"</formula>
    </cfRule>
    <cfRule type="cellIs" dxfId="8724" priority="39" operator="equal">
      <formula>"21-50%"</formula>
    </cfRule>
    <cfRule type="cellIs" dxfId="8723" priority="40" operator="equal">
      <formula>"0-20%"</formula>
    </cfRule>
  </conditionalFormatting>
  <conditionalFormatting sqref="AB194:AB195">
    <cfRule type="cellIs" dxfId="8722" priority="31" operator="equal">
      <formula>"non pertinent / nicht relevant"</formula>
    </cfRule>
    <cfRule type="cellIs" dxfId="8721" priority="32" operator="equal">
      <formula>"81-100%"</formula>
    </cfRule>
    <cfRule type="cellIs" dxfId="8720" priority="33" operator="equal">
      <formula>"51-80%"</formula>
    </cfRule>
    <cfRule type="cellIs" dxfId="8719" priority="34" operator="equal">
      <formula>"21-50%"</formula>
    </cfRule>
    <cfRule type="cellIs" dxfId="8718" priority="35" operator="equal">
      <formula>"0-20%"</formula>
    </cfRule>
  </conditionalFormatting>
  <conditionalFormatting sqref="AB154">
    <cfRule type="cellIs" dxfId="8717" priority="26" operator="equal">
      <formula>"non pertinent / nicht relevant"</formula>
    </cfRule>
    <cfRule type="cellIs" dxfId="8716" priority="27" operator="equal">
      <formula>"81-100%"</formula>
    </cfRule>
    <cfRule type="cellIs" dxfId="8715" priority="28" operator="equal">
      <formula>"51-80%"</formula>
    </cfRule>
    <cfRule type="cellIs" dxfId="8714" priority="29" operator="equal">
      <formula>"21-50%"</formula>
    </cfRule>
    <cfRule type="cellIs" dxfId="8713" priority="30" operator="equal">
      <formula>"0-20%"</formula>
    </cfRule>
  </conditionalFormatting>
  <conditionalFormatting sqref="AB158">
    <cfRule type="cellIs" dxfId="8712" priority="21" operator="equal">
      <formula>"non pertinent / nicht relevant"</formula>
    </cfRule>
    <cfRule type="cellIs" dxfId="8711" priority="22" operator="equal">
      <formula>"81-100%"</formula>
    </cfRule>
    <cfRule type="cellIs" dxfId="8710" priority="23" operator="equal">
      <formula>"51-80%"</formula>
    </cfRule>
    <cfRule type="cellIs" dxfId="8709" priority="24" operator="equal">
      <formula>"21-50%"</formula>
    </cfRule>
    <cfRule type="cellIs" dxfId="8708" priority="25" operator="equal">
      <formula>"0-20%"</formula>
    </cfRule>
  </conditionalFormatting>
  <conditionalFormatting sqref="AB165">
    <cfRule type="cellIs" dxfId="8707" priority="16" operator="equal">
      <formula>"non pertinent / nicht relevant"</formula>
    </cfRule>
    <cfRule type="cellIs" dxfId="8706" priority="17" operator="equal">
      <formula>"81-100%"</formula>
    </cfRule>
    <cfRule type="cellIs" dxfId="8705" priority="18" operator="equal">
      <formula>"51-80%"</formula>
    </cfRule>
    <cfRule type="cellIs" dxfId="8704" priority="19" operator="equal">
      <formula>"21-50%"</formula>
    </cfRule>
    <cfRule type="cellIs" dxfId="8703" priority="20" operator="equal">
      <formula>"0-20%"</formula>
    </cfRule>
  </conditionalFormatting>
  <conditionalFormatting sqref="AB224:AB271">
    <cfRule type="cellIs" dxfId="8702" priority="11" operator="equal">
      <formula>"non pertinent / nicht relevant"</formula>
    </cfRule>
    <cfRule type="cellIs" dxfId="8701" priority="12" operator="equal">
      <formula>"81-100%"</formula>
    </cfRule>
    <cfRule type="cellIs" dxfId="8700" priority="13" operator="equal">
      <formula>"51-80%"</formula>
    </cfRule>
    <cfRule type="cellIs" dxfId="8699" priority="14" operator="equal">
      <formula>"21-50%"</formula>
    </cfRule>
    <cfRule type="cellIs" dxfId="8698" priority="15" operator="equal">
      <formula>"0-20%"</formula>
    </cfRule>
  </conditionalFormatting>
  <conditionalFormatting sqref="AB82:AB142">
    <cfRule type="cellIs" dxfId="8697" priority="6" operator="equal">
      <formula>"non pertinent / nicht relevant"</formula>
    </cfRule>
    <cfRule type="cellIs" dxfId="8696" priority="7" operator="equal">
      <formula>"81-100%"</formula>
    </cfRule>
    <cfRule type="cellIs" dxfId="8695" priority="8" operator="equal">
      <formula>"51-80%"</formula>
    </cfRule>
    <cfRule type="cellIs" dxfId="8694" priority="9" operator="equal">
      <formula>"21-50%"</formula>
    </cfRule>
    <cfRule type="cellIs" dxfId="8693" priority="10" operator="equal">
      <formula>"0-20%"</formula>
    </cfRule>
  </conditionalFormatting>
  <conditionalFormatting sqref="AB143">
    <cfRule type="cellIs" dxfId="8692" priority="1" operator="equal">
      <formula>"non pertinent / nicht relevant"</formula>
    </cfRule>
    <cfRule type="cellIs" dxfId="8691" priority="2" operator="equal">
      <formula>"81-100%"</formula>
    </cfRule>
    <cfRule type="cellIs" dxfId="8690" priority="3" operator="equal">
      <formula>"51-80%"</formula>
    </cfRule>
    <cfRule type="cellIs" dxfId="8689" priority="4" operator="equal">
      <formula>"21-50%"</formula>
    </cfRule>
    <cfRule type="cellIs" dxfId="8688" priority="5" operator="equal">
      <formula>"0-20%"</formula>
    </cfRule>
  </conditionalFormatting>
  <pageMargins left="0.7" right="0.7" top="0.75" bottom="0.75" header="0.3" footer="0.3"/>
  <pageSetup paperSize="9" scale="1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W295"/>
  <sheetViews>
    <sheetView zoomScale="70" zoomScaleNormal="70" workbookViewId="0">
      <pane xSplit="1" ySplit="3" topLeftCell="E4" activePane="bottomRight" state="frozenSplit"/>
      <selection activeCell="B30" sqref="B30"/>
      <selection pane="topRight" activeCell="B30" sqref="B30"/>
      <selection pane="bottomLeft" activeCell="B30" sqref="B30"/>
      <selection pane="bottomRight" activeCell="B30" sqref="B30"/>
    </sheetView>
  </sheetViews>
  <sheetFormatPr baseColWidth="10" defaultColWidth="7.85546875" defaultRowHeight="35.25" customHeight="1" x14ac:dyDescent="0.25"/>
  <cols>
    <col min="1" max="1" width="6.85546875" style="1006" bestFit="1" customWidth="1"/>
    <col min="2" max="2" width="10.5703125" style="1006" hidden="1" customWidth="1"/>
    <col min="3" max="3" width="11.5703125" style="1006" hidden="1" customWidth="1"/>
    <col min="4" max="4" width="7.7109375" style="1006" hidden="1" customWidth="1"/>
    <col min="5" max="5" width="10.7109375" style="633" customWidth="1"/>
    <col min="6" max="6" width="16.28515625" style="450" customWidth="1"/>
    <col min="7" max="7" width="14.28515625" style="991" customWidth="1"/>
    <col min="8" max="8" width="14.140625" style="1088" customWidth="1"/>
    <col min="9" max="9" width="14.140625" style="1049" customWidth="1"/>
    <col min="10" max="10" width="12.42578125" style="1089" customWidth="1"/>
    <col min="11" max="11" width="5.7109375" style="1056" hidden="1" customWidth="1"/>
    <col min="12" max="12" width="12.7109375" style="1045" customWidth="1"/>
    <col min="13" max="13" width="28.42578125" style="1045" customWidth="1"/>
    <col min="14" max="14" width="7.7109375" style="633" customWidth="1"/>
    <col min="15" max="15" width="5.7109375" style="633" customWidth="1"/>
    <col min="16" max="16" width="27.140625" style="1071" customWidth="1"/>
    <col min="17" max="17" width="12.42578125" style="1098" customWidth="1"/>
    <col min="18" max="18" width="12.42578125" style="1120" customWidth="1"/>
    <col min="19" max="19" width="15.28515625" style="1127" customWidth="1"/>
    <col min="20" max="20" width="26.7109375" style="1124" customWidth="1"/>
    <col min="21" max="21" width="12.28515625" style="450" customWidth="1"/>
    <col min="22" max="22" width="11.42578125" style="450" customWidth="1"/>
    <col min="23" max="23" width="98.85546875" style="1073" customWidth="1"/>
    <col min="24" max="16384" width="7.85546875" style="450"/>
  </cols>
  <sheetData>
    <row r="1" spans="1:23" s="944" customFormat="1" ht="63.6" customHeight="1" x14ac:dyDescent="0.25">
      <c r="A1" s="1005"/>
      <c r="B1" s="1005"/>
      <c r="C1" s="1005"/>
      <c r="D1" s="1005"/>
      <c r="E1" s="649" t="s">
        <v>1908</v>
      </c>
      <c r="F1" s="944" t="s">
        <v>1909</v>
      </c>
      <c r="G1" s="990" t="s">
        <v>1910</v>
      </c>
      <c r="H1" s="992" t="s">
        <v>1954</v>
      </c>
      <c r="I1" s="1000" t="s">
        <v>1911</v>
      </c>
      <c r="J1" s="1113" t="s">
        <v>1939</v>
      </c>
      <c r="K1" s="1329" t="s">
        <v>1912</v>
      </c>
      <c r="L1" s="1329"/>
      <c r="M1" s="1329"/>
      <c r="N1" s="1329"/>
      <c r="O1" s="1329"/>
      <c r="P1" s="1330"/>
      <c r="Q1" s="1090" t="s">
        <v>1917</v>
      </c>
      <c r="R1" s="1333" t="s">
        <v>1989</v>
      </c>
      <c r="S1" s="1334"/>
      <c r="T1" s="650"/>
      <c r="W1" s="1072"/>
    </row>
    <row r="2" spans="1:23" ht="75" customHeight="1" x14ac:dyDescent="0.25">
      <c r="H2" s="1087" t="s">
        <v>1928</v>
      </c>
      <c r="I2" s="1046" t="s">
        <v>1952</v>
      </c>
      <c r="J2" s="1114" t="s">
        <v>1941</v>
      </c>
      <c r="K2" s="1331" t="s">
        <v>31</v>
      </c>
      <c r="L2" s="1331"/>
      <c r="M2" s="1332"/>
      <c r="N2" s="1328" t="s">
        <v>1942</v>
      </c>
      <c r="O2" s="1328"/>
      <c r="P2" s="1057"/>
      <c r="Q2" s="1091" t="s">
        <v>1930</v>
      </c>
      <c r="R2" s="1119"/>
      <c r="S2" s="1125"/>
    </row>
    <row r="3" spans="1:23" s="1111" customFormat="1" ht="142.15" customHeight="1" thickBot="1" x14ac:dyDescent="0.3">
      <c r="A3" s="1099" t="s">
        <v>1053</v>
      </c>
      <c r="B3" s="1100" t="s">
        <v>21</v>
      </c>
      <c r="C3" s="1100" t="s">
        <v>22</v>
      </c>
      <c r="D3" s="1100" t="s">
        <v>20</v>
      </c>
      <c r="E3" s="1101" t="s">
        <v>1953</v>
      </c>
      <c r="F3" s="1101" t="s">
        <v>1943</v>
      </c>
      <c r="G3" s="1102" t="s">
        <v>1944</v>
      </c>
      <c r="H3" s="1103" t="s">
        <v>1945</v>
      </c>
      <c r="I3" s="1104" t="s">
        <v>1940</v>
      </c>
      <c r="J3" s="1105" t="s">
        <v>1946</v>
      </c>
      <c r="K3" s="1112" t="s">
        <v>1955</v>
      </c>
      <c r="L3" s="1106" t="s">
        <v>1947</v>
      </c>
      <c r="M3" s="1106" t="s">
        <v>1948</v>
      </c>
      <c r="N3" s="1107" t="s">
        <v>1949</v>
      </c>
      <c r="O3" s="1107" t="s">
        <v>1950</v>
      </c>
      <c r="P3" s="1108" t="s">
        <v>1951</v>
      </c>
      <c r="Q3" s="1109" t="s">
        <v>1945</v>
      </c>
      <c r="R3" s="1128" t="s">
        <v>1980</v>
      </c>
      <c r="S3" s="1129" t="s">
        <v>1863</v>
      </c>
      <c r="T3" s="1305" t="s">
        <v>1056</v>
      </c>
      <c r="U3" s="1304" t="s">
        <v>1907</v>
      </c>
      <c r="V3" s="1304" t="s">
        <v>32</v>
      </c>
      <c r="W3" s="1110"/>
    </row>
    <row r="4" spans="1:23" s="1086" customFormat="1" ht="35.25" customHeight="1" thickTop="1" x14ac:dyDescent="0.25">
      <c r="A4" s="926">
        <v>2</v>
      </c>
      <c r="B4" s="1075" t="str">
        <f>IF(VLOOKUP(A4,'Données de base - Grunddaten'!$A$2:$M$273,3,FALSE)="","",VLOOKUP(A4,'Données de base - Grunddaten'!$A$2:$M$273,3,FALSE))</f>
        <v>Haumättli</v>
      </c>
      <c r="C4" s="1075" t="str">
        <f>IF(VLOOKUP(A4,'Données de base - Grunddaten'!$A$2:$M$273,4,FALSE)="","",VLOOKUP(A4,'Données de base - Grunddaten'!$A$2:$M$273,4,FALSE))</f>
        <v>Rhein</v>
      </c>
      <c r="D4" s="1075" t="str">
        <f>IF(VLOOKUP(A4,'Données de base - Grunddaten'!$A$2:$M$273,5,FALSE)="","",VLOOKUP(A4,'Données de base - Grunddaten'!$A$2:$M$273,5,FALSE))</f>
        <v>AG</v>
      </c>
      <c r="E4" s="1076" t="s">
        <v>45</v>
      </c>
      <c r="F4" s="1077"/>
      <c r="G4" s="1078"/>
      <c r="H4" s="993" t="s">
        <v>45</v>
      </c>
      <c r="I4" s="1001" t="s">
        <v>48</v>
      </c>
      <c r="J4" s="980" t="s">
        <v>45</v>
      </c>
      <c r="K4" s="1079"/>
      <c r="L4" s="1080"/>
      <c r="M4" s="1081"/>
      <c r="N4" s="339"/>
      <c r="O4" s="1082"/>
      <c r="P4" s="1083"/>
      <c r="Q4" s="1092" t="s">
        <v>45</v>
      </c>
      <c r="R4" s="1115" t="str">
        <f>IF(VLOOKUP(A4,'Eclusée - Schwall-Sunk'!$A$2:$F$273,5,FALSE)="","",VLOOKUP(A4,'Eclusée - Schwall-Sunk'!$A$2:$F$273,5,FALSE))</f>
        <v>force hydraulique</v>
      </c>
      <c r="S4" s="1126" t="str">
        <f>IF(VLOOKUP(A4,'Eclusée - Schwall-Sunk'!$A$2:$F$273,6,FALSE)="","",VLOOKUP(A4,'Eclusée - Schwall-Sunk'!$A$2:$F$273,6,FALSE))</f>
        <v>Potentiellement affecté mais non plausible / möglicherweise betroffen aber nicht nachweisbar</v>
      </c>
      <c r="T4" s="1122"/>
      <c r="U4" s="1085"/>
      <c r="V4" s="1085"/>
      <c r="W4" s="1084"/>
    </row>
    <row r="5" spans="1:23" ht="35.25" customHeight="1" x14ac:dyDescent="0.25">
      <c r="A5" s="926">
        <v>3</v>
      </c>
      <c r="B5" s="1008" t="str">
        <f>IF(VLOOKUP(A5,'Données de base - Grunddaten'!$A$2:$M$273,3,FALSE)="","",VLOOKUP(A5,'Données de base - Grunddaten'!$A$2:$M$273,3,FALSE))</f>
        <v>Koblenzer Rhein und Laufen</v>
      </c>
      <c r="C5" s="1008" t="str">
        <f>IF(VLOOKUP(A5,'Données de base - Grunddaten'!$A$2:$M$273,4,FALSE)="","",VLOOKUP(A5,'Données de base - Grunddaten'!$A$2:$M$273,4,FALSE))</f>
        <v>Rhein</v>
      </c>
      <c r="D5" s="1008" t="str">
        <f>IF(VLOOKUP(A5,'Données de base - Grunddaten'!$A$2:$M$273,5,FALSE)="","",VLOOKUP(A5,'Données de base - Grunddaten'!$A$2:$M$273,5,FALSE))</f>
        <v>AG</v>
      </c>
      <c r="E5" s="1013" t="s">
        <v>45</v>
      </c>
      <c r="F5" s="328"/>
      <c r="G5" s="329"/>
      <c r="H5" s="994" t="s">
        <v>45</v>
      </c>
      <c r="I5" s="1047" t="s">
        <v>48</v>
      </c>
      <c r="J5" s="981" t="s">
        <v>45</v>
      </c>
      <c r="K5" s="1050"/>
      <c r="L5" s="1010"/>
      <c r="M5" s="1010"/>
      <c r="N5" s="1011"/>
      <c r="O5" s="1012"/>
      <c r="P5" s="1058"/>
      <c r="Q5" s="1093" t="s">
        <v>45</v>
      </c>
      <c r="R5" s="1115" t="str">
        <f>IF(VLOOKUP(A5,'Eclusée - Schwall-Sunk'!$A$2:$F$273,5,FALSE)="","",VLOOKUP(A5,'Eclusée - Schwall-Sunk'!$A$2:$F$273,5,FALSE))</f>
        <v>force hydraulique</v>
      </c>
      <c r="S5" s="1126" t="str">
        <f>IF(VLOOKUP(A5,'Eclusée - Schwall-Sunk'!$A$2:$F$273,6,FALSE)="","",VLOOKUP(A5,'Eclusée - Schwall-Sunk'!$A$2:$F$273,6,FALSE))</f>
        <v>Non affecté / nicht betroffen</v>
      </c>
      <c r="T5" s="1123"/>
      <c r="U5" s="572"/>
      <c r="V5" s="572"/>
    </row>
    <row r="6" spans="1:23" ht="35.25" customHeight="1" x14ac:dyDescent="0.25">
      <c r="A6" s="926">
        <v>4</v>
      </c>
      <c r="B6" s="1008" t="str">
        <f>IF(VLOOKUP(A6,'Données de base - Grunddaten'!$A$2:$M$273,3,FALSE)="","",VLOOKUP(A6,'Données de base - Grunddaten'!$A$2:$M$273,3,FALSE))</f>
        <v>Seldenhalde</v>
      </c>
      <c r="C6" s="1008" t="str">
        <f>IF(VLOOKUP(A6,'Données de base - Grunddaten'!$A$2:$M$273,4,FALSE)="","",VLOOKUP(A6,'Données de base - Grunddaten'!$A$2:$M$273,4,FALSE))</f>
        <v>Wutach</v>
      </c>
      <c r="D6" s="1008" t="str">
        <f>IF(VLOOKUP(A6,'Données de base - Grunddaten'!$A$2:$M$273,5,FALSE)="","",VLOOKUP(A6,'Données de base - Grunddaten'!$A$2:$M$273,5,FALSE))</f>
        <v>SH</v>
      </c>
      <c r="E6" s="1013" t="s">
        <v>746</v>
      </c>
      <c r="F6" s="337" t="s">
        <v>1345</v>
      </c>
      <c r="G6" s="338" t="s">
        <v>1345</v>
      </c>
      <c r="H6" s="994" t="s">
        <v>746</v>
      </c>
      <c r="I6" s="1047" t="s">
        <v>48</v>
      </c>
      <c r="J6" s="988" t="s">
        <v>746</v>
      </c>
      <c r="K6" s="1050"/>
      <c r="L6" s="1010"/>
      <c r="M6" s="1010"/>
      <c r="N6" s="1011"/>
      <c r="O6" s="1012"/>
      <c r="P6" s="1058"/>
      <c r="Q6" s="1094" t="s">
        <v>746</v>
      </c>
      <c r="R6" s="1115" t="str">
        <f>IF(VLOOKUP(A6,'Eclusée - Schwall-Sunk'!$A$2:$F$273,5,FALSE)="","",VLOOKUP(A6,'Eclusée - Schwall-Sunk'!$A$2:$F$273,5,FALSE))</f>
        <v/>
      </c>
      <c r="S6" s="1126" t="str">
        <f>IF(VLOOKUP(A6,'Eclusée - Schwall-Sunk'!$A$2:$F$273,6,FALSE)="","",VLOOKUP(A6,'Eclusée - Schwall-Sunk'!$A$2:$F$273,6,FALSE))</f>
        <v>Non affecté / nicht betroffen</v>
      </c>
      <c r="T6" s="1123"/>
      <c r="U6" s="572"/>
      <c r="V6" s="572"/>
    </row>
    <row r="7" spans="1:23" ht="35.25" customHeight="1" x14ac:dyDescent="0.25">
      <c r="A7" s="926">
        <v>5</v>
      </c>
      <c r="B7" s="1008" t="str">
        <f>IF(VLOOKUP(A7,'Données de base - Grunddaten'!$A$2:$M$273,3,FALSE)="","",VLOOKUP(A7,'Données de base - Grunddaten'!$A$2:$M$273,3,FALSE))</f>
        <v>Eggrank–Thurspitz</v>
      </c>
      <c r="C7" s="1008" t="str">
        <f>IF(VLOOKUP(A7,'Données de base - Grunddaten'!$A$2:$M$273,4,FALSE)="","",VLOOKUP(A7,'Données de base - Grunddaten'!$A$2:$M$273,4,FALSE))</f>
        <v>Rhein, Thur</v>
      </c>
      <c r="D7" s="1008" t="str">
        <f>IF(VLOOKUP(A7,'Données de base - Grunddaten'!$A$2:$M$273,5,FALSE)="","",VLOOKUP(A7,'Données de base - Grunddaten'!$A$2:$M$273,5,FALSE))</f>
        <v>SH/ZH</v>
      </c>
      <c r="E7" s="1013" t="s">
        <v>45</v>
      </c>
      <c r="F7" s="325"/>
      <c r="G7" s="326"/>
      <c r="H7" s="994" t="s">
        <v>45</v>
      </c>
      <c r="I7" s="1047" t="s">
        <v>48</v>
      </c>
      <c r="J7" s="981" t="s">
        <v>45</v>
      </c>
      <c r="K7" s="1050"/>
      <c r="L7" s="1010"/>
      <c r="M7" s="1010"/>
      <c r="N7" s="1011"/>
      <c r="O7" s="1012"/>
      <c r="P7" s="1058"/>
      <c r="Q7" s="1093" t="s">
        <v>45</v>
      </c>
      <c r="R7" s="1115" t="str">
        <f>IF(VLOOKUP(A7,'Eclusée - Schwall-Sunk'!$A$2:$F$273,5,FALSE)="","",VLOOKUP(A7,'Eclusée - Schwall-Sunk'!$A$2:$F$273,5,FALSE))</f>
        <v>force hydraulique</v>
      </c>
      <c r="S7" s="1126" t="str">
        <f>IF(VLOOKUP(A7,'Eclusée - Schwall-Sunk'!$A$2:$F$273,6,FALSE)="","",VLOOKUP(A7,'Eclusée - Schwall-Sunk'!$A$2:$F$273,6,FALSE))</f>
        <v>Potentiellement affecté mais non plausible / möglicherweise betroffen aber nicht nachweisbar</v>
      </c>
      <c r="T7" s="1123"/>
      <c r="U7" s="572"/>
      <c r="V7" s="572"/>
    </row>
    <row r="8" spans="1:23" ht="35.25" customHeight="1" x14ac:dyDescent="0.25">
      <c r="A8" s="926">
        <v>6</v>
      </c>
      <c r="B8" s="1008" t="str">
        <f>IF(VLOOKUP(A8,'Données de base - Grunddaten'!$A$2:$M$273,3,FALSE)="","",VLOOKUP(A8,'Données de base - Grunddaten'!$A$2:$M$273,3,FALSE))</f>
        <v>Schäffäuli</v>
      </c>
      <c r="C8" s="1008" t="str">
        <f>IF(VLOOKUP(A8,'Données de base - Grunddaten'!$A$2:$M$273,4,FALSE)="","",VLOOKUP(A8,'Données de base - Grunddaten'!$A$2:$M$273,4,FALSE))</f>
        <v>Thur</v>
      </c>
      <c r="D8" s="1008" t="str">
        <f>IF(VLOOKUP(A8,'Données de base - Grunddaten'!$A$2:$M$273,5,FALSE)="","",VLOOKUP(A8,'Données de base - Grunddaten'!$A$2:$M$273,5,FALSE))</f>
        <v>TG</v>
      </c>
      <c r="E8" s="1013" t="s">
        <v>746</v>
      </c>
      <c r="F8" s="337" t="s">
        <v>1345</v>
      </c>
      <c r="G8" s="338" t="s">
        <v>1345</v>
      </c>
      <c r="H8" s="994" t="s">
        <v>746</v>
      </c>
      <c r="I8" s="1047" t="s">
        <v>48</v>
      </c>
      <c r="J8" s="982" t="s">
        <v>746</v>
      </c>
      <c r="K8" s="1050"/>
      <c r="L8" s="1010"/>
      <c r="M8" s="1010"/>
      <c r="N8" s="1011"/>
      <c r="O8" s="1012"/>
      <c r="P8" s="1058"/>
      <c r="Q8" s="1094" t="s">
        <v>746</v>
      </c>
      <c r="R8" s="1115" t="str">
        <f>IF(VLOOKUP(A8,'Eclusée - Schwall-Sunk'!$A$2:$F$273,5,FALSE)="","",VLOOKUP(A8,'Eclusée - Schwall-Sunk'!$A$2:$F$273,5,FALSE))</f>
        <v/>
      </c>
      <c r="S8" s="1126" t="str">
        <f>IF(VLOOKUP(A8,'Eclusée - Schwall-Sunk'!$A$2:$F$273,6,FALSE)="","",VLOOKUP(A8,'Eclusée - Schwall-Sunk'!$A$2:$F$273,6,FALSE))</f>
        <v>Potentiellement affecté mais non plausible / möglicherweise betroffen aber nicht nachweisbar</v>
      </c>
      <c r="T8" s="1123"/>
      <c r="U8" s="572"/>
      <c r="V8" s="572"/>
    </row>
    <row r="9" spans="1:23" ht="35.25" customHeight="1" x14ac:dyDescent="0.25">
      <c r="A9" s="926">
        <v>7</v>
      </c>
      <c r="B9" s="1008" t="str">
        <f>IF(VLOOKUP(A9,'Données de base - Grunddaten'!$A$2:$M$273,3,FALSE)="","",VLOOKUP(A9,'Données de base - Grunddaten'!$A$2:$M$273,3,FALSE))</f>
        <v>Wuer</v>
      </c>
      <c r="C9" s="1008" t="str">
        <f>IF(VLOOKUP(A9,'Données de base - Grunddaten'!$A$2:$M$273,4,FALSE)="","",VLOOKUP(A9,'Données de base - Grunddaten'!$A$2:$M$273,4,FALSE))</f>
        <v>Thur</v>
      </c>
      <c r="D9" s="1008" t="str">
        <f>IF(VLOOKUP(A9,'Données de base - Grunddaten'!$A$2:$M$273,5,FALSE)="","",VLOOKUP(A9,'Données de base - Grunddaten'!$A$2:$M$273,5,FALSE))</f>
        <v>TG</v>
      </c>
      <c r="E9" s="1013" t="s">
        <v>746</v>
      </c>
      <c r="F9" s="337" t="s">
        <v>1345</v>
      </c>
      <c r="G9" s="338" t="s">
        <v>1345</v>
      </c>
      <c r="H9" s="994" t="s">
        <v>746</v>
      </c>
      <c r="I9" s="1047" t="s">
        <v>48</v>
      </c>
      <c r="J9" s="981" t="s">
        <v>746</v>
      </c>
      <c r="K9" s="1050"/>
      <c r="L9" s="1010"/>
      <c r="M9" s="1010"/>
      <c r="N9" s="1011"/>
      <c r="O9" s="1012"/>
      <c r="P9" s="1058"/>
      <c r="Q9" s="1093" t="s">
        <v>746</v>
      </c>
      <c r="R9" s="1115" t="str">
        <f>IF(VLOOKUP(A9,'Eclusée - Schwall-Sunk'!$A$2:$F$273,5,FALSE)="","",VLOOKUP(A9,'Eclusée - Schwall-Sunk'!$A$2:$F$273,5,FALSE))</f>
        <v/>
      </c>
      <c r="S9" s="1126" t="str">
        <f>IF(VLOOKUP(A9,'Eclusée - Schwall-Sunk'!$A$2:$F$273,6,FALSE)="","",VLOOKUP(A9,'Eclusée - Schwall-Sunk'!$A$2:$F$273,6,FALSE))</f>
        <v>Potentiellement affecté mais non plausible / möglicherweise betroffen aber nicht nachweisbar</v>
      </c>
      <c r="T9" s="1123"/>
      <c r="U9" s="572"/>
      <c r="V9" s="572"/>
    </row>
    <row r="10" spans="1:23" ht="35.25" customHeight="1" x14ac:dyDescent="0.25">
      <c r="A10" s="926">
        <v>8</v>
      </c>
      <c r="B10" s="1008" t="str">
        <f>IF(VLOOKUP(A10,'Données de base - Grunddaten'!$A$2:$M$273,3,FALSE)="","",VLOOKUP(A10,'Données de base - Grunddaten'!$A$2:$M$273,3,FALSE))</f>
        <v>Hau–Äuli</v>
      </c>
      <c r="C10" s="1008" t="str">
        <f>IF(VLOOKUP(A10,'Données de base - Grunddaten'!$A$2:$M$273,4,FALSE)="","",VLOOKUP(A10,'Données de base - Grunddaten'!$A$2:$M$273,4,FALSE))</f>
        <v>Murg, Thur</v>
      </c>
      <c r="D10" s="1008" t="str">
        <f>IF(VLOOKUP(A10,'Données de base - Grunddaten'!$A$2:$M$273,5,FALSE)="","",VLOOKUP(A10,'Données de base - Grunddaten'!$A$2:$M$273,5,FALSE))</f>
        <v>TG</v>
      </c>
      <c r="E10" s="1013" t="s">
        <v>746</v>
      </c>
      <c r="F10" s="337" t="s">
        <v>1345</v>
      </c>
      <c r="G10" s="338" t="s">
        <v>1345</v>
      </c>
      <c r="H10" s="994" t="s">
        <v>746</v>
      </c>
      <c r="I10" s="1047" t="s">
        <v>48</v>
      </c>
      <c r="J10" s="981" t="s">
        <v>746</v>
      </c>
      <c r="K10" s="1050"/>
      <c r="L10" s="1010"/>
      <c r="M10" s="1010"/>
      <c r="N10" s="1011"/>
      <c r="O10" s="1012"/>
      <c r="P10" s="1058"/>
      <c r="Q10" s="1093" t="s">
        <v>746</v>
      </c>
      <c r="R10" s="1115" t="str">
        <f>IF(VLOOKUP(A10,'Eclusée - Schwall-Sunk'!$A$2:$F$273,5,FALSE)="","",VLOOKUP(A10,'Eclusée - Schwall-Sunk'!$A$2:$F$273,5,FALSE))</f>
        <v/>
      </c>
      <c r="S10" s="1126" t="str">
        <f>IF(VLOOKUP(A10,'Eclusée - Schwall-Sunk'!$A$2:$F$273,6,FALSE)="","",VLOOKUP(A10,'Eclusée - Schwall-Sunk'!$A$2:$F$273,6,FALSE))</f>
        <v>Potentiellement affecté mais non plausible / möglicherweise betroffen aber nicht nachweisbar</v>
      </c>
      <c r="T10" s="1123"/>
      <c r="U10" s="572"/>
      <c r="V10" s="572"/>
    </row>
    <row r="11" spans="1:23" ht="105" x14ac:dyDescent="0.25">
      <c r="A11" s="926">
        <v>9</v>
      </c>
      <c r="B11" s="1008" t="str">
        <f>IF(VLOOKUP(A11,'Données de base - Grunddaten'!$A$2:$M$273,3,FALSE)="","",VLOOKUP(A11,'Données de base - Grunddaten'!$A$2:$M$273,3,FALSE))</f>
        <v>Wyden bei Pfyn</v>
      </c>
      <c r="C11" s="1008" t="str">
        <f>IF(VLOOKUP(A11,'Données de base - Grunddaten'!$A$2:$M$273,4,FALSE)="","",VLOOKUP(A11,'Données de base - Grunddaten'!$A$2:$M$273,4,FALSE))</f>
        <v>Thur</v>
      </c>
      <c r="D11" s="1008" t="str">
        <f>IF(VLOOKUP(A11,'Données de base - Grunddaten'!$A$2:$M$273,5,FALSE)="","",VLOOKUP(A11,'Données de base - Grunddaten'!$A$2:$M$273,5,FALSE))</f>
        <v>TG</v>
      </c>
      <c r="E11" s="647" t="s">
        <v>746</v>
      </c>
      <c r="F11" s="640" t="s">
        <v>1446</v>
      </c>
      <c r="G11" s="638"/>
      <c r="H11" s="995" t="s">
        <v>88</v>
      </c>
      <c r="I11" s="1002" t="s">
        <v>1355</v>
      </c>
      <c r="J11" s="983" t="s">
        <v>88</v>
      </c>
      <c r="K11" s="1051" t="s">
        <v>126</v>
      </c>
      <c r="L11" s="1015" t="s">
        <v>1447</v>
      </c>
      <c r="M11" s="1016" t="s">
        <v>1448</v>
      </c>
      <c r="N11" s="1017" t="s">
        <v>1449</v>
      </c>
      <c r="O11" s="1018" t="s">
        <v>1450</v>
      </c>
      <c r="P11" s="1059" t="s">
        <v>1451</v>
      </c>
      <c r="Q11" s="996" t="s">
        <v>45</v>
      </c>
      <c r="R11" s="1115" t="str">
        <f>IF(VLOOKUP(A11,'Eclusée - Schwall-Sunk'!$A$2:$F$273,5,FALSE)="","",VLOOKUP(A11,'Eclusée - Schwall-Sunk'!$A$2:$F$273,5,FALSE))</f>
        <v>force hydraulique</v>
      </c>
      <c r="S11" s="1126" t="str">
        <f>IF(VLOOKUP(A11,'Eclusée - Schwall-Sunk'!$A$2:$F$273,6,FALSE)="","",VLOOKUP(A11,'Eclusée - Schwall-Sunk'!$A$2:$F$273,6,FALSE))</f>
        <v>Potentiellement affecté mais non plausible / möglicherweise betroffen aber nicht nachweisbar</v>
      </c>
      <c r="T11" s="1123"/>
      <c r="U11" s="572"/>
      <c r="V11" s="572"/>
    </row>
    <row r="12" spans="1:23" ht="35.25" customHeight="1" x14ac:dyDescent="0.25">
      <c r="A12" s="926">
        <v>11</v>
      </c>
      <c r="B12" s="1008" t="str">
        <f>IF(VLOOKUP(A12,'Données de base - Grunddaten'!$A$2:$M$273,3,FALSE)="","",VLOOKUP(A12,'Données de base - Grunddaten'!$A$2:$M$273,3,FALSE))</f>
        <v>Unteres Ghögg</v>
      </c>
      <c r="C12" s="1008" t="str">
        <f>IF(VLOOKUP(A12,'Données de base - Grunddaten'!$A$2:$M$273,4,FALSE)="","",VLOOKUP(A12,'Données de base - Grunddaten'!$A$2:$M$273,4,FALSE))</f>
        <v>Thur</v>
      </c>
      <c r="D12" s="1008" t="str">
        <f>IF(VLOOKUP(A12,'Données de base - Grunddaten'!$A$2:$M$273,5,FALSE)="","",VLOOKUP(A12,'Données de base - Grunddaten'!$A$2:$M$273,5,FALSE))</f>
        <v>TG</v>
      </c>
      <c r="E12" s="647" t="s">
        <v>730</v>
      </c>
      <c r="F12" s="644"/>
      <c r="G12" s="638"/>
      <c r="H12" s="995" t="s">
        <v>730</v>
      </c>
      <c r="I12" s="1002" t="s">
        <v>1346</v>
      </c>
      <c r="J12" s="986" t="s">
        <v>730</v>
      </c>
      <c r="K12" s="1051" t="s">
        <v>126</v>
      </c>
      <c r="L12" s="1019" t="s">
        <v>1453</v>
      </c>
      <c r="M12" s="1019" t="s">
        <v>1454</v>
      </c>
      <c r="N12" s="1017" t="s">
        <v>1455</v>
      </c>
      <c r="O12" s="1018" t="s">
        <v>1456</v>
      </c>
      <c r="P12" s="1059" t="s">
        <v>1457</v>
      </c>
      <c r="Q12" s="998" t="s">
        <v>730</v>
      </c>
      <c r="R12" s="1115" t="str">
        <f>IF(VLOOKUP(A12,'Eclusée - Schwall-Sunk'!$A$2:$F$273,5,FALSE)="","",VLOOKUP(A12,'Eclusée - Schwall-Sunk'!$A$2:$F$273,5,FALSE))</f>
        <v>force hydraulique</v>
      </c>
      <c r="S12" s="1126" t="str">
        <f>IF(VLOOKUP(A12,'Eclusée - Schwall-Sunk'!$A$2:$F$273,6,FALSE)="","",VLOOKUP(A12,'Eclusée - Schwall-Sunk'!$A$2:$F$273,6,FALSE))</f>
        <v>Non affecté / nicht betroffen</v>
      </c>
      <c r="T12" s="1123"/>
      <c r="U12" s="572"/>
      <c r="V12" s="572"/>
    </row>
    <row r="13" spans="1:23" ht="68.45" customHeight="1" x14ac:dyDescent="0.25">
      <c r="A13" s="926">
        <v>12</v>
      </c>
      <c r="B13" s="1008" t="str">
        <f>IF(VLOOKUP(A13,'Données de base - Grunddaten'!$A$2:$M$273,3,FALSE)="","",VLOOKUP(A13,'Données de base - Grunddaten'!$A$2:$M$273,3,FALSE))</f>
        <v>Ghöggerhütte</v>
      </c>
      <c r="C13" s="1008" t="str">
        <f>IF(VLOOKUP(A13,'Données de base - Grunddaten'!$A$2:$M$273,4,FALSE)="","",VLOOKUP(A13,'Données de base - Grunddaten'!$A$2:$M$273,4,FALSE))</f>
        <v>Thur</v>
      </c>
      <c r="D13" s="1008" t="str">
        <f>IF(VLOOKUP(A13,'Données de base - Grunddaten'!$A$2:$M$273,5,FALSE)="","",VLOOKUP(A13,'Données de base - Grunddaten'!$A$2:$M$273,5,FALSE))</f>
        <v>SG/TG</v>
      </c>
      <c r="E13" s="647" t="s">
        <v>746</v>
      </c>
      <c r="F13" s="645" t="s">
        <v>1345</v>
      </c>
      <c r="G13" s="646" t="s">
        <v>1345</v>
      </c>
      <c r="H13" s="995" t="s">
        <v>746</v>
      </c>
      <c r="I13" s="1048" t="s">
        <v>48</v>
      </c>
      <c r="J13" s="984" t="s">
        <v>746</v>
      </c>
      <c r="K13" s="1052"/>
      <c r="L13" s="1020"/>
      <c r="M13" s="1020"/>
      <c r="N13" s="1011"/>
      <c r="O13" s="1012"/>
      <c r="P13" s="1060" t="s">
        <v>1437</v>
      </c>
      <c r="Q13" s="996" t="s">
        <v>746</v>
      </c>
      <c r="R13" s="1115" t="str">
        <f>IF(VLOOKUP(A13,'Eclusée - Schwall-Sunk'!$A$2:$F$273,5,FALSE)="","",VLOOKUP(A13,'Eclusée - Schwall-Sunk'!$A$2:$F$273,5,FALSE))</f>
        <v>force hydraulique</v>
      </c>
      <c r="S13" s="1126" t="str">
        <f>IF(VLOOKUP(A13,'Eclusée - Schwall-Sunk'!$A$2:$F$273,6,FALSE)="","",VLOOKUP(A13,'Eclusée - Schwall-Sunk'!$A$2:$F$273,6,FALSE))</f>
        <v>Non affecté / nicht betroffen</v>
      </c>
      <c r="T13" s="1123"/>
      <c r="U13" s="572"/>
      <c r="V13" s="572"/>
      <c r="W13" s="1073" t="s">
        <v>1344</v>
      </c>
    </row>
    <row r="14" spans="1:23" ht="102" x14ac:dyDescent="0.25">
      <c r="A14" s="926">
        <v>14</v>
      </c>
      <c r="B14" s="1008" t="str">
        <f>IF(VLOOKUP(A14,'Données de base - Grunddaten'!$A$2:$M$273,3,FALSE)="","",VLOOKUP(A14,'Données de base - Grunddaten'!$A$2:$M$273,3,FALSE))</f>
        <v>Glatt nordwestlich Flawil</v>
      </c>
      <c r="C14" s="1008" t="str">
        <f>IF(VLOOKUP(A14,'Données de base - Grunddaten'!$A$2:$M$273,4,FALSE)="","",VLOOKUP(A14,'Données de base - Grunddaten'!$A$2:$M$273,4,FALSE))</f>
        <v>Glatt</v>
      </c>
      <c r="D14" s="1008" t="str">
        <f>IF(VLOOKUP(A14,'Données de base - Grunddaten'!$A$2:$M$273,5,FALSE)="","",VLOOKUP(A14,'Données de base - Grunddaten'!$A$2:$M$273,5,FALSE))</f>
        <v>SG</v>
      </c>
      <c r="E14" s="647" t="s">
        <v>746</v>
      </c>
      <c r="F14" s="647" t="s">
        <v>1423</v>
      </c>
      <c r="G14" s="648"/>
      <c r="H14" s="995" t="s">
        <v>746</v>
      </c>
      <c r="I14" s="1002" t="s">
        <v>1337</v>
      </c>
      <c r="J14" s="983" t="s">
        <v>746</v>
      </c>
      <c r="K14" s="1051" t="s">
        <v>126</v>
      </c>
      <c r="L14" s="1019" t="s">
        <v>1424</v>
      </c>
      <c r="M14" s="1019" t="s">
        <v>1425</v>
      </c>
      <c r="N14" s="1017" t="s">
        <v>1426</v>
      </c>
      <c r="O14" s="1018" t="s">
        <v>1427</v>
      </c>
      <c r="P14" s="1061" t="s">
        <v>1428</v>
      </c>
      <c r="Q14" s="995" t="s">
        <v>88</v>
      </c>
      <c r="R14" s="1115" t="str">
        <f>IF(VLOOKUP(A14,'Eclusée - Schwall-Sunk'!$A$2:$F$273,5,FALSE)="","",VLOOKUP(A14,'Eclusée - Schwall-Sunk'!$A$2:$F$273,5,FALSE))</f>
        <v>force hydraulique</v>
      </c>
      <c r="S14" s="1126" t="str">
        <f>IF(VLOOKUP(A14,'Eclusée - Schwall-Sunk'!$A$2:$F$273,6,FALSE)="","",VLOOKUP(A14,'Eclusée - Schwall-Sunk'!$A$2:$F$273,6,FALSE))</f>
        <v>Non affecté / nicht betroffen</v>
      </c>
      <c r="T14" s="1123"/>
      <c r="U14" s="572"/>
      <c r="V14" s="572"/>
      <c r="W14" s="1073" t="s">
        <v>1906</v>
      </c>
    </row>
    <row r="15" spans="1:23" ht="35.25" customHeight="1" x14ac:dyDescent="0.25">
      <c r="A15" s="926">
        <v>16</v>
      </c>
      <c r="B15" s="1008" t="str">
        <f>IF(VLOOKUP(A15,'Données de base - Grunddaten'!$A$2:$M$273,3,FALSE)="","",VLOOKUP(A15,'Données de base - Grunddaten'!$A$2:$M$273,3,FALSE))</f>
        <v>Gillhof–Glattburg</v>
      </c>
      <c r="C15" s="1008" t="str">
        <f>IF(VLOOKUP(A15,'Données de base - Grunddaten'!$A$2:$M$273,4,FALSE)="","",VLOOKUP(A15,'Données de base - Grunddaten'!$A$2:$M$273,4,FALSE))</f>
        <v>Thur</v>
      </c>
      <c r="D15" s="1008" t="str">
        <f>IF(VLOOKUP(A15,'Données de base - Grunddaten'!$A$2:$M$273,5,FALSE)="","",VLOOKUP(A15,'Données de base - Grunddaten'!$A$2:$M$273,5,FALSE))</f>
        <v>SG</v>
      </c>
      <c r="E15" s="647" t="s">
        <v>746</v>
      </c>
      <c r="F15" s="636" t="s">
        <v>1345</v>
      </c>
      <c r="G15" s="637" t="s">
        <v>1345</v>
      </c>
      <c r="H15" s="995" t="s">
        <v>746</v>
      </c>
      <c r="I15" s="1048" t="s">
        <v>48</v>
      </c>
      <c r="J15" s="984" t="s">
        <v>746</v>
      </c>
      <c r="K15" s="1052"/>
      <c r="L15" s="1021"/>
      <c r="M15" s="1021"/>
      <c r="N15" s="1011"/>
      <c r="O15" s="1012"/>
      <c r="P15" s="1062"/>
      <c r="Q15" s="996" t="s">
        <v>746</v>
      </c>
      <c r="R15" s="1115" t="str">
        <f>IF(VLOOKUP(A15,'Eclusée - Schwall-Sunk'!$A$2:$F$273,5,FALSE)="","",VLOOKUP(A15,'Eclusée - Schwall-Sunk'!$A$2:$F$273,5,FALSE))</f>
        <v/>
      </c>
      <c r="S15" s="1126" t="str">
        <f>IF(VLOOKUP(A15,'Eclusée - Schwall-Sunk'!$A$2:$F$273,6,FALSE)="","",VLOOKUP(A15,'Eclusée - Schwall-Sunk'!$A$2:$F$273,6,FALSE))</f>
        <v>Non affecté / nicht betroffen</v>
      </c>
      <c r="T15" s="1123"/>
      <c r="U15" s="572"/>
      <c r="V15" s="572"/>
    </row>
    <row r="16" spans="1:23" ht="35.25" customHeight="1" x14ac:dyDescent="0.25">
      <c r="A16" s="926">
        <v>18</v>
      </c>
      <c r="B16" s="1008" t="str">
        <f>IF(VLOOKUP(A16,'Données de base - Grunddaten'!$A$2:$M$273,3,FALSE)="","",VLOOKUP(A16,'Données de base - Grunddaten'!$A$2:$M$273,3,FALSE))</f>
        <v>Thurauen Wil-Weieren</v>
      </c>
      <c r="C16" s="1008" t="str">
        <f>IF(VLOOKUP(A16,'Données de base - Grunddaten'!$A$2:$M$273,4,FALSE)="","",VLOOKUP(A16,'Données de base - Grunddaten'!$A$2:$M$273,4,FALSE))</f>
        <v>Thur</v>
      </c>
      <c r="D16" s="1008" t="str">
        <f>IF(VLOOKUP(A16,'Données de base - Grunddaten'!$A$2:$M$273,5,FALSE)="","",VLOOKUP(A16,'Données de base - Grunddaten'!$A$2:$M$273,5,FALSE))</f>
        <v>SG</v>
      </c>
      <c r="E16" s="647" t="s">
        <v>746</v>
      </c>
      <c r="F16" s="636" t="s">
        <v>1345</v>
      </c>
      <c r="G16" s="637" t="s">
        <v>1345</v>
      </c>
      <c r="H16" s="995" t="s">
        <v>746</v>
      </c>
      <c r="I16" s="1048" t="s">
        <v>48</v>
      </c>
      <c r="J16" s="984" t="s">
        <v>746</v>
      </c>
      <c r="K16" s="1052"/>
      <c r="L16" s="1021"/>
      <c r="M16" s="1021"/>
      <c r="N16" s="1011"/>
      <c r="O16" s="1012"/>
      <c r="P16" s="1062"/>
      <c r="Q16" s="996" t="s">
        <v>746</v>
      </c>
      <c r="R16" s="1115" t="str">
        <f>IF(VLOOKUP(A16,'Eclusée - Schwall-Sunk'!$A$2:$F$273,5,FALSE)="","",VLOOKUP(A16,'Eclusée - Schwall-Sunk'!$A$2:$F$273,5,FALSE))</f>
        <v/>
      </c>
      <c r="S16" s="1126" t="str">
        <f>IF(VLOOKUP(A16,'Eclusée - Schwall-Sunk'!$A$2:$F$273,6,FALSE)="","",VLOOKUP(A16,'Eclusée - Schwall-Sunk'!$A$2:$F$273,6,FALSE))</f>
        <v>Non affecté / nicht betroffen</v>
      </c>
      <c r="T16" s="1123"/>
      <c r="U16" s="572"/>
      <c r="V16" s="572"/>
    </row>
    <row r="17" spans="1:22" ht="35.25" customHeight="1" x14ac:dyDescent="0.25">
      <c r="A17" s="926">
        <v>19</v>
      </c>
      <c r="B17" s="1008" t="str">
        <f>IF(VLOOKUP(A17,'Données de base - Grunddaten'!$A$2:$M$273,3,FALSE)="","",VLOOKUP(A17,'Données de base - Grunddaten'!$A$2:$M$273,3,FALSE))</f>
        <v>Thur und Necker bei Lütisburg</v>
      </c>
      <c r="C17" s="1008" t="str">
        <f>IF(VLOOKUP(A17,'Données de base - Grunddaten'!$A$2:$M$273,4,FALSE)="","",VLOOKUP(A17,'Données de base - Grunddaten'!$A$2:$M$273,4,FALSE))</f>
        <v>Necker, Thur</v>
      </c>
      <c r="D17" s="1008" t="str">
        <f>IF(VLOOKUP(A17,'Données de base - Grunddaten'!$A$2:$M$273,5,FALSE)="","",VLOOKUP(A17,'Données de base - Grunddaten'!$A$2:$M$273,5,FALSE))</f>
        <v>SG</v>
      </c>
      <c r="E17" s="647" t="s">
        <v>746</v>
      </c>
      <c r="F17" s="636" t="s">
        <v>40</v>
      </c>
      <c r="G17" s="641" t="s">
        <v>1429</v>
      </c>
      <c r="H17" s="995" t="s">
        <v>746</v>
      </c>
      <c r="I17" s="1048" t="s">
        <v>48</v>
      </c>
      <c r="J17" s="984" t="s">
        <v>746</v>
      </c>
      <c r="K17" s="1052"/>
      <c r="L17" s="1021"/>
      <c r="M17" s="1021"/>
      <c r="N17" s="1011"/>
      <c r="O17" s="1012"/>
      <c r="P17" s="1062"/>
      <c r="Q17" s="996" t="s">
        <v>746</v>
      </c>
      <c r="R17" s="1115" t="str">
        <f>IF(VLOOKUP(A17,'Eclusée - Schwall-Sunk'!$A$2:$F$273,5,FALSE)="","",VLOOKUP(A17,'Eclusée - Schwall-Sunk'!$A$2:$F$273,5,FALSE))</f>
        <v>force hydraulique + autre prélèvement</v>
      </c>
      <c r="S17" s="1126" t="str">
        <f>IF(VLOOKUP(A17,'Eclusée - Schwall-Sunk'!$A$2:$F$273,6,FALSE)="","",VLOOKUP(A17,'Eclusée - Schwall-Sunk'!$A$2:$F$273,6,FALSE))</f>
        <v>Non affecté / nicht betroffen</v>
      </c>
      <c r="T17" s="1123"/>
      <c r="U17" s="572"/>
      <c r="V17" s="572"/>
    </row>
    <row r="18" spans="1:22" ht="35.25" customHeight="1" x14ac:dyDescent="0.25">
      <c r="A18" s="1233">
        <v>22</v>
      </c>
      <c r="B18" s="1008" t="str">
        <f>IF(VLOOKUP(A18,'Données de base - Grunddaten'!$A$2:$M$273,3,FALSE)="","",VLOOKUP(A18,'Données de base - Grunddaten'!$A$2:$M$273,3,FALSE))</f>
        <v>Zizers-Mastril</v>
      </c>
      <c r="C18" s="1008" t="str">
        <f>IF(VLOOKUP(A18,'Données de base - Grunddaten'!$A$2:$M$273,4,FALSE)="","",VLOOKUP(A18,'Données de base - Grunddaten'!$A$2:$M$273,4,FALSE))</f>
        <v>Rhein</v>
      </c>
      <c r="D18" s="1008" t="str">
        <f>IF(VLOOKUP(A18,'Données de base - Grunddaten'!$A$2:$M$273,5,FALSE)="","",VLOOKUP(A18,'Données de base - Grunddaten'!$A$2:$M$273,5,FALSE))</f>
        <v>GR</v>
      </c>
      <c r="E18" s="647" t="s">
        <v>45</v>
      </c>
      <c r="F18" s="639"/>
      <c r="G18" s="635"/>
      <c r="H18" s="995" t="s">
        <v>45</v>
      </c>
      <c r="I18" s="1048" t="s">
        <v>48</v>
      </c>
      <c r="J18" s="984" t="s">
        <v>45</v>
      </c>
      <c r="K18" s="1052"/>
      <c r="L18" s="1022"/>
      <c r="M18" s="1022"/>
      <c r="N18" s="1011"/>
      <c r="O18" s="1012"/>
      <c r="P18" s="1063"/>
      <c r="Q18" s="996" t="s">
        <v>45</v>
      </c>
      <c r="R18" s="1115" t="str">
        <f>IF(VLOOKUP(A18,'Eclusée - Schwall-Sunk'!$A$2:$F$273,5,FALSE)="","",VLOOKUP(A18,'Eclusée - Schwall-Sunk'!$A$2:$F$273,5,FALSE))</f>
        <v>force hydraulique</v>
      </c>
      <c r="S18" s="1126" t="str">
        <f>IF(VLOOKUP(A18,'Eclusée - Schwall-Sunk'!$A$2:$F$273,6,FALSE)="","",VLOOKUP(A18,'Eclusée - Schwall-Sunk'!$A$2:$F$273,6,FALSE))</f>
        <v>Potentiellement affecté / möglicherweise betroffen</v>
      </c>
      <c r="T18" s="1123"/>
      <c r="U18" s="572"/>
      <c r="V18" s="572"/>
    </row>
    <row r="19" spans="1:22" ht="35.25" customHeight="1" x14ac:dyDescent="0.25">
      <c r="A19" s="1233">
        <v>25</v>
      </c>
      <c r="B19" s="1008" t="str">
        <f>IF(VLOOKUP(A19,'Données de base - Grunddaten'!$A$2:$M$273,3,FALSE)="","",VLOOKUP(A19,'Données de base - Grunddaten'!$A$2:$M$273,3,FALSE))</f>
        <v>Trimmiser Rodauen Rhein</v>
      </c>
      <c r="C19" s="1008" t="str">
        <f>IF(VLOOKUP(A19,'Données de base - Grunddaten'!$A$2:$M$273,4,FALSE)="","",VLOOKUP(A19,'Données de base - Grunddaten'!$A$2:$M$273,4,FALSE))</f>
        <v>Rhein</v>
      </c>
      <c r="D19" s="1008" t="str">
        <f>IF(VLOOKUP(A19,'Données de base - Grunddaten'!$A$2:$M$273,5,FALSE)="","",VLOOKUP(A19,'Données de base - Grunddaten'!$A$2:$M$273,5,FALSE))</f>
        <v>GR</v>
      </c>
      <c r="E19" s="647" t="s">
        <v>45</v>
      </c>
      <c r="F19" s="639"/>
      <c r="G19" s="635"/>
      <c r="H19" s="995" t="s">
        <v>45</v>
      </c>
      <c r="I19" s="1048" t="s">
        <v>48</v>
      </c>
      <c r="J19" s="984" t="s">
        <v>45</v>
      </c>
      <c r="K19" s="1052"/>
      <c r="L19" s="1022"/>
      <c r="M19" s="1022"/>
      <c r="N19" s="1011"/>
      <c r="O19" s="1012"/>
      <c r="P19" s="1063"/>
      <c r="Q19" s="996" t="s">
        <v>45</v>
      </c>
      <c r="R19" s="1115" t="str">
        <f>IF(VLOOKUP(A19,'Eclusée - Schwall-Sunk'!$A$2:$F$273,5,FALSE)="","",VLOOKUP(A19,'Eclusée - Schwall-Sunk'!$A$2:$F$273,5,FALSE))</f>
        <v>force hydraulique</v>
      </c>
      <c r="S19" s="1126" t="str">
        <f>IF(VLOOKUP(A19,'Eclusée - Schwall-Sunk'!$A$2:$F$273,6,FALSE)="","",VLOOKUP(A19,'Eclusée - Schwall-Sunk'!$A$2:$F$273,6,FALSE))</f>
        <v>Potentiellement affecté / möglicherweise betroffen</v>
      </c>
      <c r="T19" s="1123"/>
      <c r="U19" s="572"/>
      <c r="V19" s="572"/>
    </row>
    <row r="20" spans="1:22" ht="35.25" customHeight="1" x14ac:dyDescent="0.25">
      <c r="A20" s="928">
        <v>27</v>
      </c>
      <c r="B20" s="1008" t="str">
        <f>IF(VLOOKUP(A20,'Données de base - Grunddaten'!$A$2:$M$273,3,FALSE)="","",VLOOKUP(A20,'Données de base - Grunddaten'!$A$2:$M$273,3,FALSE))</f>
        <v>Rhäzünser Rheinauen</v>
      </c>
      <c r="C20" s="1008" t="str">
        <f>IF(VLOOKUP(A20,'Données de base - Grunddaten'!$A$2:$M$273,4,FALSE)="","",VLOOKUP(A20,'Données de base - Grunddaten'!$A$2:$M$273,4,FALSE))</f>
        <v>Hinterrhein</v>
      </c>
      <c r="D20" s="1008" t="str">
        <f>IF(VLOOKUP(A20,'Données de base - Grunddaten'!$A$2:$M$273,5,FALSE)="","",VLOOKUP(A20,'Données de base - Grunddaten'!$A$2:$M$273,5,FALSE))</f>
        <v>GR</v>
      </c>
      <c r="E20" s="647" t="s">
        <v>45</v>
      </c>
      <c r="F20" s="639"/>
      <c r="G20" s="635"/>
      <c r="H20" s="995" t="s">
        <v>45</v>
      </c>
      <c r="I20" s="1048" t="s">
        <v>48</v>
      </c>
      <c r="J20" s="984" t="s">
        <v>45</v>
      </c>
      <c r="K20" s="1052"/>
      <c r="L20" s="1022"/>
      <c r="M20" s="1022"/>
      <c r="N20" s="1011"/>
      <c r="O20" s="1012"/>
      <c r="P20" s="1063"/>
      <c r="Q20" s="996" t="s">
        <v>45</v>
      </c>
      <c r="R20" s="1115" t="str">
        <f>IF(VLOOKUP(A20,'Eclusée - Schwall-Sunk'!$A$2:$F$273,5,FALSE)="","",VLOOKUP(A20,'Eclusée - Schwall-Sunk'!$A$2:$F$273,5,FALSE))</f>
        <v>force hydraulique</v>
      </c>
      <c r="S20" s="1126" t="str">
        <f>IF(VLOOKUP(A20,'Eclusée - Schwall-Sunk'!$A$2:$F$273,6,FALSE)="","",VLOOKUP(A20,'Eclusée - Schwall-Sunk'!$A$2:$F$273,6,FALSE))</f>
        <v>Potentiellement affecté / möglicherweise betroffen</v>
      </c>
      <c r="T20" s="1123"/>
      <c r="U20" s="572"/>
      <c r="V20" s="572"/>
    </row>
    <row r="21" spans="1:22" ht="35.25" customHeight="1" x14ac:dyDescent="0.25">
      <c r="A21" s="928">
        <v>28</v>
      </c>
      <c r="B21" s="1008" t="str">
        <f>IF(VLOOKUP(A21,'Données de base - Grunddaten'!$A$2:$M$273,3,FALSE)="","",VLOOKUP(A21,'Données de base - Grunddaten'!$A$2:$M$273,3,FALSE))</f>
        <v>Cumparduns</v>
      </c>
      <c r="C21" s="1008" t="str">
        <f>IF(VLOOKUP(A21,'Données de base - Grunddaten'!$A$2:$M$273,4,FALSE)="","",VLOOKUP(A21,'Données de base - Grunddaten'!$A$2:$M$273,4,FALSE))</f>
        <v>Albula, Hinterrhein</v>
      </c>
      <c r="D21" s="1008" t="str">
        <f>IF(VLOOKUP(A21,'Données de base - Grunddaten'!$A$2:$M$273,5,FALSE)="","",VLOOKUP(A21,'Données de base - Grunddaten'!$A$2:$M$273,5,FALSE))</f>
        <v>GR</v>
      </c>
      <c r="E21" s="647" t="s">
        <v>88</v>
      </c>
      <c r="F21" s="644"/>
      <c r="G21" s="638"/>
      <c r="H21" s="995" t="s">
        <v>88</v>
      </c>
      <c r="I21" s="1002" t="s">
        <v>1355</v>
      </c>
      <c r="J21" s="984" t="s">
        <v>88</v>
      </c>
      <c r="K21" s="1051" t="s">
        <v>126</v>
      </c>
      <c r="L21" s="1023"/>
      <c r="M21" s="1023"/>
      <c r="N21" s="1017" t="s">
        <v>1372</v>
      </c>
      <c r="O21" s="1018" t="s">
        <v>1373</v>
      </c>
      <c r="P21" s="1059"/>
      <c r="Q21" s="996" t="s">
        <v>88</v>
      </c>
      <c r="R21" s="1115" t="str">
        <f>IF(VLOOKUP(A21,'Eclusée - Schwall-Sunk'!$A$2:$F$273,5,FALSE)="","",VLOOKUP(A21,'Eclusée - Schwall-Sunk'!$A$2:$F$273,5,FALSE))</f>
        <v>force hydraulique</v>
      </c>
      <c r="S21" s="1126" t="str">
        <f>IF(VLOOKUP(A21,'Eclusée - Schwall-Sunk'!$A$2:$F$273,6,FALSE)="","",VLOOKUP(A21,'Eclusée - Schwall-Sunk'!$A$2:$F$273,6,FALSE))</f>
        <v>Potentiellement affecté / möglicherweise betroffen</v>
      </c>
      <c r="T21" s="1123"/>
      <c r="U21" s="572"/>
      <c r="V21" s="572"/>
    </row>
    <row r="22" spans="1:22" ht="35.25" customHeight="1" x14ac:dyDescent="0.25">
      <c r="A22" s="926">
        <v>29</v>
      </c>
      <c r="B22" s="1008" t="str">
        <f>IF(VLOOKUP(A22,'Données de base - Grunddaten'!$A$2:$M$273,3,FALSE)="","",VLOOKUP(A22,'Données de base - Grunddaten'!$A$2:$M$273,3,FALSE))</f>
        <v>Cauma</v>
      </c>
      <c r="C22" s="1008" t="str">
        <f>IF(VLOOKUP(A22,'Données de base - Grunddaten'!$A$2:$M$273,4,FALSE)="","",VLOOKUP(A22,'Données de base - Grunddaten'!$A$2:$M$273,4,FALSE))</f>
        <v>Vorderrhein</v>
      </c>
      <c r="D22" s="1008" t="str">
        <f>IF(VLOOKUP(A22,'Données de base - Grunddaten'!$A$2:$M$273,5,FALSE)="","",VLOOKUP(A22,'Données de base - Grunddaten'!$A$2:$M$273,5,FALSE))</f>
        <v>GR</v>
      </c>
      <c r="E22" s="647" t="s">
        <v>45</v>
      </c>
      <c r="F22" s="634"/>
      <c r="G22" s="638"/>
      <c r="H22" s="995" t="s">
        <v>45</v>
      </c>
      <c r="I22" s="1048" t="s">
        <v>48</v>
      </c>
      <c r="J22" s="984" t="s">
        <v>45</v>
      </c>
      <c r="K22" s="1052"/>
      <c r="L22" s="1022"/>
      <c r="M22" s="1022"/>
      <c r="N22" s="1011"/>
      <c r="O22" s="1012"/>
      <c r="P22" s="1063"/>
      <c r="Q22" s="996" t="s">
        <v>45</v>
      </c>
      <c r="R22" s="1115" t="str">
        <f>IF(VLOOKUP(A22,'Eclusée - Schwall-Sunk'!$A$2:$F$273,5,FALSE)="","",VLOOKUP(A22,'Eclusée - Schwall-Sunk'!$A$2:$F$273,5,FALSE))</f>
        <v>force hydraulique</v>
      </c>
      <c r="S22" s="1126" t="str">
        <f>IF(VLOOKUP(A22,'Eclusée - Schwall-Sunk'!$A$2:$F$273,6,FALSE)="","",VLOOKUP(A22,'Eclusée - Schwall-Sunk'!$A$2:$F$273,6,FALSE))</f>
        <v>Potentiellement affecté / möglicherweise betroffen</v>
      </c>
      <c r="T22" s="1123"/>
      <c r="U22" s="572"/>
      <c r="V22" s="572"/>
    </row>
    <row r="23" spans="1:22" ht="35.25" customHeight="1" x14ac:dyDescent="0.25">
      <c r="A23" s="926">
        <v>30</v>
      </c>
      <c r="B23" s="1008" t="str">
        <f>IF(VLOOKUP(A23,'Données de base - Grunddaten'!$A$2:$M$273,3,FALSE)="","",VLOOKUP(A23,'Données de base - Grunddaten'!$A$2:$M$273,3,FALSE))</f>
        <v>Plaun da Foppas</v>
      </c>
      <c r="C23" s="1008" t="str">
        <f>IF(VLOOKUP(A23,'Données de base - Grunddaten'!$A$2:$M$273,4,FALSE)="","",VLOOKUP(A23,'Données de base - Grunddaten'!$A$2:$M$273,4,FALSE))</f>
        <v>Vorderrhein</v>
      </c>
      <c r="D23" s="1008" t="str">
        <f>IF(VLOOKUP(A23,'Données de base - Grunddaten'!$A$2:$M$273,5,FALSE)="","",VLOOKUP(A23,'Données de base - Grunddaten'!$A$2:$M$273,5,FALSE))</f>
        <v>GR</v>
      </c>
      <c r="E23" s="647" t="s">
        <v>794</v>
      </c>
      <c r="F23" s="644"/>
      <c r="G23" s="648"/>
      <c r="H23" s="995" t="s">
        <v>794</v>
      </c>
      <c r="I23" s="1002" t="s">
        <v>1334</v>
      </c>
      <c r="J23" s="983" t="s">
        <v>794</v>
      </c>
      <c r="K23" s="1051" t="s">
        <v>126</v>
      </c>
      <c r="L23" s="1023"/>
      <c r="M23" s="1023"/>
      <c r="N23" s="1017" t="s">
        <v>1374</v>
      </c>
      <c r="O23" s="1018" t="s">
        <v>1375</v>
      </c>
      <c r="P23" s="1059"/>
      <c r="Q23" s="998" t="s">
        <v>794</v>
      </c>
      <c r="R23" s="1115" t="str">
        <f>IF(VLOOKUP(A23,'Eclusée - Schwall-Sunk'!$A$2:$F$273,5,FALSE)="","",VLOOKUP(A23,'Eclusée - Schwall-Sunk'!$A$2:$F$273,5,FALSE))</f>
        <v>force hydraulique</v>
      </c>
      <c r="S23" s="1126" t="str">
        <f>IF(VLOOKUP(A23,'Eclusée - Schwall-Sunk'!$A$2:$F$273,6,FALSE)="","",VLOOKUP(A23,'Eclusée - Schwall-Sunk'!$A$2:$F$273,6,FALSE))</f>
        <v>Non affecté / nicht betroffen</v>
      </c>
      <c r="T23" s="1123"/>
      <c r="U23" s="572"/>
      <c r="V23" s="572"/>
    </row>
    <row r="24" spans="1:22" ht="35.25" customHeight="1" x14ac:dyDescent="0.25">
      <c r="A24" s="926">
        <v>31</v>
      </c>
      <c r="B24" s="1008" t="str">
        <f>IF(VLOOKUP(A24,'Données de base - Grunddaten'!$A$2:$M$273,3,FALSE)="","",VLOOKUP(A24,'Données de base - Grunddaten'!$A$2:$M$273,3,FALSE))</f>
        <v>Cahuons</v>
      </c>
      <c r="C24" s="1008" t="str">
        <f>IF(VLOOKUP(A24,'Données de base - Grunddaten'!$A$2:$M$273,4,FALSE)="","",VLOOKUP(A24,'Données de base - Grunddaten'!$A$2:$M$273,4,FALSE))</f>
        <v>Vorderrhein</v>
      </c>
      <c r="D24" s="1008" t="str">
        <f>IF(VLOOKUP(A24,'Données de base - Grunddaten'!$A$2:$M$273,5,FALSE)="","",VLOOKUP(A24,'Données de base - Grunddaten'!$A$2:$M$273,5,FALSE))</f>
        <v>GR</v>
      </c>
      <c r="E24" s="647" t="s">
        <v>88</v>
      </c>
      <c r="F24" s="634"/>
      <c r="G24" s="638"/>
      <c r="H24" s="995" t="s">
        <v>88</v>
      </c>
      <c r="I24" s="1002" t="s">
        <v>1376</v>
      </c>
      <c r="J24" s="984" t="s">
        <v>88</v>
      </c>
      <c r="K24" s="1052"/>
      <c r="L24" s="1022"/>
      <c r="M24" s="1022"/>
      <c r="N24" s="1017" t="s">
        <v>1513</v>
      </c>
      <c r="O24" s="1018" t="s">
        <v>1378</v>
      </c>
      <c r="P24" s="1059"/>
      <c r="Q24" s="996" t="s">
        <v>88</v>
      </c>
      <c r="R24" s="1115" t="str">
        <f>IF(VLOOKUP(A24,'Eclusée - Schwall-Sunk'!$A$2:$F$273,5,FALSE)="","",VLOOKUP(A24,'Eclusée - Schwall-Sunk'!$A$2:$F$273,5,FALSE))</f>
        <v>force hydraulique</v>
      </c>
      <c r="S24" s="1126" t="str">
        <f>IF(VLOOKUP(A24,'Eclusée - Schwall-Sunk'!$A$2:$F$273,6,FALSE)="","",VLOOKUP(A24,'Eclusée - Schwall-Sunk'!$A$2:$F$273,6,FALSE))</f>
        <v>Non affecté / nicht betroffen</v>
      </c>
      <c r="T24" s="1123"/>
      <c r="U24" s="572"/>
      <c r="V24" s="572"/>
    </row>
    <row r="25" spans="1:22" ht="35.25" customHeight="1" x14ac:dyDescent="0.25">
      <c r="A25" s="926">
        <v>32</v>
      </c>
      <c r="B25" s="1008" t="str">
        <f>IF(VLOOKUP(A25,'Données de base - Grunddaten'!$A$2:$M$273,3,FALSE)="","",VLOOKUP(A25,'Données de base - Grunddaten'!$A$2:$M$273,3,FALSE))</f>
        <v>Disla–Pardomat</v>
      </c>
      <c r="C25" s="1008" t="str">
        <f>IF(VLOOKUP(A25,'Données de base - Grunddaten'!$A$2:$M$273,4,FALSE)="","",VLOOKUP(A25,'Données de base - Grunddaten'!$A$2:$M$273,4,FALSE))</f>
        <v>Vorderrhein</v>
      </c>
      <c r="D25" s="1008" t="str">
        <f>IF(VLOOKUP(A25,'Données de base - Grunddaten'!$A$2:$M$273,5,FALSE)="","",VLOOKUP(A25,'Données de base - Grunddaten'!$A$2:$M$273,5,FALSE))</f>
        <v>GR</v>
      </c>
      <c r="E25" s="647" t="s">
        <v>88</v>
      </c>
      <c r="F25" s="634"/>
      <c r="G25" s="638"/>
      <c r="H25" s="995" t="s">
        <v>88</v>
      </c>
      <c r="I25" s="1002" t="s">
        <v>1376</v>
      </c>
      <c r="J25" s="984" t="s">
        <v>88</v>
      </c>
      <c r="K25" s="1052"/>
      <c r="L25" s="1022"/>
      <c r="M25" s="1022"/>
      <c r="N25" s="1017" t="s">
        <v>1377</v>
      </c>
      <c r="O25" s="1018" t="s">
        <v>1378</v>
      </c>
      <c r="P25" s="1059"/>
      <c r="Q25" s="996" t="s">
        <v>88</v>
      </c>
      <c r="R25" s="1115" t="str">
        <f>IF(VLOOKUP(A25,'Eclusée - Schwall-Sunk'!$A$2:$F$273,5,FALSE)="","",VLOOKUP(A25,'Eclusée - Schwall-Sunk'!$A$2:$F$273,5,FALSE))</f>
        <v>force hydraulique</v>
      </c>
      <c r="S25" s="1126" t="str">
        <f>IF(VLOOKUP(A25,'Eclusée - Schwall-Sunk'!$A$2:$F$273,6,FALSE)="","",VLOOKUP(A25,'Eclusée - Schwall-Sunk'!$A$2:$F$273,6,FALSE))</f>
        <v>Non affecté / nicht betroffen</v>
      </c>
      <c r="T25" s="1123"/>
      <c r="U25" s="572"/>
      <c r="V25" s="572"/>
    </row>
    <row r="26" spans="1:22" ht="35.25" customHeight="1" x14ac:dyDescent="0.25">
      <c r="A26" s="926">
        <v>33</v>
      </c>
      <c r="B26" s="1008" t="str">
        <f>IF(VLOOKUP(A26,'Données de base - Grunddaten'!$A$2:$M$273,3,FALSE)="","",VLOOKUP(A26,'Données de base - Grunddaten'!$A$2:$M$273,3,FALSE))</f>
        <v>Fontanivas–Sonduritg</v>
      </c>
      <c r="C26" s="1008" t="str">
        <f>IF(VLOOKUP(A26,'Données de base - Grunddaten'!$A$2:$M$273,4,FALSE)="","",VLOOKUP(A26,'Données de base - Grunddaten'!$A$2:$M$273,4,FALSE))</f>
        <v>Vorderrhein</v>
      </c>
      <c r="D26" s="1008" t="str">
        <f>IF(VLOOKUP(A26,'Données de base - Grunddaten'!$A$2:$M$273,5,FALSE)="","",VLOOKUP(A26,'Données de base - Grunddaten'!$A$2:$M$273,5,FALSE))</f>
        <v>GR</v>
      </c>
      <c r="E26" s="647" t="s">
        <v>88</v>
      </c>
      <c r="F26" s="634"/>
      <c r="G26" s="638"/>
      <c r="H26" s="995" t="s">
        <v>88</v>
      </c>
      <c r="I26" s="1002" t="s">
        <v>1376</v>
      </c>
      <c r="J26" s="984" t="s">
        <v>88</v>
      </c>
      <c r="K26" s="1052"/>
      <c r="L26" s="1022"/>
      <c r="M26" s="1022"/>
      <c r="N26" s="1017" t="s">
        <v>1377</v>
      </c>
      <c r="O26" s="1018" t="s">
        <v>1378</v>
      </c>
      <c r="P26" s="1059"/>
      <c r="Q26" s="996" t="s">
        <v>88</v>
      </c>
      <c r="R26" s="1115" t="str">
        <f>IF(VLOOKUP(A26,'Eclusée - Schwall-Sunk'!$A$2:$F$273,5,FALSE)="","",VLOOKUP(A26,'Eclusée - Schwall-Sunk'!$A$2:$F$273,5,FALSE))</f>
        <v>force hydraulique</v>
      </c>
      <c r="S26" s="1126" t="str">
        <f>IF(VLOOKUP(A26,'Eclusée - Schwall-Sunk'!$A$2:$F$273,6,FALSE)="","",VLOOKUP(A26,'Eclusée - Schwall-Sunk'!$A$2:$F$273,6,FALSE))</f>
        <v>Non affecté / nicht betroffen</v>
      </c>
      <c r="T26" s="1123"/>
      <c r="U26" s="572"/>
      <c r="V26" s="572"/>
    </row>
    <row r="27" spans="1:22" ht="35.25" customHeight="1" x14ac:dyDescent="0.25">
      <c r="A27" s="926">
        <v>34</v>
      </c>
      <c r="B27" s="1008" t="str">
        <f>IF(VLOOKUP(A27,'Données de base - Grunddaten'!$A$2:$M$273,3,FALSE)="","",VLOOKUP(A27,'Données de base - Grunddaten'!$A$2:$M$273,3,FALSE))</f>
        <v>Gravas</v>
      </c>
      <c r="C27" s="1008" t="str">
        <f>IF(VLOOKUP(A27,'Données de base - Grunddaten'!$A$2:$M$273,4,FALSE)="","",VLOOKUP(A27,'Données de base - Grunddaten'!$A$2:$M$273,4,FALSE))</f>
        <v>Vorderrhein</v>
      </c>
      <c r="D27" s="1008" t="str">
        <f>IF(VLOOKUP(A27,'Données de base - Grunddaten'!$A$2:$M$273,5,FALSE)="","",VLOOKUP(A27,'Données de base - Grunddaten'!$A$2:$M$273,5,FALSE))</f>
        <v>GR</v>
      </c>
      <c r="E27" s="647" t="s">
        <v>88</v>
      </c>
      <c r="F27" s="634"/>
      <c r="G27" s="648"/>
      <c r="H27" s="995" t="s">
        <v>88</v>
      </c>
      <c r="I27" s="1002" t="s">
        <v>1376</v>
      </c>
      <c r="J27" s="984" t="s">
        <v>88</v>
      </c>
      <c r="K27" s="1052"/>
      <c r="L27" s="1022"/>
      <c r="M27" s="1022"/>
      <c r="N27" s="1017" t="s">
        <v>1379</v>
      </c>
      <c r="O27" s="1018" t="s">
        <v>1380</v>
      </c>
      <c r="P27" s="1059"/>
      <c r="Q27" s="996" t="s">
        <v>88</v>
      </c>
      <c r="R27" s="1115" t="str">
        <f>IF(VLOOKUP(A27,'Eclusée - Schwall-Sunk'!$A$2:$F$273,5,FALSE)="","",VLOOKUP(A27,'Eclusée - Schwall-Sunk'!$A$2:$F$273,5,FALSE))</f>
        <v>force hydraulique</v>
      </c>
      <c r="S27" s="1126" t="str">
        <f>IF(VLOOKUP(A27,'Eclusée - Schwall-Sunk'!$A$2:$F$273,6,FALSE)="","",VLOOKUP(A27,'Eclusée - Schwall-Sunk'!$A$2:$F$273,6,FALSE))</f>
        <v>Non affecté / nicht betroffen</v>
      </c>
      <c r="T27" s="1123"/>
      <c r="U27" s="572"/>
      <c r="V27" s="572"/>
    </row>
    <row r="28" spans="1:22" ht="35.25" customHeight="1" x14ac:dyDescent="0.25">
      <c r="A28" s="926">
        <v>35</v>
      </c>
      <c r="B28" s="1008" t="str">
        <f>IF(VLOOKUP(A28,'Données de base - Grunddaten'!$A$2:$M$273,3,FALSE)="","",VLOOKUP(A28,'Données de base - Grunddaten'!$A$2:$M$273,3,FALSE))</f>
        <v>Ogna da Pardiala</v>
      </c>
      <c r="C28" s="1008" t="str">
        <f>IF(VLOOKUP(A28,'Données de base - Grunddaten'!$A$2:$M$273,4,FALSE)="","",VLOOKUP(A28,'Données de base - Grunddaten'!$A$2:$M$273,4,FALSE))</f>
        <v>Vorderrhein</v>
      </c>
      <c r="D28" s="1008" t="str">
        <f>IF(VLOOKUP(A28,'Données de base - Grunddaten'!$A$2:$M$273,5,FALSE)="","",VLOOKUP(A28,'Données de base - Grunddaten'!$A$2:$M$273,5,FALSE))</f>
        <v>GR</v>
      </c>
      <c r="E28" s="647" t="s">
        <v>794</v>
      </c>
      <c r="F28" s="644"/>
      <c r="G28" s="638"/>
      <c r="H28" s="995" t="s">
        <v>794</v>
      </c>
      <c r="I28" s="1002" t="s">
        <v>1334</v>
      </c>
      <c r="J28" s="983" t="s">
        <v>794</v>
      </c>
      <c r="K28" s="1051" t="s">
        <v>126</v>
      </c>
      <c r="L28" s="1023"/>
      <c r="M28" s="1023"/>
      <c r="N28" s="1017" t="s">
        <v>1374</v>
      </c>
      <c r="O28" s="1018" t="s">
        <v>1375</v>
      </c>
      <c r="P28" s="1059"/>
      <c r="Q28" s="998" t="s">
        <v>794</v>
      </c>
      <c r="R28" s="1115" t="str">
        <f>IF(VLOOKUP(A28,'Eclusée - Schwall-Sunk'!$A$2:$F$273,5,FALSE)="","",VLOOKUP(A28,'Eclusée - Schwall-Sunk'!$A$2:$F$273,5,FALSE))</f>
        <v>force hydraulique</v>
      </c>
      <c r="S28" s="1126" t="str">
        <f>IF(VLOOKUP(A28,'Eclusée - Schwall-Sunk'!$A$2:$F$273,6,FALSE)="","",VLOOKUP(A28,'Eclusée - Schwall-Sunk'!$A$2:$F$273,6,FALSE))</f>
        <v>Non affecté / nicht betroffen</v>
      </c>
      <c r="T28" s="1123"/>
      <c r="U28" s="572"/>
      <c r="V28" s="572"/>
    </row>
    <row r="29" spans="1:22" ht="35.25" customHeight="1" x14ac:dyDescent="0.25">
      <c r="A29" s="926">
        <v>36</v>
      </c>
      <c r="B29" s="1008" t="str">
        <f>IF(VLOOKUP(A29,'Données de base - Grunddaten'!$A$2:$M$273,3,FALSE)="","",VLOOKUP(A29,'Données de base - Grunddaten'!$A$2:$M$273,3,FALSE))</f>
        <v>Auenreste Klingnauer Stausee</v>
      </c>
      <c r="C29" s="1008" t="str">
        <f>IF(VLOOKUP(A29,'Données de base - Grunddaten'!$A$2:$M$273,4,FALSE)="","",VLOOKUP(A29,'Données de base - Grunddaten'!$A$2:$M$273,4,FALSE))</f>
        <v>Aare</v>
      </c>
      <c r="D29" s="1008" t="str">
        <f>IF(VLOOKUP(A29,'Données de base - Grunddaten'!$A$2:$M$273,5,FALSE)="","",VLOOKUP(A29,'Données de base - Grunddaten'!$A$2:$M$273,5,FALSE))</f>
        <v>AG</v>
      </c>
      <c r="E29" s="647" t="s">
        <v>51</v>
      </c>
      <c r="F29" s="644"/>
      <c r="G29" s="648"/>
      <c r="H29" s="995" t="s">
        <v>53</v>
      </c>
      <c r="I29" s="1048" t="s">
        <v>48</v>
      </c>
      <c r="J29" s="984" t="s">
        <v>53</v>
      </c>
      <c r="K29" s="1052"/>
      <c r="L29" s="1021"/>
      <c r="M29" s="1021"/>
      <c r="N29" s="1011"/>
      <c r="O29" s="1012"/>
      <c r="P29" s="1062"/>
      <c r="Q29" s="1095" t="s">
        <v>53</v>
      </c>
      <c r="R29" s="1115" t="str">
        <f>IF(VLOOKUP(A29,'Eclusée - Schwall-Sunk'!$A$2:$F$273,5,FALSE)="","",VLOOKUP(A29,'Eclusée - Schwall-Sunk'!$A$2:$F$273,5,FALSE))</f>
        <v/>
      </c>
      <c r="S29" s="1126" t="str">
        <f>IF(VLOOKUP(A29,'Eclusée - Schwall-Sunk'!$A$2:$F$273,6,FALSE)="","",VLOOKUP(A29,'Eclusée - Schwall-Sunk'!$A$2:$F$273,6,FALSE))</f>
        <v>Potentiellement affecté mais non plausible / möglicherweise betroffen aber nicht nachweisbar</v>
      </c>
      <c r="T29" s="1123"/>
      <c r="U29" s="572"/>
      <c r="V29" s="572"/>
    </row>
    <row r="30" spans="1:22" ht="35.25" customHeight="1" x14ac:dyDescent="0.25">
      <c r="A30" s="926">
        <v>37</v>
      </c>
      <c r="B30" s="1008" t="str">
        <f>IF(VLOOKUP(A30,'Données de base - Grunddaten'!$A$2:$M$273,3,FALSE)="","",VLOOKUP(A30,'Données de base - Grunddaten'!$A$2:$M$273,3,FALSE))</f>
        <v>Wasserschloss Brugg–Stilli</v>
      </c>
      <c r="C30" s="1008" t="str">
        <f>IF(VLOOKUP(A30,'Données de base - Grunddaten'!$A$2:$M$273,4,FALSE)="","",VLOOKUP(A30,'Données de base - Grunddaten'!$A$2:$M$273,4,FALSE))</f>
        <v>Aare, Reuss</v>
      </c>
      <c r="D30" s="1008" t="str">
        <f>IF(VLOOKUP(A30,'Données de base - Grunddaten'!$A$2:$M$273,5,FALSE)="","",VLOOKUP(A30,'Données de base - Grunddaten'!$A$2:$M$273,5,FALSE))</f>
        <v>AG</v>
      </c>
      <c r="E30" s="647" t="s">
        <v>730</v>
      </c>
      <c r="F30" s="644"/>
      <c r="G30" s="648"/>
      <c r="H30" s="995" t="s">
        <v>730</v>
      </c>
      <c r="I30" s="1002" t="s">
        <v>1334</v>
      </c>
      <c r="J30" s="984" t="s">
        <v>730</v>
      </c>
      <c r="K30" s="1052"/>
      <c r="L30" s="1021"/>
      <c r="M30" s="1021"/>
      <c r="N30" s="1017" t="s">
        <v>1335</v>
      </c>
      <c r="O30" s="1018" t="s">
        <v>1336</v>
      </c>
      <c r="P30" s="1062"/>
      <c r="Q30" s="996" t="s">
        <v>730</v>
      </c>
      <c r="R30" s="1115" t="str">
        <f>IF(VLOOKUP(A30,'Eclusée - Schwall-Sunk'!$A$2:$F$273,5,FALSE)="","",VLOOKUP(A30,'Eclusée - Schwall-Sunk'!$A$2:$F$273,5,FALSE))</f>
        <v>force hydraulique</v>
      </c>
      <c r="S30" s="1126" t="str">
        <f>IF(VLOOKUP(A30,'Eclusée - Schwall-Sunk'!$A$2:$F$273,6,FALSE)="","",VLOOKUP(A30,'Eclusée - Schwall-Sunk'!$A$2:$F$273,6,FALSE))</f>
        <v>Non affecté / nicht betroffen</v>
      </c>
      <c r="T30" s="1123"/>
      <c r="U30" s="572"/>
      <c r="V30" s="572"/>
    </row>
    <row r="31" spans="1:22" ht="35.25" customHeight="1" x14ac:dyDescent="0.25">
      <c r="A31" s="926">
        <v>40</v>
      </c>
      <c r="B31" s="1008" t="str">
        <f>IF(VLOOKUP(A31,'Données de base - Grunddaten'!$A$2:$M$273,3,FALSE)="","",VLOOKUP(A31,'Données de base - Grunddaten'!$A$2:$M$273,3,FALSE))</f>
        <v>Umiker Schachen–Stierenhölzli</v>
      </c>
      <c r="C31" s="1008" t="str">
        <f>IF(VLOOKUP(A31,'Données de base - Grunddaten'!$A$2:$M$273,4,FALSE)="","",VLOOKUP(A31,'Données de base - Grunddaten'!$A$2:$M$273,4,FALSE))</f>
        <v>Aare</v>
      </c>
      <c r="D31" s="1008" t="str">
        <f>IF(VLOOKUP(A31,'Données de base - Grunddaten'!$A$2:$M$273,5,FALSE)="","",VLOOKUP(A31,'Données de base - Grunddaten'!$A$2:$M$273,5,FALSE))</f>
        <v>AG</v>
      </c>
      <c r="E31" s="647" t="s">
        <v>88</v>
      </c>
      <c r="F31" s="644"/>
      <c r="G31" s="648"/>
      <c r="H31" s="995" t="s">
        <v>88</v>
      </c>
      <c r="I31" s="1002" t="s">
        <v>1337</v>
      </c>
      <c r="J31" s="983" t="s">
        <v>88</v>
      </c>
      <c r="K31" s="1051" t="s">
        <v>126</v>
      </c>
      <c r="L31" s="1024"/>
      <c r="M31" s="1024"/>
      <c r="N31" s="1017" t="s">
        <v>1338</v>
      </c>
      <c r="O31" s="1018" t="s">
        <v>1339</v>
      </c>
      <c r="P31" s="1059" t="s">
        <v>1340</v>
      </c>
      <c r="Q31" s="998" t="s">
        <v>88</v>
      </c>
      <c r="R31" s="1115" t="str">
        <f>IF(VLOOKUP(A31,'Eclusée - Schwall-Sunk'!$A$2:$F$273,5,FALSE)="","",VLOOKUP(A31,'Eclusée - Schwall-Sunk'!$A$2:$F$273,5,FALSE))</f>
        <v>force hydraulique</v>
      </c>
      <c r="S31" s="1126" t="str">
        <f>IF(VLOOKUP(A31,'Eclusée - Schwall-Sunk'!$A$2:$F$273,6,FALSE)="","",VLOOKUP(A31,'Eclusée - Schwall-Sunk'!$A$2:$F$273,6,FALSE))</f>
        <v>Non affecté / nicht betroffen</v>
      </c>
      <c r="T31" s="1123"/>
      <c r="U31" s="572"/>
      <c r="V31" s="572"/>
    </row>
    <row r="32" spans="1:22" ht="35.25" customHeight="1" x14ac:dyDescent="0.25">
      <c r="A32" s="926">
        <v>44</v>
      </c>
      <c r="B32" s="1008" t="str">
        <f>IF(VLOOKUP(A32,'Données de base - Grunddaten'!$A$2:$M$273,3,FALSE)="","",VLOOKUP(A32,'Données de base - Grunddaten'!$A$2:$M$273,3,FALSE))</f>
        <v>Oberburger Schachen</v>
      </c>
      <c r="C32" s="1008" t="str">
        <f>IF(VLOOKUP(A32,'Données de base - Grunddaten'!$A$2:$M$273,4,FALSE)="","",VLOOKUP(A32,'Données de base - Grunddaten'!$A$2:$M$273,4,FALSE))</f>
        <v>Emme</v>
      </c>
      <c r="D32" s="1008" t="str">
        <f>IF(VLOOKUP(A32,'Données de base - Grunddaten'!$A$2:$M$273,5,FALSE)="","",VLOOKUP(A32,'Données de base - Grunddaten'!$A$2:$M$273,5,FALSE))</f>
        <v>BE</v>
      </c>
      <c r="E32" s="647" t="s">
        <v>746</v>
      </c>
      <c r="F32" s="636" t="s">
        <v>1345</v>
      </c>
      <c r="G32" s="637" t="s">
        <v>1345</v>
      </c>
      <c r="H32" s="995" t="s">
        <v>746</v>
      </c>
      <c r="I32" s="1048" t="s">
        <v>48</v>
      </c>
      <c r="J32" s="984" t="s">
        <v>746</v>
      </c>
      <c r="K32" s="1052"/>
      <c r="L32" s="1021"/>
      <c r="M32" s="1021"/>
      <c r="N32" s="1011"/>
      <c r="O32" s="1012"/>
      <c r="P32" s="1062"/>
      <c r="Q32" s="996" t="s">
        <v>746</v>
      </c>
      <c r="R32" s="1115" t="str">
        <f>IF(VLOOKUP(A32,'Eclusée - Schwall-Sunk'!$A$2:$F$273,5,FALSE)="","",VLOOKUP(A32,'Eclusée - Schwall-Sunk'!$A$2:$F$273,5,FALSE))</f>
        <v/>
      </c>
      <c r="S32" s="1126" t="str">
        <f>IF(VLOOKUP(A32,'Eclusée - Schwall-Sunk'!$A$2:$F$273,6,FALSE)="","",VLOOKUP(A32,'Eclusée - Schwall-Sunk'!$A$2:$F$273,6,FALSE))</f>
        <v>Non affecté / nicht betroffen</v>
      </c>
      <c r="T32" s="1123"/>
      <c r="U32" s="572"/>
      <c r="V32" s="572"/>
    </row>
    <row r="33" spans="1:22" ht="35.25" customHeight="1" x14ac:dyDescent="0.25">
      <c r="A33" s="926">
        <v>45</v>
      </c>
      <c r="B33" s="1008" t="str">
        <f>IF(VLOOKUP(A33,'Données de base - Grunddaten'!$A$2:$M$273,3,FALSE)="","",VLOOKUP(A33,'Données de base - Grunddaten'!$A$2:$M$273,3,FALSE))</f>
        <v>Emmenschachen</v>
      </c>
      <c r="C33" s="1008" t="str">
        <f>IF(VLOOKUP(A33,'Données de base - Grunddaten'!$A$2:$M$273,4,FALSE)="","",VLOOKUP(A33,'Données de base - Grunddaten'!$A$2:$M$273,4,FALSE))</f>
        <v>Aare, Emme</v>
      </c>
      <c r="D33" s="1008" t="str">
        <f>IF(VLOOKUP(A33,'Données de base - Grunddaten'!$A$2:$M$273,5,FALSE)="","",VLOOKUP(A33,'Données de base - Grunddaten'!$A$2:$M$273,5,FALSE))</f>
        <v>SO</v>
      </c>
      <c r="E33" s="647" t="s">
        <v>799</v>
      </c>
      <c r="F33" s="644"/>
      <c r="G33" s="648"/>
      <c r="H33" s="995" t="s">
        <v>799</v>
      </c>
      <c r="I33" s="1002" t="s">
        <v>1337</v>
      </c>
      <c r="J33" s="984" t="s">
        <v>799</v>
      </c>
      <c r="K33" s="1052"/>
      <c r="L33" s="1021"/>
      <c r="M33" s="1021"/>
      <c r="N33" s="1017" t="s">
        <v>1438</v>
      </c>
      <c r="O33" s="1018" t="s">
        <v>1439</v>
      </c>
      <c r="P33" s="1064"/>
      <c r="Q33" s="996" t="s">
        <v>799</v>
      </c>
      <c r="R33" s="1115" t="str">
        <f>IF(VLOOKUP(A33,'Eclusée - Schwall-Sunk'!$A$2:$F$273,5,FALSE)="","",VLOOKUP(A33,'Eclusée - Schwall-Sunk'!$A$2:$F$273,5,FALSE))</f>
        <v>force hydraulique</v>
      </c>
      <c r="S33" s="1126" t="str">
        <f>IF(VLOOKUP(A33,'Eclusée - Schwall-Sunk'!$A$2:$F$273,6,FALSE)="","",VLOOKUP(A33,'Eclusée - Schwall-Sunk'!$A$2:$F$273,6,FALSE))</f>
        <v>Non affecté / nicht betroffen</v>
      </c>
      <c r="T33" s="1123"/>
      <c r="U33" s="572"/>
      <c r="V33" s="572"/>
    </row>
    <row r="34" spans="1:22" ht="35.25" customHeight="1" x14ac:dyDescent="0.25">
      <c r="A34" s="926">
        <v>46</v>
      </c>
      <c r="B34" s="1008" t="str">
        <f>IF(VLOOKUP(A34,'Données de base - Grunddaten'!$A$2:$M$273,3,FALSE)="","",VLOOKUP(A34,'Données de base - Grunddaten'!$A$2:$M$273,3,FALSE))</f>
        <v>Utzenstorfer Schachen</v>
      </c>
      <c r="C34" s="1008" t="str">
        <f>IF(VLOOKUP(A34,'Données de base - Grunddaten'!$A$2:$M$273,4,FALSE)="","",VLOOKUP(A34,'Données de base - Grunddaten'!$A$2:$M$273,4,FALSE))</f>
        <v>Emme</v>
      </c>
      <c r="D34" s="1008" t="str">
        <f>IF(VLOOKUP(A34,'Données de base - Grunddaten'!$A$2:$M$273,5,FALSE)="","",VLOOKUP(A34,'Données de base - Grunddaten'!$A$2:$M$273,5,FALSE))</f>
        <v>BE</v>
      </c>
      <c r="E34" s="647" t="s">
        <v>730</v>
      </c>
      <c r="F34" s="644"/>
      <c r="G34" s="648"/>
      <c r="H34" s="995" t="s">
        <v>730</v>
      </c>
      <c r="I34" s="1002" t="s">
        <v>1346</v>
      </c>
      <c r="J34" s="983" t="s">
        <v>730</v>
      </c>
      <c r="K34" s="1051" t="s">
        <v>126</v>
      </c>
      <c r="L34" s="1024"/>
      <c r="M34" s="1024"/>
      <c r="N34" s="1017" t="s">
        <v>1350</v>
      </c>
      <c r="O34" s="1018" t="s">
        <v>1351</v>
      </c>
      <c r="P34" s="1065"/>
      <c r="Q34" s="998" t="s">
        <v>730</v>
      </c>
      <c r="R34" s="1115" t="str">
        <f>IF(VLOOKUP(A34,'Eclusée - Schwall-Sunk'!$A$2:$F$273,5,FALSE)="","",VLOOKUP(A34,'Eclusée - Schwall-Sunk'!$A$2:$F$273,5,FALSE))</f>
        <v>force hydraulique</v>
      </c>
      <c r="S34" s="1126" t="str">
        <f>IF(VLOOKUP(A34,'Eclusée - Schwall-Sunk'!$A$2:$F$273,6,FALSE)="","",VLOOKUP(A34,'Eclusée - Schwall-Sunk'!$A$2:$F$273,6,FALSE))</f>
        <v>Non affecté / nicht betroffen</v>
      </c>
      <c r="T34" s="1123"/>
      <c r="U34" s="572"/>
      <c r="V34" s="572"/>
    </row>
    <row r="35" spans="1:22" ht="35.25" customHeight="1" x14ac:dyDescent="0.25">
      <c r="A35" s="927">
        <v>47.1</v>
      </c>
      <c r="B35" s="1008" t="str">
        <f>IF(VLOOKUP(A35,'Données de base - Grunddaten'!$A$2:$M$273,3,FALSE)="","",VLOOKUP(A35,'Données de base - Grunddaten'!$A$2:$M$273,3,FALSE))</f>
        <v>Altwässer der Aare und der Zihl</v>
      </c>
      <c r="C35" s="1008" t="str">
        <f>IF(VLOOKUP(A35,'Données de base - Grunddaten'!$A$2:$M$273,4,FALSE)="","",VLOOKUP(A35,'Données de base - Grunddaten'!$A$2:$M$273,4,FALSE))</f>
        <v>Aare</v>
      </c>
      <c r="D35" s="1008" t="str">
        <f>IF(VLOOKUP(A35,'Données de base - Grunddaten'!$A$2:$M$273,5,FALSE)="","",VLOOKUP(A35,'Données de base - Grunddaten'!$A$2:$M$273,5,FALSE))</f>
        <v>BE</v>
      </c>
      <c r="E35" s="647" t="s">
        <v>45</v>
      </c>
      <c r="F35" s="639"/>
      <c r="G35" s="635"/>
      <c r="H35" s="995" t="s">
        <v>45</v>
      </c>
      <c r="I35" s="1048" t="s">
        <v>48</v>
      </c>
      <c r="J35" s="984" t="s">
        <v>45</v>
      </c>
      <c r="K35" s="1052"/>
      <c r="L35" s="1021"/>
      <c r="M35" s="1021"/>
      <c r="N35" s="1011"/>
      <c r="O35" s="1012"/>
      <c r="P35" s="1062"/>
      <c r="Q35" s="996" t="s">
        <v>45</v>
      </c>
      <c r="R35" s="1115" t="str">
        <f>IF(VLOOKUP(A35,'Eclusée - Schwall-Sunk'!$A$2:$F$273,5,FALSE)="","",VLOOKUP(A35,'Eclusée - Schwall-Sunk'!$A$2:$F$273,5,FALSE))</f>
        <v>force hydraulique</v>
      </c>
      <c r="S35" s="1126" t="str">
        <f>IF(VLOOKUP(A35,'Eclusée - Schwall-Sunk'!$A$2:$F$273,6,FALSE)="","",VLOOKUP(A35,'Eclusée - Schwall-Sunk'!$A$2:$F$273,6,FALSE))</f>
        <v>Non affecté / nicht betroffen</v>
      </c>
      <c r="T35" s="1123"/>
      <c r="U35" s="572"/>
      <c r="V35" s="572"/>
    </row>
    <row r="36" spans="1:22" ht="35.25" customHeight="1" x14ac:dyDescent="0.25">
      <c r="A36" s="927">
        <v>47.2</v>
      </c>
      <c r="B36" s="1008" t="str">
        <f>IF(VLOOKUP(A36,'Données de base - Grunddaten'!$A$2:$M$273,3,FALSE)="","",VLOOKUP(A36,'Données de base - Grunddaten'!$A$2:$M$273,3,FALSE))</f>
        <v>Altwässer der Aare und der Zihl</v>
      </c>
      <c r="C36" s="1008" t="str">
        <f>IF(VLOOKUP(A36,'Données de base - Grunddaten'!$A$2:$M$273,4,FALSE)="","",VLOOKUP(A36,'Données de base - Grunddaten'!$A$2:$M$273,4,FALSE))</f>
        <v>Aare</v>
      </c>
      <c r="D36" s="1008" t="str">
        <f>IF(VLOOKUP(A36,'Données de base - Grunddaten'!$A$2:$M$273,5,FALSE)="","",VLOOKUP(A36,'Données de base - Grunddaten'!$A$2:$M$273,5,FALSE))</f>
        <v>BE</v>
      </c>
      <c r="E36" s="647" t="s">
        <v>746</v>
      </c>
      <c r="F36" s="636" t="s">
        <v>1345</v>
      </c>
      <c r="G36" s="637" t="s">
        <v>1345</v>
      </c>
      <c r="H36" s="995" t="s">
        <v>746</v>
      </c>
      <c r="I36" s="1048" t="s">
        <v>48</v>
      </c>
      <c r="J36" s="984" t="s">
        <v>746</v>
      </c>
      <c r="K36" s="1052"/>
      <c r="L36" s="1021"/>
      <c r="M36" s="1021"/>
      <c r="N36" s="1011"/>
      <c r="O36" s="1012"/>
      <c r="P36" s="1062"/>
      <c r="Q36" s="996" t="s">
        <v>746</v>
      </c>
      <c r="R36" s="1115" t="str">
        <f>IF(VLOOKUP(A36,'Eclusée - Schwall-Sunk'!$A$2:$F$273,5,FALSE)="","",VLOOKUP(A36,'Eclusée - Schwall-Sunk'!$A$2:$F$273,5,FALSE))</f>
        <v/>
      </c>
      <c r="S36" s="1126" t="str">
        <f>IF(VLOOKUP(A36,'Eclusée - Schwall-Sunk'!$A$2:$F$273,6,FALSE)="","",VLOOKUP(A36,'Eclusée - Schwall-Sunk'!$A$2:$F$273,6,FALSE))</f>
        <v>Non affecté / nicht betroffen</v>
      </c>
      <c r="T36" s="1123"/>
      <c r="U36" s="572"/>
      <c r="V36" s="572"/>
    </row>
    <row r="37" spans="1:22" ht="35.25" customHeight="1" x14ac:dyDescent="0.25">
      <c r="A37" s="926">
        <v>48</v>
      </c>
      <c r="B37" s="1008" t="str">
        <f>IF(VLOOKUP(A37,'Données de base - Grunddaten'!$A$2:$M$273,3,FALSE)="","",VLOOKUP(A37,'Données de base - Grunddaten'!$A$2:$M$273,3,FALSE))</f>
        <v>Alte Aare: Lyss–Dotzigen</v>
      </c>
      <c r="C37" s="1008" t="str">
        <f>IF(VLOOKUP(A37,'Données de base - Grunddaten'!$A$2:$M$273,4,FALSE)="","",VLOOKUP(A37,'Données de base - Grunddaten'!$A$2:$M$273,4,FALSE))</f>
        <v>Alte Aare</v>
      </c>
      <c r="D37" s="1008" t="str">
        <f>IF(VLOOKUP(A37,'Données de base - Grunddaten'!$A$2:$M$273,5,FALSE)="","",VLOOKUP(A37,'Données de base - Grunddaten'!$A$2:$M$273,5,FALSE))</f>
        <v>BE</v>
      </c>
      <c r="E37" s="647" t="s">
        <v>746</v>
      </c>
      <c r="F37" s="636" t="s">
        <v>1345</v>
      </c>
      <c r="G37" s="637" t="s">
        <v>1345</v>
      </c>
      <c r="H37" s="995" t="s">
        <v>746</v>
      </c>
      <c r="I37" s="1048" t="s">
        <v>48</v>
      </c>
      <c r="J37" s="985" t="s">
        <v>746</v>
      </c>
      <c r="K37" s="1052"/>
      <c r="L37" s="1021"/>
      <c r="M37" s="1021"/>
      <c r="N37" s="1011"/>
      <c r="O37" s="1012"/>
      <c r="P37" s="1062"/>
      <c r="Q37" s="997" t="s">
        <v>746</v>
      </c>
      <c r="R37" s="1115" t="str">
        <f>IF(VLOOKUP(A37,'Eclusée - Schwall-Sunk'!$A$2:$F$273,5,FALSE)="","",VLOOKUP(A37,'Eclusée - Schwall-Sunk'!$A$2:$F$273,5,FALSE))</f>
        <v/>
      </c>
      <c r="S37" s="1126" t="str">
        <f>IF(VLOOKUP(A37,'Eclusée - Schwall-Sunk'!$A$2:$F$273,6,FALSE)="","",VLOOKUP(A37,'Eclusée - Schwall-Sunk'!$A$2:$F$273,6,FALSE))</f>
        <v>Non affecté / nicht betroffen</v>
      </c>
      <c r="T37" s="1123"/>
      <c r="U37" s="572"/>
      <c r="V37" s="572"/>
    </row>
    <row r="38" spans="1:22" ht="35.25" customHeight="1" x14ac:dyDescent="0.25">
      <c r="A38" s="926">
        <v>49</v>
      </c>
      <c r="B38" s="1008" t="str">
        <f>IF(VLOOKUP(A38,'Données de base - Grunddaten'!$A$2:$M$273,3,FALSE)="","",VLOOKUP(A38,'Données de base - Grunddaten'!$A$2:$M$273,3,FALSE))</f>
        <v>Alte Aare: Aarberg–Lyss</v>
      </c>
      <c r="C38" s="1008" t="str">
        <f>IF(VLOOKUP(A38,'Données de base - Grunddaten'!$A$2:$M$273,4,FALSE)="","",VLOOKUP(A38,'Données de base - Grunddaten'!$A$2:$M$273,4,FALSE))</f>
        <v>Alte Aare</v>
      </c>
      <c r="D38" s="1008" t="str">
        <f>IF(VLOOKUP(A38,'Données de base - Grunddaten'!$A$2:$M$273,5,FALSE)="","",VLOOKUP(A38,'Données de base - Grunddaten'!$A$2:$M$273,5,FALSE))</f>
        <v>BE</v>
      </c>
      <c r="E38" s="647" t="s">
        <v>746</v>
      </c>
      <c r="F38" s="636" t="s">
        <v>1345</v>
      </c>
      <c r="G38" s="637" t="s">
        <v>1345</v>
      </c>
      <c r="H38" s="995" t="s">
        <v>746</v>
      </c>
      <c r="I38" s="1048" t="s">
        <v>48</v>
      </c>
      <c r="J38" s="985" t="s">
        <v>746</v>
      </c>
      <c r="K38" s="1052"/>
      <c r="L38" s="1021"/>
      <c r="M38" s="1021"/>
      <c r="N38" s="1011"/>
      <c r="O38" s="1012"/>
      <c r="P38" s="1062"/>
      <c r="Q38" s="997" t="s">
        <v>746</v>
      </c>
      <c r="R38" s="1115" t="str">
        <f>IF(VLOOKUP(A38,'Eclusée - Schwall-Sunk'!$A$2:$F$273,5,FALSE)="","",VLOOKUP(A38,'Eclusée - Schwall-Sunk'!$A$2:$F$273,5,FALSE))</f>
        <v/>
      </c>
      <c r="S38" s="1126" t="str">
        <f>IF(VLOOKUP(A38,'Eclusée - Schwall-Sunk'!$A$2:$F$273,6,FALSE)="","",VLOOKUP(A38,'Eclusée - Schwall-Sunk'!$A$2:$F$273,6,FALSE))</f>
        <v>Non affecté / nicht betroffen</v>
      </c>
      <c r="T38" s="1123"/>
      <c r="U38" s="572"/>
      <c r="V38" s="572"/>
    </row>
    <row r="39" spans="1:22" ht="35.25" customHeight="1" x14ac:dyDescent="0.25">
      <c r="A39" s="926">
        <v>50</v>
      </c>
      <c r="B39" s="1008" t="str">
        <f>IF(VLOOKUP(A39,'Données de base - Grunddaten'!$A$2:$M$273,3,FALSE)="","",VLOOKUP(A39,'Données de base - Grunddaten'!$A$2:$M$273,3,FALSE))</f>
        <v>Sagnes de la Burtignière</v>
      </c>
      <c r="C39" s="1008" t="str">
        <f>IF(VLOOKUP(A39,'Données de base - Grunddaten'!$A$2:$M$273,4,FALSE)="","",VLOOKUP(A39,'Données de base - Grunddaten'!$A$2:$M$273,4,FALSE))</f>
        <v>L'Orbe</v>
      </c>
      <c r="D39" s="1008" t="str">
        <f>IF(VLOOKUP(A39,'Données de base - Grunddaten'!$A$2:$M$273,5,FALSE)="","",VLOOKUP(A39,'Données de base - Grunddaten'!$A$2:$M$273,5,FALSE))</f>
        <v>VD</v>
      </c>
      <c r="E39" s="647" t="s">
        <v>746</v>
      </c>
      <c r="F39" s="636" t="s">
        <v>1345</v>
      </c>
      <c r="G39" s="637" t="s">
        <v>1345</v>
      </c>
      <c r="H39" s="995" t="s">
        <v>746</v>
      </c>
      <c r="I39" s="1048" t="s">
        <v>48</v>
      </c>
      <c r="J39" s="984" t="s">
        <v>746</v>
      </c>
      <c r="K39" s="1052"/>
      <c r="L39" s="1022"/>
      <c r="M39" s="1022"/>
      <c r="N39" s="1011"/>
      <c r="O39" s="1012"/>
      <c r="P39" s="1063"/>
      <c r="Q39" s="996" t="s">
        <v>746</v>
      </c>
      <c r="R39" s="1115" t="str">
        <f>IF(VLOOKUP(A39,'Eclusée - Schwall-Sunk'!$A$2:$F$273,5,FALSE)="","",VLOOKUP(A39,'Eclusée - Schwall-Sunk'!$A$2:$F$273,5,FALSE))</f>
        <v/>
      </c>
      <c r="S39" s="1126" t="str">
        <f>IF(VLOOKUP(A39,'Eclusée - Schwall-Sunk'!$A$2:$F$273,6,FALSE)="","",VLOOKUP(A39,'Eclusée - Schwall-Sunk'!$A$2:$F$273,6,FALSE))</f>
        <v>Non affecté / nicht betroffen</v>
      </c>
      <c r="T39" s="1123"/>
      <c r="U39" s="572"/>
      <c r="V39" s="572"/>
    </row>
    <row r="40" spans="1:22" ht="35.25" customHeight="1" x14ac:dyDescent="0.25">
      <c r="A40" s="926">
        <v>51</v>
      </c>
      <c r="B40" s="1008" t="str">
        <f>IF(VLOOKUP(A40,'Données de base - Grunddaten'!$A$2:$M$273,3,FALSE)="","",VLOOKUP(A40,'Données de base - Grunddaten'!$A$2:$M$273,3,FALSE))</f>
        <v>Reussinsel Risi</v>
      </c>
      <c r="C40" s="1008" t="str">
        <f>IF(VLOOKUP(A40,'Données de base - Grunddaten'!$A$2:$M$273,4,FALSE)="","",VLOOKUP(A40,'Données de base - Grunddaten'!$A$2:$M$273,4,FALSE))</f>
        <v>Reuss</v>
      </c>
      <c r="D40" s="1008" t="str">
        <f>IF(VLOOKUP(A40,'Données de base - Grunddaten'!$A$2:$M$273,5,FALSE)="","",VLOOKUP(A40,'Données de base - Grunddaten'!$A$2:$M$273,5,FALSE))</f>
        <v>AG</v>
      </c>
      <c r="E40" s="647" t="s">
        <v>45</v>
      </c>
      <c r="F40" s="639"/>
      <c r="G40" s="635"/>
      <c r="H40" s="995" t="s">
        <v>45</v>
      </c>
      <c r="I40" s="1048" t="s">
        <v>48</v>
      </c>
      <c r="J40" s="984" t="s">
        <v>45</v>
      </c>
      <c r="K40" s="1052"/>
      <c r="L40" s="1021"/>
      <c r="M40" s="1021"/>
      <c r="N40" s="1011"/>
      <c r="O40" s="1012"/>
      <c r="P40" s="1062"/>
      <c r="Q40" s="996" t="s">
        <v>45</v>
      </c>
      <c r="R40" s="1115" t="str">
        <f>IF(VLOOKUP(A40,'Eclusée - Schwall-Sunk'!$A$2:$F$273,5,FALSE)="","",VLOOKUP(A40,'Eclusée - Schwall-Sunk'!$A$2:$F$273,5,FALSE))</f>
        <v>force hydraulique</v>
      </c>
      <c r="S40" s="1126" t="str">
        <f>IF(VLOOKUP(A40,'Eclusée - Schwall-Sunk'!$A$2:$F$273,6,FALSE)="","",VLOOKUP(A40,'Eclusée - Schwall-Sunk'!$A$2:$F$273,6,FALSE))</f>
        <v>Non affecté / nicht betroffen</v>
      </c>
      <c r="T40" s="1123"/>
      <c r="U40" s="572"/>
      <c r="V40" s="572"/>
    </row>
    <row r="41" spans="1:22" ht="35.25" customHeight="1" x14ac:dyDescent="0.25">
      <c r="A41" s="926">
        <v>52</v>
      </c>
      <c r="B41" s="1008" t="str">
        <f>IF(VLOOKUP(A41,'Données de base - Grunddaten'!$A$2:$M$273,3,FALSE)="","",VLOOKUP(A41,'Données de base - Grunddaten'!$A$2:$M$273,3,FALSE))</f>
        <v>Les Iles de Villeneuve</v>
      </c>
      <c r="C41" s="1008" t="str">
        <f>IF(VLOOKUP(A41,'Données de base - Grunddaten'!$A$2:$M$273,4,FALSE)="","",VLOOKUP(A41,'Données de base - Grunddaten'!$A$2:$M$273,4,FALSE))</f>
        <v>La Broye</v>
      </c>
      <c r="D41" s="1008" t="str">
        <f>IF(VLOOKUP(A41,'Données de base - Grunddaten'!$A$2:$M$273,5,FALSE)="","",VLOOKUP(A41,'Données de base - Grunddaten'!$A$2:$M$273,5,FALSE))</f>
        <v>FR/VD</v>
      </c>
      <c r="E41" s="647" t="s">
        <v>746</v>
      </c>
      <c r="F41" s="636" t="s">
        <v>1345</v>
      </c>
      <c r="G41" s="637" t="s">
        <v>1345</v>
      </c>
      <c r="H41" s="995" t="s">
        <v>746</v>
      </c>
      <c r="I41" s="1048" t="s">
        <v>48</v>
      </c>
      <c r="J41" s="984" t="s">
        <v>746</v>
      </c>
      <c r="K41" s="1052"/>
      <c r="L41" s="1021"/>
      <c r="M41" s="1025" t="s">
        <v>1092</v>
      </c>
      <c r="N41" s="1011"/>
      <c r="O41" s="1012"/>
      <c r="P41" s="1062"/>
      <c r="Q41" s="996" t="s">
        <v>746</v>
      </c>
      <c r="R41" s="1115" t="str">
        <f>IF(VLOOKUP(A41,'Eclusée - Schwall-Sunk'!$A$2:$F$273,5,FALSE)="","",VLOOKUP(A41,'Eclusée - Schwall-Sunk'!$A$2:$F$273,5,FALSE))</f>
        <v/>
      </c>
      <c r="S41" s="1126" t="str">
        <f>IF(VLOOKUP(A41,'Eclusée - Schwall-Sunk'!$A$2:$F$273,6,FALSE)="","",VLOOKUP(A41,'Eclusée - Schwall-Sunk'!$A$2:$F$273,6,FALSE))</f>
        <v>Non affecté / nicht betroffen</v>
      </c>
      <c r="T41" s="1123"/>
      <c r="U41" s="572"/>
      <c r="V41" s="572"/>
    </row>
    <row r="42" spans="1:22" ht="35.25" customHeight="1" x14ac:dyDescent="0.25">
      <c r="A42" s="926">
        <v>53</v>
      </c>
      <c r="B42" s="1008" t="str">
        <f>IF(VLOOKUP(A42,'Données de base - Grunddaten'!$A$2:$M$273,3,FALSE)="","",VLOOKUP(A42,'Données de base - Grunddaten'!$A$2:$M$273,3,FALSE))</f>
        <v>Niederried–Oltigenmatt</v>
      </c>
      <c r="C42" s="1008" t="str">
        <f>IF(VLOOKUP(A42,'Données de base - Grunddaten'!$A$2:$M$273,4,FALSE)="","",VLOOKUP(A42,'Données de base - Grunddaten'!$A$2:$M$273,4,FALSE))</f>
        <v>Aare, Saane</v>
      </c>
      <c r="D42" s="1008" t="str">
        <f>IF(VLOOKUP(A42,'Données de base - Grunddaten'!$A$2:$M$273,5,FALSE)="","",VLOOKUP(A42,'Données de base - Grunddaten'!$A$2:$M$273,5,FALSE))</f>
        <v>BE</v>
      </c>
      <c r="E42" s="647" t="s">
        <v>51</v>
      </c>
      <c r="F42" s="634"/>
      <c r="G42" s="635"/>
      <c r="H42" s="995" t="s">
        <v>53</v>
      </c>
      <c r="I42" s="1048" t="s">
        <v>48</v>
      </c>
      <c r="J42" s="986" t="s">
        <v>53</v>
      </c>
      <c r="K42" s="1052"/>
      <c r="L42" s="1021"/>
      <c r="M42" s="1021"/>
      <c r="N42" s="1011"/>
      <c r="O42" s="1012"/>
      <c r="P42" s="1062"/>
      <c r="Q42" s="995" t="s">
        <v>53</v>
      </c>
      <c r="R42" s="1115" t="str">
        <f>IF(VLOOKUP(A42,'Eclusée - Schwall-Sunk'!$A$2:$F$273,5,FALSE)="","",VLOOKUP(A42,'Eclusée - Schwall-Sunk'!$A$2:$F$273,5,FALSE))</f>
        <v/>
      </c>
      <c r="S42" s="1126" t="str">
        <f>IF(VLOOKUP(A42,'Eclusée - Schwall-Sunk'!$A$2:$F$273,6,FALSE)="","",VLOOKUP(A42,'Eclusée - Schwall-Sunk'!$A$2:$F$273,6,FALSE))</f>
        <v>Potentiellement affecté / möglicherweise betroffen</v>
      </c>
      <c r="T42" s="1123"/>
      <c r="U42" s="572"/>
      <c r="V42" s="572"/>
    </row>
    <row r="43" spans="1:22" ht="35.25" customHeight="1" x14ac:dyDescent="0.25">
      <c r="A43" s="926">
        <v>55</v>
      </c>
      <c r="B43" s="1008" t="str">
        <f>IF(VLOOKUP(A43,'Données de base - Grunddaten'!$A$2:$M$273,3,FALSE)="","",VLOOKUP(A43,'Données de base - Grunddaten'!$A$2:$M$273,3,FALSE))</f>
        <v>Senseauen</v>
      </c>
      <c r="C43" s="1008" t="str">
        <f>IF(VLOOKUP(A43,'Données de base - Grunddaten'!$A$2:$M$273,4,FALSE)="","",VLOOKUP(A43,'Données de base - Grunddaten'!$A$2:$M$273,4,FALSE))</f>
        <v>Sense</v>
      </c>
      <c r="D43" s="1008" t="str">
        <f>IF(VLOOKUP(A43,'Données de base - Grunddaten'!$A$2:$M$273,5,FALSE)="","",VLOOKUP(A43,'Données de base - Grunddaten'!$A$2:$M$273,5,FALSE))</f>
        <v>BE/FR</v>
      </c>
      <c r="E43" s="647" t="s">
        <v>746</v>
      </c>
      <c r="F43" s="636" t="s">
        <v>1345</v>
      </c>
      <c r="G43" s="637" t="s">
        <v>1345</v>
      </c>
      <c r="H43" s="995" t="s">
        <v>746</v>
      </c>
      <c r="I43" s="1048" t="s">
        <v>48</v>
      </c>
      <c r="J43" s="984" t="s">
        <v>746</v>
      </c>
      <c r="K43" s="1052"/>
      <c r="L43" s="1021"/>
      <c r="M43" s="1025" t="s">
        <v>1092</v>
      </c>
      <c r="N43" s="1011"/>
      <c r="O43" s="1012"/>
      <c r="P43" s="1062"/>
      <c r="Q43" s="996" t="s">
        <v>746</v>
      </c>
      <c r="R43" s="1115" t="str">
        <f>IF(VLOOKUP(A43,'Eclusée - Schwall-Sunk'!$A$2:$F$273,5,FALSE)="","",VLOOKUP(A43,'Eclusée - Schwall-Sunk'!$A$2:$F$273,5,FALSE))</f>
        <v/>
      </c>
      <c r="S43" s="1126" t="str">
        <f>IF(VLOOKUP(A43,'Eclusée - Schwall-Sunk'!$A$2:$F$273,6,FALSE)="","",VLOOKUP(A43,'Eclusée - Schwall-Sunk'!$A$2:$F$273,6,FALSE))</f>
        <v>Non affecté / nicht betroffen</v>
      </c>
      <c r="T43" s="1123"/>
      <c r="U43" s="572"/>
      <c r="V43" s="572"/>
    </row>
    <row r="44" spans="1:22" ht="35.25" customHeight="1" x14ac:dyDescent="0.25">
      <c r="A44" s="926">
        <v>58</v>
      </c>
      <c r="B44" s="1008" t="str">
        <f>IF(VLOOKUP(A44,'Données de base - Grunddaten'!$A$2:$M$273,3,FALSE)="","",VLOOKUP(A44,'Données de base - Grunddaten'!$A$2:$M$273,3,FALSE))</f>
        <v>Teuffengraben–Sackau</v>
      </c>
      <c r="C44" s="1008" t="str">
        <f>IF(VLOOKUP(A44,'Données de base - Grunddaten'!$A$2:$M$273,4,FALSE)="","",VLOOKUP(A44,'Données de base - Grunddaten'!$A$2:$M$273,4,FALSE))</f>
        <v>Schwarzwasser</v>
      </c>
      <c r="D44" s="1008" t="str">
        <f>IF(VLOOKUP(A44,'Données de base - Grunddaten'!$A$2:$M$273,5,FALSE)="","",VLOOKUP(A44,'Données de base - Grunddaten'!$A$2:$M$273,5,FALSE))</f>
        <v>BE</v>
      </c>
      <c r="E44" s="647" t="s">
        <v>746</v>
      </c>
      <c r="F44" s="636" t="s">
        <v>1345</v>
      </c>
      <c r="G44" s="637" t="s">
        <v>1345</v>
      </c>
      <c r="H44" s="995" t="s">
        <v>746</v>
      </c>
      <c r="I44" s="1048" t="s">
        <v>48</v>
      </c>
      <c r="J44" s="984" t="s">
        <v>746</v>
      </c>
      <c r="K44" s="1052"/>
      <c r="L44" s="1021"/>
      <c r="M44" s="1021"/>
      <c r="N44" s="1011"/>
      <c r="O44" s="1012"/>
      <c r="P44" s="1062"/>
      <c r="Q44" s="996" t="s">
        <v>746</v>
      </c>
      <c r="R44" s="1115" t="str">
        <f>IF(VLOOKUP(A44,'Eclusée - Schwall-Sunk'!$A$2:$F$273,5,FALSE)="","",VLOOKUP(A44,'Eclusée - Schwall-Sunk'!$A$2:$F$273,5,FALSE))</f>
        <v/>
      </c>
      <c r="S44" s="1126" t="str">
        <f>IF(VLOOKUP(A44,'Eclusée - Schwall-Sunk'!$A$2:$F$273,6,FALSE)="","",VLOOKUP(A44,'Eclusée - Schwall-Sunk'!$A$2:$F$273,6,FALSE))</f>
        <v>Non affecté / nicht betroffen</v>
      </c>
      <c r="T44" s="1123"/>
      <c r="U44" s="572"/>
      <c r="V44" s="572"/>
    </row>
    <row r="45" spans="1:22" ht="35.25" customHeight="1" x14ac:dyDescent="0.25">
      <c r="A45" s="926">
        <v>59</v>
      </c>
      <c r="B45" s="1008" t="str">
        <f>IF(VLOOKUP(A45,'Données de base - Grunddaten'!$A$2:$M$273,3,FALSE)="","",VLOOKUP(A45,'Données de base - Grunddaten'!$A$2:$M$273,3,FALSE))</f>
        <v>Laupenau</v>
      </c>
      <c r="C45" s="1008" t="str">
        <f>IF(VLOOKUP(A45,'Données de base - Grunddaten'!$A$2:$M$273,4,FALSE)="","",VLOOKUP(A45,'Données de base - Grunddaten'!$A$2:$M$273,4,FALSE))</f>
        <v>Saane</v>
      </c>
      <c r="D45" s="1008" t="str">
        <f>IF(VLOOKUP(A45,'Données de base - Grunddaten'!$A$2:$M$273,5,FALSE)="","",VLOOKUP(A45,'Données de base - Grunddaten'!$A$2:$M$273,5,FALSE))</f>
        <v>BE</v>
      </c>
      <c r="E45" s="647" t="s">
        <v>45</v>
      </c>
      <c r="F45" s="634"/>
      <c r="G45" s="638"/>
      <c r="H45" s="995" t="s">
        <v>45</v>
      </c>
      <c r="I45" s="1048" t="s">
        <v>48</v>
      </c>
      <c r="J45" s="986" t="s">
        <v>45</v>
      </c>
      <c r="K45" s="1052"/>
      <c r="L45" s="1021"/>
      <c r="M45" s="1021"/>
      <c r="N45" s="1011"/>
      <c r="O45" s="1012"/>
      <c r="P45" s="1062"/>
      <c r="Q45" s="996" t="s">
        <v>746</v>
      </c>
      <c r="R45" s="1115" t="str">
        <f>IF(VLOOKUP(A45,'Eclusée - Schwall-Sunk'!$A$2:$F$273,5,FALSE)="","",VLOOKUP(A45,'Eclusée - Schwall-Sunk'!$A$2:$F$273,5,FALSE))</f>
        <v>force hydraulique</v>
      </c>
      <c r="S45" s="1126" t="str">
        <f>IF(VLOOKUP(A45,'Eclusée - Schwall-Sunk'!$A$2:$F$273,6,FALSE)="","",VLOOKUP(A45,'Eclusée - Schwall-Sunk'!$A$2:$F$273,6,FALSE))</f>
        <v>Potentiellement affecté / möglicherweise betroffen</v>
      </c>
      <c r="T45" s="1123"/>
      <c r="U45" s="572"/>
      <c r="V45" s="572"/>
    </row>
    <row r="46" spans="1:22" ht="35.25" customHeight="1" x14ac:dyDescent="0.25">
      <c r="A46" s="926">
        <v>60</v>
      </c>
      <c r="B46" s="1008" t="str">
        <f>IF(VLOOKUP(A46,'Données de base - Grunddaten'!$A$2:$M$273,3,FALSE)="","",VLOOKUP(A46,'Données de base - Grunddaten'!$A$2:$M$273,3,FALSE))</f>
        <v>Bois du Dévin</v>
      </c>
      <c r="C46" s="1008" t="str">
        <f>IF(VLOOKUP(A46,'Données de base - Grunddaten'!$A$2:$M$273,4,FALSE)="","",VLOOKUP(A46,'Données de base - Grunddaten'!$A$2:$M$273,4,FALSE))</f>
        <v>La Gérine</v>
      </c>
      <c r="D46" s="1008" t="str">
        <f>IF(VLOOKUP(A46,'Données de base - Grunddaten'!$A$2:$M$273,5,FALSE)="","",VLOOKUP(A46,'Données de base - Grunddaten'!$A$2:$M$273,5,FALSE))</f>
        <v>FR</v>
      </c>
      <c r="E46" s="647" t="s">
        <v>746</v>
      </c>
      <c r="F46" s="636" t="s">
        <v>1345</v>
      </c>
      <c r="G46" s="637" t="s">
        <v>1345</v>
      </c>
      <c r="H46" s="995" t="s">
        <v>746</v>
      </c>
      <c r="I46" s="1048" t="s">
        <v>48</v>
      </c>
      <c r="J46" s="984" t="s">
        <v>746</v>
      </c>
      <c r="K46" s="1052"/>
      <c r="L46" s="1021"/>
      <c r="M46" s="1025" t="s">
        <v>1092</v>
      </c>
      <c r="N46" s="1011"/>
      <c r="O46" s="1012"/>
      <c r="P46" s="1062"/>
      <c r="Q46" s="996" t="s">
        <v>746</v>
      </c>
      <c r="R46" s="1115" t="str">
        <f>IF(VLOOKUP(A46,'Eclusée - Schwall-Sunk'!$A$2:$F$273,5,FALSE)="","",VLOOKUP(A46,'Eclusée - Schwall-Sunk'!$A$2:$F$273,5,FALSE))</f>
        <v/>
      </c>
      <c r="S46" s="1126" t="str">
        <f>IF(VLOOKUP(A46,'Eclusée - Schwall-Sunk'!$A$2:$F$273,6,FALSE)="","",VLOOKUP(A46,'Eclusée - Schwall-Sunk'!$A$2:$F$273,6,FALSE))</f>
        <v>Non affecté / nicht betroffen</v>
      </c>
      <c r="T46" s="1123"/>
      <c r="U46" s="572"/>
      <c r="V46" s="572"/>
    </row>
    <row r="47" spans="1:22" ht="38.25" x14ac:dyDescent="0.25">
      <c r="A47" s="926">
        <v>61</v>
      </c>
      <c r="B47" s="1008" t="str">
        <f>IF(VLOOKUP(A47,'Données de base - Grunddaten'!$A$2:$M$273,3,FALSE)="","",VLOOKUP(A47,'Données de base - Grunddaten'!$A$2:$M$273,3,FALSE))</f>
        <v>Ärgera: Plasselb–Marly</v>
      </c>
      <c r="C47" s="1008" t="str">
        <f>IF(VLOOKUP(A47,'Données de base - Grunddaten'!$A$2:$M$273,4,FALSE)="","",VLOOKUP(A47,'Données de base - Grunddaten'!$A$2:$M$273,4,FALSE))</f>
        <v>Ärgera / La Gérine</v>
      </c>
      <c r="D47" s="1008" t="str">
        <f>IF(VLOOKUP(A47,'Données de base - Grunddaten'!$A$2:$M$273,5,FALSE)="","",VLOOKUP(A47,'Données de base - Grunddaten'!$A$2:$M$273,5,FALSE))</f>
        <v>FR</v>
      </c>
      <c r="E47" s="647" t="s">
        <v>746</v>
      </c>
      <c r="F47" s="636" t="s">
        <v>1345</v>
      </c>
      <c r="G47" s="637" t="s">
        <v>1345</v>
      </c>
      <c r="H47" s="995" t="s">
        <v>746</v>
      </c>
      <c r="I47" s="1048" t="s">
        <v>48</v>
      </c>
      <c r="J47" s="984" t="s">
        <v>746</v>
      </c>
      <c r="K47" s="1052"/>
      <c r="L47" s="1021"/>
      <c r="M47" s="1025" t="s">
        <v>1092</v>
      </c>
      <c r="N47" s="1011"/>
      <c r="O47" s="1012"/>
      <c r="P47" s="1062"/>
      <c r="Q47" s="996" t="s">
        <v>746</v>
      </c>
      <c r="R47" s="1115" t="str">
        <f>IF(VLOOKUP(A47,'Eclusée - Schwall-Sunk'!$A$2:$F$273,5,FALSE)="","",VLOOKUP(A47,'Eclusée - Schwall-Sunk'!$A$2:$F$273,5,FALSE))</f>
        <v/>
      </c>
      <c r="S47" s="1126" t="str">
        <f>IF(VLOOKUP(A47,'Eclusée - Schwall-Sunk'!$A$2:$F$273,6,FALSE)="","",VLOOKUP(A47,'Eclusée - Schwall-Sunk'!$A$2:$F$273,6,FALSE))</f>
        <v>Non affecté / nicht betroffen</v>
      </c>
      <c r="T47" s="1123"/>
      <c r="U47" s="572"/>
      <c r="V47" s="572"/>
    </row>
    <row r="48" spans="1:22" ht="35.25" customHeight="1" x14ac:dyDescent="0.25">
      <c r="A48" s="927">
        <v>62.1</v>
      </c>
      <c r="B48" s="1008" t="str">
        <f>IF(VLOOKUP(A48,'Données de base - Grunddaten'!$A$2:$M$273,3,FALSE)="","",VLOOKUP(A48,'Données de base - Grunddaten'!$A$2:$M$273,3,FALSE))</f>
        <v>La Sarine: Rossens–Fribourg</v>
      </c>
      <c r="C48" s="1008" t="str">
        <f>IF(VLOOKUP(A48,'Données de base - Grunddaten'!$A$2:$M$273,4,FALSE)="","",VLOOKUP(A48,'Données de base - Grunddaten'!$A$2:$M$273,4,FALSE))</f>
        <v>La Sarine</v>
      </c>
      <c r="D48" s="1008" t="str">
        <f>IF(VLOOKUP(A48,'Données de base - Grunddaten'!$A$2:$M$273,5,FALSE)="","",VLOOKUP(A48,'Données de base - Grunddaten'!$A$2:$M$273,5,FALSE))</f>
        <v>FR</v>
      </c>
      <c r="E48" s="647" t="s">
        <v>88</v>
      </c>
      <c r="F48" s="634"/>
      <c r="G48" s="635"/>
      <c r="H48" s="995" t="s">
        <v>88</v>
      </c>
      <c r="I48" s="1048" t="s">
        <v>1334</v>
      </c>
      <c r="J48" s="986" t="s">
        <v>88</v>
      </c>
      <c r="K48" s="1051" t="s">
        <v>126</v>
      </c>
      <c r="L48" s="1024"/>
      <c r="M48" s="1025" t="s">
        <v>1092</v>
      </c>
      <c r="N48" s="1017" t="s">
        <v>1364</v>
      </c>
      <c r="O48" s="1018" t="s">
        <v>1365</v>
      </c>
      <c r="P48" s="1062"/>
      <c r="Q48" s="995" t="s">
        <v>88</v>
      </c>
      <c r="R48" s="1115" t="str">
        <f>IF(VLOOKUP(A48,'Eclusée - Schwall-Sunk'!$A$2:$F$273,5,FALSE)="","",VLOOKUP(A48,'Eclusée - Schwall-Sunk'!$A$2:$F$273,5,FALSE))</f>
        <v>force hydraulique</v>
      </c>
      <c r="S48" s="1126" t="str">
        <f>IF(VLOOKUP(A48,'Eclusée - Schwall-Sunk'!$A$2:$F$273,6,FALSE)="","",VLOOKUP(A48,'Eclusée - Schwall-Sunk'!$A$2:$F$273,6,FALSE))</f>
        <v>Non affecté / nicht betroffen</v>
      </c>
      <c r="T48" s="1123"/>
      <c r="U48" s="572"/>
      <c r="V48" s="572"/>
    </row>
    <row r="49" spans="1:22" ht="60" x14ac:dyDescent="0.2">
      <c r="A49" s="927">
        <v>62.2</v>
      </c>
      <c r="B49" s="1008" t="str">
        <f>IF(VLOOKUP(A49,'Données de base - Grunddaten'!$A$2:$M$273,3,FALSE)="","",VLOOKUP(A49,'Données de base - Grunddaten'!$A$2:$M$273,3,FALSE))</f>
        <v>La Sarine: Rossens–Fribourg</v>
      </c>
      <c r="C49" s="1008" t="str">
        <f>IF(VLOOKUP(A49,'Données de base - Grunddaten'!$A$2:$M$273,4,FALSE)="","",VLOOKUP(A49,'Données de base - Grunddaten'!$A$2:$M$273,4,FALSE))</f>
        <v>La Sarine</v>
      </c>
      <c r="D49" s="1008" t="str">
        <f>IF(VLOOKUP(A49,'Données de base - Grunddaten'!$A$2:$M$273,5,FALSE)="","",VLOOKUP(A49,'Données de base - Grunddaten'!$A$2:$M$273,5,FALSE))</f>
        <v>FR</v>
      </c>
      <c r="E49" s="647" t="s">
        <v>45</v>
      </c>
      <c r="F49" s="634"/>
      <c r="G49" s="635"/>
      <c r="H49" s="996" t="s">
        <v>45</v>
      </c>
      <c r="I49" s="1048" t="s">
        <v>48</v>
      </c>
      <c r="J49" s="984" t="s">
        <v>45</v>
      </c>
      <c r="K49" s="1052"/>
      <c r="L49" s="1026" t="s">
        <v>88</v>
      </c>
      <c r="M49" s="1027" t="s">
        <v>1366</v>
      </c>
      <c r="N49" s="1011"/>
      <c r="O49" s="1012"/>
      <c r="P49" s="1062"/>
      <c r="Q49" s="995" t="s">
        <v>88</v>
      </c>
      <c r="R49" s="1115" t="str">
        <f>IF(VLOOKUP(A49,'Eclusée - Schwall-Sunk'!$A$2:$F$273,5,FALSE)="","",VLOOKUP(A49,'Eclusée - Schwall-Sunk'!$A$2:$F$273,5,FALSE))</f>
        <v>force hydraulique</v>
      </c>
      <c r="S49" s="1126" t="str">
        <f>IF(VLOOKUP(A49,'Eclusée - Schwall-Sunk'!$A$2:$F$273,6,FALSE)="","",VLOOKUP(A49,'Eclusée - Schwall-Sunk'!$A$2:$F$273,6,FALSE))</f>
        <v>Potentiellement affecté / möglicherweise betroffen</v>
      </c>
      <c r="T49" s="1123"/>
      <c r="U49" s="572"/>
      <c r="V49" s="572"/>
    </row>
    <row r="50" spans="1:22" ht="35.25" customHeight="1" x14ac:dyDescent="0.25">
      <c r="A50" s="926">
        <v>64</v>
      </c>
      <c r="B50" s="1008" t="str">
        <f>IF(VLOOKUP(A50,'Données de base - Grunddaten'!$A$2:$M$273,3,FALSE)="","",VLOOKUP(A50,'Données de base - Grunddaten'!$A$2:$M$273,3,FALSE))</f>
        <v>Broc</v>
      </c>
      <c r="C50" s="1008" t="str">
        <f>IF(VLOOKUP(A50,'Données de base - Grunddaten'!$A$2:$M$273,4,FALSE)="","",VLOOKUP(A50,'Données de base - Grunddaten'!$A$2:$M$273,4,FALSE))</f>
        <v>La Sarine, La Jogne, Lac de Gruyère</v>
      </c>
      <c r="D50" s="1008" t="str">
        <f>IF(VLOOKUP(A50,'Données de base - Grunddaten'!$A$2:$M$273,5,FALSE)="","",VLOOKUP(A50,'Données de base - Grunddaten'!$A$2:$M$273,5,FALSE))</f>
        <v>FR</v>
      </c>
      <c r="E50" s="647" t="s">
        <v>51</v>
      </c>
      <c r="F50" s="634"/>
      <c r="G50" s="635"/>
      <c r="H50" s="995" t="s">
        <v>53</v>
      </c>
      <c r="I50" s="1048" t="s">
        <v>48</v>
      </c>
      <c r="J50" s="984" t="s">
        <v>53</v>
      </c>
      <c r="K50" s="1052"/>
      <c r="L50" s="1021"/>
      <c r="M50" s="1021"/>
      <c r="N50" s="1011"/>
      <c r="O50" s="1012"/>
      <c r="P50" s="1062"/>
      <c r="Q50" s="1095" t="s">
        <v>53</v>
      </c>
      <c r="R50" s="1115" t="str">
        <f>IF(VLOOKUP(A50,'Eclusée - Schwall-Sunk'!$A$2:$F$273,5,FALSE)="","",VLOOKUP(A50,'Eclusée - Schwall-Sunk'!$A$2:$F$273,5,FALSE))</f>
        <v/>
      </c>
      <c r="S50" s="1126" t="str">
        <f>IF(VLOOKUP(A50,'Eclusée - Schwall-Sunk'!$A$2:$F$273,6,FALSE)="","",VLOOKUP(A50,'Eclusée - Schwall-Sunk'!$A$2:$F$273,6,FALSE))</f>
        <v>Potentiellement affecté / möglicherweise betroffen</v>
      </c>
      <c r="T50" s="1123"/>
      <c r="U50" s="572"/>
      <c r="V50" s="572"/>
    </row>
    <row r="51" spans="1:22" ht="60" x14ac:dyDescent="0.2">
      <c r="A51" s="926">
        <v>65</v>
      </c>
      <c r="B51" s="1028" t="str">
        <f>IF(VLOOKUP(A51,'Données de base - Grunddaten'!$A$2:$M$273,3,FALSE)="","",VLOOKUP(A51,'Données de base - Grunddaten'!$A$2:$M$273,3,FALSE))</f>
        <v>Les Auges d'Estavannens</v>
      </c>
      <c r="C51" s="1028" t="str">
        <f>IF(VLOOKUP(A51,'Données de base - Grunddaten'!$A$2:$M$273,4,FALSE)="","",VLOOKUP(A51,'Données de base - Grunddaten'!$A$2:$M$273,4,FALSE))</f>
        <v>La Sarine</v>
      </c>
      <c r="D51" s="1028" t="str">
        <f>IF(VLOOKUP(A51,'Données de base - Grunddaten'!$A$2:$M$273,5,FALSE)="","",VLOOKUP(A51,'Données de base - Grunddaten'!$A$2:$M$273,5,FALSE))</f>
        <v>FR</v>
      </c>
      <c r="E51" s="647" t="s">
        <v>45</v>
      </c>
      <c r="F51" s="634"/>
      <c r="G51" s="635"/>
      <c r="H51" s="995" t="s">
        <v>45</v>
      </c>
      <c r="I51" s="1048" t="s">
        <v>48</v>
      </c>
      <c r="J51" s="984" t="s">
        <v>45</v>
      </c>
      <c r="K51" s="1052"/>
      <c r="L51" s="1021"/>
      <c r="M51" s="1027" t="s">
        <v>1367</v>
      </c>
      <c r="N51" s="1011"/>
      <c r="O51" s="1012"/>
      <c r="P51" s="1062"/>
      <c r="Q51" s="996" t="s">
        <v>45</v>
      </c>
      <c r="R51" s="1115" t="str">
        <f>IF(VLOOKUP(A51,'Eclusée - Schwall-Sunk'!$A$2:$F$273,5,FALSE)="","",VLOOKUP(A51,'Eclusée - Schwall-Sunk'!$A$2:$F$273,5,FALSE))</f>
        <v>force hydraulique</v>
      </c>
      <c r="S51" s="1126" t="str">
        <f>IF(VLOOKUP(A51,'Eclusée - Schwall-Sunk'!$A$2:$F$273,6,FALSE)="","",VLOOKUP(A51,'Eclusée - Schwall-Sunk'!$A$2:$F$273,6,FALSE))</f>
        <v>Potentiellement affecté / möglicherweise betroffen</v>
      </c>
      <c r="T51" s="1123"/>
      <c r="U51" s="572"/>
      <c r="V51" s="572"/>
    </row>
    <row r="52" spans="1:22" ht="60" x14ac:dyDescent="0.2">
      <c r="A52" s="926">
        <v>66</v>
      </c>
      <c r="B52" s="1028" t="str">
        <f>IF(VLOOKUP(A52,'Données de base - Grunddaten'!$A$2:$M$273,3,FALSE)="","",VLOOKUP(A52,'Données de base - Grunddaten'!$A$2:$M$273,3,FALSE))</f>
        <v>Les Auges de Neirivue</v>
      </c>
      <c r="C52" s="1028" t="str">
        <f>IF(VLOOKUP(A52,'Données de base - Grunddaten'!$A$2:$M$273,4,FALSE)="","",VLOOKUP(A52,'Données de base - Grunddaten'!$A$2:$M$273,4,FALSE))</f>
        <v>La Sarine</v>
      </c>
      <c r="D52" s="1028" t="str">
        <f>IF(VLOOKUP(A52,'Données de base - Grunddaten'!$A$2:$M$273,5,FALSE)="","",VLOOKUP(A52,'Données de base - Grunddaten'!$A$2:$M$273,5,FALSE))</f>
        <v>FR</v>
      </c>
      <c r="E52" s="647" t="s">
        <v>45</v>
      </c>
      <c r="F52" s="634"/>
      <c r="G52" s="635"/>
      <c r="H52" s="995" t="s">
        <v>45</v>
      </c>
      <c r="I52" s="1048" t="s">
        <v>48</v>
      </c>
      <c r="J52" s="984" t="s">
        <v>45</v>
      </c>
      <c r="K52" s="1052"/>
      <c r="L52" s="1021"/>
      <c r="M52" s="1027" t="s">
        <v>1367</v>
      </c>
      <c r="N52" s="1011"/>
      <c r="O52" s="1012"/>
      <c r="P52" s="1062"/>
      <c r="Q52" s="996" t="s">
        <v>45</v>
      </c>
      <c r="R52" s="1115" t="str">
        <f>IF(VLOOKUP(A52,'Eclusée - Schwall-Sunk'!$A$2:$F$273,5,FALSE)="","",VLOOKUP(A52,'Eclusée - Schwall-Sunk'!$A$2:$F$273,5,FALSE))</f>
        <v>force hydraulique</v>
      </c>
      <c r="S52" s="1126" t="str">
        <f>IF(VLOOKUP(A52,'Eclusée - Schwall-Sunk'!$A$2:$F$273,6,FALSE)="","",VLOOKUP(A52,'Eclusée - Schwall-Sunk'!$A$2:$F$273,6,FALSE))</f>
        <v>Potentiellement affecté / möglicherweise betroffen</v>
      </c>
      <c r="T52" s="1123"/>
      <c r="U52" s="572"/>
      <c r="V52" s="572"/>
    </row>
    <row r="53" spans="1:22" ht="35.25" customHeight="1" x14ac:dyDescent="0.25">
      <c r="A53" s="926">
        <v>68</v>
      </c>
      <c r="B53" s="1028" t="str">
        <f>IF(VLOOKUP(A53,'Données de base - Grunddaten'!$A$2:$M$273,3,FALSE)="","",VLOOKUP(A53,'Données de base - Grunddaten'!$A$2:$M$273,3,FALSE))</f>
        <v>La Sarine près Château-d'Oex</v>
      </c>
      <c r="C53" s="1028" t="str">
        <f>IF(VLOOKUP(A53,'Données de base - Grunddaten'!$A$2:$M$273,4,FALSE)="","",VLOOKUP(A53,'Données de base - Grunddaten'!$A$2:$M$273,4,FALSE))</f>
        <v>La Sarine</v>
      </c>
      <c r="D53" s="1028" t="str">
        <f>IF(VLOOKUP(A53,'Données de base - Grunddaten'!$A$2:$M$273,5,FALSE)="","",VLOOKUP(A53,'Données de base - Grunddaten'!$A$2:$M$273,5,FALSE))</f>
        <v>VD</v>
      </c>
      <c r="E53" s="647" t="s">
        <v>45</v>
      </c>
      <c r="F53" s="634"/>
      <c r="G53" s="635"/>
      <c r="H53" s="995" t="s">
        <v>45</v>
      </c>
      <c r="I53" s="1048" t="s">
        <v>48</v>
      </c>
      <c r="J53" s="984" t="s">
        <v>45</v>
      </c>
      <c r="K53" s="1052"/>
      <c r="L53" s="1022"/>
      <c r="M53" s="1022"/>
      <c r="N53" s="1011"/>
      <c r="O53" s="1012"/>
      <c r="P53" s="1063"/>
      <c r="Q53" s="996" t="s">
        <v>45</v>
      </c>
      <c r="R53" s="1115" t="str">
        <f>IF(VLOOKUP(A53,'Eclusée - Schwall-Sunk'!$A$2:$F$273,5,FALSE)="","",VLOOKUP(A53,'Eclusée - Schwall-Sunk'!$A$2:$F$273,5,FALSE))</f>
        <v>force hydraulique</v>
      </c>
      <c r="S53" s="1126" t="str">
        <f>IF(VLOOKUP(A53,'Eclusée - Schwall-Sunk'!$A$2:$F$273,6,FALSE)="","",VLOOKUP(A53,'Eclusée - Schwall-Sunk'!$A$2:$F$273,6,FALSE))</f>
        <v>Potentiellement affecté / möglicherweise betroffen</v>
      </c>
      <c r="T53" s="1123"/>
      <c r="U53" s="572"/>
      <c r="V53" s="572"/>
    </row>
    <row r="54" spans="1:22" ht="35.25" customHeight="1" x14ac:dyDescent="0.25">
      <c r="A54" s="928">
        <v>69</v>
      </c>
      <c r="B54" s="1028" t="str">
        <f>IF(VLOOKUP(A54,'Données de base - Grunddaten'!$A$2:$M$273,3,FALSE)="","",VLOOKUP(A54,'Données de base - Grunddaten'!$A$2:$M$273,3,FALSE))</f>
        <v>Belper Giessen</v>
      </c>
      <c r="C54" s="1028" t="str">
        <f>IF(VLOOKUP(A54,'Données de base - Grunddaten'!$A$2:$M$273,4,FALSE)="","",VLOOKUP(A54,'Données de base - Grunddaten'!$A$2:$M$273,4,FALSE))</f>
        <v>Aare</v>
      </c>
      <c r="D54" s="1028" t="str">
        <f>IF(VLOOKUP(A54,'Données de base - Grunddaten'!$A$2:$M$273,5,FALSE)="","",VLOOKUP(A54,'Données de base - Grunddaten'!$A$2:$M$273,5,FALSE))</f>
        <v>BE</v>
      </c>
      <c r="E54" s="647" t="s">
        <v>45</v>
      </c>
      <c r="F54" s="634"/>
      <c r="G54" s="635"/>
      <c r="H54" s="995" t="s">
        <v>45</v>
      </c>
      <c r="I54" s="1048" t="s">
        <v>48</v>
      </c>
      <c r="J54" s="984" t="s">
        <v>45</v>
      </c>
      <c r="K54" s="1052"/>
      <c r="L54" s="1021"/>
      <c r="M54" s="1021"/>
      <c r="N54" s="1011"/>
      <c r="O54" s="1012"/>
      <c r="P54" s="1062"/>
      <c r="Q54" s="996" t="s">
        <v>45</v>
      </c>
      <c r="R54" s="1115" t="str">
        <f>IF(VLOOKUP(A54,'Eclusée - Schwall-Sunk'!$A$2:$F$273,5,FALSE)="","",VLOOKUP(A54,'Eclusée - Schwall-Sunk'!$A$2:$F$273,5,FALSE))</f>
        <v>force hydraulique</v>
      </c>
      <c r="S54" s="1126" t="str">
        <f>IF(VLOOKUP(A54,'Eclusée - Schwall-Sunk'!$A$2:$F$273,6,FALSE)="","",VLOOKUP(A54,'Eclusée - Schwall-Sunk'!$A$2:$F$273,6,FALSE))</f>
        <v>Non affecté / nicht betroffen</v>
      </c>
      <c r="T54" s="1123"/>
      <c r="U54" s="572"/>
      <c r="V54" s="572"/>
    </row>
    <row r="55" spans="1:22" ht="35.25" customHeight="1" x14ac:dyDescent="0.25">
      <c r="A55" s="926">
        <v>70</v>
      </c>
      <c r="B55" s="1028" t="str">
        <f>IF(VLOOKUP(A55,'Données de base - Grunddaten'!$A$2:$M$273,3,FALSE)="","",VLOOKUP(A55,'Données de base - Grunddaten'!$A$2:$M$273,3,FALSE))</f>
        <v>Chandergrien</v>
      </c>
      <c r="C55" s="1028" t="str">
        <f>IF(VLOOKUP(A55,'Données de base - Grunddaten'!$A$2:$M$273,4,FALSE)="","",VLOOKUP(A55,'Données de base - Grunddaten'!$A$2:$M$273,4,FALSE))</f>
        <v>Kander, Thunersee</v>
      </c>
      <c r="D55" s="1028" t="str">
        <f>IF(VLOOKUP(A55,'Données de base - Grunddaten'!$A$2:$M$273,5,FALSE)="","",VLOOKUP(A55,'Données de base - Grunddaten'!$A$2:$M$273,5,FALSE))</f>
        <v>BE</v>
      </c>
      <c r="E55" s="647" t="s">
        <v>730</v>
      </c>
      <c r="F55" s="634"/>
      <c r="G55" s="635"/>
      <c r="H55" s="995" t="s">
        <v>730</v>
      </c>
      <c r="I55" s="1002" t="s">
        <v>1337</v>
      </c>
      <c r="J55" s="986" t="s">
        <v>730</v>
      </c>
      <c r="K55" s="1052"/>
      <c r="L55" s="1021"/>
      <c r="M55" s="1021"/>
      <c r="N55" s="1017" t="s">
        <v>1352</v>
      </c>
      <c r="O55" s="1018" t="s">
        <v>1353</v>
      </c>
      <c r="P55" s="1065"/>
      <c r="Q55" s="995" t="s">
        <v>730</v>
      </c>
      <c r="R55" s="1115" t="str">
        <f>IF(VLOOKUP(A55,'Eclusée - Schwall-Sunk'!$A$2:$F$273,5,FALSE)="","",VLOOKUP(A55,'Eclusée - Schwall-Sunk'!$A$2:$F$273,5,FALSE))</f>
        <v>force hydraulique</v>
      </c>
      <c r="S55" s="1126" t="str">
        <f>IF(VLOOKUP(A55,'Eclusée - Schwall-Sunk'!$A$2:$F$273,6,FALSE)="","",VLOOKUP(A55,'Eclusée - Schwall-Sunk'!$A$2:$F$273,6,FALSE))</f>
        <v>Non affecté / nicht betroffen</v>
      </c>
      <c r="T55" s="1123"/>
      <c r="U55" s="572"/>
      <c r="V55" s="572"/>
    </row>
    <row r="56" spans="1:22" ht="35.25" customHeight="1" x14ac:dyDescent="0.25">
      <c r="A56" s="926">
        <v>71</v>
      </c>
      <c r="B56" s="1028" t="str">
        <f>IF(VLOOKUP(A56,'Données de base - Grunddaten'!$A$2:$M$273,3,FALSE)="","",VLOOKUP(A56,'Données de base - Grunddaten'!$A$2:$M$273,3,FALSE))</f>
        <v>Augand</v>
      </c>
      <c r="C56" s="1028" t="str">
        <f>IF(VLOOKUP(A56,'Données de base - Grunddaten'!$A$2:$M$273,4,FALSE)="","",VLOOKUP(A56,'Données de base - Grunddaten'!$A$2:$M$273,4,FALSE))</f>
        <v>Kander, Simme</v>
      </c>
      <c r="D56" s="1028" t="str">
        <f>IF(VLOOKUP(A56,'Données de base - Grunddaten'!$A$2:$M$273,5,FALSE)="","",VLOOKUP(A56,'Données de base - Grunddaten'!$A$2:$M$273,5,FALSE))</f>
        <v>BE</v>
      </c>
      <c r="E56" s="647" t="s">
        <v>730</v>
      </c>
      <c r="F56" s="634"/>
      <c r="G56" s="635"/>
      <c r="H56" s="995" t="s">
        <v>730</v>
      </c>
      <c r="I56" s="1002" t="s">
        <v>1354</v>
      </c>
      <c r="J56" s="984" t="s">
        <v>730</v>
      </c>
      <c r="K56" s="1052"/>
      <c r="L56" s="1021"/>
      <c r="M56" s="1021"/>
      <c r="N56" s="1017" t="s">
        <v>1514</v>
      </c>
      <c r="O56" s="1018" t="s">
        <v>1353</v>
      </c>
      <c r="P56" s="1065"/>
      <c r="Q56" s="996" t="s">
        <v>730</v>
      </c>
      <c r="R56" s="1115" t="str">
        <f>IF(VLOOKUP(A56,'Eclusée - Schwall-Sunk'!$A$2:$F$273,5,FALSE)="","",VLOOKUP(A56,'Eclusée - Schwall-Sunk'!$A$2:$F$273,5,FALSE))</f>
        <v>force hydraulique</v>
      </c>
      <c r="S56" s="1126" t="str">
        <f>IF(VLOOKUP(A56,'Eclusée - Schwall-Sunk'!$A$2:$F$273,6,FALSE)="","",VLOOKUP(A56,'Eclusée - Schwall-Sunk'!$A$2:$F$273,6,FALSE))</f>
        <v>Non affecté / nicht betroffen</v>
      </c>
      <c r="T56" s="1123"/>
      <c r="U56" s="572"/>
      <c r="V56" s="572"/>
    </row>
    <row r="57" spans="1:22" ht="35.25" customHeight="1" x14ac:dyDescent="0.25">
      <c r="A57" s="926">
        <v>72</v>
      </c>
      <c r="B57" s="1028" t="str">
        <f>IF(VLOOKUP(A57,'Données de base - Grunddaten'!$A$2:$M$273,3,FALSE)="","",VLOOKUP(A57,'Données de base - Grunddaten'!$A$2:$M$273,3,FALSE))</f>
        <v>Heustrich</v>
      </c>
      <c r="C57" s="1028" t="str">
        <f>IF(VLOOKUP(A57,'Données de base - Grunddaten'!$A$2:$M$273,4,FALSE)="","",VLOOKUP(A57,'Données de base - Grunddaten'!$A$2:$M$273,4,FALSE))</f>
        <v>Kander</v>
      </c>
      <c r="D57" s="1028" t="str">
        <f>IF(VLOOKUP(A57,'Données de base - Grunddaten'!$A$2:$M$273,5,FALSE)="","",VLOOKUP(A57,'Données de base - Grunddaten'!$A$2:$M$273,5,FALSE))</f>
        <v>BE</v>
      </c>
      <c r="E57" s="647" t="s">
        <v>746</v>
      </c>
      <c r="F57" s="636" t="s">
        <v>1345</v>
      </c>
      <c r="G57" s="637" t="s">
        <v>1345</v>
      </c>
      <c r="H57" s="995" t="s">
        <v>746</v>
      </c>
      <c r="I57" s="1048" t="s">
        <v>48</v>
      </c>
      <c r="J57" s="985" t="s">
        <v>746</v>
      </c>
      <c r="K57" s="1052"/>
      <c r="L57" s="1021"/>
      <c r="M57" s="1021"/>
      <c r="N57" s="1011"/>
      <c r="O57" s="1012"/>
      <c r="P57" s="1062"/>
      <c r="Q57" s="997" t="s">
        <v>746</v>
      </c>
      <c r="R57" s="1115" t="str">
        <f>IF(VLOOKUP(A57,'Eclusée - Schwall-Sunk'!$A$2:$F$273,5,FALSE)="","",VLOOKUP(A57,'Eclusée - Schwall-Sunk'!$A$2:$F$273,5,FALSE))</f>
        <v/>
      </c>
      <c r="S57" s="1126" t="str">
        <f>IF(VLOOKUP(A57,'Eclusée - Schwall-Sunk'!$A$2:$F$273,6,FALSE)="","",VLOOKUP(A57,'Eclusée - Schwall-Sunk'!$A$2:$F$273,6,FALSE))</f>
        <v>Non affecté / nicht betroffen</v>
      </c>
      <c r="T57" s="1123"/>
      <c r="U57" s="572"/>
      <c r="V57" s="572"/>
    </row>
    <row r="58" spans="1:22" ht="38.25" x14ac:dyDescent="0.25">
      <c r="A58" s="926">
        <v>74</v>
      </c>
      <c r="B58" s="1028" t="str">
        <f>IF(VLOOKUP(A58,'Données de base - Grunddaten'!$A$2:$M$273,3,FALSE)="","",VLOOKUP(A58,'Données de base - Grunddaten'!$A$2:$M$273,3,FALSE))</f>
        <v>Gastereholz</v>
      </c>
      <c r="C58" s="1028" t="str">
        <f>IF(VLOOKUP(A58,'Données de base - Grunddaten'!$A$2:$M$273,4,FALSE)="","",VLOOKUP(A58,'Données de base - Grunddaten'!$A$2:$M$273,4,FALSE))</f>
        <v>Kander</v>
      </c>
      <c r="D58" s="1028" t="str">
        <f>IF(VLOOKUP(A58,'Données de base - Grunddaten'!$A$2:$M$273,5,FALSE)="","",VLOOKUP(A58,'Données de base - Grunddaten'!$A$2:$M$273,5,FALSE))</f>
        <v>BE</v>
      </c>
      <c r="E58" s="647" t="s">
        <v>746</v>
      </c>
      <c r="F58" s="636" t="s">
        <v>1345</v>
      </c>
      <c r="G58" s="637" t="s">
        <v>1345</v>
      </c>
      <c r="H58" s="995" t="s">
        <v>746</v>
      </c>
      <c r="I58" s="1048" t="s">
        <v>48</v>
      </c>
      <c r="J58" s="984" t="s">
        <v>746</v>
      </c>
      <c r="K58" s="1052"/>
      <c r="L58" s="1021"/>
      <c r="M58" s="1021"/>
      <c r="N58" s="1011"/>
      <c r="O58" s="1012"/>
      <c r="P58" s="1062"/>
      <c r="Q58" s="996" t="s">
        <v>746</v>
      </c>
      <c r="R58" s="1115" t="str">
        <f>IF(VLOOKUP(A58,'Eclusée - Schwall-Sunk'!$A$2:$F$273,5,FALSE)="","",VLOOKUP(A58,'Eclusée - Schwall-Sunk'!$A$2:$F$273,5,FALSE))</f>
        <v/>
      </c>
      <c r="S58" s="1126" t="str">
        <f>IF(VLOOKUP(A58,'Eclusée - Schwall-Sunk'!$A$2:$F$273,6,FALSE)="","",VLOOKUP(A58,'Eclusée - Schwall-Sunk'!$A$2:$F$273,6,FALSE))</f>
        <v>Non affecté / nicht betroffen</v>
      </c>
      <c r="T58" s="1123"/>
      <c r="U58" s="572"/>
      <c r="V58" s="572"/>
    </row>
    <row r="59" spans="1:22" ht="35.25" customHeight="1" x14ac:dyDescent="0.25">
      <c r="A59" s="926">
        <v>75</v>
      </c>
      <c r="B59" s="1028" t="str">
        <f>IF(VLOOKUP(A59,'Données de base - Grunddaten'!$A$2:$M$273,3,FALSE)="","",VLOOKUP(A59,'Données de base - Grunddaten'!$A$2:$M$273,3,FALSE))</f>
        <v>Brünnlisau</v>
      </c>
      <c r="C59" s="1028" t="str">
        <f>IF(VLOOKUP(A59,'Données de base - Grunddaten'!$A$2:$M$273,4,FALSE)="","",VLOOKUP(A59,'Données de base - Grunddaten'!$A$2:$M$273,4,FALSE))</f>
        <v>Simme</v>
      </c>
      <c r="D59" s="1028" t="str">
        <f>IF(VLOOKUP(A59,'Données de base - Grunddaten'!$A$2:$M$273,5,FALSE)="","",VLOOKUP(A59,'Données de base - Grunddaten'!$A$2:$M$273,5,FALSE))</f>
        <v>BE</v>
      </c>
      <c r="E59" s="647" t="s">
        <v>88</v>
      </c>
      <c r="F59" s="634"/>
      <c r="G59" s="638"/>
      <c r="H59" s="995" t="s">
        <v>88</v>
      </c>
      <c r="I59" s="1002" t="s">
        <v>1355</v>
      </c>
      <c r="J59" s="984" t="s">
        <v>88</v>
      </c>
      <c r="K59" s="1052"/>
      <c r="L59" s="1021"/>
      <c r="M59" s="1021"/>
      <c r="N59" s="1017" t="s">
        <v>1356</v>
      </c>
      <c r="O59" s="1018" t="s">
        <v>1357</v>
      </c>
      <c r="P59" s="1065"/>
      <c r="Q59" s="996" t="s">
        <v>88</v>
      </c>
      <c r="R59" s="1115" t="str">
        <f>IF(VLOOKUP(A59,'Eclusée - Schwall-Sunk'!$A$2:$F$273,5,FALSE)="","",VLOOKUP(A59,'Eclusée - Schwall-Sunk'!$A$2:$F$273,5,FALSE))</f>
        <v>force hydraulique</v>
      </c>
      <c r="S59" s="1126" t="str">
        <f>IF(VLOOKUP(A59,'Eclusée - Schwall-Sunk'!$A$2:$F$273,6,FALSE)="","",VLOOKUP(A59,'Eclusée - Schwall-Sunk'!$A$2:$F$273,6,FALSE))</f>
        <v>Non affecté / nicht betroffen</v>
      </c>
      <c r="T59" s="1123"/>
      <c r="U59" s="572"/>
      <c r="V59" s="572"/>
    </row>
    <row r="60" spans="1:22" ht="35.25" customHeight="1" x14ac:dyDescent="0.25">
      <c r="A60" s="926">
        <v>76</v>
      </c>
      <c r="B60" s="1028" t="str">
        <f>IF(VLOOKUP(A60,'Données de base - Grunddaten'!$A$2:$M$273,3,FALSE)="","",VLOOKUP(A60,'Données de base - Grunddaten'!$A$2:$M$273,3,FALSE))</f>
        <v>Wilerau</v>
      </c>
      <c r="C60" s="1028" t="str">
        <f>IF(VLOOKUP(A60,'Données de base - Grunddaten'!$A$2:$M$273,4,FALSE)="","",VLOOKUP(A60,'Données de base - Grunddaten'!$A$2:$M$273,4,FALSE))</f>
        <v>Simme</v>
      </c>
      <c r="D60" s="1028" t="str">
        <f>IF(VLOOKUP(A60,'Données de base - Grunddaten'!$A$2:$M$273,5,FALSE)="","",VLOOKUP(A60,'Données de base - Grunddaten'!$A$2:$M$273,5,FALSE))</f>
        <v>BE</v>
      </c>
      <c r="E60" s="647" t="s">
        <v>88</v>
      </c>
      <c r="F60" s="634"/>
      <c r="G60" s="638"/>
      <c r="H60" s="995" t="s">
        <v>88</v>
      </c>
      <c r="I60" s="1002" t="s">
        <v>1355</v>
      </c>
      <c r="J60" s="984" t="s">
        <v>88</v>
      </c>
      <c r="K60" s="1052"/>
      <c r="L60" s="1021"/>
      <c r="M60" s="1021"/>
      <c r="N60" s="1017" t="s">
        <v>1356</v>
      </c>
      <c r="O60" s="1018" t="s">
        <v>1357</v>
      </c>
      <c r="P60" s="1065"/>
      <c r="Q60" s="996" t="s">
        <v>88</v>
      </c>
      <c r="R60" s="1115" t="str">
        <f>IF(VLOOKUP(A60,'Eclusée - Schwall-Sunk'!$A$2:$F$273,5,FALSE)="","",VLOOKUP(A60,'Eclusée - Schwall-Sunk'!$A$2:$F$273,5,FALSE))</f>
        <v>force hydraulique</v>
      </c>
      <c r="S60" s="1126" t="str">
        <f>IF(VLOOKUP(A60,'Eclusée - Schwall-Sunk'!$A$2:$F$273,6,FALSE)="","",VLOOKUP(A60,'Eclusée - Schwall-Sunk'!$A$2:$F$273,6,FALSE))</f>
        <v>Non affecté / nicht betroffen</v>
      </c>
      <c r="T60" s="1123"/>
      <c r="U60" s="572"/>
      <c r="V60" s="572"/>
    </row>
    <row r="61" spans="1:22" ht="35.25" customHeight="1" x14ac:dyDescent="0.25">
      <c r="A61" s="926">
        <v>77</v>
      </c>
      <c r="B61" s="1028" t="str">
        <f>IF(VLOOKUP(A61,'Données de base - Grunddaten'!$A$2:$M$273,3,FALSE)="","",VLOOKUP(A61,'Données de base - Grunddaten'!$A$2:$M$273,3,FALSE))</f>
        <v>Niedermettlisau</v>
      </c>
      <c r="C61" s="1028" t="str">
        <f>IF(VLOOKUP(A61,'Données de base - Grunddaten'!$A$2:$M$273,4,FALSE)="","",VLOOKUP(A61,'Données de base - Grunddaten'!$A$2:$M$273,4,FALSE))</f>
        <v>Simme</v>
      </c>
      <c r="D61" s="1028" t="str">
        <f>IF(VLOOKUP(A61,'Données de base - Grunddaten'!$A$2:$M$273,5,FALSE)="","",VLOOKUP(A61,'Données de base - Grunddaten'!$A$2:$M$273,5,FALSE))</f>
        <v>BE</v>
      </c>
      <c r="E61" s="647" t="s">
        <v>746</v>
      </c>
      <c r="F61" s="636" t="s">
        <v>1345</v>
      </c>
      <c r="G61" s="637" t="s">
        <v>1345</v>
      </c>
      <c r="H61" s="995" t="s">
        <v>746</v>
      </c>
      <c r="I61" s="1048" t="s">
        <v>48</v>
      </c>
      <c r="J61" s="984" t="s">
        <v>746</v>
      </c>
      <c r="K61" s="1052"/>
      <c r="L61" s="1021"/>
      <c r="M61" s="1021"/>
      <c r="N61" s="1011"/>
      <c r="O61" s="1012"/>
      <c r="P61" s="1062"/>
      <c r="Q61" s="996" t="s">
        <v>746</v>
      </c>
      <c r="R61" s="1115" t="str">
        <f>IF(VLOOKUP(A61,'Eclusée - Schwall-Sunk'!$A$2:$F$273,5,FALSE)="","",VLOOKUP(A61,'Eclusée - Schwall-Sunk'!$A$2:$F$273,5,FALSE))</f>
        <v/>
      </c>
      <c r="S61" s="1126" t="str">
        <f>IF(VLOOKUP(A61,'Eclusée - Schwall-Sunk'!$A$2:$F$273,6,FALSE)="","",VLOOKUP(A61,'Eclusée - Schwall-Sunk'!$A$2:$F$273,6,FALSE))</f>
        <v>Non affecté / nicht betroffen</v>
      </c>
      <c r="T61" s="1123"/>
      <c r="U61" s="572"/>
      <c r="V61" s="572"/>
    </row>
    <row r="62" spans="1:22" ht="35.25" customHeight="1" x14ac:dyDescent="0.25">
      <c r="A62" s="926">
        <v>78</v>
      </c>
      <c r="B62" s="1028" t="str">
        <f>IF(VLOOKUP(A62,'Données de base - Grunddaten'!$A$2:$M$273,3,FALSE)="","",VLOOKUP(A62,'Données de base - Grunddaten'!$A$2:$M$273,3,FALSE))</f>
        <v>Engstlige: Bim Stei–Oybedly</v>
      </c>
      <c r="C62" s="1028" t="str">
        <f>IF(VLOOKUP(A62,'Données de base - Grunddaten'!$A$2:$M$273,4,FALSE)="","",VLOOKUP(A62,'Données de base - Grunddaten'!$A$2:$M$273,4,FALSE))</f>
        <v>Engstlige</v>
      </c>
      <c r="D62" s="1028" t="str">
        <f>IF(VLOOKUP(A62,'Données de base - Grunddaten'!$A$2:$M$273,5,FALSE)="","",VLOOKUP(A62,'Données de base - Grunddaten'!$A$2:$M$273,5,FALSE))</f>
        <v>BE</v>
      </c>
      <c r="E62" s="647" t="s">
        <v>746</v>
      </c>
      <c r="F62" s="636" t="s">
        <v>1345</v>
      </c>
      <c r="G62" s="637" t="s">
        <v>1345</v>
      </c>
      <c r="H62" s="995" t="s">
        <v>746</v>
      </c>
      <c r="I62" s="1048" t="s">
        <v>48</v>
      </c>
      <c r="J62" s="984" t="s">
        <v>746</v>
      </c>
      <c r="K62" s="1052"/>
      <c r="L62" s="1021"/>
      <c r="M62" s="1021"/>
      <c r="N62" s="1011"/>
      <c r="O62" s="1012"/>
      <c r="P62" s="1062"/>
      <c r="Q62" s="996" t="s">
        <v>746</v>
      </c>
      <c r="R62" s="1115" t="str">
        <f>IF(VLOOKUP(A62,'Eclusée - Schwall-Sunk'!$A$2:$F$273,5,FALSE)="","",VLOOKUP(A62,'Eclusée - Schwall-Sunk'!$A$2:$F$273,5,FALSE))</f>
        <v/>
      </c>
      <c r="S62" s="1126" t="str">
        <f>IF(VLOOKUP(A62,'Eclusée - Schwall-Sunk'!$A$2:$F$273,6,FALSE)="","",VLOOKUP(A62,'Eclusée - Schwall-Sunk'!$A$2:$F$273,6,FALSE))</f>
        <v>Non affecté / nicht betroffen</v>
      </c>
      <c r="T62" s="1123"/>
      <c r="U62" s="572"/>
      <c r="V62" s="572"/>
    </row>
    <row r="63" spans="1:22" ht="35.25" customHeight="1" x14ac:dyDescent="0.25">
      <c r="A63" s="927">
        <v>79.099999999999994</v>
      </c>
      <c r="B63" s="1028" t="str">
        <f>IF(VLOOKUP(A63,'Données de base - Grunddaten'!$A$2:$M$273,3,FALSE)="","",VLOOKUP(A63,'Données de base - Grunddaten'!$A$2:$M$273,3,FALSE))</f>
        <v>Weissenau</v>
      </c>
      <c r="C63" s="1028" t="str">
        <f>IF(VLOOKUP(A63,'Données de base - Grunddaten'!$A$2:$M$273,4,FALSE)="","",VLOOKUP(A63,'Données de base - Grunddaten'!$A$2:$M$273,4,FALSE))</f>
        <v>Aare, Thunersee</v>
      </c>
      <c r="D63" s="1028" t="str">
        <f>IF(VLOOKUP(A63,'Données de base - Grunddaten'!$A$2:$M$273,5,FALSE)="","",VLOOKUP(A63,'Données de base - Grunddaten'!$A$2:$M$273,5,FALSE))</f>
        <v>BE</v>
      </c>
      <c r="E63" s="647" t="s">
        <v>730</v>
      </c>
      <c r="F63" s="634"/>
      <c r="G63" s="638"/>
      <c r="H63" s="995" t="s">
        <v>730</v>
      </c>
      <c r="I63" s="1002" t="s">
        <v>1334</v>
      </c>
      <c r="J63" s="984" t="s">
        <v>730</v>
      </c>
      <c r="K63" s="1052"/>
      <c r="L63" s="1021"/>
      <c r="M63" s="1021"/>
      <c r="N63" s="1017" t="s">
        <v>1358</v>
      </c>
      <c r="O63" s="1018" t="s">
        <v>1359</v>
      </c>
      <c r="P63" s="1065"/>
      <c r="Q63" s="996" t="s">
        <v>730</v>
      </c>
      <c r="R63" s="1115" t="str">
        <f>IF(VLOOKUP(A63,'Eclusée - Schwall-Sunk'!$A$2:$F$273,5,FALSE)="","",VLOOKUP(A63,'Eclusée - Schwall-Sunk'!$A$2:$F$273,5,FALSE))</f>
        <v>force hydraulique</v>
      </c>
      <c r="S63" s="1126" t="str">
        <f>IF(VLOOKUP(A63,'Eclusée - Schwall-Sunk'!$A$2:$F$273,6,FALSE)="","",VLOOKUP(A63,'Eclusée - Schwall-Sunk'!$A$2:$F$273,6,FALSE))</f>
        <v>Non affecté / nicht betroffen</v>
      </c>
      <c r="T63" s="1123"/>
      <c r="U63" s="572"/>
      <c r="V63" s="572"/>
    </row>
    <row r="64" spans="1:22" ht="35.25" customHeight="1" x14ac:dyDescent="0.25">
      <c r="A64" s="927">
        <v>79.2</v>
      </c>
      <c r="B64" s="1028" t="str">
        <f>IF(VLOOKUP(A64,'Données de base - Grunddaten'!$A$2:$M$273,3,FALSE)="","",VLOOKUP(A64,'Données de base - Grunddaten'!$A$2:$M$273,3,FALSE))</f>
        <v>Weissenau</v>
      </c>
      <c r="C64" s="1028" t="str">
        <f>IF(VLOOKUP(A64,'Données de base - Grunddaten'!$A$2:$M$273,4,FALSE)="","",VLOOKUP(A64,'Données de base - Grunddaten'!$A$2:$M$273,4,FALSE))</f>
        <v>Aare, Thunersee</v>
      </c>
      <c r="D64" s="1028" t="str">
        <f>IF(VLOOKUP(A64,'Données de base - Grunddaten'!$A$2:$M$273,5,FALSE)="","",VLOOKUP(A64,'Données de base - Grunddaten'!$A$2:$M$273,5,FALSE))</f>
        <v>BE</v>
      </c>
      <c r="E64" s="647" t="s">
        <v>51</v>
      </c>
      <c r="F64" s="634"/>
      <c r="G64" s="638"/>
      <c r="H64" s="995" t="s">
        <v>53</v>
      </c>
      <c r="I64" s="1048" t="s">
        <v>48</v>
      </c>
      <c r="J64" s="984" t="s">
        <v>53</v>
      </c>
      <c r="K64" s="1052"/>
      <c r="L64" s="1021"/>
      <c r="M64" s="1021"/>
      <c r="N64" s="1011"/>
      <c r="O64" s="1012"/>
      <c r="P64" s="1062"/>
      <c r="Q64" s="1095" t="s">
        <v>53</v>
      </c>
      <c r="R64" s="1115" t="str">
        <f>IF(VLOOKUP(A64,'Eclusée - Schwall-Sunk'!$A$2:$F$273,5,FALSE)="","",VLOOKUP(A64,'Eclusée - Schwall-Sunk'!$A$2:$F$273,5,FALSE))</f>
        <v/>
      </c>
      <c r="S64" s="1126" t="str">
        <f>IF(VLOOKUP(A64,'Eclusée - Schwall-Sunk'!$A$2:$F$273,6,FALSE)="","",VLOOKUP(A64,'Eclusée - Schwall-Sunk'!$A$2:$F$273,6,FALSE))</f>
        <v>Non affecté / nicht betroffen</v>
      </c>
      <c r="T64" s="1123"/>
      <c r="U64" s="572"/>
      <c r="V64" s="572"/>
    </row>
    <row r="65" spans="1:22" ht="35.25" customHeight="1" x14ac:dyDescent="0.25">
      <c r="A65" s="926">
        <v>80</v>
      </c>
      <c r="B65" s="1028" t="str">
        <f>IF(VLOOKUP(A65,'Données de base - Grunddaten'!$A$2:$M$273,3,FALSE)="","",VLOOKUP(A65,'Données de base - Grunddaten'!$A$2:$M$273,3,FALSE))</f>
        <v>Chappelistutz</v>
      </c>
      <c r="C65" s="1028" t="str">
        <f>IF(VLOOKUP(A65,'Données de base - Grunddaten'!$A$2:$M$273,4,FALSE)="","",VLOOKUP(A65,'Données de base - Grunddaten'!$A$2:$M$273,4,FALSE))</f>
        <v>Lütschine</v>
      </c>
      <c r="D65" s="1028" t="str">
        <f>IF(VLOOKUP(A65,'Données de base - Grunddaten'!$A$2:$M$273,5,FALSE)="","",VLOOKUP(A65,'Données de base - Grunddaten'!$A$2:$M$273,5,FALSE))</f>
        <v>BE</v>
      </c>
      <c r="E65" s="647" t="s">
        <v>746</v>
      </c>
      <c r="F65" s="636" t="s">
        <v>1345</v>
      </c>
      <c r="G65" s="637" t="s">
        <v>1345</v>
      </c>
      <c r="H65" s="995" t="s">
        <v>746</v>
      </c>
      <c r="I65" s="1048" t="s">
        <v>48</v>
      </c>
      <c r="J65" s="984" t="s">
        <v>746</v>
      </c>
      <c r="K65" s="1052"/>
      <c r="L65" s="1021"/>
      <c r="M65" s="1021"/>
      <c r="N65" s="1011"/>
      <c r="O65" s="1012"/>
      <c r="P65" s="1062"/>
      <c r="Q65" s="996" t="s">
        <v>746</v>
      </c>
      <c r="R65" s="1115" t="str">
        <f>IF(VLOOKUP(A65,'Eclusée - Schwall-Sunk'!$A$2:$F$273,5,FALSE)="","",VLOOKUP(A65,'Eclusée - Schwall-Sunk'!$A$2:$F$273,5,FALSE))</f>
        <v/>
      </c>
      <c r="S65" s="1126" t="str">
        <f>IF(VLOOKUP(A65,'Eclusée - Schwall-Sunk'!$A$2:$F$273,6,FALSE)="","",VLOOKUP(A65,'Eclusée - Schwall-Sunk'!$A$2:$F$273,6,FALSE))</f>
        <v>Non affecté / nicht betroffen</v>
      </c>
      <c r="T65" s="1123"/>
      <c r="U65" s="572"/>
      <c r="V65" s="572"/>
    </row>
    <row r="66" spans="1:22" ht="35.25" customHeight="1" x14ac:dyDescent="0.25">
      <c r="A66" s="926">
        <v>81</v>
      </c>
      <c r="B66" s="1028" t="str">
        <f>IF(VLOOKUP(A66,'Données de base - Grunddaten'!$A$2:$M$273,3,FALSE)="","",VLOOKUP(A66,'Données de base - Grunddaten'!$A$2:$M$273,3,FALSE))</f>
        <v>In Erlen</v>
      </c>
      <c r="C66" s="1028" t="str">
        <f>IF(VLOOKUP(A66,'Données de base - Grunddaten'!$A$2:$M$273,4,FALSE)="","",VLOOKUP(A66,'Données de base - Grunddaten'!$A$2:$M$273,4,FALSE))</f>
        <v>Weisse Lütschine, Schwarze Lütschine</v>
      </c>
      <c r="D66" s="1028" t="str">
        <f>IF(VLOOKUP(A66,'Données de base - Grunddaten'!$A$2:$M$273,5,FALSE)="","",VLOOKUP(A66,'Données de base - Grunddaten'!$A$2:$M$273,5,FALSE))</f>
        <v>BE</v>
      </c>
      <c r="E66" s="647" t="s">
        <v>746</v>
      </c>
      <c r="F66" s="636" t="s">
        <v>1345</v>
      </c>
      <c r="G66" s="637" t="s">
        <v>1345</v>
      </c>
      <c r="H66" s="995" t="s">
        <v>746</v>
      </c>
      <c r="I66" s="1048" t="s">
        <v>48</v>
      </c>
      <c r="J66" s="984" t="s">
        <v>746</v>
      </c>
      <c r="K66" s="1052"/>
      <c r="L66" s="1021"/>
      <c r="M66" s="1021"/>
      <c r="N66" s="1011"/>
      <c r="O66" s="1012"/>
      <c r="P66" s="1062"/>
      <c r="Q66" s="996" t="s">
        <v>746</v>
      </c>
      <c r="R66" s="1115" t="str">
        <f>IF(VLOOKUP(A66,'Eclusée - Schwall-Sunk'!$A$2:$F$273,5,FALSE)="","",VLOOKUP(A66,'Eclusée - Schwall-Sunk'!$A$2:$F$273,5,FALSE))</f>
        <v/>
      </c>
      <c r="S66" s="1126" t="str">
        <f>IF(VLOOKUP(A66,'Eclusée - Schwall-Sunk'!$A$2:$F$273,6,FALSE)="","",VLOOKUP(A66,'Eclusée - Schwall-Sunk'!$A$2:$F$273,6,FALSE))</f>
        <v>Non affecté / nicht betroffen</v>
      </c>
      <c r="T66" s="1123"/>
      <c r="U66" s="572"/>
      <c r="V66" s="572"/>
    </row>
    <row r="67" spans="1:22" ht="35.25" customHeight="1" x14ac:dyDescent="0.25">
      <c r="A67" s="926">
        <v>83</v>
      </c>
      <c r="B67" s="1028" t="str">
        <f>IF(VLOOKUP(A67,'Données de base - Grunddaten'!$A$2:$M$273,3,FALSE)="","",VLOOKUP(A67,'Données de base - Grunddaten'!$A$2:$M$273,3,FALSE))</f>
        <v>Jägglisglunte</v>
      </c>
      <c r="C67" s="1028" t="str">
        <f>IF(VLOOKUP(A67,'Données de base - Grunddaten'!$A$2:$M$273,4,FALSE)="","",VLOOKUP(A67,'Données de base - Grunddaten'!$A$2:$M$273,4,FALSE))</f>
        <v>Aare</v>
      </c>
      <c r="D67" s="1028" t="str">
        <f>IF(VLOOKUP(A67,'Données de base - Grunddaten'!$A$2:$M$273,5,FALSE)="","",VLOOKUP(A67,'Données de base - Grunddaten'!$A$2:$M$273,5,FALSE))</f>
        <v>BE</v>
      </c>
      <c r="E67" s="647" t="s">
        <v>45</v>
      </c>
      <c r="F67" s="634"/>
      <c r="G67" s="638"/>
      <c r="H67" s="995" t="s">
        <v>45</v>
      </c>
      <c r="I67" s="1048" t="s">
        <v>48</v>
      </c>
      <c r="J67" s="984" t="s">
        <v>45</v>
      </c>
      <c r="K67" s="1052"/>
      <c r="L67" s="1021"/>
      <c r="M67" s="1021"/>
      <c r="N67" s="1011"/>
      <c r="O67" s="1012"/>
      <c r="P67" s="1062"/>
      <c r="Q67" s="996" t="s">
        <v>45</v>
      </c>
      <c r="R67" s="1115" t="str">
        <f>IF(VLOOKUP(A67,'Eclusée - Schwall-Sunk'!$A$2:$F$273,5,FALSE)="","",VLOOKUP(A67,'Eclusée - Schwall-Sunk'!$A$2:$F$273,5,FALSE))</f>
        <v>force hydraulique</v>
      </c>
      <c r="S67" s="1126" t="str">
        <f>IF(VLOOKUP(A67,'Eclusée - Schwall-Sunk'!$A$2:$F$273,6,FALSE)="","",VLOOKUP(A67,'Eclusée - Schwall-Sunk'!$A$2:$F$273,6,FALSE))</f>
        <v>Potentiellement affecté / möglicherweise betroffen</v>
      </c>
      <c r="T67" s="1123"/>
      <c r="U67" s="572"/>
      <c r="V67" s="572"/>
    </row>
    <row r="68" spans="1:22" ht="35.25" customHeight="1" x14ac:dyDescent="0.25">
      <c r="A68" s="926">
        <v>84</v>
      </c>
      <c r="B68" s="1028" t="str">
        <f>IF(VLOOKUP(A68,'Données de base - Grunddaten'!$A$2:$M$273,3,FALSE)="","",VLOOKUP(A68,'Données de base - Grunddaten'!$A$2:$M$273,3,FALSE))</f>
        <v>Sytenwald</v>
      </c>
      <c r="C68" s="1028" t="str">
        <f>IF(VLOOKUP(A68,'Données de base - Grunddaten'!$A$2:$M$273,4,FALSE)="","",VLOOKUP(A68,'Données de base - Grunddaten'!$A$2:$M$273,4,FALSE))</f>
        <v>Aare</v>
      </c>
      <c r="D68" s="1028" t="str">
        <f>IF(VLOOKUP(A68,'Données de base - Grunddaten'!$A$2:$M$273,5,FALSE)="","",VLOOKUP(A68,'Données de base - Grunddaten'!$A$2:$M$273,5,FALSE))</f>
        <v>BE</v>
      </c>
      <c r="E68" s="647" t="s">
        <v>45</v>
      </c>
      <c r="F68" s="634"/>
      <c r="G68" s="638"/>
      <c r="H68" s="995" t="s">
        <v>45</v>
      </c>
      <c r="I68" s="1048" t="s">
        <v>48</v>
      </c>
      <c r="J68" s="984" t="s">
        <v>45</v>
      </c>
      <c r="K68" s="1052"/>
      <c r="L68" s="1021"/>
      <c r="M68" s="1021"/>
      <c r="N68" s="1011"/>
      <c r="O68" s="1012"/>
      <c r="P68" s="1062"/>
      <c r="Q68" s="996" t="s">
        <v>45</v>
      </c>
      <c r="R68" s="1115" t="str">
        <f>IF(VLOOKUP(A68,'Eclusée - Schwall-Sunk'!$A$2:$F$273,5,FALSE)="","",VLOOKUP(A68,'Eclusée - Schwall-Sunk'!$A$2:$F$273,5,FALSE))</f>
        <v>force hydraulique</v>
      </c>
      <c r="S68" s="1126" t="str">
        <f>IF(VLOOKUP(A68,'Eclusée - Schwall-Sunk'!$A$2:$F$273,6,FALSE)="","",VLOOKUP(A68,'Eclusée - Schwall-Sunk'!$A$2:$F$273,6,FALSE))</f>
        <v>Potentiellement affecté / möglicherweise betroffen</v>
      </c>
      <c r="T68" s="1123"/>
      <c r="U68" s="572"/>
      <c r="V68" s="572"/>
    </row>
    <row r="69" spans="1:22" ht="35.25" customHeight="1" x14ac:dyDescent="0.25">
      <c r="A69" s="926">
        <v>86</v>
      </c>
      <c r="B69" s="1028" t="str">
        <f>IF(VLOOKUP(A69,'Données de base - Grunddaten'!$A$2:$M$273,3,FALSE)="","",VLOOKUP(A69,'Données de base - Grunddaten'!$A$2:$M$273,3,FALSE))</f>
        <v>Sandey</v>
      </c>
      <c r="C69" s="1028" t="str">
        <f>IF(VLOOKUP(A69,'Données de base - Grunddaten'!$A$2:$M$273,4,FALSE)="","",VLOOKUP(A69,'Données de base - Grunddaten'!$A$2:$M$273,4,FALSE))</f>
        <v>Urbachwasser</v>
      </c>
      <c r="D69" s="1028" t="str">
        <f>IF(VLOOKUP(A69,'Données de base - Grunddaten'!$A$2:$M$273,5,FALSE)="","",VLOOKUP(A69,'Données de base - Grunddaten'!$A$2:$M$273,5,FALSE))</f>
        <v>BE</v>
      </c>
      <c r="E69" s="647" t="s">
        <v>794</v>
      </c>
      <c r="F69" s="634"/>
      <c r="G69" s="638"/>
      <c r="H69" s="995" t="s">
        <v>794</v>
      </c>
      <c r="I69" s="1002" t="s">
        <v>1337</v>
      </c>
      <c r="J69" s="983" t="s">
        <v>794</v>
      </c>
      <c r="K69" s="1051" t="s">
        <v>126</v>
      </c>
      <c r="L69" s="1024"/>
      <c r="M69" s="1024"/>
      <c r="N69" s="1017" t="s">
        <v>1515</v>
      </c>
      <c r="O69" s="1018" t="s">
        <v>52</v>
      </c>
      <c r="P69" s="1065"/>
      <c r="Q69" s="998" t="s">
        <v>794</v>
      </c>
      <c r="R69" s="1115" t="str">
        <f>IF(VLOOKUP(A69,'Eclusée - Schwall-Sunk'!$A$2:$F$273,5,FALSE)="","",VLOOKUP(A69,'Eclusée - Schwall-Sunk'!$A$2:$F$273,5,FALSE))</f>
        <v>force hydraulique</v>
      </c>
      <c r="S69" s="1126" t="str">
        <f>IF(VLOOKUP(A69,'Eclusée - Schwall-Sunk'!$A$2:$F$273,6,FALSE)="","",VLOOKUP(A69,'Eclusée - Schwall-Sunk'!$A$2:$F$273,6,FALSE))</f>
        <v>Non affecté / nicht betroffen</v>
      </c>
      <c r="T69" s="1123"/>
      <c r="U69" s="572"/>
      <c r="V69" s="572"/>
    </row>
    <row r="70" spans="1:22" ht="35.25" customHeight="1" x14ac:dyDescent="0.25">
      <c r="A70" s="926">
        <v>87</v>
      </c>
      <c r="B70" s="1028" t="str">
        <f>IF(VLOOKUP(A70,'Données de base - Grunddaten'!$A$2:$M$273,3,FALSE)="","",VLOOKUP(A70,'Données de base - Grunddaten'!$A$2:$M$273,3,FALSE))</f>
        <v>Rüsshalden</v>
      </c>
      <c r="C70" s="1028" t="str">
        <f>IF(VLOOKUP(A70,'Données de base - Grunddaten'!$A$2:$M$273,4,FALSE)="","",VLOOKUP(A70,'Données de base - Grunddaten'!$A$2:$M$273,4,FALSE))</f>
        <v>Reuss</v>
      </c>
      <c r="D70" s="1028" t="str">
        <f>IF(VLOOKUP(A70,'Données de base - Grunddaten'!$A$2:$M$273,5,FALSE)="","",VLOOKUP(A70,'Données de base - Grunddaten'!$A$2:$M$273,5,FALSE))</f>
        <v>AG</v>
      </c>
      <c r="E70" s="647" t="s">
        <v>45</v>
      </c>
      <c r="F70" s="634"/>
      <c r="G70" s="638"/>
      <c r="H70" s="995" t="s">
        <v>45</v>
      </c>
      <c r="I70" s="1048" t="s">
        <v>48</v>
      </c>
      <c r="J70" s="984" t="s">
        <v>45</v>
      </c>
      <c r="K70" s="1052"/>
      <c r="L70" s="1021"/>
      <c r="M70" s="1021"/>
      <c r="N70" s="1011"/>
      <c r="O70" s="1012"/>
      <c r="P70" s="1062"/>
      <c r="Q70" s="996" t="s">
        <v>45</v>
      </c>
      <c r="R70" s="1115" t="str">
        <f>IF(VLOOKUP(A70,'Eclusée - Schwall-Sunk'!$A$2:$F$273,5,FALSE)="","",VLOOKUP(A70,'Eclusée - Schwall-Sunk'!$A$2:$F$273,5,FALSE))</f>
        <v>force hydraulique</v>
      </c>
      <c r="S70" s="1126" t="str">
        <f>IF(VLOOKUP(A70,'Eclusée - Schwall-Sunk'!$A$2:$F$273,6,FALSE)="","",VLOOKUP(A70,'Eclusée - Schwall-Sunk'!$A$2:$F$273,6,FALSE))</f>
        <v>Potentiellement affecté mais non plausible / möglicherweise betroffen aber nicht nachweisbar</v>
      </c>
      <c r="T70" s="1123"/>
      <c r="U70" s="572"/>
      <c r="V70" s="572"/>
    </row>
    <row r="71" spans="1:22" ht="35.25" customHeight="1" x14ac:dyDescent="0.25">
      <c r="A71" s="926">
        <v>88</v>
      </c>
      <c r="B71" s="1028" t="str">
        <f>IF(VLOOKUP(A71,'Données de base - Grunddaten'!$A$2:$M$273,3,FALSE)="","",VLOOKUP(A71,'Données de base - Grunddaten'!$A$2:$M$273,3,FALSE))</f>
        <v>Tote Reuss–Alte Reuss</v>
      </c>
      <c r="C71" s="1028" t="str">
        <f>IF(VLOOKUP(A71,'Données de base - Grunddaten'!$A$2:$M$273,4,FALSE)="","",VLOOKUP(A71,'Données de base - Grunddaten'!$A$2:$M$273,4,FALSE))</f>
        <v>Reuss</v>
      </c>
      <c r="D71" s="1028" t="str">
        <f>IF(VLOOKUP(A71,'Données de base - Grunddaten'!$A$2:$M$273,5,FALSE)="","",VLOOKUP(A71,'Données de base - Grunddaten'!$A$2:$M$273,5,FALSE))</f>
        <v>AG</v>
      </c>
      <c r="E71" s="647" t="s">
        <v>45</v>
      </c>
      <c r="F71" s="634"/>
      <c r="G71" s="638"/>
      <c r="H71" s="995" t="s">
        <v>45</v>
      </c>
      <c r="I71" s="1048" t="s">
        <v>48</v>
      </c>
      <c r="J71" s="984" t="s">
        <v>45</v>
      </c>
      <c r="K71" s="1052"/>
      <c r="L71" s="1021"/>
      <c r="M71" s="1021"/>
      <c r="N71" s="1011"/>
      <c r="O71" s="1012"/>
      <c r="P71" s="1062"/>
      <c r="Q71" s="996" t="s">
        <v>45</v>
      </c>
      <c r="R71" s="1115" t="str">
        <f>IF(VLOOKUP(A71,'Eclusée - Schwall-Sunk'!$A$2:$F$273,5,FALSE)="","",VLOOKUP(A71,'Eclusée - Schwall-Sunk'!$A$2:$F$273,5,FALSE))</f>
        <v>force hydraulique</v>
      </c>
      <c r="S71" s="1126" t="str">
        <f>IF(VLOOKUP(A71,'Eclusée - Schwall-Sunk'!$A$2:$F$273,6,FALSE)="","",VLOOKUP(A71,'Eclusée - Schwall-Sunk'!$A$2:$F$273,6,FALSE))</f>
        <v>Potentiellement affecté mais non plausible / möglicherweise betroffen aber nicht nachweisbar</v>
      </c>
      <c r="T71" s="1123"/>
      <c r="U71" s="572"/>
      <c r="V71" s="572"/>
    </row>
    <row r="72" spans="1:22" ht="35.25" customHeight="1" x14ac:dyDescent="0.25">
      <c r="A72" s="926">
        <v>91</v>
      </c>
      <c r="B72" s="1028" t="str">
        <f>IF(VLOOKUP(A72,'Données de base - Grunddaten'!$A$2:$M$273,3,FALSE)="","",VLOOKUP(A72,'Données de base - Grunddaten'!$A$2:$M$273,3,FALSE))</f>
        <v>Rottenschwiler Moos</v>
      </c>
      <c r="C72" s="1028" t="str">
        <f>IF(VLOOKUP(A72,'Données de base - Grunddaten'!$A$2:$M$273,4,FALSE)="","",VLOOKUP(A72,'Données de base - Grunddaten'!$A$2:$M$273,4,FALSE))</f>
        <v>Reuss</v>
      </c>
      <c r="D72" s="1028" t="str">
        <f>IF(VLOOKUP(A72,'Données de base - Grunddaten'!$A$2:$M$273,5,FALSE)="","",VLOOKUP(A72,'Données de base - Grunddaten'!$A$2:$M$273,5,FALSE))</f>
        <v>AG</v>
      </c>
      <c r="E72" s="647" t="s">
        <v>51</v>
      </c>
      <c r="F72" s="634"/>
      <c r="G72" s="638"/>
      <c r="H72" s="995" t="s">
        <v>53</v>
      </c>
      <c r="I72" s="1048" t="s">
        <v>48</v>
      </c>
      <c r="J72" s="984" t="s">
        <v>53</v>
      </c>
      <c r="K72" s="1052"/>
      <c r="L72" s="1021"/>
      <c r="M72" s="1021"/>
      <c r="N72" s="1011"/>
      <c r="O72" s="1012"/>
      <c r="P72" s="1062"/>
      <c r="Q72" s="997" t="s">
        <v>746</v>
      </c>
      <c r="R72" s="1115" t="str">
        <f>IF(VLOOKUP(A72,'Eclusée - Schwall-Sunk'!$A$2:$F$273,5,FALSE)="","",VLOOKUP(A72,'Eclusée - Schwall-Sunk'!$A$2:$F$273,5,FALSE))</f>
        <v xml:space="preserve"> - </v>
      </c>
      <c r="S72" s="1126" t="str">
        <f>IF(VLOOKUP(A72,'Eclusée - Schwall-Sunk'!$A$2:$F$273,6,FALSE)="","",VLOOKUP(A72,'Eclusée - Schwall-Sunk'!$A$2:$F$273,6,FALSE))</f>
        <v>Non affecté / nicht betroffen</v>
      </c>
      <c r="T72" s="1123"/>
      <c r="U72" s="572"/>
      <c r="V72" s="572"/>
    </row>
    <row r="73" spans="1:22" ht="35.25" customHeight="1" x14ac:dyDescent="0.25">
      <c r="A73" s="926">
        <v>92</v>
      </c>
      <c r="B73" s="1028" t="str">
        <f>IF(VLOOKUP(A73,'Données de base - Grunddaten'!$A$2:$M$273,3,FALSE)="","",VLOOKUP(A73,'Données de base - Grunddaten'!$A$2:$M$273,3,FALSE))</f>
        <v>Still Rüss–Rickenbach</v>
      </c>
      <c r="C73" s="1028" t="str">
        <f>IF(VLOOKUP(A73,'Données de base - Grunddaten'!$A$2:$M$273,4,FALSE)="","",VLOOKUP(A73,'Données de base - Grunddaten'!$A$2:$M$273,4,FALSE))</f>
        <v>Reuss</v>
      </c>
      <c r="D73" s="1028" t="str">
        <f>IF(VLOOKUP(A73,'Données de base - Grunddaten'!$A$2:$M$273,5,FALSE)="","",VLOOKUP(A73,'Données de base - Grunddaten'!$A$2:$M$273,5,FALSE))</f>
        <v>AG/ZH</v>
      </c>
      <c r="E73" s="647" t="s">
        <v>45</v>
      </c>
      <c r="F73" s="634"/>
      <c r="G73" s="638"/>
      <c r="H73" s="995" t="s">
        <v>45</v>
      </c>
      <c r="I73" s="1002" t="s">
        <v>1346</v>
      </c>
      <c r="J73" s="984" t="s">
        <v>45</v>
      </c>
      <c r="K73" s="1051" t="s">
        <v>126</v>
      </c>
      <c r="L73" s="1024"/>
      <c r="M73" s="1024"/>
      <c r="N73" s="1017" t="s">
        <v>1347</v>
      </c>
      <c r="O73" s="1018" t="s">
        <v>1348</v>
      </c>
      <c r="P73" s="1065"/>
      <c r="Q73" s="995" t="s">
        <v>45</v>
      </c>
      <c r="R73" s="1115" t="str">
        <f>IF(VLOOKUP(A73,'Eclusée - Schwall-Sunk'!$A$2:$F$273,5,FALSE)="","",VLOOKUP(A73,'Eclusée - Schwall-Sunk'!$A$2:$F$273,5,FALSE))</f>
        <v>force hydraulique</v>
      </c>
      <c r="S73" s="1126" t="str">
        <f>IF(VLOOKUP(A73,'Eclusée - Schwall-Sunk'!$A$2:$F$273,6,FALSE)="","",VLOOKUP(A73,'Eclusée - Schwall-Sunk'!$A$2:$F$273,6,FALSE))</f>
        <v>Non affecté / nicht betroffen</v>
      </c>
      <c r="T73" s="1123"/>
      <c r="U73" s="572"/>
      <c r="V73" s="572"/>
    </row>
    <row r="74" spans="1:22" ht="35.25" customHeight="1" x14ac:dyDescent="0.25">
      <c r="A74" s="926">
        <v>95</v>
      </c>
      <c r="B74" s="1028" t="str">
        <f>IF(VLOOKUP(A74,'Données de base - Grunddaten'!$A$2:$M$273,3,FALSE)="","",VLOOKUP(A74,'Données de base - Grunddaten'!$A$2:$M$273,3,FALSE))</f>
        <v>Ober Schachen–Rüssspitz</v>
      </c>
      <c r="C74" s="1028" t="str">
        <f>IF(VLOOKUP(A74,'Données de base - Grunddaten'!$A$2:$M$273,4,FALSE)="","",VLOOKUP(A74,'Données de base - Grunddaten'!$A$2:$M$273,4,FALSE))</f>
        <v>Reuss</v>
      </c>
      <c r="D74" s="1028" t="str">
        <f>IF(VLOOKUP(A74,'Données de base - Grunddaten'!$A$2:$M$273,5,FALSE)="","",VLOOKUP(A74,'Données de base - Grunddaten'!$A$2:$M$273,5,FALSE))</f>
        <v>AG/ZG/ZH</v>
      </c>
      <c r="E74" s="647" t="s">
        <v>45</v>
      </c>
      <c r="F74" s="634"/>
      <c r="G74" s="638"/>
      <c r="H74" s="995" t="s">
        <v>45</v>
      </c>
      <c r="I74" s="1048" t="s">
        <v>48</v>
      </c>
      <c r="J74" s="984" t="s">
        <v>45</v>
      </c>
      <c r="K74" s="1052"/>
      <c r="L74" s="1021"/>
      <c r="M74" s="1021"/>
      <c r="N74" s="1011"/>
      <c r="O74" s="1012"/>
      <c r="P74" s="1062"/>
      <c r="Q74" s="995" t="s">
        <v>45</v>
      </c>
      <c r="R74" s="1115" t="str">
        <f>IF(VLOOKUP(A74,'Eclusée - Schwall-Sunk'!$A$2:$F$273,5,FALSE)="","",VLOOKUP(A74,'Eclusée - Schwall-Sunk'!$A$2:$F$273,5,FALSE))</f>
        <v>force hydraulique</v>
      </c>
      <c r="S74" s="1126" t="str">
        <f>IF(VLOOKUP(A74,'Eclusée - Schwall-Sunk'!$A$2:$F$273,6,FALSE)="","",VLOOKUP(A74,'Eclusée - Schwall-Sunk'!$A$2:$F$273,6,FALSE))</f>
        <v>Non affecté / nicht betroffen</v>
      </c>
      <c r="T74" s="1123"/>
      <c r="U74" s="572"/>
      <c r="V74" s="572"/>
    </row>
    <row r="75" spans="1:22" ht="35.25" customHeight="1" x14ac:dyDescent="0.25">
      <c r="A75" s="926">
        <v>97</v>
      </c>
      <c r="B75" s="1028" t="str">
        <f>IF(VLOOKUP(A75,'Données de base - Grunddaten'!$A$2:$M$273,3,FALSE)="","",VLOOKUP(A75,'Données de base - Grunddaten'!$A$2:$M$273,3,FALSE))</f>
        <v>Frauental</v>
      </c>
      <c r="C75" s="1028" t="str">
        <f>IF(VLOOKUP(A75,'Données de base - Grunddaten'!$A$2:$M$273,4,FALSE)="","",VLOOKUP(A75,'Données de base - Grunddaten'!$A$2:$M$273,4,FALSE))</f>
        <v>Lorze</v>
      </c>
      <c r="D75" s="1028" t="str">
        <f>IF(VLOOKUP(A75,'Données de base - Grunddaten'!$A$2:$M$273,5,FALSE)="","",VLOOKUP(A75,'Données de base - Grunddaten'!$A$2:$M$273,5,FALSE))</f>
        <v>ZG</v>
      </c>
      <c r="E75" s="647" t="s">
        <v>45</v>
      </c>
      <c r="F75" s="634"/>
      <c r="G75" s="638"/>
      <c r="H75" s="995" t="s">
        <v>45</v>
      </c>
      <c r="I75" s="1002" t="s">
        <v>1355</v>
      </c>
      <c r="J75" s="986" t="s">
        <v>45</v>
      </c>
      <c r="K75" s="1051" t="s">
        <v>126</v>
      </c>
      <c r="L75" s="1024"/>
      <c r="M75" s="1024"/>
      <c r="N75" s="1017" t="s">
        <v>1511</v>
      </c>
      <c r="O75" s="1018" t="s">
        <v>688</v>
      </c>
      <c r="P75" s="1061" t="s">
        <v>1512</v>
      </c>
      <c r="Q75" s="995" t="s">
        <v>45</v>
      </c>
      <c r="R75" s="1115" t="str">
        <f>IF(VLOOKUP(A75,'Eclusée - Schwall-Sunk'!$A$2:$F$273,5,FALSE)="","",VLOOKUP(A75,'Eclusée - Schwall-Sunk'!$A$2:$F$273,5,FALSE))</f>
        <v>force hydraulique</v>
      </c>
      <c r="S75" s="1126" t="str">
        <f>IF(VLOOKUP(A75,'Eclusée - Schwall-Sunk'!$A$2:$F$273,6,FALSE)="","",VLOOKUP(A75,'Eclusée - Schwall-Sunk'!$A$2:$F$273,6,FALSE))</f>
        <v>Potentiellement affecté mais non plausible / möglicherweise betroffen aber nicht nachweisbar</v>
      </c>
      <c r="T75" s="1123"/>
      <c r="U75" s="572"/>
      <c r="V75" s="572"/>
    </row>
    <row r="76" spans="1:22" ht="35.25" customHeight="1" x14ac:dyDescent="0.25">
      <c r="A76" s="926">
        <v>98</v>
      </c>
      <c r="B76" s="1028" t="str">
        <f>IF(VLOOKUP(A76,'Données de base - Grunddaten'!$A$2:$M$273,3,FALSE)="","",VLOOKUP(A76,'Données de base - Grunddaten'!$A$2:$M$273,3,FALSE))</f>
        <v>Ämmenmatt</v>
      </c>
      <c r="C76" s="1028" t="str">
        <f>IF(VLOOKUP(A76,'Données de base - Grunddaten'!$A$2:$M$273,4,FALSE)="","",VLOOKUP(A76,'Données de base - Grunddaten'!$A$2:$M$273,4,FALSE))</f>
        <v>Kleine Emme</v>
      </c>
      <c r="D76" s="1028" t="str">
        <f>IF(VLOOKUP(A76,'Données de base - Grunddaten'!$A$2:$M$273,5,FALSE)="","",VLOOKUP(A76,'Données de base - Grunddaten'!$A$2:$M$273,5,FALSE))</f>
        <v>LU</v>
      </c>
      <c r="E76" s="647" t="s">
        <v>746</v>
      </c>
      <c r="F76" s="636" t="s">
        <v>1345</v>
      </c>
      <c r="G76" s="637" t="s">
        <v>1345</v>
      </c>
      <c r="H76" s="995" t="s">
        <v>746</v>
      </c>
      <c r="I76" s="1048" t="s">
        <v>48</v>
      </c>
      <c r="J76" s="984" t="s">
        <v>746</v>
      </c>
      <c r="K76" s="1052"/>
      <c r="L76" s="1029" t="s">
        <v>746</v>
      </c>
      <c r="M76" s="1021"/>
      <c r="N76" s="1011"/>
      <c r="O76" s="1012"/>
      <c r="P76" s="1062"/>
      <c r="Q76" s="995" t="s">
        <v>746</v>
      </c>
      <c r="R76" s="1115" t="str">
        <f>IF(VLOOKUP(A76,'Eclusée - Schwall-Sunk'!$A$2:$F$273,5,FALSE)="","",VLOOKUP(A76,'Eclusée - Schwall-Sunk'!$A$2:$F$273,5,FALSE))</f>
        <v/>
      </c>
      <c r="S76" s="1126" t="str">
        <f>IF(VLOOKUP(A76,'Eclusée - Schwall-Sunk'!$A$2:$F$273,6,FALSE)="","",VLOOKUP(A76,'Eclusée - Schwall-Sunk'!$A$2:$F$273,6,FALSE))</f>
        <v>Non affecté / nicht betroffen</v>
      </c>
      <c r="T76" s="1123"/>
      <c r="U76" s="572"/>
      <c r="V76" s="572"/>
    </row>
    <row r="77" spans="1:22" ht="35.25" customHeight="1" x14ac:dyDescent="0.25">
      <c r="A77" s="926">
        <v>99</v>
      </c>
      <c r="B77" s="1028" t="str">
        <f>IF(VLOOKUP(A77,'Données de base - Grunddaten'!$A$2:$M$273,3,FALSE)="","",VLOOKUP(A77,'Données de base - Grunddaten'!$A$2:$M$273,3,FALSE))</f>
        <v>Schlierenrüti</v>
      </c>
      <c r="C77" s="1028" t="str">
        <f>IF(VLOOKUP(A77,'Données de base - Grunddaten'!$A$2:$M$273,4,FALSE)="","",VLOOKUP(A77,'Données de base - Grunddaten'!$A$2:$M$273,4,FALSE))</f>
        <v>Grosse Schliere</v>
      </c>
      <c r="D77" s="1028" t="str">
        <f>IF(VLOOKUP(A77,'Données de base - Grunddaten'!$A$2:$M$273,5,FALSE)="","",VLOOKUP(A77,'Données de base - Grunddaten'!$A$2:$M$273,5,FALSE))</f>
        <v>OW</v>
      </c>
      <c r="E77" s="647" t="s">
        <v>746</v>
      </c>
      <c r="F77" s="636" t="s">
        <v>1345</v>
      </c>
      <c r="G77" s="637" t="s">
        <v>1345</v>
      </c>
      <c r="H77" s="995" t="s">
        <v>746</v>
      </c>
      <c r="I77" s="1048" t="s">
        <v>48</v>
      </c>
      <c r="J77" s="984" t="s">
        <v>746</v>
      </c>
      <c r="K77" s="1052"/>
      <c r="L77" s="1029" t="s">
        <v>45</v>
      </c>
      <c r="M77" s="1021"/>
      <c r="N77" s="1011"/>
      <c r="O77" s="1012"/>
      <c r="P77" s="1062"/>
      <c r="Q77" s="996" t="s">
        <v>45</v>
      </c>
      <c r="R77" s="1115" t="str">
        <f>IF(VLOOKUP(A77,'Eclusée - Schwall-Sunk'!$A$2:$F$273,5,FALSE)="","",VLOOKUP(A77,'Eclusée - Schwall-Sunk'!$A$2:$F$273,5,FALSE))</f>
        <v>force hydraulique</v>
      </c>
      <c r="S77" s="1126" t="str">
        <f>IF(VLOOKUP(A77,'Eclusée - Schwall-Sunk'!$A$2:$F$273,6,FALSE)="","",VLOOKUP(A77,'Eclusée - Schwall-Sunk'!$A$2:$F$273,6,FALSE))</f>
        <v>Non affecté / nicht betroffen</v>
      </c>
      <c r="T77" s="1123"/>
      <c r="U77" s="572"/>
      <c r="V77" s="572"/>
    </row>
    <row r="78" spans="1:22" ht="35.25" customHeight="1" x14ac:dyDescent="0.25">
      <c r="A78" s="926">
        <v>100</v>
      </c>
      <c r="B78" s="1028" t="str">
        <f>IF(VLOOKUP(A78,'Données de base - Grunddaten'!$A$2:$M$273,3,FALSE)="","",VLOOKUP(A78,'Données de base - Grunddaten'!$A$2:$M$273,3,FALSE))</f>
        <v>Städerried</v>
      </c>
      <c r="C78" s="1028" t="str">
        <f>IF(VLOOKUP(A78,'Données de base - Grunddaten'!$A$2:$M$273,4,FALSE)="","",VLOOKUP(A78,'Données de base - Grunddaten'!$A$2:$M$273,4,FALSE))</f>
        <v>Alpnachersee, Chli Schliere, Sarner Aa</v>
      </c>
      <c r="D78" s="1028" t="str">
        <f>IF(VLOOKUP(A78,'Données de base - Grunddaten'!$A$2:$M$273,5,FALSE)="","",VLOOKUP(A78,'Données de base - Grunddaten'!$A$2:$M$273,5,FALSE))</f>
        <v>OW</v>
      </c>
      <c r="E78" s="647" t="s">
        <v>45</v>
      </c>
      <c r="F78" s="639"/>
      <c r="G78" s="635"/>
      <c r="H78" s="995" t="s">
        <v>45</v>
      </c>
      <c r="I78" s="1048" t="s">
        <v>48</v>
      </c>
      <c r="J78" s="984" t="s">
        <v>45</v>
      </c>
      <c r="K78" s="1052"/>
      <c r="L78" s="1030" t="s">
        <v>746</v>
      </c>
      <c r="M78" s="1021"/>
      <c r="N78" s="1011"/>
      <c r="O78" s="1012"/>
      <c r="P78" s="1062"/>
      <c r="Q78" s="997" t="s">
        <v>746</v>
      </c>
      <c r="R78" s="1115" t="str">
        <f>IF(VLOOKUP(A78,'Eclusée - Schwall-Sunk'!$A$2:$F$273,5,FALSE)="","",VLOOKUP(A78,'Eclusée - Schwall-Sunk'!$A$2:$F$273,5,FALSE))</f>
        <v>force hydraulique</v>
      </c>
      <c r="S78" s="1126" t="str">
        <f>IF(VLOOKUP(A78,'Eclusée - Schwall-Sunk'!$A$2:$F$273,6,FALSE)="","",VLOOKUP(A78,'Eclusée - Schwall-Sunk'!$A$2:$F$273,6,FALSE))</f>
        <v>Potentiellement affecté / möglicherweise betroffen</v>
      </c>
      <c r="T78" s="1123"/>
      <c r="U78" s="572"/>
      <c r="V78" s="572"/>
    </row>
    <row r="79" spans="1:22" ht="35.25" customHeight="1" x14ac:dyDescent="0.25">
      <c r="A79" s="926">
        <v>101</v>
      </c>
      <c r="B79" s="1028" t="str">
        <f>IF(VLOOKUP(A79,'Données de base - Grunddaten'!$A$2:$M$273,3,FALSE)="","",VLOOKUP(A79,'Données de base - Grunddaten'!$A$2:$M$273,3,FALSE))</f>
        <v>Laui</v>
      </c>
      <c r="C79" s="1028" t="str">
        <f>IF(VLOOKUP(A79,'Données de base - Grunddaten'!$A$2:$M$273,4,FALSE)="","",VLOOKUP(A79,'Données de base - Grunddaten'!$A$2:$M$273,4,FALSE))</f>
        <v>Gross Laui</v>
      </c>
      <c r="D79" s="1028" t="str">
        <f>IF(VLOOKUP(A79,'Données de base - Grunddaten'!$A$2:$M$273,5,FALSE)="","",VLOOKUP(A79,'Données de base - Grunddaten'!$A$2:$M$273,5,FALSE))</f>
        <v>OW</v>
      </c>
      <c r="E79" s="647" t="s">
        <v>746</v>
      </c>
      <c r="F79" s="636" t="s">
        <v>1345</v>
      </c>
      <c r="G79" s="637" t="s">
        <v>1345</v>
      </c>
      <c r="H79" s="995" t="s">
        <v>746</v>
      </c>
      <c r="I79" s="1048" t="s">
        <v>48</v>
      </c>
      <c r="J79" s="985" t="s">
        <v>746</v>
      </c>
      <c r="K79" s="1052"/>
      <c r="L79" s="1030" t="s">
        <v>746</v>
      </c>
      <c r="M79" s="1021"/>
      <c r="N79" s="1011"/>
      <c r="O79" s="1012"/>
      <c r="P79" s="1062"/>
      <c r="Q79" s="997" t="s">
        <v>746</v>
      </c>
      <c r="R79" s="1115" t="str">
        <f>IF(VLOOKUP(A79,'Eclusée - Schwall-Sunk'!$A$2:$F$273,5,FALSE)="","",VLOOKUP(A79,'Eclusée - Schwall-Sunk'!$A$2:$F$273,5,FALSE))</f>
        <v/>
      </c>
      <c r="S79" s="1126" t="str">
        <f>IF(VLOOKUP(A79,'Eclusée - Schwall-Sunk'!$A$2:$F$273,6,FALSE)="","",VLOOKUP(A79,'Eclusée - Schwall-Sunk'!$A$2:$F$273,6,FALSE))</f>
        <v>Non affecté / nicht betroffen</v>
      </c>
      <c r="T79" s="1123"/>
      <c r="U79" s="572"/>
      <c r="V79" s="572"/>
    </row>
    <row r="80" spans="1:22" ht="35.25" customHeight="1" x14ac:dyDescent="0.25">
      <c r="A80" s="926">
        <v>102</v>
      </c>
      <c r="B80" s="1028" t="str">
        <f>IF(VLOOKUP(A80,'Données de base - Grunddaten'!$A$2:$M$273,3,FALSE)="","",VLOOKUP(A80,'Données de base - Grunddaten'!$A$2:$M$273,3,FALSE))</f>
        <v>Steinibach</v>
      </c>
      <c r="C80" s="1028" t="str">
        <f>IF(VLOOKUP(A80,'Données de base - Grunddaten'!$A$2:$M$273,4,FALSE)="","",VLOOKUP(A80,'Données de base - Grunddaten'!$A$2:$M$273,4,FALSE))</f>
        <v>Gerisbach, Sarnersee, Steinibach</v>
      </c>
      <c r="D80" s="1028" t="str">
        <f>IF(VLOOKUP(A80,'Données de base - Grunddaten'!$A$2:$M$273,5,FALSE)="","",VLOOKUP(A80,'Données de base - Grunddaten'!$A$2:$M$273,5,FALSE))</f>
        <v>OW</v>
      </c>
      <c r="E80" s="647" t="s">
        <v>746</v>
      </c>
      <c r="F80" s="640" t="s">
        <v>1421</v>
      </c>
      <c r="G80" s="638"/>
      <c r="H80" s="995" t="s">
        <v>746</v>
      </c>
      <c r="I80" s="1048" t="s">
        <v>48</v>
      </c>
      <c r="J80" s="985" t="s">
        <v>746</v>
      </c>
      <c r="K80" s="1052"/>
      <c r="L80" s="1030" t="s">
        <v>746</v>
      </c>
      <c r="M80" s="1021"/>
      <c r="N80" s="1011"/>
      <c r="O80" s="1012"/>
      <c r="P80" s="1062"/>
      <c r="Q80" s="997" t="s">
        <v>746</v>
      </c>
      <c r="R80" s="1115" t="str">
        <f>IF(VLOOKUP(A80,'Eclusée - Schwall-Sunk'!$A$2:$F$273,5,FALSE)="","",VLOOKUP(A80,'Eclusée - Schwall-Sunk'!$A$2:$F$273,5,FALSE))</f>
        <v/>
      </c>
      <c r="S80" s="1126" t="str">
        <f>IF(VLOOKUP(A80,'Eclusée - Schwall-Sunk'!$A$2:$F$273,6,FALSE)="","",VLOOKUP(A80,'Eclusée - Schwall-Sunk'!$A$2:$F$273,6,FALSE))</f>
        <v>Non affecté / nicht betroffen</v>
      </c>
      <c r="T80" s="1123"/>
      <c r="U80" s="572"/>
      <c r="V80" s="572"/>
    </row>
    <row r="81" spans="1:23" ht="35.25" customHeight="1" x14ac:dyDescent="0.25">
      <c r="A81" s="926">
        <v>104</v>
      </c>
      <c r="B81" s="1028" t="str">
        <f>IF(VLOOKUP(A81,'Données de base - Grunddaten'!$A$2:$M$273,3,FALSE)="","",VLOOKUP(A81,'Données de base - Grunddaten'!$A$2:$M$273,3,FALSE))</f>
        <v>Tristel</v>
      </c>
      <c r="C81" s="1028" t="str">
        <f>IF(VLOOKUP(A81,'Données de base - Grunddaten'!$A$2:$M$273,4,FALSE)="","",VLOOKUP(A81,'Données de base - Grunddaten'!$A$2:$M$273,4,FALSE))</f>
        <v>Muota</v>
      </c>
      <c r="D81" s="1028" t="str">
        <f>IF(VLOOKUP(A81,'Données de base - Grunddaten'!$A$2:$M$273,5,FALSE)="","",VLOOKUP(A81,'Données de base - Grunddaten'!$A$2:$M$273,5,FALSE))</f>
        <v>SZ</v>
      </c>
      <c r="E81" s="647" t="s">
        <v>45</v>
      </c>
      <c r="F81" s="634"/>
      <c r="G81" s="638"/>
      <c r="H81" s="995" t="s">
        <v>45</v>
      </c>
      <c r="I81" s="1048" t="s">
        <v>48</v>
      </c>
      <c r="J81" s="984" t="s">
        <v>45</v>
      </c>
      <c r="K81" s="1052"/>
      <c r="L81" s="1021"/>
      <c r="M81" s="1025" t="s">
        <v>203</v>
      </c>
      <c r="N81" s="1011"/>
      <c r="O81" s="1012"/>
      <c r="P81" s="1063" t="s">
        <v>1440</v>
      </c>
      <c r="Q81" s="997" t="s">
        <v>45</v>
      </c>
      <c r="R81" s="1115" t="str">
        <f>IF(VLOOKUP(A81,'Eclusée - Schwall-Sunk'!$A$2:$F$273,5,FALSE)="","",VLOOKUP(A81,'Eclusée - Schwall-Sunk'!$A$2:$F$273,5,FALSE))</f>
        <v>force hydraulique</v>
      </c>
      <c r="S81" s="1126" t="str">
        <f>IF(VLOOKUP(A81,'Eclusée - Schwall-Sunk'!$A$2:$F$273,6,FALSE)="","",VLOOKUP(A81,'Eclusée - Schwall-Sunk'!$A$2:$F$273,6,FALSE))</f>
        <v>Potentiellement affecté / möglicherweise betroffen</v>
      </c>
      <c r="T81" s="1123"/>
      <c r="U81" s="572"/>
      <c r="V81" s="572"/>
    </row>
    <row r="82" spans="1:23" ht="35.25" customHeight="1" x14ac:dyDescent="0.25">
      <c r="A82" s="927">
        <v>105.1</v>
      </c>
      <c r="B82" s="1028" t="str">
        <f>IF(VLOOKUP(A82,'Données de base - Grunddaten'!$A$2:$M$273,3,FALSE)="","",VLOOKUP(A82,'Données de base - Grunddaten'!$A$2:$M$273,3,FALSE))</f>
        <v>Reussdelta</v>
      </c>
      <c r="C82" s="1028" t="str">
        <f>IF(VLOOKUP(A82,'Données de base - Grunddaten'!$A$2:$M$273,4,FALSE)="","",VLOOKUP(A82,'Données de base - Grunddaten'!$A$2:$M$273,4,FALSE))</f>
        <v>Reuss, Urnersee</v>
      </c>
      <c r="D82" s="1028" t="str">
        <f>IF(VLOOKUP(A82,'Données de base - Grunddaten'!$A$2:$M$273,5,FALSE)="","",VLOOKUP(A82,'Données de base - Grunddaten'!$A$2:$M$273,5,FALSE))</f>
        <v>UR</v>
      </c>
      <c r="E82" s="647" t="s">
        <v>45</v>
      </c>
      <c r="F82" s="639"/>
      <c r="G82" s="635"/>
      <c r="H82" s="995" t="s">
        <v>45</v>
      </c>
      <c r="I82" s="1048" t="s">
        <v>48</v>
      </c>
      <c r="J82" s="984" t="s">
        <v>45</v>
      </c>
      <c r="K82" s="1052"/>
      <c r="L82" s="1022"/>
      <c r="M82" s="1022"/>
      <c r="N82" s="1011"/>
      <c r="O82" s="1012"/>
      <c r="P82" s="1063"/>
      <c r="Q82" s="997" t="s">
        <v>45</v>
      </c>
      <c r="R82" s="1115" t="str">
        <f>IF(VLOOKUP(A82,'Eclusée - Schwall-Sunk'!$A$2:$F$273,5,FALSE)="","",VLOOKUP(A82,'Eclusée - Schwall-Sunk'!$A$2:$F$273,5,FALSE))</f>
        <v>force hydraulique</v>
      </c>
      <c r="S82" s="1126" t="str">
        <f>IF(VLOOKUP(A82,'Eclusée - Schwall-Sunk'!$A$2:$F$273,6,FALSE)="","",VLOOKUP(A82,'Eclusée - Schwall-Sunk'!$A$2:$F$273,6,FALSE))</f>
        <v>Potentiellement affecté / möglicherweise betroffen</v>
      </c>
      <c r="T82" s="1123"/>
      <c r="U82" s="572"/>
      <c r="V82" s="572"/>
    </row>
    <row r="83" spans="1:23" ht="35.25" customHeight="1" x14ac:dyDescent="0.25">
      <c r="A83" s="927">
        <v>105.2</v>
      </c>
      <c r="B83" s="1028" t="str">
        <f>IF(VLOOKUP(A83,'Données de base - Grunddaten'!$A$2:$M$273,3,FALSE)="","",VLOOKUP(A83,'Données de base - Grunddaten'!$A$2:$M$273,3,FALSE))</f>
        <v>Reussdelta</v>
      </c>
      <c r="C83" s="1028" t="str">
        <f>IF(VLOOKUP(A83,'Données de base - Grunddaten'!$A$2:$M$273,4,FALSE)="","",VLOOKUP(A83,'Données de base - Grunddaten'!$A$2:$M$273,4,FALSE))</f>
        <v>Reuss, Urnersee</v>
      </c>
      <c r="D83" s="1028" t="str">
        <f>IF(VLOOKUP(A83,'Données de base - Grunddaten'!$A$2:$M$273,5,FALSE)="","",VLOOKUP(A83,'Données de base - Grunddaten'!$A$2:$M$273,5,FALSE))</f>
        <v>UR</v>
      </c>
      <c r="E83" s="647" t="s">
        <v>51</v>
      </c>
      <c r="F83" s="634"/>
      <c r="G83" s="638"/>
      <c r="H83" s="995" t="s">
        <v>53</v>
      </c>
      <c r="I83" s="1048" t="s">
        <v>48</v>
      </c>
      <c r="J83" s="986" t="s">
        <v>53</v>
      </c>
      <c r="K83" s="1052"/>
      <c r="L83" s="1022"/>
      <c r="M83" s="1022"/>
      <c r="N83" s="1011"/>
      <c r="O83" s="1012"/>
      <c r="P83" s="1063"/>
      <c r="Q83" s="995" t="s">
        <v>53</v>
      </c>
      <c r="R83" s="1115" t="str">
        <f>IF(VLOOKUP(A83,'Eclusée - Schwall-Sunk'!$A$2:$F$273,5,FALSE)="","",VLOOKUP(A83,'Eclusée - Schwall-Sunk'!$A$2:$F$273,5,FALSE))</f>
        <v/>
      </c>
      <c r="S83" s="1126" t="str">
        <f>IF(VLOOKUP(A83,'Eclusée - Schwall-Sunk'!$A$2:$F$273,6,FALSE)="","",VLOOKUP(A83,'Eclusée - Schwall-Sunk'!$A$2:$F$273,6,FALSE))</f>
        <v>Non affecté / nicht betroffen</v>
      </c>
      <c r="T83" s="1123"/>
      <c r="U83" s="572"/>
      <c r="V83" s="572"/>
    </row>
    <row r="84" spans="1:23" ht="35.25" customHeight="1" x14ac:dyDescent="0.25">
      <c r="A84" s="926">
        <v>107</v>
      </c>
      <c r="B84" s="1028" t="str">
        <f>IF(VLOOKUP(A84,'Données de base - Grunddaten'!$A$2:$M$273,3,FALSE)="","",VLOOKUP(A84,'Données de base - Grunddaten'!$A$2:$M$273,3,FALSE))</f>
        <v>Stössi</v>
      </c>
      <c r="C84" s="1028" t="str">
        <f>IF(VLOOKUP(A84,'Données de base - Grunddaten'!$A$2:$M$273,4,FALSE)="","",VLOOKUP(A84,'Données de base - Grunddaten'!$A$2:$M$273,4,FALSE))</f>
        <v>Chärstelenbach</v>
      </c>
      <c r="D84" s="1028" t="str">
        <f>IF(VLOOKUP(A84,'Données de base - Grunddaten'!$A$2:$M$273,5,FALSE)="","",VLOOKUP(A84,'Données de base - Grunddaten'!$A$2:$M$273,5,FALSE))</f>
        <v>UR</v>
      </c>
      <c r="E84" s="647" t="s">
        <v>746</v>
      </c>
      <c r="F84" s="636" t="s">
        <v>1345</v>
      </c>
      <c r="G84" s="637" t="s">
        <v>1345</v>
      </c>
      <c r="H84" s="997" t="s">
        <v>746</v>
      </c>
      <c r="I84" s="1048" t="s">
        <v>48</v>
      </c>
      <c r="J84" s="985" t="s">
        <v>746</v>
      </c>
      <c r="K84" s="1052"/>
      <c r="L84" s="1022"/>
      <c r="M84" s="1022"/>
      <c r="N84" s="1011"/>
      <c r="O84" s="1012"/>
      <c r="P84" s="1063"/>
      <c r="Q84" s="997" t="s">
        <v>746</v>
      </c>
      <c r="R84" s="1115" t="str">
        <f>IF(VLOOKUP(A84,'Eclusée - Schwall-Sunk'!$A$2:$F$273,5,FALSE)="","",VLOOKUP(A84,'Eclusée - Schwall-Sunk'!$A$2:$F$273,5,FALSE))</f>
        <v/>
      </c>
      <c r="S84" s="1126" t="str">
        <f>IF(VLOOKUP(A84,'Eclusée - Schwall-Sunk'!$A$2:$F$273,6,FALSE)="","",VLOOKUP(A84,'Eclusée - Schwall-Sunk'!$A$2:$F$273,6,FALSE))</f>
        <v>Non affecté / nicht betroffen</v>
      </c>
      <c r="T84" s="1123"/>
      <c r="U84" s="572"/>
      <c r="V84" s="572"/>
    </row>
    <row r="85" spans="1:23" ht="35.25" customHeight="1" x14ac:dyDescent="0.25">
      <c r="A85" s="926">
        <v>108</v>
      </c>
      <c r="B85" s="1028" t="str">
        <f>IF(VLOOKUP(A85,'Données de base - Grunddaten'!$A$2:$M$273,3,FALSE)="","",VLOOKUP(A85,'Données de base - Grunddaten'!$A$2:$M$273,3,FALSE))</f>
        <v>Widen bei Realp</v>
      </c>
      <c r="C85" s="1028" t="str">
        <f>IF(VLOOKUP(A85,'Données de base - Grunddaten'!$A$2:$M$273,4,FALSE)="","",VLOOKUP(A85,'Données de base - Grunddaten'!$A$2:$M$273,4,FALSE))</f>
        <v>Furkareuss</v>
      </c>
      <c r="D85" s="1028" t="str">
        <f>IF(VLOOKUP(A85,'Données de base - Grunddaten'!$A$2:$M$273,5,FALSE)="","",VLOOKUP(A85,'Données de base - Grunddaten'!$A$2:$M$273,5,FALSE))</f>
        <v>UR</v>
      </c>
      <c r="E85" s="647" t="s">
        <v>799</v>
      </c>
      <c r="F85" s="634"/>
      <c r="G85" s="638"/>
      <c r="H85" s="995" t="s">
        <v>799</v>
      </c>
      <c r="I85" s="1002" t="s">
        <v>1346</v>
      </c>
      <c r="J85" s="983" t="s">
        <v>799</v>
      </c>
      <c r="K85" s="1051" t="s">
        <v>126</v>
      </c>
      <c r="L85" s="1023"/>
      <c r="M85" s="1023"/>
      <c r="N85" s="1017" t="s">
        <v>1482</v>
      </c>
      <c r="O85" s="1018" t="s">
        <v>1483</v>
      </c>
      <c r="P85" s="1059"/>
      <c r="Q85" s="998" t="s">
        <v>799</v>
      </c>
      <c r="R85" s="1115" t="str">
        <f>IF(VLOOKUP(A85,'Eclusée - Schwall-Sunk'!$A$2:$F$273,5,FALSE)="","",VLOOKUP(A85,'Eclusée - Schwall-Sunk'!$A$2:$F$273,5,FALSE))</f>
        <v>force hydraulique</v>
      </c>
      <c r="S85" s="1126" t="str">
        <f>IF(VLOOKUP(A85,'Eclusée - Schwall-Sunk'!$A$2:$F$273,6,FALSE)="","",VLOOKUP(A85,'Eclusée - Schwall-Sunk'!$A$2:$F$273,6,FALSE))</f>
        <v>Non affecté / nicht betroffen</v>
      </c>
      <c r="T85" s="1123"/>
      <c r="U85" s="572"/>
      <c r="V85" s="572"/>
    </row>
    <row r="86" spans="1:23" ht="35.25" customHeight="1" x14ac:dyDescent="0.25">
      <c r="A86" s="927">
        <v>109.1</v>
      </c>
      <c r="B86" s="1028" t="str">
        <f>IF(VLOOKUP(A86,'Données de base - Grunddaten'!$A$2:$M$273,3,FALSE)="","",VLOOKUP(A86,'Données de base - Grunddaten'!$A$2:$M$273,3,FALSE))</f>
        <v>Hinter Klöntal</v>
      </c>
      <c r="C86" s="1028" t="str">
        <f>IF(VLOOKUP(A86,'Données de base - Grunddaten'!$A$2:$M$273,4,FALSE)="","",VLOOKUP(A86,'Données de base - Grunddaten'!$A$2:$M$273,4,FALSE))</f>
        <v>Chlü, Klöntalersee, Sulzbach</v>
      </c>
      <c r="D86" s="1028" t="str">
        <f>IF(VLOOKUP(A86,'Données de base - Grunddaten'!$A$2:$M$273,5,FALSE)="","",VLOOKUP(A86,'Données de base - Grunddaten'!$A$2:$M$273,5,FALSE))</f>
        <v>GL</v>
      </c>
      <c r="E86" s="647" t="s">
        <v>746</v>
      </c>
      <c r="F86" s="636" t="s">
        <v>1345</v>
      </c>
      <c r="G86" s="637" t="s">
        <v>1345</v>
      </c>
      <c r="H86" s="995" t="s">
        <v>746</v>
      </c>
      <c r="I86" s="1048" t="s">
        <v>48</v>
      </c>
      <c r="J86" s="984" t="s">
        <v>746</v>
      </c>
      <c r="K86" s="1052"/>
      <c r="L86" s="1022"/>
      <c r="M86" s="1022"/>
      <c r="N86" s="1011"/>
      <c r="O86" s="1012"/>
      <c r="P86" s="1063"/>
      <c r="Q86" s="996" t="s">
        <v>746</v>
      </c>
      <c r="R86" s="1115" t="str">
        <f>IF(VLOOKUP(A86,'Eclusée - Schwall-Sunk'!$A$2:$F$273,5,FALSE)="","",VLOOKUP(A86,'Eclusée - Schwall-Sunk'!$A$2:$F$273,5,FALSE))</f>
        <v/>
      </c>
      <c r="S86" s="1126" t="str">
        <f>IF(VLOOKUP(A86,'Eclusée - Schwall-Sunk'!$A$2:$F$273,6,FALSE)="","",VLOOKUP(A86,'Eclusée - Schwall-Sunk'!$A$2:$F$273,6,FALSE))</f>
        <v>Non affecté / nicht betroffen</v>
      </c>
      <c r="T86" s="1123"/>
      <c r="U86" s="572"/>
      <c r="V86" s="572"/>
    </row>
    <row r="87" spans="1:23" ht="35.25" customHeight="1" x14ac:dyDescent="0.25">
      <c r="A87" s="927">
        <v>109.2</v>
      </c>
      <c r="B87" s="1028" t="str">
        <f>IF(VLOOKUP(A87,'Données de base - Grunddaten'!$A$2:$M$273,3,FALSE)="","",VLOOKUP(A87,'Données de base - Grunddaten'!$A$2:$M$273,3,FALSE))</f>
        <v>Hinter Klöntal</v>
      </c>
      <c r="C87" s="1028" t="str">
        <f>IF(VLOOKUP(A87,'Données de base - Grunddaten'!$A$2:$M$273,4,FALSE)="","",VLOOKUP(A87,'Données de base - Grunddaten'!$A$2:$M$273,4,FALSE))</f>
        <v>Chlü, Klöntalersee, Sulzbach</v>
      </c>
      <c r="D87" s="1028" t="str">
        <f>IF(VLOOKUP(A87,'Données de base - Grunddaten'!$A$2:$M$273,5,FALSE)="","",VLOOKUP(A87,'Données de base - Grunddaten'!$A$2:$M$273,5,FALSE))</f>
        <v>GL</v>
      </c>
      <c r="E87" s="647" t="s">
        <v>746</v>
      </c>
      <c r="F87" s="636" t="s">
        <v>1345</v>
      </c>
      <c r="G87" s="637" t="s">
        <v>1345</v>
      </c>
      <c r="H87" s="995" t="s">
        <v>746</v>
      </c>
      <c r="I87" s="1048" t="s">
        <v>48</v>
      </c>
      <c r="J87" s="984" t="s">
        <v>746</v>
      </c>
      <c r="K87" s="1052"/>
      <c r="L87" s="1022"/>
      <c r="M87" s="1022"/>
      <c r="N87" s="1011"/>
      <c r="O87" s="1012"/>
      <c r="P87" s="1063"/>
      <c r="Q87" s="996" t="s">
        <v>746</v>
      </c>
      <c r="R87" s="1115" t="str">
        <f>IF(VLOOKUP(A87,'Eclusée - Schwall-Sunk'!$A$2:$F$273,5,FALSE)="","",VLOOKUP(A87,'Eclusée - Schwall-Sunk'!$A$2:$F$273,5,FALSE))</f>
        <v/>
      </c>
      <c r="S87" s="1126" t="str">
        <f>IF(VLOOKUP(A87,'Eclusée - Schwall-Sunk'!$A$2:$F$273,6,FALSE)="","",VLOOKUP(A87,'Eclusée - Schwall-Sunk'!$A$2:$F$273,6,FALSE))</f>
        <v>Non affecté / nicht betroffen</v>
      </c>
      <c r="T87" s="1123"/>
      <c r="U87" s="572"/>
      <c r="V87" s="572"/>
    </row>
    <row r="88" spans="1:23" ht="35.25" customHeight="1" x14ac:dyDescent="0.25">
      <c r="A88" s="926">
        <v>110</v>
      </c>
      <c r="B88" s="1028" t="str">
        <f>IF(VLOOKUP(A88,'Données de base - Grunddaten'!$A$2:$M$273,3,FALSE)="","",VLOOKUP(A88,'Données de base - Grunddaten'!$A$2:$M$273,3,FALSE))</f>
        <v>Biber im Ägeriried</v>
      </c>
      <c r="C88" s="1028" t="str">
        <f>IF(VLOOKUP(A88,'Données de base - Grunddaten'!$A$2:$M$273,4,FALSE)="","",VLOOKUP(A88,'Données de base - Grunddaten'!$A$2:$M$273,4,FALSE))</f>
        <v>Biber</v>
      </c>
      <c r="D88" s="1028" t="str">
        <f>IF(VLOOKUP(A88,'Données de base - Grunddaten'!$A$2:$M$273,5,FALSE)="","",VLOOKUP(A88,'Données de base - Grunddaten'!$A$2:$M$273,5,FALSE))</f>
        <v>SZ/ZG</v>
      </c>
      <c r="E88" s="647" t="s">
        <v>746</v>
      </c>
      <c r="F88" s="636" t="s">
        <v>1345</v>
      </c>
      <c r="G88" s="637" t="s">
        <v>1345</v>
      </c>
      <c r="H88" s="995" t="s">
        <v>746</v>
      </c>
      <c r="I88" s="1048" t="s">
        <v>48</v>
      </c>
      <c r="J88" s="984" t="s">
        <v>746</v>
      </c>
      <c r="K88" s="1052"/>
      <c r="L88" s="1021"/>
      <c r="M88" s="1025" t="s">
        <v>203</v>
      </c>
      <c r="N88" s="1011"/>
      <c r="O88" s="1012"/>
      <c r="P88" s="1062"/>
      <c r="Q88" s="997" t="s">
        <v>746</v>
      </c>
      <c r="R88" s="1115" t="str">
        <f>IF(VLOOKUP(A88,'Eclusée - Schwall-Sunk'!$A$2:$F$273,5,FALSE)="","",VLOOKUP(A88,'Eclusée - Schwall-Sunk'!$A$2:$F$273,5,FALSE))</f>
        <v/>
      </c>
      <c r="S88" s="1126" t="str">
        <f>IF(VLOOKUP(A88,'Eclusée - Schwall-Sunk'!$A$2:$F$273,6,FALSE)="","",VLOOKUP(A88,'Eclusée - Schwall-Sunk'!$A$2:$F$273,6,FALSE))</f>
        <v>Non affecté / nicht betroffen</v>
      </c>
      <c r="T88" s="1123"/>
      <c r="U88" s="572"/>
      <c r="V88" s="572"/>
      <c r="W88" s="1073" t="s">
        <v>1371</v>
      </c>
    </row>
    <row r="89" spans="1:23" ht="35.25" customHeight="1" x14ac:dyDescent="0.25">
      <c r="A89" s="926">
        <v>112</v>
      </c>
      <c r="B89" s="1028" t="str">
        <f>IF(VLOOKUP(A89,'Données de base - Grunddaten'!$A$2:$M$273,3,FALSE)="","",VLOOKUP(A89,'Données de base - Grunddaten'!$A$2:$M$273,3,FALSE))</f>
        <v>Vallon de la Laire</v>
      </c>
      <c r="C89" s="1028" t="str">
        <f>IF(VLOOKUP(A89,'Données de base - Grunddaten'!$A$2:$M$273,4,FALSE)="","",VLOOKUP(A89,'Données de base - Grunddaten'!$A$2:$M$273,4,FALSE))</f>
        <v>La Laire</v>
      </c>
      <c r="D89" s="1028" t="str">
        <f>IF(VLOOKUP(A89,'Données de base - Grunddaten'!$A$2:$M$273,5,FALSE)="","",VLOOKUP(A89,'Données de base - Grunddaten'!$A$2:$M$273,5,FALSE))</f>
        <v>GE</v>
      </c>
      <c r="E89" s="647" t="s">
        <v>746</v>
      </c>
      <c r="F89" s="636" t="s">
        <v>1345</v>
      </c>
      <c r="G89" s="637" t="s">
        <v>1345</v>
      </c>
      <c r="H89" s="995" t="s">
        <v>746</v>
      </c>
      <c r="I89" s="1048" t="s">
        <v>48</v>
      </c>
      <c r="J89" s="985" t="s">
        <v>746</v>
      </c>
      <c r="K89" s="1052"/>
      <c r="L89" s="1022"/>
      <c r="M89" s="1022"/>
      <c r="N89" s="1011"/>
      <c r="O89" s="1012"/>
      <c r="P89" s="1063"/>
      <c r="Q89" s="997" t="s">
        <v>746</v>
      </c>
      <c r="R89" s="1115" t="str">
        <f>IF(VLOOKUP(A89,'Eclusée - Schwall-Sunk'!$A$2:$F$273,5,FALSE)="","",VLOOKUP(A89,'Eclusée - Schwall-Sunk'!$A$2:$F$273,5,FALSE))</f>
        <v/>
      </c>
      <c r="S89" s="1126" t="str">
        <f>IF(VLOOKUP(A89,'Eclusée - Schwall-Sunk'!$A$2:$F$273,6,FALSE)="","",VLOOKUP(A89,'Eclusée - Schwall-Sunk'!$A$2:$F$273,6,FALSE))</f>
        <v>Non affecté / nicht betroffen</v>
      </c>
      <c r="T89" s="1123"/>
      <c r="U89" s="572"/>
      <c r="V89" s="572"/>
    </row>
    <row r="90" spans="1:23" ht="35.25" customHeight="1" x14ac:dyDescent="0.25">
      <c r="A90" s="926">
        <v>113</v>
      </c>
      <c r="B90" s="1028" t="str">
        <f>IF(VLOOKUP(A90,'Données de base - Grunddaten'!$A$2:$M$273,3,FALSE)="","",VLOOKUP(A90,'Données de base - Grunddaten'!$A$2:$M$273,3,FALSE))</f>
        <v>Vallon de l'Allondon</v>
      </c>
      <c r="C90" s="1028" t="str">
        <f>IF(VLOOKUP(A90,'Données de base - Grunddaten'!$A$2:$M$273,4,FALSE)="","",VLOOKUP(A90,'Données de base - Grunddaten'!$A$2:$M$273,4,FALSE))</f>
        <v>L'Allondon</v>
      </c>
      <c r="D90" s="1028" t="str">
        <f>IF(VLOOKUP(A90,'Données de base - Grunddaten'!$A$2:$M$273,5,FALSE)="","",VLOOKUP(A90,'Données de base - Grunddaten'!$A$2:$M$273,5,FALSE))</f>
        <v>GE</v>
      </c>
      <c r="E90" s="647" t="s">
        <v>746</v>
      </c>
      <c r="F90" s="636" t="s">
        <v>1345</v>
      </c>
      <c r="G90" s="637" t="s">
        <v>1345</v>
      </c>
      <c r="H90" s="995" t="s">
        <v>746</v>
      </c>
      <c r="I90" s="1048" t="s">
        <v>48</v>
      </c>
      <c r="J90" s="984" t="s">
        <v>746</v>
      </c>
      <c r="K90" s="1052"/>
      <c r="L90" s="1022"/>
      <c r="M90" s="1022"/>
      <c r="N90" s="1011"/>
      <c r="O90" s="1012"/>
      <c r="P90" s="1063"/>
      <c r="Q90" s="996" t="s">
        <v>746</v>
      </c>
      <c r="R90" s="1115" t="str">
        <f>IF(VLOOKUP(A90,'Eclusée - Schwall-Sunk'!$A$2:$F$273,5,FALSE)="","",VLOOKUP(A90,'Eclusée - Schwall-Sunk'!$A$2:$F$273,5,FALSE))</f>
        <v/>
      </c>
      <c r="S90" s="1126" t="str">
        <f>IF(VLOOKUP(A90,'Eclusée - Schwall-Sunk'!$A$2:$F$273,6,FALSE)="","",VLOOKUP(A90,'Eclusée - Schwall-Sunk'!$A$2:$F$273,6,FALSE))</f>
        <v>Non affecté / nicht betroffen</v>
      </c>
      <c r="T90" s="1123"/>
      <c r="U90" s="572"/>
      <c r="V90" s="572"/>
    </row>
    <row r="91" spans="1:23" ht="35.25" customHeight="1" x14ac:dyDescent="0.25">
      <c r="A91" s="926">
        <v>114</v>
      </c>
      <c r="B91" s="1028" t="str">
        <f>IF(VLOOKUP(A91,'Données de base - Grunddaten'!$A$2:$M$273,3,FALSE)="","",VLOOKUP(A91,'Données de base - Grunddaten'!$A$2:$M$273,3,FALSE))</f>
        <v>Moulin de Vert</v>
      </c>
      <c r="C91" s="1028" t="str">
        <f>IF(VLOOKUP(A91,'Données de base - Grunddaten'!$A$2:$M$273,4,FALSE)="","",VLOOKUP(A91,'Données de base - Grunddaten'!$A$2:$M$273,4,FALSE))</f>
        <v>Le Rhône</v>
      </c>
      <c r="D91" s="1028" t="str">
        <f>IF(VLOOKUP(A91,'Données de base - Grunddaten'!$A$2:$M$273,5,FALSE)="","",VLOOKUP(A91,'Données de base - Grunddaten'!$A$2:$M$273,5,FALSE))</f>
        <v>GE</v>
      </c>
      <c r="E91" s="647" t="s">
        <v>45</v>
      </c>
      <c r="F91" s="639"/>
      <c r="G91" s="635"/>
      <c r="H91" s="995" t="s">
        <v>45</v>
      </c>
      <c r="I91" s="1048" t="s">
        <v>48</v>
      </c>
      <c r="J91" s="984" t="s">
        <v>45</v>
      </c>
      <c r="K91" s="1052"/>
      <c r="L91" s="1022"/>
      <c r="M91" s="1022"/>
      <c r="N91" s="1011"/>
      <c r="O91" s="1012"/>
      <c r="P91" s="1063"/>
      <c r="Q91" s="996" t="s">
        <v>45</v>
      </c>
      <c r="R91" s="1115" t="str">
        <f>IF(VLOOKUP(A91,'Eclusée - Schwall-Sunk'!$A$2:$F$273,5,FALSE)="","",VLOOKUP(A91,'Eclusée - Schwall-Sunk'!$A$2:$F$273,5,FALSE))</f>
        <v>force hydraulique</v>
      </c>
      <c r="S91" s="1126" t="str">
        <f>IF(VLOOKUP(A91,'Eclusée - Schwall-Sunk'!$A$2:$F$273,6,FALSE)="","",VLOOKUP(A91,'Eclusée - Schwall-Sunk'!$A$2:$F$273,6,FALSE))</f>
        <v>Potentiellement affecté / möglicherweise betroffen</v>
      </c>
      <c r="T91" s="1123"/>
      <c r="U91" s="572"/>
      <c r="V91" s="572"/>
    </row>
    <row r="92" spans="1:23" ht="35.25" customHeight="1" x14ac:dyDescent="0.25">
      <c r="A92" s="926">
        <v>115</v>
      </c>
      <c r="B92" s="1028" t="str">
        <f>IF(VLOOKUP(A92,'Données de base - Grunddaten'!$A$2:$M$273,3,FALSE)="","",VLOOKUP(A92,'Données de base - Grunddaten'!$A$2:$M$273,3,FALSE))</f>
        <v>Les Gravines</v>
      </c>
      <c r="C92" s="1028" t="str">
        <f>IF(VLOOKUP(A92,'Données de base - Grunddaten'!$A$2:$M$273,4,FALSE)="","",VLOOKUP(A92,'Données de base - Grunddaten'!$A$2:$M$273,4,FALSE))</f>
        <v>La Versoix</v>
      </c>
      <c r="D92" s="1028" t="str">
        <f>IF(VLOOKUP(A92,'Données de base - Grunddaten'!$A$2:$M$273,5,FALSE)="","",VLOOKUP(A92,'Données de base - Grunddaten'!$A$2:$M$273,5,FALSE))</f>
        <v>GE</v>
      </c>
      <c r="E92" s="647" t="s">
        <v>746</v>
      </c>
      <c r="F92" s="640" t="s">
        <v>1368</v>
      </c>
      <c r="G92" s="635" t="s">
        <v>1369</v>
      </c>
      <c r="H92" s="995" t="s">
        <v>88</v>
      </c>
      <c r="I92" s="1002" t="s">
        <v>1334</v>
      </c>
      <c r="J92" s="983" t="s">
        <v>88</v>
      </c>
      <c r="K92" s="1051" t="s">
        <v>126</v>
      </c>
      <c r="L92" s="1023"/>
      <c r="M92" s="1023"/>
      <c r="N92" s="1017" t="s">
        <v>1370</v>
      </c>
      <c r="O92" s="1018" t="s">
        <v>52</v>
      </c>
      <c r="P92" s="1059"/>
      <c r="Q92" s="996" t="s">
        <v>746</v>
      </c>
      <c r="R92" s="1115" t="str">
        <f>IF(VLOOKUP(A92,'Eclusée - Schwall-Sunk'!$A$2:$F$273,5,FALSE)="","",VLOOKUP(A92,'Eclusée - Schwall-Sunk'!$A$2:$F$273,5,FALSE))</f>
        <v>force hydraulique</v>
      </c>
      <c r="S92" s="1126" t="str">
        <f>IF(VLOOKUP(A92,'Eclusée - Schwall-Sunk'!$A$2:$F$273,6,FALSE)="","",VLOOKUP(A92,'Eclusée - Schwall-Sunk'!$A$2:$F$273,6,FALSE))</f>
        <v>Non affecté / nicht betroffen</v>
      </c>
      <c r="T92" s="1123"/>
      <c r="U92" s="572"/>
      <c r="V92" s="572"/>
    </row>
    <row r="93" spans="1:23" ht="35.25" customHeight="1" x14ac:dyDescent="0.25">
      <c r="A93" s="926">
        <v>118</v>
      </c>
      <c r="B93" s="1028" t="str">
        <f>IF(VLOOKUP(A93,'Données de base - Grunddaten'!$A$2:$M$273,3,FALSE)="","",VLOOKUP(A93,'Données de base - Grunddaten'!$A$2:$M$273,3,FALSE))</f>
        <v>Grand Bataillard</v>
      </c>
      <c r="C93" s="1028" t="str">
        <f>IF(VLOOKUP(A93,'Données de base - Grunddaten'!$A$2:$M$273,4,FALSE)="","",VLOOKUP(A93,'Données de base - Grunddaten'!$A$2:$M$273,4,FALSE))</f>
        <v>La Versoix</v>
      </c>
      <c r="D93" s="1028" t="str">
        <f>IF(VLOOKUP(A93,'Données de base - Grunddaten'!$A$2:$M$273,5,FALSE)="","",VLOOKUP(A93,'Données de base - Grunddaten'!$A$2:$M$273,5,FALSE))</f>
        <v>VD</v>
      </c>
      <c r="E93" s="647" t="s">
        <v>746</v>
      </c>
      <c r="F93" s="636" t="s">
        <v>1345</v>
      </c>
      <c r="G93" s="637" t="s">
        <v>1345</v>
      </c>
      <c r="H93" s="995" t="s">
        <v>746</v>
      </c>
      <c r="I93" s="1048" t="s">
        <v>48</v>
      </c>
      <c r="J93" s="984" t="s">
        <v>746</v>
      </c>
      <c r="K93" s="1052"/>
      <c r="L93" s="1022"/>
      <c r="M93" s="1022"/>
      <c r="N93" s="1011"/>
      <c r="O93" s="1012"/>
      <c r="P93" s="1063"/>
      <c r="Q93" s="996" t="s">
        <v>746</v>
      </c>
      <c r="R93" s="1115" t="str">
        <f>IF(VLOOKUP(A93,'Eclusée - Schwall-Sunk'!$A$2:$F$273,5,FALSE)="","",VLOOKUP(A93,'Eclusée - Schwall-Sunk'!$A$2:$F$273,5,FALSE))</f>
        <v/>
      </c>
      <c r="S93" s="1126" t="str">
        <f>IF(VLOOKUP(A93,'Eclusée - Schwall-Sunk'!$A$2:$F$273,6,FALSE)="","",VLOOKUP(A93,'Eclusée - Schwall-Sunk'!$A$2:$F$273,6,FALSE))</f>
        <v>Non affecté / nicht betroffen</v>
      </c>
      <c r="T93" s="1123"/>
      <c r="U93" s="572"/>
      <c r="V93" s="572"/>
    </row>
    <row r="94" spans="1:23" ht="35.25" customHeight="1" x14ac:dyDescent="0.25">
      <c r="A94" s="927">
        <v>119.1</v>
      </c>
      <c r="B94" s="1028" t="str">
        <f>IF(VLOOKUP(A94,'Données de base - Grunddaten'!$A$2:$M$273,3,FALSE)="","",VLOOKUP(A94,'Données de base - Grunddaten'!$A$2:$M$273,3,FALSE))</f>
        <v>Embouchure de l'Aubonne</v>
      </c>
      <c r="C94" s="1028" t="str">
        <f>IF(VLOOKUP(A94,'Données de base - Grunddaten'!$A$2:$M$273,4,FALSE)="","",VLOOKUP(A94,'Données de base - Grunddaten'!$A$2:$M$273,4,FALSE))</f>
        <v>L'Aubonne</v>
      </c>
      <c r="D94" s="1028" t="str">
        <f>IF(VLOOKUP(A94,'Données de base - Grunddaten'!$A$2:$M$273,5,FALSE)="","",VLOOKUP(A94,'Données de base - Grunddaten'!$A$2:$M$273,5,FALSE))</f>
        <v>VD</v>
      </c>
      <c r="E94" s="647" t="s">
        <v>746</v>
      </c>
      <c r="F94" s="636" t="s">
        <v>1345</v>
      </c>
      <c r="G94" s="637" t="s">
        <v>1345</v>
      </c>
      <c r="H94" s="995" t="s">
        <v>746</v>
      </c>
      <c r="I94" s="1048" t="s">
        <v>48</v>
      </c>
      <c r="J94" s="984" t="s">
        <v>746</v>
      </c>
      <c r="K94" s="1052"/>
      <c r="L94" s="1022"/>
      <c r="M94" s="1022"/>
      <c r="N94" s="1011"/>
      <c r="O94" s="1012"/>
      <c r="P94" s="1063"/>
      <c r="Q94" s="996" t="s">
        <v>746</v>
      </c>
      <c r="R94" s="1115" t="str">
        <f>IF(VLOOKUP(A94,'Eclusée - Schwall-Sunk'!$A$2:$F$273,5,FALSE)="","",VLOOKUP(A94,'Eclusée - Schwall-Sunk'!$A$2:$F$273,5,FALSE))</f>
        <v/>
      </c>
      <c r="S94" s="1126" t="str">
        <f>IF(VLOOKUP(A94,'Eclusée - Schwall-Sunk'!$A$2:$F$273,6,FALSE)="","",VLOOKUP(A94,'Eclusée - Schwall-Sunk'!$A$2:$F$273,6,FALSE))</f>
        <v>Potentiellement affecté / möglicherweise betroffen</v>
      </c>
      <c r="T94" s="1123"/>
      <c r="U94" s="572"/>
      <c r="V94" s="572"/>
    </row>
    <row r="95" spans="1:23" ht="35.25" customHeight="1" x14ac:dyDescent="0.25">
      <c r="A95" s="927">
        <v>119.2</v>
      </c>
      <c r="B95" s="1028" t="str">
        <f>IF(VLOOKUP(A95,'Données de base - Grunddaten'!$A$2:$M$273,3,FALSE)="","",VLOOKUP(A95,'Données de base - Grunddaten'!$A$2:$M$273,3,FALSE))</f>
        <v>Embouchure de l'Aubonne</v>
      </c>
      <c r="C95" s="1028" t="str">
        <f>IF(VLOOKUP(A95,'Données de base - Grunddaten'!$A$2:$M$273,4,FALSE)="","",VLOOKUP(A95,'Données de base - Grunddaten'!$A$2:$M$273,4,FALSE))</f>
        <v>L'Aubonne</v>
      </c>
      <c r="D95" s="1028" t="str">
        <f>IF(VLOOKUP(A95,'Données de base - Grunddaten'!$A$2:$M$273,5,FALSE)="","",VLOOKUP(A95,'Données de base - Grunddaten'!$A$2:$M$273,5,FALSE))</f>
        <v>VD</v>
      </c>
      <c r="E95" s="647" t="s">
        <v>746</v>
      </c>
      <c r="F95" s="636" t="s">
        <v>1345</v>
      </c>
      <c r="G95" s="637" t="s">
        <v>1345</v>
      </c>
      <c r="H95" s="995" t="s">
        <v>746</v>
      </c>
      <c r="I95" s="1048" t="s">
        <v>48</v>
      </c>
      <c r="J95" s="984" t="s">
        <v>746</v>
      </c>
      <c r="K95" s="1052"/>
      <c r="L95" s="1022"/>
      <c r="M95" s="1022"/>
      <c r="N95" s="1011"/>
      <c r="O95" s="1012"/>
      <c r="P95" s="1063"/>
      <c r="Q95" s="996" t="s">
        <v>746</v>
      </c>
      <c r="R95" s="1115" t="str">
        <f>IF(VLOOKUP(A95,'Eclusée - Schwall-Sunk'!$A$2:$F$273,5,FALSE)="","",VLOOKUP(A95,'Eclusée - Schwall-Sunk'!$A$2:$F$273,5,FALSE))</f>
        <v/>
      </c>
      <c r="S95" s="1126" t="str">
        <f>IF(VLOOKUP(A95,'Eclusée - Schwall-Sunk'!$A$2:$F$273,6,FALSE)="","",VLOOKUP(A95,'Eclusée - Schwall-Sunk'!$A$2:$F$273,6,FALSE))</f>
        <v>Potentiellement affecté / möglicherweise betroffen</v>
      </c>
      <c r="T95" s="1123"/>
      <c r="U95" s="572"/>
      <c r="V95" s="572"/>
    </row>
    <row r="96" spans="1:23" ht="35.25" customHeight="1" x14ac:dyDescent="0.25">
      <c r="A96" s="927">
        <v>119.3</v>
      </c>
      <c r="B96" s="1028" t="str">
        <f>IF(VLOOKUP(A96,'Données de base - Grunddaten'!$A$2:$M$273,3,FALSE)="","",VLOOKUP(A96,'Données de base - Grunddaten'!$A$2:$M$273,3,FALSE))</f>
        <v>Embouchure de l'Aubonne</v>
      </c>
      <c r="C96" s="1028" t="str">
        <f>IF(VLOOKUP(A96,'Données de base - Grunddaten'!$A$2:$M$273,4,FALSE)="","",VLOOKUP(A96,'Données de base - Grunddaten'!$A$2:$M$273,4,FALSE))</f>
        <v>L'Aubonne</v>
      </c>
      <c r="D96" s="1028" t="str">
        <f>IF(VLOOKUP(A96,'Données de base - Grunddaten'!$A$2:$M$273,5,FALSE)="","",VLOOKUP(A96,'Données de base - Grunddaten'!$A$2:$M$273,5,FALSE))</f>
        <v>VD</v>
      </c>
      <c r="E96" s="647" t="s">
        <v>51</v>
      </c>
      <c r="F96" s="634"/>
      <c r="G96" s="638"/>
      <c r="H96" s="995" t="s">
        <v>53</v>
      </c>
      <c r="I96" s="1048" t="s">
        <v>48</v>
      </c>
      <c r="J96" s="986" t="s">
        <v>53</v>
      </c>
      <c r="K96" s="1052"/>
      <c r="L96" s="1022"/>
      <c r="M96" s="1022"/>
      <c r="N96" s="1011"/>
      <c r="O96" s="1012"/>
      <c r="P96" s="1063"/>
      <c r="Q96" s="995" t="s">
        <v>53</v>
      </c>
      <c r="R96" s="1115" t="str">
        <f>IF(VLOOKUP(A96,'Eclusée - Schwall-Sunk'!$A$2:$F$273,5,FALSE)="","",VLOOKUP(A96,'Eclusée - Schwall-Sunk'!$A$2:$F$273,5,FALSE))</f>
        <v/>
      </c>
      <c r="S96" s="1126" t="str">
        <f>IF(VLOOKUP(A96,'Eclusée - Schwall-Sunk'!$A$2:$F$273,6,FALSE)="","",VLOOKUP(A96,'Eclusée - Schwall-Sunk'!$A$2:$F$273,6,FALSE))</f>
        <v>Non affecté / nicht betroffen</v>
      </c>
      <c r="T96" s="1123"/>
      <c r="U96" s="572"/>
      <c r="V96" s="572"/>
    </row>
    <row r="97" spans="1:22" ht="35.25" customHeight="1" x14ac:dyDescent="0.25">
      <c r="A97" s="926">
        <v>120</v>
      </c>
      <c r="B97" s="1028" t="str">
        <f>IF(VLOOKUP(A97,'Données de base - Grunddaten'!$A$2:$M$273,3,FALSE)="","",VLOOKUP(A97,'Données de base - Grunddaten'!$A$2:$M$273,3,FALSE))</f>
        <v>Les Iles de Bussigny</v>
      </c>
      <c r="C97" s="1028" t="str">
        <f>IF(VLOOKUP(A97,'Données de base - Grunddaten'!$A$2:$M$273,4,FALSE)="","",VLOOKUP(A97,'Données de base - Grunddaten'!$A$2:$M$273,4,FALSE))</f>
        <v>La Venoge</v>
      </c>
      <c r="D97" s="1028" t="str">
        <f>IF(VLOOKUP(A97,'Données de base - Grunddaten'!$A$2:$M$273,5,FALSE)="","",VLOOKUP(A97,'Données de base - Grunddaten'!$A$2:$M$273,5,FALSE))</f>
        <v>VD</v>
      </c>
      <c r="E97" s="647" t="s">
        <v>746</v>
      </c>
      <c r="F97" s="636" t="s">
        <v>1345</v>
      </c>
      <c r="G97" s="637" t="s">
        <v>1345</v>
      </c>
      <c r="H97" s="995" t="s">
        <v>746</v>
      </c>
      <c r="I97" s="1002" t="s">
        <v>1376</v>
      </c>
      <c r="J97" s="983" t="s">
        <v>746</v>
      </c>
      <c r="K97" s="1051" t="s">
        <v>126</v>
      </c>
      <c r="L97" s="1023"/>
      <c r="M97" s="1023"/>
      <c r="N97" s="1017" t="s">
        <v>1488</v>
      </c>
      <c r="O97" s="1018" t="s">
        <v>52</v>
      </c>
      <c r="P97" s="1059"/>
      <c r="Q97" s="998" t="s">
        <v>746</v>
      </c>
      <c r="R97" s="1115" t="str">
        <f>IF(VLOOKUP(A97,'Eclusée - Schwall-Sunk'!$A$2:$F$273,5,FALSE)="","",VLOOKUP(A97,'Eclusée - Schwall-Sunk'!$A$2:$F$273,5,FALSE))</f>
        <v/>
      </c>
      <c r="S97" s="1126" t="str">
        <f>IF(VLOOKUP(A97,'Eclusée - Schwall-Sunk'!$A$2:$F$273,6,FALSE)="","",VLOOKUP(A97,'Eclusée - Schwall-Sunk'!$A$2:$F$273,6,FALSE))</f>
        <v>Non affecté / nicht betroffen</v>
      </c>
      <c r="T97" s="1123"/>
      <c r="U97" s="572"/>
      <c r="V97" s="572"/>
    </row>
    <row r="98" spans="1:22" ht="38.25" x14ac:dyDescent="0.25">
      <c r="A98" s="926">
        <v>121</v>
      </c>
      <c r="B98" s="1028" t="str">
        <f>IF(VLOOKUP(A98,'Données de base - Grunddaten'!$A$2:$M$273,3,FALSE)="","",VLOOKUP(A98,'Données de base - Grunddaten'!$A$2:$M$273,3,FALSE))</f>
        <v>La Roujarde</v>
      </c>
      <c r="C98" s="1028" t="str">
        <f>IF(VLOOKUP(A98,'Données de base - Grunddaten'!$A$2:$M$273,4,FALSE)="","",VLOOKUP(A98,'Données de base - Grunddaten'!$A$2:$M$273,4,FALSE))</f>
        <v>La Venoge</v>
      </c>
      <c r="D98" s="1028" t="str">
        <f>IF(VLOOKUP(A98,'Données de base - Grunddaten'!$A$2:$M$273,5,FALSE)="","",VLOOKUP(A98,'Données de base - Grunddaten'!$A$2:$M$273,5,FALSE))</f>
        <v>VD</v>
      </c>
      <c r="E98" s="647" t="s">
        <v>746</v>
      </c>
      <c r="F98" s="636" t="s">
        <v>1345</v>
      </c>
      <c r="G98" s="641" t="s">
        <v>1489</v>
      </c>
      <c r="H98" s="995" t="s">
        <v>45</v>
      </c>
      <c r="I98" s="1002" t="s">
        <v>1376</v>
      </c>
      <c r="J98" s="983" t="s">
        <v>45</v>
      </c>
      <c r="K98" s="1051" t="s">
        <v>126</v>
      </c>
      <c r="L98" s="1023"/>
      <c r="M98" s="1023"/>
      <c r="N98" s="1017" t="s">
        <v>1490</v>
      </c>
      <c r="O98" s="1018" t="s">
        <v>52</v>
      </c>
      <c r="P98" s="1059"/>
      <c r="Q98" s="998" t="s">
        <v>45</v>
      </c>
      <c r="R98" s="1115" t="str">
        <f>IF(VLOOKUP(A98,'Eclusée - Schwall-Sunk'!$A$2:$F$273,5,FALSE)="","",VLOOKUP(A98,'Eclusée - Schwall-Sunk'!$A$2:$F$273,5,FALSE))</f>
        <v>autre prélèvement</v>
      </c>
      <c r="S98" s="1126" t="str">
        <f>IF(VLOOKUP(A98,'Eclusée - Schwall-Sunk'!$A$2:$F$273,6,FALSE)="","",VLOOKUP(A98,'Eclusée - Schwall-Sunk'!$A$2:$F$273,6,FALSE))</f>
        <v>Non affecté / nicht betroffen</v>
      </c>
      <c r="T98" s="1123"/>
      <c r="U98" s="572"/>
      <c r="V98" s="572"/>
    </row>
    <row r="99" spans="1:22" ht="35.25" customHeight="1" x14ac:dyDescent="0.25">
      <c r="A99" s="926">
        <v>122</v>
      </c>
      <c r="B99" s="1028" t="str">
        <f>IF(VLOOKUP(A99,'Données de base - Grunddaten'!$A$2:$M$273,3,FALSE)="","",VLOOKUP(A99,'Données de base - Grunddaten'!$A$2:$M$273,3,FALSE))</f>
        <v>Bois de Vaux</v>
      </c>
      <c r="C99" s="1028" t="str">
        <f>IF(VLOOKUP(A99,'Données de base - Grunddaten'!$A$2:$M$273,4,FALSE)="","",VLOOKUP(A99,'Données de base - Grunddaten'!$A$2:$M$273,4,FALSE))</f>
        <v>La Venoge</v>
      </c>
      <c r="D99" s="1028" t="str">
        <f>IF(VLOOKUP(A99,'Données de base - Grunddaten'!$A$2:$M$273,5,FALSE)="","",VLOOKUP(A99,'Données de base - Grunddaten'!$A$2:$M$273,5,FALSE))</f>
        <v>VD</v>
      </c>
      <c r="E99" s="647" t="s">
        <v>746</v>
      </c>
      <c r="F99" s="636" t="s">
        <v>1345</v>
      </c>
      <c r="G99" s="637" t="s">
        <v>1345</v>
      </c>
      <c r="H99" s="995" t="s">
        <v>746</v>
      </c>
      <c r="I99" s="1048" t="s">
        <v>48</v>
      </c>
      <c r="J99" s="984" t="s">
        <v>746</v>
      </c>
      <c r="K99" s="1052"/>
      <c r="L99" s="1022"/>
      <c r="M99" s="1022"/>
      <c r="N99" s="1011"/>
      <c r="O99" s="1012"/>
      <c r="P99" s="1063"/>
      <c r="Q99" s="996" t="s">
        <v>746</v>
      </c>
      <c r="R99" s="1115" t="str">
        <f>IF(VLOOKUP(A99,'Eclusée - Schwall-Sunk'!$A$2:$F$273,5,FALSE)="","",VLOOKUP(A99,'Eclusée - Schwall-Sunk'!$A$2:$F$273,5,FALSE))</f>
        <v/>
      </c>
      <c r="S99" s="1126" t="str">
        <f>IF(VLOOKUP(A99,'Eclusée - Schwall-Sunk'!$A$2:$F$273,6,FALSE)="","",VLOOKUP(A99,'Eclusée - Schwall-Sunk'!$A$2:$F$273,6,FALSE))</f>
        <v>Non affecté / nicht betroffen</v>
      </c>
      <c r="T99" s="1123"/>
      <c r="U99" s="572"/>
      <c r="V99" s="572"/>
    </row>
    <row r="100" spans="1:22" ht="35.25" customHeight="1" x14ac:dyDescent="0.25">
      <c r="A100" s="927">
        <v>123.1</v>
      </c>
      <c r="B100" s="1028" t="str">
        <f>IF(VLOOKUP(A100,'Données de base - Grunddaten'!$A$2:$M$273,3,FALSE)="","",VLOOKUP(A100,'Données de base - Grunddaten'!$A$2:$M$273,3,FALSE))</f>
        <v>Les Grangettes</v>
      </c>
      <c r="C100" s="1028" t="str">
        <f>IF(VLOOKUP(A100,'Données de base - Grunddaten'!$A$2:$M$273,4,FALSE)="","",VLOOKUP(A100,'Données de base - Grunddaten'!$A$2:$M$273,4,FALSE))</f>
        <v>Le Rhône, Grand Canal, Lac Léman</v>
      </c>
      <c r="D100" s="1028" t="str">
        <f>IF(VLOOKUP(A100,'Données de base - Grunddaten'!$A$2:$M$273,5,FALSE)="","",VLOOKUP(A100,'Données de base - Grunddaten'!$A$2:$M$273,5,FALSE))</f>
        <v>VD</v>
      </c>
      <c r="E100" s="647" t="s">
        <v>45</v>
      </c>
      <c r="F100" s="634"/>
      <c r="G100" s="638"/>
      <c r="H100" s="995" t="s">
        <v>45</v>
      </c>
      <c r="I100" s="1048" t="s">
        <v>48</v>
      </c>
      <c r="J100" s="983" t="s">
        <v>45</v>
      </c>
      <c r="K100" s="1052"/>
      <c r="L100" s="1022"/>
      <c r="M100" s="1022"/>
      <c r="N100" s="1011"/>
      <c r="O100" s="1012"/>
      <c r="P100" s="1063"/>
      <c r="Q100" s="998" t="s">
        <v>45</v>
      </c>
      <c r="R100" s="1115" t="str">
        <f>IF(VLOOKUP(A100,'Eclusée - Schwall-Sunk'!$A$2:$F$273,5,FALSE)="","",VLOOKUP(A100,'Eclusée - Schwall-Sunk'!$A$2:$F$273,5,FALSE))</f>
        <v>force hydraulique</v>
      </c>
      <c r="S100" s="1126" t="str">
        <f>IF(VLOOKUP(A100,'Eclusée - Schwall-Sunk'!$A$2:$F$273,6,FALSE)="","",VLOOKUP(A100,'Eclusée - Schwall-Sunk'!$A$2:$F$273,6,FALSE))</f>
        <v>Potentiellement affecté / möglicherweise betroffen</v>
      </c>
      <c r="T100" s="1123"/>
      <c r="U100" s="572"/>
      <c r="V100" s="572"/>
    </row>
    <row r="101" spans="1:22" ht="35.25" customHeight="1" x14ac:dyDescent="0.25">
      <c r="A101" s="927">
        <v>123.2</v>
      </c>
      <c r="B101" s="1028" t="str">
        <f>IF(VLOOKUP(A101,'Données de base - Grunddaten'!$A$2:$M$273,3,FALSE)="","",VLOOKUP(A101,'Données de base - Grunddaten'!$A$2:$M$273,3,FALSE))</f>
        <v>Les Grangettes</v>
      </c>
      <c r="C101" s="1028" t="str">
        <f>IF(VLOOKUP(A101,'Données de base - Grunddaten'!$A$2:$M$273,4,FALSE)="","",VLOOKUP(A101,'Données de base - Grunddaten'!$A$2:$M$273,4,FALSE))</f>
        <v>Le Rhône, Grand Canal, Lac Léman</v>
      </c>
      <c r="D101" s="1028" t="str">
        <f>IF(VLOOKUP(A101,'Données de base - Grunddaten'!$A$2:$M$273,5,FALSE)="","",VLOOKUP(A101,'Données de base - Grunddaten'!$A$2:$M$273,5,FALSE))</f>
        <v>VD</v>
      </c>
      <c r="E101" s="647" t="s">
        <v>45</v>
      </c>
      <c r="F101" s="634"/>
      <c r="G101" s="638"/>
      <c r="H101" s="995" t="s">
        <v>45</v>
      </c>
      <c r="I101" s="1048" t="s">
        <v>48</v>
      </c>
      <c r="J101" s="984" t="s">
        <v>45</v>
      </c>
      <c r="K101" s="1052"/>
      <c r="L101" s="1022"/>
      <c r="M101" s="1022"/>
      <c r="N101" s="1011"/>
      <c r="O101" s="1012"/>
      <c r="P101" s="1063"/>
      <c r="Q101" s="996" t="s">
        <v>45</v>
      </c>
      <c r="R101" s="1115" t="str">
        <f>IF(VLOOKUP(A101,'Eclusée - Schwall-Sunk'!$A$2:$F$273,5,FALSE)="","",VLOOKUP(A101,'Eclusée - Schwall-Sunk'!$A$2:$F$273,5,FALSE))</f>
        <v>force hydraulique</v>
      </c>
      <c r="S101" s="1126" t="str">
        <f>IF(VLOOKUP(A101,'Eclusée - Schwall-Sunk'!$A$2:$F$273,6,FALSE)="","",VLOOKUP(A101,'Eclusée - Schwall-Sunk'!$A$2:$F$273,6,FALSE))</f>
        <v>Potentiellement affecté / möglicherweise betroffen</v>
      </c>
      <c r="T101" s="1123"/>
      <c r="U101" s="572"/>
      <c r="V101" s="572"/>
    </row>
    <row r="102" spans="1:22" ht="35.25" customHeight="1" x14ac:dyDescent="0.25">
      <c r="A102" s="927">
        <v>123.3</v>
      </c>
      <c r="B102" s="1028" t="str">
        <f>IF(VLOOKUP(A102,'Données de base - Grunddaten'!$A$2:$M$273,3,FALSE)="","",VLOOKUP(A102,'Données de base - Grunddaten'!$A$2:$M$273,3,FALSE))</f>
        <v>Les Grangettes</v>
      </c>
      <c r="C102" s="1028" t="str">
        <f>IF(VLOOKUP(A102,'Données de base - Grunddaten'!$A$2:$M$273,4,FALSE)="","",VLOOKUP(A102,'Données de base - Grunddaten'!$A$2:$M$273,4,FALSE))</f>
        <v>Le Rhône, Grand Canal, Lac Léman</v>
      </c>
      <c r="D102" s="1028" t="str">
        <f>IF(VLOOKUP(A102,'Données de base - Grunddaten'!$A$2:$M$273,5,FALSE)="","",VLOOKUP(A102,'Données de base - Grunddaten'!$A$2:$M$273,5,FALSE))</f>
        <v>VD</v>
      </c>
      <c r="E102" s="647" t="s">
        <v>51</v>
      </c>
      <c r="F102" s="634"/>
      <c r="G102" s="638"/>
      <c r="H102" s="995" t="s">
        <v>53</v>
      </c>
      <c r="I102" s="1048" t="s">
        <v>48</v>
      </c>
      <c r="J102" s="984" t="s">
        <v>53</v>
      </c>
      <c r="K102" s="1052"/>
      <c r="L102" s="1022"/>
      <c r="M102" s="1022"/>
      <c r="N102" s="1011"/>
      <c r="O102" s="1012"/>
      <c r="P102" s="1063"/>
      <c r="Q102" s="996" t="s">
        <v>53</v>
      </c>
      <c r="R102" s="1115" t="str">
        <f>IF(VLOOKUP(A102,'Eclusée - Schwall-Sunk'!$A$2:$F$273,5,FALSE)="","",VLOOKUP(A102,'Eclusée - Schwall-Sunk'!$A$2:$F$273,5,FALSE))</f>
        <v/>
      </c>
      <c r="S102" s="1126" t="str">
        <f>IF(VLOOKUP(A102,'Eclusée - Schwall-Sunk'!$A$2:$F$273,6,FALSE)="","",VLOOKUP(A102,'Eclusée - Schwall-Sunk'!$A$2:$F$273,6,FALSE))</f>
        <v>Non affecté / nicht betroffen</v>
      </c>
      <c r="T102" s="1123"/>
      <c r="U102" s="572"/>
      <c r="V102" s="572"/>
    </row>
    <row r="103" spans="1:22" ht="35.25" customHeight="1" x14ac:dyDescent="0.25">
      <c r="A103" s="926">
        <v>124</v>
      </c>
      <c r="B103" s="1028" t="str">
        <f>IF(VLOOKUP(A103,'Données de base - Grunddaten'!$A$2:$M$273,3,FALSE)="","",VLOOKUP(A103,'Données de base - Grunddaten'!$A$2:$M$273,3,FALSE))</f>
        <v>Iles des Clous</v>
      </c>
      <c r="C103" s="1028" t="str">
        <f>IF(VLOOKUP(A103,'Données de base - Grunddaten'!$A$2:$M$273,4,FALSE)="","",VLOOKUP(A103,'Données de base - Grunddaten'!$A$2:$M$273,4,FALSE))</f>
        <v>Le Rhône, Grand Canal</v>
      </c>
      <c r="D103" s="1028" t="str">
        <f>IF(VLOOKUP(A103,'Données de base - Grunddaten'!$A$2:$M$273,5,FALSE)="","",VLOOKUP(A103,'Données de base - Grunddaten'!$A$2:$M$273,5,FALSE))</f>
        <v>VD</v>
      </c>
      <c r="E103" s="647" t="s">
        <v>45</v>
      </c>
      <c r="F103" s="634"/>
      <c r="G103" s="638"/>
      <c r="H103" s="995" t="s">
        <v>45</v>
      </c>
      <c r="I103" s="1048" t="s">
        <v>48</v>
      </c>
      <c r="J103" s="984" t="s">
        <v>45</v>
      </c>
      <c r="K103" s="1052"/>
      <c r="L103" s="1022"/>
      <c r="M103" s="1022"/>
      <c r="N103" s="1011"/>
      <c r="O103" s="1012"/>
      <c r="P103" s="1063"/>
      <c r="Q103" s="996" t="s">
        <v>45</v>
      </c>
      <c r="R103" s="1115" t="str">
        <f>IF(VLOOKUP(A103,'Eclusée - Schwall-Sunk'!$A$2:$F$273,5,FALSE)="","",VLOOKUP(A103,'Eclusée - Schwall-Sunk'!$A$2:$F$273,5,FALSE))</f>
        <v>force hydraulique</v>
      </c>
      <c r="S103" s="1126" t="str">
        <f>IF(VLOOKUP(A103,'Eclusée - Schwall-Sunk'!$A$2:$F$273,6,FALSE)="","",VLOOKUP(A103,'Eclusée - Schwall-Sunk'!$A$2:$F$273,6,FALSE))</f>
        <v>Potentiellement affecté / möglicherweise betroffen</v>
      </c>
      <c r="T103" s="1123"/>
      <c r="U103" s="572"/>
      <c r="V103" s="572"/>
    </row>
    <row r="104" spans="1:22" ht="35.25" customHeight="1" x14ac:dyDescent="0.25">
      <c r="A104" s="926">
        <v>125</v>
      </c>
      <c r="B104" s="1028" t="str">
        <f>IF(VLOOKUP(A104,'Données de base - Grunddaten'!$A$2:$M$273,3,FALSE)="","",VLOOKUP(A104,'Données de base - Grunddaten'!$A$2:$M$273,3,FALSE))</f>
        <v>Source du Trient</v>
      </c>
      <c r="C104" s="1028" t="str">
        <f>IF(VLOOKUP(A104,'Données de base - Grunddaten'!$A$2:$M$273,4,FALSE)="","",VLOOKUP(A104,'Données de base - Grunddaten'!$A$2:$M$273,4,FALSE))</f>
        <v>Le Trient</v>
      </c>
      <c r="D104" s="1028" t="str">
        <f>IF(VLOOKUP(A104,'Données de base - Grunddaten'!$A$2:$M$273,5,FALSE)="","",VLOOKUP(A104,'Données de base - Grunddaten'!$A$2:$M$273,5,FALSE))</f>
        <v>VS</v>
      </c>
      <c r="E104" s="647" t="s">
        <v>746</v>
      </c>
      <c r="F104" s="639" t="s">
        <v>40</v>
      </c>
      <c r="G104" s="635" t="s">
        <v>40</v>
      </c>
      <c r="H104" s="995" t="s">
        <v>746</v>
      </c>
      <c r="I104" s="1048" t="s">
        <v>48</v>
      </c>
      <c r="J104" s="984" t="s">
        <v>746</v>
      </c>
      <c r="K104" s="1052"/>
      <c r="L104" s="1022"/>
      <c r="M104" s="1022"/>
      <c r="N104" s="1011"/>
      <c r="O104" s="1012"/>
      <c r="P104" s="1063"/>
      <c r="Q104" s="996" t="s">
        <v>746</v>
      </c>
      <c r="R104" s="1115" t="str">
        <f>IF(VLOOKUP(A104,'Eclusée - Schwall-Sunk'!$A$2:$F$273,5,FALSE)="","",VLOOKUP(A104,'Eclusée - Schwall-Sunk'!$A$2:$F$273,5,FALSE))</f>
        <v/>
      </c>
      <c r="S104" s="1126" t="str">
        <f>IF(VLOOKUP(A104,'Eclusée - Schwall-Sunk'!$A$2:$F$273,6,FALSE)="","",VLOOKUP(A104,'Eclusée - Schwall-Sunk'!$A$2:$F$273,6,FALSE))</f>
        <v>Non affecté / nicht betroffen</v>
      </c>
      <c r="T104" s="1123"/>
      <c r="U104" s="572"/>
      <c r="V104" s="572"/>
    </row>
    <row r="105" spans="1:22" ht="35.25" customHeight="1" x14ac:dyDescent="0.25">
      <c r="A105" s="926">
        <v>127</v>
      </c>
      <c r="B105" s="1028" t="str">
        <f>IF(VLOOKUP(A105,'Données de base - Grunddaten'!$A$2:$M$273,3,FALSE)="","",VLOOKUP(A105,'Données de base - Grunddaten'!$A$2:$M$273,3,FALSE))</f>
        <v>Lotrey</v>
      </c>
      <c r="C105" s="1028" t="str">
        <f>IF(VLOOKUP(A105,'Données de base - Grunddaten'!$A$2:$M$273,4,FALSE)="","",VLOOKUP(A105,'Données de base - Grunddaten'!$A$2:$M$273,4,FALSE))</f>
        <v>La Borgne</v>
      </c>
      <c r="D105" s="1028" t="str">
        <f>IF(VLOOKUP(A105,'Données de base - Grunddaten'!$A$2:$M$273,5,FALSE)="","",VLOOKUP(A105,'Données de base - Grunddaten'!$A$2:$M$273,5,FALSE))</f>
        <v>VS</v>
      </c>
      <c r="E105" s="647" t="s">
        <v>794</v>
      </c>
      <c r="F105" s="634"/>
      <c r="G105" s="638"/>
      <c r="H105" s="995" t="s">
        <v>794</v>
      </c>
      <c r="I105" s="1002" t="s">
        <v>1376</v>
      </c>
      <c r="J105" s="984" t="s">
        <v>794</v>
      </c>
      <c r="K105" s="1052"/>
      <c r="L105" s="1022"/>
      <c r="M105" s="1022"/>
      <c r="N105" s="1017" t="s">
        <v>1493</v>
      </c>
      <c r="O105" s="1018" t="s">
        <v>1494</v>
      </c>
      <c r="P105" s="1059"/>
      <c r="Q105" s="996" t="s">
        <v>794</v>
      </c>
      <c r="R105" s="1115" t="str">
        <f>IF(VLOOKUP(A105,'Eclusée - Schwall-Sunk'!$A$2:$F$273,5,FALSE)="","",VLOOKUP(A105,'Eclusée - Schwall-Sunk'!$A$2:$F$273,5,FALSE))</f>
        <v>force hydraulique</v>
      </c>
      <c r="S105" s="1126" t="str">
        <f>IF(VLOOKUP(A105,'Eclusée - Schwall-Sunk'!$A$2:$F$273,6,FALSE)="","",VLOOKUP(A105,'Eclusée - Schwall-Sunk'!$A$2:$F$273,6,FALSE))</f>
        <v>Non affecté / nicht betroffen</v>
      </c>
      <c r="T105" s="1123"/>
      <c r="U105" s="572"/>
      <c r="V105" s="572"/>
    </row>
    <row r="106" spans="1:22" ht="35.25" customHeight="1" x14ac:dyDescent="0.25">
      <c r="A106" s="926">
        <v>128</v>
      </c>
      <c r="B106" s="1028" t="str">
        <f>IF(VLOOKUP(A106,'Données de base - Grunddaten'!$A$2:$M$273,3,FALSE)="","",VLOOKUP(A106,'Données de base - Grunddaten'!$A$2:$M$273,3,FALSE))</f>
        <v>Pramousse–Satarma</v>
      </c>
      <c r="C106" s="1028" t="str">
        <f>IF(VLOOKUP(A106,'Données de base - Grunddaten'!$A$2:$M$273,4,FALSE)="","",VLOOKUP(A106,'Données de base - Grunddaten'!$A$2:$M$273,4,FALSE))</f>
        <v>La Borgne d'Arolla</v>
      </c>
      <c r="D106" s="1028" t="str">
        <f>IF(VLOOKUP(A106,'Données de base - Grunddaten'!$A$2:$M$273,5,FALSE)="","",VLOOKUP(A106,'Données de base - Grunddaten'!$A$2:$M$273,5,FALSE))</f>
        <v>VS</v>
      </c>
      <c r="E106" s="647" t="s">
        <v>794</v>
      </c>
      <c r="F106" s="634"/>
      <c r="G106" s="638"/>
      <c r="H106" s="995" t="s">
        <v>794</v>
      </c>
      <c r="I106" s="1002" t="s">
        <v>1376</v>
      </c>
      <c r="J106" s="984" t="s">
        <v>794</v>
      </c>
      <c r="K106" s="1052"/>
      <c r="L106" s="1022"/>
      <c r="M106" s="1022"/>
      <c r="N106" s="1017" t="s">
        <v>1495</v>
      </c>
      <c r="O106" s="1018" t="s">
        <v>1494</v>
      </c>
      <c r="P106" s="1059"/>
      <c r="Q106" s="996" t="s">
        <v>794</v>
      </c>
      <c r="R106" s="1115" t="str">
        <f>IF(VLOOKUP(A106,'Eclusée - Schwall-Sunk'!$A$2:$F$273,5,FALSE)="","",VLOOKUP(A106,'Eclusée - Schwall-Sunk'!$A$2:$F$273,5,FALSE))</f>
        <v>force hydraulique</v>
      </c>
      <c r="S106" s="1126" t="str">
        <f>IF(VLOOKUP(A106,'Eclusée - Schwall-Sunk'!$A$2:$F$273,6,FALSE)="","",VLOOKUP(A106,'Eclusée - Schwall-Sunk'!$A$2:$F$273,6,FALSE))</f>
        <v>Non affecté / nicht betroffen</v>
      </c>
      <c r="T106" s="1123"/>
      <c r="U106" s="572"/>
      <c r="V106" s="572"/>
    </row>
    <row r="107" spans="1:22" ht="35.25" customHeight="1" x14ac:dyDescent="0.25">
      <c r="A107" s="926">
        <v>129</v>
      </c>
      <c r="B107" s="1028" t="str">
        <f>IF(VLOOKUP(A107,'Données de base - Grunddaten'!$A$2:$M$273,3,FALSE)="","",VLOOKUP(A107,'Données de base - Grunddaten'!$A$2:$M$273,3,FALSE))</f>
        <v>La Borgne en amont d'Arolla</v>
      </c>
      <c r="C107" s="1028" t="str">
        <f>IF(VLOOKUP(A107,'Données de base - Grunddaten'!$A$2:$M$273,4,FALSE)="","",VLOOKUP(A107,'Données de base - Grunddaten'!$A$2:$M$273,4,FALSE))</f>
        <v>La Borgne d'Arolla</v>
      </c>
      <c r="D107" s="1028" t="str">
        <f>IF(VLOOKUP(A107,'Données de base - Grunddaten'!$A$2:$M$273,5,FALSE)="","",VLOOKUP(A107,'Données de base - Grunddaten'!$A$2:$M$273,5,FALSE))</f>
        <v>VS</v>
      </c>
      <c r="E107" s="647" t="s">
        <v>88</v>
      </c>
      <c r="F107" s="634"/>
      <c r="G107" s="638"/>
      <c r="H107" s="995" t="s">
        <v>88</v>
      </c>
      <c r="I107" s="1002" t="s">
        <v>1376</v>
      </c>
      <c r="J107" s="984" t="s">
        <v>88</v>
      </c>
      <c r="K107" s="1052"/>
      <c r="L107" s="1022"/>
      <c r="M107" s="1022"/>
      <c r="N107" s="1017" t="s">
        <v>1495</v>
      </c>
      <c r="O107" s="1018" t="s">
        <v>1494</v>
      </c>
      <c r="P107" s="1059"/>
      <c r="Q107" s="996" t="s">
        <v>88</v>
      </c>
      <c r="R107" s="1115" t="str">
        <f>IF(VLOOKUP(A107,'Eclusée - Schwall-Sunk'!$A$2:$F$273,5,FALSE)="","",VLOOKUP(A107,'Eclusée - Schwall-Sunk'!$A$2:$F$273,5,FALSE))</f>
        <v>force hydraulique</v>
      </c>
      <c r="S107" s="1126" t="str">
        <f>IF(VLOOKUP(A107,'Eclusée - Schwall-Sunk'!$A$2:$F$273,6,FALSE)="","",VLOOKUP(A107,'Eclusée - Schwall-Sunk'!$A$2:$F$273,6,FALSE))</f>
        <v>Non affecté / nicht betroffen</v>
      </c>
      <c r="T107" s="1123"/>
      <c r="U107" s="572"/>
      <c r="V107" s="572"/>
    </row>
    <row r="108" spans="1:22" ht="35.25" customHeight="1" x14ac:dyDescent="0.25">
      <c r="A108" s="926">
        <v>130</v>
      </c>
      <c r="B108" s="1028" t="str">
        <f>IF(VLOOKUP(A108,'Données de base - Grunddaten'!$A$2:$M$273,3,FALSE)="","",VLOOKUP(A108,'Données de base - Grunddaten'!$A$2:$M$273,3,FALSE))</f>
        <v>Salay</v>
      </c>
      <c r="C108" s="1028" t="str">
        <f>IF(VLOOKUP(A108,'Données de base - Grunddaten'!$A$2:$M$273,4,FALSE)="","",VLOOKUP(A108,'Données de base - Grunddaten'!$A$2:$M$273,4,FALSE))</f>
        <v>La Borgne de Ferpècle</v>
      </c>
      <c r="D108" s="1028" t="str">
        <f>IF(VLOOKUP(A108,'Données de base - Grunddaten'!$A$2:$M$273,5,FALSE)="","",VLOOKUP(A108,'Données de base - Grunddaten'!$A$2:$M$273,5,FALSE))</f>
        <v>VS</v>
      </c>
      <c r="E108" s="647" t="s">
        <v>88</v>
      </c>
      <c r="F108" s="634"/>
      <c r="G108" s="638"/>
      <c r="H108" s="995" t="s">
        <v>88</v>
      </c>
      <c r="I108" s="1002" t="s">
        <v>1376</v>
      </c>
      <c r="J108" s="984" t="s">
        <v>88</v>
      </c>
      <c r="K108" s="1052"/>
      <c r="L108" s="1022"/>
      <c r="M108" s="1022"/>
      <c r="N108" s="1017" t="s">
        <v>1493</v>
      </c>
      <c r="O108" s="1018" t="s">
        <v>1494</v>
      </c>
      <c r="P108" s="1059"/>
      <c r="Q108" s="996" t="s">
        <v>88</v>
      </c>
      <c r="R108" s="1115" t="str">
        <f>IF(VLOOKUP(A108,'Eclusée - Schwall-Sunk'!$A$2:$F$273,5,FALSE)="","",VLOOKUP(A108,'Eclusée - Schwall-Sunk'!$A$2:$F$273,5,FALSE))</f>
        <v>force hydraulique</v>
      </c>
      <c r="S108" s="1126" t="str">
        <f>IF(VLOOKUP(A108,'Eclusée - Schwall-Sunk'!$A$2:$F$273,6,FALSE)="","",VLOOKUP(A108,'Eclusée - Schwall-Sunk'!$A$2:$F$273,6,FALSE))</f>
        <v>Non affecté / nicht betroffen</v>
      </c>
      <c r="T108" s="1123"/>
      <c r="U108" s="572"/>
      <c r="V108" s="572"/>
    </row>
    <row r="109" spans="1:22" ht="35.25" customHeight="1" x14ac:dyDescent="0.25">
      <c r="A109" s="926">
        <v>131</v>
      </c>
      <c r="B109" s="1028" t="str">
        <f>IF(VLOOKUP(A109,'Données de base - Grunddaten'!$A$2:$M$273,3,FALSE)="","",VLOOKUP(A109,'Données de base - Grunddaten'!$A$2:$M$273,3,FALSE))</f>
        <v>Ferpècle</v>
      </c>
      <c r="C109" s="1028" t="str">
        <f>IF(VLOOKUP(A109,'Données de base - Grunddaten'!$A$2:$M$273,4,FALSE)="","",VLOOKUP(A109,'Données de base - Grunddaten'!$A$2:$M$273,4,FALSE))</f>
        <v>La Borgne de Ferpècle</v>
      </c>
      <c r="D109" s="1028" t="str">
        <f>IF(VLOOKUP(A109,'Données de base - Grunddaten'!$A$2:$M$273,5,FALSE)="","",VLOOKUP(A109,'Données de base - Grunddaten'!$A$2:$M$273,5,FALSE))</f>
        <v>VS</v>
      </c>
      <c r="E109" s="647" t="s">
        <v>88</v>
      </c>
      <c r="F109" s="634"/>
      <c r="G109" s="638"/>
      <c r="H109" s="995" t="s">
        <v>88</v>
      </c>
      <c r="I109" s="1002" t="s">
        <v>1376</v>
      </c>
      <c r="J109" s="984" t="s">
        <v>88</v>
      </c>
      <c r="K109" s="1052"/>
      <c r="L109" s="1022"/>
      <c r="M109" s="1022"/>
      <c r="N109" s="1017" t="s">
        <v>1516</v>
      </c>
      <c r="O109" s="1018" t="s">
        <v>1494</v>
      </c>
      <c r="P109" s="1059"/>
      <c r="Q109" s="996" t="s">
        <v>88</v>
      </c>
      <c r="R109" s="1115" t="str">
        <f>IF(VLOOKUP(A109,'Eclusée - Schwall-Sunk'!$A$2:$F$273,5,FALSE)="","",VLOOKUP(A109,'Eclusée - Schwall-Sunk'!$A$2:$F$273,5,FALSE))</f>
        <v>force hydraulique</v>
      </c>
      <c r="S109" s="1126" t="str">
        <f>IF(VLOOKUP(A109,'Eclusée - Schwall-Sunk'!$A$2:$F$273,6,FALSE)="","",VLOOKUP(A109,'Eclusée - Schwall-Sunk'!$A$2:$F$273,6,FALSE))</f>
        <v>Non affecté / nicht betroffen</v>
      </c>
      <c r="T109" s="1123"/>
      <c r="U109" s="572"/>
      <c r="V109" s="572"/>
    </row>
    <row r="110" spans="1:22" ht="35.25" customHeight="1" x14ac:dyDescent="0.25">
      <c r="A110" s="926">
        <v>132</v>
      </c>
      <c r="B110" s="1028" t="str">
        <f>IF(VLOOKUP(A110,'Données de base - Grunddaten'!$A$2:$M$273,3,FALSE)="","",VLOOKUP(A110,'Données de base - Grunddaten'!$A$2:$M$273,3,FALSE))</f>
        <v>Derborence</v>
      </c>
      <c r="C110" s="1028" t="str">
        <f>IF(VLOOKUP(A110,'Données de base - Grunddaten'!$A$2:$M$273,4,FALSE)="","",VLOOKUP(A110,'Données de base - Grunddaten'!$A$2:$M$273,4,FALSE))</f>
        <v>La Lizerne, Lac de Derborence</v>
      </c>
      <c r="D110" s="1028" t="str">
        <f>IF(VLOOKUP(A110,'Données de base - Grunddaten'!$A$2:$M$273,5,FALSE)="","",VLOOKUP(A110,'Données de base - Grunddaten'!$A$2:$M$273,5,FALSE))</f>
        <v>VS</v>
      </c>
      <c r="E110" s="647" t="s">
        <v>746</v>
      </c>
      <c r="F110" s="636" t="s">
        <v>1345</v>
      </c>
      <c r="G110" s="637" t="s">
        <v>1345</v>
      </c>
      <c r="H110" s="995" t="s">
        <v>746</v>
      </c>
      <c r="I110" s="1048" t="s">
        <v>48</v>
      </c>
      <c r="J110" s="984" t="s">
        <v>746</v>
      </c>
      <c r="K110" s="1052"/>
      <c r="L110" s="1022"/>
      <c r="M110" s="1022"/>
      <c r="N110" s="1011"/>
      <c r="O110" s="1012"/>
      <c r="P110" s="1063"/>
      <c r="Q110" s="996" t="s">
        <v>746</v>
      </c>
      <c r="R110" s="1115" t="str">
        <f>IF(VLOOKUP(A110,'Eclusée - Schwall-Sunk'!$A$2:$F$273,5,FALSE)="","",VLOOKUP(A110,'Eclusée - Schwall-Sunk'!$A$2:$F$273,5,FALSE))</f>
        <v/>
      </c>
      <c r="S110" s="1126" t="str">
        <f>IF(VLOOKUP(A110,'Eclusée - Schwall-Sunk'!$A$2:$F$273,6,FALSE)="","",VLOOKUP(A110,'Eclusée - Schwall-Sunk'!$A$2:$F$273,6,FALSE))</f>
        <v>Non affecté / nicht betroffen</v>
      </c>
      <c r="T110" s="1123"/>
      <c r="U110" s="572"/>
      <c r="V110" s="572"/>
    </row>
    <row r="111" spans="1:22" ht="35.25" customHeight="1" x14ac:dyDescent="0.25">
      <c r="A111" s="926">
        <v>133</v>
      </c>
      <c r="B111" s="1028" t="str">
        <f>IF(VLOOKUP(A111,'Données de base - Grunddaten'!$A$2:$M$273,3,FALSE)="","",VLOOKUP(A111,'Données de base - Grunddaten'!$A$2:$M$273,3,FALSE))</f>
        <v>Pfynwald</v>
      </c>
      <c r="C111" s="1028" t="str">
        <f>IF(VLOOKUP(A111,'Données de base - Grunddaten'!$A$2:$M$273,4,FALSE)="","",VLOOKUP(A111,'Données de base - Grunddaten'!$A$2:$M$273,4,FALSE))</f>
        <v>Rhone</v>
      </c>
      <c r="D111" s="1028" t="str">
        <f>IF(VLOOKUP(A111,'Données de base - Grunddaten'!$A$2:$M$273,5,FALSE)="","",VLOOKUP(A111,'Données de base - Grunddaten'!$A$2:$M$273,5,FALSE))</f>
        <v>VS</v>
      </c>
      <c r="E111" s="647" t="s">
        <v>794</v>
      </c>
      <c r="F111" s="634"/>
      <c r="G111" s="638"/>
      <c r="H111" s="995" t="s">
        <v>794</v>
      </c>
      <c r="I111" s="1002" t="s">
        <v>1376</v>
      </c>
      <c r="J111" s="983" t="s">
        <v>794</v>
      </c>
      <c r="K111" s="1051" t="s">
        <v>126</v>
      </c>
      <c r="L111" s="1023"/>
      <c r="M111" s="1023"/>
      <c r="N111" s="1017" t="s">
        <v>1496</v>
      </c>
      <c r="O111" s="1018" t="s">
        <v>1497</v>
      </c>
      <c r="P111" s="1059"/>
      <c r="Q111" s="998" t="s">
        <v>794</v>
      </c>
      <c r="R111" s="1115" t="str">
        <f>IF(VLOOKUP(A111,'Eclusée - Schwall-Sunk'!$A$2:$F$273,5,FALSE)="","",VLOOKUP(A111,'Eclusée - Schwall-Sunk'!$A$2:$F$273,5,FALSE))</f>
        <v>force hydraulique</v>
      </c>
      <c r="S111" s="1126" t="str">
        <f>IF(VLOOKUP(A111,'Eclusée - Schwall-Sunk'!$A$2:$F$273,6,FALSE)="","",VLOOKUP(A111,'Eclusée - Schwall-Sunk'!$A$2:$F$273,6,FALSE))</f>
        <v>Potentiellement affecté / möglicherweise betroffen</v>
      </c>
      <c r="T111" s="1123"/>
      <c r="U111" s="572"/>
      <c r="V111" s="572"/>
    </row>
    <row r="112" spans="1:22" ht="35.25" customHeight="1" x14ac:dyDescent="0.25">
      <c r="A112" s="926">
        <v>134</v>
      </c>
      <c r="B112" s="1028" t="str">
        <f>IF(VLOOKUP(A112,'Données de base - Grunddaten'!$A$2:$M$273,3,FALSE)="","",VLOOKUP(A112,'Données de base - Grunddaten'!$A$2:$M$273,3,FALSE))</f>
        <v>Tännmattu</v>
      </c>
      <c r="C112" s="1028" t="str">
        <f>IF(VLOOKUP(A112,'Données de base - Grunddaten'!$A$2:$M$273,4,FALSE)="","",VLOOKUP(A112,'Données de base - Grunddaten'!$A$2:$M$273,4,FALSE))</f>
        <v>Lonza</v>
      </c>
      <c r="D112" s="1028" t="str">
        <f>IF(VLOOKUP(A112,'Données de base - Grunddaten'!$A$2:$M$273,5,FALSE)="","",VLOOKUP(A112,'Données de base - Grunddaten'!$A$2:$M$273,5,FALSE))</f>
        <v>VS</v>
      </c>
      <c r="E112" s="647" t="s">
        <v>746</v>
      </c>
      <c r="F112" s="636" t="s">
        <v>1345</v>
      </c>
      <c r="G112" s="637" t="s">
        <v>1345</v>
      </c>
      <c r="H112" s="995" t="s">
        <v>746</v>
      </c>
      <c r="I112" s="1048" t="s">
        <v>48</v>
      </c>
      <c r="J112" s="984" t="s">
        <v>746</v>
      </c>
      <c r="K112" s="1052"/>
      <c r="L112" s="1022"/>
      <c r="M112" s="1022"/>
      <c r="N112" s="1011"/>
      <c r="O112" s="1012"/>
      <c r="P112" s="1063"/>
      <c r="Q112" s="996" t="s">
        <v>746</v>
      </c>
      <c r="R112" s="1115" t="str">
        <f>IF(VLOOKUP(A112,'Eclusée - Schwall-Sunk'!$A$2:$F$273,5,FALSE)="","",VLOOKUP(A112,'Eclusée - Schwall-Sunk'!$A$2:$F$273,5,FALSE))</f>
        <v/>
      </c>
      <c r="S112" s="1126" t="str">
        <f>IF(VLOOKUP(A112,'Eclusée - Schwall-Sunk'!$A$2:$F$273,6,FALSE)="","",VLOOKUP(A112,'Eclusée - Schwall-Sunk'!$A$2:$F$273,6,FALSE))</f>
        <v>Non affecté / nicht betroffen</v>
      </c>
      <c r="T112" s="1123"/>
      <c r="U112" s="572"/>
      <c r="V112" s="572"/>
    </row>
    <row r="113" spans="1:22" ht="35.25" customHeight="1" x14ac:dyDescent="0.25">
      <c r="A113" s="926">
        <v>135</v>
      </c>
      <c r="B113" s="1028" t="str">
        <f>IF(VLOOKUP(A113,'Données de base - Grunddaten'!$A$2:$M$273,3,FALSE)="","",VLOOKUP(A113,'Données de base - Grunddaten'!$A$2:$M$273,3,FALSE))</f>
        <v>Chiemadmatte</v>
      </c>
      <c r="C113" s="1028" t="str">
        <f>IF(VLOOKUP(A113,'Données de base - Grunddaten'!$A$2:$M$273,4,FALSE)="","",VLOOKUP(A113,'Données de base - Grunddaten'!$A$2:$M$273,4,FALSE))</f>
        <v>Lonza</v>
      </c>
      <c r="D113" s="1028" t="str">
        <f>IF(VLOOKUP(A113,'Données de base - Grunddaten'!$A$2:$M$273,5,FALSE)="","",VLOOKUP(A113,'Données de base - Grunddaten'!$A$2:$M$273,5,FALSE))</f>
        <v>VS</v>
      </c>
      <c r="E113" s="647" t="s">
        <v>746</v>
      </c>
      <c r="F113" s="636" t="s">
        <v>1345</v>
      </c>
      <c r="G113" s="637" t="s">
        <v>1345</v>
      </c>
      <c r="H113" s="995" t="s">
        <v>746</v>
      </c>
      <c r="I113" s="1048" t="s">
        <v>48</v>
      </c>
      <c r="J113" s="984" t="s">
        <v>746</v>
      </c>
      <c r="K113" s="1052"/>
      <c r="L113" s="1022"/>
      <c r="M113" s="1022"/>
      <c r="N113" s="1011"/>
      <c r="O113" s="1012"/>
      <c r="P113" s="1063"/>
      <c r="Q113" s="996" t="s">
        <v>746</v>
      </c>
      <c r="R113" s="1115" t="str">
        <f>IF(VLOOKUP(A113,'Eclusée - Schwall-Sunk'!$A$2:$F$273,5,FALSE)="","",VLOOKUP(A113,'Eclusée - Schwall-Sunk'!$A$2:$F$273,5,FALSE))</f>
        <v/>
      </c>
      <c r="S113" s="1126" t="str">
        <f>IF(VLOOKUP(A113,'Eclusée - Schwall-Sunk'!$A$2:$F$273,6,FALSE)="","",VLOOKUP(A113,'Eclusée - Schwall-Sunk'!$A$2:$F$273,6,FALSE))</f>
        <v>Non affecté / nicht betroffen</v>
      </c>
      <c r="T113" s="1123"/>
      <c r="U113" s="572"/>
      <c r="V113" s="572"/>
    </row>
    <row r="114" spans="1:22" ht="35.25" customHeight="1" x14ac:dyDescent="0.25">
      <c r="A114" s="926">
        <v>138</v>
      </c>
      <c r="B114" s="1028" t="str">
        <f>IF(VLOOKUP(A114,'Données de base - Grunddaten'!$A$2:$M$273,3,FALSE)="","",VLOOKUP(A114,'Données de base - Grunddaten'!$A$2:$M$273,3,FALSE))</f>
        <v>Grund</v>
      </c>
      <c r="C114" s="1028" t="str">
        <f>IF(VLOOKUP(A114,'Données de base - Grunddaten'!$A$2:$M$273,4,FALSE)="","",VLOOKUP(A114,'Données de base - Grunddaten'!$A$2:$M$273,4,FALSE))</f>
        <v>Ganterbach, Nesselbach, Saltina, Taferna</v>
      </c>
      <c r="D114" s="1028" t="str">
        <f>IF(VLOOKUP(A114,'Données de base - Grunddaten'!$A$2:$M$273,5,FALSE)="","",VLOOKUP(A114,'Données de base - Grunddaten'!$A$2:$M$273,5,FALSE))</f>
        <v>VS</v>
      </c>
      <c r="E114" s="647" t="s">
        <v>88</v>
      </c>
      <c r="F114" s="634"/>
      <c r="G114" s="638"/>
      <c r="H114" s="995" t="s">
        <v>88</v>
      </c>
      <c r="I114" s="1002" t="s">
        <v>1376</v>
      </c>
      <c r="J114" s="983" t="s">
        <v>88</v>
      </c>
      <c r="K114" s="1051" t="s">
        <v>126</v>
      </c>
      <c r="L114" s="1023"/>
      <c r="M114" s="1023"/>
      <c r="N114" s="1017" t="s">
        <v>1517</v>
      </c>
      <c r="O114" s="1018" t="s">
        <v>1498</v>
      </c>
      <c r="P114" s="1059"/>
      <c r="Q114" s="998" t="s">
        <v>88</v>
      </c>
      <c r="R114" s="1115" t="str">
        <f>IF(VLOOKUP(A114,'Eclusée - Schwall-Sunk'!$A$2:$F$273,5,FALSE)="","",VLOOKUP(A114,'Eclusée - Schwall-Sunk'!$A$2:$F$273,5,FALSE))</f>
        <v>force hydraulique</v>
      </c>
      <c r="S114" s="1126" t="str">
        <f>IF(VLOOKUP(A114,'Eclusée - Schwall-Sunk'!$A$2:$F$273,6,FALSE)="","",VLOOKUP(A114,'Eclusée - Schwall-Sunk'!$A$2:$F$273,6,FALSE))</f>
        <v>Potentiellement affecté / möglicherweise betroffen</v>
      </c>
      <c r="T114" s="1123"/>
      <c r="U114" s="572"/>
      <c r="V114" s="572"/>
    </row>
    <row r="115" spans="1:22" ht="35.25" customHeight="1" x14ac:dyDescent="0.25">
      <c r="A115" s="926">
        <v>139</v>
      </c>
      <c r="B115" s="1028" t="str">
        <f>IF(VLOOKUP(A115,'Données de base - Grunddaten'!$A$2:$M$273,3,FALSE)="","",VLOOKUP(A115,'Données de base - Grunddaten'!$A$2:$M$273,3,FALSE))</f>
        <v>Bilderne</v>
      </c>
      <c r="C115" s="1028" t="str">
        <f>IF(VLOOKUP(A115,'Données de base - Grunddaten'!$A$2:$M$273,4,FALSE)="","",VLOOKUP(A115,'Données de base - Grunddaten'!$A$2:$M$273,4,FALSE))</f>
        <v>Rotten</v>
      </c>
      <c r="D115" s="1028" t="str">
        <f>IF(VLOOKUP(A115,'Données de base - Grunddaten'!$A$2:$M$273,5,FALSE)="","",VLOOKUP(A115,'Données de base - Grunddaten'!$A$2:$M$273,5,FALSE))</f>
        <v>VS</v>
      </c>
      <c r="E115" s="647" t="s">
        <v>45</v>
      </c>
      <c r="F115" s="634"/>
      <c r="G115" s="638"/>
      <c r="H115" s="995" t="s">
        <v>45</v>
      </c>
      <c r="I115" s="1002" t="s">
        <v>1346</v>
      </c>
      <c r="J115" s="983" t="s">
        <v>45</v>
      </c>
      <c r="K115" s="1051" t="s">
        <v>126</v>
      </c>
      <c r="L115" s="1023"/>
      <c r="M115" s="1023"/>
      <c r="N115" s="1017" t="s">
        <v>1499</v>
      </c>
      <c r="O115" s="1018" t="s">
        <v>1500</v>
      </c>
      <c r="P115" s="1059"/>
      <c r="Q115" s="998" t="s">
        <v>45</v>
      </c>
      <c r="R115" s="1115" t="str">
        <f>IF(VLOOKUP(A115,'Eclusée - Schwall-Sunk'!$A$2:$F$273,5,FALSE)="","",VLOOKUP(A115,'Eclusée - Schwall-Sunk'!$A$2:$F$273,5,FALSE))</f>
        <v>force hydraulique</v>
      </c>
      <c r="S115" s="1126" t="str">
        <f>IF(VLOOKUP(A115,'Eclusée - Schwall-Sunk'!$A$2:$F$273,6,FALSE)="","",VLOOKUP(A115,'Eclusée - Schwall-Sunk'!$A$2:$F$273,6,FALSE))</f>
        <v>Potentiellement affecté / möglicherweise betroffen</v>
      </c>
      <c r="T115" s="1123"/>
      <c r="U115" s="572"/>
      <c r="V115" s="572"/>
    </row>
    <row r="116" spans="1:22" ht="35.25" customHeight="1" x14ac:dyDescent="0.25">
      <c r="A116" s="926">
        <v>140</v>
      </c>
      <c r="B116" s="1028" t="str">
        <f>IF(VLOOKUP(A116,'Données de base - Grunddaten'!$A$2:$M$273,3,FALSE)="","",VLOOKUP(A116,'Données de base - Grunddaten'!$A$2:$M$273,3,FALSE))</f>
        <v>Zeiterbode</v>
      </c>
      <c r="C116" s="1028" t="str">
        <f>IF(VLOOKUP(A116,'Données de base - Grunddaten'!$A$2:$M$273,4,FALSE)="","",VLOOKUP(A116,'Données de base - Grunddaten'!$A$2:$M$273,4,FALSE))</f>
        <v>Rotten</v>
      </c>
      <c r="D116" s="1028" t="str">
        <f>IF(VLOOKUP(A116,'Données de base - Grunddaten'!$A$2:$M$273,5,FALSE)="","",VLOOKUP(A116,'Données de base - Grunddaten'!$A$2:$M$273,5,FALSE))</f>
        <v>VS</v>
      </c>
      <c r="E116" s="647" t="s">
        <v>794</v>
      </c>
      <c r="F116" s="634"/>
      <c r="G116" s="638"/>
      <c r="H116" s="995" t="s">
        <v>794</v>
      </c>
      <c r="I116" s="1002" t="s">
        <v>1376</v>
      </c>
      <c r="J116" s="986" t="s">
        <v>794</v>
      </c>
      <c r="K116" s="1051" t="s">
        <v>126</v>
      </c>
      <c r="L116" s="1023"/>
      <c r="M116" s="1023"/>
      <c r="N116" s="1017" t="s">
        <v>1501</v>
      </c>
      <c r="O116" s="1018" t="s">
        <v>1502</v>
      </c>
      <c r="P116" s="1059"/>
      <c r="Q116" s="995" t="s">
        <v>794</v>
      </c>
      <c r="R116" s="1115" t="str">
        <f>IF(VLOOKUP(A116,'Eclusée - Schwall-Sunk'!$A$2:$F$273,5,FALSE)="","",VLOOKUP(A116,'Eclusée - Schwall-Sunk'!$A$2:$F$273,5,FALSE))</f>
        <v>force hydraulique</v>
      </c>
      <c r="S116" s="1126" t="str">
        <f>IF(VLOOKUP(A116,'Eclusée - Schwall-Sunk'!$A$2:$F$273,6,FALSE)="","",VLOOKUP(A116,'Eclusée - Schwall-Sunk'!$A$2:$F$273,6,FALSE))</f>
        <v>Non affecté / nicht betroffen</v>
      </c>
      <c r="T116" s="1123"/>
      <c r="U116" s="572"/>
      <c r="V116" s="572"/>
    </row>
    <row r="117" spans="1:22" ht="35.25" customHeight="1" x14ac:dyDescent="0.25">
      <c r="A117" s="926">
        <v>141</v>
      </c>
      <c r="B117" s="1028" t="str">
        <f>IF(VLOOKUP(A117,'Données de base - Grunddaten'!$A$2:$M$273,3,FALSE)="","",VLOOKUP(A117,'Données de base - Grunddaten'!$A$2:$M$273,3,FALSE))</f>
        <v>Matte</v>
      </c>
      <c r="C117" s="1028" t="str">
        <f>IF(VLOOKUP(A117,'Données de base - Grunddaten'!$A$2:$M$273,4,FALSE)="","",VLOOKUP(A117,'Données de base - Grunddaten'!$A$2:$M$273,4,FALSE))</f>
        <v>Rotten</v>
      </c>
      <c r="D117" s="1028" t="str">
        <f>IF(VLOOKUP(A117,'Données de base - Grunddaten'!$A$2:$M$273,5,FALSE)="","",VLOOKUP(A117,'Données de base - Grunddaten'!$A$2:$M$273,5,FALSE))</f>
        <v>VS</v>
      </c>
      <c r="E117" s="647" t="s">
        <v>45</v>
      </c>
      <c r="F117" s="634"/>
      <c r="G117" s="638"/>
      <c r="H117" s="995" t="s">
        <v>45</v>
      </c>
      <c r="I117" s="1048" t="s">
        <v>48</v>
      </c>
      <c r="J117" s="984" t="s">
        <v>45</v>
      </c>
      <c r="K117" s="1052"/>
      <c r="L117" s="1022"/>
      <c r="M117" s="1022"/>
      <c r="N117" s="1011"/>
      <c r="O117" s="1012"/>
      <c r="P117" s="1063"/>
      <c r="Q117" s="996" t="s">
        <v>45</v>
      </c>
      <c r="R117" s="1115" t="str">
        <f>IF(VLOOKUP(A117,'Eclusée - Schwall-Sunk'!$A$2:$F$273,5,FALSE)="","",VLOOKUP(A117,'Eclusée - Schwall-Sunk'!$A$2:$F$273,5,FALSE))</f>
        <v>force hydraulique</v>
      </c>
      <c r="S117" s="1126" t="str">
        <f>IF(VLOOKUP(A117,'Eclusée - Schwall-Sunk'!$A$2:$F$273,6,FALSE)="","",VLOOKUP(A117,'Eclusée - Schwall-Sunk'!$A$2:$F$273,6,FALSE))</f>
        <v>Non affecté / nicht betroffen</v>
      </c>
      <c r="T117" s="1123"/>
      <c r="U117" s="572"/>
      <c r="V117" s="572"/>
    </row>
    <row r="118" spans="1:22" ht="35.25" customHeight="1" x14ac:dyDescent="0.25">
      <c r="A118" s="926">
        <v>142</v>
      </c>
      <c r="B118" s="1028" t="str">
        <f>IF(VLOOKUP(A118,'Données de base - Grunddaten'!$A$2:$M$273,3,FALSE)="","",VLOOKUP(A118,'Données de base - Grunddaten'!$A$2:$M$273,3,FALSE))</f>
        <v>Sand</v>
      </c>
      <c r="C118" s="1028" t="str">
        <f>IF(VLOOKUP(A118,'Données de base - Grunddaten'!$A$2:$M$273,4,FALSE)="","",VLOOKUP(A118,'Données de base - Grunddaten'!$A$2:$M$273,4,FALSE))</f>
        <v>Goneri, Lengesbach, Rotten</v>
      </c>
      <c r="D118" s="1028" t="str">
        <f>IF(VLOOKUP(A118,'Données de base - Grunddaten'!$A$2:$M$273,5,FALSE)="","",VLOOKUP(A118,'Données de base - Grunddaten'!$A$2:$M$273,5,FALSE))</f>
        <v>VS</v>
      </c>
      <c r="E118" s="647" t="s">
        <v>45</v>
      </c>
      <c r="F118" s="634"/>
      <c r="G118" s="638"/>
      <c r="H118" s="995" t="s">
        <v>45</v>
      </c>
      <c r="I118" s="1048" t="s">
        <v>48</v>
      </c>
      <c r="J118" s="984" t="s">
        <v>45</v>
      </c>
      <c r="K118" s="1052"/>
      <c r="L118" s="1022"/>
      <c r="M118" s="1022"/>
      <c r="N118" s="1011"/>
      <c r="O118" s="1012"/>
      <c r="P118" s="1063"/>
      <c r="Q118" s="996" t="s">
        <v>45</v>
      </c>
      <c r="R118" s="1115" t="str">
        <f>IF(VLOOKUP(A118,'Eclusée - Schwall-Sunk'!$A$2:$F$273,5,FALSE)="","",VLOOKUP(A118,'Eclusée - Schwall-Sunk'!$A$2:$F$273,5,FALSE))</f>
        <v>force hydraulique</v>
      </c>
      <c r="S118" s="1126" t="str">
        <f>IF(VLOOKUP(A118,'Eclusée - Schwall-Sunk'!$A$2:$F$273,6,FALSE)="","",VLOOKUP(A118,'Eclusée - Schwall-Sunk'!$A$2:$F$273,6,FALSE))</f>
        <v>Non affecté / nicht betroffen</v>
      </c>
      <c r="T118" s="1123"/>
      <c r="U118" s="572"/>
      <c r="V118" s="572"/>
    </row>
    <row r="119" spans="1:22" ht="35.25" customHeight="1" x14ac:dyDescent="0.25">
      <c r="A119" s="926">
        <v>144</v>
      </c>
      <c r="B119" s="1028" t="str">
        <f>IF(VLOOKUP(A119,'Données de base - Grunddaten'!$A$2:$M$273,3,FALSE)="","",VLOOKUP(A119,'Données de base - Grunddaten'!$A$2:$M$273,3,FALSE))</f>
        <v>La Réchesse</v>
      </c>
      <c r="C119" s="1028" t="str">
        <f>IF(VLOOKUP(A119,'Données de base - Grunddaten'!$A$2:$M$273,4,FALSE)="","",VLOOKUP(A119,'Données de base - Grunddaten'!$A$2:$M$273,4,FALSE))</f>
        <v>Le Doubs</v>
      </c>
      <c r="D119" s="1028" t="str">
        <f>IF(VLOOKUP(A119,'Données de base - Grunddaten'!$A$2:$M$273,5,FALSE)="","",VLOOKUP(A119,'Données de base - Grunddaten'!$A$2:$M$273,5,FALSE))</f>
        <v>JU</v>
      </c>
      <c r="E119" s="647" t="s">
        <v>45</v>
      </c>
      <c r="F119" s="634"/>
      <c r="G119" s="638"/>
      <c r="H119" s="995" t="s">
        <v>45</v>
      </c>
      <c r="I119" s="1048" t="s">
        <v>48</v>
      </c>
      <c r="J119" s="984" t="s">
        <v>45</v>
      </c>
      <c r="K119" s="1052"/>
      <c r="L119" s="1025" t="s">
        <v>1412</v>
      </c>
      <c r="M119" s="1025" t="s">
        <v>1413</v>
      </c>
      <c r="N119" s="1011"/>
      <c r="O119" s="1012"/>
      <c r="P119" s="1062"/>
      <c r="Q119" s="996" t="s">
        <v>45</v>
      </c>
      <c r="R119" s="1115" t="str">
        <f>IF(VLOOKUP(A119,'Eclusée - Schwall-Sunk'!$A$2:$F$273,5,FALSE)="","",VLOOKUP(A119,'Eclusée - Schwall-Sunk'!$A$2:$F$273,5,FALSE))</f>
        <v>force hydraulique</v>
      </c>
      <c r="S119" s="1126" t="str">
        <f>IF(VLOOKUP(A119,'Eclusée - Schwall-Sunk'!$A$2:$F$273,6,FALSE)="","",VLOOKUP(A119,'Eclusée - Schwall-Sunk'!$A$2:$F$273,6,FALSE))</f>
        <v>Potentiellement affecté / möglicherweise betroffen</v>
      </c>
      <c r="T119" s="1123"/>
      <c r="U119" s="572"/>
      <c r="V119" s="572"/>
    </row>
    <row r="120" spans="1:22" ht="35.25" customHeight="1" x14ac:dyDescent="0.25">
      <c r="A120" s="926">
        <v>145</v>
      </c>
      <c r="B120" s="1028" t="str">
        <f>IF(VLOOKUP(A120,'Données de base - Grunddaten'!$A$2:$M$273,3,FALSE)="","",VLOOKUP(A120,'Données de base - Grunddaten'!$A$2:$M$273,3,FALSE))</f>
        <v>La Lomenne</v>
      </c>
      <c r="C120" s="1028" t="str">
        <f>IF(VLOOKUP(A120,'Données de base - Grunddaten'!$A$2:$M$273,4,FALSE)="","",VLOOKUP(A120,'Données de base - Grunddaten'!$A$2:$M$273,4,FALSE))</f>
        <v>Le Doubs</v>
      </c>
      <c r="D120" s="1028" t="str">
        <f>IF(VLOOKUP(A120,'Données de base - Grunddaten'!$A$2:$M$273,5,FALSE)="","",VLOOKUP(A120,'Données de base - Grunddaten'!$A$2:$M$273,5,FALSE))</f>
        <v>JU</v>
      </c>
      <c r="E120" s="647" t="s">
        <v>45</v>
      </c>
      <c r="F120" s="634"/>
      <c r="G120" s="638"/>
      <c r="H120" s="995" t="s">
        <v>45</v>
      </c>
      <c r="I120" s="1002" t="s">
        <v>1346</v>
      </c>
      <c r="J120" s="984" t="s">
        <v>45</v>
      </c>
      <c r="K120" s="1051" t="s">
        <v>126</v>
      </c>
      <c r="L120" s="1016" t="s">
        <v>1412</v>
      </c>
      <c r="M120" s="1016" t="s">
        <v>1414</v>
      </c>
      <c r="N120" s="1011" t="s">
        <v>1415</v>
      </c>
      <c r="O120" s="1012" t="s">
        <v>1416</v>
      </c>
      <c r="P120" s="1060" t="s">
        <v>1417</v>
      </c>
      <c r="Q120" s="996" t="s">
        <v>45</v>
      </c>
      <c r="R120" s="1115" t="str">
        <f>IF(VLOOKUP(A120,'Eclusée - Schwall-Sunk'!$A$2:$F$273,5,FALSE)="","",VLOOKUP(A120,'Eclusée - Schwall-Sunk'!$A$2:$F$273,5,FALSE))</f>
        <v>force hydraulique</v>
      </c>
      <c r="S120" s="1126" t="str">
        <f>IF(VLOOKUP(A120,'Eclusée - Schwall-Sunk'!$A$2:$F$273,6,FALSE)="","",VLOOKUP(A120,'Eclusée - Schwall-Sunk'!$A$2:$F$273,6,FALSE))</f>
        <v>Potentiellement affecté / möglicherweise betroffen</v>
      </c>
      <c r="T120" s="1123"/>
      <c r="U120" s="572"/>
      <c r="V120" s="572"/>
    </row>
    <row r="121" spans="1:22" ht="35.25" customHeight="1" x14ac:dyDescent="0.25">
      <c r="A121" s="926">
        <v>146</v>
      </c>
      <c r="B121" s="1028" t="str">
        <f>IF(VLOOKUP(A121,'Données de base - Grunddaten'!$A$2:$M$273,3,FALSE)="","",VLOOKUP(A121,'Données de base - Grunddaten'!$A$2:$M$273,3,FALSE))</f>
        <v>Bosco dei Valloni</v>
      </c>
      <c r="C121" s="1028" t="str">
        <f>IF(VLOOKUP(A121,'Données de base - Grunddaten'!$A$2:$M$273,4,FALSE)="","",VLOOKUP(A121,'Données de base - Grunddaten'!$A$2:$M$273,4,FALSE))</f>
        <v>Ticino</v>
      </c>
      <c r="D121" s="1028" t="str">
        <f>IF(VLOOKUP(A121,'Données de base - Grunddaten'!$A$2:$M$273,5,FALSE)="","",VLOOKUP(A121,'Données de base - Grunddaten'!$A$2:$M$273,5,FALSE))</f>
        <v>TI</v>
      </c>
      <c r="E121" s="647" t="s">
        <v>730</v>
      </c>
      <c r="F121" s="634"/>
      <c r="G121" s="638"/>
      <c r="H121" s="995" t="s">
        <v>730</v>
      </c>
      <c r="I121" s="1002" t="s">
        <v>1346</v>
      </c>
      <c r="J121" s="983" t="s">
        <v>730</v>
      </c>
      <c r="K121" s="1051" t="s">
        <v>126</v>
      </c>
      <c r="L121" s="1021"/>
      <c r="M121" s="1031" t="s">
        <v>1458</v>
      </c>
      <c r="N121" s="1017" t="s">
        <v>1459</v>
      </c>
      <c r="O121" s="1018" t="s">
        <v>514</v>
      </c>
      <c r="P121" s="1059"/>
      <c r="Q121" s="998" t="s">
        <v>730</v>
      </c>
      <c r="R121" s="1115" t="str">
        <f>IF(VLOOKUP(A121,'Eclusée - Schwall-Sunk'!$A$2:$F$273,5,FALSE)="","",VLOOKUP(A121,'Eclusée - Schwall-Sunk'!$A$2:$F$273,5,FALSE))</f>
        <v>force hydraulique</v>
      </c>
      <c r="S121" s="1126" t="str">
        <f>IF(VLOOKUP(A121,'Eclusée - Schwall-Sunk'!$A$2:$F$273,6,FALSE)="","",VLOOKUP(A121,'Eclusée - Schwall-Sunk'!$A$2:$F$273,6,FALSE))</f>
        <v>Non affecté / nicht betroffen</v>
      </c>
      <c r="T121" s="1123"/>
      <c r="U121" s="572"/>
      <c r="V121" s="572"/>
    </row>
    <row r="122" spans="1:22" ht="35.25" customHeight="1" x14ac:dyDescent="0.25">
      <c r="A122" s="926">
        <v>147</v>
      </c>
      <c r="B122" s="1028" t="str">
        <f>IF(VLOOKUP(A122,'Données de base - Grunddaten'!$A$2:$M$273,3,FALSE)="","",VLOOKUP(A122,'Données de base - Grunddaten'!$A$2:$M$273,3,FALSE))</f>
        <v>Soria</v>
      </c>
      <c r="C122" s="1028" t="str">
        <f>IF(VLOOKUP(A122,'Données de base - Grunddaten'!$A$2:$M$273,4,FALSE)="","",VLOOKUP(A122,'Données de base - Grunddaten'!$A$2:$M$273,4,FALSE))</f>
        <v>Ticino</v>
      </c>
      <c r="D122" s="1028" t="str">
        <f>IF(VLOOKUP(A122,'Données de base - Grunddaten'!$A$2:$M$273,5,FALSE)="","",VLOOKUP(A122,'Données de base - Grunddaten'!$A$2:$M$273,5,FALSE))</f>
        <v>TI</v>
      </c>
      <c r="E122" s="647" t="s">
        <v>730</v>
      </c>
      <c r="F122" s="634"/>
      <c r="G122" s="638"/>
      <c r="H122" s="998" t="s">
        <v>730</v>
      </c>
      <c r="I122" s="1002" t="s">
        <v>1346</v>
      </c>
      <c r="J122" s="983" t="s">
        <v>730</v>
      </c>
      <c r="K122" s="1051" t="s">
        <v>126</v>
      </c>
      <c r="L122" s="1021"/>
      <c r="M122" s="1031" t="s">
        <v>1458</v>
      </c>
      <c r="N122" s="1017" t="s">
        <v>1459</v>
      </c>
      <c r="O122" s="1018" t="s">
        <v>514</v>
      </c>
      <c r="P122" s="1059"/>
      <c r="Q122" s="998" t="s">
        <v>730</v>
      </c>
      <c r="R122" s="1115" t="str">
        <f>IF(VLOOKUP(A122,'Eclusée - Schwall-Sunk'!$A$2:$F$273,5,FALSE)="","",VLOOKUP(A122,'Eclusée - Schwall-Sunk'!$A$2:$F$273,5,FALSE))</f>
        <v>force hydraulique</v>
      </c>
      <c r="S122" s="1126" t="str">
        <f>IF(VLOOKUP(A122,'Eclusée - Schwall-Sunk'!$A$2:$F$273,6,FALSE)="","",VLOOKUP(A122,'Eclusée - Schwall-Sunk'!$A$2:$F$273,6,FALSE))</f>
        <v>Non affecté / nicht betroffen</v>
      </c>
      <c r="T122" s="1123"/>
      <c r="U122" s="572"/>
      <c r="V122" s="572"/>
    </row>
    <row r="123" spans="1:22" ht="35.25" customHeight="1" x14ac:dyDescent="0.25">
      <c r="A123" s="926">
        <v>148</v>
      </c>
      <c r="B123" s="1028" t="str">
        <f>IF(VLOOKUP(A123,'Données de base - Grunddaten'!$A$2:$M$273,3,FALSE)="","",VLOOKUP(A123,'Données de base - Grunddaten'!$A$2:$M$273,3,FALSE))</f>
        <v>Geròra</v>
      </c>
      <c r="C123" s="1028" t="str">
        <f>IF(VLOOKUP(A123,'Données de base - Grunddaten'!$A$2:$M$273,4,FALSE)="","",VLOOKUP(A123,'Données de base - Grunddaten'!$A$2:$M$273,4,FALSE))</f>
        <v>Ticino</v>
      </c>
      <c r="D123" s="1028" t="str">
        <f>IF(VLOOKUP(A123,'Données de base - Grunddaten'!$A$2:$M$273,5,FALSE)="","",VLOOKUP(A123,'Données de base - Grunddaten'!$A$2:$M$273,5,FALSE))</f>
        <v>TI</v>
      </c>
      <c r="E123" s="647" t="s">
        <v>799</v>
      </c>
      <c r="F123" s="634"/>
      <c r="G123" s="638"/>
      <c r="H123" s="995" t="s">
        <v>799</v>
      </c>
      <c r="I123" s="1002" t="s">
        <v>1346</v>
      </c>
      <c r="J123" s="983" t="s">
        <v>799</v>
      </c>
      <c r="K123" s="1051" t="s">
        <v>126</v>
      </c>
      <c r="L123" s="1021"/>
      <c r="M123" s="1031" t="s">
        <v>1458</v>
      </c>
      <c r="N123" s="1017" t="s">
        <v>1459</v>
      </c>
      <c r="O123" s="1018" t="s">
        <v>514</v>
      </c>
      <c r="P123" s="1059"/>
      <c r="Q123" s="998" t="s">
        <v>799</v>
      </c>
      <c r="R123" s="1115" t="str">
        <f>IF(VLOOKUP(A123,'Eclusée - Schwall-Sunk'!$A$2:$F$273,5,FALSE)="","",VLOOKUP(A123,'Eclusée - Schwall-Sunk'!$A$2:$F$273,5,FALSE))</f>
        <v>force hydraulique</v>
      </c>
      <c r="S123" s="1126" t="str">
        <f>IF(VLOOKUP(A123,'Eclusée - Schwall-Sunk'!$A$2:$F$273,6,FALSE)="","",VLOOKUP(A123,'Eclusée - Schwall-Sunk'!$A$2:$F$273,6,FALSE))</f>
        <v>Non affecté / nicht betroffen</v>
      </c>
      <c r="T123" s="1123"/>
      <c r="U123" s="572"/>
      <c r="V123" s="572"/>
    </row>
    <row r="124" spans="1:22" ht="35.25" customHeight="1" x14ac:dyDescent="0.25">
      <c r="A124" s="926">
        <v>149</v>
      </c>
      <c r="B124" s="1028" t="str">
        <f>IF(VLOOKUP(A124,'Données de base - Grunddaten'!$A$2:$M$273,3,FALSE)="","",VLOOKUP(A124,'Données de base - Grunddaten'!$A$2:$M$273,3,FALSE))</f>
        <v>Albinasca</v>
      </c>
      <c r="C124" s="1028" t="str">
        <f>IF(VLOOKUP(A124,'Données de base - Grunddaten'!$A$2:$M$273,4,FALSE)="","",VLOOKUP(A124,'Données de base - Grunddaten'!$A$2:$M$273,4,FALSE))</f>
        <v>Ticino</v>
      </c>
      <c r="D124" s="1028" t="str">
        <f>IF(VLOOKUP(A124,'Données de base - Grunddaten'!$A$2:$M$273,5,FALSE)="","",VLOOKUP(A124,'Données de base - Grunddaten'!$A$2:$M$273,5,FALSE))</f>
        <v>TI</v>
      </c>
      <c r="E124" s="647" t="s">
        <v>799</v>
      </c>
      <c r="F124" s="634"/>
      <c r="G124" s="638"/>
      <c r="H124" s="995" t="s">
        <v>799</v>
      </c>
      <c r="I124" s="1002" t="s">
        <v>1346</v>
      </c>
      <c r="J124" s="983" t="s">
        <v>799</v>
      </c>
      <c r="K124" s="1051" t="s">
        <v>126</v>
      </c>
      <c r="L124" s="1021"/>
      <c r="M124" s="1031" t="s">
        <v>1458</v>
      </c>
      <c r="N124" s="1017" t="s">
        <v>1459</v>
      </c>
      <c r="O124" s="1018" t="s">
        <v>514</v>
      </c>
      <c r="P124" s="1059"/>
      <c r="Q124" s="998" t="s">
        <v>799</v>
      </c>
      <c r="R124" s="1115" t="str">
        <f>IF(VLOOKUP(A124,'Eclusée - Schwall-Sunk'!$A$2:$F$273,5,FALSE)="","",VLOOKUP(A124,'Eclusée - Schwall-Sunk'!$A$2:$F$273,5,FALSE))</f>
        <v>force hydraulique</v>
      </c>
      <c r="S124" s="1126" t="str">
        <f>IF(VLOOKUP(A124,'Eclusée - Schwall-Sunk'!$A$2:$F$273,6,FALSE)="","",VLOOKUP(A124,'Eclusée - Schwall-Sunk'!$A$2:$F$273,6,FALSE))</f>
        <v>Non affecté / nicht betroffen</v>
      </c>
      <c r="T124" s="1123"/>
      <c r="U124" s="572"/>
      <c r="V124" s="572"/>
    </row>
    <row r="125" spans="1:22" ht="35.25" customHeight="1" x14ac:dyDescent="0.25">
      <c r="A125" s="927">
        <v>150.1</v>
      </c>
      <c r="B125" s="1028" t="str">
        <f>IF(VLOOKUP(A125,'Données de base - Grunddaten'!$A$2:$M$273,3,FALSE)="","",VLOOKUP(A125,'Données de base - Grunddaten'!$A$2:$M$273,3,FALSE))</f>
        <v>Bolla di Loderio</v>
      </c>
      <c r="C125" s="1028" t="str">
        <f>IF(VLOOKUP(A125,'Données de base - Grunddaten'!$A$2:$M$273,4,FALSE)="","",VLOOKUP(A125,'Données de base - Grunddaten'!$A$2:$M$273,4,FALSE))</f>
        <v>Brenno</v>
      </c>
      <c r="D125" s="1028" t="str">
        <f>IF(VLOOKUP(A125,'Données de base - Grunddaten'!$A$2:$M$273,5,FALSE)="","",VLOOKUP(A125,'Données de base - Grunddaten'!$A$2:$M$273,5,FALSE))</f>
        <v>TI</v>
      </c>
      <c r="E125" s="647" t="s">
        <v>794</v>
      </c>
      <c r="F125" s="634"/>
      <c r="G125" s="638"/>
      <c r="H125" s="995" t="s">
        <v>794</v>
      </c>
      <c r="I125" s="1002" t="s">
        <v>1460</v>
      </c>
      <c r="J125" s="984" t="s">
        <v>794</v>
      </c>
      <c r="K125" s="1052"/>
      <c r="L125" s="1021"/>
      <c r="M125" s="1021"/>
      <c r="N125" s="1017" t="s">
        <v>1461</v>
      </c>
      <c r="O125" s="1018" t="s">
        <v>1462</v>
      </c>
      <c r="P125" s="1059"/>
      <c r="Q125" s="996" t="s">
        <v>794</v>
      </c>
      <c r="R125" s="1115" t="str">
        <f>IF(VLOOKUP(A125,'Eclusée - Schwall-Sunk'!$A$2:$F$273,5,FALSE)="","",VLOOKUP(A125,'Eclusée - Schwall-Sunk'!$A$2:$F$273,5,FALSE))</f>
        <v>force hydraulique</v>
      </c>
      <c r="S125" s="1126" t="str">
        <f>IF(VLOOKUP(A125,'Eclusée - Schwall-Sunk'!$A$2:$F$273,6,FALSE)="","",VLOOKUP(A125,'Eclusée - Schwall-Sunk'!$A$2:$F$273,6,FALSE))</f>
        <v>Non affecté / nicht betroffen</v>
      </c>
      <c r="T125" s="1123"/>
      <c r="U125" s="572"/>
      <c r="V125" s="572"/>
    </row>
    <row r="126" spans="1:22" ht="35.25" customHeight="1" x14ac:dyDescent="0.25">
      <c r="A126" s="927">
        <v>150.19999999999999</v>
      </c>
      <c r="B126" s="1028" t="str">
        <f>IF(VLOOKUP(A126,'Données de base - Grunddaten'!$A$2:$M$273,3,FALSE)="","",VLOOKUP(A126,'Données de base - Grunddaten'!$A$2:$M$273,3,FALSE))</f>
        <v>Bolla di Loderio</v>
      </c>
      <c r="C126" s="1028" t="str">
        <f>IF(VLOOKUP(A126,'Données de base - Grunddaten'!$A$2:$M$273,4,FALSE)="","",VLOOKUP(A126,'Données de base - Grunddaten'!$A$2:$M$273,4,FALSE))</f>
        <v>Brenno</v>
      </c>
      <c r="D126" s="1028" t="str">
        <f>IF(VLOOKUP(A126,'Données de base - Grunddaten'!$A$2:$M$273,5,FALSE)="","",VLOOKUP(A126,'Données de base - Grunddaten'!$A$2:$M$273,5,FALSE))</f>
        <v>TI</v>
      </c>
      <c r="E126" s="647" t="s">
        <v>794</v>
      </c>
      <c r="F126" s="634"/>
      <c r="G126" s="638"/>
      <c r="H126" s="995" t="s">
        <v>794</v>
      </c>
      <c r="I126" s="1002" t="s">
        <v>1460</v>
      </c>
      <c r="J126" s="983" t="s">
        <v>794</v>
      </c>
      <c r="K126" s="1052"/>
      <c r="L126" s="1021"/>
      <c r="M126" s="1021"/>
      <c r="N126" s="1017" t="s">
        <v>1463</v>
      </c>
      <c r="O126" s="1018" t="s">
        <v>1462</v>
      </c>
      <c r="P126" s="1059"/>
      <c r="Q126" s="998" t="s">
        <v>794</v>
      </c>
      <c r="R126" s="1115" t="str">
        <f>IF(VLOOKUP(A126,'Eclusée - Schwall-Sunk'!$A$2:$F$273,5,FALSE)="","",VLOOKUP(A126,'Eclusée - Schwall-Sunk'!$A$2:$F$273,5,FALSE))</f>
        <v>force hydraulique</v>
      </c>
      <c r="S126" s="1126" t="str">
        <f>IF(VLOOKUP(A126,'Eclusée - Schwall-Sunk'!$A$2:$F$273,6,FALSE)="","",VLOOKUP(A126,'Eclusée - Schwall-Sunk'!$A$2:$F$273,6,FALSE))</f>
        <v>Non affecté / nicht betroffen</v>
      </c>
      <c r="T126" s="1123"/>
      <c r="U126" s="572"/>
      <c r="V126" s="572"/>
    </row>
    <row r="127" spans="1:22" ht="35.25" customHeight="1" x14ac:dyDescent="0.25">
      <c r="A127" s="928">
        <v>151</v>
      </c>
      <c r="B127" s="1028" t="str">
        <f>IF(VLOOKUP(A127,'Données de base - Grunddaten'!$A$2:$M$273,3,FALSE)="","",VLOOKUP(A127,'Données de base - Grunddaten'!$A$2:$M$273,3,FALSE))</f>
        <v>Brenno di Blenio</v>
      </c>
      <c r="C127" s="1028" t="str">
        <f>IF(VLOOKUP(A127,'Données de base - Grunddaten'!$A$2:$M$273,4,FALSE)="","",VLOOKUP(A127,'Données de base - Grunddaten'!$A$2:$M$273,4,FALSE))</f>
        <v>Brenno</v>
      </c>
      <c r="D127" s="1028" t="str">
        <f>IF(VLOOKUP(A127,'Données de base - Grunddaten'!$A$2:$M$273,5,FALSE)="","",VLOOKUP(A127,'Données de base - Grunddaten'!$A$2:$M$273,5,FALSE))</f>
        <v>TI</v>
      </c>
      <c r="E127" s="647" t="s">
        <v>88</v>
      </c>
      <c r="F127" s="634"/>
      <c r="G127" s="638"/>
      <c r="H127" s="995" t="s">
        <v>88</v>
      </c>
      <c r="I127" s="1002" t="s">
        <v>1464</v>
      </c>
      <c r="J127" s="984" t="s">
        <v>88</v>
      </c>
      <c r="K127" s="1052"/>
      <c r="L127" s="1021"/>
      <c r="M127" s="1021"/>
      <c r="N127" s="1017" t="s">
        <v>1518</v>
      </c>
      <c r="O127" s="1018" t="s">
        <v>1462</v>
      </c>
      <c r="P127" s="1059"/>
      <c r="Q127" s="996" t="s">
        <v>88</v>
      </c>
      <c r="R127" s="1115" t="str">
        <f>IF(VLOOKUP(A127,'Eclusée - Schwall-Sunk'!$A$2:$F$273,5,FALSE)="","",VLOOKUP(A127,'Eclusée - Schwall-Sunk'!$A$2:$F$273,5,FALSE))</f>
        <v>force hydraulique</v>
      </c>
      <c r="S127" s="1126" t="str">
        <f>IF(VLOOKUP(A127,'Eclusée - Schwall-Sunk'!$A$2:$F$273,6,FALSE)="","",VLOOKUP(A127,'Eclusée - Schwall-Sunk'!$A$2:$F$273,6,FALSE))</f>
        <v>Non affecté / nicht betroffen</v>
      </c>
      <c r="T127" s="1123"/>
      <c r="U127" s="572"/>
      <c r="V127" s="572"/>
    </row>
    <row r="128" spans="1:22" ht="35.25" customHeight="1" x14ac:dyDescent="0.25">
      <c r="A128" s="926">
        <v>155</v>
      </c>
      <c r="B128" s="1028" t="str">
        <f>IF(VLOOKUP(A128,'Données de base - Grunddaten'!$A$2:$M$273,3,FALSE)="","",VLOOKUP(A128,'Données de base - Grunddaten'!$A$2:$M$273,3,FALSE))</f>
        <v>Campall</v>
      </c>
      <c r="C128" s="1028" t="str">
        <f>IF(VLOOKUP(A128,'Données de base - Grunddaten'!$A$2:$M$273,4,FALSE)="","",VLOOKUP(A128,'Données de base - Grunddaten'!$A$2:$M$273,4,FALSE))</f>
        <v>Brenno del Lucomagno</v>
      </c>
      <c r="D128" s="1028" t="str">
        <f>IF(VLOOKUP(A128,'Données de base - Grunddaten'!$A$2:$M$273,5,FALSE)="","",VLOOKUP(A128,'Données de base - Grunddaten'!$A$2:$M$273,5,FALSE))</f>
        <v>TI</v>
      </c>
      <c r="E128" s="647" t="s">
        <v>88</v>
      </c>
      <c r="F128" s="634"/>
      <c r="G128" s="638"/>
      <c r="H128" s="995" t="s">
        <v>88</v>
      </c>
      <c r="I128" s="1002" t="s">
        <v>1355</v>
      </c>
      <c r="J128" s="984" t="s">
        <v>88</v>
      </c>
      <c r="K128" s="1052"/>
      <c r="L128" s="1021"/>
      <c r="M128" s="1021"/>
      <c r="N128" s="1017" t="s">
        <v>1465</v>
      </c>
      <c r="O128" s="1018" t="s">
        <v>1466</v>
      </c>
      <c r="P128" s="1059"/>
      <c r="Q128" s="996" t="s">
        <v>88</v>
      </c>
      <c r="R128" s="1115" t="str">
        <f>IF(VLOOKUP(A128,'Eclusée - Schwall-Sunk'!$A$2:$F$273,5,FALSE)="","",VLOOKUP(A128,'Eclusée - Schwall-Sunk'!$A$2:$F$273,5,FALSE))</f>
        <v>force hydraulique</v>
      </c>
      <c r="S128" s="1126" t="str">
        <f>IF(VLOOKUP(A128,'Eclusée - Schwall-Sunk'!$A$2:$F$273,6,FALSE)="","",VLOOKUP(A128,'Eclusée - Schwall-Sunk'!$A$2:$F$273,6,FALSE))</f>
        <v>Non affecté / nicht betroffen</v>
      </c>
      <c r="T128" s="1123"/>
      <c r="U128" s="572"/>
      <c r="V128" s="572"/>
    </row>
    <row r="129" spans="1:22" ht="35.25" customHeight="1" x14ac:dyDescent="0.25">
      <c r="A129" s="926">
        <v>156</v>
      </c>
      <c r="B129" s="1028" t="str">
        <f>IF(VLOOKUP(A129,'Données de base - Grunddaten'!$A$2:$M$273,3,FALSE)="","",VLOOKUP(A129,'Données de base - Grunddaten'!$A$2:$M$273,3,FALSE))</f>
        <v>Bassa</v>
      </c>
      <c r="C129" s="1028" t="str">
        <f>IF(VLOOKUP(A129,'Données de base - Grunddaten'!$A$2:$M$273,4,FALSE)="","",VLOOKUP(A129,'Données de base - Grunddaten'!$A$2:$M$273,4,FALSE))</f>
        <v>Moesa</v>
      </c>
      <c r="D129" s="1028" t="str">
        <f>IF(VLOOKUP(A129,'Données de base - Grunddaten'!$A$2:$M$273,5,FALSE)="","",VLOOKUP(A129,'Données de base - Grunddaten'!$A$2:$M$273,5,FALSE))</f>
        <v>TI</v>
      </c>
      <c r="E129" s="647" t="s">
        <v>45</v>
      </c>
      <c r="F129" s="634"/>
      <c r="G129" s="638"/>
      <c r="H129" s="995" t="s">
        <v>45</v>
      </c>
      <c r="I129" s="1048" t="s">
        <v>48</v>
      </c>
      <c r="J129" s="984" t="s">
        <v>45</v>
      </c>
      <c r="K129" s="1052"/>
      <c r="L129" s="1021"/>
      <c r="M129" s="1021"/>
      <c r="N129" s="1011"/>
      <c r="O129" s="1012"/>
      <c r="P129" s="1063"/>
      <c r="Q129" s="996" t="s">
        <v>45</v>
      </c>
      <c r="R129" s="1115" t="str">
        <f>IF(VLOOKUP(A129,'Eclusée - Schwall-Sunk'!$A$2:$F$273,5,FALSE)="","",VLOOKUP(A129,'Eclusée - Schwall-Sunk'!$A$2:$F$273,5,FALSE))</f>
        <v>force hydraulique</v>
      </c>
      <c r="S129" s="1126" t="str">
        <f>IF(VLOOKUP(A129,'Eclusée - Schwall-Sunk'!$A$2:$F$273,6,FALSE)="","",VLOOKUP(A129,'Eclusée - Schwall-Sunk'!$A$2:$F$273,6,FALSE))</f>
        <v>Potentiellement affecté / möglicherweise betroffen</v>
      </c>
      <c r="T129" s="1123"/>
      <c r="U129" s="572"/>
      <c r="V129" s="572"/>
    </row>
    <row r="130" spans="1:22" ht="35.25" customHeight="1" x14ac:dyDescent="0.25">
      <c r="A130" s="926">
        <v>157</v>
      </c>
      <c r="B130" s="1028" t="str">
        <f>IF(VLOOKUP(A130,'Données de base - Grunddaten'!$A$2:$M$273,3,FALSE)="","",VLOOKUP(A130,'Données de base - Grunddaten'!$A$2:$M$273,3,FALSE))</f>
        <v>Isola</v>
      </c>
      <c r="C130" s="1028" t="str">
        <f>IF(VLOOKUP(A130,'Données de base - Grunddaten'!$A$2:$M$273,4,FALSE)="","",VLOOKUP(A130,'Données de base - Grunddaten'!$A$2:$M$273,4,FALSE))</f>
        <v>Moesa</v>
      </c>
      <c r="D130" s="1028" t="str">
        <f>IF(VLOOKUP(A130,'Données de base - Grunddaten'!$A$2:$M$273,5,FALSE)="","",VLOOKUP(A130,'Données de base - Grunddaten'!$A$2:$M$273,5,FALSE))</f>
        <v>GR/TI</v>
      </c>
      <c r="E130" s="647" t="s">
        <v>45</v>
      </c>
      <c r="F130" s="634"/>
      <c r="G130" s="638"/>
      <c r="H130" s="995" t="s">
        <v>45</v>
      </c>
      <c r="I130" s="1048" t="s">
        <v>48</v>
      </c>
      <c r="J130" s="984" t="s">
        <v>45</v>
      </c>
      <c r="K130" s="1052"/>
      <c r="L130" s="1022"/>
      <c r="M130" s="1022"/>
      <c r="N130" s="1011"/>
      <c r="O130" s="1012"/>
      <c r="P130" s="1063"/>
      <c r="Q130" s="996" t="s">
        <v>45</v>
      </c>
      <c r="R130" s="1115" t="str">
        <f>IF(VLOOKUP(A130,'Eclusée - Schwall-Sunk'!$A$2:$F$273,5,FALSE)="","",VLOOKUP(A130,'Eclusée - Schwall-Sunk'!$A$2:$F$273,5,FALSE))</f>
        <v>force hydraulique</v>
      </c>
      <c r="S130" s="1126" t="str">
        <f>IF(VLOOKUP(A130,'Eclusée - Schwall-Sunk'!$A$2:$F$273,6,FALSE)="","",VLOOKUP(A130,'Eclusée - Schwall-Sunk'!$A$2:$F$273,6,FALSE))</f>
        <v>Potentiellement affecté / möglicherweise betroffen</v>
      </c>
      <c r="T130" s="1123"/>
      <c r="U130" s="572"/>
      <c r="V130" s="572"/>
    </row>
    <row r="131" spans="1:22" ht="35.25" customHeight="1" x14ac:dyDescent="0.25">
      <c r="A131" s="926">
        <v>158</v>
      </c>
      <c r="B131" s="1028" t="str">
        <f>IF(VLOOKUP(A131,'Données de base - Grunddaten'!$A$2:$M$273,3,FALSE)="","",VLOOKUP(A131,'Données de base - Grunddaten'!$A$2:$M$273,3,FALSE))</f>
        <v>Ai Fornas</v>
      </c>
      <c r="C131" s="1028" t="str">
        <f>IF(VLOOKUP(A131,'Données de base - Grunddaten'!$A$2:$M$273,4,FALSE)="","",VLOOKUP(A131,'Données de base - Grunddaten'!$A$2:$M$273,4,FALSE))</f>
        <v>Moesa</v>
      </c>
      <c r="D131" s="1028" t="str">
        <f>IF(VLOOKUP(A131,'Données de base - Grunddaten'!$A$2:$M$273,5,FALSE)="","",VLOOKUP(A131,'Données de base - Grunddaten'!$A$2:$M$273,5,FALSE))</f>
        <v>GR</v>
      </c>
      <c r="E131" s="647" t="s">
        <v>45</v>
      </c>
      <c r="F131" s="634"/>
      <c r="G131" s="638"/>
      <c r="H131" s="995" t="s">
        <v>45</v>
      </c>
      <c r="I131" s="1048" t="s">
        <v>48</v>
      </c>
      <c r="J131" s="984" t="s">
        <v>45</v>
      </c>
      <c r="K131" s="1052"/>
      <c r="L131" s="1022"/>
      <c r="M131" s="1022"/>
      <c r="N131" s="1011"/>
      <c r="O131" s="1012"/>
      <c r="P131" s="1063"/>
      <c r="Q131" s="996" t="s">
        <v>45</v>
      </c>
      <c r="R131" s="1115" t="str">
        <f>IF(VLOOKUP(A131,'Eclusée - Schwall-Sunk'!$A$2:$F$273,5,FALSE)="","",VLOOKUP(A131,'Eclusée - Schwall-Sunk'!$A$2:$F$273,5,FALSE))</f>
        <v>force hydraulique</v>
      </c>
      <c r="S131" s="1126" t="str">
        <f>IF(VLOOKUP(A131,'Eclusée - Schwall-Sunk'!$A$2:$F$273,6,FALSE)="","",VLOOKUP(A131,'Eclusée - Schwall-Sunk'!$A$2:$F$273,6,FALSE))</f>
        <v>Potentiellement affecté / möglicherweise betroffen</v>
      </c>
      <c r="T131" s="1123"/>
      <c r="U131" s="572"/>
      <c r="V131" s="572"/>
    </row>
    <row r="132" spans="1:22" ht="35.25" customHeight="1" x14ac:dyDescent="0.25">
      <c r="A132" s="926">
        <v>160</v>
      </c>
      <c r="B132" s="1028" t="str">
        <f>IF(VLOOKUP(A132,'Données de base - Grunddaten'!$A$2:$M$273,3,FALSE)="","",VLOOKUP(A132,'Données de base - Grunddaten'!$A$2:$M$273,3,FALSE))</f>
        <v>Pascoletto</v>
      </c>
      <c r="C132" s="1028" t="str">
        <f>IF(VLOOKUP(A132,'Données de base - Grunddaten'!$A$2:$M$273,4,FALSE)="","",VLOOKUP(A132,'Données de base - Grunddaten'!$A$2:$M$273,4,FALSE))</f>
        <v>Moesa</v>
      </c>
      <c r="D132" s="1028" t="str">
        <f>IF(VLOOKUP(A132,'Données de base - Grunddaten'!$A$2:$M$273,5,FALSE)="","",VLOOKUP(A132,'Données de base - Grunddaten'!$A$2:$M$273,5,FALSE))</f>
        <v>GR</v>
      </c>
      <c r="E132" s="647" t="s">
        <v>45</v>
      </c>
      <c r="F132" s="634"/>
      <c r="G132" s="638"/>
      <c r="H132" s="995" t="s">
        <v>45</v>
      </c>
      <c r="I132" s="1048" t="s">
        <v>48</v>
      </c>
      <c r="J132" s="984" t="s">
        <v>45</v>
      </c>
      <c r="K132" s="1052"/>
      <c r="L132" s="1022"/>
      <c r="M132" s="1022"/>
      <c r="N132" s="1011"/>
      <c r="O132" s="1012"/>
      <c r="P132" s="1063"/>
      <c r="Q132" s="996" t="s">
        <v>45</v>
      </c>
      <c r="R132" s="1115" t="str">
        <f>IF(VLOOKUP(A132,'Eclusée - Schwall-Sunk'!$A$2:$F$273,5,FALSE)="","",VLOOKUP(A132,'Eclusée - Schwall-Sunk'!$A$2:$F$273,5,FALSE))</f>
        <v>force hydraulique</v>
      </c>
      <c r="S132" s="1126" t="str">
        <f>IF(VLOOKUP(A132,'Eclusée - Schwall-Sunk'!$A$2:$F$273,6,FALSE)="","",VLOOKUP(A132,'Eclusée - Schwall-Sunk'!$A$2:$F$273,6,FALSE))</f>
        <v>Potentiellement affecté / möglicherweise betroffen</v>
      </c>
      <c r="T132" s="1123"/>
      <c r="U132" s="572"/>
      <c r="V132" s="572"/>
    </row>
    <row r="133" spans="1:22" ht="35.25" customHeight="1" x14ac:dyDescent="0.25">
      <c r="A133" s="926">
        <v>161</v>
      </c>
      <c r="B133" s="1028" t="str">
        <f>IF(VLOOKUP(A133,'Données de base - Grunddaten'!$A$2:$M$273,3,FALSE)="","",VLOOKUP(A133,'Données de base - Grunddaten'!$A$2:$M$273,3,FALSE))</f>
        <v>Rosera</v>
      </c>
      <c r="C133" s="1028" t="str">
        <f>IF(VLOOKUP(A133,'Données de base - Grunddaten'!$A$2:$M$273,4,FALSE)="","",VLOOKUP(A133,'Données de base - Grunddaten'!$A$2:$M$273,4,FALSE))</f>
        <v>Moesa</v>
      </c>
      <c r="D133" s="1028" t="str">
        <f>IF(VLOOKUP(A133,'Données de base - Grunddaten'!$A$2:$M$273,5,FALSE)="","",VLOOKUP(A133,'Données de base - Grunddaten'!$A$2:$M$273,5,FALSE))</f>
        <v>GR</v>
      </c>
      <c r="E133" s="647" t="s">
        <v>45</v>
      </c>
      <c r="F133" s="639"/>
      <c r="G133" s="635"/>
      <c r="H133" s="995" t="s">
        <v>45</v>
      </c>
      <c r="I133" s="1048" t="s">
        <v>48</v>
      </c>
      <c r="J133" s="984" t="s">
        <v>45</v>
      </c>
      <c r="K133" s="1052"/>
      <c r="L133" s="1022"/>
      <c r="M133" s="1022"/>
      <c r="N133" s="1011"/>
      <c r="O133" s="1012"/>
      <c r="P133" s="1063"/>
      <c r="Q133" s="996" t="s">
        <v>45</v>
      </c>
      <c r="R133" s="1115" t="str">
        <f>IF(VLOOKUP(A133,'Eclusée - Schwall-Sunk'!$A$2:$F$273,5,FALSE)="","",VLOOKUP(A133,'Eclusée - Schwall-Sunk'!$A$2:$F$273,5,FALSE))</f>
        <v>force hydraulique</v>
      </c>
      <c r="S133" s="1126" t="str">
        <f>IF(VLOOKUP(A133,'Eclusée - Schwall-Sunk'!$A$2:$F$273,6,FALSE)="","",VLOOKUP(A133,'Eclusée - Schwall-Sunk'!$A$2:$F$273,6,FALSE))</f>
        <v>Potentiellement affecté / möglicherweise betroffen</v>
      </c>
      <c r="T133" s="1123"/>
      <c r="U133" s="572"/>
      <c r="V133" s="572"/>
    </row>
    <row r="134" spans="1:22" ht="35.25" customHeight="1" x14ac:dyDescent="0.25">
      <c r="A134" s="926">
        <v>162</v>
      </c>
      <c r="B134" s="1028" t="str">
        <f>IF(VLOOKUP(A134,'Données de base - Grunddaten'!$A$2:$M$273,3,FALSE)="","",VLOOKUP(A134,'Données de base - Grunddaten'!$A$2:$M$273,3,FALSE))</f>
        <v>Pomareda</v>
      </c>
      <c r="C134" s="1028" t="str">
        <f>IF(VLOOKUP(A134,'Données de base - Grunddaten'!$A$2:$M$273,4,FALSE)="","",VLOOKUP(A134,'Données de base - Grunddaten'!$A$2:$M$273,4,FALSE))</f>
        <v>Moesa</v>
      </c>
      <c r="D134" s="1028" t="str">
        <f>IF(VLOOKUP(A134,'Données de base - Grunddaten'!$A$2:$M$273,5,FALSE)="","",VLOOKUP(A134,'Données de base - Grunddaten'!$A$2:$M$273,5,FALSE))</f>
        <v>GR</v>
      </c>
      <c r="E134" s="647" t="s">
        <v>794</v>
      </c>
      <c r="F134" s="639"/>
      <c r="G134" s="635"/>
      <c r="H134" s="995" t="s">
        <v>794</v>
      </c>
      <c r="I134" s="1002" t="s">
        <v>1376</v>
      </c>
      <c r="J134" s="984" t="s">
        <v>794</v>
      </c>
      <c r="K134" s="1052"/>
      <c r="L134" s="1022"/>
      <c r="M134" s="1022"/>
      <c r="N134" s="1017" t="s">
        <v>1381</v>
      </c>
      <c r="O134" s="1018" t="s">
        <v>1382</v>
      </c>
      <c r="P134" s="1059"/>
      <c r="Q134" s="996" t="s">
        <v>794</v>
      </c>
      <c r="R134" s="1115" t="str">
        <f>IF(VLOOKUP(A134,'Eclusée - Schwall-Sunk'!$A$2:$F$273,5,FALSE)="","",VLOOKUP(A134,'Eclusée - Schwall-Sunk'!$A$2:$F$273,5,FALSE))</f>
        <v>force hydraulique</v>
      </c>
      <c r="S134" s="1126" t="str">
        <f>IF(VLOOKUP(A134,'Eclusée - Schwall-Sunk'!$A$2:$F$273,6,FALSE)="","",VLOOKUP(A134,'Eclusée - Schwall-Sunk'!$A$2:$F$273,6,FALSE))</f>
        <v>Potentiellement affecté / möglicherweise betroffen</v>
      </c>
      <c r="T134" s="1123"/>
      <c r="U134" s="572"/>
      <c r="V134" s="572"/>
    </row>
    <row r="135" spans="1:22" ht="35.25" customHeight="1" x14ac:dyDescent="0.25">
      <c r="A135" s="926">
        <v>164</v>
      </c>
      <c r="B135" s="1028" t="str">
        <f>IF(VLOOKUP(A135,'Données de base - Grunddaten'!$A$2:$M$273,3,FALSE)="","",VLOOKUP(A135,'Données de base - Grunddaten'!$A$2:$M$273,3,FALSE))</f>
        <v>Canton</v>
      </c>
      <c r="C135" s="1028" t="str">
        <f>IF(VLOOKUP(A135,'Données de base - Grunddaten'!$A$2:$M$273,4,FALSE)="","",VLOOKUP(A135,'Données de base - Grunddaten'!$A$2:$M$273,4,FALSE))</f>
        <v>Moesa</v>
      </c>
      <c r="D135" s="1028" t="str">
        <f>IF(VLOOKUP(A135,'Données de base - Grunddaten'!$A$2:$M$273,5,FALSE)="","",VLOOKUP(A135,'Données de base - Grunddaten'!$A$2:$M$273,5,FALSE))</f>
        <v>GR</v>
      </c>
      <c r="E135" s="647" t="s">
        <v>794</v>
      </c>
      <c r="F135" s="639"/>
      <c r="G135" s="635"/>
      <c r="H135" s="995" t="s">
        <v>794</v>
      </c>
      <c r="I135" s="1002" t="s">
        <v>1376</v>
      </c>
      <c r="J135" s="984" t="s">
        <v>794</v>
      </c>
      <c r="K135" s="1052"/>
      <c r="L135" s="1022"/>
      <c r="M135" s="1022"/>
      <c r="N135" s="1017" t="s">
        <v>1381</v>
      </c>
      <c r="O135" s="1018" t="s">
        <v>1382</v>
      </c>
      <c r="P135" s="1059"/>
      <c r="Q135" s="996" t="s">
        <v>794</v>
      </c>
      <c r="R135" s="1115" t="str">
        <f>IF(VLOOKUP(A135,'Eclusée - Schwall-Sunk'!$A$2:$F$273,5,FALSE)="","",VLOOKUP(A135,'Eclusée - Schwall-Sunk'!$A$2:$F$273,5,FALSE))</f>
        <v>force hydraulique</v>
      </c>
      <c r="S135" s="1126" t="str">
        <f>IF(VLOOKUP(A135,'Eclusée - Schwall-Sunk'!$A$2:$F$273,6,FALSE)="","",VLOOKUP(A135,'Eclusée - Schwall-Sunk'!$A$2:$F$273,6,FALSE))</f>
        <v>Non affecté / nicht betroffen</v>
      </c>
      <c r="T135" s="1123"/>
      <c r="U135" s="572"/>
      <c r="V135" s="572"/>
    </row>
    <row r="136" spans="1:22" ht="35.25" customHeight="1" x14ac:dyDescent="0.25">
      <c r="A136" s="926">
        <v>166</v>
      </c>
      <c r="B136" s="1028" t="str">
        <f>IF(VLOOKUP(A136,'Données de base - Grunddaten'!$A$2:$M$273,3,FALSE)="","",VLOOKUP(A136,'Données de base - Grunddaten'!$A$2:$M$273,3,FALSE))</f>
        <v>Pian di Alne</v>
      </c>
      <c r="C136" s="1028" t="str">
        <f>IF(VLOOKUP(A136,'Données de base - Grunddaten'!$A$2:$M$273,4,FALSE)="","",VLOOKUP(A136,'Données de base - Grunddaten'!$A$2:$M$273,4,FALSE))</f>
        <v>Calancasca</v>
      </c>
      <c r="D136" s="1028" t="str">
        <f>IF(VLOOKUP(A136,'Données de base - Grunddaten'!$A$2:$M$273,5,FALSE)="","",VLOOKUP(A136,'Données de base - Grunddaten'!$A$2:$M$273,5,FALSE))</f>
        <v>GR</v>
      </c>
      <c r="E136" s="647" t="s">
        <v>730</v>
      </c>
      <c r="F136" s="639"/>
      <c r="G136" s="635"/>
      <c r="H136" s="995" t="s">
        <v>730</v>
      </c>
      <c r="I136" s="1002" t="s">
        <v>1376</v>
      </c>
      <c r="J136" s="986" t="s">
        <v>730</v>
      </c>
      <c r="K136" s="1052"/>
      <c r="L136" s="1022"/>
      <c r="M136" s="1022"/>
      <c r="N136" s="1017" t="s">
        <v>1383</v>
      </c>
      <c r="O136" s="1018" t="s">
        <v>1384</v>
      </c>
      <c r="P136" s="1059"/>
      <c r="Q136" s="995" t="s">
        <v>730</v>
      </c>
      <c r="R136" s="1115" t="str">
        <f>IF(VLOOKUP(A136,'Eclusée - Schwall-Sunk'!$A$2:$F$273,5,FALSE)="","",VLOOKUP(A136,'Eclusée - Schwall-Sunk'!$A$2:$F$273,5,FALSE))</f>
        <v>force hydraulique</v>
      </c>
      <c r="S136" s="1126" t="str">
        <f>IF(VLOOKUP(A136,'Eclusée - Schwall-Sunk'!$A$2:$F$273,6,FALSE)="","",VLOOKUP(A136,'Eclusée - Schwall-Sunk'!$A$2:$F$273,6,FALSE))</f>
        <v>Non affecté / nicht betroffen</v>
      </c>
      <c r="T136" s="1123"/>
      <c r="U136" s="572"/>
      <c r="V136" s="572"/>
    </row>
    <row r="137" spans="1:22" ht="35.25" customHeight="1" x14ac:dyDescent="0.25">
      <c r="A137" s="926">
        <v>167</v>
      </c>
      <c r="B137" s="1028" t="str">
        <f>IF(VLOOKUP(A137,'Données de base - Grunddaten'!$A$2:$M$273,3,FALSE)="","",VLOOKUP(A137,'Données de base - Grunddaten'!$A$2:$M$273,3,FALSE))</f>
        <v>Boschetti</v>
      </c>
      <c r="C137" s="1028" t="str">
        <f>IF(VLOOKUP(A137,'Données de base - Grunddaten'!$A$2:$M$273,4,FALSE)="","",VLOOKUP(A137,'Données de base - Grunddaten'!$A$2:$M$273,4,FALSE))</f>
        <v>Ticino</v>
      </c>
      <c r="D137" s="1028" t="str">
        <f>IF(VLOOKUP(A137,'Données de base - Grunddaten'!$A$2:$M$273,5,FALSE)="","",VLOOKUP(A137,'Données de base - Grunddaten'!$A$2:$M$273,5,FALSE))</f>
        <v>TI</v>
      </c>
      <c r="E137" s="647" t="s">
        <v>45</v>
      </c>
      <c r="F137" s="639"/>
      <c r="G137" s="635"/>
      <c r="H137" s="995" t="s">
        <v>45</v>
      </c>
      <c r="I137" s="1048" t="s">
        <v>48</v>
      </c>
      <c r="J137" s="984" t="s">
        <v>45</v>
      </c>
      <c r="K137" s="1052"/>
      <c r="L137" s="1021"/>
      <c r="M137" s="1021"/>
      <c r="N137" s="1011"/>
      <c r="O137" s="1012"/>
      <c r="P137" s="1063"/>
      <c r="Q137" s="996" t="s">
        <v>45</v>
      </c>
      <c r="R137" s="1115" t="str">
        <f>IF(VLOOKUP(A137,'Eclusée - Schwall-Sunk'!$A$2:$F$273,5,FALSE)="","",VLOOKUP(A137,'Eclusée - Schwall-Sunk'!$A$2:$F$273,5,FALSE))</f>
        <v>force hydraulique</v>
      </c>
      <c r="S137" s="1126" t="str">
        <f>IF(VLOOKUP(A137,'Eclusée - Schwall-Sunk'!$A$2:$F$273,6,FALSE)="","",VLOOKUP(A137,'Eclusée - Schwall-Sunk'!$A$2:$F$273,6,FALSE))</f>
        <v>Potentiellement affecté / möglicherweise betroffen</v>
      </c>
      <c r="T137" s="1123"/>
      <c r="U137" s="572"/>
      <c r="V137" s="572"/>
    </row>
    <row r="138" spans="1:22" ht="35.25" customHeight="1" x14ac:dyDescent="0.25">
      <c r="A138" s="926">
        <v>168</v>
      </c>
      <c r="B138" s="1028" t="str">
        <f>IF(VLOOKUP(A138,'Données de base - Grunddaten'!$A$2:$M$273,3,FALSE)="","",VLOOKUP(A138,'Données de base - Grunddaten'!$A$2:$M$273,3,FALSE))</f>
        <v>Ciossa Antognini</v>
      </c>
      <c r="C138" s="1028" t="str">
        <f>IF(VLOOKUP(A138,'Données de base - Grunddaten'!$A$2:$M$273,4,FALSE)="","",VLOOKUP(A138,'Données de base - Grunddaten'!$A$2:$M$273,4,FALSE))</f>
        <v>Ticino</v>
      </c>
      <c r="D138" s="1028" t="str">
        <f>IF(VLOOKUP(A138,'Données de base - Grunddaten'!$A$2:$M$273,5,FALSE)="","",VLOOKUP(A138,'Données de base - Grunddaten'!$A$2:$M$273,5,FALSE))</f>
        <v>TI</v>
      </c>
      <c r="E138" s="647" t="s">
        <v>45</v>
      </c>
      <c r="F138" s="639"/>
      <c r="G138" s="635"/>
      <c r="H138" s="995" t="s">
        <v>45</v>
      </c>
      <c r="I138" s="1048" t="s">
        <v>48</v>
      </c>
      <c r="J138" s="984" t="s">
        <v>45</v>
      </c>
      <c r="K138" s="1052"/>
      <c r="L138" s="1021"/>
      <c r="M138" s="1021"/>
      <c r="N138" s="1011"/>
      <c r="O138" s="1012"/>
      <c r="P138" s="1063"/>
      <c r="Q138" s="996" t="s">
        <v>45</v>
      </c>
      <c r="R138" s="1115" t="str">
        <f>IF(VLOOKUP(A138,'Eclusée - Schwall-Sunk'!$A$2:$F$273,5,FALSE)="","",VLOOKUP(A138,'Eclusée - Schwall-Sunk'!$A$2:$F$273,5,FALSE))</f>
        <v>force hydraulique</v>
      </c>
      <c r="S138" s="1126" t="str">
        <f>IF(VLOOKUP(A138,'Eclusée - Schwall-Sunk'!$A$2:$F$273,6,FALSE)="","",VLOOKUP(A138,'Eclusée - Schwall-Sunk'!$A$2:$F$273,6,FALSE))</f>
        <v>Potentiellement affecté / möglicherweise betroffen</v>
      </c>
      <c r="T138" s="1123"/>
      <c r="U138" s="572"/>
      <c r="V138" s="572"/>
    </row>
    <row r="139" spans="1:22" ht="35.25" customHeight="1" x14ac:dyDescent="0.25">
      <c r="A139" s="927">
        <v>169.1</v>
      </c>
      <c r="B139" s="1028" t="str">
        <f>IF(VLOOKUP(A139,'Données de base - Grunddaten'!$A$2:$M$273,3,FALSE)="","",VLOOKUP(A139,'Données de base - Grunddaten'!$A$2:$M$273,3,FALSE))</f>
        <v>Bolle di Magadino</v>
      </c>
      <c r="C139" s="1028" t="str">
        <f>IF(VLOOKUP(A139,'Données de base - Grunddaten'!$A$2:$M$273,4,FALSE)="","",VLOOKUP(A139,'Données de base - Grunddaten'!$A$2:$M$273,4,FALSE))</f>
        <v>Lago Maggiore, Ticino, Verzasca</v>
      </c>
      <c r="D139" s="1028" t="str">
        <f>IF(VLOOKUP(A139,'Données de base - Grunddaten'!$A$2:$M$273,5,FALSE)="","",VLOOKUP(A139,'Données de base - Grunddaten'!$A$2:$M$273,5,FALSE))</f>
        <v>TI</v>
      </c>
      <c r="E139" s="647" t="s">
        <v>45</v>
      </c>
      <c r="F139" s="639"/>
      <c r="G139" s="635"/>
      <c r="H139" s="995" t="s">
        <v>45</v>
      </c>
      <c r="I139" s="1048" t="s">
        <v>48</v>
      </c>
      <c r="J139" s="984" t="s">
        <v>45</v>
      </c>
      <c r="K139" s="1052"/>
      <c r="L139" s="1021"/>
      <c r="M139" s="1021"/>
      <c r="N139" s="1011"/>
      <c r="O139" s="1012"/>
      <c r="P139" s="1063"/>
      <c r="Q139" s="996" t="s">
        <v>45</v>
      </c>
      <c r="R139" s="1115" t="str">
        <f>IF(VLOOKUP(A139,'Eclusée - Schwall-Sunk'!$A$2:$F$273,5,FALSE)="","",VLOOKUP(A139,'Eclusée - Schwall-Sunk'!$A$2:$F$273,5,FALSE))</f>
        <v>force hydraulique</v>
      </c>
      <c r="S139" s="1126" t="str">
        <f>IF(VLOOKUP(A139,'Eclusée - Schwall-Sunk'!$A$2:$F$273,6,FALSE)="","",VLOOKUP(A139,'Eclusée - Schwall-Sunk'!$A$2:$F$273,6,FALSE))</f>
        <v>Potentiellement affecté / möglicherweise betroffen</v>
      </c>
      <c r="T139" s="1123"/>
      <c r="U139" s="572"/>
      <c r="V139" s="572"/>
    </row>
    <row r="140" spans="1:22" ht="35.25" customHeight="1" x14ac:dyDescent="0.25">
      <c r="A140" s="927">
        <v>169.2</v>
      </c>
      <c r="B140" s="1028" t="str">
        <f>IF(VLOOKUP(A140,'Données de base - Grunddaten'!$A$2:$M$273,3,FALSE)="","",VLOOKUP(A140,'Données de base - Grunddaten'!$A$2:$M$273,3,FALSE))</f>
        <v>Bolle di Magadino</v>
      </c>
      <c r="C140" s="1028" t="str">
        <f>IF(VLOOKUP(A140,'Données de base - Grunddaten'!$A$2:$M$273,4,FALSE)="","",VLOOKUP(A140,'Données de base - Grunddaten'!$A$2:$M$273,4,FALSE))</f>
        <v>Lago Maggiore, Ticino, Verzasca</v>
      </c>
      <c r="D140" s="1028" t="str">
        <f>IF(VLOOKUP(A140,'Données de base - Grunddaten'!$A$2:$M$273,5,FALSE)="","",VLOOKUP(A140,'Données de base - Grunddaten'!$A$2:$M$273,5,FALSE))</f>
        <v>TI</v>
      </c>
      <c r="E140" s="647" t="s">
        <v>45</v>
      </c>
      <c r="F140" s="639"/>
      <c r="G140" s="635"/>
      <c r="H140" s="995" t="s">
        <v>45</v>
      </c>
      <c r="I140" s="1048" t="s">
        <v>48</v>
      </c>
      <c r="J140" s="984" t="s">
        <v>45</v>
      </c>
      <c r="K140" s="1052"/>
      <c r="L140" s="1021"/>
      <c r="M140" s="1021"/>
      <c r="N140" s="1011"/>
      <c r="O140" s="1012"/>
      <c r="P140" s="1063"/>
      <c r="Q140" s="996" t="s">
        <v>45</v>
      </c>
      <c r="R140" s="1115" t="str">
        <f>IF(VLOOKUP(A140,'Eclusée - Schwall-Sunk'!$A$2:$F$273,5,FALSE)="","",VLOOKUP(A140,'Eclusée - Schwall-Sunk'!$A$2:$F$273,5,FALSE))</f>
        <v>force hydraulique</v>
      </c>
      <c r="S140" s="1126" t="str">
        <f>IF(VLOOKUP(A140,'Eclusée - Schwall-Sunk'!$A$2:$F$273,6,FALSE)="","",VLOOKUP(A140,'Eclusée - Schwall-Sunk'!$A$2:$F$273,6,FALSE))</f>
        <v>Potentiellement affecté / möglicherweise betroffen</v>
      </c>
      <c r="T140" s="1123"/>
      <c r="U140" s="572"/>
      <c r="V140" s="572"/>
    </row>
    <row r="141" spans="1:22" ht="35.25" customHeight="1" x14ac:dyDescent="0.25">
      <c r="A141" s="926">
        <v>170</v>
      </c>
      <c r="B141" s="1028" t="str">
        <f>IF(VLOOKUP(A141,'Données de base - Grunddaten'!$A$2:$M$273,3,FALSE)="","",VLOOKUP(A141,'Données de base - Grunddaten'!$A$2:$M$273,3,FALSE))</f>
        <v>Saleggio</v>
      </c>
      <c r="C141" s="1028" t="str">
        <f>IF(VLOOKUP(A141,'Données de base - Grunddaten'!$A$2:$M$273,4,FALSE)="","",VLOOKUP(A141,'Données de base - Grunddaten'!$A$2:$M$273,4,FALSE))</f>
        <v>Maggia</v>
      </c>
      <c r="D141" s="1028" t="str">
        <f>IF(VLOOKUP(A141,'Données de base - Grunddaten'!$A$2:$M$273,5,FALSE)="","",VLOOKUP(A141,'Données de base - Grunddaten'!$A$2:$M$273,5,FALSE))</f>
        <v>TI</v>
      </c>
      <c r="E141" s="647" t="s">
        <v>794</v>
      </c>
      <c r="F141" s="639"/>
      <c r="G141" s="635"/>
      <c r="H141" s="995" t="s">
        <v>794</v>
      </c>
      <c r="I141" s="1002" t="s">
        <v>1337</v>
      </c>
      <c r="J141" s="984" t="s">
        <v>794</v>
      </c>
      <c r="K141" s="1052"/>
      <c r="L141" s="1021"/>
      <c r="M141" s="1021"/>
      <c r="N141" s="1017" t="s">
        <v>1467</v>
      </c>
      <c r="O141" s="1018" t="s">
        <v>1468</v>
      </c>
      <c r="P141" s="1059"/>
      <c r="Q141" s="996" t="s">
        <v>794</v>
      </c>
      <c r="R141" s="1115" t="str">
        <f>IF(VLOOKUP(A141,'Eclusée - Schwall-Sunk'!$A$2:$F$273,5,FALSE)="","",VLOOKUP(A141,'Eclusée - Schwall-Sunk'!$A$2:$F$273,5,FALSE))</f>
        <v>force hydraulique</v>
      </c>
      <c r="S141" s="1126" t="str">
        <f>IF(VLOOKUP(A141,'Eclusée - Schwall-Sunk'!$A$2:$F$273,6,FALSE)="","",VLOOKUP(A141,'Eclusée - Schwall-Sunk'!$A$2:$F$273,6,FALSE))</f>
        <v>Non affecté / nicht betroffen</v>
      </c>
      <c r="T141" s="1123"/>
      <c r="U141" s="572"/>
      <c r="V141" s="572"/>
    </row>
    <row r="142" spans="1:22" ht="35.25" customHeight="1" x14ac:dyDescent="0.25">
      <c r="A142" s="928">
        <v>171</v>
      </c>
      <c r="B142" s="1028" t="str">
        <f>IF(VLOOKUP(A142,'Données de base - Grunddaten'!$A$2:$M$273,3,FALSE)="","",VLOOKUP(A142,'Données de base - Grunddaten'!$A$2:$M$273,3,FALSE))</f>
        <v>Maggia</v>
      </c>
      <c r="C142" s="1028" t="str">
        <f>IF(VLOOKUP(A142,'Données de base - Grunddaten'!$A$2:$M$273,4,FALSE)="","",VLOOKUP(A142,'Données de base - Grunddaten'!$A$2:$M$273,4,FALSE))</f>
        <v>Maggia</v>
      </c>
      <c r="D142" s="1028" t="str">
        <f>IF(VLOOKUP(A142,'Données de base - Grunddaten'!$A$2:$M$273,5,FALSE)="","",VLOOKUP(A142,'Données de base - Grunddaten'!$A$2:$M$273,5,FALSE))</f>
        <v>TI</v>
      </c>
      <c r="E142" s="647" t="s">
        <v>794</v>
      </c>
      <c r="F142" s="639"/>
      <c r="G142" s="635"/>
      <c r="H142" s="995" t="s">
        <v>794</v>
      </c>
      <c r="I142" s="1002" t="s">
        <v>1337</v>
      </c>
      <c r="J142" s="984" t="s">
        <v>794</v>
      </c>
      <c r="K142" s="1052"/>
      <c r="L142" s="1021"/>
      <c r="M142" s="1021"/>
      <c r="N142" s="1017" t="s">
        <v>1467</v>
      </c>
      <c r="O142" s="1018" t="s">
        <v>1468</v>
      </c>
      <c r="P142" s="1059"/>
      <c r="Q142" s="996" t="s">
        <v>794</v>
      </c>
      <c r="R142" s="1115" t="str">
        <f>IF(VLOOKUP(A142,'Eclusée - Schwall-Sunk'!$A$2:$F$273,5,FALSE)="","",VLOOKUP(A142,'Eclusée - Schwall-Sunk'!$A$2:$F$273,5,FALSE))</f>
        <v>force hydraulique</v>
      </c>
      <c r="S142" s="1126" t="str">
        <f>IF(VLOOKUP(A142,'Eclusée - Schwall-Sunk'!$A$2:$F$273,6,FALSE)="","",VLOOKUP(A142,'Eclusée - Schwall-Sunk'!$A$2:$F$273,6,FALSE))</f>
        <v>Non affecté / nicht betroffen</v>
      </c>
      <c r="T142" s="1123"/>
      <c r="U142" s="572"/>
      <c r="V142" s="572"/>
    </row>
    <row r="143" spans="1:22" ht="35.25" customHeight="1" x14ac:dyDescent="0.25">
      <c r="A143" s="926">
        <v>172</v>
      </c>
      <c r="B143" s="1028" t="str">
        <f>IF(VLOOKUP(A143,'Données de base - Grunddaten'!$A$2:$M$273,3,FALSE)="","",VLOOKUP(A143,'Données de base - Grunddaten'!$A$2:$M$273,3,FALSE))</f>
        <v>Somprei–Lovalt</v>
      </c>
      <c r="C143" s="1028" t="str">
        <f>IF(VLOOKUP(A143,'Données de base - Grunddaten'!$A$2:$M$273,4,FALSE)="","",VLOOKUP(A143,'Données de base - Grunddaten'!$A$2:$M$273,4,FALSE))</f>
        <v>Maggia</v>
      </c>
      <c r="D143" s="1028" t="str">
        <f>IF(VLOOKUP(A143,'Données de base - Grunddaten'!$A$2:$M$273,5,FALSE)="","",VLOOKUP(A143,'Données de base - Grunddaten'!$A$2:$M$273,5,FALSE))</f>
        <v>TI</v>
      </c>
      <c r="E143" s="647" t="s">
        <v>88</v>
      </c>
      <c r="F143" s="639"/>
      <c r="G143" s="635"/>
      <c r="H143" s="995" t="s">
        <v>88</v>
      </c>
      <c r="I143" s="1002" t="s">
        <v>1355</v>
      </c>
      <c r="J143" s="984" t="s">
        <v>88</v>
      </c>
      <c r="K143" s="1052"/>
      <c r="L143" s="1021"/>
      <c r="M143" s="1021"/>
      <c r="N143" s="1017" t="s">
        <v>1469</v>
      </c>
      <c r="O143" s="1018" t="s">
        <v>1470</v>
      </c>
      <c r="P143" s="1059"/>
      <c r="Q143" s="996" t="s">
        <v>88</v>
      </c>
      <c r="R143" s="1115" t="str">
        <f>IF(VLOOKUP(A143,'Eclusée - Schwall-Sunk'!$A$2:$F$273,5,FALSE)="","",VLOOKUP(A143,'Eclusée - Schwall-Sunk'!$A$2:$F$273,5,FALSE))</f>
        <v>force hydraulique</v>
      </c>
      <c r="S143" s="1126" t="str">
        <f>IF(VLOOKUP(A143,'Eclusée - Schwall-Sunk'!$A$2:$F$273,6,FALSE)="","",VLOOKUP(A143,'Eclusée - Schwall-Sunk'!$A$2:$F$273,6,FALSE))</f>
        <v>Non affecté / nicht betroffen</v>
      </c>
      <c r="T143" s="1123"/>
      <c r="U143" s="572"/>
      <c r="V143" s="572"/>
    </row>
    <row r="144" spans="1:22" ht="35.25" customHeight="1" x14ac:dyDescent="0.25">
      <c r="A144" s="926">
        <v>174</v>
      </c>
      <c r="B144" s="1028" t="str">
        <f>IF(VLOOKUP(A144,'Données de base - Grunddaten'!$A$2:$M$273,3,FALSE)="","",VLOOKUP(A144,'Données de base - Grunddaten'!$A$2:$M$273,3,FALSE))</f>
        <v>Strada</v>
      </c>
      <c r="C144" s="1028" t="str">
        <f>IF(VLOOKUP(A144,'Données de base - Grunddaten'!$A$2:$M$273,4,FALSE)="","",VLOOKUP(A144,'Données de base - Grunddaten'!$A$2:$M$273,4,FALSE))</f>
        <v>Inn</v>
      </c>
      <c r="D144" s="1028" t="str">
        <f>IF(VLOOKUP(A144,'Données de base - Grunddaten'!$A$2:$M$273,5,FALSE)="","",VLOOKUP(A144,'Données de base - Grunddaten'!$A$2:$M$273,5,FALSE))</f>
        <v>GR</v>
      </c>
      <c r="E144" s="647" t="s">
        <v>794</v>
      </c>
      <c r="F144" s="639"/>
      <c r="G144" s="635"/>
      <c r="H144" s="995" t="s">
        <v>794</v>
      </c>
      <c r="I144" s="1002" t="s">
        <v>1334</v>
      </c>
      <c r="J144" s="984" t="s">
        <v>794</v>
      </c>
      <c r="K144" s="1052"/>
      <c r="L144" s="1022"/>
      <c r="M144" s="1022"/>
      <c r="N144" s="1017" t="s">
        <v>1385</v>
      </c>
      <c r="O144" s="1018" t="s">
        <v>1386</v>
      </c>
      <c r="P144" s="1059"/>
      <c r="Q144" s="996" t="s">
        <v>794</v>
      </c>
      <c r="R144" s="1115" t="str">
        <f>IF(VLOOKUP(A144,'Eclusée - Schwall-Sunk'!$A$2:$F$273,5,FALSE)="","",VLOOKUP(A144,'Eclusée - Schwall-Sunk'!$A$2:$F$273,5,FALSE))</f>
        <v>force hydraulique</v>
      </c>
      <c r="S144" s="1126" t="str">
        <f>IF(VLOOKUP(A144,'Eclusée - Schwall-Sunk'!$A$2:$F$273,6,FALSE)="","",VLOOKUP(A144,'Eclusée - Schwall-Sunk'!$A$2:$F$273,6,FALSE))</f>
        <v>Non affecté / nicht betroffen</v>
      </c>
      <c r="T144" s="1123"/>
      <c r="U144" s="572"/>
      <c r="V144" s="572"/>
    </row>
    <row r="145" spans="1:22" ht="35.25" customHeight="1" x14ac:dyDescent="0.25">
      <c r="A145" s="926">
        <v>176</v>
      </c>
      <c r="B145" s="1028" t="str">
        <f>IF(VLOOKUP(A145,'Données de base - Grunddaten'!$A$2:$M$273,3,FALSE)="","",VLOOKUP(A145,'Données de base - Grunddaten'!$A$2:$M$273,3,FALSE))</f>
        <v>Plan-Sot</v>
      </c>
      <c r="C145" s="1028" t="str">
        <f>IF(VLOOKUP(A145,'Données de base - Grunddaten'!$A$2:$M$273,4,FALSE)="","",VLOOKUP(A145,'Données de base - Grunddaten'!$A$2:$M$273,4,FALSE))</f>
        <v>Inn</v>
      </c>
      <c r="D145" s="1028" t="str">
        <f>IF(VLOOKUP(A145,'Données de base - Grunddaten'!$A$2:$M$273,5,FALSE)="","",VLOOKUP(A145,'Données de base - Grunddaten'!$A$2:$M$273,5,FALSE))</f>
        <v>GR</v>
      </c>
      <c r="E145" s="647" t="s">
        <v>794</v>
      </c>
      <c r="F145" s="639"/>
      <c r="G145" s="635"/>
      <c r="H145" s="995" t="s">
        <v>794</v>
      </c>
      <c r="I145" s="1002" t="s">
        <v>1334</v>
      </c>
      <c r="J145" s="983" t="s">
        <v>794</v>
      </c>
      <c r="K145" s="1051" t="s">
        <v>126</v>
      </c>
      <c r="L145" s="1023"/>
      <c r="M145" s="1023"/>
      <c r="N145" s="1017" t="s">
        <v>1385</v>
      </c>
      <c r="O145" s="1018" t="s">
        <v>1386</v>
      </c>
      <c r="P145" s="1059"/>
      <c r="Q145" s="998" t="s">
        <v>794</v>
      </c>
      <c r="R145" s="1115" t="str">
        <f>IF(VLOOKUP(A145,'Eclusée - Schwall-Sunk'!$A$2:$F$273,5,FALSE)="","",VLOOKUP(A145,'Eclusée - Schwall-Sunk'!$A$2:$F$273,5,FALSE))</f>
        <v>force hydraulique</v>
      </c>
      <c r="S145" s="1126" t="str">
        <f>IF(VLOOKUP(A145,'Eclusée - Schwall-Sunk'!$A$2:$F$273,6,FALSE)="","",VLOOKUP(A145,'Eclusée - Schwall-Sunk'!$A$2:$F$273,6,FALSE))</f>
        <v>Non affecté / nicht betroffen</v>
      </c>
      <c r="T145" s="1123"/>
      <c r="U145" s="572"/>
      <c r="V145" s="572"/>
    </row>
    <row r="146" spans="1:22" ht="35.25" customHeight="1" x14ac:dyDescent="0.25">
      <c r="A146" s="926">
        <v>177</v>
      </c>
      <c r="B146" s="1028" t="str">
        <f>IF(VLOOKUP(A146,'Données de base - Grunddaten'!$A$2:$M$273,3,FALSE)="","",VLOOKUP(A146,'Données de base - Grunddaten'!$A$2:$M$273,3,FALSE))</f>
        <v>Panas-ch–Resgia</v>
      </c>
      <c r="C146" s="1028" t="str">
        <f>IF(VLOOKUP(A146,'Données de base - Grunddaten'!$A$2:$M$273,4,FALSE)="","",VLOOKUP(A146,'Données de base - Grunddaten'!$A$2:$M$273,4,FALSE))</f>
        <v>Inn</v>
      </c>
      <c r="D146" s="1028" t="str">
        <f>IF(VLOOKUP(A146,'Données de base - Grunddaten'!$A$2:$M$273,5,FALSE)="","",VLOOKUP(A146,'Données de base - Grunddaten'!$A$2:$M$273,5,FALSE))</f>
        <v>GR</v>
      </c>
      <c r="E146" s="647" t="s">
        <v>794</v>
      </c>
      <c r="F146" s="639"/>
      <c r="G146" s="635"/>
      <c r="H146" s="998" t="s">
        <v>794</v>
      </c>
      <c r="I146" s="1003" t="s">
        <v>794</v>
      </c>
      <c r="J146" s="983" t="s">
        <v>794</v>
      </c>
      <c r="K146" s="1051" t="s">
        <v>126</v>
      </c>
      <c r="L146" s="1023"/>
      <c r="M146" s="1023"/>
      <c r="N146" s="1017" t="s">
        <v>1385</v>
      </c>
      <c r="O146" s="1018" t="s">
        <v>1386</v>
      </c>
      <c r="P146" s="1059"/>
      <c r="Q146" s="998" t="s">
        <v>794</v>
      </c>
      <c r="R146" s="1115" t="str">
        <f>IF(VLOOKUP(A146,'Eclusée - Schwall-Sunk'!$A$2:$F$273,5,FALSE)="","",VLOOKUP(A146,'Eclusée - Schwall-Sunk'!$A$2:$F$273,5,FALSE))</f>
        <v>force hydraulique</v>
      </c>
      <c r="S146" s="1126" t="str">
        <f>IF(VLOOKUP(A146,'Eclusée - Schwall-Sunk'!$A$2:$F$273,6,FALSE)="","",VLOOKUP(A146,'Eclusée - Schwall-Sunk'!$A$2:$F$273,6,FALSE))</f>
        <v>Non affecté / nicht betroffen</v>
      </c>
      <c r="T146" s="1123"/>
      <c r="U146" s="572"/>
      <c r="V146" s="572"/>
    </row>
    <row r="147" spans="1:22" ht="35.25" customHeight="1" x14ac:dyDescent="0.25">
      <c r="A147" s="926">
        <v>181</v>
      </c>
      <c r="B147" s="1028" t="str">
        <f>IF(VLOOKUP(A147,'Données de base - Grunddaten'!$A$2:$M$273,3,FALSE)="","",VLOOKUP(A147,'Données de base - Grunddaten'!$A$2:$M$273,3,FALSE))</f>
        <v>Lischana–Suronnas</v>
      </c>
      <c r="C147" s="1028" t="str">
        <f>IF(VLOOKUP(A147,'Données de base - Grunddaten'!$A$2:$M$273,4,FALSE)="","",VLOOKUP(A147,'Données de base - Grunddaten'!$A$2:$M$273,4,FALSE))</f>
        <v>Inn</v>
      </c>
      <c r="D147" s="1028" t="str">
        <f>IF(VLOOKUP(A147,'Données de base - Grunddaten'!$A$2:$M$273,5,FALSE)="","",VLOOKUP(A147,'Données de base - Grunddaten'!$A$2:$M$273,5,FALSE))</f>
        <v>GR</v>
      </c>
      <c r="E147" s="647" t="s">
        <v>794</v>
      </c>
      <c r="F147" s="639"/>
      <c r="G147" s="635"/>
      <c r="H147" s="998" t="s">
        <v>794</v>
      </c>
      <c r="I147" s="1003" t="s">
        <v>794</v>
      </c>
      <c r="J147" s="983" t="s">
        <v>794</v>
      </c>
      <c r="K147" s="1051" t="s">
        <v>126</v>
      </c>
      <c r="L147" s="1023"/>
      <c r="M147" s="1023"/>
      <c r="N147" s="1011"/>
      <c r="O147" s="1012"/>
      <c r="P147" s="1063"/>
      <c r="Q147" s="998" t="s">
        <v>794</v>
      </c>
      <c r="R147" s="1115" t="str">
        <f>IF(VLOOKUP(A147,'Eclusée - Schwall-Sunk'!$A$2:$F$273,5,FALSE)="","",VLOOKUP(A147,'Eclusée - Schwall-Sunk'!$A$2:$F$273,5,FALSE))</f>
        <v>force hydraulique</v>
      </c>
      <c r="S147" s="1126" t="str">
        <f>IF(VLOOKUP(A147,'Eclusée - Schwall-Sunk'!$A$2:$F$273,6,FALSE)="","",VLOOKUP(A147,'Eclusée - Schwall-Sunk'!$A$2:$F$273,6,FALSE))</f>
        <v>Non affecté / nicht betroffen</v>
      </c>
      <c r="T147" s="1123"/>
      <c r="U147" s="572"/>
      <c r="V147" s="572"/>
    </row>
    <row r="148" spans="1:22" ht="35.25" customHeight="1" x14ac:dyDescent="0.25">
      <c r="A148" s="926">
        <v>185</v>
      </c>
      <c r="B148" s="1028" t="str">
        <f>IF(VLOOKUP(A148,'Données de base - Grunddaten'!$A$2:$M$273,3,FALSE)="","",VLOOKUP(A148,'Données de base - Grunddaten'!$A$2:$M$273,3,FALSE))</f>
        <v>Sotruinas</v>
      </c>
      <c r="C148" s="1028" t="str">
        <f>IF(VLOOKUP(A148,'Données de base - Grunddaten'!$A$2:$M$273,4,FALSE)="","",VLOOKUP(A148,'Données de base - Grunddaten'!$A$2:$M$273,4,FALSE))</f>
        <v>Inn</v>
      </c>
      <c r="D148" s="1028" t="str">
        <f>IF(VLOOKUP(A148,'Données de base - Grunddaten'!$A$2:$M$273,5,FALSE)="","",VLOOKUP(A148,'Données de base - Grunddaten'!$A$2:$M$273,5,FALSE))</f>
        <v>GR</v>
      </c>
      <c r="E148" s="647" t="s">
        <v>794</v>
      </c>
      <c r="F148" s="639"/>
      <c r="G148" s="635"/>
      <c r="H148" s="998" t="s">
        <v>794</v>
      </c>
      <c r="I148" s="1003" t="s">
        <v>794</v>
      </c>
      <c r="J148" s="983" t="s">
        <v>794</v>
      </c>
      <c r="K148" s="1051" t="s">
        <v>126</v>
      </c>
      <c r="L148" s="1023"/>
      <c r="M148" s="1023"/>
      <c r="N148" s="1017" t="s">
        <v>1387</v>
      </c>
      <c r="O148" s="1018" t="s">
        <v>1388</v>
      </c>
      <c r="P148" s="1059"/>
      <c r="Q148" s="998" t="s">
        <v>794</v>
      </c>
      <c r="R148" s="1115" t="str">
        <f>IF(VLOOKUP(A148,'Eclusée - Schwall-Sunk'!$A$2:$F$273,5,FALSE)="","",VLOOKUP(A148,'Eclusée - Schwall-Sunk'!$A$2:$F$273,5,FALSE))</f>
        <v>force hydraulique</v>
      </c>
      <c r="S148" s="1126" t="str">
        <f>IF(VLOOKUP(A148,'Eclusée - Schwall-Sunk'!$A$2:$F$273,6,FALSE)="","",VLOOKUP(A148,'Eclusée - Schwall-Sunk'!$A$2:$F$273,6,FALSE))</f>
        <v>Non affecté / nicht betroffen</v>
      </c>
      <c r="T148" s="1123"/>
      <c r="U148" s="572"/>
      <c r="V148" s="572"/>
    </row>
    <row r="149" spans="1:22" ht="35.25" customHeight="1" x14ac:dyDescent="0.25">
      <c r="A149" s="926">
        <v>187</v>
      </c>
      <c r="B149" s="1028" t="str">
        <f>IF(VLOOKUP(A149,'Données de base - Grunddaten'!$A$2:$M$273,3,FALSE)="","",VLOOKUP(A149,'Données de base - Grunddaten'!$A$2:$M$273,3,FALSE))</f>
        <v>Blaisch dal Piz dal Ras</v>
      </c>
      <c r="C149" s="1028" t="str">
        <f>IF(VLOOKUP(A149,'Données de base - Grunddaten'!$A$2:$M$273,4,FALSE)="","",VLOOKUP(A149,'Données de base - Grunddaten'!$A$2:$M$273,4,FALSE))</f>
        <v>Susasca</v>
      </c>
      <c r="D149" s="1028" t="str">
        <f>IF(VLOOKUP(A149,'Données de base - Grunddaten'!$A$2:$M$273,5,FALSE)="","",VLOOKUP(A149,'Données de base - Grunddaten'!$A$2:$M$273,5,FALSE))</f>
        <v>GR</v>
      </c>
      <c r="E149" s="647" t="s">
        <v>746</v>
      </c>
      <c r="F149" s="636" t="s">
        <v>1345</v>
      </c>
      <c r="G149" s="637" t="s">
        <v>1345</v>
      </c>
      <c r="H149" s="995" t="s">
        <v>746</v>
      </c>
      <c r="I149" s="1048" t="s">
        <v>48</v>
      </c>
      <c r="J149" s="985" t="s">
        <v>746</v>
      </c>
      <c r="K149" s="1052"/>
      <c r="L149" s="1022"/>
      <c r="M149" s="1022"/>
      <c r="N149" s="1011"/>
      <c r="O149" s="1012"/>
      <c r="P149" s="1063"/>
      <c r="Q149" s="997" t="s">
        <v>746</v>
      </c>
      <c r="R149" s="1115" t="str">
        <f>IF(VLOOKUP(A149,'Eclusée - Schwall-Sunk'!$A$2:$F$273,5,FALSE)="","",VLOOKUP(A149,'Eclusée - Schwall-Sunk'!$A$2:$F$273,5,FALSE))</f>
        <v/>
      </c>
      <c r="S149" s="1126" t="str">
        <f>IF(VLOOKUP(A149,'Eclusée - Schwall-Sunk'!$A$2:$F$273,6,FALSE)="","",VLOOKUP(A149,'Eclusée - Schwall-Sunk'!$A$2:$F$273,6,FALSE))</f>
        <v>Non affecté / nicht betroffen</v>
      </c>
      <c r="T149" s="1123"/>
      <c r="U149" s="572"/>
      <c r="V149" s="572"/>
    </row>
    <row r="150" spans="1:22" ht="35.25" customHeight="1" x14ac:dyDescent="0.25">
      <c r="A150" s="926">
        <v>188</v>
      </c>
      <c r="B150" s="1028" t="str">
        <f>IF(VLOOKUP(A150,'Données de base - Grunddaten'!$A$2:$M$273,3,FALSE)="","",VLOOKUP(A150,'Données de base - Grunddaten'!$A$2:$M$273,3,FALSE))</f>
        <v>San Batrumieu</v>
      </c>
      <c r="C150" s="1028" t="str">
        <f>IF(VLOOKUP(A150,'Données de base - Grunddaten'!$A$2:$M$273,4,FALSE)="","",VLOOKUP(A150,'Données de base - Grunddaten'!$A$2:$M$273,4,FALSE))</f>
        <v>Inn</v>
      </c>
      <c r="D150" s="1028" t="str">
        <f>IF(VLOOKUP(A150,'Données de base - Grunddaten'!$A$2:$M$273,5,FALSE)="","",VLOOKUP(A150,'Données de base - Grunddaten'!$A$2:$M$273,5,FALSE))</f>
        <v>GR</v>
      </c>
      <c r="E150" s="647" t="s">
        <v>746</v>
      </c>
      <c r="F150" s="636" t="s">
        <v>1345</v>
      </c>
      <c r="G150" s="637" t="s">
        <v>1345</v>
      </c>
      <c r="H150" s="995" t="s">
        <v>746</v>
      </c>
      <c r="I150" s="1048" t="s">
        <v>48</v>
      </c>
      <c r="J150" s="984" t="s">
        <v>746</v>
      </c>
      <c r="K150" s="1052"/>
      <c r="L150" s="1022"/>
      <c r="M150" s="1022"/>
      <c r="N150" s="1011"/>
      <c r="O150" s="1012"/>
      <c r="P150" s="1063"/>
      <c r="Q150" s="996" t="s">
        <v>746</v>
      </c>
      <c r="R150" s="1115" t="str">
        <f>IF(VLOOKUP(A150,'Eclusée - Schwall-Sunk'!$A$2:$F$273,5,FALSE)="","",VLOOKUP(A150,'Eclusée - Schwall-Sunk'!$A$2:$F$273,5,FALSE))</f>
        <v/>
      </c>
      <c r="S150" s="1126" t="str">
        <f>IF(VLOOKUP(A150,'Eclusée - Schwall-Sunk'!$A$2:$F$273,6,FALSE)="","",VLOOKUP(A150,'Eclusée - Schwall-Sunk'!$A$2:$F$273,6,FALSE))</f>
        <v>Potentiellement affecté mais non plausible / möglicherweise betroffen aber nicht nachweisbar</v>
      </c>
      <c r="T150" s="1123"/>
      <c r="U150" s="572"/>
      <c r="V150" s="572"/>
    </row>
    <row r="151" spans="1:22" ht="35.25" customHeight="1" x14ac:dyDescent="0.25">
      <c r="A151" s="926">
        <v>190</v>
      </c>
      <c r="B151" s="1028" t="str">
        <f>IF(VLOOKUP(A151,'Données de base - Grunddaten'!$A$2:$M$273,3,FALSE)="","",VLOOKUP(A151,'Données de base - Grunddaten'!$A$2:$M$273,3,FALSE))</f>
        <v>Isla Glischa–Arvins–Seglias</v>
      </c>
      <c r="C151" s="1028" t="str">
        <f>IF(VLOOKUP(A151,'Données de base - Grunddaten'!$A$2:$M$273,4,FALSE)="","",VLOOKUP(A151,'Données de base - Grunddaten'!$A$2:$M$273,4,FALSE))</f>
        <v>Inn, Chamuera</v>
      </c>
      <c r="D151" s="1028" t="str">
        <f>IF(VLOOKUP(A151,'Données de base - Grunddaten'!$A$2:$M$273,5,FALSE)="","",VLOOKUP(A151,'Données de base - Grunddaten'!$A$2:$M$273,5,FALSE))</f>
        <v>GR</v>
      </c>
      <c r="E151" s="647" t="s">
        <v>746</v>
      </c>
      <c r="F151" s="636" t="s">
        <v>1345</v>
      </c>
      <c r="G151" s="637" t="s">
        <v>1345</v>
      </c>
      <c r="H151" s="995" t="s">
        <v>746</v>
      </c>
      <c r="I151" s="1048" t="s">
        <v>48</v>
      </c>
      <c r="J151" s="984" t="s">
        <v>746</v>
      </c>
      <c r="K151" s="1052"/>
      <c r="L151" s="1022"/>
      <c r="M151" s="1022"/>
      <c r="N151" s="1011"/>
      <c r="O151" s="1012"/>
      <c r="P151" s="1063"/>
      <c r="Q151" s="996" t="s">
        <v>746</v>
      </c>
      <c r="R151" s="1115" t="str">
        <f>IF(VLOOKUP(A151,'Eclusée - Schwall-Sunk'!$A$2:$F$273,5,FALSE)="","",VLOOKUP(A151,'Eclusée - Schwall-Sunk'!$A$2:$F$273,5,FALSE))</f>
        <v/>
      </c>
      <c r="S151" s="1126" t="str">
        <f>IF(VLOOKUP(A151,'Eclusée - Schwall-Sunk'!$A$2:$F$273,6,FALSE)="","",VLOOKUP(A151,'Eclusée - Schwall-Sunk'!$A$2:$F$273,6,FALSE))</f>
        <v>Potentiellement affecté mais non plausible / möglicherweise betroffen aber nicht nachweisbar</v>
      </c>
      <c r="T151" s="1123"/>
      <c r="U151" s="572"/>
      <c r="V151" s="572"/>
    </row>
    <row r="152" spans="1:22" ht="35.25" customHeight="1" x14ac:dyDescent="0.25">
      <c r="A152" s="926">
        <v>194</v>
      </c>
      <c r="B152" s="1028" t="str">
        <f>IF(VLOOKUP(A152,'Données de base - Grunddaten'!$A$2:$M$273,3,FALSE)="","",VLOOKUP(A152,'Données de base - Grunddaten'!$A$2:$M$273,3,FALSE))</f>
        <v>Flaz</v>
      </c>
      <c r="C152" s="1028" t="str">
        <f>IF(VLOOKUP(A152,'Données de base - Grunddaten'!$A$2:$M$273,4,FALSE)="","",VLOOKUP(A152,'Données de base - Grunddaten'!$A$2:$M$273,4,FALSE))</f>
        <v>Flaz, Inn</v>
      </c>
      <c r="D152" s="1028" t="str">
        <f>IF(VLOOKUP(A152,'Données de base - Grunddaten'!$A$2:$M$273,5,FALSE)="","",VLOOKUP(A152,'Données de base - Grunddaten'!$A$2:$M$273,5,FALSE))</f>
        <v>GR</v>
      </c>
      <c r="E152" s="647" t="s">
        <v>746</v>
      </c>
      <c r="F152" s="636" t="s">
        <v>1345</v>
      </c>
      <c r="G152" s="637" t="s">
        <v>1345</v>
      </c>
      <c r="H152" s="995" t="s">
        <v>746</v>
      </c>
      <c r="I152" s="1048" t="s">
        <v>48</v>
      </c>
      <c r="J152" s="984" t="s">
        <v>746</v>
      </c>
      <c r="K152" s="1052"/>
      <c r="L152" s="1022"/>
      <c r="M152" s="1022"/>
      <c r="N152" s="1011"/>
      <c r="O152" s="1012"/>
      <c r="P152" s="1063"/>
      <c r="Q152" s="996" t="s">
        <v>746</v>
      </c>
      <c r="R152" s="1115" t="str">
        <f>IF(VLOOKUP(A152,'Eclusée - Schwall-Sunk'!$A$2:$F$273,5,FALSE)="","",VLOOKUP(A152,'Eclusée - Schwall-Sunk'!$A$2:$F$273,5,FALSE))</f>
        <v/>
      </c>
      <c r="S152" s="1126" t="str">
        <f>IF(VLOOKUP(A152,'Eclusée - Schwall-Sunk'!$A$2:$F$273,6,FALSE)="","",VLOOKUP(A152,'Eclusée - Schwall-Sunk'!$A$2:$F$273,6,FALSE))</f>
        <v>Potentiellement affecté / möglicherweise betroffen</v>
      </c>
      <c r="T152" s="1123"/>
      <c r="U152" s="572"/>
      <c r="V152" s="572"/>
    </row>
    <row r="153" spans="1:22" ht="35.25" customHeight="1" x14ac:dyDescent="0.25">
      <c r="A153" s="926">
        <v>195</v>
      </c>
      <c r="B153" s="1028" t="str">
        <f>IF(VLOOKUP(A153,'Données de base - Grunddaten'!$A$2:$M$273,3,FALSE)="","",VLOOKUP(A153,'Données de base - Grunddaten'!$A$2:$M$273,3,FALSE))</f>
        <v>II Rom Valchava-Graveras (Müstair)</v>
      </c>
      <c r="C153" s="1028" t="str">
        <f>IF(VLOOKUP(A153,'Données de base - Grunddaten'!$A$2:$M$273,4,FALSE)="","",VLOOKUP(A153,'Données de base - Grunddaten'!$A$2:$M$273,4,FALSE))</f>
        <v>II Rom</v>
      </c>
      <c r="D153" s="1028" t="str">
        <f>IF(VLOOKUP(A153,'Données de base - Grunddaten'!$A$2:$M$273,5,FALSE)="","",VLOOKUP(A153,'Données de base - Grunddaten'!$A$2:$M$273,5,FALSE))</f>
        <v>GR</v>
      </c>
      <c r="E153" s="647" t="s">
        <v>799</v>
      </c>
      <c r="F153" s="634"/>
      <c r="G153" s="635"/>
      <c r="H153" s="995" t="s">
        <v>799</v>
      </c>
      <c r="I153" s="1002" t="s">
        <v>1389</v>
      </c>
      <c r="J153" s="983" t="s">
        <v>799</v>
      </c>
      <c r="K153" s="1051" t="s">
        <v>126</v>
      </c>
      <c r="L153" s="1023"/>
      <c r="M153" s="1023"/>
      <c r="N153" s="1017" t="s">
        <v>1519</v>
      </c>
      <c r="O153" s="1018" t="s">
        <v>1390</v>
      </c>
      <c r="P153" s="1059"/>
      <c r="Q153" s="998" t="s">
        <v>799</v>
      </c>
      <c r="R153" s="1115" t="str">
        <f>IF(VLOOKUP(A153,'Eclusée - Schwall-Sunk'!$A$2:$F$273,5,FALSE)="","",VLOOKUP(A153,'Eclusée - Schwall-Sunk'!$A$2:$F$273,5,FALSE))</f>
        <v>force hydraulique</v>
      </c>
      <c r="S153" s="1126" t="str">
        <f>IF(VLOOKUP(A153,'Eclusée - Schwall-Sunk'!$A$2:$F$273,6,FALSE)="","",VLOOKUP(A153,'Eclusée - Schwall-Sunk'!$A$2:$F$273,6,FALSE))</f>
        <v>Non affecté / nicht betroffen</v>
      </c>
      <c r="T153" s="1123"/>
      <c r="U153" s="572"/>
      <c r="V153" s="572"/>
    </row>
    <row r="154" spans="1:22" ht="35.25" customHeight="1" x14ac:dyDescent="0.25">
      <c r="A154" s="926">
        <v>198</v>
      </c>
      <c r="B154" s="1028" t="str">
        <f>IF(VLOOKUP(A154,'Données de base - Grunddaten'!$A$2:$M$273,3,FALSE)="","",VLOOKUP(A154,'Données de base - Grunddaten'!$A$2:$M$273,3,FALSE))</f>
        <v>Les Grèves de Concise</v>
      </c>
      <c r="C154" s="1028" t="str">
        <f>IF(VLOOKUP(A154,'Données de base - Grunddaten'!$A$2:$M$273,4,FALSE)="","",VLOOKUP(A154,'Données de base - Grunddaten'!$A$2:$M$273,4,FALSE))</f>
        <v>Lac de Neuchâtel</v>
      </c>
      <c r="D154" s="1028" t="str">
        <f>IF(VLOOKUP(A154,'Données de base - Grunddaten'!$A$2:$M$273,5,FALSE)="","",VLOOKUP(A154,'Données de base - Grunddaten'!$A$2:$M$273,5,FALSE))</f>
        <v>VD</v>
      </c>
      <c r="E154" s="647" t="s">
        <v>51</v>
      </c>
      <c r="F154" s="634"/>
      <c r="G154" s="635"/>
      <c r="H154" s="995" t="s">
        <v>53</v>
      </c>
      <c r="I154" s="1048" t="s">
        <v>48</v>
      </c>
      <c r="J154" s="984" t="s">
        <v>53</v>
      </c>
      <c r="K154" s="1052"/>
      <c r="L154" s="1022"/>
      <c r="M154" s="1022"/>
      <c r="N154" s="1011"/>
      <c r="O154" s="1012"/>
      <c r="P154" s="1063"/>
      <c r="Q154" s="996" t="s">
        <v>53</v>
      </c>
      <c r="R154" s="1115" t="str">
        <f>IF(VLOOKUP(A154,'Eclusée - Schwall-Sunk'!$A$2:$F$273,5,FALSE)="","",VLOOKUP(A154,'Eclusée - Schwall-Sunk'!$A$2:$F$273,5,FALSE))</f>
        <v/>
      </c>
      <c r="S154" s="1126" t="str">
        <f>IF(VLOOKUP(A154,'Eclusée - Schwall-Sunk'!$A$2:$F$273,6,FALSE)="","",VLOOKUP(A154,'Eclusée - Schwall-Sunk'!$A$2:$F$273,6,FALSE))</f>
        <v>Non affecté / nicht betroffen</v>
      </c>
      <c r="T154" s="1123"/>
      <c r="U154" s="572"/>
      <c r="V154" s="572"/>
    </row>
    <row r="155" spans="1:22" ht="35.25" customHeight="1" x14ac:dyDescent="0.25">
      <c r="A155" s="926">
        <v>200</v>
      </c>
      <c r="B155" s="1028" t="str">
        <f>IF(VLOOKUP(A155,'Données de base - Grunddaten'!$A$2:$M$273,3,FALSE)="","",VLOOKUP(A155,'Données de base - Grunddaten'!$A$2:$M$273,3,FALSE))</f>
        <v>Les Grèves de Grandson–Bonvillars–Onnens</v>
      </c>
      <c r="C155" s="1028" t="str">
        <f>IF(VLOOKUP(A155,'Données de base - Grunddaten'!$A$2:$M$273,4,FALSE)="","",VLOOKUP(A155,'Données de base - Grunddaten'!$A$2:$M$273,4,FALSE))</f>
        <v>Lac de Neuchâtel</v>
      </c>
      <c r="D155" s="1028" t="str">
        <f>IF(VLOOKUP(A155,'Données de base - Grunddaten'!$A$2:$M$273,5,FALSE)="","",VLOOKUP(A155,'Données de base - Grunddaten'!$A$2:$M$273,5,FALSE))</f>
        <v>VD</v>
      </c>
      <c r="E155" s="647" t="s">
        <v>51</v>
      </c>
      <c r="F155" s="634"/>
      <c r="G155" s="635"/>
      <c r="H155" s="995" t="s">
        <v>53</v>
      </c>
      <c r="I155" s="1048" t="s">
        <v>48</v>
      </c>
      <c r="J155" s="984" t="s">
        <v>53</v>
      </c>
      <c r="K155" s="1052"/>
      <c r="L155" s="1022"/>
      <c r="M155" s="1022"/>
      <c r="N155" s="1011"/>
      <c r="O155" s="1012"/>
      <c r="P155" s="1063"/>
      <c r="Q155" s="996" t="s">
        <v>53</v>
      </c>
      <c r="R155" s="1115" t="str">
        <f>IF(VLOOKUP(A155,'Eclusée - Schwall-Sunk'!$A$2:$F$273,5,FALSE)="","",VLOOKUP(A155,'Eclusée - Schwall-Sunk'!$A$2:$F$273,5,FALSE))</f>
        <v/>
      </c>
      <c r="S155" s="1126" t="str">
        <f>IF(VLOOKUP(A155,'Eclusée - Schwall-Sunk'!$A$2:$F$273,6,FALSE)="","",VLOOKUP(A155,'Eclusée - Schwall-Sunk'!$A$2:$F$273,6,FALSE))</f>
        <v>Non affecté / nicht betroffen</v>
      </c>
      <c r="T155" s="1123"/>
      <c r="U155" s="572"/>
      <c r="V155" s="572"/>
    </row>
    <row r="156" spans="1:22" ht="35.25" customHeight="1" x14ac:dyDescent="0.25">
      <c r="A156" s="926">
        <v>201</v>
      </c>
      <c r="B156" s="1028" t="str">
        <f>IF(VLOOKUP(A156,'Données de base - Grunddaten'!$A$2:$M$273,3,FALSE)="","",VLOOKUP(A156,'Données de base - Grunddaten'!$A$2:$M$273,3,FALSE))</f>
        <v>Les Grèves d'Yverdon–des Tuileries</v>
      </c>
      <c r="C156" s="1028" t="str">
        <f>IF(VLOOKUP(A156,'Données de base - Grunddaten'!$A$2:$M$273,4,FALSE)="","",VLOOKUP(A156,'Données de base - Grunddaten'!$A$2:$M$273,4,FALSE))</f>
        <v>Lac de Neuchâtel</v>
      </c>
      <c r="D156" s="1028" t="str">
        <f>IF(VLOOKUP(A156,'Données de base - Grunddaten'!$A$2:$M$273,5,FALSE)="","",VLOOKUP(A156,'Données de base - Grunddaten'!$A$2:$M$273,5,FALSE))</f>
        <v>VD</v>
      </c>
      <c r="E156" s="647" t="s">
        <v>51</v>
      </c>
      <c r="F156" s="634"/>
      <c r="G156" s="635"/>
      <c r="H156" s="995" t="s">
        <v>53</v>
      </c>
      <c r="I156" s="1048" t="s">
        <v>48</v>
      </c>
      <c r="J156" s="984" t="s">
        <v>53</v>
      </c>
      <c r="K156" s="1052"/>
      <c r="L156" s="1022"/>
      <c r="M156" s="1022"/>
      <c r="N156" s="1011"/>
      <c r="O156" s="1012"/>
      <c r="P156" s="1063"/>
      <c r="Q156" s="996" t="s">
        <v>53</v>
      </c>
      <c r="R156" s="1115" t="str">
        <f>IF(VLOOKUP(A156,'Eclusée - Schwall-Sunk'!$A$2:$F$273,5,FALSE)="","",VLOOKUP(A156,'Eclusée - Schwall-Sunk'!$A$2:$F$273,5,FALSE))</f>
        <v/>
      </c>
      <c r="S156" s="1126" t="str">
        <f>IF(VLOOKUP(A156,'Eclusée - Schwall-Sunk'!$A$2:$F$273,6,FALSE)="","",VLOOKUP(A156,'Eclusée - Schwall-Sunk'!$A$2:$F$273,6,FALSE))</f>
        <v>Non affecté / nicht betroffen</v>
      </c>
      <c r="T156" s="1123"/>
      <c r="U156" s="572"/>
      <c r="V156" s="572"/>
    </row>
    <row r="157" spans="1:22" ht="35.25" customHeight="1" x14ac:dyDescent="0.25">
      <c r="A157" s="926">
        <v>202</v>
      </c>
      <c r="B157" s="1028" t="str">
        <f>IF(VLOOKUP(A157,'Données de base - Grunddaten'!$A$2:$M$273,3,FALSE)="","",VLOOKUP(A157,'Données de base - Grunddaten'!$A$2:$M$273,3,FALSE))</f>
        <v>Les Grèves d'Yverdon–Yvonand</v>
      </c>
      <c r="C157" s="1028" t="str">
        <f>IF(VLOOKUP(A157,'Données de base - Grunddaten'!$A$2:$M$273,4,FALSE)="","",VLOOKUP(A157,'Données de base - Grunddaten'!$A$2:$M$273,4,FALSE))</f>
        <v>Lac de Neuchâtel</v>
      </c>
      <c r="D157" s="1028" t="str">
        <f>IF(VLOOKUP(A157,'Données de base - Grunddaten'!$A$2:$M$273,5,FALSE)="","",VLOOKUP(A157,'Données de base - Grunddaten'!$A$2:$M$273,5,FALSE))</f>
        <v>VD</v>
      </c>
      <c r="E157" s="647" t="s">
        <v>51</v>
      </c>
      <c r="F157" s="634"/>
      <c r="G157" s="635"/>
      <c r="H157" s="995" t="s">
        <v>53</v>
      </c>
      <c r="I157" s="1048" t="s">
        <v>48</v>
      </c>
      <c r="J157" s="984" t="s">
        <v>53</v>
      </c>
      <c r="K157" s="1052"/>
      <c r="L157" s="1022"/>
      <c r="M157" s="1022"/>
      <c r="N157" s="1011"/>
      <c r="O157" s="1012"/>
      <c r="P157" s="1063"/>
      <c r="Q157" s="996" t="s">
        <v>53</v>
      </c>
      <c r="R157" s="1115" t="str">
        <f>IF(VLOOKUP(A157,'Eclusée - Schwall-Sunk'!$A$2:$F$273,5,FALSE)="","",VLOOKUP(A157,'Eclusée - Schwall-Sunk'!$A$2:$F$273,5,FALSE))</f>
        <v/>
      </c>
      <c r="S157" s="1126" t="str">
        <f>IF(VLOOKUP(A157,'Eclusée - Schwall-Sunk'!$A$2:$F$273,6,FALSE)="","",VLOOKUP(A157,'Eclusée - Schwall-Sunk'!$A$2:$F$273,6,FALSE))</f>
        <v>Non affecté / nicht betroffen</v>
      </c>
      <c r="T157" s="1123"/>
      <c r="U157" s="572"/>
      <c r="V157" s="572"/>
    </row>
    <row r="158" spans="1:22" ht="35.25" customHeight="1" x14ac:dyDescent="0.25">
      <c r="A158" s="926">
        <v>203</v>
      </c>
      <c r="B158" s="1028" t="str">
        <f>IF(VLOOKUP(A158,'Données de base - Grunddaten'!$A$2:$M$273,3,FALSE)="","",VLOOKUP(A158,'Données de base - Grunddaten'!$A$2:$M$273,3,FALSE))</f>
        <v>Les Grèves d'Yvonand–Cheyres</v>
      </c>
      <c r="C158" s="1028" t="str">
        <f>IF(VLOOKUP(A158,'Données de base - Grunddaten'!$A$2:$M$273,4,FALSE)="","",VLOOKUP(A158,'Données de base - Grunddaten'!$A$2:$M$273,4,FALSE))</f>
        <v>Lac de Neuchâtel</v>
      </c>
      <c r="D158" s="1028" t="str">
        <f>IF(VLOOKUP(A158,'Données de base - Grunddaten'!$A$2:$M$273,5,FALSE)="","",VLOOKUP(A158,'Données de base - Grunddaten'!$A$2:$M$273,5,FALSE))</f>
        <v>FR/VD</v>
      </c>
      <c r="E158" s="647" t="s">
        <v>51</v>
      </c>
      <c r="F158" s="634"/>
      <c r="G158" s="635"/>
      <c r="H158" s="995" t="s">
        <v>53</v>
      </c>
      <c r="I158" s="1048" t="s">
        <v>48</v>
      </c>
      <c r="J158" s="984" t="s">
        <v>53</v>
      </c>
      <c r="K158" s="1052"/>
      <c r="L158" s="1021"/>
      <c r="M158" s="1021"/>
      <c r="N158" s="1011"/>
      <c r="O158" s="1012"/>
      <c r="P158" s="1062"/>
      <c r="Q158" s="1095" t="s">
        <v>53</v>
      </c>
      <c r="R158" s="1115" t="str">
        <f>IF(VLOOKUP(A158,'Eclusée - Schwall-Sunk'!$A$2:$F$273,5,FALSE)="","",VLOOKUP(A158,'Eclusée - Schwall-Sunk'!$A$2:$F$273,5,FALSE))</f>
        <v/>
      </c>
      <c r="S158" s="1126" t="str">
        <f>IF(VLOOKUP(A158,'Eclusée - Schwall-Sunk'!$A$2:$F$273,6,FALSE)="","",VLOOKUP(A158,'Eclusée - Schwall-Sunk'!$A$2:$F$273,6,FALSE))</f>
        <v>Non affecté / nicht betroffen</v>
      </c>
      <c r="T158" s="1123"/>
      <c r="U158" s="572"/>
      <c r="V158" s="572"/>
    </row>
    <row r="159" spans="1:22" ht="35.25" customHeight="1" x14ac:dyDescent="0.25">
      <c r="A159" s="926">
        <v>204</v>
      </c>
      <c r="B159" s="1028" t="str">
        <f>IF(VLOOKUP(A159,'Données de base - Grunddaten'!$A$2:$M$273,3,FALSE)="","",VLOOKUP(A159,'Données de base - Grunddaten'!$A$2:$M$273,3,FALSE))</f>
        <v>Les Grèves de Cheyres–Font</v>
      </c>
      <c r="C159" s="1028" t="str">
        <f>IF(VLOOKUP(A159,'Données de base - Grunddaten'!$A$2:$M$273,4,FALSE)="","",VLOOKUP(A159,'Données de base - Grunddaten'!$A$2:$M$273,4,FALSE))</f>
        <v>Lac de Neuchâtel</v>
      </c>
      <c r="D159" s="1028" t="str">
        <f>IF(VLOOKUP(A159,'Données de base - Grunddaten'!$A$2:$M$273,5,FALSE)="","",VLOOKUP(A159,'Données de base - Grunddaten'!$A$2:$M$273,5,FALSE))</f>
        <v>FR</v>
      </c>
      <c r="E159" s="647" t="s">
        <v>51</v>
      </c>
      <c r="F159" s="634"/>
      <c r="G159" s="635"/>
      <c r="H159" s="995" t="s">
        <v>53</v>
      </c>
      <c r="I159" s="1048" t="s">
        <v>48</v>
      </c>
      <c r="J159" s="987" t="s">
        <v>53</v>
      </c>
      <c r="K159" s="1052"/>
      <c r="L159" s="1021"/>
      <c r="M159" s="1032"/>
      <c r="N159" s="1011"/>
      <c r="O159" s="1012"/>
      <c r="P159" s="1062"/>
      <c r="Q159" s="1095" t="s">
        <v>53</v>
      </c>
      <c r="R159" s="1115" t="str">
        <f>IF(VLOOKUP(A159,'Eclusée - Schwall-Sunk'!$A$2:$F$273,5,FALSE)="","",VLOOKUP(A159,'Eclusée - Schwall-Sunk'!$A$2:$F$273,5,FALSE))</f>
        <v/>
      </c>
      <c r="S159" s="1126" t="str">
        <f>IF(VLOOKUP(A159,'Eclusée - Schwall-Sunk'!$A$2:$F$273,6,FALSE)="","",VLOOKUP(A159,'Eclusée - Schwall-Sunk'!$A$2:$F$273,6,FALSE))</f>
        <v>Non affecté / nicht betroffen</v>
      </c>
      <c r="T159" s="1123"/>
      <c r="U159" s="572"/>
      <c r="V159" s="572"/>
    </row>
    <row r="160" spans="1:22" ht="35.25" customHeight="1" x14ac:dyDescent="0.25">
      <c r="A160" s="926">
        <v>205</v>
      </c>
      <c r="B160" s="1028" t="str">
        <f>IF(VLOOKUP(A160,'Données de base - Grunddaten'!$A$2:$M$273,3,FALSE)="","",VLOOKUP(A160,'Données de base - Grunddaten'!$A$2:$M$273,3,FALSE))</f>
        <v>Les Grèves d'Estavayer-le-Lac–Chevroux</v>
      </c>
      <c r="C160" s="1028" t="str">
        <f>IF(VLOOKUP(A160,'Données de base - Grunddaten'!$A$2:$M$273,4,FALSE)="","",VLOOKUP(A160,'Données de base - Grunddaten'!$A$2:$M$273,4,FALSE))</f>
        <v>Lac de Neuchâtel</v>
      </c>
      <c r="D160" s="1028" t="str">
        <f>IF(VLOOKUP(A160,'Données de base - Grunddaten'!$A$2:$M$273,5,FALSE)="","",VLOOKUP(A160,'Données de base - Grunddaten'!$A$2:$M$273,5,FALSE))</f>
        <v>FR/VD</v>
      </c>
      <c r="E160" s="647" t="s">
        <v>51</v>
      </c>
      <c r="F160" s="634"/>
      <c r="G160" s="635"/>
      <c r="H160" s="995" t="s">
        <v>53</v>
      </c>
      <c r="I160" s="1048" t="s">
        <v>48</v>
      </c>
      <c r="J160" s="984" t="s">
        <v>53</v>
      </c>
      <c r="K160" s="1052"/>
      <c r="L160" s="1021"/>
      <c r="M160" s="1021"/>
      <c r="N160" s="1011"/>
      <c r="O160" s="1012"/>
      <c r="P160" s="1062"/>
      <c r="Q160" s="1095" t="s">
        <v>53</v>
      </c>
      <c r="R160" s="1115" t="str">
        <f>IF(VLOOKUP(A160,'Eclusée - Schwall-Sunk'!$A$2:$F$273,5,FALSE)="","",VLOOKUP(A160,'Eclusée - Schwall-Sunk'!$A$2:$F$273,5,FALSE))</f>
        <v/>
      </c>
      <c r="S160" s="1126" t="str">
        <f>IF(VLOOKUP(A160,'Eclusée - Schwall-Sunk'!$A$2:$F$273,6,FALSE)="","",VLOOKUP(A160,'Eclusée - Schwall-Sunk'!$A$2:$F$273,6,FALSE))</f>
        <v>Non affecté / nicht betroffen</v>
      </c>
      <c r="T160" s="1123"/>
      <c r="U160" s="572"/>
      <c r="V160" s="572"/>
    </row>
    <row r="161" spans="1:23" ht="35.25" customHeight="1" x14ac:dyDescent="0.25">
      <c r="A161" s="926">
        <v>206</v>
      </c>
      <c r="B161" s="1028" t="str">
        <f>IF(VLOOKUP(A161,'Données de base - Grunddaten'!$A$2:$M$273,3,FALSE)="","",VLOOKUP(A161,'Données de base - Grunddaten'!$A$2:$M$273,3,FALSE))</f>
        <v>Les Grèves de Chevroux–Portalban</v>
      </c>
      <c r="C161" s="1028" t="str">
        <f>IF(VLOOKUP(A161,'Données de base - Grunddaten'!$A$2:$M$273,4,FALSE)="","",VLOOKUP(A161,'Données de base - Grunddaten'!$A$2:$M$273,4,FALSE))</f>
        <v>Lac de Neuchâtel</v>
      </c>
      <c r="D161" s="1028" t="str">
        <f>IF(VLOOKUP(A161,'Données de base - Grunddaten'!$A$2:$M$273,5,FALSE)="","",VLOOKUP(A161,'Données de base - Grunddaten'!$A$2:$M$273,5,FALSE))</f>
        <v>FR/VD</v>
      </c>
      <c r="E161" s="647" t="s">
        <v>51</v>
      </c>
      <c r="F161" s="634"/>
      <c r="G161" s="635"/>
      <c r="H161" s="995" t="s">
        <v>53</v>
      </c>
      <c r="I161" s="1048" t="s">
        <v>48</v>
      </c>
      <c r="J161" s="984" t="s">
        <v>53</v>
      </c>
      <c r="K161" s="1052"/>
      <c r="L161" s="1021"/>
      <c r="M161" s="1021"/>
      <c r="N161" s="1011"/>
      <c r="O161" s="1012"/>
      <c r="P161" s="1062"/>
      <c r="Q161" s="1095" t="s">
        <v>53</v>
      </c>
      <c r="R161" s="1115" t="str">
        <f>IF(VLOOKUP(A161,'Eclusée - Schwall-Sunk'!$A$2:$F$273,5,FALSE)="","",VLOOKUP(A161,'Eclusée - Schwall-Sunk'!$A$2:$F$273,5,FALSE))</f>
        <v/>
      </c>
      <c r="S161" s="1126" t="str">
        <f>IF(VLOOKUP(A161,'Eclusée - Schwall-Sunk'!$A$2:$F$273,6,FALSE)="","",VLOOKUP(A161,'Eclusée - Schwall-Sunk'!$A$2:$F$273,6,FALSE))</f>
        <v>Non affecté / nicht betroffen</v>
      </c>
      <c r="T161" s="1123"/>
      <c r="U161" s="572"/>
      <c r="V161" s="572"/>
    </row>
    <row r="162" spans="1:23" ht="35.25" customHeight="1" x14ac:dyDescent="0.25">
      <c r="A162" s="926">
        <v>207</v>
      </c>
      <c r="B162" s="1028" t="str">
        <f>IF(VLOOKUP(A162,'Données de base - Grunddaten'!$A$2:$M$273,3,FALSE)="","",VLOOKUP(A162,'Données de base - Grunddaten'!$A$2:$M$273,3,FALSE))</f>
        <v>Les Grèves de Portalban–Cudrefin</v>
      </c>
      <c r="C162" s="1028" t="str">
        <f>IF(VLOOKUP(A162,'Données de base - Grunddaten'!$A$2:$M$273,4,FALSE)="","",VLOOKUP(A162,'Données de base - Grunddaten'!$A$2:$M$273,4,FALSE))</f>
        <v>Lac de Neuchâtel</v>
      </c>
      <c r="D162" s="1028" t="str">
        <f>IF(VLOOKUP(A162,'Données de base - Grunddaten'!$A$2:$M$273,5,FALSE)="","",VLOOKUP(A162,'Données de base - Grunddaten'!$A$2:$M$273,5,FALSE))</f>
        <v>FR/VD</v>
      </c>
      <c r="E162" s="647" t="s">
        <v>51</v>
      </c>
      <c r="F162" s="634"/>
      <c r="G162" s="635"/>
      <c r="H162" s="995" t="s">
        <v>53</v>
      </c>
      <c r="I162" s="1048" t="s">
        <v>48</v>
      </c>
      <c r="J162" s="984" t="s">
        <v>53</v>
      </c>
      <c r="K162" s="1052"/>
      <c r="L162" s="1021"/>
      <c r="M162" s="1021"/>
      <c r="N162" s="1011"/>
      <c r="O162" s="1012"/>
      <c r="P162" s="1062"/>
      <c r="Q162" s="1095" t="s">
        <v>53</v>
      </c>
      <c r="R162" s="1115" t="str">
        <f>IF(VLOOKUP(A162,'Eclusée - Schwall-Sunk'!$A$2:$F$273,5,FALSE)="","",VLOOKUP(A162,'Eclusée - Schwall-Sunk'!$A$2:$F$273,5,FALSE))</f>
        <v/>
      </c>
      <c r="S162" s="1126" t="str">
        <f>IF(VLOOKUP(A162,'Eclusée - Schwall-Sunk'!$A$2:$F$273,6,FALSE)="","",VLOOKUP(A162,'Eclusée - Schwall-Sunk'!$A$2:$F$273,6,FALSE))</f>
        <v>Non affecté / nicht betroffen</v>
      </c>
      <c r="T162" s="1123"/>
      <c r="U162" s="572"/>
      <c r="V162" s="572"/>
      <c r="W162" s="1073" t="s">
        <v>1436</v>
      </c>
    </row>
    <row r="163" spans="1:23" ht="35.25" customHeight="1" x14ac:dyDescent="0.25">
      <c r="A163" s="926">
        <v>208</v>
      </c>
      <c r="B163" s="1028" t="str">
        <f>IF(VLOOKUP(A163,'Données de base - Grunddaten'!$A$2:$M$273,3,FALSE)="","",VLOOKUP(A163,'Données de base - Grunddaten'!$A$2:$M$273,3,FALSE))</f>
        <v>Les Grèves du Chablais de Cudrefin</v>
      </c>
      <c r="C163" s="1028" t="str">
        <f>IF(VLOOKUP(A163,'Données de base - Grunddaten'!$A$2:$M$273,4,FALSE)="","",VLOOKUP(A163,'Données de base - Grunddaten'!$A$2:$M$273,4,FALSE))</f>
        <v>Lac de Neuchâtel, La Broye</v>
      </c>
      <c r="D163" s="1028" t="str">
        <f>IF(VLOOKUP(A163,'Données de base - Grunddaten'!$A$2:$M$273,5,FALSE)="","",VLOOKUP(A163,'Données de base - Grunddaten'!$A$2:$M$273,5,FALSE))</f>
        <v>VD</v>
      </c>
      <c r="E163" s="647" t="s">
        <v>51</v>
      </c>
      <c r="F163" s="634"/>
      <c r="G163" s="635"/>
      <c r="H163" s="995" t="s">
        <v>53</v>
      </c>
      <c r="I163" s="1048" t="s">
        <v>48</v>
      </c>
      <c r="J163" s="984" t="s">
        <v>53</v>
      </c>
      <c r="K163" s="1052"/>
      <c r="L163" s="1022"/>
      <c r="M163" s="1022"/>
      <c r="N163" s="1011"/>
      <c r="O163" s="1012"/>
      <c r="P163" s="1063"/>
      <c r="Q163" s="996" t="s">
        <v>53</v>
      </c>
      <c r="R163" s="1115" t="str">
        <f>IF(VLOOKUP(A163,'Eclusée - Schwall-Sunk'!$A$2:$F$273,5,FALSE)="","",VLOOKUP(A163,'Eclusée - Schwall-Sunk'!$A$2:$F$273,5,FALSE))</f>
        <v/>
      </c>
      <c r="S163" s="1126" t="str">
        <f>IF(VLOOKUP(A163,'Eclusée - Schwall-Sunk'!$A$2:$F$273,6,FALSE)="","",VLOOKUP(A163,'Eclusée - Schwall-Sunk'!$A$2:$F$273,6,FALSE))</f>
        <v>Non affecté / nicht betroffen</v>
      </c>
      <c r="T163" s="1123"/>
      <c r="U163" s="572"/>
      <c r="V163" s="572"/>
    </row>
    <row r="164" spans="1:23" ht="35.25" customHeight="1" x14ac:dyDescent="0.25">
      <c r="A164" s="926">
        <v>209</v>
      </c>
      <c r="B164" s="1028" t="str">
        <f>IF(VLOOKUP(A164,'Données de base - Grunddaten'!$A$2:$M$273,3,FALSE)="","",VLOOKUP(A164,'Données de base - Grunddaten'!$A$2:$M$273,3,FALSE))</f>
        <v>Seewald–Fanel</v>
      </c>
      <c r="C164" s="1028" t="str">
        <f>IF(VLOOKUP(A164,'Données de base - Grunddaten'!$A$2:$M$273,4,FALSE)="","",VLOOKUP(A164,'Données de base - Grunddaten'!$A$2:$M$273,4,FALSE))</f>
        <v>Canal de la Thielle, Lac de Neuchâtel</v>
      </c>
      <c r="D164" s="1028" t="str">
        <f>IF(VLOOKUP(A164,'Données de base - Grunddaten'!$A$2:$M$273,5,FALSE)="","",VLOOKUP(A164,'Données de base - Grunddaten'!$A$2:$M$273,5,FALSE))</f>
        <v>BE/NE</v>
      </c>
      <c r="E164" s="647" t="s">
        <v>51</v>
      </c>
      <c r="F164" s="634"/>
      <c r="G164" s="635"/>
      <c r="H164" s="995" t="s">
        <v>53</v>
      </c>
      <c r="I164" s="1048" t="s">
        <v>48</v>
      </c>
      <c r="J164" s="984" t="s">
        <v>53</v>
      </c>
      <c r="K164" s="1052"/>
      <c r="L164" s="1021"/>
      <c r="M164" s="1021"/>
      <c r="N164" s="1011"/>
      <c r="O164" s="1012"/>
      <c r="P164" s="1062"/>
      <c r="Q164" s="1095" t="s">
        <v>53</v>
      </c>
      <c r="R164" s="1115" t="str">
        <f>IF(VLOOKUP(A164,'Eclusée - Schwall-Sunk'!$A$2:$F$273,5,FALSE)="","",VLOOKUP(A164,'Eclusée - Schwall-Sunk'!$A$2:$F$273,5,FALSE))</f>
        <v/>
      </c>
      <c r="S164" s="1126" t="str">
        <f>IF(VLOOKUP(A164,'Eclusée - Schwall-Sunk'!$A$2:$F$273,6,FALSE)="","",VLOOKUP(A164,'Eclusée - Schwall-Sunk'!$A$2:$F$273,6,FALSE))</f>
        <v>Non affecté / nicht betroffen</v>
      </c>
      <c r="T164" s="1123"/>
      <c r="U164" s="572"/>
      <c r="V164" s="572"/>
    </row>
    <row r="165" spans="1:23" ht="35.25" customHeight="1" x14ac:dyDescent="0.25">
      <c r="A165" s="926">
        <v>211</v>
      </c>
      <c r="B165" s="1028" t="str">
        <f>IF(VLOOKUP(A165,'Données de base - Grunddaten'!$A$2:$M$273,3,FALSE)="","",VLOOKUP(A165,'Données de base - Grunddaten'!$A$2:$M$273,3,FALSE))</f>
        <v>Les Monod</v>
      </c>
      <c r="C165" s="1028" t="str">
        <f>IF(VLOOKUP(A165,'Données de base - Grunddaten'!$A$2:$M$273,4,FALSE)="","",VLOOKUP(A165,'Données de base - Grunddaten'!$A$2:$M$273,4,FALSE))</f>
        <v>Le Veyron</v>
      </c>
      <c r="D165" s="1028" t="str">
        <f>IF(VLOOKUP(A165,'Données de base - Grunddaten'!$A$2:$M$273,5,FALSE)="","",VLOOKUP(A165,'Données de base - Grunddaten'!$A$2:$M$273,5,FALSE))</f>
        <v>VD</v>
      </c>
      <c r="E165" s="647" t="s">
        <v>746</v>
      </c>
      <c r="F165" s="636" t="s">
        <v>1345</v>
      </c>
      <c r="G165" s="637" t="s">
        <v>1345</v>
      </c>
      <c r="H165" s="995" t="s">
        <v>746</v>
      </c>
      <c r="I165" s="1048" t="s">
        <v>48</v>
      </c>
      <c r="J165" s="984" t="s">
        <v>45</v>
      </c>
      <c r="K165" s="1052"/>
      <c r="L165" s="1022"/>
      <c r="M165" s="1022"/>
      <c r="N165" s="1011"/>
      <c r="O165" s="1012"/>
      <c r="P165" s="1063"/>
      <c r="Q165" s="996" t="s">
        <v>45</v>
      </c>
      <c r="R165" s="1115" t="str">
        <f>IF(VLOOKUP(A165,'Eclusée - Schwall-Sunk'!$A$2:$F$273,5,FALSE)="","",VLOOKUP(A165,'Eclusée - Schwall-Sunk'!$A$2:$F$273,5,FALSE))</f>
        <v/>
      </c>
      <c r="S165" s="1126" t="str">
        <f>IF(VLOOKUP(A165,'Eclusée - Schwall-Sunk'!$A$2:$F$273,6,FALSE)="","",VLOOKUP(A165,'Eclusée - Schwall-Sunk'!$A$2:$F$273,6,FALSE))</f>
        <v>Non affecté / nicht betroffen</v>
      </c>
      <c r="T165" s="1123"/>
      <c r="U165" s="572"/>
      <c r="V165" s="572"/>
    </row>
    <row r="166" spans="1:23" ht="35.25" customHeight="1" x14ac:dyDescent="0.25">
      <c r="A166" s="926">
        <v>216</v>
      </c>
      <c r="B166" s="1028" t="str">
        <f>IF(VLOOKUP(A166,'Données de base - Grunddaten'!$A$2:$M$273,3,FALSE)="","",VLOOKUP(A166,'Données de base - Grunddaten'!$A$2:$M$273,3,FALSE))</f>
        <v>Chrauchbach: Haris</v>
      </c>
      <c r="C166" s="1028" t="str">
        <f>IF(VLOOKUP(A166,'Données de base - Grunddaten'!$A$2:$M$273,4,FALSE)="","",VLOOKUP(A166,'Données de base - Grunddaten'!$A$2:$M$273,4,FALSE))</f>
        <v>Chrauchbach</v>
      </c>
      <c r="D166" s="1028" t="str">
        <f>IF(VLOOKUP(A166,'Données de base - Grunddaten'!$A$2:$M$273,5,FALSE)="","",VLOOKUP(A166,'Données de base - Grunddaten'!$A$2:$M$273,5,FALSE))</f>
        <v>GL</v>
      </c>
      <c r="E166" s="647" t="s">
        <v>746</v>
      </c>
      <c r="F166" s="636" t="s">
        <v>1345</v>
      </c>
      <c r="G166" s="637" t="s">
        <v>1345</v>
      </c>
      <c r="H166" s="995" t="s">
        <v>746</v>
      </c>
      <c r="I166" s="1048" t="s">
        <v>48</v>
      </c>
      <c r="J166" s="985" t="s">
        <v>746</v>
      </c>
      <c r="K166" s="1052"/>
      <c r="L166" s="1022"/>
      <c r="M166" s="1022"/>
      <c r="N166" s="1011"/>
      <c r="O166" s="1012"/>
      <c r="P166" s="1063"/>
      <c r="Q166" s="997" t="s">
        <v>746</v>
      </c>
      <c r="R166" s="1115" t="str">
        <f>IF(VLOOKUP(A166,'Eclusée - Schwall-Sunk'!$A$2:$F$273,5,FALSE)="","",VLOOKUP(A166,'Eclusée - Schwall-Sunk'!$A$2:$F$273,5,FALSE))</f>
        <v/>
      </c>
      <c r="S166" s="1126" t="str">
        <f>IF(VLOOKUP(A166,'Eclusée - Schwall-Sunk'!$A$2:$F$273,6,FALSE)="","",VLOOKUP(A166,'Eclusée - Schwall-Sunk'!$A$2:$F$273,6,FALSE))</f>
        <v>Non affecté / nicht betroffen</v>
      </c>
      <c r="T166" s="1123"/>
      <c r="U166" s="572"/>
      <c r="V166" s="572"/>
    </row>
    <row r="167" spans="1:23" ht="35.25" customHeight="1" x14ac:dyDescent="0.25">
      <c r="A167" s="926">
        <v>217</v>
      </c>
      <c r="B167" s="1028" t="str">
        <f>IF(VLOOKUP(A167,'Données de base - Grunddaten'!$A$2:$M$273,3,FALSE)="","",VLOOKUP(A167,'Données de base - Grunddaten'!$A$2:$M$273,3,FALSE))</f>
        <v>La Neirigue et la Glâne</v>
      </c>
      <c r="C167" s="1028" t="str">
        <f>IF(VLOOKUP(A167,'Données de base - Grunddaten'!$A$2:$M$273,4,FALSE)="","",VLOOKUP(A167,'Données de base - Grunddaten'!$A$2:$M$273,4,FALSE))</f>
        <v>La Neirigue, La Glâne</v>
      </c>
      <c r="D167" s="1028" t="str">
        <f>IF(VLOOKUP(A167,'Données de base - Grunddaten'!$A$2:$M$273,5,FALSE)="","",VLOOKUP(A167,'Données de base - Grunddaten'!$A$2:$M$273,5,FALSE))</f>
        <v>FR</v>
      </c>
      <c r="E167" s="647" t="s">
        <v>746</v>
      </c>
      <c r="F167" s="636" t="s">
        <v>1345</v>
      </c>
      <c r="G167" s="637" t="s">
        <v>1345</v>
      </c>
      <c r="H167" s="995" t="s">
        <v>746</v>
      </c>
      <c r="I167" s="1048" t="s">
        <v>48</v>
      </c>
      <c r="J167" s="984" t="s">
        <v>746</v>
      </c>
      <c r="K167" s="1052"/>
      <c r="L167" s="1021"/>
      <c r="M167" s="1025" t="s">
        <v>1092</v>
      </c>
      <c r="N167" s="1011"/>
      <c r="O167" s="1012"/>
      <c r="P167" s="1062"/>
      <c r="Q167" s="996" t="s">
        <v>746</v>
      </c>
      <c r="R167" s="1115" t="str">
        <f>IF(VLOOKUP(A167,'Eclusée - Schwall-Sunk'!$A$2:$F$273,5,FALSE)="","",VLOOKUP(A167,'Eclusée - Schwall-Sunk'!$A$2:$F$273,5,FALSE))</f>
        <v/>
      </c>
      <c r="S167" s="1126" t="str">
        <f>IF(VLOOKUP(A167,'Eclusée - Schwall-Sunk'!$A$2:$F$273,6,FALSE)="","",VLOOKUP(A167,'Eclusée - Schwall-Sunk'!$A$2:$F$273,6,FALSE))</f>
        <v>Non affecté / nicht betroffen</v>
      </c>
      <c r="T167" s="1123"/>
      <c r="U167" s="572"/>
      <c r="V167" s="572"/>
    </row>
    <row r="168" spans="1:23" ht="35.25" customHeight="1" x14ac:dyDescent="0.25">
      <c r="A168" s="926">
        <v>218</v>
      </c>
      <c r="B168" s="1028" t="str">
        <f>IF(VLOOKUP(A168,'Données de base - Grunddaten'!$A$2:$M$273,3,FALSE)="","",VLOOKUP(A168,'Données de base - Grunddaten'!$A$2:$M$273,3,FALSE))</f>
        <v>Vers Vaux</v>
      </c>
      <c r="C168" s="1028" t="str">
        <f>IF(VLOOKUP(A168,'Données de base - Grunddaten'!$A$2:$M$273,4,FALSE)="","",VLOOKUP(A168,'Données de base - Grunddaten'!$A$2:$M$273,4,FALSE))</f>
        <v>Le Rhône</v>
      </c>
      <c r="D168" s="1028" t="str">
        <f>IF(VLOOKUP(A168,'Données de base - Grunddaten'!$A$2:$M$273,5,FALSE)="","",VLOOKUP(A168,'Données de base - Grunddaten'!$A$2:$M$273,5,FALSE))</f>
        <v>GE</v>
      </c>
      <c r="E168" s="647" t="s">
        <v>45</v>
      </c>
      <c r="F168" s="639"/>
      <c r="G168" s="635"/>
      <c r="H168" s="995" t="s">
        <v>45</v>
      </c>
      <c r="I168" s="1048" t="s">
        <v>48</v>
      </c>
      <c r="J168" s="984" t="s">
        <v>45</v>
      </c>
      <c r="K168" s="1052"/>
      <c r="L168" s="1022"/>
      <c r="M168" s="1022"/>
      <c r="N168" s="1011"/>
      <c r="O168" s="1012"/>
      <c r="P168" s="1063"/>
      <c r="Q168" s="996" t="s">
        <v>45</v>
      </c>
      <c r="R168" s="1115" t="str">
        <f>IF(VLOOKUP(A168,'Eclusée - Schwall-Sunk'!$A$2:$F$273,5,FALSE)="","",VLOOKUP(A168,'Eclusée - Schwall-Sunk'!$A$2:$F$273,5,FALSE))</f>
        <v>force hydraulique</v>
      </c>
      <c r="S168" s="1126" t="str">
        <f>IF(VLOOKUP(A168,'Eclusée - Schwall-Sunk'!$A$2:$F$273,6,FALSE)="","",VLOOKUP(A168,'Eclusée - Schwall-Sunk'!$A$2:$F$273,6,FALSE))</f>
        <v>Potentiellement affecté / möglicherweise betroffen</v>
      </c>
      <c r="T168" s="1123"/>
      <c r="U168" s="572"/>
      <c r="V168" s="572"/>
    </row>
    <row r="169" spans="1:23" ht="35.25" customHeight="1" x14ac:dyDescent="0.25">
      <c r="A169" s="926">
        <v>219</v>
      </c>
      <c r="B169" s="1028" t="str">
        <f>IF(VLOOKUP(A169,'Données de base - Grunddaten'!$A$2:$M$273,3,FALSE)="","",VLOOKUP(A169,'Données de base - Grunddaten'!$A$2:$M$273,3,FALSE))</f>
        <v>Altenrhein</v>
      </c>
      <c r="C169" s="1028" t="str">
        <f>IF(VLOOKUP(A169,'Données de base - Grunddaten'!$A$2:$M$273,4,FALSE)="","",VLOOKUP(A169,'Données de base - Grunddaten'!$A$2:$M$273,4,FALSE))</f>
        <v>Bodensee</v>
      </c>
      <c r="D169" s="1028" t="str">
        <f>IF(VLOOKUP(A169,'Données de base - Grunddaten'!$A$2:$M$273,5,FALSE)="","",VLOOKUP(A169,'Données de base - Grunddaten'!$A$2:$M$273,5,FALSE))</f>
        <v>SG</v>
      </c>
      <c r="E169" s="647" t="s">
        <v>51</v>
      </c>
      <c r="F169" s="639"/>
      <c r="G169" s="635"/>
      <c r="H169" s="995" t="s">
        <v>53</v>
      </c>
      <c r="I169" s="1048" t="s">
        <v>48</v>
      </c>
      <c r="J169" s="984" t="s">
        <v>53</v>
      </c>
      <c r="K169" s="1052"/>
      <c r="L169" s="1021"/>
      <c r="M169" s="1021"/>
      <c r="N169" s="1011"/>
      <c r="O169" s="1012"/>
      <c r="P169" s="1062"/>
      <c r="Q169" s="1095" t="s">
        <v>53</v>
      </c>
      <c r="R169" s="1115" t="str">
        <f>IF(VLOOKUP(A169,'Eclusée - Schwall-Sunk'!$A$2:$F$273,5,FALSE)="","",VLOOKUP(A169,'Eclusée - Schwall-Sunk'!$A$2:$F$273,5,FALSE))</f>
        <v/>
      </c>
      <c r="S169" s="1126" t="str">
        <f>IF(VLOOKUP(A169,'Eclusée - Schwall-Sunk'!$A$2:$F$273,6,FALSE)="","",VLOOKUP(A169,'Eclusée - Schwall-Sunk'!$A$2:$F$273,6,FALSE))</f>
        <v>Non affecté / nicht betroffen</v>
      </c>
      <c r="T169" s="1123"/>
      <c r="U169" s="572"/>
      <c r="V169" s="572"/>
    </row>
    <row r="170" spans="1:23" ht="35.25" customHeight="1" x14ac:dyDescent="0.25">
      <c r="A170" s="926">
        <v>220</v>
      </c>
      <c r="B170" s="1028" t="str">
        <f>IF(VLOOKUP(A170,'Données de base - Grunddaten'!$A$2:$M$273,3,FALSE)="","",VLOOKUP(A170,'Données de base - Grunddaten'!$A$2:$M$273,3,FALSE))</f>
        <v>Rossgarten</v>
      </c>
      <c r="C170" s="1028" t="str">
        <f>IF(VLOOKUP(A170,'Données de base - Grunddaten'!$A$2:$M$273,4,FALSE)="","",VLOOKUP(A170,'Données de base - Grunddaten'!$A$2:$M$273,4,FALSE))</f>
        <v>Rhein</v>
      </c>
      <c r="D170" s="1028" t="str">
        <f>IF(VLOOKUP(A170,'Données de base - Grunddaten'!$A$2:$M$273,5,FALSE)="","",VLOOKUP(A170,'Données de base - Grunddaten'!$A$2:$M$273,5,FALSE))</f>
        <v>AG</v>
      </c>
      <c r="E170" s="647" t="s">
        <v>88</v>
      </c>
      <c r="F170" s="639"/>
      <c r="G170" s="635"/>
      <c r="H170" s="995" t="s">
        <v>88</v>
      </c>
      <c r="I170" s="1002" t="s">
        <v>1334</v>
      </c>
      <c r="J170" s="983" t="s">
        <v>88</v>
      </c>
      <c r="K170" s="1051" t="s">
        <v>126</v>
      </c>
      <c r="L170" s="1024"/>
      <c r="M170" s="1024"/>
      <c r="N170" s="1017" t="s">
        <v>1341</v>
      </c>
      <c r="O170" s="1018" t="s">
        <v>1342</v>
      </c>
      <c r="P170" s="1059" t="s">
        <v>1343</v>
      </c>
      <c r="Q170" s="998" t="s">
        <v>88</v>
      </c>
      <c r="R170" s="1115" t="str">
        <f>IF(VLOOKUP(A170,'Eclusée - Schwall-Sunk'!$A$2:$F$273,5,FALSE)="","",VLOOKUP(A170,'Eclusée - Schwall-Sunk'!$A$2:$F$273,5,FALSE))</f>
        <v>force hydraulique</v>
      </c>
      <c r="S170" s="1126" t="str">
        <f>IF(VLOOKUP(A170,'Eclusée - Schwall-Sunk'!$A$2:$F$273,6,FALSE)="","",VLOOKUP(A170,'Eclusée - Schwall-Sunk'!$A$2:$F$273,6,FALSE))</f>
        <v>Potentiellement affecté mais non plausible / möglicherweise betroffen aber nicht nachweisbar</v>
      </c>
      <c r="T170" s="1123"/>
      <c r="U170" s="572"/>
      <c r="V170" s="572"/>
      <c r="W170" s="1074" t="s">
        <v>1442</v>
      </c>
    </row>
    <row r="171" spans="1:23" ht="35.25" customHeight="1" x14ac:dyDescent="0.25">
      <c r="A171" s="928">
        <v>221</v>
      </c>
      <c r="B171" s="1028" t="str">
        <f>IF(VLOOKUP(A171,'Données de base - Grunddaten'!$A$2:$M$273,3,FALSE)="","",VLOOKUP(A171,'Données de base - Grunddaten'!$A$2:$M$273,3,FALSE))</f>
        <v>Aare bei Altreu</v>
      </c>
      <c r="C171" s="1028" t="str">
        <f>IF(VLOOKUP(A171,'Données de base - Grunddaten'!$A$2:$M$273,4,FALSE)="","",VLOOKUP(A171,'Données de base - Grunddaten'!$A$2:$M$273,4,FALSE))</f>
        <v>Aare</v>
      </c>
      <c r="D171" s="1028" t="str">
        <f>IF(VLOOKUP(A171,'Données de base - Grunddaten'!$A$2:$M$273,5,FALSE)="","",VLOOKUP(A171,'Données de base - Grunddaten'!$A$2:$M$273,5,FALSE))</f>
        <v>BE/SO</v>
      </c>
      <c r="E171" s="647" t="s">
        <v>45</v>
      </c>
      <c r="F171" s="639"/>
      <c r="G171" s="635"/>
      <c r="H171" s="995" t="s">
        <v>45</v>
      </c>
      <c r="I171" s="1048" t="s">
        <v>48</v>
      </c>
      <c r="J171" s="984" t="s">
        <v>45</v>
      </c>
      <c r="K171" s="1052"/>
      <c r="L171" s="1021"/>
      <c r="M171" s="1021"/>
      <c r="N171" s="1011"/>
      <c r="O171" s="1012"/>
      <c r="P171" s="1062"/>
      <c r="Q171" s="996" t="s">
        <v>45</v>
      </c>
      <c r="R171" s="1115" t="str">
        <f>IF(VLOOKUP(A171,'Eclusée - Schwall-Sunk'!$A$2:$F$273,5,FALSE)="","",VLOOKUP(A171,'Eclusée - Schwall-Sunk'!$A$2:$F$273,5,FALSE))</f>
        <v>force hydraulique</v>
      </c>
      <c r="S171" s="1126" t="str">
        <f>IF(VLOOKUP(A171,'Eclusée - Schwall-Sunk'!$A$2:$F$273,6,FALSE)="","",VLOOKUP(A171,'Eclusée - Schwall-Sunk'!$A$2:$F$273,6,FALSE))</f>
        <v>Non affecté / nicht betroffen</v>
      </c>
      <c r="T171" s="1123"/>
      <c r="U171" s="572"/>
      <c r="V171" s="572"/>
    </row>
    <row r="172" spans="1:23" ht="35.25" customHeight="1" x14ac:dyDescent="0.25">
      <c r="A172" s="926">
        <v>222</v>
      </c>
      <c r="B172" s="1028" t="str">
        <f>IF(VLOOKUP(A172,'Données de base - Grunddaten'!$A$2:$M$273,3,FALSE)="","",VLOOKUP(A172,'Données de base - Grunddaten'!$A$2:$M$273,3,FALSE))</f>
        <v>Heidenweg/St. Petersinsel</v>
      </c>
      <c r="C172" s="1028" t="str">
        <f>IF(VLOOKUP(A172,'Données de base - Grunddaten'!$A$2:$M$273,4,FALSE)="","",VLOOKUP(A172,'Données de base - Grunddaten'!$A$2:$M$273,4,FALSE))</f>
        <v>Bielersee</v>
      </c>
      <c r="D172" s="1028" t="str">
        <f>IF(VLOOKUP(A172,'Données de base - Grunddaten'!$A$2:$M$273,5,FALSE)="","",VLOOKUP(A172,'Données de base - Grunddaten'!$A$2:$M$273,5,FALSE))</f>
        <v>BE</v>
      </c>
      <c r="E172" s="647" t="s">
        <v>51</v>
      </c>
      <c r="F172" s="639"/>
      <c r="G172" s="635"/>
      <c r="H172" s="995" t="s">
        <v>53</v>
      </c>
      <c r="I172" s="1048" t="s">
        <v>48</v>
      </c>
      <c r="J172" s="984" t="s">
        <v>53</v>
      </c>
      <c r="K172" s="1052"/>
      <c r="L172" s="1021"/>
      <c r="M172" s="1021"/>
      <c r="N172" s="1011"/>
      <c r="O172" s="1012"/>
      <c r="P172" s="1062"/>
      <c r="Q172" s="1095" t="s">
        <v>53</v>
      </c>
      <c r="R172" s="1115" t="str">
        <f>IF(VLOOKUP(A172,'Eclusée - Schwall-Sunk'!$A$2:$F$273,5,FALSE)="","",VLOOKUP(A172,'Eclusée - Schwall-Sunk'!$A$2:$F$273,5,FALSE))</f>
        <v/>
      </c>
      <c r="S172" s="1126" t="str">
        <f>IF(VLOOKUP(A172,'Eclusée - Schwall-Sunk'!$A$2:$F$273,6,FALSE)="","",VLOOKUP(A172,'Eclusée - Schwall-Sunk'!$A$2:$F$273,6,FALSE))</f>
        <v>Non affecté / nicht betroffen</v>
      </c>
      <c r="T172" s="1123"/>
      <c r="U172" s="572"/>
      <c r="V172" s="572"/>
    </row>
    <row r="173" spans="1:23" ht="35.25" customHeight="1" x14ac:dyDescent="0.25">
      <c r="A173" s="927">
        <v>223.1</v>
      </c>
      <c r="B173" s="1028" t="str">
        <f>IF(VLOOKUP(A173,'Données de base - Grunddaten'!$A$2:$M$273,3,FALSE)="","",VLOOKUP(A173,'Données de base - Grunddaten'!$A$2:$M$273,3,FALSE))</f>
        <v>Hagneckdelta</v>
      </c>
      <c r="C173" s="1028" t="str">
        <f>IF(VLOOKUP(A173,'Données de base - Grunddaten'!$A$2:$M$273,4,FALSE)="","",VLOOKUP(A173,'Données de base - Grunddaten'!$A$2:$M$273,4,FALSE))</f>
        <v>Aare-Hagneck-Kanal, Bielersee</v>
      </c>
      <c r="D173" s="1028" t="str">
        <f>IF(VLOOKUP(A173,'Données de base - Grunddaten'!$A$2:$M$273,5,FALSE)="","",VLOOKUP(A173,'Données de base - Grunddaten'!$A$2:$M$273,5,FALSE))</f>
        <v>BE</v>
      </c>
      <c r="E173" s="647" t="s">
        <v>799</v>
      </c>
      <c r="F173" s="639"/>
      <c r="G173" s="635"/>
      <c r="H173" s="995" t="s">
        <v>799</v>
      </c>
      <c r="I173" s="1048" t="s">
        <v>1355</v>
      </c>
      <c r="J173" s="983" t="s">
        <v>799</v>
      </c>
      <c r="K173" s="1051" t="s">
        <v>126</v>
      </c>
      <c r="L173" s="1024"/>
      <c r="M173" s="1024"/>
      <c r="N173" s="1017" t="s">
        <v>1360</v>
      </c>
      <c r="O173" s="1018" t="s">
        <v>1361</v>
      </c>
      <c r="P173" s="1065"/>
      <c r="Q173" s="998" t="s">
        <v>799</v>
      </c>
      <c r="R173" s="1115" t="str">
        <f>IF(VLOOKUP(A173,'Eclusée - Schwall-Sunk'!$A$2:$F$273,5,FALSE)="","",VLOOKUP(A173,'Eclusée - Schwall-Sunk'!$A$2:$F$273,5,FALSE))</f>
        <v>force hydraulique</v>
      </c>
      <c r="S173" s="1126" t="str">
        <f>IF(VLOOKUP(A173,'Eclusée - Schwall-Sunk'!$A$2:$F$273,6,FALSE)="","",VLOOKUP(A173,'Eclusée - Schwall-Sunk'!$A$2:$F$273,6,FALSE))</f>
        <v>Potentiellement affecté / möglicherweise betroffen</v>
      </c>
      <c r="T173" s="1123"/>
      <c r="U173" s="572"/>
      <c r="V173" s="572"/>
    </row>
    <row r="174" spans="1:23" ht="35.25" customHeight="1" x14ac:dyDescent="0.25">
      <c r="A174" s="927">
        <v>223.2</v>
      </c>
      <c r="B174" s="1028" t="str">
        <f>IF(VLOOKUP(A174,'Données de base - Grunddaten'!$A$2:$M$273,3,FALSE)="","",VLOOKUP(A174,'Données de base - Grunddaten'!$A$2:$M$273,3,FALSE))</f>
        <v>Hagneckdelta</v>
      </c>
      <c r="C174" s="1028" t="str">
        <f>IF(VLOOKUP(A174,'Données de base - Grunddaten'!$A$2:$M$273,4,FALSE)="","",VLOOKUP(A174,'Données de base - Grunddaten'!$A$2:$M$273,4,FALSE))</f>
        <v>Aare-Hagneck-Kanal, Bielersee</v>
      </c>
      <c r="D174" s="1028" t="str">
        <f>IF(VLOOKUP(A174,'Données de base - Grunddaten'!$A$2:$M$273,5,FALSE)="","",VLOOKUP(A174,'Données de base - Grunddaten'!$A$2:$M$273,5,FALSE))</f>
        <v>BE</v>
      </c>
      <c r="E174" s="647" t="s">
        <v>51</v>
      </c>
      <c r="F174" s="639"/>
      <c r="G174" s="635"/>
      <c r="H174" s="995" t="s">
        <v>53</v>
      </c>
      <c r="I174" s="1048" t="s">
        <v>48</v>
      </c>
      <c r="J174" s="984" t="s">
        <v>53</v>
      </c>
      <c r="K174" s="1052"/>
      <c r="L174" s="1021"/>
      <c r="M174" s="1021"/>
      <c r="N174" s="1011"/>
      <c r="O174" s="1012"/>
      <c r="P174" s="1062"/>
      <c r="Q174" s="1095" t="s">
        <v>53</v>
      </c>
      <c r="R174" s="1115" t="str">
        <f>IF(VLOOKUP(A174,'Eclusée - Schwall-Sunk'!$A$2:$F$273,5,FALSE)="","",VLOOKUP(A174,'Eclusée - Schwall-Sunk'!$A$2:$F$273,5,FALSE))</f>
        <v/>
      </c>
      <c r="S174" s="1126" t="str">
        <f>IF(VLOOKUP(A174,'Eclusée - Schwall-Sunk'!$A$2:$F$273,6,FALSE)="","",VLOOKUP(A174,'Eclusée - Schwall-Sunk'!$A$2:$F$273,6,FALSE))</f>
        <v>Non affecté / nicht betroffen</v>
      </c>
      <c r="T174" s="1123"/>
      <c r="U174" s="572"/>
      <c r="V174" s="572"/>
    </row>
    <row r="175" spans="1:23" ht="35.25" customHeight="1" x14ac:dyDescent="0.25">
      <c r="A175" s="926">
        <v>224</v>
      </c>
      <c r="B175" s="1028" t="str">
        <f>IF(VLOOKUP(A175,'Données de base - Grunddaten'!$A$2:$M$273,3,FALSE)="","",VLOOKUP(A175,'Données de base - Grunddaten'!$A$2:$M$273,3,FALSE))</f>
        <v>Rohr–Oey</v>
      </c>
      <c r="C175" s="1028" t="str">
        <f>IF(VLOOKUP(A175,'Données de base - Grunddaten'!$A$2:$M$273,4,FALSE)="","",VLOOKUP(A175,'Données de base - Grunddaten'!$A$2:$M$273,4,FALSE))</f>
        <v>Louibach</v>
      </c>
      <c r="D175" s="1028" t="str">
        <f>IF(VLOOKUP(A175,'Données de base - Grunddaten'!$A$2:$M$273,5,FALSE)="","",VLOOKUP(A175,'Données de base - Grunddaten'!$A$2:$M$273,5,FALSE))</f>
        <v>BE</v>
      </c>
      <c r="E175" s="647" t="s">
        <v>746</v>
      </c>
      <c r="F175" s="636" t="s">
        <v>1345</v>
      </c>
      <c r="G175" s="637" t="s">
        <v>1345</v>
      </c>
      <c r="H175" s="995" t="s">
        <v>746</v>
      </c>
      <c r="I175" s="1048" t="s">
        <v>48</v>
      </c>
      <c r="J175" s="985" t="s">
        <v>746</v>
      </c>
      <c r="K175" s="1052"/>
      <c r="L175" s="1021"/>
      <c r="M175" s="1021"/>
      <c r="N175" s="1011"/>
      <c r="O175" s="1012"/>
      <c r="P175" s="1062"/>
      <c r="Q175" s="997" t="s">
        <v>746</v>
      </c>
      <c r="R175" s="1115" t="str">
        <f>IF(VLOOKUP(A175,'Eclusée - Schwall-Sunk'!$A$2:$F$273,5,FALSE)="","",VLOOKUP(A175,'Eclusée - Schwall-Sunk'!$A$2:$F$273,5,FALSE))</f>
        <v/>
      </c>
      <c r="S175" s="1126" t="str">
        <f>IF(VLOOKUP(A175,'Eclusée - Schwall-Sunk'!$A$2:$F$273,6,FALSE)="","",VLOOKUP(A175,'Eclusée - Schwall-Sunk'!$A$2:$F$273,6,FALSE))</f>
        <v>Non affecté / nicht betroffen</v>
      </c>
      <c r="T175" s="1123"/>
      <c r="U175" s="572"/>
      <c r="V175" s="572"/>
    </row>
    <row r="176" spans="1:23" ht="35.25" customHeight="1" x14ac:dyDescent="0.25">
      <c r="A176" s="926">
        <v>225</v>
      </c>
      <c r="B176" s="1028" t="str">
        <f>IF(VLOOKUP(A176,'Données de base - Grunddaten'!$A$2:$M$273,3,FALSE)="","",VLOOKUP(A176,'Données de base - Grunddaten'!$A$2:$M$273,3,FALSE))</f>
        <v>Aahorn</v>
      </c>
      <c r="C176" s="1028" t="str">
        <f>IF(VLOOKUP(A176,'Données de base - Grunddaten'!$A$2:$M$273,4,FALSE)="","",VLOOKUP(A176,'Données de base - Grunddaten'!$A$2:$M$273,4,FALSE))</f>
        <v>Obersee, Wägitaler-Aa</v>
      </c>
      <c r="D176" s="1028" t="str">
        <f>IF(VLOOKUP(A176,'Données de base - Grunddaten'!$A$2:$M$273,5,FALSE)="","",VLOOKUP(A176,'Données de base - Grunddaten'!$A$2:$M$273,5,FALSE))</f>
        <v>SZ</v>
      </c>
      <c r="E176" s="647" t="s">
        <v>45</v>
      </c>
      <c r="F176" s="639"/>
      <c r="G176" s="635"/>
      <c r="H176" s="995" t="s">
        <v>45</v>
      </c>
      <c r="I176" s="1048" t="s">
        <v>48</v>
      </c>
      <c r="J176" s="984" t="s">
        <v>45</v>
      </c>
      <c r="K176" s="1052"/>
      <c r="L176" s="1021"/>
      <c r="M176" s="1025" t="s">
        <v>1441</v>
      </c>
      <c r="N176" s="1011"/>
      <c r="O176" s="1012"/>
      <c r="P176" s="1062"/>
      <c r="Q176" s="996" t="s">
        <v>799</v>
      </c>
      <c r="R176" s="1115" t="str">
        <f>IF(VLOOKUP(A176,'Eclusée - Schwall-Sunk'!$A$2:$F$273,5,FALSE)="","",VLOOKUP(A176,'Eclusée - Schwall-Sunk'!$A$2:$F$273,5,FALSE))</f>
        <v>force hydraulique</v>
      </c>
      <c r="S176" s="1126" t="str">
        <f>IF(VLOOKUP(A176,'Eclusée - Schwall-Sunk'!$A$2:$F$273,6,FALSE)="","",VLOOKUP(A176,'Eclusée - Schwall-Sunk'!$A$2:$F$273,6,FALSE))</f>
        <v>Potentiellement affecté / möglicherweise betroffen</v>
      </c>
      <c r="T176" s="1123"/>
      <c r="U176" s="572"/>
      <c r="V176" s="572"/>
      <c r="W176" s="1074" t="s">
        <v>1452</v>
      </c>
    </row>
    <row r="177" spans="1:23" ht="35.25" customHeight="1" x14ac:dyDescent="0.25">
      <c r="A177" s="926">
        <v>226</v>
      </c>
      <c r="B177" s="1028" t="str">
        <f>IF(VLOOKUP(A177,'Données de base - Grunddaten'!$A$2:$M$273,3,FALSE)="","",VLOOKUP(A177,'Données de base - Grunddaten'!$A$2:$M$273,3,FALSE))</f>
        <v>La Torneresse à l'Etivaz</v>
      </c>
      <c r="C177" s="1028" t="str">
        <f>IF(VLOOKUP(A177,'Données de base - Grunddaten'!$A$2:$M$273,4,FALSE)="","",VLOOKUP(A177,'Données de base - Grunddaten'!$A$2:$M$273,4,FALSE))</f>
        <v>La Torneresse</v>
      </c>
      <c r="D177" s="1028" t="str">
        <f>IF(VLOOKUP(A177,'Données de base - Grunddaten'!$A$2:$M$273,5,FALSE)="","",VLOOKUP(A177,'Données de base - Grunddaten'!$A$2:$M$273,5,FALSE))</f>
        <v>VD</v>
      </c>
      <c r="E177" s="647" t="s">
        <v>730</v>
      </c>
      <c r="F177" s="639"/>
      <c r="G177" s="635"/>
      <c r="H177" s="995" t="s">
        <v>730</v>
      </c>
      <c r="I177" s="1002" t="s">
        <v>1376</v>
      </c>
      <c r="J177" s="986" t="s">
        <v>730</v>
      </c>
      <c r="K177" s="1051" t="s">
        <v>126</v>
      </c>
      <c r="L177" s="1023"/>
      <c r="M177" s="1023"/>
      <c r="N177" s="1017" t="s">
        <v>1491</v>
      </c>
      <c r="O177" s="1018" t="s">
        <v>1492</v>
      </c>
      <c r="P177" s="1059"/>
      <c r="Q177" s="995" t="s">
        <v>794</v>
      </c>
      <c r="R177" s="1115" t="str">
        <f>IF(VLOOKUP(A177,'Eclusée - Schwall-Sunk'!$A$2:$F$273,5,FALSE)="","",VLOOKUP(A177,'Eclusée - Schwall-Sunk'!$A$2:$F$273,5,FALSE))</f>
        <v>force hydraulique</v>
      </c>
      <c r="S177" s="1126" t="str">
        <f>IF(VLOOKUP(A177,'Eclusée - Schwall-Sunk'!$A$2:$F$273,6,FALSE)="","",VLOOKUP(A177,'Eclusée - Schwall-Sunk'!$A$2:$F$273,6,FALSE))</f>
        <v>Non affecté / nicht betroffen</v>
      </c>
      <c r="T177" s="1123"/>
      <c r="U177" s="572"/>
      <c r="V177" s="572"/>
      <c r="W177" s="1073" t="s">
        <v>1904</v>
      </c>
    </row>
    <row r="178" spans="1:23" ht="35.25" customHeight="1" x14ac:dyDescent="0.25">
      <c r="A178" s="926">
        <v>227</v>
      </c>
      <c r="B178" s="1028" t="str">
        <f>IF(VLOOKUP(A178,'Données de base - Grunddaten'!$A$2:$M$273,3,FALSE)="","",VLOOKUP(A178,'Données de base - Grunddaten'!$A$2:$M$273,3,FALSE))</f>
        <v>Sonlèrt–Sabbione</v>
      </c>
      <c r="C178" s="1028" t="str">
        <f>IF(VLOOKUP(A178,'Données de base - Grunddaten'!$A$2:$M$273,4,FALSE)="","",VLOOKUP(A178,'Données de base - Grunddaten'!$A$2:$M$273,4,FALSE))</f>
        <v>Bavona</v>
      </c>
      <c r="D178" s="1028" t="str">
        <f>IF(VLOOKUP(A178,'Données de base - Grunddaten'!$A$2:$M$273,5,FALSE)="","",VLOOKUP(A178,'Données de base - Grunddaten'!$A$2:$M$273,5,FALSE))</f>
        <v>TI</v>
      </c>
      <c r="E178" s="647" t="s">
        <v>794</v>
      </c>
      <c r="F178" s="639"/>
      <c r="G178" s="635"/>
      <c r="H178" s="995" t="s">
        <v>794</v>
      </c>
      <c r="I178" s="1002" t="s">
        <v>1471</v>
      </c>
      <c r="J178" s="984" t="s">
        <v>794</v>
      </c>
      <c r="K178" s="1052"/>
      <c r="L178" s="1021"/>
      <c r="M178" s="1021"/>
      <c r="N178" s="1017" t="s">
        <v>1520</v>
      </c>
      <c r="O178" s="1018" t="s">
        <v>1521</v>
      </c>
      <c r="P178" s="1059"/>
      <c r="Q178" s="996" t="s">
        <v>794</v>
      </c>
      <c r="R178" s="1115" t="str">
        <f>IF(VLOOKUP(A178,'Eclusée - Schwall-Sunk'!$A$2:$F$273,5,FALSE)="","",VLOOKUP(A178,'Eclusée - Schwall-Sunk'!$A$2:$F$273,5,FALSE))</f>
        <v>force hydraulique</v>
      </c>
      <c r="S178" s="1126" t="str">
        <f>IF(VLOOKUP(A178,'Eclusée - Schwall-Sunk'!$A$2:$F$273,6,FALSE)="","",VLOOKUP(A178,'Eclusée - Schwall-Sunk'!$A$2:$F$273,6,FALSE))</f>
        <v>Non affecté / nicht betroffen</v>
      </c>
      <c r="T178" s="1123"/>
      <c r="U178" s="572"/>
      <c r="V178" s="572"/>
    </row>
    <row r="179" spans="1:23" ht="35.25" customHeight="1" x14ac:dyDescent="0.25">
      <c r="A179" s="926">
        <v>228</v>
      </c>
      <c r="B179" s="1028" t="str">
        <f>IF(VLOOKUP(A179,'Données de base - Grunddaten'!$A$2:$M$273,3,FALSE)="","",VLOOKUP(A179,'Données de base - Grunddaten'!$A$2:$M$273,3,FALSE))</f>
        <v>Foce della Maggia</v>
      </c>
      <c r="C179" s="1028" t="str">
        <f>IF(VLOOKUP(A179,'Données de base - Grunddaten'!$A$2:$M$273,4,FALSE)="","",VLOOKUP(A179,'Données de base - Grunddaten'!$A$2:$M$273,4,FALSE))</f>
        <v>Lago Maggiore, Maggia</v>
      </c>
      <c r="D179" s="1028" t="str">
        <f>IF(VLOOKUP(A179,'Données de base - Grunddaten'!$A$2:$M$273,5,FALSE)="","",VLOOKUP(A179,'Données de base - Grunddaten'!$A$2:$M$273,5,FALSE))</f>
        <v>TI</v>
      </c>
      <c r="E179" s="647" t="s">
        <v>794</v>
      </c>
      <c r="F179" s="639"/>
      <c r="G179" s="635"/>
      <c r="H179" s="995" t="s">
        <v>794</v>
      </c>
      <c r="I179" s="1048" t="s">
        <v>48</v>
      </c>
      <c r="J179" s="983" t="s">
        <v>794</v>
      </c>
      <c r="K179" s="1051" t="s">
        <v>126</v>
      </c>
      <c r="L179" s="1021"/>
      <c r="M179" s="1031" t="s">
        <v>1472</v>
      </c>
      <c r="N179" s="1017" t="s">
        <v>1473</v>
      </c>
      <c r="O179" s="1018" t="s">
        <v>1474</v>
      </c>
      <c r="P179" s="1059"/>
      <c r="Q179" s="996" t="s">
        <v>45</v>
      </c>
      <c r="R179" s="1115" t="str">
        <f>IF(VLOOKUP(A179,'Eclusée - Schwall-Sunk'!$A$2:$F$273,5,FALSE)="","",VLOOKUP(A179,'Eclusée - Schwall-Sunk'!$A$2:$F$273,5,FALSE))</f>
        <v>force hydraulique</v>
      </c>
      <c r="S179" s="1126" t="str">
        <f>IF(VLOOKUP(A179,'Eclusée - Schwall-Sunk'!$A$2:$F$273,6,FALSE)="","",VLOOKUP(A179,'Eclusée - Schwall-Sunk'!$A$2:$F$273,6,FALSE))</f>
        <v>Non affecté / nicht betroffen</v>
      </c>
      <c r="T179" s="1123"/>
      <c r="U179" s="572"/>
      <c r="V179" s="572"/>
    </row>
    <row r="180" spans="1:23" ht="35.25" customHeight="1" x14ac:dyDescent="0.25">
      <c r="A180" s="928">
        <v>229</v>
      </c>
      <c r="B180" s="1028" t="str">
        <f>IF(VLOOKUP(A180,'Données de base - Grunddaten'!$A$2:$M$273,3,FALSE)="","",VLOOKUP(A180,'Données de base - Grunddaten'!$A$2:$M$273,3,FALSE))</f>
        <v>Madonna del Piano</v>
      </c>
      <c r="C180" s="1028" t="str">
        <f>IF(VLOOKUP(A180,'Données de base - Grunddaten'!$A$2:$M$273,4,FALSE)="","",VLOOKUP(A180,'Données de base - Grunddaten'!$A$2:$M$273,4,FALSE))</f>
        <v>Tresa</v>
      </c>
      <c r="D180" s="1028" t="str">
        <f>IF(VLOOKUP(A180,'Données de base - Grunddaten'!$A$2:$M$273,5,FALSE)="","",VLOOKUP(A180,'Données de base - Grunddaten'!$A$2:$M$273,5,FALSE))</f>
        <v>TI</v>
      </c>
      <c r="E180" s="647" t="s">
        <v>746</v>
      </c>
      <c r="F180" s="636" t="s">
        <v>1345</v>
      </c>
      <c r="G180" s="637" t="s">
        <v>1345</v>
      </c>
      <c r="H180" s="995" t="s">
        <v>746</v>
      </c>
      <c r="I180" s="1048" t="s">
        <v>48</v>
      </c>
      <c r="J180" s="984" t="s">
        <v>746</v>
      </c>
      <c r="K180" s="1052"/>
      <c r="L180" s="1021"/>
      <c r="M180" s="1021"/>
      <c r="N180" s="1011"/>
      <c r="O180" s="1012"/>
      <c r="P180" s="1063"/>
      <c r="Q180" s="996" t="s">
        <v>746</v>
      </c>
      <c r="R180" s="1115" t="str">
        <f>IF(VLOOKUP(A180,'Eclusée - Schwall-Sunk'!$A$2:$F$273,5,FALSE)="","",VLOOKUP(A180,'Eclusée - Schwall-Sunk'!$A$2:$F$273,5,FALSE))</f>
        <v/>
      </c>
      <c r="S180" s="1126" t="str">
        <f>IF(VLOOKUP(A180,'Eclusée - Schwall-Sunk'!$A$2:$F$273,6,FALSE)="","",VLOOKUP(A180,'Eclusée - Schwall-Sunk'!$A$2:$F$273,6,FALSE))</f>
        <v>Non affecté / nicht betroffen</v>
      </c>
      <c r="T180" s="1123"/>
      <c r="U180" s="572"/>
      <c r="V180" s="572"/>
    </row>
    <row r="181" spans="1:23" ht="35.25" customHeight="1" x14ac:dyDescent="0.25">
      <c r="A181" s="928">
        <v>301</v>
      </c>
      <c r="B181" s="1028" t="str">
        <f>IF(VLOOKUP(A181,'Données de base - Grunddaten'!$A$2:$M$273,3,FALSE)="","",VLOOKUP(A181,'Données de base - Grunddaten'!$A$2:$M$273,3,FALSE))</f>
        <v>Les Iles de Bogis</v>
      </c>
      <c r="C181" s="1028" t="str">
        <f>IF(VLOOKUP(A181,'Données de base - Grunddaten'!$A$2:$M$273,4,FALSE)="","",VLOOKUP(A181,'Données de base - Grunddaten'!$A$2:$M$273,4,FALSE))</f>
        <v>La Versoix</v>
      </c>
      <c r="D181" s="1028" t="str">
        <f>IF(VLOOKUP(A181,'Données de base - Grunddaten'!$A$2:$M$273,5,FALSE)="","",VLOOKUP(A181,'Données de base - Grunddaten'!$A$2:$M$273,5,FALSE))</f>
        <v>VD</v>
      </c>
      <c r="E181" s="647" t="s">
        <v>746</v>
      </c>
      <c r="F181" s="636" t="s">
        <v>1345</v>
      </c>
      <c r="G181" s="637" t="s">
        <v>1345</v>
      </c>
      <c r="H181" s="995" t="s">
        <v>746</v>
      </c>
      <c r="I181" s="1048" t="s">
        <v>48</v>
      </c>
      <c r="J181" s="984" t="s">
        <v>746</v>
      </c>
      <c r="K181" s="1052"/>
      <c r="L181" s="1022"/>
      <c r="M181" s="1022"/>
      <c r="N181" s="1011"/>
      <c r="O181" s="1012"/>
      <c r="P181" s="1063"/>
      <c r="Q181" s="996" t="s">
        <v>746</v>
      </c>
      <c r="R181" s="1115" t="str">
        <f>IF(VLOOKUP(A181,'Eclusée - Schwall-Sunk'!$A$2:$F$273,5,FALSE)="","",VLOOKUP(A181,'Eclusée - Schwall-Sunk'!$A$2:$F$273,5,FALSE))</f>
        <v/>
      </c>
      <c r="S181" s="1126" t="str">
        <f>IF(VLOOKUP(A181,'Eclusée - Schwall-Sunk'!$A$2:$F$273,6,FALSE)="","",VLOOKUP(A181,'Eclusée - Schwall-Sunk'!$A$2:$F$273,6,FALSE))</f>
        <v>Non affecté / nicht betroffen</v>
      </c>
      <c r="T181" s="1123"/>
      <c r="U181" s="572"/>
      <c r="V181" s="572"/>
    </row>
    <row r="182" spans="1:23" ht="35.25" customHeight="1" x14ac:dyDescent="0.25">
      <c r="A182" s="1233">
        <v>302</v>
      </c>
      <c r="B182" s="1028" t="str">
        <f>IF(VLOOKUP(A182,'Données de base - Grunddaten'!$A$2:$M$273,3,FALSE)="","",VLOOKUP(A182,'Données de base - Grunddaten'!$A$2:$M$273,3,FALSE))</f>
        <v>La Lovataire - La Venoge</v>
      </c>
      <c r="C182" s="1028" t="str">
        <f>IF(VLOOKUP(A182,'Données de base - Grunddaten'!$A$2:$M$273,4,FALSE)="","",VLOOKUP(A182,'Données de base - Grunddaten'!$A$2:$M$273,4,FALSE))</f>
        <v>La Venoge</v>
      </c>
      <c r="D182" s="1028" t="str">
        <f>IF(VLOOKUP(A182,'Données de base - Grunddaten'!$A$2:$M$273,5,FALSE)="","",VLOOKUP(A182,'Données de base - Grunddaten'!$A$2:$M$273,5,FALSE))</f>
        <v>VD</v>
      </c>
      <c r="E182" s="647" t="s">
        <v>40</v>
      </c>
      <c r="F182" s="636" t="s">
        <v>1345</v>
      </c>
      <c r="G182" s="641" t="s">
        <v>1489</v>
      </c>
      <c r="H182" s="995" t="s">
        <v>45</v>
      </c>
      <c r="I182" s="1002" t="s">
        <v>1376</v>
      </c>
      <c r="J182" s="983" t="s">
        <v>45</v>
      </c>
      <c r="K182" s="1051" t="s">
        <v>126</v>
      </c>
      <c r="L182" s="1023"/>
      <c r="M182" s="1023"/>
      <c r="N182" s="1017" t="s">
        <v>1488</v>
      </c>
      <c r="O182" s="1018" t="s">
        <v>52</v>
      </c>
      <c r="P182" s="1059"/>
      <c r="Q182" s="998" t="s">
        <v>45</v>
      </c>
      <c r="R182" s="1115" t="str">
        <f>IF(VLOOKUP(A182,'Eclusée - Schwall-Sunk'!$A$2:$F$273,5,FALSE)="","",VLOOKUP(A182,'Eclusée - Schwall-Sunk'!$A$2:$F$273,5,FALSE))</f>
        <v>autre prélèvement</v>
      </c>
      <c r="S182" s="1126" t="str">
        <f>IF(VLOOKUP(A182,'Eclusée - Schwall-Sunk'!$A$2:$F$273,6,FALSE)="","",VLOOKUP(A182,'Eclusée - Schwall-Sunk'!$A$2:$F$273,6,FALSE))</f>
        <v>Non affecté / nicht betroffen</v>
      </c>
      <c r="T182" s="1123"/>
      <c r="U182" s="572"/>
      <c r="V182" s="572"/>
    </row>
    <row r="183" spans="1:23" ht="35.25" customHeight="1" x14ac:dyDescent="0.25">
      <c r="A183" s="928">
        <v>303</v>
      </c>
      <c r="B183" s="1028" t="str">
        <f>IF(VLOOKUP(A183,'Données de base - Grunddaten'!$A$2:$M$273,3,FALSE)="","",VLOOKUP(A183,'Données de base - Grunddaten'!$A$2:$M$273,3,FALSE))</f>
        <v>Solalex</v>
      </c>
      <c r="C183" s="1028" t="str">
        <f>IF(VLOOKUP(A183,'Données de base - Grunddaten'!$A$2:$M$273,4,FALSE)="","",VLOOKUP(A183,'Données de base - Grunddaten'!$A$2:$M$273,4,FALSE))</f>
        <v>L'Avançon d'Anzeindaz</v>
      </c>
      <c r="D183" s="1028" t="str">
        <f>IF(VLOOKUP(A183,'Données de base - Grunddaten'!$A$2:$M$273,5,FALSE)="","",VLOOKUP(A183,'Données de base - Grunddaten'!$A$2:$M$273,5,FALSE))</f>
        <v>VD</v>
      </c>
      <c r="E183" s="647" t="s">
        <v>746</v>
      </c>
      <c r="F183" s="636" t="s">
        <v>1345</v>
      </c>
      <c r="G183" s="637" t="s">
        <v>1345</v>
      </c>
      <c r="H183" s="995" t="s">
        <v>746</v>
      </c>
      <c r="I183" s="1048" t="s">
        <v>48</v>
      </c>
      <c r="J183" s="984" t="s">
        <v>746</v>
      </c>
      <c r="K183" s="1052"/>
      <c r="L183" s="1022"/>
      <c r="M183" s="1022"/>
      <c r="N183" s="1011"/>
      <c r="O183" s="1012"/>
      <c r="P183" s="1063"/>
      <c r="Q183" s="996" t="s">
        <v>746</v>
      </c>
      <c r="R183" s="1115" t="str">
        <f>IF(VLOOKUP(A183,'Eclusée - Schwall-Sunk'!$A$2:$F$273,5,FALSE)="","",VLOOKUP(A183,'Eclusée - Schwall-Sunk'!$A$2:$F$273,5,FALSE))</f>
        <v/>
      </c>
      <c r="S183" s="1126" t="str">
        <f>IF(VLOOKUP(A183,'Eclusée - Schwall-Sunk'!$A$2:$F$273,6,FALSE)="","",VLOOKUP(A183,'Eclusée - Schwall-Sunk'!$A$2:$F$273,6,FALSE))</f>
        <v>Non affecté / nicht betroffen</v>
      </c>
      <c r="T183" s="1123"/>
      <c r="U183" s="572"/>
      <c r="V183" s="572"/>
    </row>
    <row r="184" spans="1:23" ht="35.25" customHeight="1" x14ac:dyDescent="0.25">
      <c r="A184" s="928">
        <v>304</v>
      </c>
      <c r="B184" s="1028" t="str">
        <f>IF(VLOOKUP(A184,'Données de base - Grunddaten'!$A$2:$M$273,3,FALSE)="","",VLOOKUP(A184,'Données de base - Grunddaten'!$A$2:$M$273,3,FALSE))</f>
        <v>Embouchure de la Broye</v>
      </c>
      <c r="C184" s="1028" t="str">
        <f>IF(VLOOKUP(A184,'Données de base - Grunddaten'!$A$2:$M$273,4,FALSE)="","",VLOOKUP(A184,'Données de base - Grunddaten'!$A$2:$M$273,4,FALSE))</f>
        <v>La Broye, Lac de Morat</v>
      </c>
      <c r="D184" s="1028" t="str">
        <f>IF(VLOOKUP(A184,'Données de base - Grunddaten'!$A$2:$M$273,5,FALSE)="","",VLOOKUP(A184,'Données de base - Grunddaten'!$A$2:$M$273,5,FALSE))</f>
        <v>VD</v>
      </c>
      <c r="E184" s="647" t="s">
        <v>746</v>
      </c>
      <c r="F184" s="636" t="s">
        <v>1345</v>
      </c>
      <c r="G184" s="637" t="s">
        <v>1345</v>
      </c>
      <c r="H184" s="995" t="s">
        <v>746</v>
      </c>
      <c r="I184" s="1048" t="s">
        <v>48</v>
      </c>
      <c r="J184" s="984" t="s">
        <v>746</v>
      </c>
      <c r="K184" s="1052"/>
      <c r="L184" s="1022"/>
      <c r="M184" s="1022"/>
      <c r="N184" s="1011"/>
      <c r="O184" s="1012"/>
      <c r="P184" s="1063"/>
      <c r="Q184" s="996" t="s">
        <v>746</v>
      </c>
      <c r="R184" s="1115" t="str">
        <f>IF(VLOOKUP(A184,'Eclusée - Schwall-Sunk'!$A$2:$F$273,5,FALSE)="","",VLOOKUP(A184,'Eclusée - Schwall-Sunk'!$A$2:$F$273,5,FALSE))</f>
        <v/>
      </c>
      <c r="S184" s="1126" t="str">
        <f>IF(VLOOKUP(A184,'Eclusée - Schwall-Sunk'!$A$2:$F$273,6,FALSE)="","",VLOOKUP(A184,'Eclusée - Schwall-Sunk'!$A$2:$F$273,6,FALSE))</f>
        <v>Non affecté / nicht betroffen</v>
      </c>
      <c r="T184" s="1123"/>
      <c r="U184" s="572"/>
      <c r="V184" s="572"/>
    </row>
    <row r="185" spans="1:23" ht="35.25" customHeight="1" x14ac:dyDescent="0.25">
      <c r="A185" s="928">
        <v>305</v>
      </c>
      <c r="B185" s="1028" t="str">
        <f>IF(VLOOKUP(A185,'Données de base - Grunddaten'!$A$2:$M$273,3,FALSE)="","",VLOOKUP(A185,'Données de base - Grunddaten'!$A$2:$M$273,3,FALSE))</f>
        <v>Embouchure du Chandon</v>
      </c>
      <c r="C185" s="1028" t="str">
        <f>IF(VLOOKUP(A185,'Données de base - Grunddaten'!$A$2:$M$273,4,FALSE)="","",VLOOKUP(A185,'Données de base - Grunddaten'!$A$2:$M$273,4,FALSE))</f>
        <v>Le Chandon, Lac de Morat</v>
      </c>
      <c r="D185" s="1028" t="str">
        <f>IF(VLOOKUP(A185,'Données de base - Grunddaten'!$A$2:$M$273,5,FALSE)="","",VLOOKUP(A185,'Données de base - Grunddaten'!$A$2:$M$273,5,FALSE))</f>
        <v>VD</v>
      </c>
      <c r="E185" s="647" t="s">
        <v>746</v>
      </c>
      <c r="F185" s="636" t="s">
        <v>1345</v>
      </c>
      <c r="G185" s="637" t="s">
        <v>1345</v>
      </c>
      <c r="H185" s="995" t="s">
        <v>746</v>
      </c>
      <c r="I185" s="1048" t="s">
        <v>48</v>
      </c>
      <c r="J185" s="984" t="s">
        <v>746</v>
      </c>
      <c r="K185" s="1052"/>
      <c r="L185" s="1022"/>
      <c r="M185" s="1022"/>
      <c r="N185" s="1011"/>
      <c r="O185" s="1012"/>
      <c r="P185" s="1063"/>
      <c r="Q185" s="996" t="s">
        <v>746</v>
      </c>
      <c r="R185" s="1115" t="str">
        <f>IF(VLOOKUP(A185,'Eclusée - Schwall-Sunk'!$A$2:$F$273,5,FALSE)="","",VLOOKUP(A185,'Eclusée - Schwall-Sunk'!$A$2:$F$273,5,FALSE))</f>
        <v/>
      </c>
      <c r="S185" s="1126" t="str">
        <f>IF(VLOOKUP(A185,'Eclusée - Schwall-Sunk'!$A$2:$F$273,6,FALSE)="","",VLOOKUP(A185,'Eclusée - Schwall-Sunk'!$A$2:$F$273,6,FALSE))</f>
        <v>Non affecté / nicht betroffen</v>
      </c>
      <c r="T185" s="1123"/>
      <c r="U185" s="572"/>
      <c r="V185" s="572"/>
    </row>
    <row r="186" spans="1:23" ht="35.25" customHeight="1" x14ac:dyDescent="0.25">
      <c r="A186" s="1233">
        <v>306</v>
      </c>
      <c r="B186" s="1028" t="str">
        <f>IF(VLOOKUP(A186,'Données de base - Grunddaten'!$A$2:$M$273,3,FALSE)="","",VLOOKUP(A186,'Données de base - Grunddaten'!$A$2:$M$273,3,FALSE))</f>
        <v>La Ramée-Préfargier</v>
      </c>
      <c r="C186" s="1028" t="str">
        <f>IF(VLOOKUP(A186,'Données de base - Grunddaten'!$A$2:$M$273,4,FALSE)="","",VLOOKUP(A186,'Données de base - Grunddaten'!$A$2:$M$273,4,FALSE))</f>
        <v>Lac de Neuchâtel</v>
      </c>
      <c r="D186" s="1028" t="str">
        <f>IF(VLOOKUP(A186,'Données de base - Grunddaten'!$A$2:$M$273,5,FALSE)="","",VLOOKUP(A186,'Données de base - Grunddaten'!$A$2:$M$273,5,FALSE))</f>
        <v>NE</v>
      </c>
      <c r="E186" s="647" t="s">
        <v>51</v>
      </c>
      <c r="F186" s="634"/>
      <c r="G186" s="638"/>
      <c r="H186" s="995" t="s">
        <v>53</v>
      </c>
      <c r="I186" s="1048" t="s">
        <v>48</v>
      </c>
      <c r="J186" s="984" t="s">
        <v>53</v>
      </c>
      <c r="K186" s="1052"/>
      <c r="L186" s="1022"/>
      <c r="M186" s="1022"/>
      <c r="N186" s="1011"/>
      <c r="O186" s="1012"/>
      <c r="P186" s="1063"/>
      <c r="Q186" s="996" t="s">
        <v>53</v>
      </c>
      <c r="R186" s="1115" t="str">
        <f>IF(VLOOKUP(A186,'Eclusée - Schwall-Sunk'!$A$2:$F$273,5,FALSE)="","",VLOOKUP(A186,'Eclusée - Schwall-Sunk'!$A$2:$F$273,5,FALSE))</f>
        <v/>
      </c>
      <c r="S186" s="1126" t="str">
        <f>IF(VLOOKUP(A186,'Eclusée - Schwall-Sunk'!$A$2:$F$273,6,FALSE)="","",VLOOKUP(A186,'Eclusée - Schwall-Sunk'!$A$2:$F$273,6,FALSE))</f>
        <v>Non affecté / nicht betroffen</v>
      </c>
      <c r="T186" s="1123"/>
      <c r="U186" s="572"/>
      <c r="V186" s="572"/>
    </row>
    <row r="187" spans="1:23" ht="35.25" customHeight="1" x14ac:dyDescent="0.25">
      <c r="A187" s="928">
        <v>307</v>
      </c>
      <c r="B187" s="1028" t="str">
        <f>IF(VLOOKUP(A187,'Données de base - Grunddaten'!$A$2:$M$273,3,FALSE)="","",VLOOKUP(A187,'Données de base - Grunddaten'!$A$2:$M$273,3,FALSE))</f>
        <v>Le Chablais</v>
      </c>
      <c r="C187" s="1028" t="str">
        <f>IF(VLOOKUP(A187,'Données de base - Grunddaten'!$A$2:$M$273,4,FALSE)="","",VLOOKUP(A187,'Données de base - Grunddaten'!$A$2:$M$273,4,FALSE))</f>
        <v>Lac de Morat</v>
      </c>
      <c r="D187" s="1028" t="str">
        <f>IF(VLOOKUP(A187,'Données de base - Grunddaten'!$A$2:$M$273,5,FALSE)="","",VLOOKUP(A187,'Données de base - Grunddaten'!$A$2:$M$273,5,FALSE))</f>
        <v>FR</v>
      </c>
      <c r="E187" s="647" t="s">
        <v>51</v>
      </c>
      <c r="F187" s="634"/>
      <c r="G187" s="638"/>
      <c r="H187" s="995" t="s">
        <v>53</v>
      </c>
      <c r="I187" s="1048" t="s">
        <v>48</v>
      </c>
      <c r="J187" s="984" t="s">
        <v>53</v>
      </c>
      <c r="K187" s="1052"/>
      <c r="L187" s="1021"/>
      <c r="M187" s="1032"/>
      <c r="N187" s="1011"/>
      <c r="O187" s="1012"/>
      <c r="P187" s="1062"/>
      <c r="Q187" s="1095" t="s">
        <v>53</v>
      </c>
      <c r="R187" s="1115" t="str">
        <f>IF(VLOOKUP(A187,'Eclusée - Schwall-Sunk'!$A$2:$F$273,5,FALSE)="","",VLOOKUP(A187,'Eclusée - Schwall-Sunk'!$A$2:$F$273,5,FALSE))</f>
        <v/>
      </c>
      <c r="S187" s="1126" t="str">
        <f>IF(VLOOKUP(A187,'Eclusée - Schwall-Sunk'!$A$2:$F$273,6,FALSE)="","",VLOOKUP(A187,'Eclusée - Schwall-Sunk'!$A$2:$F$273,6,FALSE))</f>
        <v>Non affecté / nicht betroffen</v>
      </c>
      <c r="T187" s="1123"/>
      <c r="U187" s="572"/>
      <c r="V187" s="572"/>
    </row>
    <row r="188" spans="1:23" ht="35.25" customHeight="1" x14ac:dyDescent="0.25">
      <c r="A188" s="928">
        <v>310</v>
      </c>
      <c r="B188" s="1028" t="str">
        <f>IF(VLOOKUP(A188,'Données de base - Grunddaten'!$A$2:$M$273,3,FALSE)="","",VLOOKUP(A188,'Données de base - Grunddaten'!$A$2:$M$273,3,FALSE))</f>
        <v>Lac de Montsalvens</v>
      </c>
      <c r="C188" s="1028" t="str">
        <f>IF(VLOOKUP(A188,'Données de base - Grunddaten'!$A$2:$M$273,4,FALSE)="","",VLOOKUP(A188,'Données de base - Grunddaten'!$A$2:$M$273,4,FALSE))</f>
        <v>La Jogne, Lac de Montsalvens</v>
      </c>
      <c r="D188" s="1028" t="str">
        <f>IF(VLOOKUP(A188,'Données de base - Grunddaten'!$A$2:$M$273,5,FALSE)="","",VLOOKUP(A188,'Données de base - Grunddaten'!$A$2:$M$273,5,FALSE))</f>
        <v>FR</v>
      </c>
      <c r="E188" s="647" t="s">
        <v>51</v>
      </c>
      <c r="F188" s="634"/>
      <c r="G188" s="638"/>
      <c r="H188" s="995" t="s">
        <v>53</v>
      </c>
      <c r="I188" s="1048" t="s">
        <v>48</v>
      </c>
      <c r="J188" s="984" t="s">
        <v>53</v>
      </c>
      <c r="K188" s="1052"/>
      <c r="L188" s="1021"/>
      <c r="M188" s="1032"/>
      <c r="N188" s="1011"/>
      <c r="O188" s="1012"/>
      <c r="P188" s="1062"/>
      <c r="Q188" s="1095" t="s">
        <v>53</v>
      </c>
      <c r="R188" s="1115" t="str">
        <f>IF(VLOOKUP(A188,'Eclusée - Schwall-Sunk'!$A$2:$F$273,5,FALSE)="","",VLOOKUP(A188,'Eclusée - Schwall-Sunk'!$A$2:$F$273,5,FALSE))</f>
        <v/>
      </c>
      <c r="S188" s="1126" t="str">
        <f>IF(VLOOKUP(A188,'Eclusée - Schwall-Sunk'!$A$2:$F$273,6,FALSE)="","",VLOOKUP(A188,'Eclusée - Schwall-Sunk'!$A$2:$F$273,6,FALSE))</f>
        <v>Non affecté / nicht betroffen</v>
      </c>
      <c r="T188" s="1123"/>
      <c r="U188" s="572"/>
      <c r="V188" s="572"/>
    </row>
    <row r="189" spans="1:23" ht="35.25" customHeight="1" x14ac:dyDescent="0.25">
      <c r="A189" s="1233">
        <v>311</v>
      </c>
      <c r="B189" s="1028" t="str">
        <f>IF(VLOOKUP(A189,'Données de base - Grunddaten'!$A$2:$M$273,3,FALSE)="","",VLOOKUP(A189,'Données de base - Grunddaten'!$A$2:$M$273,3,FALSE))</f>
        <v>Cerniat-La Valsainte</v>
      </c>
      <c r="C189" s="1028" t="str">
        <f>IF(VLOOKUP(A189,'Données de base - Grunddaten'!$A$2:$M$273,4,FALSE)="","",VLOOKUP(A189,'Données de base - Grunddaten'!$A$2:$M$273,4,FALSE))</f>
        <v>Le Javro</v>
      </c>
      <c r="D189" s="1028" t="str">
        <f>IF(VLOOKUP(A189,'Données de base - Grunddaten'!$A$2:$M$273,5,FALSE)="","",VLOOKUP(A189,'Données de base - Grunddaten'!$A$2:$M$273,5,FALSE))</f>
        <v>FR</v>
      </c>
      <c r="E189" s="647" t="s">
        <v>40</v>
      </c>
      <c r="F189" s="636" t="s">
        <v>1345</v>
      </c>
      <c r="G189" s="637" t="s">
        <v>1345</v>
      </c>
      <c r="H189" s="995" t="s">
        <v>751</v>
      </c>
      <c r="I189" s="1048" t="s">
        <v>48</v>
      </c>
      <c r="J189" s="984" t="s">
        <v>751</v>
      </c>
      <c r="K189" s="1052"/>
      <c r="L189" s="1021"/>
      <c r="M189" s="1025" t="s">
        <v>1092</v>
      </c>
      <c r="N189" s="1011"/>
      <c r="O189" s="1012"/>
      <c r="P189" s="1062"/>
      <c r="Q189" s="996" t="s">
        <v>751</v>
      </c>
      <c r="R189" s="1115" t="str">
        <f>IF(VLOOKUP(A189,'Eclusée - Schwall-Sunk'!$A$2:$F$273,5,FALSE)="","",VLOOKUP(A189,'Eclusée - Schwall-Sunk'!$A$2:$F$273,5,FALSE))</f>
        <v/>
      </c>
      <c r="S189" s="1126" t="str">
        <f>IF(VLOOKUP(A189,'Eclusée - Schwall-Sunk'!$A$2:$F$273,6,FALSE)="","",VLOOKUP(A189,'Eclusée - Schwall-Sunk'!$A$2:$F$273,6,FALSE))</f>
        <v>Non affecté / nicht betroffen</v>
      </c>
      <c r="T189" s="1123"/>
      <c r="U189" s="572"/>
      <c r="V189" s="572"/>
    </row>
    <row r="190" spans="1:23" ht="35.25" customHeight="1" x14ac:dyDescent="0.25">
      <c r="A190" s="1233">
        <v>312</v>
      </c>
      <c r="B190" s="1028" t="str">
        <f>IF(VLOOKUP(A190,'Données de base - Grunddaten'!$A$2:$M$273,3,FALSE)="","",VLOOKUP(A190,'Données de base - Grunddaten'!$A$2:$M$273,3,FALSE))</f>
        <v>Plasselb</v>
      </c>
      <c r="C190" s="1028" t="str">
        <f>IF(VLOOKUP(A190,'Données de base - Grunddaten'!$A$2:$M$273,4,FALSE)="","",VLOOKUP(A190,'Données de base - Grunddaten'!$A$2:$M$273,4,FALSE))</f>
        <v>Ärgera</v>
      </c>
      <c r="D190" s="1028" t="str">
        <f>IF(VLOOKUP(A190,'Données de base - Grunddaten'!$A$2:$M$273,5,FALSE)="","",VLOOKUP(A190,'Données de base - Grunddaten'!$A$2:$M$273,5,FALSE))</f>
        <v>FR</v>
      </c>
      <c r="E190" s="647" t="s">
        <v>40</v>
      </c>
      <c r="F190" s="636" t="s">
        <v>1345</v>
      </c>
      <c r="G190" s="637" t="s">
        <v>1345</v>
      </c>
      <c r="H190" s="995" t="s">
        <v>751</v>
      </c>
      <c r="I190" s="1048" t="s">
        <v>48</v>
      </c>
      <c r="J190" s="984" t="s">
        <v>751</v>
      </c>
      <c r="K190" s="1052"/>
      <c r="L190" s="1021"/>
      <c r="M190" s="1025" t="s">
        <v>1092</v>
      </c>
      <c r="N190" s="1011"/>
      <c r="O190" s="1012"/>
      <c r="P190" s="1062"/>
      <c r="Q190" s="996" t="s">
        <v>751</v>
      </c>
      <c r="R190" s="1115" t="str">
        <f>IF(VLOOKUP(A190,'Eclusée - Schwall-Sunk'!$A$2:$F$273,5,FALSE)="","",VLOOKUP(A190,'Eclusée - Schwall-Sunk'!$A$2:$F$273,5,FALSE))</f>
        <v/>
      </c>
      <c r="S190" s="1126" t="str">
        <f>IF(VLOOKUP(A190,'Eclusée - Schwall-Sunk'!$A$2:$F$273,6,FALSE)="","",VLOOKUP(A190,'Eclusée - Schwall-Sunk'!$A$2:$F$273,6,FALSE))</f>
        <v>Non affecté / nicht betroffen</v>
      </c>
      <c r="T190" s="1123"/>
      <c r="U190" s="572"/>
      <c r="V190" s="572"/>
    </row>
    <row r="191" spans="1:23" ht="35.25" customHeight="1" x14ac:dyDescent="0.25">
      <c r="A191" s="928">
        <v>313</v>
      </c>
      <c r="B191" s="1028" t="str">
        <f>IF(VLOOKUP(A191,'Données de base - Grunddaten'!$A$2:$M$273,3,FALSE)="","",VLOOKUP(A191,'Données de base - Grunddaten'!$A$2:$M$273,3,FALSE))</f>
        <v>Muscherensense</v>
      </c>
      <c r="C191" s="1028" t="str">
        <f>IF(VLOOKUP(A191,'Données de base - Grunddaten'!$A$2:$M$273,4,FALSE)="","",VLOOKUP(A191,'Données de base - Grunddaten'!$A$2:$M$273,4,FALSE))</f>
        <v>Muscherensense</v>
      </c>
      <c r="D191" s="1028" t="str">
        <f>IF(VLOOKUP(A191,'Données de base - Grunddaten'!$A$2:$M$273,5,FALSE)="","",VLOOKUP(A191,'Données de base - Grunddaten'!$A$2:$M$273,5,FALSE))</f>
        <v>FR</v>
      </c>
      <c r="E191" s="647" t="s">
        <v>746</v>
      </c>
      <c r="F191" s="636" t="s">
        <v>1345</v>
      </c>
      <c r="G191" s="637" t="s">
        <v>1345</v>
      </c>
      <c r="H191" s="995" t="s">
        <v>746</v>
      </c>
      <c r="I191" s="1048" t="s">
        <v>48</v>
      </c>
      <c r="J191" s="984" t="s">
        <v>746</v>
      </c>
      <c r="K191" s="1052"/>
      <c r="L191" s="1021"/>
      <c r="M191" s="1025" t="s">
        <v>1092</v>
      </c>
      <c r="N191" s="1011"/>
      <c r="O191" s="1012"/>
      <c r="P191" s="1062"/>
      <c r="Q191" s="996" t="s">
        <v>746</v>
      </c>
      <c r="R191" s="1115" t="str">
        <f>IF(VLOOKUP(A191,'Eclusée - Schwall-Sunk'!$A$2:$F$273,5,FALSE)="","",VLOOKUP(A191,'Eclusée - Schwall-Sunk'!$A$2:$F$273,5,FALSE))</f>
        <v/>
      </c>
      <c r="S191" s="1126" t="str">
        <f>IF(VLOOKUP(A191,'Eclusée - Schwall-Sunk'!$A$2:$F$273,6,FALSE)="","",VLOOKUP(A191,'Eclusée - Schwall-Sunk'!$A$2:$F$273,6,FALSE))</f>
        <v>Non affecté / nicht betroffen</v>
      </c>
      <c r="T191" s="1123"/>
      <c r="U191" s="572"/>
      <c r="V191" s="572"/>
    </row>
    <row r="192" spans="1:23" ht="35.25" customHeight="1" x14ac:dyDescent="0.25">
      <c r="A192" s="928">
        <v>314</v>
      </c>
      <c r="B192" s="1028" t="str">
        <f>IF(VLOOKUP(A192,'Données de base - Grunddaten'!$A$2:$M$273,3,FALSE)="","",VLOOKUP(A192,'Données de base - Grunddaten'!$A$2:$M$273,3,FALSE))</f>
        <v>Kalte Sense</v>
      </c>
      <c r="C192" s="1028" t="str">
        <f>IF(VLOOKUP(A192,'Données de base - Grunddaten'!$A$2:$M$273,4,FALSE)="","",VLOOKUP(A192,'Données de base - Grunddaten'!$A$2:$M$273,4,FALSE))</f>
        <v>Kalte Sense</v>
      </c>
      <c r="D192" s="1028" t="str">
        <f>IF(VLOOKUP(A192,'Données de base - Grunddaten'!$A$2:$M$273,5,FALSE)="","",VLOOKUP(A192,'Données de base - Grunddaten'!$A$2:$M$273,5,FALSE))</f>
        <v>BE/FR</v>
      </c>
      <c r="E192" s="647" t="s">
        <v>746</v>
      </c>
      <c r="F192" s="636" t="s">
        <v>1345</v>
      </c>
      <c r="G192" s="637" t="s">
        <v>1345</v>
      </c>
      <c r="H192" s="995" t="s">
        <v>746</v>
      </c>
      <c r="I192" s="1048" t="s">
        <v>48</v>
      </c>
      <c r="J192" s="984" t="s">
        <v>746</v>
      </c>
      <c r="K192" s="1052"/>
      <c r="L192" s="1021"/>
      <c r="M192" s="1025" t="s">
        <v>1092</v>
      </c>
      <c r="N192" s="1011"/>
      <c r="O192" s="1012"/>
      <c r="P192" s="1062"/>
      <c r="Q192" s="996" t="s">
        <v>746</v>
      </c>
      <c r="R192" s="1115" t="str">
        <f>IF(VLOOKUP(A192,'Eclusée - Schwall-Sunk'!$A$2:$F$273,5,FALSE)="","",VLOOKUP(A192,'Eclusée - Schwall-Sunk'!$A$2:$F$273,5,FALSE))</f>
        <v/>
      </c>
      <c r="S192" s="1126" t="str">
        <f>IF(VLOOKUP(A192,'Eclusée - Schwall-Sunk'!$A$2:$F$273,6,FALSE)="","",VLOOKUP(A192,'Eclusée - Schwall-Sunk'!$A$2:$F$273,6,FALSE))</f>
        <v>Non affecté / nicht betroffen</v>
      </c>
      <c r="T192" s="1123"/>
      <c r="U192" s="572"/>
      <c r="V192" s="572"/>
    </row>
    <row r="193" spans="1:23" ht="35.25" customHeight="1" x14ac:dyDescent="0.25">
      <c r="A193" s="928">
        <v>315</v>
      </c>
      <c r="B193" s="1028" t="str">
        <f>IF(VLOOKUP(A193,'Données de base - Grunddaten'!$A$2:$M$273,3,FALSE)="","",VLOOKUP(A193,'Données de base - Grunddaten'!$A$2:$M$273,3,FALSE))</f>
        <v>Rotenbach</v>
      </c>
      <c r="C193" s="1028" t="str">
        <f>IF(VLOOKUP(A193,'Données de base - Grunddaten'!$A$2:$M$273,4,FALSE)="","",VLOOKUP(A193,'Données de base - Grunddaten'!$A$2:$M$273,4,FALSE))</f>
        <v>Kalte Sense</v>
      </c>
      <c r="D193" s="1028" t="str">
        <f>IF(VLOOKUP(A193,'Données de base - Grunddaten'!$A$2:$M$273,5,FALSE)="","",VLOOKUP(A193,'Données de base - Grunddaten'!$A$2:$M$273,5,FALSE))</f>
        <v>BE</v>
      </c>
      <c r="E193" s="647" t="s">
        <v>746</v>
      </c>
      <c r="F193" s="636" t="s">
        <v>1345</v>
      </c>
      <c r="G193" s="637" t="s">
        <v>1345</v>
      </c>
      <c r="H193" s="995" t="s">
        <v>746</v>
      </c>
      <c r="I193" s="1048" t="s">
        <v>48</v>
      </c>
      <c r="J193" s="984" t="s">
        <v>746</v>
      </c>
      <c r="K193" s="1052"/>
      <c r="L193" s="1021"/>
      <c r="M193" s="1021"/>
      <c r="N193" s="1011"/>
      <c r="O193" s="1012"/>
      <c r="P193" s="1062"/>
      <c r="Q193" s="996" t="s">
        <v>746</v>
      </c>
      <c r="R193" s="1115" t="str">
        <f>IF(VLOOKUP(A193,'Eclusée - Schwall-Sunk'!$A$2:$F$273,5,FALSE)="","",VLOOKUP(A193,'Eclusée - Schwall-Sunk'!$A$2:$F$273,5,FALSE))</f>
        <v/>
      </c>
      <c r="S193" s="1126" t="str">
        <f>IF(VLOOKUP(A193,'Eclusée - Schwall-Sunk'!$A$2:$F$273,6,FALSE)="","",VLOOKUP(A193,'Eclusée - Schwall-Sunk'!$A$2:$F$273,6,FALSE))</f>
        <v>Non affecté / nicht betroffen</v>
      </c>
      <c r="T193" s="1123"/>
      <c r="U193" s="572"/>
      <c r="V193" s="572"/>
    </row>
    <row r="194" spans="1:23" ht="35.25" customHeight="1" x14ac:dyDescent="0.25">
      <c r="A194" s="1233">
        <v>316</v>
      </c>
      <c r="B194" s="1028" t="str">
        <f>IF(VLOOKUP(A194,'Données de base - Grunddaten'!$A$2:$M$273,3,FALSE)="","",VLOOKUP(A194,'Données de base - Grunddaten'!$A$2:$M$273,3,FALSE))</f>
        <v>Heubach</v>
      </c>
      <c r="C194" s="1028" t="str">
        <f>IF(VLOOKUP(A194,'Données de base - Grunddaten'!$A$2:$M$273,4,FALSE)="","",VLOOKUP(A194,'Données de base - Grunddaten'!$A$2:$M$273,4,FALSE))</f>
        <v>Schwarzwasser</v>
      </c>
      <c r="D194" s="1028" t="str">
        <f>IF(VLOOKUP(A194,'Données de base - Grunddaten'!$A$2:$M$273,5,FALSE)="","",VLOOKUP(A194,'Données de base - Grunddaten'!$A$2:$M$273,5,FALSE))</f>
        <v>BE</v>
      </c>
      <c r="E194" s="647" t="s">
        <v>40</v>
      </c>
      <c r="F194" s="636" t="s">
        <v>1345</v>
      </c>
      <c r="G194" s="637" t="s">
        <v>1345</v>
      </c>
      <c r="H194" s="995" t="s">
        <v>751</v>
      </c>
      <c r="I194" s="1048" t="s">
        <v>48</v>
      </c>
      <c r="J194" s="984" t="s">
        <v>751</v>
      </c>
      <c r="K194" s="1052"/>
      <c r="L194" s="1021"/>
      <c r="M194" s="1021"/>
      <c r="N194" s="1011"/>
      <c r="O194" s="1012"/>
      <c r="P194" s="1062"/>
      <c r="Q194" s="996" t="s">
        <v>751</v>
      </c>
      <c r="R194" s="1115" t="str">
        <f>IF(VLOOKUP(A194,'Eclusée - Schwall-Sunk'!$A$2:$F$273,5,FALSE)="","",VLOOKUP(A194,'Eclusée - Schwall-Sunk'!$A$2:$F$273,5,FALSE))</f>
        <v/>
      </c>
      <c r="S194" s="1126" t="str">
        <f>IF(VLOOKUP(A194,'Eclusée - Schwall-Sunk'!$A$2:$F$273,6,FALSE)="","",VLOOKUP(A194,'Eclusée - Schwall-Sunk'!$A$2:$F$273,6,FALSE))</f>
        <v>Non affecté / nicht betroffen</v>
      </c>
      <c r="T194" s="1123"/>
      <c r="U194" s="572"/>
      <c r="V194" s="572"/>
    </row>
    <row r="195" spans="1:23" ht="35.25" customHeight="1" x14ac:dyDescent="0.25">
      <c r="A195" s="1233">
        <v>317</v>
      </c>
      <c r="B195" s="1028" t="str">
        <f>IF(VLOOKUP(A195,'Données de base - Grunddaten'!$A$2:$M$273,3,FALSE)="","",VLOOKUP(A195,'Données de base - Grunddaten'!$A$2:$M$273,3,FALSE))</f>
        <v>Seligraben</v>
      </c>
      <c r="C195" s="1028" t="str">
        <f>IF(VLOOKUP(A195,'Données de base - Grunddaten'!$A$2:$M$273,4,FALSE)="","",VLOOKUP(A195,'Données de base - Grunddaten'!$A$2:$M$273,4,FALSE))</f>
        <v>Seligrabenbach</v>
      </c>
      <c r="D195" s="1028" t="str">
        <f>IF(VLOOKUP(A195,'Données de base - Grunddaten'!$A$2:$M$273,5,FALSE)="","",VLOOKUP(A195,'Données de base - Grunddaten'!$A$2:$M$273,5,FALSE))</f>
        <v>BE</v>
      </c>
      <c r="E195" s="647" t="s">
        <v>40</v>
      </c>
      <c r="F195" s="636" t="s">
        <v>1345</v>
      </c>
      <c r="G195" s="637" t="s">
        <v>1345</v>
      </c>
      <c r="H195" s="995" t="s">
        <v>751</v>
      </c>
      <c r="I195" s="1048" t="s">
        <v>48</v>
      </c>
      <c r="J195" s="984" t="s">
        <v>751</v>
      </c>
      <c r="K195" s="1052"/>
      <c r="L195" s="1021"/>
      <c r="M195" s="1021"/>
      <c r="N195" s="1011"/>
      <c r="O195" s="1012"/>
      <c r="P195" s="1062"/>
      <c r="Q195" s="996" t="s">
        <v>751</v>
      </c>
      <c r="R195" s="1115" t="str">
        <f>IF(VLOOKUP(A195,'Eclusée - Schwall-Sunk'!$A$2:$F$273,5,FALSE)="","",VLOOKUP(A195,'Eclusée - Schwall-Sunk'!$A$2:$F$273,5,FALSE))</f>
        <v/>
      </c>
      <c r="S195" s="1126" t="str">
        <f>IF(VLOOKUP(A195,'Eclusée - Schwall-Sunk'!$A$2:$F$273,6,FALSE)="","",VLOOKUP(A195,'Eclusée - Schwall-Sunk'!$A$2:$F$273,6,FALSE))</f>
        <v>Non affecté / nicht betroffen</v>
      </c>
      <c r="T195" s="1123"/>
      <c r="U195" s="572"/>
      <c r="V195" s="572"/>
    </row>
    <row r="196" spans="1:23" ht="35.25" customHeight="1" x14ac:dyDescent="0.25">
      <c r="A196" s="1233">
        <v>318</v>
      </c>
      <c r="B196" s="1028" t="str">
        <f>IF(VLOOKUP(A196,'Données de base - Grunddaten'!$A$2:$M$273,3,FALSE)="","",VLOOKUP(A196,'Données de base - Grunddaten'!$A$2:$M$273,3,FALSE))</f>
        <v>Eymatt</v>
      </c>
      <c r="C196" s="1028" t="str">
        <f>IF(VLOOKUP(A196,'Données de base - Grunddaten'!$A$2:$M$273,4,FALSE)="","",VLOOKUP(A196,'Données de base - Grunddaten'!$A$2:$M$273,4,FALSE))</f>
        <v>Gäbelbach</v>
      </c>
      <c r="D196" s="1028" t="str">
        <f>IF(VLOOKUP(A196,'Données de base - Grunddaten'!$A$2:$M$273,5,FALSE)="","",VLOOKUP(A196,'Données de base - Grunddaten'!$A$2:$M$273,5,FALSE))</f>
        <v>BE</v>
      </c>
      <c r="E196" s="647" t="s">
        <v>40</v>
      </c>
      <c r="F196" s="640" t="s">
        <v>1334</v>
      </c>
      <c r="G196" s="635"/>
      <c r="H196" s="995" t="s">
        <v>751</v>
      </c>
      <c r="I196" s="1048" t="s">
        <v>48</v>
      </c>
      <c r="J196" s="984" t="s">
        <v>751</v>
      </c>
      <c r="K196" s="1052"/>
      <c r="L196" s="1021"/>
      <c r="M196" s="1021"/>
      <c r="N196" s="1011"/>
      <c r="O196" s="1012"/>
      <c r="P196" s="1062"/>
      <c r="Q196" s="996" t="s">
        <v>751</v>
      </c>
      <c r="R196" s="1115" t="str">
        <f>IF(VLOOKUP(A196,'Eclusée - Schwall-Sunk'!$A$2:$F$273,5,FALSE)="","",VLOOKUP(A196,'Eclusée - Schwall-Sunk'!$A$2:$F$273,5,FALSE))</f>
        <v/>
      </c>
      <c r="S196" s="1126" t="str">
        <f>IF(VLOOKUP(A196,'Eclusée - Schwall-Sunk'!$A$2:$F$273,6,FALSE)="","",VLOOKUP(A196,'Eclusée - Schwall-Sunk'!$A$2:$F$273,6,FALSE))</f>
        <v>Non affecté / nicht betroffen</v>
      </c>
      <c r="T196" s="1123"/>
      <c r="U196" s="572"/>
      <c r="V196" s="572"/>
      <c r="W196" s="1074"/>
    </row>
    <row r="197" spans="1:23" ht="35.25" customHeight="1" x14ac:dyDescent="0.25">
      <c r="A197" s="928">
        <v>319</v>
      </c>
      <c r="B197" s="1028" t="str">
        <f>IF(VLOOKUP(A197,'Données de base - Grunddaten'!$A$2:$M$273,3,FALSE)="","",VLOOKUP(A197,'Données de base - Grunddaten'!$A$2:$M$273,3,FALSE))</f>
        <v>Emmeschlucht</v>
      </c>
      <c r="C197" s="1028" t="str">
        <f>IF(VLOOKUP(A197,'Données de base - Grunddaten'!$A$2:$M$273,4,FALSE)="","",VLOOKUP(A197,'Données de base - Grunddaten'!$A$2:$M$273,4,FALSE))</f>
        <v>Emme</v>
      </c>
      <c r="D197" s="1028" t="str">
        <f>IF(VLOOKUP(A197,'Données de base - Grunddaten'!$A$2:$M$273,5,FALSE)="","",VLOOKUP(A197,'Données de base - Grunddaten'!$A$2:$M$273,5,FALSE))</f>
        <v>BE</v>
      </c>
      <c r="E197" s="647" t="s">
        <v>746</v>
      </c>
      <c r="F197" s="636" t="s">
        <v>1345</v>
      </c>
      <c r="G197" s="642" t="s">
        <v>1362</v>
      </c>
      <c r="H197" s="995" t="s">
        <v>45</v>
      </c>
      <c r="I197" s="1048" t="s">
        <v>48</v>
      </c>
      <c r="J197" s="984" t="s">
        <v>45</v>
      </c>
      <c r="K197" s="1052"/>
      <c r="L197" s="1021"/>
      <c r="M197" s="1021"/>
      <c r="N197" s="1011"/>
      <c r="O197" s="1012"/>
      <c r="P197" s="1062"/>
      <c r="Q197" s="996" t="s">
        <v>45</v>
      </c>
      <c r="R197" s="1115" t="str">
        <f>IF(VLOOKUP(A197,'Eclusée - Schwall-Sunk'!$A$2:$F$273,5,FALSE)="","",VLOOKUP(A197,'Eclusée - Schwall-Sunk'!$A$2:$F$273,5,FALSE))</f>
        <v/>
      </c>
      <c r="S197" s="1126" t="str">
        <f>IF(VLOOKUP(A197,'Eclusée - Schwall-Sunk'!$A$2:$F$273,6,FALSE)="","",VLOOKUP(A197,'Eclusée - Schwall-Sunk'!$A$2:$F$273,6,FALSE))</f>
        <v>Non affecté / nicht betroffen</v>
      </c>
      <c r="T197" s="1123"/>
      <c r="U197" s="572"/>
      <c r="V197" s="572"/>
    </row>
    <row r="198" spans="1:23" ht="35.25" customHeight="1" x14ac:dyDescent="0.25">
      <c r="A198" s="1233">
        <v>320</v>
      </c>
      <c r="B198" s="1028" t="str">
        <f>IF(VLOOKUP(A198,'Données de base - Grunddaten'!$A$2:$M$273,3,FALSE)="","",VLOOKUP(A198,'Données de base - Grunddaten'!$A$2:$M$273,3,FALSE))</f>
        <v>Innereriz Zulg</v>
      </c>
      <c r="C198" s="1028" t="str">
        <f>IF(VLOOKUP(A198,'Données de base - Grunddaten'!$A$2:$M$273,4,FALSE)="","",VLOOKUP(A198,'Données de base - Grunddaten'!$A$2:$M$273,4,FALSE))</f>
        <v>Zulg</v>
      </c>
      <c r="D198" s="1028" t="str">
        <f>IF(VLOOKUP(A198,'Données de base - Grunddaten'!$A$2:$M$273,5,FALSE)="","",VLOOKUP(A198,'Données de base - Grunddaten'!$A$2:$M$273,5,FALSE))</f>
        <v>BE</v>
      </c>
      <c r="E198" s="647" t="s">
        <v>40</v>
      </c>
      <c r="F198" s="636" t="s">
        <v>1345</v>
      </c>
      <c r="G198" s="637" t="s">
        <v>1345</v>
      </c>
      <c r="H198" s="995" t="s">
        <v>751</v>
      </c>
      <c r="I198" s="1048" t="s">
        <v>48</v>
      </c>
      <c r="J198" s="984" t="s">
        <v>751</v>
      </c>
      <c r="K198" s="1052"/>
      <c r="L198" s="1021"/>
      <c r="M198" s="1021"/>
      <c r="N198" s="1011"/>
      <c r="O198" s="1012"/>
      <c r="P198" s="1062"/>
      <c r="Q198" s="996" t="s">
        <v>751</v>
      </c>
      <c r="R198" s="1115" t="str">
        <f>IF(VLOOKUP(A198,'Eclusée - Schwall-Sunk'!$A$2:$F$273,5,FALSE)="","",VLOOKUP(A198,'Eclusée - Schwall-Sunk'!$A$2:$F$273,5,FALSE))</f>
        <v/>
      </c>
      <c r="S198" s="1126" t="str">
        <f>IF(VLOOKUP(A198,'Eclusée - Schwall-Sunk'!$A$2:$F$273,6,FALSE)="","",VLOOKUP(A198,'Eclusée - Schwall-Sunk'!$A$2:$F$273,6,FALSE))</f>
        <v>Non affecté / nicht betroffen</v>
      </c>
      <c r="T198" s="1123"/>
      <c r="U198" s="572"/>
      <c r="V198" s="572"/>
    </row>
    <row r="199" spans="1:23" ht="35.25" customHeight="1" x14ac:dyDescent="0.25">
      <c r="A199" s="928">
        <v>321</v>
      </c>
      <c r="B199" s="1028" t="str">
        <f>IF(VLOOKUP(A199,'Données de base - Grunddaten'!$A$2:$M$273,3,FALSE)="","",VLOOKUP(A199,'Données de base - Grunddaten'!$A$2:$M$273,3,FALSE))</f>
        <v>Harzisboden</v>
      </c>
      <c r="C199" s="1028" t="str">
        <f>IF(VLOOKUP(A199,'Données de base - Grunddaten'!$A$2:$M$273,4,FALSE)="","",VLOOKUP(A199,'Données de base - Grunddaten'!$A$2:$M$273,4,FALSE))</f>
        <v>Emme</v>
      </c>
      <c r="D199" s="1028" t="str">
        <f>IF(VLOOKUP(A199,'Données de base - Grunddaten'!$A$2:$M$273,5,FALSE)="","",VLOOKUP(A199,'Données de base - Grunddaten'!$A$2:$M$273,5,FALSE))</f>
        <v>BE</v>
      </c>
      <c r="E199" s="647" t="s">
        <v>746</v>
      </c>
      <c r="F199" s="636" t="s">
        <v>1345</v>
      </c>
      <c r="G199" s="637" t="s">
        <v>1345</v>
      </c>
      <c r="H199" s="995" t="s">
        <v>746</v>
      </c>
      <c r="I199" s="1048" t="s">
        <v>48</v>
      </c>
      <c r="J199" s="984" t="s">
        <v>746</v>
      </c>
      <c r="K199" s="1052"/>
      <c r="L199" s="1021"/>
      <c r="M199" s="1021"/>
      <c r="N199" s="1011"/>
      <c r="O199" s="1012"/>
      <c r="P199" s="1062"/>
      <c r="Q199" s="996" t="s">
        <v>746</v>
      </c>
      <c r="R199" s="1115" t="str">
        <f>IF(VLOOKUP(A199,'Eclusée - Schwall-Sunk'!$A$2:$F$273,5,FALSE)="","",VLOOKUP(A199,'Eclusée - Schwall-Sunk'!$A$2:$F$273,5,FALSE))</f>
        <v/>
      </c>
      <c r="S199" s="1126" t="str">
        <f>IF(VLOOKUP(A199,'Eclusée - Schwall-Sunk'!$A$2:$F$273,6,FALSE)="","",VLOOKUP(A199,'Eclusée - Schwall-Sunk'!$A$2:$F$273,6,FALSE))</f>
        <v>Non affecté / nicht betroffen</v>
      </c>
      <c r="T199" s="1123"/>
      <c r="U199" s="572"/>
      <c r="V199" s="572"/>
    </row>
    <row r="200" spans="1:23" ht="35.25" customHeight="1" x14ac:dyDescent="0.25">
      <c r="A200" s="928">
        <v>322</v>
      </c>
      <c r="B200" s="1028" t="str">
        <f>IF(VLOOKUP(A200,'Données de base - Grunddaten'!$A$2:$M$273,3,FALSE)="","",VLOOKUP(A200,'Données de base - Grunddaten'!$A$2:$M$273,3,FALSE))</f>
        <v>Rezliberg</v>
      </c>
      <c r="C200" s="1028" t="str">
        <f>IF(VLOOKUP(A200,'Données de base - Grunddaten'!$A$2:$M$273,4,FALSE)="","",VLOOKUP(A200,'Données de base - Grunddaten'!$A$2:$M$273,4,FALSE))</f>
        <v>Trüebbach</v>
      </c>
      <c r="D200" s="1028" t="str">
        <f>IF(VLOOKUP(A200,'Données de base - Grunddaten'!$A$2:$M$273,5,FALSE)="","",VLOOKUP(A200,'Données de base - Grunddaten'!$A$2:$M$273,5,FALSE))</f>
        <v>BE</v>
      </c>
      <c r="E200" s="647" t="s">
        <v>746</v>
      </c>
      <c r="F200" s="636" t="s">
        <v>1345</v>
      </c>
      <c r="G200" s="637" t="s">
        <v>1345</v>
      </c>
      <c r="H200" s="995" t="s">
        <v>746</v>
      </c>
      <c r="I200" s="1048" t="s">
        <v>48</v>
      </c>
      <c r="J200" s="984" t="s">
        <v>746</v>
      </c>
      <c r="K200" s="1052"/>
      <c r="L200" s="1021"/>
      <c r="M200" s="1021"/>
      <c r="N200" s="1011"/>
      <c r="O200" s="1012"/>
      <c r="P200" s="1062"/>
      <c r="Q200" s="996" t="s">
        <v>746</v>
      </c>
      <c r="R200" s="1115" t="str">
        <f>IF(VLOOKUP(A200,'Eclusée - Schwall-Sunk'!$A$2:$F$273,5,FALSE)="","",VLOOKUP(A200,'Eclusée - Schwall-Sunk'!$A$2:$F$273,5,FALSE))</f>
        <v/>
      </c>
      <c r="S200" s="1126" t="str">
        <f>IF(VLOOKUP(A200,'Eclusée - Schwall-Sunk'!$A$2:$F$273,6,FALSE)="","",VLOOKUP(A200,'Eclusée - Schwall-Sunk'!$A$2:$F$273,6,FALSE))</f>
        <v>Non affecté / nicht betroffen</v>
      </c>
      <c r="T200" s="1123"/>
      <c r="U200" s="572"/>
      <c r="V200" s="572"/>
    </row>
    <row r="201" spans="1:23" ht="35.25" customHeight="1" x14ac:dyDescent="0.25">
      <c r="A201" s="928">
        <v>323</v>
      </c>
      <c r="B201" s="1028" t="str">
        <f>IF(VLOOKUP(A201,'Données de base - Grunddaten'!$A$2:$M$273,3,FALSE)="","",VLOOKUP(A201,'Données de base - Grunddaten'!$A$2:$M$273,3,FALSE))</f>
        <v>Hornbrügg</v>
      </c>
      <c r="C201" s="1028" t="str">
        <f>IF(VLOOKUP(A201,'Données de base - Grunddaten'!$A$2:$M$273,4,FALSE)="","",VLOOKUP(A201,'Données de base - Grunddaten'!$A$2:$M$273,4,FALSE))</f>
        <v>Allebach, Rossbach</v>
      </c>
      <c r="D201" s="1028" t="str">
        <f>IF(VLOOKUP(A201,'Données de base - Grunddaten'!$A$2:$M$273,5,FALSE)="","",VLOOKUP(A201,'Données de base - Grunddaten'!$A$2:$M$273,5,FALSE))</f>
        <v>BE</v>
      </c>
      <c r="E201" s="647" t="s">
        <v>746</v>
      </c>
      <c r="F201" s="636" t="s">
        <v>1345</v>
      </c>
      <c r="G201" s="637" t="s">
        <v>1345</v>
      </c>
      <c r="H201" s="996" t="s">
        <v>746</v>
      </c>
      <c r="I201" s="1048" t="s">
        <v>48</v>
      </c>
      <c r="J201" s="984" t="s">
        <v>746</v>
      </c>
      <c r="K201" s="1052"/>
      <c r="L201" s="1021"/>
      <c r="M201" s="1021"/>
      <c r="N201" s="1011"/>
      <c r="O201" s="1012"/>
      <c r="P201" s="1062"/>
      <c r="Q201" s="996" t="s">
        <v>746</v>
      </c>
      <c r="R201" s="1115" t="str">
        <f>IF(VLOOKUP(A201,'Eclusée - Schwall-Sunk'!$A$2:$F$273,5,FALSE)="","",VLOOKUP(A201,'Eclusée - Schwall-Sunk'!$A$2:$F$273,5,FALSE))</f>
        <v/>
      </c>
      <c r="S201" s="1126" t="str">
        <f>IF(VLOOKUP(A201,'Eclusée - Schwall-Sunk'!$A$2:$F$273,6,FALSE)="","",VLOOKUP(A201,'Eclusée - Schwall-Sunk'!$A$2:$F$273,6,FALSE))</f>
        <v>Non affecté / nicht betroffen</v>
      </c>
      <c r="T201" s="1123"/>
      <c r="U201" s="572"/>
      <c r="V201" s="572"/>
    </row>
    <row r="202" spans="1:23" ht="35.25" customHeight="1" x14ac:dyDescent="0.25">
      <c r="A202" s="928">
        <v>324</v>
      </c>
      <c r="B202" s="1028" t="str">
        <f>IF(VLOOKUP(A202,'Données de base - Grunddaten'!$A$2:$M$273,3,FALSE)="","",VLOOKUP(A202,'Données de base - Grunddaten'!$A$2:$M$273,3,FALSE))</f>
        <v>Lochweid</v>
      </c>
      <c r="C202" s="1028" t="str">
        <f>IF(VLOOKUP(A202,'Données de base - Grunddaten'!$A$2:$M$273,4,FALSE)="","",VLOOKUP(A202,'Données de base - Grunddaten'!$A$2:$M$273,4,FALSE))</f>
        <v>Tschentbach</v>
      </c>
      <c r="D202" s="1028" t="str">
        <f>IF(VLOOKUP(A202,'Données de base - Grunddaten'!$A$2:$M$273,5,FALSE)="","",VLOOKUP(A202,'Données de base - Grunddaten'!$A$2:$M$273,5,FALSE))</f>
        <v>BE</v>
      </c>
      <c r="E202" s="647" t="s">
        <v>746</v>
      </c>
      <c r="F202" s="636" t="s">
        <v>1345</v>
      </c>
      <c r="G202" s="637" t="s">
        <v>1345</v>
      </c>
      <c r="H202" s="995" t="s">
        <v>746</v>
      </c>
      <c r="I202" s="1048" t="s">
        <v>48</v>
      </c>
      <c r="J202" s="984" t="s">
        <v>746</v>
      </c>
      <c r="K202" s="1052"/>
      <c r="L202" s="1021"/>
      <c r="M202" s="1021"/>
      <c r="N202" s="1011"/>
      <c r="O202" s="1012"/>
      <c r="P202" s="1062"/>
      <c r="Q202" s="996" t="s">
        <v>746</v>
      </c>
      <c r="R202" s="1115" t="str">
        <f>IF(VLOOKUP(A202,'Eclusée - Schwall-Sunk'!$A$2:$F$273,5,FALSE)="","",VLOOKUP(A202,'Eclusée - Schwall-Sunk'!$A$2:$F$273,5,FALSE))</f>
        <v/>
      </c>
      <c r="S202" s="1126" t="str">
        <f>IF(VLOOKUP(A202,'Eclusée - Schwall-Sunk'!$A$2:$F$273,6,FALSE)="","",VLOOKUP(A202,'Eclusée - Schwall-Sunk'!$A$2:$F$273,6,FALSE))</f>
        <v>Non affecté / nicht betroffen</v>
      </c>
      <c r="T202" s="1123"/>
      <c r="U202" s="572"/>
      <c r="V202" s="572"/>
    </row>
    <row r="203" spans="1:23" ht="35.25" customHeight="1" x14ac:dyDescent="0.25">
      <c r="A203" s="928">
        <v>325</v>
      </c>
      <c r="B203" s="1028" t="str">
        <f>IF(VLOOKUP(A203,'Données de base - Grunddaten'!$A$2:$M$273,3,FALSE)="","",VLOOKUP(A203,'Données de base - Grunddaten'!$A$2:$M$273,3,FALSE))</f>
        <v>Gastere bei Selden</v>
      </c>
      <c r="C203" s="1028" t="str">
        <f>IF(VLOOKUP(A203,'Données de base - Grunddaten'!$A$2:$M$273,4,FALSE)="","",VLOOKUP(A203,'Données de base - Grunddaten'!$A$2:$M$273,4,FALSE))</f>
        <v>Kander</v>
      </c>
      <c r="D203" s="1028" t="str">
        <f>IF(VLOOKUP(A203,'Données de base - Grunddaten'!$A$2:$M$273,5,FALSE)="","",VLOOKUP(A203,'Données de base - Grunddaten'!$A$2:$M$273,5,FALSE))</f>
        <v>BE</v>
      </c>
      <c r="E203" s="647" t="s">
        <v>746</v>
      </c>
      <c r="F203" s="636" t="s">
        <v>1345</v>
      </c>
      <c r="G203" s="641" t="s">
        <v>1363</v>
      </c>
      <c r="H203" s="995" t="s">
        <v>45</v>
      </c>
      <c r="I203" s="1048" t="s">
        <v>48</v>
      </c>
      <c r="J203" s="984" t="s">
        <v>45</v>
      </c>
      <c r="K203" s="1052"/>
      <c r="L203" s="1021"/>
      <c r="M203" s="1021"/>
      <c r="N203" s="1011"/>
      <c r="O203" s="1012"/>
      <c r="P203" s="1062"/>
      <c r="Q203" s="996" t="s">
        <v>45</v>
      </c>
      <c r="R203" s="1115" t="str">
        <f>IF(VLOOKUP(A203,'Eclusée - Schwall-Sunk'!$A$2:$F$273,5,FALSE)="","",VLOOKUP(A203,'Eclusée - Schwall-Sunk'!$A$2:$F$273,5,FALSE))</f>
        <v>autre prélèvement</v>
      </c>
      <c r="S203" s="1126" t="str">
        <f>IF(VLOOKUP(A203,'Eclusée - Schwall-Sunk'!$A$2:$F$273,6,FALSE)="","",VLOOKUP(A203,'Eclusée - Schwall-Sunk'!$A$2:$F$273,6,FALSE))</f>
        <v>Non affecté / nicht betroffen</v>
      </c>
      <c r="T203" s="1123"/>
      <c r="U203" s="572"/>
      <c r="V203" s="572"/>
    </row>
    <row r="204" spans="1:23" ht="45.6" customHeight="1" x14ac:dyDescent="0.25">
      <c r="A204" s="927">
        <v>326.10000000000002</v>
      </c>
      <c r="B204" s="1028" t="str">
        <f>IF(VLOOKUP(A204,'Données de base - Grunddaten'!$A$2:$M$273,3,FALSE)="","",VLOOKUP(A204,'Données de base - Grunddaten'!$A$2:$M$273,3,FALSE))</f>
        <v>Tschingel</v>
      </c>
      <c r="C204" s="1028" t="str">
        <f>IF(VLOOKUP(A204,'Données de base - Grunddaten'!$A$2:$M$273,4,FALSE)="","",VLOOKUP(A204,'Données de base - Grunddaten'!$A$2:$M$273,4,FALSE))</f>
        <v>Gamchibach, Gornerewasser, Tschingelsee</v>
      </c>
      <c r="D204" s="1028" t="str">
        <f>IF(VLOOKUP(A204,'Données de base - Grunddaten'!$A$2:$M$273,5,FALSE)="","",VLOOKUP(A204,'Données de base - Grunddaten'!$A$2:$M$273,5,FALSE))</f>
        <v>BE</v>
      </c>
      <c r="E204" s="647" t="s">
        <v>746</v>
      </c>
      <c r="F204" s="636" t="s">
        <v>1345</v>
      </c>
      <c r="G204" s="643"/>
      <c r="H204" s="995" t="s">
        <v>746</v>
      </c>
      <c r="I204" s="1048" t="s">
        <v>48</v>
      </c>
      <c r="J204" s="984" t="s">
        <v>746</v>
      </c>
      <c r="K204" s="1052"/>
      <c r="L204" s="1021"/>
      <c r="M204" s="1021"/>
      <c r="N204" s="1011"/>
      <c r="O204" s="1012"/>
      <c r="P204" s="1062"/>
      <c r="Q204" s="996" t="s">
        <v>746</v>
      </c>
      <c r="R204" s="1115" t="str">
        <f>IF(VLOOKUP(A204,'Eclusée - Schwall-Sunk'!$A$2:$F$273,5,FALSE)="","",VLOOKUP(A204,'Eclusée - Schwall-Sunk'!$A$2:$F$273,5,FALSE))</f>
        <v/>
      </c>
      <c r="S204" s="1126" t="str">
        <f>IF(VLOOKUP(A204,'Eclusée - Schwall-Sunk'!$A$2:$F$273,6,FALSE)="","",VLOOKUP(A204,'Eclusée - Schwall-Sunk'!$A$2:$F$273,6,FALSE))</f>
        <v>Non affecté / nicht betroffen</v>
      </c>
      <c r="T204" s="1123"/>
      <c r="U204" s="572"/>
      <c r="V204" s="572"/>
    </row>
    <row r="205" spans="1:23" ht="35.25" customHeight="1" x14ac:dyDescent="0.25">
      <c r="A205" s="927">
        <v>326.2</v>
      </c>
      <c r="B205" s="1008" t="str">
        <f>IF(VLOOKUP(A205,'Données de base - Grunddaten'!$A$2:$M$273,3,FALSE)="","",VLOOKUP(A205,'Données de base - Grunddaten'!$A$2:$M$273,3,FALSE))</f>
        <v>Tschingel</v>
      </c>
      <c r="C205" s="1008" t="str">
        <f>IF(VLOOKUP(A205,'Données de base - Grunddaten'!$A$2:$M$273,4,FALSE)="","",VLOOKUP(A205,'Données de base - Grunddaten'!$A$2:$M$273,4,FALSE))</f>
        <v>Gamchibach, Gornerewasser, Tschingelsee</v>
      </c>
      <c r="D205" s="1008" t="str">
        <f>IF(VLOOKUP(A205,'Données de base - Grunddaten'!$A$2:$M$273,5,FALSE)="","",VLOOKUP(A205,'Données de base - Grunddaten'!$A$2:$M$273,5,FALSE))</f>
        <v>BE</v>
      </c>
      <c r="E205" s="1013" t="s">
        <v>746</v>
      </c>
      <c r="F205" s="331" t="s">
        <v>1345</v>
      </c>
      <c r="G205" s="332" t="s">
        <v>1345</v>
      </c>
      <c r="H205" s="994" t="s">
        <v>746</v>
      </c>
      <c r="I205" s="1047" t="s">
        <v>48</v>
      </c>
      <c r="J205" s="981" t="s">
        <v>746</v>
      </c>
      <c r="K205" s="1050"/>
      <c r="L205" s="1010"/>
      <c r="M205" s="1010"/>
      <c r="N205" s="1011"/>
      <c r="O205" s="1012"/>
      <c r="P205" s="1058"/>
      <c r="Q205" s="1093" t="s">
        <v>746</v>
      </c>
      <c r="R205" s="1115" t="str">
        <f>IF(VLOOKUP(A205,'Eclusée - Schwall-Sunk'!$A$2:$F$273,5,FALSE)="","",VLOOKUP(A205,'Eclusée - Schwall-Sunk'!$A$2:$F$273,5,FALSE))</f>
        <v/>
      </c>
      <c r="S205" s="1126" t="str">
        <f>IF(VLOOKUP(A205,'Eclusée - Schwall-Sunk'!$A$2:$F$273,6,FALSE)="","",VLOOKUP(A205,'Eclusée - Schwall-Sunk'!$A$2:$F$273,6,FALSE))</f>
        <v>Non affecté / nicht betroffen</v>
      </c>
      <c r="T205" s="1123"/>
      <c r="U205" s="572"/>
      <c r="V205" s="572"/>
    </row>
    <row r="206" spans="1:23" ht="35.25" customHeight="1" x14ac:dyDescent="0.25">
      <c r="A206" s="928">
        <v>327</v>
      </c>
      <c r="B206" s="1008" t="str">
        <f>IF(VLOOKUP(A206,'Données de base - Grunddaten'!$A$2:$M$273,3,FALSE)="","",VLOOKUP(A206,'Données de base - Grunddaten'!$A$2:$M$273,3,FALSE))</f>
        <v>Ganzenlouwina</v>
      </c>
      <c r="C206" s="1008" t="str">
        <f>IF(VLOOKUP(A206,'Données de base - Grunddaten'!$A$2:$M$273,4,FALSE)="","",VLOOKUP(A206,'Données de base - Grunddaten'!$A$2:$M$273,4,FALSE))</f>
        <v>Rychenbach</v>
      </c>
      <c r="D206" s="1008" t="str">
        <f>IF(VLOOKUP(A206,'Données de base - Grunddaten'!$A$2:$M$273,5,FALSE)="","",VLOOKUP(A206,'Données de base - Grunddaten'!$A$2:$M$273,5,FALSE))</f>
        <v>BE</v>
      </c>
      <c r="E206" s="1013" t="s">
        <v>746</v>
      </c>
      <c r="F206" s="331" t="s">
        <v>1345</v>
      </c>
      <c r="G206" s="332" t="s">
        <v>1345</v>
      </c>
      <c r="H206" s="994" t="s">
        <v>746</v>
      </c>
      <c r="I206" s="1047" t="s">
        <v>48</v>
      </c>
      <c r="J206" s="981" t="s">
        <v>746</v>
      </c>
      <c r="K206" s="1050"/>
      <c r="L206" s="1010"/>
      <c r="M206" s="1010"/>
      <c r="N206" s="1011"/>
      <c r="O206" s="1012"/>
      <c r="P206" s="1058"/>
      <c r="Q206" s="1093" t="s">
        <v>746</v>
      </c>
      <c r="R206" s="1115" t="str">
        <f>IF(VLOOKUP(A206,'Eclusée - Schwall-Sunk'!$A$2:$F$273,5,FALSE)="","",VLOOKUP(A206,'Eclusée - Schwall-Sunk'!$A$2:$F$273,5,FALSE))</f>
        <v/>
      </c>
      <c r="S206" s="1126" t="str">
        <f>IF(VLOOKUP(A206,'Eclusée - Schwall-Sunk'!$A$2:$F$273,6,FALSE)="","",VLOOKUP(A206,'Eclusée - Schwall-Sunk'!$A$2:$F$273,6,FALSE))</f>
        <v>Non affecté / nicht betroffen</v>
      </c>
      <c r="T206" s="1123"/>
      <c r="U206" s="572"/>
      <c r="V206" s="572"/>
    </row>
    <row r="207" spans="1:23" ht="35.25" customHeight="1" x14ac:dyDescent="0.25">
      <c r="A207" s="1233">
        <v>328</v>
      </c>
      <c r="B207" s="1008" t="str">
        <f>IF(VLOOKUP(A207,'Données de base - Grunddaten'!$A$2:$M$273,3,FALSE)="","",VLOOKUP(A207,'Données de base - Grunddaten'!$A$2:$M$273,3,FALSE))</f>
        <v>Engstlenalp</v>
      </c>
      <c r="C207" s="1008" t="str">
        <f>IF(VLOOKUP(A207,'Données de base - Grunddaten'!$A$2:$M$273,4,FALSE)="","",VLOOKUP(A207,'Données de base - Grunddaten'!$A$2:$M$273,4,FALSE))</f>
        <v>Gentalwasser, Engstlensee</v>
      </c>
      <c r="D207" s="1008" t="str">
        <f>IF(VLOOKUP(A207,'Données de base - Grunddaten'!$A$2:$M$273,5,FALSE)="","",VLOOKUP(A207,'Données de base - Grunddaten'!$A$2:$M$273,5,FALSE))</f>
        <v>BE</v>
      </c>
      <c r="E207" s="1013" t="s">
        <v>40</v>
      </c>
      <c r="F207" s="331" t="s">
        <v>1345</v>
      </c>
      <c r="G207" s="332" t="s">
        <v>1345</v>
      </c>
      <c r="H207" s="994" t="s">
        <v>751</v>
      </c>
      <c r="I207" s="1047" t="s">
        <v>48</v>
      </c>
      <c r="J207" s="981" t="s">
        <v>751</v>
      </c>
      <c r="K207" s="1050"/>
      <c r="L207" s="1010"/>
      <c r="M207" s="1010"/>
      <c r="N207" s="1011"/>
      <c r="O207" s="1012"/>
      <c r="P207" s="1058"/>
      <c r="Q207" s="1093" t="s">
        <v>751</v>
      </c>
      <c r="R207" s="1115" t="str">
        <f>IF(VLOOKUP(A207,'Eclusée - Schwall-Sunk'!$A$2:$F$273,5,FALSE)="","",VLOOKUP(A207,'Eclusée - Schwall-Sunk'!$A$2:$F$273,5,FALSE))</f>
        <v/>
      </c>
      <c r="S207" s="1126" t="str">
        <f>IF(VLOOKUP(A207,'Eclusée - Schwall-Sunk'!$A$2:$F$273,6,FALSE)="","",VLOOKUP(A207,'Eclusée - Schwall-Sunk'!$A$2:$F$273,6,FALSE))</f>
        <v>Non affecté / nicht betroffen</v>
      </c>
      <c r="T207" s="1123"/>
      <c r="U207" s="572"/>
      <c r="V207" s="572"/>
    </row>
    <row r="208" spans="1:23" ht="35.25" customHeight="1" x14ac:dyDescent="0.25">
      <c r="A208" s="929">
        <v>329</v>
      </c>
      <c r="B208" s="1008" t="str">
        <f>IF(VLOOKUP(A208,'Données de base - Grunddaten'!$A$2:$M$273,3,FALSE)="","",VLOOKUP(A208,'Données de base - Grunddaten'!$A$2:$M$273,3,FALSE))</f>
        <v>Godey-Derborence</v>
      </c>
      <c r="C208" s="1008" t="str">
        <f>IF(VLOOKUP(A208,'Données de base - Grunddaten'!$A$2:$M$273,4,FALSE)="","",VLOOKUP(A208,'Données de base - Grunddaten'!$A$2:$M$273,4,FALSE))</f>
        <v>La Lizerne</v>
      </c>
      <c r="D208" s="1008" t="str">
        <f>IF(VLOOKUP(A208,'Données de base - Grunddaten'!$A$2:$M$273,5,FALSE)="","",VLOOKUP(A208,'Données de base - Grunddaten'!$A$2:$M$273,5,FALSE))</f>
        <v>VS</v>
      </c>
      <c r="E208" s="1013" t="s">
        <v>40</v>
      </c>
      <c r="F208" s="331" t="s">
        <v>1345</v>
      </c>
      <c r="G208" s="332" t="s">
        <v>1345</v>
      </c>
      <c r="H208" s="994" t="s">
        <v>751</v>
      </c>
      <c r="I208" s="1004" t="s">
        <v>1376</v>
      </c>
      <c r="J208" s="988" t="s">
        <v>751</v>
      </c>
      <c r="K208" s="1053" t="s">
        <v>126</v>
      </c>
      <c r="L208" s="1033"/>
      <c r="M208" s="1033"/>
      <c r="N208" s="1017" t="s">
        <v>1503</v>
      </c>
      <c r="O208" s="1018" t="s">
        <v>1504</v>
      </c>
      <c r="P208" s="1066"/>
      <c r="Q208" s="994" t="s">
        <v>751</v>
      </c>
      <c r="R208" s="1115" t="str">
        <f>IF(VLOOKUP(A208,'Eclusée - Schwall-Sunk'!$A$2:$F$273,5,FALSE)="","",VLOOKUP(A208,'Eclusée - Schwall-Sunk'!$A$2:$F$273,5,FALSE))</f>
        <v/>
      </c>
      <c r="S208" s="1126" t="str">
        <f>IF(VLOOKUP(A208,'Eclusée - Schwall-Sunk'!$A$2:$F$273,6,FALSE)="","",VLOOKUP(A208,'Eclusée - Schwall-Sunk'!$A$2:$F$273,6,FALSE))</f>
        <v>Non affecté / nicht betroffen</v>
      </c>
      <c r="T208" s="1123"/>
      <c r="U208" s="572"/>
      <c r="V208" s="572"/>
    </row>
    <row r="209" spans="1:22" ht="35.25" customHeight="1" x14ac:dyDescent="0.25">
      <c r="A209" s="1233">
        <v>330</v>
      </c>
      <c r="B209" s="1008" t="str">
        <f>IF(VLOOKUP(A209,'Données de base - Grunddaten'!$A$2:$M$273,3,FALSE)="","",VLOOKUP(A209,'Données de base - Grunddaten'!$A$2:$M$273,3,FALSE))</f>
        <v>Jegisand</v>
      </c>
      <c r="C209" s="1008" t="str">
        <f>IF(VLOOKUP(A209,'Données de base - Grunddaten'!$A$2:$M$273,4,FALSE)="","",VLOOKUP(A209,'Données de base - Grunddaten'!$A$2:$M$273,4,FALSE))</f>
        <v>Bietschbach</v>
      </c>
      <c r="D209" s="1008" t="str">
        <f>IF(VLOOKUP(A209,'Données de base - Grunddaten'!$A$2:$M$273,5,FALSE)="","",VLOOKUP(A209,'Données de base - Grunddaten'!$A$2:$M$273,5,FALSE))</f>
        <v>VS</v>
      </c>
      <c r="E209" s="1013" t="s">
        <v>40</v>
      </c>
      <c r="F209" s="331" t="s">
        <v>1345</v>
      </c>
      <c r="G209" s="332" t="s">
        <v>1345</v>
      </c>
      <c r="H209" s="994" t="s">
        <v>751</v>
      </c>
      <c r="I209" s="1047" t="s">
        <v>48</v>
      </c>
      <c r="J209" s="988" t="s">
        <v>751</v>
      </c>
      <c r="K209" s="1050"/>
      <c r="L209" s="1034"/>
      <c r="M209" s="1034"/>
      <c r="N209" s="1011"/>
      <c r="O209" s="1012"/>
      <c r="P209" s="1067"/>
      <c r="Q209" s="994" t="s">
        <v>751</v>
      </c>
      <c r="R209" s="1115" t="str">
        <f>IF(VLOOKUP(A209,'Eclusée - Schwall-Sunk'!$A$2:$F$273,5,FALSE)="","",VLOOKUP(A209,'Eclusée - Schwall-Sunk'!$A$2:$F$273,5,FALSE))</f>
        <v/>
      </c>
      <c r="S209" s="1126" t="str">
        <f>IF(VLOOKUP(A209,'Eclusée - Schwall-Sunk'!$A$2:$F$273,6,FALSE)="","",VLOOKUP(A209,'Eclusée - Schwall-Sunk'!$A$2:$F$273,6,FALSE))</f>
        <v>Non affecté / nicht betroffen</v>
      </c>
      <c r="T209" s="1123"/>
      <c r="U209" s="572"/>
      <c r="V209" s="572"/>
    </row>
    <row r="210" spans="1:22" ht="35.25" customHeight="1" x14ac:dyDescent="0.25">
      <c r="A210" s="1233">
        <v>331</v>
      </c>
      <c r="B210" s="1008" t="str">
        <f>IF(VLOOKUP(A210,'Données de base - Grunddaten'!$A$2:$M$273,3,FALSE)="","",VLOOKUP(A210,'Données de base - Grunddaten'!$A$2:$M$273,3,FALSE))</f>
        <v>Schweif</v>
      </c>
      <c r="C210" s="1008" t="str">
        <f>IF(VLOOKUP(A210,'Données de base - Grunddaten'!$A$2:$M$273,4,FALSE)="","",VLOOKUP(A210,'Données de base - Grunddaten'!$A$2:$M$273,4,FALSE))</f>
        <v>Gerewasser</v>
      </c>
      <c r="D210" s="1008" t="str">
        <f>IF(VLOOKUP(A210,'Données de base - Grunddaten'!$A$2:$M$273,5,FALSE)="","",VLOOKUP(A210,'Données de base - Grunddaten'!$A$2:$M$273,5,FALSE))</f>
        <v>VS</v>
      </c>
      <c r="E210" s="1013" t="s">
        <v>40</v>
      </c>
      <c r="F210" s="331" t="s">
        <v>1345</v>
      </c>
      <c r="G210" s="332" t="s">
        <v>1345</v>
      </c>
      <c r="H210" s="994" t="s">
        <v>751</v>
      </c>
      <c r="I210" s="1047" t="s">
        <v>48</v>
      </c>
      <c r="J210" s="982" t="s">
        <v>751</v>
      </c>
      <c r="K210" s="1054"/>
      <c r="L210" s="1034"/>
      <c r="M210" s="1034"/>
      <c r="N210" s="1011"/>
      <c r="O210" s="1012"/>
      <c r="P210" s="1067"/>
      <c r="Q210" s="1094" t="s">
        <v>751</v>
      </c>
      <c r="R210" s="1115" t="str">
        <f>IF(VLOOKUP(A210,'Eclusée - Schwall-Sunk'!$A$2:$F$273,5,FALSE)="","",VLOOKUP(A210,'Eclusée - Schwall-Sunk'!$A$2:$F$273,5,FALSE))</f>
        <v/>
      </c>
      <c r="S210" s="1126" t="str">
        <f>IF(VLOOKUP(A210,'Eclusée - Schwall-Sunk'!$A$2:$F$273,6,FALSE)="","",VLOOKUP(A210,'Eclusée - Schwall-Sunk'!$A$2:$F$273,6,FALSE))</f>
        <v>Non affecté / nicht betroffen</v>
      </c>
      <c r="T210" s="1123"/>
      <c r="U210" s="572"/>
      <c r="V210" s="572"/>
    </row>
    <row r="211" spans="1:22" ht="35.25" customHeight="1" x14ac:dyDescent="0.25">
      <c r="A211" s="1233">
        <v>332</v>
      </c>
      <c r="B211" s="1008" t="str">
        <f>IF(VLOOKUP(A211,'Données de base - Grunddaten'!$A$2:$M$273,3,FALSE)="","",VLOOKUP(A211,'Données de base - Grunddaten'!$A$2:$M$273,3,FALSE))</f>
        <v>Prayon</v>
      </c>
      <c r="C211" s="1008" t="str">
        <f>IF(VLOOKUP(A211,'Données de base - Grunddaten'!$A$2:$M$273,4,FALSE)="","",VLOOKUP(A211,'Données de base - Grunddaten'!$A$2:$M$273,4,FALSE))</f>
        <v>La Dranse de Ferret</v>
      </c>
      <c r="D211" s="1008" t="str">
        <f>IF(VLOOKUP(A211,'Données de base - Grunddaten'!$A$2:$M$273,5,FALSE)="","",VLOOKUP(A211,'Données de base - Grunddaten'!$A$2:$M$273,5,FALSE))</f>
        <v>VS</v>
      </c>
      <c r="E211" s="1013" t="s">
        <v>88</v>
      </c>
      <c r="F211" s="328"/>
      <c r="G211" s="329"/>
      <c r="H211" s="994" t="s">
        <v>88</v>
      </c>
      <c r="I211" s="1004" t="s">
        <v>1337</v>
      </c>
      <c r="J211" s="982" t="s">
        <v>88</v>
      </c>
      <c r="K211" s="1054"/>
      <c r="L211" s="1034"/>
      <c r="M211" s="1034"/>
      <c r="N211" s="1017" t="s">
        <v>1505</v>
      </c>
      <c r="O211" s="1018" t="s">
        <v>1506</v>
      </c>
      <c r="P211" s="1066"/>
      <c r="Q211" s="1094" t="s">
        <v>88</v>
      </c>
      <c r="R211" s="1115" t="str">
        <f>IF(VLOOKUP(A211,'Eclusée - Schwall-Sunk'!$A$2:$F$273,5,FALSE)="","",VLOOKUP(A211,'Eclusée - Schwall-Sunk'!$A$2:$F$273,5,FALSE))</f>
        <v>force hydraulique</v>
      </c>
      <c r="S211" s="1126" t="str">
        <f>IF(VLOOKUP(A211,'Eclusée - Schwall-Sunk'!$A$2:$F$273,6,FALSE)="","",VLOOKUP(A211,'Eclusée - Schwall-Sunk'!$A$2:$F$273,6,FALSE))</f>
        <v>Non affecté / nicht betroffen</v>
      </c>
      <c r="T211" s="1123"/>
      <c r="U211" s="572"/>
      <c r="V211" s="572"/>
    </row>
    <row r="212" spans="1:22" ht="35.25" customHeight="1" x14ac:dyDescent="0.25">
      <c r="A212" s="1233">
        <v>333</v>
      </c>
      <c r="B212" s="1008" t="str">
        <f>IF(VLOOKUP(A212,'Données de base - Grunddaten'!$A$2:$M$273,3,FALSE)="","",VLOOKUP(A212,'Données de base - Grunddaten'!$A$2:$M$273,3,FALSE))</f>
        <v>Praz de Fort</v>
      </c>
      <c r="C212" s="1008" t="str">
        <f>IF(VLOOKUP(A212,'Données de base - Grunddaten'!$A$2:$M$273,4,FALSE)="","",VLOOKUP(A212,'Données de base - Grunddaten'!$A$2:$M$273,4,FALSE))</f>
        <v>La Dranse de Ferret</v>
      </c>
      <c r="D212" s="1008" t="str">
        <f>IF(VLOOKUP(A212,'Données de base - Grunddaten'!$A$2:$M$273,5,FALSE)="","",VLOOKUP(A212,'Données de base - Grunddaten'!$A$2:$M$273,5,FALSE))</f>
        <v>VS</v>
      </c>
      <c r="E212" s="1013" t="s">
        <v>88</v>
      </c>
      <c r="F212" s="328"/>
      <c r="G212" s="329"/>
      <c r="H212" s="994" t="s">
        <v>88</v>
      </c>
      <c r="I212" s="1004" t="s">
        <v>1376</v>
      </c>
      <c r="J212" s="982" t="s">
        <v>88</v>
      </c>
      <c r="K212" s="1053" t="s">
        <v>126</v>
      </c>
      <c r="L212" s="1033"/>
      <c r="M212" s="1033"/>
      <c r="N212" s="1017" t="s">
        <v>1522</v>
      </c>
      <c r="O212" s="1018" t="s">
        <v>1507</v>
      </c>
      <c r="P212" s="1066"/>
      <c r="Q212" s="1094" t="s">
        <v>88</v>
      </c>
      <c r="R212" s="1115" t="str">
        <f>IF(VLOOKUP(A212,'Eclusée - Schwall-Sunk'!$A$2:$F$273,5,FALSE)="","",VLOOKUP(A212,'Eclusée - Schwall-Sunk'!$A$2:$F$273,5,FALSE))</f>
        <v>force hydraulique</v>
      </c>
      <c r="S212" s="1126" t="str">
        <f>IF(VLOOKUP(A212,'Eclusée - Schwall-Sunk'!$A$2:$F$273,6,FALSE)="","",VLOOKUP(A212,'Eclusée - Schwall-Sunk'!$A$2:$F$273,6,FALSE))</f>
        <v>Non affecté / nicht betroffen</v>
      </c>
      <c r="T212" s="1123"/>
      <c r="U212" s="572"/>
      <c r="V212" s="572"/>
    </row>
    <row r="213" spans="1:22" ht="35.25" customHeight="1" x14ac:dyDescent="0.25">
      <c r="A213" s="1233">
        <v>334</v>
      </c>
      <c r="B213" s="1008" t="str">
        <f>IF(VLOOKUP(A213,'Données de base - Grunddaten'!$A$2:$M$273,3,FALSE)="","",VLOOKUP(A213,'Données de base - Grunddaten'!$A$2:$M$273,3,FALSE))</f>
        <v>Plat de la Lé</v>
      </c>
      <c r="C213" s="1008" t="str">
        <f>IF(VLOOKUP(A213,'Données de base - Grunddaten'!$A$2:$M$273,4,FALSE)="","",VLOOKUP(A213,'Données de base - Grunddaten'!$A$2:$M$273,4,FALSE))</f>
        <v>La Navisence</v>
      </c>
      <c r="D213" s="1008" t="str">
        <f>IF(VLOOKUP(A213,'Données de base - Grunddaten'!$A$2:$M$273,5,FALSE)="","",VLOOKUP(A213,'Données de base - Grunddaten'!$A$2:$M$273,5,FALSE))</f>
        <v>VS</v>
      </c>
      <c r="E213" s="1013" t="s">
        <v>40</v>
      </c>
      <c r="F213" s="331" t="s">
        <v>1345</v>
      </c>
      <c r="G213" s="332" t="s">
        <v>1345</v>
      </c>
      <c r="H213" s="994" t="s">
        <v>751</v>
      </c>
      <c r="I213" s="1047" t="s">
        <v>48</v>
      </c>
      <c r="J213" s="982" t="s">
        <v>751</v>
      </c>
      <c r="K213" s="1054"/>
      <c r="L213" s="1034"/>
      <c r="M213" s="1034"/>
      <c r="N213" s="1011"/>
      <c r="O213" s="1012"/>
      <c r="P213" s="1067"/>
      <c r="Q213" s="1094" t="s">
        <v>751</v>
      </c>
      <c r="R213" s="1115" t="str">
        <f>IF(VLOOKUP(A213,'Eclusée - Schwall-Sunk'!$A$2:$F$273,5,FALSE)="","",VLOOKUP(A213,'Eclusée - Schwall-Sunk'!$A$2:$F$273,5,FALSE))</f>
        <v/>
      </c>
      <c r="S213" s="1126" t="str">
        <f>IF(VLOOKUP(A213,'Eclusée - Schwall-Sunk'!$A$2:$F$273,6,FALSE)="","",VLOOKUP(A213,'Eclusée - Schwall-Sunk'!$A$2:$F$273,6,FALSE))</f>
        <v>Non affecté / nicht betroffen</v>
      </c>
      <c r="T213" s="1123"/>
      <c r="U213" s="572"/>
      <c r="V213" s="572"/>
    </row>
    <row r="214" spans="1:22" ht="35.25" customHeight="1" x14ac:dyDescent="0.25">
      <c r="A214" s="1233">
        <v>335</v>
      </c>
      <c r="B214" s="1008" t="str">
        <f>IF(VLOOKUP(A214,'Données de base - Grunddaten'!$A$2:$M$273,3,FALSE)="","",VLOOKUP(A214,'Données de base - Grunddaten'!$A$2:$M$273,3,FALSE))</f>
        <v>Taschalpen</v>
      </c>
      <c r="C214" s="1008" t="str">
        <f>IF(VLOOKUP(A214,'Données de base - Grunddaten'!$A$2:$M$273,4,FALSE)="","",VLOOKUP(A214,'Données de base - Grunddaten'!$A$2:$M$273,4,FALSE))</f>
        <v>Mellichbach, Täschbach</v>
      </c>
      <c r="D214" s="1008" t="str">
        <f>IF(VLOOKUP(A214,'Données de base - Grunddaten'!$A$2:$M$273,5,FALSE)="","",VLOOKUP(A214,'Données de base - Grunddaten'!$A$2:$M$273,5,FALSE))</f>
        <v>VS</v>
      </c>
      <c r="E214" s="1013" t="s">
        <v>88</v>
      </c>
      <c r="F214" s="328"/>
      <c r="G214" s="329"/>
      <c r="H214" s="994" t="s">
        <v>88</v>
      </c>
      <c r="I214" s="1004" t="s">
        <v>1376</v>
      </c>
      <c r="J214" s="982" t="s">
        <v>88</v>
      </c>
      <c r="K214" s="1054"/>
      <c r="L214" s="1034"/>
      <c r="M214" s="1034"/>
      <c r="N214" s="1017" t="s">
        <v>1508</v>
      </c>
      <c r="O214" s="1018" t="s">
        <v>1494</v>
      </c>
      <c r="P214" s="1066"/>
      <c r="Q214" s="1094" t="s">
        <v>88</v>
      </c>
      <c r="R214" s="1115" t="str">
        <f>IF(VLOOKUP(A214,'Eclusée - Schwall-Sunk'!$A$2:$F$273,5,FALSE)="","",VLOOKUP(A214,'Eclusée - Schwall-Sunk'!$A$2:$F$273,5,FALSE))</f>
        <v>force hydraulique</v>
      </c>
      <c r="S214" s="1126" t="str">
        <f>IF(VLOOKUP(A214,'Eclusée - Schwall-Sunk'!$A$2:$F$273,6,FALSE)="","",VLOOKUP(A214,'Eclusée - Schwall-Sunk'!$A$2:$F$273,6,FALSE))</f>
        <v>Non affecté / nicht betroffen</v>
      </c>
      <c r="T214" s="1123"/>
      <c r="U214" s="572"/>
      <c r="V214" s="572"/>
    </row>
    <row r="215" spans="1:22" ht="35.25" customHeight="1" x14ac:dyDescent="0.25">
      <c r="A215" s="929">
        <v>336</v>
      </c>
      <c r="B215" s="1008" t="str">
        <f>IF(VLOOKUP(A215,'Données de base - Grunddaten'!$A$2:$M$273,3,FALSE)="","",VLOOKUP(A215,'Données de base - Grunddaten'!$A$2:$M$273,3,FALSE))</f>
        <v>Zwischenberg</v>
      </c>
      <c r="C215" s="1008" t="str">
        <f>IF(VLOOKUP(A215,'Données de base - Grunddaten'!$A$2:$M$273,4,FALSE)="","",VLOOKUP(A215,'Données de base - Grunddaten'!$A$2:$M$273,4,FALSE))</f>
        <v>Zwischbergenbach</v>
      </c>
      <c r="D215" s="1008" t="str">
        <f>IF(VLOOKUP(A215,'Données de base - Grunddaten'!$A$2:$M$273,5,FALSE)="","",VLOOKUP(A215,'Données de base - Grunddaten'!$A$2:$M$273,5,FALSE))</f>
        <v>VS</v>
      </c>
      <c r="E215" s="1013" t="s">
        <v>40</v>
      </c>
      <c r="F215" s="331" t="s">
        <v>1345</v>
      </c>
      <c r="G215" s="332" t="s">
        <v>1345</v>
      </c>
      <c r="H215" s="994" t="s">
        <v>751</v>
      </c>
      <c r="I215" s="1004" t="s">
        <v>1346</v>
      </c>
      <c r="J215" s="988" t="s">
        <v>751</v>
      </c>
      <c r="K215" s="1053" t="s">
        <v>126</v>
      </c>
      <c r="L215" s="1033"/>
      <c r="M215" s="1033"/>
      <c r="N215" s="1017" t="s">
        <v>1509</v>
      </c>
      <c r="O215" s="1018" t="s">
        <v>1510</v>
      </c>
      <c r="P215" s="1066"/>
      <c r="Q215" s="994" t="s">
        <v>751</v>
      </c>
      <c r="R215" s="1115" t="str">
        <f>IF(VLOOKUP(A215,'Eclusée - Schwall-Sunk'!$A$2:$F$273,5,FALSE)="","",VLOOKUP(A215,'Eclusée - Schwall-Sunk'!$A$2:$F$273,5,FALSE))</f>
        <v/>
      </c>
      <c r="S215" s="1126" t="str">
        <f>IF(VLOOKUP(A215,'Eclusée - Schwall-Sunk'!$A$2:$F$273,6,FALSE)="","",VLOOKUP(A215,'Eclusée - Schwall-Sunk'!$A$2:$F$273,6,FALSE))</f>
        <v>Non affecté / nicht betroffen</v>
      </c>
      <c r="T215" s="1123"/>
      <c r="U215" s="572"/>
      <c r="V215" s="572"/>
    </row>
    <row r="216" spans="1:22" ht="35.25" customHeight="1" x14ac:dyDescent="0.25">
      <c r="A216" s="926">
        <v>337</v>
      </c>
      <c r="B216" s="1008" t="str">
        <f>IF(VLOOKUP(A216,'Données de base - Grunddaten'!$A$2:$M$273,3,FALSE)="","",VLOOKUP(A216,'Données de base - Grunddaten'!$A$2:$M$273,3,FALSE))</f>
        <v>Möriken–Wildegg</v>
      </c>
      <c r="C216" s="1008" t="str">
        <f>IF(VLOOKUP(A216,'Données de base - Grunddaten'!$A$2:$M$273,4,FALSE)="","",VLOOKUP(A216,'Données de base - Grunddaten'!$A$2:$M$273,4,FALSE))</f>
        <v>Bünz</v>
      </c>
      <c r="D216" s="1008" t="str">
        <f>IF(VLOOKUP(A216,'Données de base - Grunddaten'!$A$2:$M$273,5,FALSE)="","",VLOOKUP(A216,'Données de base - Grunddaten'!$A$2:$M$273,5,FALSE))</f>
        <v>AG</v>
      </c>
      <c r="E216" s="1013" t="s">
        <v>746</v>
      </c>
      <c r="F216" s="331" t="s">
        <v>1345</v>
      </c>
      <c r="G216" s="332" t="s">
        <v>1345</v>
      </c>
      <c r="H216" s="994" t="s">
        <v>746</v>
      </c>
      <c r="I216" s="1047" t="s">
        <v>48</v>
      </c>
      <c r="J216" s="982" t="s">
        <v>746</v>
      </c>
      <c r="K216" s="1054"/>
      <c r="L216" s="1010"/>
      <c r="M216" s="1010"/>
      <c r="N216" s="1011"/>
      <c r="O216" s="1012"/>
      <c r="P216" s="1058"/>
      <c r="Q216" s="1094" t="s">
        <v>746</v>
      </c>
      <c r="R216" s="1115" t="str">
        <f>IF(VLOOKUP(A216,'Eclusée - Schwall-Sunk'!$A$2:$F$273,5,FALSE)="","",VLOOKUP(A216,'Eclusée - Schwall-Sunk'!$A$2:$F$273,5,FALSE))</f>
        <v/>
      </c>
      <c r="S216" s="1126" t="str">
        <f>IF(VLOOKUP(A216,'Eclusée - Schwall-Sunk'!$A$2:$F$273,6,FALSE)="","",VLOOKUP(A216,'Eclusée - Schwall-Sunk'!$A$2:$F$273,6,FALSE))</f>
        <v>Non affecté / nicht betroffen</v>
      </c>
      <c r="T216" s="1123"/>
      <c r="U216" s="572"/>
      <c r="V216" s="572"/>
    </row>
    <row r="217" spans="1:22" ht="35.25" customHeight="1" x14ac:dyDescent="0.25">
      <c r="A217" s="926">
        <v>338</v>
      </c>
      <c r="B217" s="1008" t="str">
        <f>IF(VLOOKUP(A217,'Données de base - Grunddaten'!$A$2:$M$273,3,FALSE)="","",VLOOKUP(A217,'Données de base - Grunddaten'!$A$2:$M$273,3,FALSE))</f>
        <v>Unterer Schiltwald</v>
      </c>
      <c r="C217" s="1008" t="str">
        <f>IF(VLOOKUP(A217,'Données de base - Grunddaten'!$A$2:$M$273,4,FALSE)="","",VLOOKUP(A217,'Données de base - Grunddaten'!$A$2:$M$273,4,FALSE))</f>
        <v>Rotbach</v>
      </c>
      <c r="D217" s="1008" t="str">
        <f>IF(VLOOKUP(A217,'Données de base - Grunddaten'!$A$2:$M$273,5,FALSE)="","",VLOOKUP(A217,'Données de base - Grunddaten'!$A$2:$M$273,5,FALSE))</f>
        <v>LU</v>
      </c>
      <c r="E217" s="1013" t="s">
        <v>746</v>
      </c>
      <c r="F217" s="331" t="s">
        <v>1345</v>
      </c>
      <c r="G217" s="332" t="s">
        <v>1345</v>
      </c>
      <c r="H217" s="994" t="s">
        <v>746</v>
      </c>
      <c r="I217" s="1047" t="s">
        <v>48</v>
      </c>
      <c r="J217" s="982" t="s">
        <v>746</v>
      </c>
      <c r="K217" s="1054"/>
      <c r="L217" s="1009" t="s">
        <v>746</v>
      </c>
      <c r="M217" s="1010"/>
      <c r="N217" s="1011"/>
      <c r="O217" s="1012"/>
      <c r="P217" s="1058"/>
      <c r="Q217" s="1094" t="s">
        <v>746</v>
      </c>
      <c r="R217" s="1115" t="str">
        <f>IF(VLOOKUP(A217,'Eclusée - Schwall-Sunk'!$A$2:$F$273,5,FALSE)="","",VLOOKUP(A217,'Eclusée - Schwall-Sunk'!$A$2:$F$273,5,FALSE))</f>
        <v/>
      </c>
      <c r="S217" s="1126" t="str">
        <f>IF(VLOOKUP(A217,'Eclusée - Schwall-Sunk'!$A$2:$F$273,6,FALSE)="","",VLOOKUP(A217,'Eclusée - Schwall-Sunk'!$A$2:$F$273,6,FALSE))</f>
        <v>Non affecté / nicht betroffen</v>
      </c>
      <c r="T217" s="1123"/>
      <c r="U217" s="572"/>
      <c r="V217" s="572"/>
    </row>
    <row r="218" spans="1:22" ht="35.25" customHeight="1" x14ac:dyDescent="0.25">
      <c r="A218" s="926">
        <v>339</v>
      </c>
      <c r="B218" s="1008" t="str">
        <f>IF(VLOOKUP(A218,'Données de base - Grunddaten'!$A$2:$M$273,3,FALSE)="","",VLOOKUP(A218,'Données de base - Grunddaten'!$A$2:$M$273,3,FALSE))</f>
        <v>Badhus–Graben</v>
      </c>
      <c r="C218" s="1008" t="str">
        <f>IF(VLOOKUP(A218,'Données de base - Grunddaten'!$A$2:$M$273,4,FALSE)="","",VLOOKUP(A218,'Données de base - Grunddaten'!$A$2:$M$273,4,FALSE))</f>
        <v>Grosse Fontannen</v>
      </c>
      <c r="D218" s="1008" t="str">
        <f>IF(VLOOKUP(A218,'Données de base - Grunddaten'!$A$2:$M$273,5,FALSE)="","",VLOOKUP(A218,'Données de base - Grunddaten'!$A$2:$M$273,5,FALSE))</f>
        <v>LU</v>
      </c>
      <c r="E218" s="1013" t="s">
        <v>746</v>
      </c>
      <c r="F218" s="331" t="s">
        <v>1345</v>
      </c>
      <c r="G218" s="332" t="s">
        <v>1345</v>
      </c>
      <c r="H218" s="994" t="s">
        <v>746</v>
      </c>
      <c r="I218" s="1047" t="s">
        <v>48</v>
      </c>
      <c r="J218" s="982" t="s">
        <v>746</v>
      </c>
      <c r="K218" s="1054"/>
      <c r="L218" s="1009" t="s">
        <v>746</v>
      </c>
      <c r="M218" s="1010"/>
      <c r="N218" s="1011"/>
      <c r="O218" s="1012"/>
      <c r="P218" s="1058"/>
      <c r="Q218" s="1094" t="s">
        <v>746</v>
      </c>
      <c r="R218" s="1115" t="str">
        <f>IF(VLOOKUP(A218,'Eclusée - Schwall-Sunk'!$A$2:$F$273,5,FALSE)="","",VLOOKUP(A218,'Eclusée - Schwall-Sunk'!$A$2:$F$273,5,FALSE))</f>
        <v/>
      </c>
      <c r="S218" s="1126" t="str">
        <f>IF(VLOOKUP(A218,'Eclusée - Schwall-Sunk'!$A$2:$F$273,6,FALSE)="","",VLOOKUP(A218,'Eclusée - Schwall-Sunk'!$A$2:$F$273,6,FALSE))</f>
        <v>Non affecté / nicht betroffen</v>
      </c>
      <c r="T218" s="1123"/>
      <c r="U218" s="572"/>
      <c r="V218" s="572"/>
    </row>
    <row r="219" spans="1:22" ht="35.25" customHeight="1" x14ac:dyDescent="0.25">
      <c r="A219" s="926">
        <v>340</v>
      </c>
      <c r="B219" s="1008" t="str">
        <f>IF(VLOOKUP(A219,'Données de base - Grunddaten'!$A$2:$M$273,3,FALSE)="","",VLOOKUP(A219,'Données de base - Grunddaten'!$A$2:$M$273,3,FALSE))</f>
        <v>Entlental</v>
      </c>
      <c r="C219" s="1008" t="str">
        <f>IF(VLOOKUP(A219,'Données de base - Grunddaten'!$A$2:$M$273,4,FALSE)="","",VLOOKUP(A219,'Données de base - Grunddaten'!$A$2:$M$273,4,FALSE))</f>
        <v>Entlen</v>
      </c>
      <c r="D219" s="1008" t="str">
        <f>IF(VLOOKUP(A219,'Données de base - Grunddaten'!$A$2:$M$273,5,FALSE)="","",VLOOKUP(A219,'Données de base - Grunddaten'!$A$2:$M$273,5,FALSE))</f>
        <v>LU</v>
      </c>
      <c r="E219" s="1013" t="s">
        <v>746</v>
      </c>
      <c r="F219" s="331" t="s">
        <v>1345</v>
      </c>
      <c r="G219" s="332" t="s">
        <v>1345</v>
      </c>
      <c r="H219" s="994" t="s">
        <v>746</v>
      </c>
      <c r="I219" s="1004" t="s">
        <v>1376</v>
      </c>
      <c r="J219" s="981" t="s">
        <v>746</v>
      </c>
      <c r="K219" s="1053" t="s">
        <v>126</v>
      </c>
      <c r="L219" s="1035">
        <v>0.8</v>
      </c>
      <c r="M219" s="1036" t="s">
        <v>1418</v>
      </c>
      <c r="N219" s="1017" t="s">
        <v>1419</v>
      </c>
      <c r="O219" s="1018" t="s">
        <v>52</v>
      </c>
      <c r="P219" s="1066" t="s">
        <v>1420</v>
      </c>
      <c r="Q219" s="1093" t="s">
        <v>799</v>
      </c>
      <c r="R219" s="1115" t="str">
        <f>IF(VLOOKUP(A219,'Eclusée - Schwall-Sunk'!$A$2:$F$273,5,FALSE)="","",VLOOKUP(A219,'Eclusée - Schwall-Sunk'!$A$2:$F$273,5,FALSE))</f>
        <v/>
      </c>
      <c r="S219" s="1126" t="str">
        <f>IF(VLOOKUP(A219,'Eclusée - Schwall-Sunk'!$A$2:$F$273,6,FALSE)="","",VLOOKUP(A219,'Eclusée - Schwall-Sunk'!$A$2:$F$273,6,FALSE))</f>
        <v>Non affecté / nicht betroffen</v>
      </c>
      <c r="T219" s="1123"/>
      <c r="U219" s="572"/>
      <c r="V219" s="572"/>
    </row>
    <row r="220" spans="1:22" ht="35.25" customHeight="1" x14ac:dyDescent="0.25">
      <c r="A220" s="926">
        <v>341</v>
      </c>
      <c r="B220" s="1008" t="str">
        <f>IF(VLOOKUP(A220,'Données de base - Grunddaten'!$A$2:$M$273,3,FALSE)="","",VLOOKUP(A220,'Données de base - Grunddaten'!$A$2:$M$273,3,FALSE))</f>
        <v>Flühli</v>
      </c>
      <c r="C220" s="1008" t="str">
        <f>IF(VLOOKUP(A220,'Données de base - Grunddaten'!$A$2:$M$273,4,FALSE)="","",VLOOKUP(A220,'Données de base - Grunddaten'!$A$2:$M$273,4,FALSE))</f>
        <v>Hohwäldlibach, Rotbach, Waldemme</v>
      </c>
      <c r="D220" s="1008" t="str">
        <f>IF(VLOOKUP(A220,'Données de base - Grunddaten'!$A$2:$M$273,5,FALSE)="","",VLOOKUP(A220,'Données de base - Grunddaten'!$A$2:$M$273,5,FALSE))</f>
        <v>LU</v>
      </c>
      <c r="E220" s="1013" t="s">
        <v>746</v>
      </c>
      <c r="F220" s="331" t="s">
        <v>1345</v>
      </c>
      <c r="G220" s="332" t="s">
        <v>1345</v>
      </c>
      <c r="H220" s="994" t="s">
        <v>746</v>
      </c>
      <c r="I220" s="1047" t="s">
        <v>48</v>
      </c>
      <c r="J220" s="982" t="s">
        <v>746</v>
      </c>
      <c r="K220" s="1054"/>
      <c r="L220" s="1009" t="s">
        <v>746</v>
      </c>
      <c r="M220" s="1010"/>
      <c r="N220" s="1011"/>
      <c r="O220" s="1012"/>
      <c r="P220" s="1058"/>
      <c r="Q220" s="1094" t="s">
        <v>746</v>
      </c>
      <c r="R220" s="1115" t="str">
        <f>IF(VLOOKUP(A220,'Eclusée - Schwall-Sunk'!$A$2:$F$273,5,FALSE)="","",VLOOKUP(A220,'Eclusée - Schwall-Sunk'!$A$2:$F$273,5,FALSE))</f>
        <v/>
      </c>
      <c r="S220" s="1126" t="str">
        <f>IF(VLOOKUP(A220,'Eclusée - Schwall-Sunk'!$A$2:$F$273,6,FALSE)="","",VLOOKUP(A220,'Eclusée - Schwall-Sunk'!$A$2:$F$273,6,FALSE))</f>
        <v>Non affecté / nicht betroffen</v>
      </c>
      <c r="T220" s="1123"/>
      <c r="U220" s="572"/>
      <c r="V220" s="572"/>
    </row>
    <row r="221" spans="1:22" ht="35.25" customHeight="1" x14ac:dyDescent="0.25">
      <c r="A221" s="926">
        <v>342</v>
      </c>
      <c r="B221" s="1008" t="str">
        <f>IF(VLOOKUP(A221,'Données de base - Grunddaten'!$A$2:$M$273,3,FALSE)="","",VLOOKUP(A221,'Données de base - Grunddaten'!$A$2:$M$273,3,FALSE))</f>
        <v>Bibermüli</v>
      </c>
      <c r="C221" s="1008" t="str">
        <f>IF(VLOOKUP(A221,'Données de base - Grunddaten'!$A$2:$M$273,4,FALSE)="","",VLOOKUP(A221,'Données de base - Grunddaten'!$A$2:$M$273,4,FALSE))</f>
        <v>Biber</v>
      </c>
      <c r="D221" s="1008" t="str">
        <f>IF(VLOOKUP(A221,'Données de base - Grunddaten'!$A$2:$M$273,5,FALSE)="","",VLOOKUP(A221,'Données de base - Grunddaten'!$A$2:$M$273,5,FALSE))</f>
        <v>SH</v>
      </c>
      <c r="E221" s="1013" t="s">
        <v>746</v>
      </c>
      <c r="F221" s="331" t="s">
        <v>1345</v>
      </c>
      <c r="G221" s="332" t="s">
        <v>1345</v>
      </c>
      <c r="H221" s="994" t="s">
        <v>746</v>
      </c>
      <c r="I221" s="1047" t="s">
        <v>48</v>
      </c>
      <c r="J221" s="982" t="s">
        <v>746</v>
      </c>
      <c r="K221" s="1054"/>
      <c r="L221" s="1010"/>
      <c r="M221" s="1010"/>
      <c r="N221" s="1011"/>
      <c r="O221" s="1012"/>
      <c r="P221" s="1058"/>
      <c r="Q221" s="1094" t="s">
        <v>45</v>
      </c>
      <c r="R221" s="1115" t="str">
        <f>IF(VLOOKUP(A221,'Eclusée - Schwall-Sunk'!$A$2:$F$273,5,FALSE)="","",VLOOKUP(A221,'Eclusée - Schwall-Sunk'!$A$2:$F$273,5,FALSE))</f>
        <v/>
      </c>
      <c r="S221" s="1126" t="str">
        <f>IF(VLOOKUP(A221,'Eclusée - Schwall-Sunk'!$A$2:$F$273,6,FALSE)="","",VLOOKUP(A221,'Eclusée - Schwall-Sunk'!$A$2:$F$273,6,FALSE))</f>
        <v>Non affecté / nicht betroffen</v>
      </c>
      <c r="T221" s="1123"/>
      <c r="U221" s="572"/>
      <c r="V221" s="572"/>
    </row>
    <row r="222" spans="1:22" ht="35.25" customHeight="1" x14ac:dyDescent="0.25">
      <c r="A222" s="926">
        <v>343</v>
      </c>
      <c r="B222" s="1008" t="str">
        <f>IF(VLOOKUP(A222,'Données de base - Grunddaten'!$A$2:$M$273,3,FALSE)="","",VLOOKUP(A222,'Données de base - Grunddaten'!$A$2:$M$273,3,FALSE))</f>
        <v>Freienstein–Tössegg</v>
      </c>
      <c r="C222" s="1008" t="str">
        <f>IF(VLOOKUP(A222,'Données de base - Grunddaten'!$A$2:$M$273,4,FALSE)="","",VLOOKUP(A222,'Données de base - Grunddaten'!$A$2:$M$273,4,FALSE))</f>
        <v>Töss</v>
      </c>
      <c r="D222" s="1008" t="str">
        <f>IF(VLOOKUP(A222,'Données de base - Grunddaten'!$A$2:$M$273,5,FALSE)="","",VLOOKUP(A222,'Données de base - Grunddaten'!$A$2:$M$273,5,FALSE))</f>
        <v>ZH</v>
      </c>
      <c r="E222" s="1013" t="s">
        <v>746</v>
      </c>
      <c r="F222" s="331" t="s">
        <v>1345</v>
      </c>
      <c r="G222" s="332" t="s">
        <v>1345</v>
      </c>
      <c r="H222" s="994" t="s">
        <v>746</v>
      </c>
      <c r="I222" s="1047" t="s">
        <v>48</v>
      </c>
      <c r="J222" s="982" t="s">
        <v>746</v>
      </c>
      <c r="K222" s="1054"/>
      <c r="L222" s="1010"/>
      <c r="M222" s="1037" t="s">
        <v>77</v>
      </c>
      <c r="N222" s="1011"/>
      <c r="O222" s="1012"/>
      <c r="P222" s="1058"/>
      <c r="Q222" s="1094" t="s">
        <v>746</v>
      </c>
      <c r="R222" s="1115" t="str">
        <f>IF(VLOOKUP(A222,'Eclusée - Schwall-Sunk'!$A$2:$F$273,5,FALSE)="","",VLOOKUP(A222,'Eclusée - Schwall-Sunk'!$A$2:$F$273,5,FALSE))</f>
        <v/>
      </c>
      <c r="S222" s="1126" t="str">
        <f>IF(VLOOKUP(A222,'Eclusée - Schwall-Sunk'!$A$2:$F$273,6,FALSE)="","",VLOOKUP(A222,'Eclusée - Schwall-Sunk'!$A$2:$F$273,6,FALSE))</f>
        <v>Non affecté / nicht betroffen</v>
      </c>
      <c r="T222" s="1123"/>
      <c r="U222" s="572"/>
      <c r="V222" s="572"/>
    </row>
    <row r="223" spans="1:22" ht="35.25" customHeight="1" x14ac:dyDescent="0.25">
      <c r="A223" s="926">
        <v>344</v>
      </c>
      <c r="B223" s="1008" t="str">
        <f>IF(VLOOKUP(A223,'Données de base - Grunddaten'!$A$2:$M$273,3,FALSE)="","",VLOOKUP(A223,'Données de base - Grunddaten'!$A$2:$M$273,3,FALSE))</f>
        <v>Dättlikon–Freienstein</v>
      </c>
      <c r="C223" s="1008" t="str">
        <f>IF(VLOOKUP(A223,'Données de base - Grunddaten'!$A$2:$M$273,4,FALSE)="","",VLOOKUP(A223,'Données de base - Grunddaten'!$A$2:$M$273,4,FALSE))</f>
        <v>Töss</v>
      </c>
      <c r="D223" s="1008" t="str">
        <f>IF(VLOOKUP(A223,'Données de base - Grunddaten'!$A$2:$M$273,5,FALSE)="","",VLOOKUP(A223,'Données de base - Grunddaten'!$A$2:$M$273,5,FALSE))</f>
        <v>ZH</v>
      </c>
      <c r="E223" s="1013" t="s">
        <v>746</v>
      </c>
      <c r="F223" s="331" t="s">
        <v>1345</v>
      </c>
      <c r="G223" s="332" t="s">
        <v>1345</v>
      </c>
      <c r="H223" s="994" t="s">
        <v>746</v>
      </c>
      <c r="I223" s="1047" t="s">
        <v>48</v>
      </c>
      <c r="J223" s="982" t="s">
        <v>746</v>
      </c>
      <c r="K223" s="1054"/>
      <c r="L223" s="1010"/>
      <c r="M223" s="1037" t="s">
        <v>77</v>
      </c>
      <c r="N223" s="1011"/>
      <c r="O223" s="1012"/>
      <c r="P223" s="1058"/>
      <c r="Q223" s="1094" t="s">
        <v>746</v>
      </c>
      <c r="R223" s="1115" t="str">
        <f>IF(VLOOKUP(A223,'Eclusée - Schwall-Sunk'!$A$2:$F$273,5,FALSE)="","",VLOOKUP(A223,'Eclusée - Schwall-Sunk'!$A$2:$F$273,5,FALSE))</f>
        <v/>
      </c>
      <c r="S223" s="1126" t="str">
        <f>IF(VLOOKUP(A223,'Eclusée - Schwall-Sunk'!$A$2:$F$273,6,FALSE)="","",VLOOKUP(A223,'Eclusée - Schwall-Sunk'!$A$2:$F$273,6,FALSE))</f>
        <v>Non affecté / nicht betroffen</v>
      </c>
      <c r="T223" s="1123"/>
      <c r="U223" s="572"/>
      <c r="V223" s="572"/>
    </row>
    <row r="224" spans="1:22" ht="35.25" customHeight="1" x14ac:dyDescent="0.25">
      <c r="A224" s="926">
        <v>345</v>
      </c>
      <c r="B224" s="1008" t="str">
        <f>IF(VLOOKUP(A224,'Données de base - Grunddaten'!$A$2:$M$273,3,FALSE)="","",VLOOKUP(A224,'Données de base - Grunddaten'!$A$2:$M$273,3,FALSE))</f>
        <v>Oberglatt</v>
      </c>
      <c r="C224" s="1008" t="str">
        <f>IF(VLOOKUP(A224,'Données de base - Grunddaten'!$A$2:$M$273,4,FALSE)="","",VLOOKUP(A224,'Données de base - Grunddaten'!$A$2:$M$273,4,FALSE))</f>
        <v>Glatt</v>
      </c>
      <c r="D224" s="1008" t="str">
        <f>IF(VLOOKUP(A224,'Données de base - Grunddaten'!$A$2:$M$273,5,FALSE)="","",VLOOKUP(A224,'Données de base - Grunddaten'!$A$2:$M$273,5,FALSE))</f>
        <v>ZH</v>
      </c>
      <c r="E224" s="1013" t="s">
        <v>746</v>
      </c>
      <c r="F224" s="331" t="s">
        <v>1345</v>
      </c>
      <c r="G224" s="332" t="s">
        <v>1345</v>
      </c>
      <c r="H224" s="994" t="s">
        <v>746</v>
      </c>
      <c r="I224" s="1047" t="s">
        <v>48</v>
      </c>
      <c r="J224" s="982" t="s">
        <v>746</v>
      </c>
      <c r="K224" s="1054"/>
      <c r="L224" s="1010"/>
      <c r="M224" s="1037" t="s">
        <v>77</v>
      </c>
      <c r="N224" s="1011"/>
      <c r="O224" s="1012"/>
      <c r="P224" s="1058"/>
      <c r="Q224" s="1094" t="s">
        <v>746</v>
      </c>
      <c r="R224" s="1115" t="str">
        <f>IF(VLOOKUP(A224,'Eclusée - Schwall-Sunk'!$A$2:$F$273,5,FALSE)="","",VLOOKUP(A224,'Eclusée - Schwall-Sunk'!$A$2:$F$273,5,FALSE))</f>
        <v/>
      </c>
      <c r="S224" s="1126" t="str">
        <f>IF(VLOOKUP(A224,'Eclusée - Schwall-Sunk'!$A$2:$F$273,6,FALSE)="","",VLOOKUP(A224,'Eclusée - Schwall-Sunk'!$A$2:$F$273,6,FALSE))</f>
        <v>Non affecté / nicht betroffen</v>
      </c>
      <c r="T224" s="1123"/>
      <c r="U224" s="572"/>
      <c r="V224" s="572"/>
    </row>
    <row r="225" spans="1:22" ht="35.25" customHeight="1" x14ac:dyDescent="0.25">
      <c r="A225" s="930">
        <v>346</v>
      </c>
      <c r="B225" s="1008" t="str">
        <f>IF(VLOOKUP(A225,'Données de base - Grunddaten'!$A$2:$M$273,3,FALSE)="","",VLOOKUP(A225,'Données de base - Grunddaten'!$A$2:$M$273,3,FALSE))</f>
        <v>Muotathal</v>
      </c>
      <c r="C225" s="1008" t="str">
        <f>IF(VLOOKUP(A225,'Données de base - Grunddaten'!$A$2:$M$273,4,FALSE)="","",VLOOKUP(A225,'Données de base - Grunddaten'!$A$2:$M$273,4,FALSE))</f>
        <v>Muota</v>
      </c>
      <c r="D225" s="1008" t="str">
        <f>IF(VLOOKUP(A225,'Données de base - Grunddaten'!$A$2:$M$273,5,FALSE)="","",VLOOKUP(A225,'Données de base - Grunddaten'!$A$2:$M$273,5,FALSE))</f>
        <v>SZ</v>
      </c>
      <c r="E225" s="1013" t="s">
        <v>794</v>
      </c>
      <c r="F225" s="325"/>
      <c r="G225" s="326"/>
      <c r="H225" s="994" t="s">
        <v>794</v>
      </c>
      <c r="I225" s="1004" t="s">
        <v>1346</v>
      </c>
      <c r="J225" s="982" t="s">
        <v>794</v>
      </c>
      <c r="K225" s="1054"/>
      <c r="L225" s="1010"/>
      <c r="M225" s="1038" t="s">
        <v>469</v>
      </c>
      <c r="N225" s="1017" t="s">
        <v>1443</v>
      </c>
      <c r="O225" s="1018" t="s">
        <v>1444</v>
      </c>
      <c r="P225" s="1066" t="s">
        <v>1445</v>
      </c>
      <c r="Q225" s="1094" t="s">
        <v>794</v>
      </c>
      <c r="R225" s="1115" t="str">
        <f>IF(VLOOKUP(A225,'Eclusée - Schwall-Sunk'!$A$2:$F$273,5,FALSE)="","",VLOOKUP(A225,'Eclusée - Schwall-Sunk'!$A$2:$F$273,5,FALSE))</f>
        <v>force hydraulique</v>
      </c>
      <c r="S225" s="1126" t="str">
        <f>IF(VLOOKUP(A225,'Eclusée - Schwall-Sunk'!$A$2:$F$273,6,FALSE)="","",VLOOKUP(A225,'Eclusée - Schwall-Sunk'!$A$2:$F$273,6,FALSE))</f>
        <v>Potentiellement affecté / möglicherweise betroffen</v>
      </c>
      <c r="T225" s="1123"/>
      <c r="U225" s="572"/>
      <c r="V225" s="572"/>
    </row>
    <row r="226" spans="1:22" ht="35.25" customHeight="1" x14ac:dyDescent="0.25">
      <c r="A226" s="931">
        <v>347</v>
      </c>
      <c r="B226" s="1008" t="str">
        <f>IF(VLOOKUP(A226,'Données de base - Grunddaten'!$A$2:$M$273,3,FALSE)="","",VLOOKUP(A226,'Données de base - Grunddaten'!$A$2:$M$273,3,FALSE))</f>
        <v>Gampeleggen–Richisau</v>
      </c>
      <c r="C226" s="1008" t="str">
        <f>IF(VLOOKUP(A226,'Données de base - Grunddaten'!$A$2:$M$273,4,FALSE)="","",VLOOKUP(A226,'Données de base - Grunddaten'!$A$2:$M$273,4,FALSE))</f>
        <v>Chlü, Chlön</v>
      </c>
      <c r="D226" s="1008" t="str">
        <f>IF(VLOOKUP(A226,'Données de base - Grunddaten'!$A$2:$M$273,5,FALSE)="","",VLOOKUP(A226,'Données de base - Grunddaten'!$A$2:$M$273,5,FALSE))</f>
        <v>GL/SZ</v>
      </c>
      <c r="E226" s="1013" t="s">
        <v>40</v>
      </c>
      <c r="F226" s="331" t="s">
        <v>1345</v>
      </c>
      <c r="G226" s="332" t="s">
        <v>1345</v>
      </c>
      <c r="H226" s="994" t="s">
        <v>751</v>
      </c>
      <c r="I226" s="1047" t="s">
        <v>48</v>
      </c>
      <c r="J226" s="982" t="s">
        <v>751</v>
      </c>
      <c r="K226" s="1054"/>
      <c r="L226" s="1034"/>
      <c r="M226" s="1034"/>
      <c r="N226" s="1011"/>
      <c r="O226" s="1012"/>
      <c r="P226" s="1067"/>
      <c r="Q226" s="1094" t="s">
        <v>751</v>
      </c>
      <c r="R226" s="1115" t="str">
        <f>IF(VLOOKUP(A226,'Eclusée - Schwall-Sunk'!$A$2:$F$273,5,FALSE)="","",VLOOKUP(A226,'Eclusée - Schwall-Sunk'!$A$2:$F$273,5,FALSE))</f>
        <v/>
      </c>
      <c r="S226" s="1126" t="str">
        <f>IF(VLOOKUP(A226,'Eclusée - Schwall-Sunk'!$A$2:$F$273,6,FALSE)="","",VLOOKUP(A226,'Eclusée - Schwall-Sunk'!$A$2:$F$273,6,FALSE))</f>
        <v>Non affecté / nicht betroffen</v>
      </c>
      <c r="T226" s="1123"/>
      <c r="U226" s="572"/>
      <c r="V226" s="572"/>
    </row>
    <row r="227" spans="1:22" ht="35.25" customHeight="1" x14ac:dyDescent="0.25">
      <c r="A227" s="1233">
        <v>348</v>
      </c>
      <c r="B227" s="1008" t="str">
        <f>IF(VLOOKUP(A227,'Données de base - Grunddaten'!$A$2:$M$273,3,FALSE)="","",VLOOKUP(A227,'Données de base - Grunddaten'!$A$2:$M$273,3,FALSE))</f>
        <v>Linth Delta</v>
      </c>
      <c r="C227" s="1008" t="str">
        <f>IF(VLOOKUP(A227,'Données de base - Grunddaten'!$A$2:$M$273,4,FALSE)="","",VLOOKUP(A227,'Données de base - Grunddaten'!$A$2:$M$273,4,FALSE))</f>
        <v>Linth, Walensee</v>
      </c>
      <c r="D227" s="1008" t="str">
        <f>IF(VLOOKUP(A227,'Données de base - Grunddaten'!$A$2:$M$273,5,FALSE)="","",VLOOKUP(A227,'Données de base - Grunddaten'!$A$2:$M$273,5,FALSE))</f>
        <v>GL</v>
      </c>
      <c r="E227" s="1013" t="s">
        <v>45</v>
      </c>
      <c r="F227" s="328"/>
      <c r="G227" s="329"/>
      <c r="H227" s="994" t="s">
        <v>45</v>
      </c>
      <c r="I227" s="1047" t="s">
        <v>48</v>
      </c>
      <c r="J227" s="982" t="s">
        <v>45</v>
      </c>
      <c r="K227" s="1054"/>
      <c r="L227" s="1034"/>
      <c r="M227" s="1034"/>
      <c r="N227" s="1011"/>
      <c r="O227" s="1012"/>
      <c r="P227" s="1067"/>
      <c r="Q227" s="1094" t="s">
        <v>45</v>
      </c>
      <c r="R227" s="1115" t="str">
        <f>IF(VLOOKUP(A227,'Eclusée - Schwall-Sunk'!$A$2:$F$273,5,FALSE)="","",VLOOKUP(A227,'Eclusée - Schwall-Sunk'!$A$2:$F$273,5,FALSE))</f>
        <v>force hydraulique</v>
      </c>
      <c r="S227" s="1126" t="str">
        <f>IF(VLOOKUP(A227,'Eclusée - Schwall-Sunk'!$A$2:$F$273,6,FALSE)="","",VLOOKUP(A227,'Eclusée - Schwall-Sunk'!$A$2:$F$273,6,FALSE))</f>
        <v>Potentiellement affecté / möglicherweise betroffen</v>
      </c>
      <c r="T227" s="1123"/>
      <c r="U227" s="572"/>
      <c r="V227" s="572"/>
    </row>
    <row r="228" spans="1:22" ht="35.25" customHeight="1" x14ac:dyDescent="0.25">
      <c r="A228" s="926">
        <v>349</v>
      </c>
      <c r="B228" s="1008" t="str">
        <f>IF(VLOOKUP(A228,'Données de base - Grunddaten'!$A$2:$M$273,3,FALSE)="","",VLOOKUP(A228,'Données de base - Grunddaten'!$A$2:$M$273,3,FALSE))</f>
        <v>Grosstal</v>
      </c>
      <c r="C228" s="1008" t="str">
        <f>IF(VLOOKUP(A228,'Données de base - Grunddaten'!$A$2:$M$273,4,FALSE)="","",VLOOKUP(A228,'Données de base - Grunddaten'!$A$2:$M$273,4,FALSE))</f>
        <v>Isitaler Bach</v>
      </c>
      <c r="D228" s="1008" t="str">
        <f>IF(VLOOKUP(A228,'Données de base - Grunddaten'!$A$2:$M$273,5,FALSE)="","",VLOOKUP(A228,'Données de base - Grunddaten'!$A$2:$M$273,5,FALSE))</f>
        <v>UR</v>
      </c>
      <c r="E228" s="1013" t="s">
        <v>746</v>
      </c>
      <c r="F228" s="331" t="s">
        <v>1345</v>
      </c>
      <c r="G228" s="332" t="s">
        <v>1345</v>
      </c>
      <c r="H228" s="994" t="s">
        <v>746</v>
      </c>
      <c r="I228" s="1047" t="s">
        <v>48</v>
      </c>
      <c r="J228" s="982" t="s">
        <v>746</v>
      </c>
      <c r="K228" s="1054"/>
      <c r="L228" s="1034"/>
      <c r="M228" s="1034"/>
      <c r="N228" s="1011"/>
      <c r="O228" s="1012"/>
      <c r="P228" s="1067"/>
      <c r="Q228" s="1094" t="s">
        <v>746</v>
      </c>
      <c r="R228" s="1115" t="str">
        <f>IF(VLOOKUP(A228,'Eclusée - Schwall-Sunk'!$A$2:$F$273,5,FALSE)="","",VLOOKUP(A228,'Eclusée - Schwall-Sunk'!$A$2:$F$273,5,FALSE))</f>
        <v/>
      </c>
      <c r="S228" s="1126" t="str">
        <f>IF(VLOOKUP(A228,'Eclusée - Schwall-Sunk'!$A$2:$F$273,6,FALSE)="","",VLOOKUP(A228,'Eclusée - Schwall-Sunk'!$A$2:$F$273,6,FALSE))</f>
        <v>Non affecté / nicht betroffen</v>
      </c>
      <c r="T228" s="1123"/>
      <c r="U228" s="572"/>
      <c r="V228" s="572"/>
    </row>
    <row r="229" spans="1:22" ht="35.25" customHeight="1" x14ac:dyDescent="0.25">
      <c r="A229" s="929">
        <v>350</v>
      </c>
      <c r="B229" s="1008" t="str">
        <f>IF(VLOOKUP(A229,'Données de base - Grunddaten'!$A$2:$M$273,3,FALSE)="","",VLOOKUP(A229,'Données de base - Grunddaten'!$A$2:$M$273,3,FALSE))</f>
        <v>LangHütte</v>
      </c>
      <c r="C229" s="1008" t="str">
        <f>IF(VLOOKUP(A229,'Données de base - Grunddaten'!$A$2:$M$273,4,FALSE)="","",VLOOKUP(A229,'Données de base - Grunddaten'!$A$2:$M$273,4,FALSE))</f>
        <v>Bocki Bach</v>
      </c>
      <c r="D229" s="1008" t="str">
        <f>IF(VLOOKUP(A229,'Données de base - Grunddaten'!$A$2:$M$273,5,FALSE)="","",VLOOKUP(A229,'Données de base - Grunddaten'!$A$2:$M$273,5,FALSE))</f>
        <v>UR</v>
      </c>
      <c r="E229" s="1013" t="s">
        <v>40</v>
      </c>
      <c r="F229" s="331" t="s">
        <v>1345</v>
      </c>
      <c r="G229" s="332" t="s">
        <v>1345</v>
      </c>
      <c r="H229" s="994" t="s">
        <v>751</v>
      </c>
      <c r="I229" s="1047" t="s">
        <v>48</v>
      </c>
      <c r="J229" s="988" t="s">
        <v>751</v>
      </c>
      <c r="K229" s="1054"/>
      <c r="L229" s="1034"/>
      <c r="M229" s="1034"/>
      <c r="N229" s="1011"/>
      <c r="O229" s="1012"/>
      <c r="P229" s="1067"/>
      <c r="Q229" s="994" t="s">
        <v>751</v>
      </c>
      <c r="R229" s="1115" t="str">
        <f>IF(VLOOKUP(A229,'Eclusée - Schwall-Sunk'!$A$2:$F$273,5,FALSE)="","",VLOOKUP(A229,'Eclusée - Schwall-Sunk'!$A$2:$F$273,5,FALSE))</f>
        <v/>
      </c>
      <c r="S229" s="1126" t="str">
        <f>IF(VLOOKUP(A229,'Eclusée - Schwall-Sunk'!$A$2:$F$273,6,FALSE)="","",VLOOKUP(A229,'Eclusée - Schwall-Sunk'!$A$2:$F$273,6,FALSE))</f>
        <v>Non affecté / nicht betroffen</v>
      </c>
      <c r="T229" s="1123"/>
      <c r="U229" s="572"/>
      <c r="V229" s="572"/>
    </row>
    <row r="230" spans="1:22" ht="35.25" customHeight="1" x14ac:dyDescent="0.25">
      <c r="A230" s="926">
        <v>351</v>
      </c>
      <c r="B230" s="1008" t="str">
        <f>IF(VLOOKUP(A230,'Données de base - Grunddaten'!$A$2:$M$273,3,FALSE)="","",VLOOKUP(A230,'Données de base - Grunddaten'!$A$2:$M$273,3,FALSE))</f>
        <v>Unterschächen–Spiringen</v>
      </c>
      <c r="C230" s="1008" t="str">
        <f>IF(VLOOKUP(A230,'Données de base - Grunddaten'!$A$2:$M$273,4,FALSE)="","",VLOOKUP(A230,'Données de base - Grunddaten'!$A$2:$M$273,4,FALSE))</f>
        <v>Schächen</v>
      </c>
      <c r="D230" s="1008" t="str">
        <f>IF(VLOOKUP(A230,'Données de base - Grunddaten'!$A$2:$M$273,5,FALSE)="","",VLOOKUP(A230,'Données de base - Grunddaten'!$A$2:$M$273,5,FALSE))</f>
        <v>UR</v>
      </c>
      <c r="E230" s="1013" t="s">
        <v>794</v>
      </c>
      <c r="F230" s="328"/>
      <c r="G230" s="329"/>
      <c r="H230" s="994" t="s">
        <v>794</v>
      </c>
      <c r="I230" s="1004" t="s">
        <v>1355</v>
      </c>
      <c r="J230" s="989" t="s">
        <v>794</v>
      </c>
      <c r="K230" s="1053" t="s">
        <v>126</v>
      </c>
      <c r="L230" s="1033"/>
      <c r="M230" s="1033"/>
      <c r="N230" s="1017" t="s">
        <v>1484</v>
      </c>
      <c r="O230" s="1018" t="s">
        <v>1485</v>
      </c>
      <c r="P230" s="1066"/>
      <c r="Q230" s="1096" t="s">
        <v>794</v>
      </c>
      <c r="R230" s="1115" t="str">
        <f>IF(VLOOKUP(A230,'Eclusée - Schwall-Sunk'!$A$2:$F$273,5,FALSE)="","",VLOOKUP(A230,'Eclusée - Schwall-Sunk'!$A$2:$F$273,5,FALSE))</f>
        <v>force hydraulique</v>
      </c>
      <c r="S230" s="1126" t="str">
        <f>IF(VLOOKUP(A230,'Eclusée - Schwall-Sunk'!$A$2:$F$273,6,FALSE)="","",VLOOKUP(A230,'Eclusée - Schwall-Sunk'!$A$2:$F$273,6,FALSE))</f>
        <v>Non affecté / nicht betroffen</v>
      </c>
      <c r="T230" s="1123"/>
      <c r="U230" s="572"/>
      <c r="V230" s="572"/>
    </row>
    <row r="231" spans="1:22" ht="35.25" customHeight="1" x14ac:dyDescent="0.25">
      <c r="A231" s="926">
        <v>352</v>
      </c>
      <c r="B231" s="1008" t="str">
        <f>IF(VLOOKUP(A231,'Données de base - Grunddaten'!$A$2:$M$273,3,FALSE)="","",VLOOKUP(A231,'Données de base - Grunddaten'!$A$2:$M$273,3,FALSE))</f>
        <v>Alpenrösli–Herrenrüti</v>
      </c>
      <c r="C231" s="1008" t="str">
        <f>IF(VLOOKUP(A231,'Données de base - Grunddaten'!$A$2:$M$273,4,FALSE)="","",VLOOKUP(A231,'Données de base - Grunddaten'!$A$2:$M$273,4,FALSE))</f>
        <v>Engelberger Aa</v>
      </c>
      <c r="D231" s="1008" t="str">
        <f>IF(VLOOKUP(A231,'Données de base - Grunddaten'!$A$2:$M$273,5,FALSE)="","",VLOOKUP(A231,'Données de base - Grunddaten'!$A$2:$M$273,5,FALSE))</f>
        <v>OW/UR</v>
      </c>
      <c r="E231" s="1013" t="s">
        <v>746</v>
      </c>
      <c r="F231" s="331" t="s">
        <v>1345</v>
      </c>
      <c r="G231" s="335" t="s">
        <v>1422</v>
      </c>
      <c r="H231" s="994" t="s">
        <v>746</v>
      </c>
      <c r="I231" s="1047" t="s">
        <v>48</v>
      </c>
      <c r="J231" s="982" t="s">
        <v>746</v>
      </c>
      <c r="K231" s="1054"/>
      <c r="L231" s="1014" t="s">
        <v>746</v>
      </c>
      <c r="M231" s="1010"/>
      <c r="N231" s="1011"/>
      <c r="O231" s="1012"/>
      <c r="P231" s="1058"/>
      <c r="Q231" s="1094" t="s">
        <v>746</v>
      </c>
      <c r="R231" s="1115" t="str">
        <f>IF(VLOOKUP(A231,'Eclusée - Schwall-Sunk'!$A$2:$F$273,5,FALSE)="","",VLOOKUP(A231,'Eclusée - Schwall-Sunk'!$A$2:$F$273,5,FALSE))</f>
        <v>autre prélèvement</v>
      </c>
      <c r="S231" s="1126" t="str">
        <f>IF(VLOOKUP(A231,'Eclusée - Schwall-Sunk'!$A$2:$F$273,6,FALSE)="","",VLOOKUP(A231,'Eclusée - Schwall-Sunk'!$A$2:$F$273,6,FALSE))</f>
        <v>Non affecté / nicht betroffen</v>
      </c>
      <c r="T231" s="1123"/>
      <c r="U231" s="572"/>
      <c r="V231" s="572"/>
    </row>
    <row r="232" spans="1:22" ht="35.25" customHeight="1" x14ac:dyDescent="0.25">
      <c r="A232" s="926">
        <v>353</v>
      </c>
      <c r="B232" s="1008" t="str">
        <f>IF(VLOOKUP(A232,'Données de base - Grunddaten'!$A$2:$M$273,3,FALSE)="","",VLOOKUP(A232,'Données de base - Grunddaten'!$A$2:$M$273,3,FALSE))</f>
        <v>Altboden</v>
      </c>
      <c r="C232" s="1008" t="str">
        <f>IF(VLOOKUP(A232,'Données de base - Grunddaten'!$A$2:$M$273,4,FALSE)="","",VLOOKUP(A232,'Données de base - Grunddaten'!$A$2:$M$273,4,FALSE))</f>
        <v>Gorenzmettlenbach</v>
      </c>
      <c r="D232" s="1008" t="str">
        <f>IF(VLOOKUP(A232,'Données de base - Grunddaten'!$A$2:$M$273,5,FALSE)="","",VLOOKUP(A232,'Données de base - Grunddaten'!$A$2:$M$273,5,FALSE))</f>
        <v>UR</v>
      </c>
      <c r="E232" s="1013" t="s">
        <v>746</v>
      </c>
      <c r="F232" s="331" t="s">
        <v>1345</v>
      </c>
      <c r="G232" s="332" t="s">
        <v>1345</v>
      </c>
      <c r="H232" s="994" t="s">
        <v>746</v>
      </c>
      <c r="I232" s="1047" t="s">
        <v>48</v>
      </c>
      <c r="J232" s="982" t="s">
        <v>746</v>
      </c>
      <c r="K232" s="1054"/>
      <c r="L232" s="1034"/>
      <c r="M232" s="1034"/>
      <c r="N232" s="1011"/>
      <c r="O232" s="1012"/>
      <c r="P232" s="1067"/>
      <c r="Q232" s="1094" t="s">
        <v>746</v>
      </c>
      <c r="R232" s="1115" t="str">
        <f>IF(VLOOKUP(A232,'Eclusée - Schwall-Sunk'!$A$2:$F$273,5,FALSE)="","",VLOOKUP(A232,'Eclusée - Schwall-Sunk'!$A$2:$F$273,5,FALSE))</f>
        <v/>
      </c>
      <c r="S232" s="1126" t="str">
        <f>IF(VLOOKUP(A232,'Eclusée - Schwall-Sunk'!$A$2:$F$273,6,FALSE)="","",VLOOKUP(A232,'Eclusée - Schwall-Sunk'!$A$2:$F$273,6,FALSE))</f>
        <v>Non affecté / nicht betroffen</v>
      </c>
      <c r="T232" s="1123"/>
      <c r="U232" s="572"/>
      <c r="V232" s="572"/>
    </row>
    <row r="233" spans="1:22" ht="35.25" customHeight="1" x14ac:dyDescent="0.25">
      <c r="A233" s="926">
        <v>354</v>
      </c>
      <c r="B233" s="1008" t="str">
        <f>IF(VLOOKUP(A233,'Données de base - Grunddaten'!$A$2:$M$273,3,FALSE)="","",VLOOKUP(A233,'Données de base - Grunddaten'!$A$2:$M$273,3,FALSE))</f>
        <v>Gorneren</v>
      </c>
      <c r="C233" s="1008" t="str">
        <f>IF(VLOOKUP(A233,'Données de base - Grunddaten'!$A$2:$M$273,4,FALSE)="","",VLOOKUP(A233,'Données de base - Grunddaten'!$A$2:$M$273,4,FALSE))</f>
        <v>Gornerbach</v>
      </c>
      <c r="D233" s="1008" t="str">
        <f>IF(VLOOKUP(A233,'Données de base - Grunddaten'!$A$2:$M$273,5,FALSE)="","",VLOOKUP(A233,'Données de base - Grunddaten'!$A$2:$M$273,5,FALSE))</f>
        <v>UR</v>
      </c>
      <c r="E233" s="1013" t="s">
        <v>746</v>
      </c>
      <c r="F233" s="331" t="s">
        <v>1345</v>
      </c>
      <c r="G233" s="332" t="s">
        <v>1345</v>
      </c>
      <c r="H233" s="994" t="s">
        <v>746</v>
      </c>
      <c r="I233" s="1047" t="s">
        <v>48</v>
      </c>
      <c r="J233" s="982" t="s">
        <v>746</v>
      </c>
      <c r="K233" s="1054"/>
      <c r="L233" s="1034"/>
      <c r="M233" s="1034"/>
      <c r="N233" s="1011"/>
      <c r="O233" s="1012"/>
      <c r="P233" s="1067"/>
      <c r="Q233" s="1094" t="s">
        <v>746</v>
      </c>
      <c r="R233" s="1115" t="str">
        <f>IF(VLOOKUP(A233,'Eclusée - Schwall-Sunk'!$A$2:$F$273,5,FALSE)="","",VLOOKUP(A233,'Eclusée - Schwall-Sunk'!$A$2:$F$273,5,FALSE))</f>
        <v/>
      </c>
      <c r="S233" s="1126" t="str">
        <f>IF(VLOOKUP(A233,'Eclusée - Schwall-Sunk'!$A$2:$F$273,6,FALSE)="","",VLOOKUP(A233,'Eclusée - Schwall-Sunk'!$A$2:$F$273,6,FALSE))</f>
        <v>Non affecté / nicht betroffen</v>
      </c>
      <c r="T233" s="1123"/>
      <c r="U233" s="572"/>
      <c r="V233" s="572"/>
    </row>
    <row r="234" spans="1:22" ht="35.25" customHeight="1" x14ac:dyDescent="0.25">
      <c r="A234" s="926">
        <v>355</v>
      </c>
      <c r="B234" s="1008" t="str">
        <f>IF(VLOOKUP(A234,'Données de base - Grunddaten'!$A$2:$M$273,3,FALSE)="","",VLOOKUP(A234,'Données de base - Grunddaten'!$A$2:$M$273,3,FALSE))</f>
        <v>Stäuberboden</v>
      </c>
      <c r="C234" s="1008" t="str">
        <f>IF(VLOOKUP(A234,'Données de base - Grunddaten'!$A$2:$M$273,4,FALSE)="","",VLOOKUP(A234,'Données de base - Grunddaten'!$A$2:$M$273,4,FALSE))</f>
        <v>Chärstelenbach</v>
      </c>
      <c r="D234" s="1008" t="str">
        <f>IF(VLOOKUP(A234,'Données de base - Grunddaten'!$A$2:$M$273,5,FALSE)="","",VLOOKUP(A234,'Données de base - Grunddaten'!$A$2:$M$273,5,FALSE))</f>
        <v>UR</v>
      </c>
      <c r="E234" s="1013" t="s">
        <v>746</v>
      </c>
      <c r="F234" s="331" t="s">
        <v>1345</v>
      </c>
      <c r="G234" s="332" t="s">
        <v>1345</v>
      </c>
      <c r="H234" s="994" t="s">
        <v>746</v>
      </c>
      <c r="I234" s="1047" t="s">
        <v>48</v>
      </c>
      <c r="J234" s="982" t="s">
        <v>746</v>
      </c>
      <c r="K234" s="1054"/>
      <c r="L234" s="1034"/>
      <c r="M234" s="1034"/>
      <c r="N234" s="1011"/>
      <c r="O234" s="1012"/>
      <c r="P234" s="1067"/>
      <c r="Q234" s="1094" t="s">
        <v>746</v>
      </c>
      <c r="R234" s="1115" t="str">
        <f>IF(VLOOKUP(A234,'Eclusée - Schwall-Sunk'!$A$2:$F$273,5,FALSE)="","",VLOOKUP(A234,'Eclusée - Schwall-Sunk'!$A$2:$F$273,5,FALSE))</f>
        <v/>
      </c>
      <c r="S234" s="1126" t="str">
        <f>IF(VLOOKUP(A234,'Eclusée - Schwall-Sunk'!$A$2:$F$273,6,FALSE)="","",VLOOKUP(A234,'Eclusée - Schwall-Sunk'!$A$2:$F$273,6,FALSE))</f>
        <v>Non affecté / nicht betroffen</v>
      </c>
      <c r="T234" s="1123"/>
      <c r="U234" s="572"/>
      <c r="V234" s="572"/>
    </row>
    <row r="235" spans="1:22" ht="35.25" customHeight="1" x14ac:dyDescent="0.25">
      <c r="A235" s="926">
        <v>356</v>
      </c>
      <c r="B235" s="1008" t="str">
        <f>IF(VLOOKUP(A235,'Données de base - Grunddaten'!$A$2:$M$273,3,FALSE)="","",VLOOKUP(A235,'Données de base - Grunddaten'!$A$2:$M$273,3,FALSE))</f>
        <v>Unteralp</v>
      </c>
      <c r="C235" s="1008" t="str">
        <f>IF(VLOOKUP(A235,'Données de base - Grunddaten'!$A$2:$M$273,4,FALSE)="","",VLOOKUP(A235,'Données de base - Grunddaten'!$A$2:$M$273,4,FALSE))</f>
        <v>Unteralpreuss</v>
      </c>
      <c r="D235" s="1008" t="str">
        <f>IF(VLOOKUP(A235,'Données de base - Grunddaten'!$A$2:$M$273,5,FALSE)="","",VLOOKUP(A235,'Données de base - Grunddaten'!$A$2:$M$273,5,FALSE))</f>
        <v>UR</v>
      </c>
      <c r="E235" s="1013" t="s">
        <v>730</v>
      </c>
      <c r="F235" s="328"/>
      <c r="G235" s="329"/>
      <c r="H235" s="994" t="s">
        <v>730</v>
      </c>
      <c r="I235" s="1047" t="s">
        <v>48</v>
      </c>
      <c r="J235" s="988" t="s">
        <v>730</v>
      </c>
      <c r="K235" s="1054"/>
      <c r="L235" s="1034"/>
      <c r="M235" s="1034"/>
      <c r="N235" s="1017" t="s">
        <v>1486</v>
      </c>
      <c r="O235" s="1018" t="s">
        <v>1487</v>
      </c>
      <c r="P235" s="1066"/>
      <c r="Q235" s="994" t="s">
        <v>730</v>
      </c>
      <c r="R235" s="1115" t="str">
        <f>IF(VLOOKUP(A235,'Eclusée - Schwall-Sunk'!$A$2:$F$273,5,FALSE)="","",VLOOKUP(A235,'Eclusée - Schwall-Sunk'!$A$2:$F$273,5,FALSE))</f>
        <v>force hydraulique</v>
      </c>
      <c r="S235" s="1126" t="str">
        <f>IF(VLOOKUP(A235,'Eclusée - Schwall-Sunk'!$A$2:$F$273,6,FALSE)="","",VLOOKUP(A235,'Eclusée - Schwall-Sunk'!$A$2:$F$273,6,FALSE))</f>
        <v>Potentiellement affecté / möglicherweise betroffen</v>
      </c>
      <c r="T235" s="1123"/>
      <c r="U235" s="572"/>
      <c r="V235" s="572"/>
    </row>
    <row r="236" spans="1:22" ht="35.25" customHeight="1" x14ac:dyDescent="0.25">
      <c r="A236" s="926">
        <v>357</v>
      </c>
      <c r="B236" s="1008" t="str">
        <f>IF(VLOOKUP(A236,'Données de base - Grunddaten'!$A$2:$M$273,3,FALSE)="","",VLOOKUP(A236,'Données de base - Grunddaten'!$A$2:$M$273,3,FALSE))</f>
        <v>Ghirone</v>
      </c>
      <c r="C236" s="1008" t="str">
        <f>IF(VLOOKUP(A236,'Données de base - Grunddaten'!$A$2:$M$273,4,FALSE)="","",VLOOKUP(A236,'Données de base - Grunddaten'!$A$2:$M$273,4,FALSE))</f>
        <v>Brenno della Greina</v>
      </c>
      <c r="D236" s="1008" t="str">
        <f>IF(VLOOKUP(A236,'Données de base - Grunddaten'!$A$2:$M$273,5,FALSE)="","",VLOOKUP(A236,'Données de base - Grunddaten'!$A$2:$M$273,5,FALSE))</f>
        <v>TI</v>
      </c>
      <c r="E236" s="1013" t="s">
        <v>794</v>
      </c>
      <c r="F236" s="328"/>
      <c r="G236" s="329"/>
      <c r="H236" s="994" t="s">
        <v>794</v>
      </c>
      <c r="I236" s="1004" t="s">
        <v>1346</v>
      </c>
      <c r="J236" s="988" t="s">
        <v>794</v>
      </c>
      <c r="K236" s="1053" t="s">
        <v>126</v>
      </c>
      <c r="L236" s="1010"/>
      <c r="M236" s="1039" t="s">
        <v>1475</v>
      </c>
      <c r="N236" s="1017" t="s">
        <v>1476</v>
      </c>
      <c r="O236" s="1018" t="s">
        <v>1466</v>
      </c>
      <c r="P236" s="1066"/>
      <c r="Q236" s="1096" t="s">
        <v>794</v>
      </c>
      <c r="R236" s="1115" t="str">
        <f>IF(VLOOKUP(A236,'Eclusée - Schwall-Sunk'!$A$2:$F$273,5,FALSE)="","",VLOOKUP(A236,'Eclusée - Schwall-Sunk'!$A$2:$F$273,5,FALSE))</f>
        <v>force hydraulique</v>
      </c>
      <c r="S236" s="1126" t="str">
        <f>IF(VLOOKUP(A236,'Eclusée - Schwall-Sunk'!$A$2:$F$273,6,FALSE)="","",VLOOKUP(A236,'Eclusée - Schwall-Sunk'!$A$2:$F$273,6,FALSE))</f>
        <v>Non affecté / nicht betroffen</v>
      </c>
      <c r="T236" s="1123"/>
      <c r="U236" s="572"/>
      <c r="V236" s="572"/>
    </row>
    <row r="237" spans="1:22" ht="35.25" customHeight="1" x14ac:dyDescent="0.25">
      <c r="A237" s="926">
        <v>358</v>
      </c>
      <c r="B237" s="1008" t="str">
        <f>IF(VLOOKUP(A237,'Données de base - Grunddaten'!$A$2:$M$273,3,FALSE)="","",VLOOKUP(A237,'Données de base - Grunddaten'!$A$2:$M$273,3,FALSE))</f>
        <v>Chiggiogna–Lavorgo</v>
      </c>
      <c r="C237" s="1008" t="str">
        <f>IF(VLOOKUP(A237,'Données de base - Grunddaten'!$A$2:$M$273,4,FALSE)="","",VLOOKUP(A237,'Données de base - Grunddaten'!$A$2:$M$273,4,FALSE))</f>
        <v>Ticino</v>
      </c>
      <c r="D237" s="1008" t="str">
        <f>IF(VLOOKUP(A237,'Données de base - Grunddaten'!$A$2:$M$273,5,FALSE)="","",VLOOKUP(A237,'Données de base - Grunddaten'!$A$2:$M$273,5,FALSE))</f>
        <v>TI</v>
      </c>
      <c r="E237" s="1013" t="s">
        <v>88</v>
      </c>
      <c r="F237" s="328"/>
      <c r="G237" s="329"/>
      <c r="H237" s="994" t="s">
        <v>88</v>
      </c>
      <c r="I237" s="1004" t="s">
        <v>1355</v>
      </c>
      <c r="J237" s="988" t="s">
        <v>88</v>
      </c>
      <c r="K237" s="1054"/>
      <c r="L237" s="1010"/>
      <c r="M237" s="1010"/>
      <c r="N237" s="1017" t="s">
        <v>1477</v>
      </c>
      <c r="O237" s="1018" t="s">
        <v>1478</v>
      </c>
      <c r="P237" s="1066"/>
      <c r="Q237" s="994" t="s">
        <v>88</v>
      </c>
      <c r="R237" s="1115" t="str">
        <f>IF(VLOOKUP(A237,'Eclusée - Schwall-Sunk'!$A$2:$F$273,5,FALSE)="","",VLOOKUP(A237,'Eclusée - Schwall-Sunk'!$A$2:$F$273,5,FALSE))</f>
        <v>force hydraulique</v>
      </c>
      <c r="S237" s="1126" t="str">
        <f>IF(VLOOKUP(A237,'Eclusée - Schwall-Sunk'!$A$2:$F$273,6,FALSE)="","",VLOOKUP(A237,'Eclusée - Schwall-Sunk'!$A$2:$F$273,6,FALSE))</f>
        <v>Potentiellement affecté / möglicherweise betroffen</v>
      </c>
      <c r="T237" s="1123"/>
      <c r="U237" s="572"/>
      <c r="V237" s="572"/>
    </row>
    <row r="238" spans="1:22" ht="35.25" customHeight="1" x14ac:dyDescent="0.25">
      <c r="A238" s="926">
        <v>359</v>
      </c>
      <c r="B238" s="1008" t="str">
        <f>IF(VLOOKUP(A238,'Données de base - Grunddaten'!$A$2:$M$273,3,FALSE)="","",VLOOKUP(A238,'Données de base - Grunddaten'!$A$2:$M$273,3,FALSE))</f>
        <v>Biaschina–Giornico</v>
      </c>
      <c r="C238" s="1008" t="str">
        <f>IF(VLOOKUP(A238,'Données de base - Grunddaten'!$A$2:$M$273,4,FALSE)="","",VLOOKUP(A238,'Données de base - Grunddaten'!$A$2:$M$273,4,FALSE))</f>
        <v>Ticino</v>
      </c>
      <c r="D238" s="1008" t="str">
        <f>IF(VLOOKUP(A238,'Données de base - Grunddaten'!$A$2:$M$273,5,FALSE)="","",VLOOKUP(A238,'Données de base - Grunddaten'!$A$2:$M$273,5,FALSE))</f>
        <v>TI</v>
      </c>
      <c r="E238" s="1013" t="s">
        <v>88</v>
      </c>
      <c r="F238" s="328"/>
      <c r="G238" s="329"/>
      <c r="H238" s="994" t="s">
        <v>88</v>
      </c>
      <c r="I238" s="1004" t="s">
        <v>1346</v>
      </c>
      <c r="J238" s="988" t="s">
        <v>88</v>
      </c>
      <c r="K238" s="1054"/>
      <c r="L238" s="1010"/>
      <c r="M238" s="1010"/>
      <c r="N238" s="1017" t="s">
        <v>1479</v>
      </c>
      <c r="O238" s="1018" t="s">
        <v>1480</v>
      </c>
      <c r="P238" s="1066"/>
      <c r="Q238" s="994" t="s">
        <v>88</v>
      </c>
      <c r="R238" s="1115" t="str">
        <f>IF(VLOOKUP(A238,'Eclusée - Schwall-Sunk'!$A$2:$F$273,5,FALSE)="","",VLOOKUP(A238,'Eclusée - Schwall-Sunk'!$A$2:$F$273,5,FALSE))</f>
        <v>force hydraulique</v>
      </c>
      <c r="S238" s="1126" t="str">
        <f>IF(VLOOKUP(A238,'Eclusée - Schwall-Sunk'!$A$2:$F$273,6,FALSE)="","",VLOOKUP(A238,'Eclusée - Schwall-Sunk'!$A$2:$F$273,6,FALSE))</f>
        <v>Potentiellement affecté / möglicherweise betroffen</v>
      </c>
      <c r="T238" s="1123"/>
      <c r="U238" s="572"/>
      <c r="V238" s="572"/>
    </row>
    <row r="239" spans="1:22" ht="35.25" customHeight="1" x14ac:dyDescent="0.25">
      <c r="A239" s="926">
        <v>360</v>
      </c>
      <c r="B239" s="1008" t="str">
        <f>IF(VLOOKUP(A239,'Données de base - Grunddaten'!$A$2:$M$273,3,FALSE)="","",VLOOKUP(A239,'Données de base - Grunddaten'!$A$2:$M$273,3,FALSE))</f>
        <v>Fontane</v>
      </c>
      <c r="C239" s="1008" t="str">
        <f>IF(VLOOKUP(A239,'Données de base - Grunddaten'!$A$2:$M$273,4,FALSE)="","",VLOOKUP(A239,'Données de base - Grunddaten'!$A$2:$M$273,4,FALSE))</f>
        <v>Orino</v>
      </c>
      <c r="D239" s="1008" t="str">
        <f>IF(VLOOKUP(A239,'Données de base - Grunddaten'!$A$2:$M$273,5,FALSE)="","",VLOOKUP(A239,'Données de base - Grunddaten'!$A$2:$M$273,5,FALSE))</f>
        <v>TI</v>
      </c>
      <c r="E239" s="1013" t="s">
        <v>45</v>
      </c>
      <c r="F239" s="328"/>
      <c r="G239" s="329"/>
      <c r="H239" s="994" t="s">
        <v>45</v>
      </c>
      <c r="I239" s="1004" t="s">
        <v>1376</v>
      </c>
      <c r="J239" s="989" t="s">
        <v>45</v>
      </c>
      <c r="K239" s="1053" t="s">
        <v>126</v>
      </c>
      <c r="L239" s="1010"/>
      <c r="M239" s="1039" t="s">
        <v>1475</v>
      </c>
      <c r="N239" s="1017" t="s">
        <v>1481</v>
      </c>
      <c r="O239" s="1018" t="s">
        <v>1466</v>
      </c>
      <c r="P239" s="1066"/>
      <c r="Q239" s="1096" t="s">
        <v>45</v>
      </c>
      <c r="R239" s="1115" t="str">
        <f>IF(VLOOKUP(A239,'Eclusée - Schwall-Sunk'!$A$2:$F$273,5,FALSE)="","",VLOOKUP(A239,'Eclusée - Schwall-Sunk'!$A$2:$F$273,5,FALSE))</f>
        <v>force hydraulique</v>
      </c>
      <c r="S239" s="1126" t="str">
        <f>IF(VLOOKUP(A239,'Eclusée - Schwall-Sunk'!$A$2:$F$273,6,FALSE)="","",VLOOKUP(A239,'Eclusée - Schwall-Sunk'!$A$2:$F$273,6,FALSE))</f>
        <v>Non affecté / nicht betroffen</v>
      </c>
      <c r="T239" s="1123"/>
      <c r="U239" s="572"/>
      <c r="V239" s="572"/>
    </row>
    <row r="240" spans="1:22" ht="35.25" customHeight="1" x14ac:dyDescent="0.25">
      <c r="A240" s="926">
        <v>361</v>
      </c>
      <c r="B240" s="1008" t="str">
        <f>IF(VLOOKUP(A240,'Données de base - Grunddaten'!$A$2:$M$273,3,FALSE)="","",VLOOKUP(A240,'Données de base - Grunddaten'!$A$2:$M$273,3,FALSE))</f>
        <v>Madra</v>
      </c>
      <c r="C240" s="1008" t="str">
        <f>IF(VLOOKUP(A240,'Données de base - Grunddaten'!$A$2:$M$273,4,FALSE)="","",VLOOKUP(A240,'Données de base - Grunddaten'!$A$2:$M$273,4,FALSE))</f>
        <v>Orino</v>
      </c>
      <c r="D240" s="1008" t="str">
        <f>IF(VLOOKUP(A240,'Données de base - Grunddaten'!$A$2:$M$273,5,FALSE)="","",VLOOKUP(A240,'Données de base - Grunddaten'!$A$2:$M$273,5,FALSE))</f>
        <v>TI</v>
      </c>
      <c r="E240" s="1013" t="s">
        <v>45</v>
      </c>
      <c r="F240" s="328"/>
      <c r="G240" s="329"/>
      <c r="H240" s="994" t="s">
        <v>45</v>
      </c>
      <c r="I240" s="1004" t="s">
        <v>1376</v>
      </c>
      <c r="J240" s="989" t="s">
        <v>45</v>
      </c>
      <c r="K240" s="1053" t="s">
        <v>126</v>
      </c>
      <c r="L240" s="1010"/>
      <c r="M240" s="1039" t="s">
        <v>1475</v>
      </c>
      <c r="N240" s="1017" t="s">
        <v>1481</v>
      </c>
      <c r="O240" s="1018" t="s">
        <v>1466</v>
      </c>
      <c r="P240" s="1066"/>
      <c r="Q240" s="1096" t="s">
        <v>45</v>
      </c>
      <c r="R240" s="1115" t="str">
        <f>IF(VLOOKUP(A240,'Eclusée - Schwall-Sunk'!$A$2:$F$273,5,FALSE)="","",VLOOKUP(A240,'Eclusée - Schwall-Sunk'!$A$2:$F$273,5,FALSE))</f>
        <v>force hydraulique</v>
      </c>
      <c r="S240" s="1126" t="str">
        <f>IF(VLOOKUP(A240,'Eclusée - Schwall-Sunk'!$A$2:$F$273,6,FALSE)="","",VLOOKUP(A240,'Eclusée - Schwall-Sunk'!$A$2:$F$273,6,FALSE))</f>
        <v>Non affecté / nicht betroffen</v>
      </c>
      <c r="T240" s="1123"/>
      <c r="U240" s="572"/>
      <c r="V240" s="572"/>
    </row>
    <row r="241" spans="1:23" ht="35.25" customHeight="1" x14ac:dyDescent="0.25">
      <c r="A241" s="926">
        <v>362</v>
      </c>
      <c r="B241" s="1008" t="str">
        <f>IF(VLOOKUP(A241,'Données de base - Grunddaten'!$A$2:$M$273,3,FALSE)="","",VLOOKUP(A241,'Données de base - Grunddaten'!$A$2:$M$273,3,FALSE))</f>
        <v>Calnegia</v>
      </c>
      <c r="C241" s="1008" t="str">
        <f>IF(VLOOKUP(A241,'Données de base - Grunddaten'!$A$2:$M$273,4,FALSE)="","",VLOOKUP(A241,'Données de base - Grunddaten'!$A$2:$M$273,4,FALSE))</f>
        <v>Fiume Calnegia</v>
      </c>
      <c r="D241" s="1008" t="str">
        <f>IF(VLOOKUP(A241,'Données de base - Grunddaten'!$A$2:$M$273,5,FALSE)="","",VLOOKUP(A241,'Données de base - Grunddaten'!$A$2:$M$273,5,FALSE))</f>
        <v>TI</v>
      </c>
      <c r="E241" s="1013" t="s">
        <v>746</v>
      </c>
      <c r="F241" s="331" t="s">
        <v>1345</v>
      </c>
      <c r="G241" s="332" t="s">
        <v>1345</v>
      </c>
      <c r="H241" s="994" t="s">
        <v>746</v>
      </c>
      <c r="I241" s="1047" t="s">
        <v>48</v>
      </c>
      <c r="J241" s="982" t="s">
        <v>746</v>
      </c>
      <c r="K241" s="1054"/>
      <c r="L241" s="1010"/>
      <c r="M241" s="1010"/>
      <c r="N241" s="1011"/>
      <c r="O241" s="1012"/>
      <c r="P241" s="1067"/>
      <c r="Q241" s="1094" t="s">
        <v>746</v>
      </c>
      <c r="R241" s="1115" t="str">
        <f>IF(VLOOKUP(A241,'Eclusée - Schwall-Sunk'!$A$2:$F$273,5,FALSE)="","",VLOOKUP(A241,'Eclusée - Schwall-Sunk'!$A$2:$F$273,5,FALSE))</f>
        <v/>
      </c>
      <c r="S241" s="1126" t="str">
        <f>IF(VLOOKUP(A241,'Eclusée - Schwall-Sunk'!$A$2:$F$273,6,FALSE)="","",VLOOKUP(A241,'Eclusée - Schwall-Sunk'!$A$2:$F$273,6,FALSE))</f>
        <v>Non affecté / nicht betroffen</v>
      </c>
      <c r="T241" s="1123"/>
      <c r="U241" s="572"/>
      <c r="V241" s="572"/>
    </row>
    <row r="242" spans="1:23" ht="35.25" customHeight="1" x14ac:dyDescent="0.25">
      <c r="A242" s="926">
        <v>363</v>
      </c>
      <c r="B242" s="1008" t="str">
        <f>IF(VLOOKUP(A242,'Données de base - Grunddaten'!$A$2:$M$273,3,FALSE)="","",VLOOKUP(A242,'Données de base - Grunddaten'!$A$2:$M$273,3,FALSE))</f>
        <v>Mött di Tirman</v>
      </c>
      <c r="C242" s="1008" t="str">
        <f>IF(VLOOKUP(A242,'Données de base - Grunddaten'!$A$2:$M$273,4,FALSE)="","",VLOOKUP(A242,'Données de base - Grunddaten'!$A$2:$M$273,4,FALSE))</f>
        <v>Rio Colobiasca</v>
      </c>
      <c r="D242" s="1008" t="str">
        <f>IF(VLOOKUP(A242,'Données de base - Grunddaten'!$A$2:$M$273,5,FALSE)="","",VLOOKUP(A242,'Données de base - Grunddaten'!$A$2:$M$273,5,FALSE))</f>
        <v>TI</v>
      </c>
      <c r="E242" s="1013" t="s">
        <v>746</v>
      </c>
      <c r="F242" s="331" t="s">
        <v>1345</v>
      </c>
      <c r="G242" s="332" t="s">
        <v>1345</v>
      </c>
      <c r="H242" s="994" t="s">
        <v>746</v>
      </c>
      <c r="I242" s="1047" t="s">
        <v>48</v>
      </c>
      <c r="J242" s="982" t="s">
        <v>746</v>
      </c>
      <c r="K242" s="1054"/>
      <c r="L242" s="1010"/>
      <c r="M242" s="1010"/>
      <c r="N242" s="1011"/>
      <c r="O242" s="1012"/>
      <c r="P242" s="1067"/>
      <c r="Q242" s="1094" t="s">
        <v>746</v>
      </c>
      <c r="R242" s="1115" t="str">
        <f>IF(VLOOKUP(A242,'Eclusée - Schwall-Sunk'!$A$2:$F$273,5,FALSE)="","",VLOOKUP(A242,'Eclusée - Schwall-Sunk'!$A$2:$F$273,5,FALSE))</f>
        <v/>
      </c>
      <c r="S242" s="1126" t="str">
        <f>IF(VLOOKUP(A242,'Eclusée - Schwall-Sunk'!$A$2:$F$273,6,FALSE)="","",VLOOKUP(A242,'Eclusée - Schwall-Sunk'!$A$2:$F$273,6,FALSE))</f>
        <v>Non affecté / nicht betroffen</v>
      </c>
      <c r="T242" s="1123"/>
      <c r="U242" s="572"/>
      <c r="V242" s="572"/>
    </row>
    <row r="243" spans="1:23" ht="35.25" customHeight="1" x14ac:dyDescent="0.25">
      <c r="A243" s="926">
        <v>364</v>
      </c>
      <c r="B243" s="1008" t="str">
        <f>IF(VLOOKUP(A243,'Données de base - Grunddaten'!$A$2:$M$273,3,FALSE)="","",VLOOKUP(A243,'Données de base - Grunddaten'!$A$2:$M$273,3,FALSE))</f>
        <v>Sonogno–Brione</v>
      </c>
      <c r="C243" s="1008" t="str">
        <f>IF(VLOOKUP(A243,'Données de base - Grunddaten'!$A$2:$M$273,4,FALSE)="","",VLOOKUP(A243,'Données de base - Grunddaten'!$A$2:$M$273,4,FALSE))</f>
        <v>Verzasca</v>
      </c>
      <c r="D243" s="1008" t="str">
        <f>IF(VLOOKUP(A243,'Données de base - Grunddaten'!$A$2:$M$273,5,FALSE)="","",VLOOKUP(A243,'Données de base - Grunddaten'!$A$2:$M$273,5,FALSE))</f>
        <v>TI</v>
      </c>
      <c r="E243" s="1013" t="s">
        <v>746</v>
      </c>
      <c r="F243" s="331" t="s">
        <v>1345</v>
      </c>
      <c r="G243" s="332" t="s">
        <v>1345</v>
      </c>
      <c r="H243" s="994" t="s">
        <v>746</v>
      </c>
      <c r="I243" s="1047" t="s">
        <v>48</v>
      </c>
      <c r="J243" s="982" t="s">
        <v>746</v>
      </c>
      <c r="K243" s="1054"/>
      <c r="L243" s="1010"/>
      <c r="M243" s="1010"/>
      <c r="N243" s="1011"/>
      <c r="O243" s="1012"/>
      <c r="P243" s="1067"/>
      <c r="Q243" s="1094" t="s">
        <v>746</v>
      </c>
      <c r="R243" s="1115" t="str">
        <f>IF(VLOOKUP(A243,'Eclusée - Schwall-Sunk'!$A$2:$F$273,5,FALSE)="","",VLOOKUP(A243,'Eclusée - Schwall-Sunk'!$A$2:$F$273,5,FALSE))</f>
        <v/>
      </c>
      <c r="S243" s="1126" t="str">
        <f>IF(VLOOKUP(A243,'Eclusée - Schwall-Sunk'!$A$2:$F$273,6,FALSE)="","",VLOOKUP(A243,'Eclusée - Schwall-Sunk'!$A$2:$F$273,6,FALSE))</f>
        <v>Non affecté / nicht betroffen</v>
      </c>
      <c r="T243" s="1123"/>
      <c r="U243" s="572"/>
      <c r="V243" s="572"/>
    </row>
    <row r="244" spans="1:23" ht="35.25" customHeight="1" x14ac:dyDescent="0.25">
      <c r="A244" s="926">
        <v>365</v>
      </c>
      <c r="B244" s="1008" t="str">
        <f>IF(VLOOKUP(A244,'Données de base - Grunddaten'!$A$2:$M$273,3,FALSE)="","",VLOOKUP(A244,'Données de base - Grunddaten'!$A$2:$M$273,3,FALSE))</f>
        <v>Ruscada</v>
      </c>
      <c r="C244" s="1008" t="str">
        <f>IF(VLOOKUP(A244,'Données de base - Grunddaten'!$A$2:$M$273,4,FALSE)="","",VLOOKUP(A244,'Données de base - Grunddaten'!$A$2:$M$273,4,FALSE))</f>
        <v>Boggera</v>
      </c>
      <c r="D244" s="1008" t="str">
        <f>IF(VLOOKUP(A244,'Données de base - Grunddaten'!$A$2:$M$273,5,FALSE)="","",VLOOKUP(A244,'Données de base - Grunddaten'!$A$2:$M$273,5,FALSE))</f>
        <v>TI</v>
      </c>
      <c r="E244" s="1013" t="s">
        <v>746</v>
      </c>
      <c r="F244" s="331" t="s">
        <v>1345</v>
      </c>
      <c r="G244" s="332" t="s">
        <v>1345</v>
      </c>
      <c r="H244" s="994" t="s">
        <v>746</v>
      </c>
      <c r="I244" s="1047" t="s">
        <v>48</v>
      </c>
      <c r="J244" s="982" t="s">
        <v>746</v>
      </c>
      <c r="K244" s="1054"/>
      <c r="L244" s="1010"/>
      <c r="M244" s="1010"/>
      <c r="N244" s="1011"/>
      <c r="O244" s="1012"/>
      <c r="P244" s="1067"/>
      <c r="Q244" s="1094" t="s">
        <v>746</v>
      </c>
      <c r="R244" s="1115" t="str">
        <f>IF(VLOOKUP(A244,'Eclusée - Schwall-Sunk'!$A$2:$F$273,5,FALSE)="","",VLOOKUP(A244,'Eclusée - Schwall-Sunk'!$A$2:$F$273,5,FALSE))</f>
        <v/>
      </c>
      <c r="S244" s="1126" t="str">
        <f>IF(VLOOKUP(A244,'Eclusée - Schwall-Sunk'!$A$2:$F$273,6,FALSE)="","",VLOOKUP(A244,'Eclusée - Schwall-Sunk'!$A$2:$F$273,6,FALSE))</f>
        <v>Non affecté / nicht betroffen</v>
      </c>
      <c r="T244" s="1123"/>
      <c r="U244" s="572"/>
      <c r="V244" s="572"/>
    </row>
    <row r="245" spans="1:23" ht="35.25" customHeight="1" x14ac:dyDescent="0.25">
      <c r="A245" s="926">
        <v>366</v>
      </c>
      <c r="B245" s="1008" t="str">
        <f>IF(VLOOKUP(A245,'Données de base - Grunddaten'!$A$2:$M$273,3,FALSE)="","",VLOOKUP(A245,'Données de base - Grunddaten'!$A$2:$M$273,3,FALSE))</f>
        <v>Vezio–Aranno</v>
      </c>
      <c r="C245" s="1008" t="str">
        <f>IF(VLOOKUP(A245,'Données de base - Grunddaten'!$A$2:$M$273,4,FALSE)="","",VLOOKUP(A245,'Données de base - Grunddaten'!$A$2:$M$273,4,FALSE))</f>
        <v>Magliasina</v>
      </c>
      <c r="D245" s="1008" t="str">
        <f>IF(VLOOKUP(A245,'Données de base - Grunddaten'!$A$2:$M$273,5,FALSE)="","",VLOOKUP(A245,'Données de base - Grunddaten'!$A$2:$M$273,5,FALSE))</f>
        <v>TI</v>
      </c>
      <c r="E245" s="1013" t="s">
        <v>746</v>
      </c>
      <c r="F245" s="331" t="s">
        <v>1345</v>
      </c>
      <c r="G245" s="332" t="s">
        <v>1345</v>
      </c>
      <c r="H245" s="994" t="s">
        <v>746</v>
      </c>
      <c r="I245" s="1047" t="s">
        <v>48</v>
      </c>
      <c r="J245" s="982" t="s">
        <v>746</v>
      </c>
      <c r="K245" s="1054"/>
      <c r="L245" s="1010"/>
      <c r="M245" s="1010"/>
      <c r="N245" s="1011"/>
      <c r="O245" s="1012"/>
      <c r="P245" s="1067"/>
      <c r="Q245" s="1094" t="s">
        <v>746</v>
      </c>
      <c r="R245" s="1115" t="str">
        <f>IF(VLOOKUP(A245,'Eclusée - Schwall-Sunk'!$A$2:$F$273,5,FALSE)="","",VLOOKUP(A245,'Eclusée - Schwall-Sunk'!$A$2:$F$273,5,FALSE))</f>
        <v/>
      </c>
      <c r="S245" s="1126" t="str">
        <f>IF(VLOOKUP(A245,'Eclusée - Schwall-Sunk'!$A$2:$F$273,6,FALSE)="","",VLOOKUP(A245,'Eclusée - Schwall-Sunk'!$A$2:$F$273,6,FALSE))</f>
        <v>Non affecté / nicht betroffen</v>
      </c>
      <c r="T245" s="1123"/>
      <c r="U245" s="572"/>
      <c r="V245" s="572"/>
    </row>
    <row r="246" spans="1:23" ht="35.25" customHeight="1" x14ac:dyDescent="0.25">
      <c r="A246" s="926">
        <v>367</v>
      </c>
      <c r="B246" s="1008" t="str">
        <f>IF(VLOOKUP(A246,'Données de base - Grunddaten'!$A$2:$M$273,3,FALSE)="","",VLOOKUP(A246,'Données de base - Grunddaten'!$A$2:$M$273,3,FALSE))</f>
        <v>Caslano</v>
      </c>
      <c r="C246" s="1008" t="str">
        <f>IF(VLOOKUP(A246,'Données de base - Grunddaten'!$A$2:$M$273,4,FALSE)="","",VLOOKUP(A246,'Données de base - Grunddaten'!$A$2:$M$273,4,FALSE))</f>
        <v>Lago di Lugano, Magliasina</v>
      </c>
      <c r="D246" s="1008" t="str">
        <f>IF(VLOOKUP(A246,'Données de base - Grunddaten'!$A$2:$M$273,5,FALSE)="","",VLOOKUP(A246,'Données de base - Grunddaten'!$A$2:$M$273,5,FALSE))</f>
        <v>TI</v>
      </c>
      <c r="E246" s="1013" t="s">
        <v>746</v>
      </c>
      <c r="F246" s="331" t="s">
        <v>1345</v>
      </c>
      <c r="G246" s="332" t="s">
        <v>1345</v>
      </c>
      <c r="H246" s="999" t="s">
        <v>746</v>
      </c>
      <c r="I246" s="1047" t="s">
        <v>48</v>
      </c>
      <c r="J246" s="982" t="s">
        <v>746</v>
      </c>
      <c r="K246" s="1055"/>
      <c r="L246" s="1040"/>
      <c r="M246" s="1040"/>
      <c r="N246" s="1011"/>
      <c r="O246" s="1012"/>
      <c r="P246" s="1067"/>
      <c r="Q246" s="1094" t="s">
        <v>746</v>
      </c>
      <c r="R246" s="1115" t="str">
        <f>IF(VLOOKUP(A246,'Eclusée - Schwall-Sunk'!$A$2:$F$273,5,FALSE)="","",VLOOKUP(A246,'Eclusée - Schwall-Sunk'!$A$2:$F$273,5,FALSE))</f>
        <v/>
      </c>
      <c r="S246" s="1126" t="str">
        <f>IF(VLOOKUP(A246,'Eclusée - Schwall-Sunk'!$A$2:$F$273,6,FALSE)="","",VLOOKUP(A246,'Eclusée - Schwall-Sunk'!$A$2:$F$273,6,FALSE))</f>
        <v>Non affecté / nicht betroffen</v>
      </c>
      <c r="T246" s="1123"/>
      <c r="U246" s="572"/>
      <c r="V246" s="572"/>
    </row>
    <row r="247" spans="1:23" ht="35.25" customHeight="1" x14ac:dyDescent="0.25">
      <c r="A247" s="930">
        <v>368</v>
      </c>
      <c r="B247" s="1008" t="str">
        <f>IF(VLOOKUP(A247,'Données de base - Grunddaten'!$A$2:$M$273,3,FALSE)="","",VLOOKUP(A247,'Données de base - Grunddaten'!$A$2:$M$273,3,FALSE))</f>
        <v>Genestrerio</v>
      </c>
      <c r="C247" s="1008" t="str">
        <f>IF(VLOOKUP(A247,'Données de base - Grunddaten'!$A$2:$M$273,4,FALSE)="","",VLOOKUP(A247,'Données de base - Grunddaten'!$A$2:$M$273,4,FALSE))</f>
        <v>Laveggio</v>
      </c>
      <c r="D247" s="1008" t="str">
        <f>IF(VLOOKUP(A247,'Données de base - Grunddaten'!$A$2:$M$273,5,FALSE)="","",VLOOKUP(A247,'Données de base - Grunddaten'!$A$2:$M$273,5,FALSE))</f>
        <v>TI</v>
      </c>
      <c r="E247" s="1013" t="s">
        <v>40</v>
      </c>
      <c r="F247" s="331" t="s">
        <v>1345</v>
      </c>
      <c r="G247" s="332" t="s">
        <v>1345</v>
      </c>
      <c r="H247" s="994" t="s">
        <v>751</v>
      </c>
      <c r="I247" s="1047" t="s">
        <v>48</v>
      </c>
      <c r="J247" s="982" t="s">
        <v>751</v>
      </c>
      <c r="K247" s="1054"/>
      <c r="L247" s="1010"/>
      <c r="M247" s="1010"/>
      <c r="N247" s="1011"/>
      <c r="O247" s="1012"/>
      <c r="P247" s="1067"/>
      <c r="Q247" s="1094" t="s">
        <v>751</v>
      </c>
      <c r="R247" s="1115" t="str">
        <f>IF(VLOOKUP(A247,'Eclusée - Schwall-Sunk'!$A$2:$F$273,5,FALSE)="","",VLOOKUP(A247,'Eclusée - Schwall-Sunk'!$A$2:$F$273,5,FALSE))</f>
        <v/>
      </c>
      <c r="S247" s="1126" t="str">
        <f>IF(VLOOKUP(A247,'Eclusée - Schwall-Sunk'!$A$2:$F$273,6,FALSE)="","",VLOOKUP(A247,'Eclusée - Schwall-Sunk'!$A$2:$F$273,6,FALSE))</f>
        <v>Non affecté / nicht betroffen</v>
      </c>
      <c r="T247" s="1123"/>
      <c r="U247" s="572"/>
      <c r="V247" s="572"/>
    </row>
    <row r="248" spans="1:23" ht="35.25" customHeight="1" x14ac:dyDescent="0.25">
      <c r="A248" s="926">
        <v>369</v>
      </c>
      <c r="B248" s="1008" t="str">
        <f>IF(VLOOKUP(A248,'Données de base - Grunddaten'!$A$2:$M$273,3,FALSE)="","",VLOOKUP(A248,'Données de base - Grunddaten'!$A$2:$M$273,3,FALSE))</f>
        <v>Goldachtobel</v>
      </c>
      <c r="C248" s="1008" t="str">
        <f>IF(VLOOKUP(A248,'Données de base - Grunddaten'!$A$2:$M$273,4,FALSE)="","",VLOOKUP(A248,'Données de base - Grunddaten'!$A$2:$M$273,4,FALSE))</f>
        <v>Goldach</v>
      </c>
      <c r="D248" s="1008" t="str">
        <f>IF(VLOOKUP(A248,'Données de base - Grunddaten'!$A$2:$M$273,5,FALSE)="","",VLOOKUP(A248,'Données de base - Grunddaten'!$A$2:$M$273,5,FALSE))</f>
        <v>SG</v>
      </c>
      <c r="E248" s="1013" t="s">
        <v>730</v>
      </c>
      <c r="F248" s="328"/>
      <c r="G248" s="329"/>
      <c r="H248" s="994" t="s">
        <v>730</v>
      </c>
      <c r="I248" s="1004" t="s">
        <v>1334</v>
      </c>
      <c r="J248" s="989" t="s">
        <v>730</v>
      </c>
      <c r="K248" s="1053" t="s">
        <v>126</v>
      </c>
      <c r="L248" s="1041" t="s">
        <v>1430</v>
      </c>
      <c r="M248" s="1041" t="s">
        <v>1431</v>
      </c>
      <c r="N248" s="1017" t="s">
        <v>1432</v>
      </c>
      <c r="O248" s="1018" t="s">
        <v>1433</v>
      </c>
      <c r="P248" s="1068" t="s">
        <v>1434</v>
      </c>
      <c r="Q248" s="994" t="s">
        <v>88</v>
      </c>
      <c r="R248" s="1115" t="str">
        <f>IF(VLOOKUP(A248,'Eclusée - Schwall-Sunk'!$A$2:$F$273,5,FALSE)="","",VLOOKUP(A248,'Eclusée - Schwall-Sunk'!$A$2:$F$273,5,FALSE))</f>
        <v>force hydraulique</v>
      </c>
      <c r="S248" s="1126" t="str">
        <f>IF(VLOOKUP(A248,'Eclusée - Schwall-Sunk'!$A$2:$F$273,6,FALSE)="","",VLOOKUP(A248,'Eclusée - Schwall-Sunk'!$A$2:$F$273,6,FALSE))</f>
        <v>Non affecté / nicht betroffen</v>
      </c>
      <c r="T248" s="1123"/>
      <c r="U248" s="572"/>
      <c r="V248" s="572"/>
      <c r="W248" s="1073" t="s">
        <v>1905</v>
      </c>
    </row>
    <row r="249" spans="1:23" ht="35.25" customHeight="1" x14ac:dyDescent="0.25">
      <c r="A249" s="926">
        <v>371</v>
      </c>
      <c r="B249" s="1008" t="str">
        <f>IF(VLOOKUP(A249,'Données de base - Grunddaten'!$A$2:$M$273,3,FALSE)="","",VLOOKUP(A249,'Données de base - Grunddaten'!$A$2:$M$273,3,FALSE))</f>
        <v>Ampferenboden</v>
      </c>
      <c r="C249" s="1008" t="str">
        <f>IF(VLOOKUP(A249,'Données de base - Grunddaten'!$A$2:$M$273,4,FALSE)="","",VLOOKUP(A249,'Données de base - Grunddaten'!$A$2:$M$273,4,FALSE))</f>
        <v>Necker</v>
      </c>
      <c r="D249" s="1008" t="str">
        <f>IF(VLOOKUP(A249,'Données de base - Grunddaten'!$A$2:$M$273,5,FALSE)="","",VLOOKUP(A249,'Données de base - Grunddaten'!$A$2:$M$273,5,FALSE))</f>
        <v>AR/SG</v>
      </c>
      <c r="E249" s="1013" t="s">
        <v>746</v>
      </c>
      <c r="F249" s="331" t="s">
        <v>1345</v>
      </c>
      <c r="G249" s="332" t="s">
        <v>1345</v>
      </c>
      <c r="H249" s="994" t="s">
        <v>746</v>
      </c>
      <c r="I249" s="1047" t="s">
        <v>48</v>
      </c>
      <c r="J249" s="982" t="s">
        <v>746</v>
      </c>
      <c r="K249" s="1054"/>
      <c r="L249" s="1010"/>
      <c r="M249" s="1042" t="s">
        <v>1349</v>
      </c>
      <c r="N249" s="1011"/>
      <c r="O249" s="1012"/>
      <c r="P249" s="1058"/>
      <c r="Q249" s="1094" t="s">
        <v>746</v>
      </c>
      <c r="R249" s="1115" t="str">
        <f>IF(VLOOKUP(A249,'Eclusée - Schwall-Sunk'!$A$2:$F$273,5,FALSE)="","",VLOOKUP(A249,'Eclusée - Schwall-Sunk'!$A$2:$F$273,5,FALSE))</f>
        <v/>
      </c>
      <c r="S249" s="1126" t="str">
        <f>IF(VLOOKUP(A249,'Eclusée - Schwall-Sunk'!$A$2:$F$273,6,FALSE)="","",VLOOKUP(A249,'Eclusée - Schwall-Sunk'!$A$2:$F$273,6,FALSE))</f>
        <v>Non affecté / nicht betroffen</v>
      </c>
      <c r="T249" s="1123"/>
      <c r="U249" s="572"/>
      <c r="V249" s="572"/>
    </row>
    <row r="250" spans="1:23" ht="35.25" customHeight="1" x14ac:dyDescent="0.25">
      <c r="A250" s="1233">
        <v>372</v>
      </c>
      <c r="B250" s="1008" t="str">
        <f>IF(VLOOKUP(A250,'Données de base - Grunddaten'!$A$2:$M$273,3,FALSE)="","",VLOOKUP(A250,'Données de base - Grunddaten'!$A$2:$M$273,3,FALSE))</f>
        <v>Weissbad</v>
      </c>
      <c r="C250" s="1008" t="str">
        <f>IF(VLOOKUP(A250,'Données de base - Grunddaten'!$A$2:$M$273,4,FALSE)="","",VLOOKUP(A250,'Données de base - Grunddaten'!$A$2:$M$273,4,FALSE))</f>
        <v>Wissbach</v>
      </c>
      <c r="D250" s="1008" t="str">
        <f>IF(VLOOKUP(A250,'Données de base - Grunddaten'!$A$2:$M$273,5,FALSE)="","",VLOOKUP(A250,'Données de base - Grunddaten'!$A$2:$M$273,5,FALSE))</f>
        <v>AI</v>
      </c>
      <c r="E250" s="1013" t="s">
        <v>40</v>
      </c>
      <c r="F250" s="331" t="s">
        <v>1345</v>
      </c>
      <c r="G250" s="332" t="s">
        <v>1345</v>
      </c>
      <c r="H250" s="994" t="s">
        <v>751</v>
      </c>
      <c r="I250" s="1047" t="s">
        <v>48</v>
      </c>
      <c r="J250" s="982" t="s">
        <v>751</v>
      </c>
      <c r="K250" s="1054"/>
      <c r="L250" s="1010"/>
      <c r="M250" s="1042" t="s">
        <v>1349</v>
      </c>
      <c r="N250" s="1011"/>
      <c r="O250" s="1012"/>
      <c r="P250" s="1058"/>
      <c r="Q250" s="1094" t="s">
        <v>751</v>
      </c>
      <c r="R250" s="1115" t="str">
        <f>IF(VLOOKUP(A250,'Eclusée - Schwall-Sunk'!$A$2:$F$273,5,FALSE)="","",VLOOKUP(A250,'Eclusée - Schwall-Sunk'!$A$2:$F$273,5,FALSE))</f>
        <v/>
      </c>
      <c r="S250" s="1126" t="str">
        <f>IF(VLOOKUP(A250,'Eclusée - Schwall-Sunk'!$A$2:$F$273,6,FALSE)="","",VLOOKUP(A250,'Eclusée - Schwall-Sunk'!$A$2:$F$273,6,FALSE))</f>
        <v>Non affecté / nicht betroffen</v>
      </c>
      <c r="T250" s="1123"/>
      <c r="U250" s="572"/>
      <c r="V250" s="572"/>
    </row>
    <row r="251" spans="1:23" ht="35.25" customHeight="1" x14ac:dyDescent="0.25">
      <c r="A251" s="926">
        <v>373</v>
      </c>
      <c r="B251" s="1008" t="str">
        <f>IF(VLOOKUP(A251,'Données de base - Grunddaten'!$A$2:$M$273,3,FALSE)="","",VLOOKUP(A251,'Données de base - Grunddaten'!$A$2:$M$273,3,FALSE))</f>
        <v>Schilstal / Sand</v>
      </c>
      <c r="C251" s="1008" t="str">
        <f>IF(VLOOKUP(A251,'Données de base - Grunddaten'!$A$2:$M$273,4,FALSE)="","",VLOOKUP(A251,'Données de base - Grunddaten'!$A$2:$M$273,4,FALSE))</f>
        <v>Fanbach, Furschbach, Schils</v>
      </c>
      <c r="D251" s="1008" t="str">
        <f>IF(VLOOKUP(A251,'Données de base - Grunddaten'!$A$2:$M$273,5,FALSE)="","",VLOOKUP(A251,'Données de base - Grunddaten'!$A$2:$M$273,5,FALSE))</f>
        <v>SG</v>
      </c>
      <c r="E251" s="1013" t="s">
        <v>746</v>
      </c>
      <c r="F251" s="331" t="s">
        <v>1345</v>
      </c>
      <c r="G251" s="332" t="s">
        <v>1345</v>
      </c>
      <c r="H251" s="994" t="s">
        <v>746</v>
      </c>
      <c r="I251" s="1047" t="s">
        <v>48</v>
      </c>
      <c r="J251" s="982" t="s">
        <v>746</v>
      </c>
      <c r="K251" s="1054"/>
      <c r="L251" s="1010"/>
      <c r="M251" s="1010"/>
      <c r="N251" s="1011"/>
      <c r="O251" s="1012"/>
      <c r="P251" s="1058"/>
      <c r="Q251" s="1094" t="s">
        <v>746</v>
      </c>
      <c r="R251" s="1115" t="str">
        <f>IF(VLOOKUP(A251,'Eclusée - Schwall-Sunk'!$A$2:$F$273,5,FALSE)="","",VLOOKUP(A251,'Eclusée - Schwall-Sunk'!$A$2:$F$273,5,FALSE))</f>
        <v/>
      </c>
      <c r="S251" s="1126" t="str">
        <f>IF(VLOOKUP(A251,'Eclusée - Schwall-Sunk'!$A$2:$F$273,6,FALSE)="","",VLOOKUP(A251,'Eclusée - Schwall-Sunk'!$A$2:$F$273,6,FALSE))</f>
        <v>Non affecté / nicht betroffen</v>
      </c>
      <c r="T251" s="1123"/>
      <c r="U251" s="572"/>
      <c r="V251" s="572"/>
    </row>
    <row r="252" spans="1:23" ht="35.25" customHeight="1" x14ac:dyDescent="0.25">
      <c r="A252" s="926">
        <v>374</v>
      </c>
      <c r="B252" s="1008" t="str">
        <f>IF(VLOOKUP(A252,'Données de base - Grunddaten'!$A$2:$M$273,3,FALSE)="","",VLOOKUP(A252,'Données de base - Grunddaten'!$A$2:$M$273,3,FALSE))</f>
        <v>Rheinau / Cholau</v>
      </c>
      <c r="C252" s="1008" t="str">
        <f>IF(VLOOKUP(A252,'Données de base - Grunddaten'!$A$2:$M$273,4,FALSE)="","",VLOOKUP(A252,'Données de base - Grunddaten'!$A$2:$M$273,4,FALSE))</f>
        <v>Mülbach, Rhein</v>
      </c>
      <c r="D252" s="1008" t="str">
        <f>IF(VLOOKUP(A252,'Données de base - Grunddaten'!$A$2:$M$273,5,FALSE)="","",VLOOKUP(A252,'Données de base - Grunddaten'!$A$2:$M$273,5,FALSE))</f>
        <v>SG</v>
      </c>
      <c r="E252" s="1013" t="s">
        <v>45</v>
      </c>
      <c r="F252" s="328"/>
      <c r="G252" s="326"/>
      <c r="H252" s="994" t="s">
        <v>45</v>
      </c>
      <c r="I252" s="1047" t="s">
        <v>48</v>
      </c>
      <c r="J252" s="982" t="s">
        <v>45</v>
      </c>
      <c r="K252" s="1054"/>
      <c r="L252" s="1010"/>
      <c r="M252" s="1010"/>
      <c r="N252" s="1011"/>
      <c r="O252" s="1012"/>
      <c r="P252" s="1069" t="s">
        <v>1435</v>
      </c>
      <c r="Q252" s="1094" t="s">
        <v>45</v>
      </c>
      <c r="R252" s="1115" t="str">
        <f>IF(VLOOKUP(A252,'Eclusée - Schwall-Sunk'!$A$2:$F$273,5,FALSE)="","",VLOOKUP(A252,'Eclusée - Schwall-Sunk'!$A$2:$F$273,5,FALSE))</f>
        <v>force hydraulique</v>
      </c>
      <c r="S252" s="1126" t="str">
        <f>IF(VLOOKUP(A252,'Eclusée - Schwall-Sunk'!$A$2:$F$273,6,FALSE)="","",VLOOKUP(A252,'Eclusée - Schwall-Sunk'!$A$2:$F$273,6,FALSE))</f>
        <v>Potentiellement affecté / möglicherweise betroffen</v>
      </c>
      <c r="T252" s="1123"/>
      <c r="U252" s="572"/>
      <c r="V252" s="572"/>
    </row>
    <row r="253" spans="1:23" ht="35.25" customHeight="1" x14ac:dyDescent="0.25">
      <c r="A253" s="929">
        <v>375</v>
      </c>
      <c r="B253" s="1008" t="str">
        <f>IF(VLOOKUP(A253,'Données de base - Grunddaten'!$A$2:$M$273,3,FALSE)="","",VLOOKUP(A253,'Données de base - Grunddaten'!$A$2:$M$273,3,FALSE))</f>
        <v>Rheinau</v>
      </c>
      <c r="C253" s="1008" t="str">
        <f>IF(VLOOKUP(A253,'Données de base - Grunddaten'!$A$2:$M$273,4,FALSE)="","",VLOOKUP(A253,'Données de base - Grunddaten'!$A$2:$M$273,4,FALSE))</f>
        <v>Rhein</v>
      </c>
      <c r="D253" s="1008" t="str">
        <f>IF(VLOOKUP(A253,'Données de base - Grunddaten'!$A$2:$M$273,5,FALSE)="","",VLOOKUP(A253,'Données de base - Grunddaten'!$A$2:$M$273,5,FALSE))</f>
        <v>GR</v>
      </c>
      <c r="E253" s="1013" t="s">
        <v>45</v>
      </c>
      <c r="F253" s="328"/>
      <c r="G253" s="326"/>
      <c r="H253" s="994" t="s">
        <v>45</v>
      </c>
      <c r="I253" s="1047" t="s">
        <v>48</v>
      </c>
      <c r="J253" s="981" t="s">
        <v>45</v>
      </c>
      <c r="K253" s="1054"/>
      <c r="L253" s="1034"/>
      <c r="M253" s="1034"/>
      <c r="N253" s="1011"/>
      <c r="O253" s="1012"/>
      <c r="P253" s="1067"/>
      <c r="Q253" s="1093" t="s">
        <v>45</v>
      </c>
      <c r="R253" s="1115" t="str">
        <f>IF(VLOOKUP(A253,'Eclusée - Schwall-Sunk'!$A$2:$F$273,5,FALSE)="","",VLOOKUP(A253,'Eclusée - Schwall-Sunk'!$A$2:$F$273,5,FALSE))</f>
        <v>force hydraulique</v>
      </c>
      <c r="S253" s="1126" t="str">
        <f>IF(VLOOKUP(A253,'Eclusée - Schwall-Sunk'!$A$2:$F$273,6,FALSE)="","",VLOOKUP(A253,'Eclusée - Schwall-Sunk'!$A$2:$F$273,6,FALSE))</f>
        <v>Potentiellement affecté / möglicherweise betroffen</v>
      </c>
      <c r="T253" s="1123"/>
      <c r="U253" s="572"/>
      <c r="V253" s="572"/>
    </row>
    <row r="254" spans="1:23" ht="35.25" customHeight="1" x14ac:dyDescent="0.25">
      <c r="A254" s="926">
        <v>376</v>
      </c>
      <c r="B254" s="1008" t="str">
        <f>IF(VLOOKUP(A254,'Données de base - Grunddaten'!$A$2:$M$273,3,FALSE)="","",VLOOKUP(A254,'Données de base - Grunddaten'!$A$2:$M$273,3,FALSE))</f>
        <v>Sarelli–Rosenbergli</v>
      </c>
      <c r="C254" s="1008" t="str">
        <f>IF(VLOOKUP(A254,'Données de base - Grunddaten'!$A$2:$M$273,4,FALSE)="","",VLOOKUP(A254,'Données de base - Grunddaten'!$A$2:$M$273,4,FALSE))</f>
        <v>Rhein</v>
      </c>
      <c r="D254" s="1008" t="str">
        <f>IF(VLOOKUP(A254,'Données de base - Grunddaten'!$A$2:$M$273,5,FALSE)="","",VLOOKUP(A254,'Données de base - Grunddaten'!$A$2:$M$273,5,FALSE))</f>
        <v>SG</v>
      </c>
      <c r="E254" s="1013" t="s">
        <v>45</v>
      </c>
      <c r="F254" s="328"/>
      <c r="G254" s="326"/>
      <c r="H254" s="994" t="s">
        <v>45</v>
      </c>
      <c r="I254" s="1047" t="s">
        <v>48</v>
      </c>
      <c r="J254" s="982" t="s">
        <v>45</v>
      </c>
      <c r="K254" s="1054"/>
      <c r="L254" s="1010"/>
      <c r="M254" s="1010"/>
      <c r="N254" s="1011"/>
      <c r="O254" s="1012"/>
      <c r="P254" s="1058"/>
      <c r="Q254" s="1094" t="s">
        <v>45</v>
      </c>
      <c r="R254" s="1115" t="str">
        <f>IF(VLOOKUP(A254,'Eclusée - Schwall-Sunk'!$A$2:$F$273,5,FALSE)="","",VLOOKUP(A254,'Eclusée - Schwall-Sunk'!$A$2:$F$273,5,FALSE))</f>
        <v>force hydraulique</v>
      </c>
      <c r="S254" s="1126" t="str">
        <f>IF(VLOOKUP(A254,'Eclusée - Schwall-Sunk'!$A$2:$F$273,6,FALSE)="","",VLOOKUP(A254,'Eclusée - Schwall-Sunk'!$A$2:$F$273,6,FALSE))</f>
        <v>Potentiellement affecté / möglicherweise betroffen</v>
      </c>
      <c r="T254" s="1123"/>
      <c r="U254" s="572"/>
      <c r="V254" s="572"/>
    </row>
    <row r="255" spans="1:23" ht="35.25" customHeight="1" x14ac:dyDescent="0.25">
      <c r="A255" s="1233">
        <v>379</v>
      </c>
      <c r="B255" s="1008" t="str">
        <f>IF(VLOOKUP(A255,'Données de base - Grunddaten'!$A$2:$M$273,3,FALSE)="","",VLOOKUP(A255,'Données de base - Grunddaten'!$A$2:$M$273,3,FALSE))</f>
        <v>Val Cristallina</v>
      </c>
      <c r="C255" s="1008" t="str">
        <f>IF(VLOOKUP(A255,'Données de base - Grunddaten'!$A$2:$M$273,4,FALSE)="","",VLOOKUP(A255,'Données de base - Grunddaten'!$A$2:$M$273,4,FALSE))</f>
        <v>Rein da Cristallina</v>
      </c>
      <c r="D255" s="1008" t="str">
        <f>IF(VLOOKUP(A255,'Données de base - Grunddaten'!$A$2:$M$273,5,FALSE)="","",VLOOKUP(A255,'Données de base - Grunddaten'!$A$2:$M$273,5,FALSE))</f>
        <v>GR</v>
      </c>
      <c r="E255" s="1013" t="s">
        <v>794</v>
      </c>
      <c r="F255" s="328"/>
      <c r="G255" s="326"/>
      <c r="H255" s="994" t="s">
        <v>794</v>
      </c>
      <c r="I255" s="1004" t="s">
        <v>1376</v>
      </c>
      <c r="J255" s="989" t="s">
        <v>794</v>
      </c>
      <c r="K255" s="1054"/>
      <c r="L255" s="1034"/>
      <c r="M255" s="1034"/>
      <c r="N255" s="1017" t="s">
        <v>1391</v>
      </c>
      <c r="O255" s="1018" t="s">
        <v>1392</v>
      </c>
      <c r="P255" s="1066"/>
      <c r="Q255" s="1096" t="s">
        <v>794</v>
      </c>
      <c r="R255" s="1115" t="str">
        <f>IF(VLOOKUP(A255,'Eclusée - Schwall-Sunk'!$A$2:$F$273,5,FALSE)="","",VLOOKUP(A255,'Eclusée - Schwall-Sunk'!$A$2:$F$273,5,FALSE))</f>
        <v>force hydraulique</v>
      </c>
      <c r="S255" s="1126" t="str">
        <f>IF(VLOOKUP(A255,'Eclusée - Schwall-Sunk'!$A$2:$F$273,6,FALSE)="","",VLOOKUP(A255,'Eclusée - Schwall-Sunk'!$A$2:$F$273,6,FALSE))</f>
        <v>Non affecté / nicht betroffen</v>
      </c>
      <c r="T255" s="1123"/>
      <c r="U255" s="572"/>
      <c r="V255" s="572"/>
    </row>
    <row r="256" spans="1:23" ht="35.25" customHeight="1" x14ac:dyDescent="0.25">
      <c r="A256" s="926">
        <v>380</v>
      </c>
      <c r="B256" s="1008" t="str">
        <f>IF(VLOOKUP(A256,'Données de base - Grunddaten'!$A$2:$M$273,3,FALSE)="","",VLOOKUP(A256,'Données de base - Grunddaten'!$A$2:$M$273,3,FALSE))</f>
        <v>Alp Val Tenigia</v>
      </c>
      <c r="C256" s="1008" t="str">
        <f>IF(VLOOKUP(A256,'Données de base - Grunddaten'!$A$2:$M$273,4,FALSE)="","",VLOOKUP(A256,'Données de base - Grunddaten'!$A$2:$M$273,4,FALSE))</f>
        <v>Rein da Sumvitg</v>
      </c>
      <c r="D256" s="1008" t="str">
        <f>IF(VLOOKUP(A256,'Données de base - Grunddaten'!$A$2:$M$273,5,FALSE)="","",VLOOKUP(A256,'Données de base - Grunddaten'!$A$2:$M$273,5,FALSE))</f>
        <v>GR</v>
      </c>
      <c r="E256" s="1013" t="s">
        <v>746</v>
      </c>
      <c r="F256" s="331" t="s">
        <v>1345</v>
      </c>
      <c r="G256" s="332" t="s">
        <v>1345</v>
      </c>
      <c r="H256" s="994" t="s">
        <v>746</v>
      </c>
      <c r="I256" s="1047" t="s">
        <v>48</v>
      </c>
      <c r="J256" s="982" t="s">
        <v>746</v>
      </c>
      <c r="K256" s="1054"/>
      <c r="L256" s="1034"/>
      <c r="M256" s="1034"/>
      <c r="N256" s="1011"/>
      <c r="O256" s="1012"/>
      <c r="P256" s="1067"/>
      <c r="Q256" s="1094" t="s">
        <v>746</v>
      </c>
      <c r="R256" s="1115" t="str">
        <f>IF(VLOOKUP(A256,'Eclusée - Schwall-Sunk'!$A$2:$F$273,5,FALSE)="","",VLOOKUP(A256,'Eclusée - Schwall-Sunk'!$A$2:$F$273,5,FALSE))</f>
        <v/>
      </c>
      <c r="S256" s="1126" t="str">
        <f>IF(VLOOKUP(A256,'Eclusée - Schwall-Sunk'!$A$2:$F$273,6,FALSE)="","",VLOOKUP(A256,'Eclusée - Schwall-Sunk'!$A$2:$F$273,6,FALSE))</f>
        <v>Non affecté / nicht betroffen</v>
      </c>
      <c r="T256" s="1123"/>
      <c r="U256" s="572"/>
      <c r="V256" s="572"/>
    </row>
    <row r="257" spans="1:22" ht="35.25" customHeight="1" x14ac:dyDescent="0.25">
      <c r="A257" s="929">
        <v>381</v>
      </c>
      <c r="B257" s="1008" t="str">
        <f>IF(VLOOKUP(A257,'Données de base - Grunddaten'!$A$2:$M$273,3,FALSE)="","",VLOOKUP(A257,'Données de base - Grunddaten'!$A$2:$M$273,3,FALSE))</f>
        <v>L'ogna da Trun</v>
      </c>
      <c r="C257" s="1008" t="str">
        <f>IF(VLOOKUP(A257,'Données de base - Grunddaten'!$A$2:$M$273,4,FALSE)="","",VLOOKUP(A257,'Données de base - Grunddaten'!$A$2:$M$273,4,FALSE))</f>
        <v>Vorderrhein</v>
      </c>
      <c r="D257" s="1008" t="str">
        <f>IF(VLOOKUP(A257,'Données de base - Grunddaten'!$A$2:$M$273,5,FALSE)="","",VLOOKUP(A257,'Données de base - Grunddaten'!$A$2:$M$273,5,FALSE))</f>
        <v>GR</v>
      </c>
      <c r="E257" s="1013" t="s">
        <v>794</v>
      </c>
      <c r="F257" s="328"/>
      <c r="G257" s="329"/>
      <c r="H257" s="994" t="s">
        <v>794</v>
      </c>
      <c r="I257" s="1004" t="s">
        <v>1376</v>
      </c>
      <c r="J257" s="989" t="s">
        <v>794</v>
      </c>
      <c r="K257" s="1054"/>
      <c r="L257" s="1034"/>
      <c r="M257" s="1034"/>
      <c r="N257" s="1017" t="s">
        <v>1377</v>
      </c>
      <c r="O257" s="1018" t="s">
        <v>1378</v>
      </c>
      <c r="P257" s="1066"/>
      <c r="Q257" s="1096" t="s">
        <v>794</v>
      </c>
      <c r="R257" s="1115" t="str">
        <f>IF(VLOOKUP(A257,'Eclusée - Schwall-Sunk'!$A$2:$F$273,5,FALSE)="","",VLOOKUP(A257,'Eclusée - Schwall-Sunk'!$A$2:$F$273,5,FALSE))</f>
        <v>force hydraulique</v>
      </c>
      <c r="S257" s="1126" t="str">
        <f>IF(VLOOKUP(A257,'Eclusée - Schwall-Sunk'!$A$2:$F$273,6,FALSE)="","",VLOOKUP(A257,'Eclusée - Schwall-Sunk'!$A$2:$F$273,6,FALSE))</f>
        <v>Potentiellement affecté / möglicherweise betroffen</v>
      </c>
      <c r="T257" s="1123"/>
      <c r="U257" s="572"/>
      <c r="V257" s="572"/>
    </row>
    <row r="258" spans="1:22" ht="35.25" customHeight="1" x14ac:dyDescent="0.25">
      <c r="A258" s="929">
        <v>382</v>
      </c>
      <c r="B258" s="1008" t="str">
        <f>IF(VLOOKUP(A258,'Données de base - Grunddaten'!$A$2:$M$273,3,FALSE)="","",VLOOKUP(A258,'Données de base - Grunddaten'!$A$2:$M$273,3,FALSE))</f>
        <v>Surin-Lumbrein</v>
      </c>
      <c r="C258" s="1008" t="str">
        <f>IF(VLOOKUP(A258,'Données de base - Grunddaten'!$A$2:$M$273,4,FALSE)="","",VLOOKUP(A258,'Données de base - Grunddaten'!$A$2:$M$273,4,FALSE))</f>
        <v>Glogn Glenner</v>
      </c>
      <c r="D258" s="1008" t="str">
        <f>IF(VLOOKUP(A258,'Données de base - Grunddaten'!$A$2:$M$273,5,FALSE)="","",VLOOKUP(A258,'Données de base - Grunddaten'!$A$2:$M$273,5,FALSE))</f>
        <v>GR</v>
      </c>
      <c r="E258" s="1013" t="s">
        <v>40</v>
      </c>
      <c r="F258" s="331" t="s">
        <v>1345</v>
      </c>
      <c r="G258" s="332" t="s">
        <v>1345</v>
      </c>
      <c r="H258" s="994" t="s">
        <v>751</v>
      </c>
      <c r="I258" s="1047" t="s">
        <v>48</v>
      </c>
      <c r="J258" s="982" t="s">
        <v>751</v>
      </c>
      <c r="K258" s="1054"/>
      <c r="L258" s="1034"/>
      <c r="M258" s="1034"/>
      <c r="N258" s="1011"/>
      <c r="O258" s="1012"/>
      <c r="P258" s="1067"/>
      <c r="Q258" s="1094" t="s">
        <v>751</v>
      </c>
      <c r="R258" s="1115" t="str">
        <f>IF(VLOOKUP(A258,'Eclusée - Schwall-Sunk'!$A$2:$F$273,5,FALSE)="","",VLOOKUP(A258,'Eclusée - Schwall-Sunk'!$A$2:$F$273,5,FALSE))</f>
        <v/>
      </c>
      <c r="S258" s="1126" t="str">
        <f>IF(VLOOKUP(A258,'Eclusée - Schwall-Sunk'!$A$2:$F$273,6,FALSE)="","",VLOOKUP(A258,'Eclusée - Schwall-Sunk'!$A$2:$F$273,6,FALSE))</f>
        <v>Non affecté / nicht betroffen</v>
      </c>
      <c r="T258" s="1123"/>
      <c r="U258" s="572"/>
      <c r="V258" s="572"/>
    </row>
    <row r="259" spans="1:22" ht="35.25" customHeight="1" x14ac:dyDescent="0.25">
      <c r="A259" s="929">
        <v>383</v>
      </c>
      <c r="B259" s="1008" t="str">
        <f>IF(VLOOKUP(A259,'Données de base - Grunddaten'!$A$2:$M$273,3,FALSE)="","",VLOOKUP(A259,'Données de base - Grunddaten'!$A$2:$M$273,3,FALSE))</f>
        <v>Inslas Grogn</v>
      </c>
      <c r="C259" s="1008" t="str">
        <f>IF(VLOOKUP(A259,'Données de base - Grunddaten'!$A$2:$M$273,4,FALSE)="","",VLOOKUP(A259,'Données de base - Grunddaten'!$A$2:$M$273,4,FALSE))</f>
        <v>Glogn Glenner</v>
      </c>
      <c r="D259" s="1008" t="str">
        <f>IF(VLOOKUP(A259,'Données de base - Grunddaten'!$A$2:$M$273,5,FALSE)="","",VLOOKUP(A259,'Données de base - Grunddaten'!$A$2:$M$273,5,FALSE))</f>
        <v>GR</v>
      </c>
      <c r="E259" s="1013" t="s">
        <v>730</v>
      </c>
      <c r="F259" s="328"/>
      <c r="G259" s="329"/>
      <c r="H259" s="994" t="s">
        <v>730</v>
      </c>
      <c r="I259" s="1004" t="s">
        <v>1376</v>
      </c>
      <c r="J259" s="982" t="s">
        <v>730</v>
      </c>
      <c r="K259" s="1054"/>
      <c r="L259" s="1034"/>
      <c r="M259" s="1034"/>
      <c r="N259" s="1017" t="s">
        <v>1393</v>
      </c>
      <c r="O259" s="1018" t="s">
        <v>1394</v>
      </c>
      <c r="P259" s="1066"/>
      <c r="Q259" s="1094" t="s">
        <v>730</v>
      </c>
      <c r="R259" s="1115" t="str">
        <f>IF(VLOOKUP(A259,'Eclusée - Schwall-Sunk'!$A$2:$F$273,5,FALSE)="","",VLOOKUP(A259,'Eclusée - Schwall-Sunk'!$A$2:$F$273,5,FALSE))</f>
        <v>force hydraulique</v>
      </c>
      <c r="S259" s="1126" t="str">
        <f>IF(VLOOKUP(A259,'Eclusée - Schwall-Sunk'!$A$2:$F$273,6,FALSE)="","",VLOOKUP(A259,'Eclusée - Schwall-Sunk'!$A$2:$F$273,6,FALSE))</f>
        <v>Non affecté / nicht betroffen</v>
      </c>
      <c r="T259" s="1123"/>
      <c r="U259" s="572"/>
      <c r="V259" s="572"/>
    </row>
    <row r="260" spans="1:22" ht="35.25" customHeight="1" x14ac:dyDescent="0.25">
      <c r="A260" s="929">
        <v>384</v>
      </c>
      <c r="B260" s="1008" t="str">
        <f>IF(VLOOKUP(A260,'Données de base - Grunddaten'!$A$2:$M$273,3,FALSE)="","",VLOOKUP(A260,'Données de base - Grunddaten'!$A$2:$M$273,3,FALSE))</f>
        <v>Gatgs Glogn</v>
      </c>
      <c r="C260" s="1008" t="str">
        <f>IF(VLOOKUP(A260,'Données de base - Grunddaten'!$A$2:$M$273,4,FALSE)="","",VLOOKUP(A260,'Données de base - Grunddaten'!$A$2:$M$273,4,FALSE))</f>
        <v>Glogn Glenner</v>
      </c>
      <c r="D260" s="1008" t="str">
        <f>IF(VLOOKUP(A260,'Données de base - Grunddaten'!$A$2:$M$273,5,FALSE)="","",VLOOKUP(A260,'Données de base - Grunddaten'!$A$2:$M$273,5,FALSE))</f>
        <v>GR</v>
      </c>
      <c r="E260" s="1013" t="s">
        <v>799</v>
      </c>
      <c r="F260" s="328"/>
      <c r="G260" s="329"/>
      <c r="H260" s="994" t="s">
        <v>799</v>
      </c>
      <c r="I260" s="1004" t="s">
        <v>1376</v>
      </c>
      <c r="J260" s="982" t="s">
        <v>799</v>
      </c>
      <c r="K260" s="1054"/>
      <c r="L260" s="1034"/>
      <c r="M260" s="1034"/>
      <c r="N260" s="1017" t="s">
        <v>1393</v>
      </c>
      <c r="O260" s="1018" t="s">
        <v>1394</v>
      </c>
      <c r="P260" s="1066"/>
      <c r="Q260" s="1094" t="s">
        <v>799</v>
      </c>
      <c r="R260" s="1115" t="str">
        <f>IF(VLOOKUP(A260,'Eclusée - Schwall-Sunk'!$A$2:$F$273,5,FALSE)="","",VLOOKUP(A260,'Eclusée - Schwall-Sunk'!$A$2:$F$273,5,FALSE))</f>
        <v>force hydraulique</v>
      </c>
      <c r="S260" s="1126" t="str">
        <f>IF(VLOOKUP(A260,'Eclusée - Schwall-Sunk'!$A$2:$F$273,6,FALSE)="","",VLOOKUP(A260,'Eclusée - Schwall-Sunk'!$A$2:$F$273,6,FALSE))</f>
        <v>Non affecté / nicht betroffen</v>
      </c>
      <c r="T260" s="1123"/>
      <c r="U260" s="572"/>
      <c r="V260" s="572"/>
    </row>
    <row r="261" spans="1:22" ht="35.25" customHeight="1" x14ac:dyDescent="0.25">
      <c r="A261" s="1233">
        <v>385</v>
      </c>
      <c r="B261" s="1008" t="str">
        <f>IF(VLOOKUP(A261,'Données de base - Grunddaten'!$A$2:$M$273,3,FALSE)="","",VLOOKUP(A261,'Données de base - Grunddaten'!$A$2:$M$273,3,FALSE))</f>
        <v>Ruinaulta</v>
      </c>
      <c r="C261" s="1008" t="str">
        <f>IF(VLOOKUP(A261,'Données de base - Grunddaten'!$A$2:$M$273,4,FALSE)="","",VLOOKUP(A261,'Données de base - Grunddaten'!$A$2:$M$273,4,FALSE))</f>
        <v>Rein Anteriur</v>
      </c>
      <c r="D261" s="1008" t="str">
        <f>IF(VLOOKUP(A261,'Données de base - Grunddaten'!$A$2:$M$273,5,FALSE)="","",VLOOKUP(A261,'Données de base - Grunddaten'!$A$2:$M$273,5,FALSE))</f>
        <v>GR</v>
      </c>
      <c r="E261" s="1013" t="s">
        <v>45</v>
      </c>
      <c r="F261" s="328"/>
      <c r="G261" s="329"/>
      <c r="H261" s="994" t="s">
        <v>45</v>
      </c>
      <c r="I261" s="1004" t="s">
        <v>1376</v>
      </c>
      <c r="J261" s="988" t="s">
        <v>45</v>
      </c>
      <c r="K261" s="1053" t="s">
        <v>126</v>
      </c>
      <c r="L261" s="1033"/>
      <c r="M261" s="1033"/>
      <c r="N261" s="1017" t="s">
        <v>1395</v>
      </c>
      <c r="O261" s="1018" t="s">
        <v>1396</v>
      </c>
      <c r="P261" s="1066"/>
      <c r="Q261" s="994" t="s">
        <v>45</v>
      </c>
      <c r="R261" s="1115" t="str">
        <f>IF(VLOOKUP(A261,'Eclusée - Schwall-Sunk'!$A$2:$F$273,5,FALSE)="","",VLOOKUP(A261,'Eclusée - Schwall-Sunk'!$A$2:$F$273,5,FALSE))</f>
        <v>force hydraulique</v>
      </c>
      <c r="S261" s="1126" t="str">
        <f>IF(VLOOKUP(A261,'Eclusée - Schwall-Sunk'!$A$2:$F$273,6,FALSE)="","",VLOOKUP(A261,'Eclusée - Schwall-Sunk'!$A$2:$F$273,6,FALSE))</f>
        <v>Potentiellement affecté / möglicherweise betroffen</v>
      </c>
      <c r="T261" s="1123"/>
      <c r="U261" s="572"/>
      <c r="V261" s="572"/>
    </row>
    <row r="262" spans="1:22" ht="35.25" customHeight="1" x14ac:dyDescent="0.25">
      <c r="A262" s="932">
        <v>386</v>
      </c>
      <c r="B262" s="1008" t="str">
        <f>IF(VLOOKUP(A262,'Données de base - Grunddaten'!$A$2:$M$273,3,FALSE)="","",VLOOKUP(A262,'Données de base - Grunddaten'!$A$2:$M$273,3,FALSE))</f>
        <v>Wisshus</v>
      </c>
      <c r="C262" s="1008" t="str">
        <f>IF(VLOOKUP(A262,'Données de base - Grunddaten'!$A$2:$M$273,4,FALSE)="","",VLOOKUP(A262,'Données de base - Grunddaten'!$A$2:$M$273,4,FALSE))</f>
        <v>Rabiusa</v>
      </c>
      <c r="D262" s="1008" t="str">
        <f>IF(VLOOKUP(A262,'Données de base - Grunddaten'!$A$2:$M$273,5,FALSE)="","",VLOOKUP(A262,'Données de base - Grunddaten'!$A$2:$M$273,5,FALSE))</f>
        <v>GR</v>
      </c>
      <c r="E262" s="1013" t="s">
        <v>88</v>
      </c>
      <c r="F262" s="328"/>
      <c r="G262" s="329"/>
      <c r="H262" s="994" t="s">
        <v>88</v>
      </c>
      <c r="I262" s="1047" t="s">
        <v>48</v>
      </c>
      <c r="J262" s="982" t="s">
        <v>88</v>
      </c>
      <c r="K262" s="1054"/>
      <c r="L262" s="1034"/>
      <c r="M262" s="1034"/>
      <c r="N262" s="1017" t="s">
        <v>1397</v>
      </c>
      <c r="O262" s="1018" t="s">
        <v>1398</v>
      </c>
      <c r="P262" s="1066"/>
      <c r="Q262" s="1094" t="s">
        <v>88</v>
      </c>
      <c r="R262" s="1115" t="str">
        <f>IF(VLOOKUP(A262,'Eclusée - Schwall-Sunk'!$A$2:$F$273,5,FALSE)="","",VLOOKUP(A262,'Eclusée - Schwall-Sunk'!$A$2:$F$273,5,FALSE))</f>
        <v>force hydraulique</v>
      </c>
      <c r="S262" s="1126" t="str">
        <f>IF(VLOOKUP(A262,'Eclusée - Schwall-Sunk'!$A$2:$F$273,6,FALSE)="","",VLOOKUP(A262,'Eclusée - Schwall-Sunk'!$A$2:$F$273,6,FALSE))</f>
        <v>Non affecté / nicht betroffen</v>
      </c>
      <c r="T262" s="1123"/>
      <c r="U262" s="572"/>
      <c r="V262" s="572"/>
    </row>
    <row r="263" spans="1:22" ht="35.25" customHeight="1" x14ac:dyDescent="0.25">
      <c r="A263" s="1233">
        <v>387</v>
      </c>
      <c r="B263" s="1008" t="str">
        <f>IF(VLOOKUP(A263,'Données de base - Grunddaten'!$A$2:$M$273,3,FALSE)="","",VLOOKUP(A263,'Données de base - Grunddaten'!$A$2:$M$273,3,FALSE))</f>
        <v>Safien-Platz</v>
      </c>
      <c r="C263" s="1008" t="str">
        <f>IF(VLOOKUP(A263,'Données de base - Grunddaten'!$A$2:$M$273,4,FALSE)="","",VLOOKUP(A263,'Données de base - Grunddaten'!$A$2:$M$273,4,FALSE))</f>
        <v>Rabiusa</v>
      </c>
      <c r="D263" s="1008" t="str">
        <f>IF(VLOOKUP(A263,'Données de base - Grunddaten'!$A$2:$M$273,5,FALSE)="","",VLOOKUP(A263,'Données de base - Grunddaten'!$A$2:$M$273,5,FALSE))</f>
        <v>GR</v>
      </c>
      <c r="E263" s="1013" t="s">
        <v>88</v>
      </c>
      <c r="F263" s="328"/>
      <c r="G263" s="329"/>
      <c r="H263" s="994" t="s">
        <v>88</v>
      </c>
      <c r="I263" s="1004" t="s">
        <v>1376</v>
      </c>
      <c r="J263" s="982" t="s">
        <v>88</v>
      </c>
      <c r="K263" s="1054"/>
      <c r="L263" s="1034"/>
      <c r="M263" s="1034"/>
      <c r="N263" s="1017" t="s">
        <v>1523</v>
      </c>
      <c r="O263" s="1018" t="s">
        <v>1524</v>
      </c>
      <c r="P263" s="1066"/>
      <c r="Q263" s="1094" t="s">
        <v>88</v>
      </c>
      <c r="R263" s="1115" t="str">
        <f>IF(VLOOKUP(A263,'Eclusée - Schwall-Sunk'!$A$2:$F$273,5,FALSE)="","",VLOOKUP(A263,'Eclusée - Schwall-Sunk'!$A$2:$F$273,5,FALSE))</f>
        <v>force hydraulique</v>
      </c>
      <c r="S263" s="1126" t="str">
        <f>IF(VLOOKUP(A263,'Eclusée - Schwall-Sunk'!$A$2:$F$273,6,FALSE)="","",VLOOKUP(A263,'Eclusée - Schwall-Sunk'!$A$2:$F$273,6,FALSE))</f>
        <v>Non affecté / nicht betroffen</v>
      </c>
      <c r="T263" s="1123"/>
      <c r="U263" s="572"/>
      <c r="V263" s="572"/>
    </row>
    <row r="264" spans="1:22" ht="35.25" customHeight="1" x14ac:dyDescent="0.25">
      <c r="A264" s="929">
        <v>388</v>
      </c>
      <c r="B264" s="1008" t="str">
        <f>IF(VLOOKUP(A264,'Données de base - Grunddaten'!$A$2:$M$273,3,FALSE)="","",VLOOKUP(A264,'Données de base - Grunddaten'!$A$2:$M$273,3,FALSE))</f>
        <v>Luen Plessur</v>
      </c>
      <c r="C264" s="1008" t="str">
        <f>IF(VLOOKUP(A264,'Données de base - Grunddaten'!$A$2:$M$273,4,FALSE)="","",VLOOKUP(A264,'Données de base - Grunddaten'!$A$2:$M$273,4,FALSE))</f>
        <v>Plessur</v>
      </c>
      <c r="D264" s="1008" t="str">
        <f>IF(VLOOKUP(A264,'Données de base - Grunddaten'!$A$2:$M$273,5,FALSE)="","",VLOOKUP(A264,'Données de base - Grunddaten'!$A$2:$M$273,5,FALSE))</f>
        <v>GR</v>
      </c>
      <c r="E264" s="1013" t="s">
        <v>794</v>
      </c>
      <c r="F264" s="328"/>
      <c r="G264" s="329"/>
      <c r="H264" s="994" t="s">
        <v>794</v>
      </c>
      <c r="I264" s="1004" t="s">
        <v>1376</v>
      </c>
      <c r="J264" s="989" t="s">
        <v>794</v>
      </c>
      <c r="K264" s="1053" t="s">
        <v>126</v>
      </c>
      <c r="L264" s="1033"/>
      <c r="M264" s="1033"/>
      <c r="N264" s="1017" t="s">
        <v>1399</v>
      </c>
      <c r="O264" s="1018" t="s">
        <v>1400</v>
      </c>
      <c r="P264" s="1066"/>
      <c r="Q264" s="1096" t="s">
        <v>794</v>
      </c>
      <c r="R264" s="1115" t="str">
        <f>IF(VLOOKUP(A264,'Eclusée - Schwall-Sunk'!$A$2:$F$273,5,FALSE)="","",VLOOKUP(A264,'Eclusée - Schwall-Sunk'!$A$2:$F$273,5,FALSE))</f>
        <v>force hydraulique</v>
      </c>
      <c r="S264" s="1126" t="str">
        <f>IF(VLOOKUP(A264,'Eclusée - Schwall-Sunk'!$A$2:$F$273,6,FALSE)="","",VLOOKUP(A264,'Eclusée - Schwall-Sunk'!$A$2:$F$273,6,FALSE))</f>
        <v>Potentiellement affecté / möglicherweise betroffen</v>
      </c>
      <c r="T264" s="1123"/>
      <c r="U264" s="572"/>
      <c r="V264" s="572"/>
    </row>
    <row r="265" spans="1:22" ht="35.25" customHeight="1" x14ac:dyDescent="0.25">
      <c r="A265" s="1233">
        <v>389</v>
      </c>
      <c r="B265" s="1008" t="str">
        <f>IF(VLOOKUP(A265,'Données de base - Grunddaten'!$A$2:$M$273,3,FALSE)="","",VLOOKUP(A265,'Données de base - Grunddaten'!$A$2:$M$273,3,FALSE))</f>
        <v>Saas</v>
      </c>
      <c r="C265" s="1008" t="str">
        <f>IF(VLOOKUP(A265,'Données de base - Grunddaten'!$A$2:$M$273,4,FALSE)="","",VLOOKUP(A265,'Données de base - Grunddaten'!$A$2:$M$273,4,FALSE))</f>
        <v>Landquart</v>
      </c>
      <c r="D265" s="1008" t="str">
        <f>IF(VLOOKUP(A265,'Données de base - Grunddaten'!$A$2:$M$273,5,FALSE)="","",VLOOKUP(A265,'Données de base - Grunddaten'!$A$2:$M$273,5,FALSE))</f>
        <v>GR</v>
      </c>
      <c r="E265" s="1013" t="s">
        <v>730</v>
      </c>
      <c r="F265" s="328"/>
      <c r="G265" s="329"/>
      <c r="H265" s="994" t="s">
        <v>730</v>
      </c>
      <c r="I265" s="1004" t="s">
        <v>1334</v>
      </c>
      <c r="J265" s="982" t="s">
        <v>730</v>
      </c>
      <c r="K265" s="1054"/>
      <c r="L265" s="1034"/>
      <c r="M265" s="1034"/>
      <c r="N265" s="1017" t="s">
        <v>1401</v>
      </c>
      <c r="O265" s="1018" t="s">
        <v>1402</v>
      </c>
      <c r="P265" s="1066"/>
      <c r="Q265" s="1094" t="s">
        <v>730</v>
      </c>
      <c r="R265" s="1115" t="str">
        <f>IF(VLOOKUP(A265,'Eclusée - Schwall-Sunk'!$A$2:$F$273,5,FALSE)="","",VLOOKUP(A265,'Eclusée - Schwall-Sunk'!$A$2:$F$273,5,FALSE))</f>
        <v>force hydraulique</v>
      </c>
      <c r="S265" s="1126" t="str">
        <f>IF(VLOOKUP(A265,'Eclusée - Schwall-Sunk'!$A$2:$F$273,6,FALSE)="","",VLOOKUP(A265,'Eclusée - Schwall-Sunk'!$A$2:$F$273,6,FALSE))</f>
        <v>Potentiellement affecté / möglicherweise betroffen</v>
      </c>
      <c r="T265" s="1123"/>
      <c r="U265" s="572"/>
      <c r="V265" s="572"/>
    </row>
    <row r="266" spans="1:22" ht="35.25" customHeight="1" x14ac:dyDescent="0.25">
      <c r="A266" s="1233">
        <v>390</v>
      </c>
      <c r="B266" s="1008" t="str">
        <f>IF(VLOOKUP(A266,'Données de base - Grunddaten'!$A$2:$M$273,3,FALSE)="","",VLOOKUP(A266,'Données de base - Grunddaten'!$A$2:$M$273,3,FALSE))</f>
        <v>Sardasca</v>
      </c>
      <c r="C266" s="1008" t="str">
        <f>IF(VLOOKUP(A266,'Données de base - Grunddaten'!$A$2:$M$273,4,FALSE)="","",VLOOKUP(A266,'Données de base - Grunddaten'!$A$2:$M$273,4,FALSE))</f>
        <v>Verstancla Bach</v>
      </c>
      <c r="D266" s="1008" t="str">
        <f>IF(VLOOKUP(A266,'Données de base - Grunddaten'!$A$2:$M$273,5,FALSE)="","",VLOOKUP(A266,'Données de base - Grunddaten'!$A$2:$M$273,5,FALSE))</f>
        <v>GR</v>
      </c>
      <c r="E266" s="1013" t="s">
        <v>40</v>
      </c>
      <c r="F266" s="331" t="s">
        <v>1345</v>
      </c>
      <c r="G266" s="332" t="s">
        <v>1345</v>
      </c>
      <c r="H266" s="994" t="s">
        <v>751</v>
      </c>
      <c r="I266" s="1047" t="s">
        <v>48</v>
      </c>
      <c r="J266" s="982" t="s">
        <v>751</v>
      </c>
      <c r="K266" s="1054"/>
      <c r="L266" s="1034"/>
      <c r="M266" s="1034"/>
      <c r="N266" s="1011"/>
      <c r="O266" s="1012"/>
      <c r="P266" s="1067"/>
      <c r="Q266" s="1094" t="s">
        <v>751</v>
      </c>
      <c r="R266" s="1115" t="str">
        <f>IF(VLOOKUP(A266,'Eclusée - Schwall-Sunk'!$A$2:$F$273,5,FALSE)="","",VLOOKUP(A266,'Eclusée - Schwall-Sunk'!$A$2:$F$273,5,FALSE))</f>
        <v/>
      </c>
      <c r="S266" s="1126" t="str">
        <f>IF(VLOOKUP(A266,'Eclusée - Schwall-Sunk'!$A$2:$F$273,6,FALSE)="","",VLOOKUP(A266,'Eclusée - Schwall-Sunk'!$A$2:$F$273,6,FALSE))</f>
        <v>Non affecté / nicht betroffen</v>
      </c>
      <c r="T266" s="1123"/>
      <c r="U266" s="572"/>
      <c r="V266" s="572"/>
    </row>
    <row r="267" spans="1:22" ht="35.25" customHeight="1" x14ac:dyDescent="0.25">
      <c r="A267" s="1233">
        <v>391</v>
      </c>
      <c r="B267" s="1008" t="str">
        <f>IF(VLOOKUP(A267,'Données de base - Grunddaten'!$A$2:$M$273,3,FALSE)="","",VLOOKUP(A267,'Données de base - Grunddaten'!$A$2:$M$273,3,FALSE))</f>
        <v>Borgnovo</v>
      </c>
      <c r="C267" s="1008" t="str">
        <f>IF(VLOOKUP(A267,'Données de base - Grunddaten'!$A$2:$M$273,4,FALSE)="","",VLOOKUP(A267,'Données de base - Grunddaten'!$A$2:$M$273,4,FALSE))</f>
        <v>Maira</v>
      </c>
      <c r="D267" s="1008" t="str">
        <f>IF(VLOOKUP(A267,'Données de base - Grunddaten'!$A$2:$M$273,5,FALSE)="","",VLOOKUP(A267,'Données de base - Grunddaten'!$A$2:$M$273,5,FALSE))</f>
        <v>GR</v>
      </c>
      <c r="E267" s="1013" t="s">
        <v>794</v>
      </c>
      <c r="F267" s="328"/>
      <c r="G267" s="329"/>
      <c r="H267" s="994" t="s">
        <v>794</v>
      </c>
      <c r="I267" s="1004" t="s">
        <v>1346</v>
      </c>
      <c r="J267" s="989" t="s">
        <v>794</v>
      </c>
      <c r="K267" s="1053" t="s">
        <v>126</v>
      </c>
      <c r="L267" s="1033"/>
      <c r="M267" s="1033"/>
      <c r="N267" s="1017" t="s">
        <v>1403</v>
      </c>
      <c r="O267" s="1018" t="s">
        <v>1404</v>
      </c>
      <c r="P267" s="1066"/>
      <c r="Q267" s="1096" t="s">
        <v>794</v>
      </c>
      <c r="R267" s="1115" t="str">
        <f>IF(VLOOKUP(A267,'Eclusée - Schwall-Sunk'!$A$2:$F$273,5,FALSE)="","",VLOOKUP(A267,'Eclusée - Schwall-Sunk'!$A$2:$F$273,5,FALSE))</f>
        <v>force hydraulique</v>
      </c>
      <c r="S267" s="1126" t="str">
        <f>IF(VLOOKUP(A267,'Eclusée - Schwall-Sunk'!$A$2:$F$273,6,FALSE)="","",VLOOKUP(A267,'Eclusée - Schwall-Sunk'!$A$2:$F$273,6,FALSE))</f>
        <v>Non affecté / nicht betroffen</v>
      </c>
      <c r="T267" s="1123"/>
      <c r="U267" s="572"/>
      <c r="V267" s="572"/>
    </row>
    <row r="268" spans="1:22" ht="35.25" customHeight="1" x14ac:dyDescent="0.25">
      <c r="A268" s="1233">
        <v>392</v>
      </c>
      <c r="B268" s="1008" t="str">
        <f>IF(VLOOKUP(A268,'Données de base - Grunddaten'!$A$2:$M$273,3,FALSE)="","",VLOOKUP(A268,'Données de base - Grunddaten'!$A$2:$M$273,3,FALSE))</f>
        <v>Cavril</v>
      </c>
      <c r="C268" s="1008" t="str">
        <f>IF(VLOOKUP(A268,'Données de base - Grunddaten'!$A$2:$M$273,4,FALSE)="","",VLOOKUP(A268,'Données de base - Grunddaten'!$A$2:$M$273,4,FALSE))</f>
        <v>Orlegna</v>
      </c>
      <c r="D268" s="1008" t="str">
        <f>IF(VLOOKUP(A268,'Données de base - Grunddaten'!$A$2:$M$273,5,FALSE)="","",VLOOKUP(A268,'Données de base - Grunddaten'!$A$2:$M$273,5,FALSE))</f>
        <v>GR</v>
      </c>
      <c r="E268" s="1013" t="s">
        <v>88</v>
      </c>
      <c r="F268" s="328"/>
      <c r="G268" s="329"/>
      <c r="H268" s="994" t="s">
        <v>88</v>
      </c>
      <c r="I268" s="1004" t="s">
        <v>1346</v>
      </c>
      <c r="J268" s="982" t="s">
        <v>88</v>
      </c>
      <c r="K268" s="1054"/>
      <c r="L268" s="1034"/>
      <c r="M268" s="1034"/>
      <c r="N268" s="1017" t="s">
        <v>1405</v>
      </c>
      <c r="O268" s="1018" t="s">
        <v>1406</v>
      </c>
      <c r="P268" s="1066"/>
      <c r="Q268" s="1094" t="s">
        <v>88</v>
      </c>
      <c r="R268" s="1115" t="str">
        <f>IF(VLOOKUP(A268,'Eclusée - Schwall-Sunk'!$A$2:$F$273,5,FALSE)="","",VLOOKUP(A268,'Eclusée - Schwall-Sunk'!$A$2:$F$273,5,FALSE))</f>
        <v>force hydraulique</v>
      </c>
      <c r="S268" s="1126" t="str">
        <f>IF(VLOOKUP(A268,'Eclusée - Schwall-Sunk'!$A$2:$F$273,6,FALSE)="","",VLOOKUP(A268,'Eclusée - Schwall-Sunk'!$A$2:$F$273,6,FALSE))</f>
        <v>Potentiellement affecté / möglicherweise betroffen</v>
      </c>
      <c r="T268" s="1123"/>
      <c r="U268" s="572"/>
      <c r="V268" s="572"/>
    </row>
    <row r="269" spans="1:22" ht="35.25" customHeight="1" x14ac:dyDescent="0.25">
      <c r="A269" s="926">
        <v>393</v>
      </c>
      <c r="B269" s="1008" t="str">
        <f>IF(VLOOKUP(A269,'Données de base - Grunddaten'!$A$2:$M$273,3,FALSE)="","",VLOOKUP(A269,'Données de base - Grunddaten'!$A$2:$M$273,3,FALSE))</f>
        <v>Isola / Plan Grand</v>
      </c>
      <c r="C269" s="1008" t="str">
        <f>IF(VLOOKUP(A269,'Données de base - Grunddaten'!$A$2:$M$273,4,FALSE)="","",VLOOKUP(A269,'Données de base - Grunddaten'!$A$2:$M$273,4,FALSE))</f>
        <v>Aua da Fedoz, Lei da Segl</v>
      </c>
      <c r="D269" s="1008" t="str">
        <f>IF(VLOOKUP(A269,'Données de base - Grunddaten'!$A$2:$M$273,5,FALSE)="","",VLOOKUP(A269,'Données de base - Grunddaten'!$A$2:$M$273,5,FALSE))</f>
        <v>GR</v>
      </c>
      <c r="E269" s="1013" t="s">
        <v>746</v>
      </c>
      <c r="F269" s="331" t="s">
        <v>1345</v>
      </c>
      <c r="G269" s="332" t="s">
        <v>1345</v>
      </c>
      <c r="H269" s="994" t="s">
        <v>746</v>
      </c>
      <c r="I269" s="1047" t="s">
        <v>48</v>
      </c>
      <c r="J269" s="982" t="s">
        <v>746</v>
      </c>
      <c r="K269" s="1054"/>
      <c r="L269" s="1034"/>
      <c r="M269" s="1034"/>
      <c r="N269" s="1011"/>
      <c r="O269" s="1012"/>
      <c r="P269" s="1067"/>
      <c r="Q269" s="1094" t="s">
        <v>746</v>
      </c>
      <c r="R269" s="1115" t="str">
        <f>IF(VLOOKUP(A269,'Eclusée - Schwall-Sunk'!$A$2:$F$273,5,FALSE)="","",VLOOKUP(A269,'Eclusée - Schwall-Sunk'!$A$2:$F$273,5,FALSE))</f>
        <v/>
      </c>
      <c r="S269" s="1126" t="str">
        <f>IF(VLOOKUP(A269,'Eclusée - Schwall-Sunk'!$A$2:$F$273,6,FALSE)="","",VLOOKUP(A269,'Eclusée - Schwall-Sunk'!$A$2:$F$273,6,FALSE))</f>
        <v>Non affecté / nicht betroffen</v>
      </c>
      <c r="T269" s="1123"/>
      <c r="U269" s="572"/>
      <c r="V269" s="572"/>
    </row>
    <row r="270" spans="1:22" ht="35.25" customHeight="1" x14ac:dyDescent="0.25">
      <c r="A270" s="926">
        <v>394</v>
      </c>
      <c r="B270" s="1008" t="str">
        <f>IF(VLOOKUP(A270,'Données de base - Grunddaten'!$A$2:$M$273,3,FALSE)="","",VLOOKUP(A270,'Données de base - Grunddaten'!$A$2:$M$273,3,FALSE))</f>
        <v>Ova da Roseg</v>
      </c>
      <c r="C270" s="1008" t="str">
        <f>IF(VLOOKUP(A270,'Données de base - Grunddaten'!$A$2:$M$273,4,FALSE)="","",VLOOKUP(A270,'Données de base - Grunddaten'!$A$2:$M$273,4,FALSE))</f>
        <v>Ova da Roseg</v>
      </c>
      <c r="D270" s="1008" t="str">
        <f>IF(VLOOKUP(A270,'Données de base - Grunddaten'!$A$2:$M$273,5,FALSE)="","",VLOOKUP(A270,'Données de base - Grunddaten'!$A$2:$M$273,5,FALSE))</f>
        <v>GR</v>
      </c>
      <c r="E270" s="1013" t="s">
        <v>746</v>
      </c>
      <c r="F270" s="334" t="s">
        <v>1407</v>
      </c>
      <c r="G270" s="326" t="s">
        <v>1408</v>
      </c>
      <c r="H270" s="994" t="s">
        <v>88</v>
      </c>
      <c r="I270" s="1004" t="s">
        <v>1346</v>
      </c>
      <c r="J270" s="982" t="s">
        <v>88</v>
      </c>
      <c r="K270" s="1054"/>
      <c r="L270" s="1034"/>
      <c r="M270" s="1034"/>
      <c r="N270" s="1017" t="s">
        <v>1409</v>
      </c>
      <c r="O270" s="1018" t="s">
        <v>1410</v>
      </c>
      <c r="P270" s="1066"/>
      <c r="Q270" s="1094" t="s">
        <v>88</v>
      </c>
      <c r="R270" s="1115" t="str">
        <f>IF(VLOOKUP(A270,'Eclusée - Schwall-Sunk'!$A$2:$F$273,5,FALSE)="","",VLOOKUP(A270,'Eclusée - Schwall-Sunk'!$A$2:$F$273,5,FALSE))</f>
        <v>force hydraulique</v>
      </c>
      <c r="S270" s="1126" t="str">
        <f>IF(VLOOKUP(A270,'Eclusée - Schwall-Sunk'!$A$2:$F$273,6,FALSE)="","",VLOOKUP(A270,'Eclusée - Schwall-Sunk'!$A$2:$F$273,6,FALSE))</f>
        <v>Non affecté / nicht betroffen</v>
      </c>
      <c r="T270" s="1123"/>
      <c r="U270" s="572"/>
      <c r="V270" s="572"/>
    </row>
    <row r="271" spans="1:22" ht="35.25" customHeight="1" x14ac:dyDescent="0.25">
      <c r="A271" s="1233">
        <v>395</v>
      </c>
      <c r="B271" s="1008" t="str">
        <f>IF(VLOOKUP(A271,'Données de base - Grunddaten'!$A$2:$M$273,3,FALSE)="","",VLOOKUP(A271,'Données de base - Grunddaten'!$A$2:$M$273,3,FALSE))</f>
        <v>Trupchun</v>
      </c>
      <c r="C271" s="1008" t="str">
        <f>IF(VLOOKUP(A271,'Données de base - Grunddaten'!$A$2:$M$273,4,FALSE)="","",VLOOKUP(A271,'Données de base - Grunddaten'!$A$2:$M$273,4,FALSE))</f>
        <v>Ova da Varusch, Ova da Trupchun</v>
      </c>
      <c r="D271" s="1008" t="str">
        <f>IF(VLOOKUP(A271,'Données de base - Grunddaten'!$A$2:$M$273,5,FALSE)="","",VLOOKUP(A271,'Données de base - Grunddaten'!$A$2:$M$273,5,FALSE))</f>
        <v>GR</v>
      </c>
      <c r="E271" s="1013" t="s">
        <v>88</v>
      </c>
      <c r="F271" s="328"/>
      <c r="G271" s="326"/>
      <c r="H271" s="994" t="s">
        <v>88</v>
      </c>
      <c r="I271" s="1047" t="s">
        <v>1411</v>
      </c>
      <c r="J271" s="989" t="s">
        <v>88</v>
      </c>
      <c r="K271" s="1053" t="s">
        <v>126</v>
      </c>
      <c r="L271" s="1033"/>
      <c r="M271" s="1033"/>
      <c r="N271" s="1011"/>
      <c r="O271" s="1012"/>
      <c r="P271" s="1067"/>
      <c r="Q271" s="1096" t="s">
        <v>88</v>
      </c>
      <c r="R271" s="1115" t="str">
        <f>IF(VLOOKUP(A271,'Eclusée - Schwall-Sunk'!$A$2:$F$273,5,FALSE)="","",VLOOKUP(A271,'Eclusée - Schwall-Sunk'!$A$2:$F$273,5,FALSE))</f>
        <v>force hydraulique</v>
      </c>
      <c r="S271" s="1126" t="str">
        <f>IF(VLOOKUP(A271,'Eclusée - Schwall-Sunk'!$A$2:$F$273,6,FALSE)="","",VLOOKUP(A271,'Eclusée - Schwall-Sunk'!$A$2:$F$273,6,FALSE))</f>
        <v>Non affecté / nicht betroffen</v>
      </c>
      <c r="T271" s="1123"/>
      <c r="U271" s="572"/>
      <c r="V271" s="572"/>
    </row>
    <row r="272" spans="1:22" ht="35.25" customHeight="1" x14ac:dyDescent="0.25">
      <c r="A272" s="1234">
        <v>396</v>
      </c>
      <c r="B272" s="1008" t="str">
        <f>IF(VLOOKUP(A272,'Données de base - Grunddaten'!$A$2:$M$273,3,FALSE)="","",VLOOKUP(A272,'Données de base - Grunddaten'!$A$2:$M$273,3,FALSE))</f>
        <v>Ova dal Fuorn</v>
      </c>
      <c r="C272" s="1008" t="str">
        <f>IF(VLOOKUP(A272,'Données de base - Grunddaten'!$A$2:$M$273,4,FALSE)="","",VLOOKUP(A272,'Données de base - Grunddaten'!$A$2:$M$273,4,FALSE))</f>
        <v>Ova dal Fuorn</v>
      </c>
      <c r="D272" s="1008" t="str">
        <f>IF(VLOOKUP(A272,'Données de base - Grunddaten'!$A$2:$M$273,5,FALSE)="","",VLOOKUP(A272,'Données de base - Grunddaten'!$A$2:$M$273,5,FALSE))</f>
        <v>GR</v>
      </c>
      <c r="E272" s="1043">
        <v>1</v>
      </c>
      <c r="F272" s="331" t="s">
        <v>1345</v>
      </c>
      <c r="G272" s="332" t="s">
        <v>1345</v>
      </c>
      <c r="H272" s="994" t="s">
        <v>746</v>
      </c>
      <c r="I272" s="1047" t="s">
        <v>48</v>
      </c>
      <c r="J272" s="982" t="s">
        <v>746</v>
      </c>
      <c r="K272" s="1054"/>
      <c r="L272" s="1034"/>
      <c r="M272" s="1034"/>
      <c r="N272" s="1011"/>
      <c r="O272" s="1012"/>
      <c r="P272" s="1067"/>
      <c r="Q272" s="1094" t="s">
        <v>746</v>
      </c>
      <c r="R272" s="1115" t="str">
        <f>IF(VLOOKUP(A272,'Eclusée - Schwall-Sunk'!$A$2:$F$273,5,FALSE)="","",VLOOKUP(A272,'Eclusée - Schwall-Sunk'!$A$2:$F$273,5,FALSE))</f>
        <v/>
      </c>
      <c r="S272" s="1126" t="str">
        <f>IF(VLOOKUP(A272,'Eclusée - Schwall-Sunk'!$A$2:$F$273,6,FALSE)="","",VLOOKUP(A272,'Eclusée - Schwall-Sunk'!$A$2:$F$273,6,FALSE))</f>
        <v>Non affecté / nicht betroffen</v>
      </c>
      <c r="T272" s="1123"/>
      <c r="U272" s="572"/>
      <c r="V272" s="572"/>
    </row>
    <row r="273" spans="1:22" ht="35.25" customHeight="1" x14ac:dyDescent="0.25">
      <c r="A273" s="1235">
        <v>397</v>
      </c>
      <c r="B273" s="1008" t="str">
        <f>IF(VLOOKUP(A273,'Données de base - Grunddaten'!$A$2:$M$273,3,FALSE)="","",VLOOKUP(A273,'Données de base - Grunddaten'!$A$2:$M$273,3,FALSE))</f>
        <v>Ravitschana</v>
      </c>
      <c r="C273" s="1008" t="str">
        <f>IF(VLOOKUP(A273,'Données de base - Grunddaten'!$A$2:$M$273,4,FALSE)="","",VLOOKUP(A273,'Données de base - Grunddaten'!$A$2:$M$273,4,FALSE))</f>
        <v>Clemgia</v>
      </c>
      <c r="D273" s="1008" t="str">
        <f>IF(VLOOKUP(A273,'Données de base - Grunddaten'!$A$2:$M$273,5,FALSE)="","",VLOOKUP(A273,'Données de base - Grunddaten'!$A$2:$M$273,5,FALSE))</f>
        <v>GR</v>
      </c>
      <c r="E273" s="1013" t="s">
        <v>40</v>
      </c>
      <c r="F273" s="331" t="s">
        <v>1345</v>
      </c>
      <c r="G273" s="332" t="s">
        <v>1345</v>
      </c>
      <c r="H273" s="994" t="s">
        <v>751</v>
      </c>
      <c r="I273" s="1047" t="s">
        <v>48</v>
      </c>
      <c r="J273" s="982" t="s">
        <v>751</v>
      </c>
      <c r="K273" s="1054"/>
      <c r="L273" s="1034"/>
      <c r="M273" s="1034"/>
      <c r="N273" s="1011"/>
      <c r="O273" s="1012"/>
      <c r="P273" s="1067"/>
      <c r="Q273" s="1094" t="s">
        <v>751</v>
      </c>
      <c r="R273" s="1115" t="str">
        <f>IF(VLOOKUP(A273,'Eclusée - Schwall-Sunk'!$A$2:$F$273,5,FALSE)="","",VLOOKUP(A273,'Eclusée - Schwall-Sunk'!$A$2:$F$273,5,FALSE))</f>
        <v/>
      </c>
      <c r="S273" s="1126" t="str">
        <f>IF(VLOOKUP(A273,'Eclusée - Schwall-Sunk'!$A$2:$F$273,6,FALSE)="","",VLOOKUP(A273,'Eclusée - Schwall-Sunk'!$A$2:$F$273,6,FALSE))</f>
        <v>Non affecté / nicht betroffen</v>
      </c>
      <c r="T273" s="1123"/>
      <c r="U273" s="572"/>
      <c r="V273" s="572"/>
    </row>
    <row r="274" spans="1:22" ht="35.25" customHeight="1" x14ac:dyDescent="0.25">
      <c r="A274" s="934">
        <v>398</v>
      </c>
      <c r="B274" s="1008" t="str">
        <f>IF(VLOOKUP(A274,'Données de base - Grunddaten'!$A$2:$M$273,3,FALSE)="","",VLOOKUP(A274,'Données de base - Grunddaten'!$A$2:$M$273,3,FALSE))</f>
        <v>Lodrino–Iragna</v>
      </c>
      <c r="C274" s="1008" t="str">
        <f>IF(VLOOKUP(A274,'Données de base - Grunddaten'!$A$2:$M$273,4,FALSE)="","",VLOOKUP(A274,'Données de base - Grunddaten'!$A$2:$M$273,4,FALSE))</f>
        <v>Ticino</v>
      </c>
      <c r="D274" s="1008" t="str">
        <f>IF(VLOOKUP(A274,'Données de base - Grunddaten'!$A$2:$M$273,5,FALSE)="","",VLOOKUP(A274,'Données de base - Grunddaten'!$A$2:$M$273,5,FALSE))</f>
        <v>TI</v>
      </c>
      <c r="E274" s="1013" t="s">
        <v>45</v>
      </c>
      <c r="F274" s="325"/>
      <c r="G274" s="326"/>
      <c r="H274" s="994" t="s">
        <v>45</v>
      </c>
      <c r="I274" s="1004" t="s">
        <v>48</v>
      </c>
      <c r="J274" s="982" t="s">
        <v>45</v>
      </c>
      <c r="K274" s="1054"/>
      <c r="L274" s="1010"/>
      <c r="M274" s="1010"/>
      <c r="N274" s="1011"/>
      <c r="O274" s="1012"/>
      <c r="P274" s="1067"/>
      <c r="Q274" s="1094" t="s">
        <v>45</v>
      </c>
      <c r="R274" s="1115" t="str">
        <f>IF(VLOOKUP(A274,'Eclusée - Schwall-Sunk'!$A$2:$F$273,5,FALSE)="","",VLOOKUP(A274,'Eclusée - Schwall-Sunk'!$A$2:$F$273,5,FALSE))</f>
        <v>force hydraulique</v>
      </c>
      <c r="S274" s="1126" t="str">
        <f>IF(VLOOKUP(A274,'Eclusée - Schwall-Sunk'!$A$2:$F$273,6,FALSE)="","",VLOOKUP(A274,'Eclusée - Schwall-Sunk'!$A$2:$F$273,6,FALSE))</f>
        <v>Potentiellement affecté / möglicherweise betroffen</v>
      </c>
      <c r="T274" s="1123"/>
      <c r="U274" s="572"/>
      <c r="V274" s="572"/>
    </row>
    <row r="275" spans="1:22" ht="35.25" customHeight="1" x14ac:dyDescent="0.25">
      <c r="A275" s="933">
        <v>399</v>
      </c>
      <c r="B275" s="1008" t="str">
        <f>IF(VLOOKUP(A275,'Données de base - Grunddaten'!$A$2:$M$273,3,FALSE)="","",VLOOKUP(A275,'Données de base - Grunddaten'!$A$2:$M$273,3,FALSE))</f>
        <v>Clairbief</v>
      </c>
      <c r="C275" s="1008" t="str">
        <f>IF(VLOOKUP(A275,'Données de base - Grunddaten'!$A$2:$M$273,4,FALSE)="","",VLOOKUP(A275,'Données de base - Grunddaten'!$A$2:$M$273,4,FALSE))</f>
        <v>Le Doubs</v>
      </c>
      <c r="D275" s="1008" t="str">
        <f>IF(VLOOKUP(A275,'Données de base - Grunddaten'!$A$2:$M$273,5,FALSE)="","",VLOOKUP(A275,'Données de base - Grunddaten'!$A$2:$M$273,5,FALSE))</f>
        <v>JU</v>
      </c>
      <c r="E275" s="1013" t="s">
        <v>45</v>
      </c>
      <c r="F275" s="328"/>
      <c r="G275" s="336"/>
      <c r="H275" s="994" t="s">
        <v>45</v>
      </c>
      <c r="I275" s="1047" t="s">
        <v>48</v>
      </c>
      <c r="J275" s="982" t="s">
        <v>45</v>
      </c>
      <c r="K275" s="1054"/>
      <c r="L275" s="1042" t="s">
        <v>1412</v>
      </c>
      <c r="M275" s="1042" t="s">
        <v>1413</v>
      </c>
      <c r="N275" s="1011"/>
      <c r="O275" s="1012"/>
      <c r="P275" s="1058"/>
      <c r="Q275" s="1094" t="s">
        <v>45</v>
      </c>
      <c r="R275" s="1115" t="str">
        <f>IF(VLOOKUP(A275,'Eclusée - Schwall-Sunk'!$A$2:$F$273,5,FALSE)="","",VLOOKUP(A275,'Eclusée - Schwall-Sunk'!$A$2:$F$273,5,FALSE))</f>
        <v>force hydraulique</v>
      </c>
      <c r="S275" s="1126" t="str">
        <f>IF(VLOOKUP(A275,'Eclusée - Schwall-Sunk'!$A$2:$F$273,6,FALSE)="","",VLOOKUP(A275,'Eclusée - Schwall-Sunk'!$A$2:$F$273,6,FALSE))</f>
        <v>Potentiellement affecté / möglicherweise betroffen</v>
      </c>
      <c r="T275" s="1123"/>
      <c r="U275" s="572"/>
      <c r="V275" s="572"/>
    </row>
    <row r="295" spans="16:19" ht="35.25" customHeight="1" x14ac:dyDescent="0.2">
      <c r="P295" s="1070"/>
      <c r="Q295" s="1097"/>
      <c r="R295" s="1121"/>
      <c r="S295" s="1125"/>
    </row>
  </sheetData>
  <autoFilter ref="A3:W275"/>
  <sortState ref="A3:Q285">
    <sortCondition ref="A3:A285"/>
  </sortState>
  <mergeCells count="4">
    <mergeCell ref="N2:O2"/>
    <mergeCell ref="K1:P1"/>
    <mergeCell ref="K2:M2"/>
    <mergeCell ref="R1:S1"/>
  </mergeCells>
  <conditionalFormatting sqref="N50:N54 I50:I54 H4:H113 N171:O172 K22 K24:M27 L28:M28 K29:M30 L31:M31 K32:M33 K35:K47 K70:K72 K74 K76:K84 K86:K91 K93:M96 K110 K112:K113 K117:K119 L110:M118 K127:M144 K149:K152 K154:K169 K178:M178 K180:M181 K213:K214 K232:M235 K237:M238 K241:M247 L264:M264 K265:M265 K266 L266:M267 K268:M270 K272:K275 L271:M272 L64:M70 K174:K176 K171:K172 K64:K68 K226:K229 K249:M260 K4:M10 N174:O178 N226:O234 N236:O261 K99:M109 K183:M186 K262:M263 L221:M224 K220:K224 K209:M210 N154:O169 N180:O207 N220:O224 L15:M23 K15:K20 L42:M45 L41 K53:M63 L159:M159 L158 L161:M166 L160 L168:M175 L167 K190:M207 K187:L189 L46:L48 K49:L52 L125:M126 L82:M87 K216:K218 M76:M80 K231 M231 L34:M40 L81 L89:M92 L88 L177:M177 L176 L226:M230 L225 K13:M13 L273:L274 L121:L124 L236 K211 L73:M75 L71:L72 N5:O47 N55:O62 N64:O152 H115:H274 L145:M157 N209:O218 N263:O275">
    <cfRule type="cellIs" dxfId="8687" priority="2154" stopIfTrue="1" operator="equal">
      <formula>"Régime présumé naturel (100%) / Abfluss vermutlich natürlich"</formula>
    </cfRule>
    <cfRule type="cellIs" dxfId="8686" priority="2155" stopIfTrue="1" operator="equal">
      <formula>"non pertinent / nicht relevant"</formula>
    </cfRule>
    <cfRule type="cellIs" dxfId="8685" priority="2156" stopIfTrue="1" operator="equal">
      <formula>"61-80%"</formula>
    </cfRule>
    <cfRule type="cellIs" dxfId="8684" priority="2157" stopIfTrue="1" operator="equal">
      <formula>"41-60%"</formula>
    </cfRule>
    <cfRule type="cellIs" dxfId="8683" priority="2158" stopIfTrue="1" operator="equal">
      <formula>"21-40%"</formula>
    </cfRule>
    <cfRule type="cellIs" dxfId="8682" priority="2159" stopIfTrue="1" operator="equal">
      <formula>"0-20%"</formula>
    </cfRule>
    <cfRule type="cellIs" dxfId="8681" priority="2160" stopIfTrue="1" operator="equal">
      <formula>"81-100%"</formula>
    </cfRule>
    <cfRule type="cellIs" dxfId="8680" priority="2161" stopIfTrue="1" operator="equal">
      <formula>"100%"</formula>
    </cfRule>
  </conditionalFormatting>
  <conditionalFormatting sqref="H275">
    <cfRule type="cellIs" dxfId="8679" priority="2146" stopIfTrue="1" operator="equal">
      <formula>"Régime présumé naturel (100%) / Abfluss vermutlich natürlich"</formula>
    </cfRule>
    <cfRule type="cellIs" dxfId="8678" priority="2147" stopIfTrue="1" operator="equal">
      <formula>"non pertinent / nicht relevant"</formula>
    </cfRule>
    <cfRule type="cellIs" dxfId="8677" priority="2148" stopIfTrue="1" operator="equal">
      <formula>"61-80%"</formula>
    </cfRule>
    <cfRule type="cellIs" dxfId="8676" priority="2149" stopIfTrue="1" operator="equal">
      <formula>"41-60%"</formula>
    </cfRule>
    <cfRule type="cellIs" dxfId="8675" priority="2150" stopIfTrue="1" operator="equal">
      <formula>"21-40%"</formula>
    </cfRule>
    <cfRule type="cellIs" dxfId="8674" priority="2151" stopIfTrue="1" operator="equal">
      <formula>"0-20%"</formula>
    </cfRule>
    <cfRule type="cellIs" dxfId="8673" priority="2152" stopIfTrue="1" operator="equal">
      <formula>"81-100%"</formula>
    </cfRule>
    <cfRule type="cellIs" dxfId="8672" priority="2153" stopIfTrue="1" operator="equal">
      <formula>"100%"</formula>
    </cfRule>
  </conditionalFormatting>
  <conditionalFormatting sqref="N49">
    <cfRule type="cellIs" dxfId="8671" priority="2130" stopIfTrue="1" operator="equal">
      <formula>"Régime présumé naturel (100%) / Abfluss vermutlich natürlich"</formula>
    </cfRule>
    <cfRule type="cellIs" dxfId="8670" priority="2131" stopIfTrue="1" operator="equal">
      <formula>"non pertinent / nicht relevant"</formula>
    </cfRule>
    <cfRule type="cellIs" dxfId="8669" priority="2132" stopIfTrue="1" operator="equal">
      <formula>"61-80%"</formula>
    </cfRule>
    <cfRule type="cellIs" dxfId="8668" priority="2133" stopIfTrue="1" operator="equal">
      <formula>"41-60%"</formula>
    </cfRule>
    <cfRule type="cellIs" dxfId="8667" priority="2134" stopIfTrue="1" operator="equal">
      <formula>"21-40%"</formula>
    </cfRule>
    <cfRule type="cellIs" dxfId="8666" priority="2135" stopIfTrue="1" operator="equal">
      <formula>"0-20%"</formula>
    </cfRule>
    <cfRule type="cellIs" dxfId="8665" priority="2136" stopIfTrue="1" operator="equal">
      <formula>"81-100%"</formula>
    </cfRule>
    <cfRule type="cellIs" dxfId="8664" priority="2137" stopIfTrue="1" operator="equal">
      <formula>"100%"</formula>
    </cfRule>
  </conditionalFormatting>
  <conditionalFormatting sqref="N4">
    <cfRule type="cellIs" dxfId="8663" priority="2138" stopIfTrue="1" operator="equal">
      <formula>"Régime présumé naturel (100%) / Abfluss vermutlich natürlich"</formula>
    </cfRule>
    <cfRule type="cellIs" dxfId="8662" priority="2139" stopIfTrue="1" operator="equal">
      <formula>"non pertinent / nicht relevant"</formula>
    </cfRule>
    <cfRule type="cellIs" dxfId="8661" priority="2140" stopIfTrue="1" operator="equal">
      <formula>"61-80%"</formula>
    </cfRule>
    <cfRule type="cellIs" dxfId="8660" priority="2141" stopIfTrue="1" operator="equal">
      <formula>"41-60%"</formula>
    </cfRule>
    <cfRule type="cellIs" dxfId="8659" priority="2142" stopIfTrue="1" operator="equal">
      <formula>"21-40%"</formula>
    </cfRule>
    <cfRule type="cellIs" dxfId="8658" priority="2143" stopIfTrue="1" operator="equal">
      <formula>"0-20%"</formula>
    </cfRule>
    <cfRule type="cellIs" dxfId="8657" priority="2144" stopIfTrue="1" operator="equal">
      <formula>"81-100%"</formula>
    </cfRule>
    <cfRule type="cellIs" dxfId="8656" priority="2145" stopIfTrue="1" operator="equal">
      <formula>"100%"</formula>
    </cfRule>
  </conditionalFormatting>
  <conditionalFormatting sqref="I275 I272:I273 I269 I266 I262 I258 I256 I249:I254 I241:I247 I231:I235 I220:I224 I216:I218 I213 I209:I210 I179:I181 I149:I152 I147 I137:I140 I117:I119 I112:I113 I110 I99:I104 I93:I96 I86:I91 I74 I70:I72 I61:I62 I57:I58 I32 I29 I22 I13 I4:I10 I154:I169 I35:I49 I64:I68 I171:I176 I226:I229 I15:I20 I76:I84 I129:I133 I183:I207">
    <cfRule type="cellIs" dxfId="8655" priority="2122" stopIfTrue="1" operator="equal">
      <formula>"Régime présumé naturel (100%) / Abfluss vermutlich natürlich"</formula>
    </cfRule>
    <cfRule type="cellIs" dxfId="8654" priority="2123" stopIfTrue="1" operator="equal">
      <formula>"non pertinent / nicht relevant"</formula>
    </cfRule>
    <cfRule type="cellIs" dxfId="8653" priority="2124" stopIfTrue="1" operator="equal">
      <formula>"61-80%"</formula>
    </cfRule>
    <cfRule type="cellIs" dxfId="8652" priority="2125" stopIfTrue="1" operator="equal">
      <formula>"41-60%"</formula>
    </cfRule>
    <cfRule type="cellIs" dxfId="8651" priority="2126" stopIfTrue="1" operator="equal">
      <formula>"21-40%"</formula>
    </cfRule>
    <cfRule type="cellIs" dxfId="8650" priority="2127" stopIfTrue="1" operator="equal">
      <formula>"0-20%"</formula>
    </cfRule>
    <cfRule type="cellIs" dxfId="8649" priority="2128" stopIfTrue="1" operator="equal">
      <formula>"81-100%"</formula>
    </cfRule>
    <cfRule type="cellIs" dxfId="8648" priority="2129" stopIfTrue="1" operator="equal">
      <formula>"100%"</formula>
    </cfRule>
  </conditionalFormatting>
  <conditionalFormatting sqref="I11">
    <cfRule type="cellIs" dxfId="8647" priority="2114" stopIfTrue="1" operator="equal">
      <formula>"Régime présumé naturel (100%) / Abfluss vermutlich natürlich"</formula>
    </cfRule>
    <cfRule type="cellIs" dxfId="8646" priority="2115" stopIfTrue="1" operator="equal">
      <formula>"non pertinent / nicht relevant"</formula>
    </cfRule>
    <cfRule type="cellIs" dxfId="8645" priority="2116" stopIfTrue="1" operator="equal">
      <formula>"61-80%"</formula>
    </cfRule>
    <cfRule type="cellIs" dxfId="8644" priority="2117" stopIfTrue="1" operator="equal">
      <formula>"41-60%"</formula>
    </cfRule>
    <cfRule type="cellIs" dxfId="8643" priority="2118" stopIfTrue="1" operator="equal">
      <formula>"21-40%"</formula>
    </cfRule>
    <cfRule type="cellIs" dxfId="8642" priority="2119" stopIfTrue="1" operator="equal">
      <formula>"0-20%"</formula>
    </cfRule>
    <cfRule type="cellIs" dxfId="8641" priority="2120" stopIfTrue="1" operator="equal">
      <formula>"81-100%"</formula>
    </cfRule>
    <cfRule type="cellIs" dxfId="8640" priority="2121" stopIfTrue="1" operator="equal">
      <formula>"100%"</formula>
    </cfRule>
  </conditionalFormatting>
  <conditionalFormatting sqref="O49">
    <cfRule type="cellIs" dxfId="8639" priority="2090" stopIfTrue="1" operator="equal">
      <formula>"Régime présumé naturel (100%) / Abfluss vermutlich natürlich"</formula>
    </cfRule>
    <cfRule type="cellIs" dxfId="8638" priority="2091" stopIfTrue="1" operator="equal">
      <formula>"non pertinent / nicht relevant"</formula>
    </cfRule>
    <cfRule type="cellIs" dxfId="8637" priority="2092" stopIfTrue="1" operator="equal">
      <formula>"61-80%"</formula>
    </cfRule>
    <cfRule type="cellIs" dxfId="8636" priority="2093" stopIfTrue="1" operator="equal">
      <formula>"41-60%"</formula>
    </cfRule>
    <cfRule type="cellIs" dxfId="8635" priority="2094" stopIfTrue="1" operator="equal">
      <formula>"21-40%"</formula>
    </cfRule>
    <cfRule type="cellIs" dxfId="8634" priority="2095" stopIfTrue="1" operator="equal">
      <formula>"0-20%"</formula>
    </cfRule>
    <cfRule type="cellIs" dxfId="8633" priority="2096" stopIfTrue="1" operator="equal">
      <formula>"81-100%"</formula>
    </cfRule>
    <cfRule type="cellIs" dxfId="8632" priority="2097" stopIfTrue="1" operator="equal">
      <formula>"100%"</formula>
    </cfRule>
  </conditionalFormatting>
  <conditionalFormatting sqref="O50:O54">
    <cfRule type="cellIs" dxfId="8631" priority="2106" stopIfTrue="1" operator="equal">
      <formula>"Régime présumé naturel (100%) / Abfluss vermutlich natürlich"</formula>
    </cfRule>
    <cfRule type="cellIs" dxfId="8630" priority="2107" stopIfTrue="1" operator="equal">
      <formula>"non pertinent / nicht relevant"</formula>
    </cfRule>
    <cfRule type="cellIs" dxfId="8629" priority="2108" stopIfTrue="1" operator="equal">
      <formula>"61-80%"</formula>
    </cfRule>
    <cfRule type="cellIs" dxfId="8628" priority="2109" stopIfTrue="1" operator="equal">
      <formula>"41-60%"</formula>
    </cfRule>
    <cfRule type="cellIs" dxfId="8627" priority="2110" stopIfTrue="1" operator="equal">
      <formula>"21-40%"</formula>
    </cfRule>
    <cfRule type="cellIs" dxfId="8626" priority="2111" stopIfTrue="1" operator="equal">
      <formula>"0-20%"</formula>
    </cfRule>
    <cfRule type="cellIs" dxfId="8625" priority="2112" stopIfTrue="1" operator="equal">
      <formula>"81-100%"</formula>
    </cfRule>
    <cfRule type="cellIs" dxfId="8624" priority="2113" stopIfTrue="1" operator="equal">
      <formula>"100%"</formula>
    </cfRule>
  </conditionalFormatting>
  <conditionalFormatting sqref="O4">
    <cfRule type="cellIs" dxfId="8623" priority="2098" stopIfTrue="1" operator="equal">
      <formula>"Régime présumé naturel (100%) / Abfluss vermutlich natürlich"</formula>
    </cfRule>
    <cfRule type="cellIs" dxfId="8622" priority="2099" stopIfTrue="1" operator="equal">
      <formula>"non pertinent / nicht relevant"</formula>
    </cfRule>
    <cfRule type="cellIs" dxfId="8621" priority="2100" stopIfTrue="1" operator="equal">
      <formula>"61-80%"</formula>
    </cfRule>
    <cfRule type="cellIs" dxfId="8620" priority="2101" stopIfTrue="1" operator="equal">
      <formula>"41-60%"</formula>
    </cfRule>
    <cfRule type="cellIs" dxfId="8619" priority="2102" stopIfTrue="1" operator="equal">
      <formula>"21-40%"</formula>
    </cfRule>
    <cfRule type="cellIs" dxfId="8618" priority="2103" stopIfTrue="1" operator="equal">
      <formula>"0-20%"</formula>
    </cfRule>
    <cfRule type="cellIs" dxfId="8617" priority="2104" stopIfTrue="1" operator="equal">
      <formula>"81-100%"</formula>
    </cfRule>
    <cfRule type="cellIs" dxfId="8616" priority="2105" stopIfTrue="1" operator="equal">
      <formula>"100%"</formula>
    </cfRule>
  </conditionalFormatting>
  <conditionalFormatting sqref="K125:K126">
    <cfRule type="cellIs" dxfId="8615" priority="2066" stopIfTrue="1" operator="equal">
      <formula>"Régime présumé naturel (100%) / Abfluss vermutlich natürlich"</formula>
    </cfRule>
    <cfRule type="cellIs" dxfId="8614" priority="2067" stopIfTrue="1" operator="equal">
      <formula>"non pertinent / nicht relevant"</formula>
    </cfRule>
    <cfRule type="cellIs" dxfId="8613" priority="2068" stopIfTrue="1" operator="equal">
      <formula>"61-80%"</formula>
    </cfRule>
    <cfRule type="cellIs" dxfId="8612" priority="2069" stopIfTrue="1" operator="equal">
      <formula>"41-60%"</formula>
    </cfRule>
    <cfRule type="cellIs" dxfId="8611" priority="2070" stopIfTrue="1" operator="equal">
      <formula>"21-40%"</formula>
    </cfRule>
    <cfRule type="cellIs" dxfId="8610" priority="2071" stopIfTrue="1" operator="equal">
      <formula>"0-20%"</formula>
    </cfRule>
    <cfRule type="cellIs" dxfId="8609" priority="2072" stopIfTrue="1" operator="equal">
      <formula>"81-100%"</formula>
    </cfRule>
    <cfRule type="cellIs" dxfId="8608" priority="2073" stopIfTrue="1" operator="equal">
      <formula>"100%"</formula>
    </cfRule>
  </conditionalFormatting>
  <conditionalFormatting sqref="O173">
    <cfRule type="cellIs" dxfId="8607" priority="2050" stopIfTrue="1" operator="equal">
      <formula>"Régime présumé naturel (100%) / Abfluss vermutlich natürlich"</formula>
    </cfRule>
    <cfRule type="cellIs" dxfId="8606" priority="2051" stopIfTrue="1" operator="equal">
      <formula>"non pertinent / nicht relevant"</formula>
    </cfRule>
    <cfRule type="cellIs" dxfId="8605" priority="2052" stopIfTrue="1" operator="equal">
      <formula>"61-80%"</formula>
    </cfRule>
    <cfRule type="cellIs" dxfId="8604" priority="2053" stopIfTrue="1" operator="equal">
      <formula>"41-60%"</formula>
    </cfRule>
    <cfRule type="cellIs" dxfId="8603" priority="2054" stopIfTrue="1" operator="equal">
      <formula>"21-40%"</formula>
    </cfRule>
    <cfRule type="cellIs" dxfId="8602" priority="2055" stopIfTrue="1" operator="equal">
      <formula>"0-20%"</formula>
    </cfRule>
    <cfRule type="cellIs" dxfId="8601" priority="2056" stopIfTrue="1" operator="equal">
      <formula>"81-100%"</formula>
    </cfRule>
    <cfRule type="cellIs" dxfId="8600" priority="2057" stopIfTrue="1" operator="equal">
      <formula>"100%"</formula>
    </cfRule>
  </conditionalFormatting>
  <conditionalFormatting sqref="N48">
    <cfRule type="cellIs" dxfId="8599" priority="2082" stopIfTrue="1" operator="equal">
      <formula>"Régime présumé naturel (100%) / Abfluss vermutlich natürlich"</formula>
    </cfRule>
    <cfRule type="cellIs" dxfId="8598" priority="2083" stopIfTrue="1" operator="equal">
      <formula>"non pertinent / nicht relevant"</formula>
    </cfRule>
    <cfRule type="cellIs" dxfId="8597" priority="2084" stopIfTrue="1" operator="equal">
      <formula>"61-80%"</formula>
    </cfRule>
    <cfRule type="cellIs" dxfId="8596" priority="2085" stopIfTrue="1" operator="equal">
      <formula>"41-60%"</formula>
    </cfRule>
    <cfRule type="cellIs" dxfId="8595" priority="2086" stopIfTrue="1" operator="equal">
      <formula>"21-40%"</formula>
    </cfRule>
    <cfRule type="cellIs" dxfId="8594" priority="2087" stopIfTrue="1" operator="equal">
      <formula>"0-20%"</formula>
    </cfRule>
    <cfRule type="cellIs" dxfId="8593" priority="2088" stopIfTrue="1" operator="equal">
      <formula>"81-100%"</formula>
    </cfRule>
    <cfRule type="cellIs" dxfId="8592" priority="2089" stopIfTrue="1" operator="equal">
      <formula>"100%"</formula>
    </cfRule>
  </conditionalFormatting>
  <conditionalFormatting sqref="O48">
    <cfRule type="cellIs" dxfId="8591" priority="2074" stopIfTrue="1" operator="equal">
      <formula>"Régime présumé naturel (100%) / Abfluss vermutlich natürlich"</formula>
    </cfRule>
    <cfRule type="cellIs" dxfId="8590" priority="2075" stopIfTrue="1" operator="equal">
      <formula>"non pertinent / nicht relevant"</formula>
    </cfRule>
    <cfRule type="cellIs" dxfId="8589" priority="2076" stopIfTrue="1" operator="equal">
      <formula>"61-80%"</formula>
    </cfRule>
    <cfRule type="cellIs" dxfId="8588" priority="2077" stopIfTrue="1" operator="equal">
      <formula>"41-60%"</formula>
    </cfRule>
    <cfRule type="cellIs" dxfId="8587" priority="2078" stopIfTrue="1" operator="equal">
      <formula>"21-40%"</formula>
    </cfRule>
    <cfRule type="cellIs" dxfId="8586" priority="2079" stopIfTrue="1" operator="equal">
      <formula>"0-20%"</formula>
    </cfRule>
    <cfRule type="cellIs" dxfId="8585" priority="2080" stopIfTrue="1" operator="equal">
      <formula>"81-100%"</formula>
    </cfRule>
    <cfRule type="cellIs" dxfId="8584" priority="2081" stopIfTrue="1" operator="equal">
      <formula>"100%"</formula>
    </cfRule>
  </conditionalFormatting>
  <conditionalFormatting sqref="N173">
    <cfRule type="cellIs" dxfId="8583" priority="2058" stopIfTrue="1" operator="equal">
      <formula>"Régime présumé naturel (100%) / Abfluss vermutlich natürlich"</formula>
    </cfRule>
    <cfRule type="cellIs" dxfId="8582" priority="2059" stopIfTrue="1" operator="equal">
      <formula>"non pertinent / nicht relevant"</formula>
    </cfRule>
    <cfRule type="cellIs" dxfId="8581" priority="2060" stopIfTrue="1" operator="equal">
      <formula>"61-80%"</formula>
    </cfRule>
    <cfRule type="cellIs" dxfId="8580" priority="2061" stopIfTrue="1" operator="equal">
      <formula>"41-60%"</formula>
    </cfRule>
    <cfRule type="cellIs" dxfId="8579" priority="2062" stopIfTrue="1" operator="equal">
      <formula>"21-40%"</formula>
    </cfRule>
    <cfRule type="cellIs" dxfId="8578" priority="2063" stopIfTrue="1" operator="equal">
      <formula>"0-20%"</formula>
    </cfRule>
    <cfRule type="cellIs" dxfId="8577" priority="2064" stopIfTrue="1" operator="equal">
      <formula>"81-100%"</formula>
    </cfRule>
    <cfRule type="cellIs" dxfId="8576" priority="2065" stopIfTrue="1" operator="equal">
      <formula>"100%"</formula>
    </cfRule>
  </conditionalFormatting>
  <conditionalFormatting sqref="N63:O63">
    <cfRule type="cellIs" dxfId="8575" priority="2042" stopIfTrue="1" operator="equal">
      <formula>"Régime présumé naturel (100%) / Abfluss vermutlich natürlich"</formula>
    </cfRule>
    <cfRule type="cellIs" dxfId="8574" priority="2043" stopIfTrue="1" operator="equal">
      <formula>"non pertinent / nicht relevant"</formula>
    </cfRule>
    <cfRule type="cellIs" dxfId="8573" priority="2044" stopIfTrue="1" operator="equal">
      <formula>"61-80%"</formula>
    </cfRule>
    <cfRule type="cellIs" dxfId="8572" priority="2045" stopIfTrue="1" operator="equal">
      <formula>"41-60%"</formula>
    </cfRule>
    <cfRule type="cellIs" dxfId="8571" priority="2046" stopIfTrue="1" operator="equal">
      <formula>"21-40%"</formula>
    </cfRule>
    <cfRule type="cellIs" dxfId="8570" priority="2047" stopIfTrue="1" operator="equal">
      <formula>"0-20%"</formula>
    </cfRule>
    <cfRule type="cellIs" dxfId="8569" priority="2048" stopIfTrue="1" operator="equal">
      <formula>"81-100%"</formula>
    </cfRule>
    <cfRule type="cellIs" dxfId="8568" priority="2049" stopIfTrue="1" operator="equal">
      <formula>"100%"</formula>
    </cfRule>
  </conditionalFormatting>
  <conditionalFormatting sqref="O170">
    <cfRule type="cellIs" dxfId="8567" priority="2026" stopIfTrue="1" operator="equal">
      <formula>"Régime présumé naturel (100%) / Abfluss vermutlich natürlich"</formula>
    </cfRule>
    <cfRule type="cellIs" dxfId="8566" priority="2027" stopIfTrue="1" operator="equal">
      <formula>"non pertinent / nicht relevant"</formula>
    </cfRule>
    <cfRule type="cellIs" dxfId="8565" priority="2028" stopIfTrue="1" operator="equal">
      <formula>"61-80%"</formula>
    </cfRule>
    <cfRule type="cellIs" dxfId="8564" priority="2029" stopIfTrue="1" operator="equal">
      <formula>"41-60%"</formula>
    </cfRule>
    <cfRule type="cellIs" dxfId="8563" priority="2030" stopIfTrue="1" operator="equal">
      <formula>"21-40%"</formula>
    </cfRule>
    <cfRule type="cellIs" dxfId="8562" priority="2031" stopIfTrue="1" operator="equal">
      <formula>"0-20%"</formula>
    </cfRule>
    <cfRule type="cellIs" dxfId="8561" priority="2032" stopIfTrue="1" operator="equal">
      <formula>"81-100%"</formula>
    </cfRule>
    <cfRule type="cellIs" dxfId="8560" priority="2033" stopIfTrue="1" operator="equal">
      <formula>"100%"</formula>
    </cfRule>
  </conditionalFormatting>
  <conditionalFormatting sqref="N235">
    <cfRule type="cellIs" dxfId="8559" priority="1994" stopIfTrue="1" operator="equal">
      <formula>"Régime présumé naturel (100%) / Abfluss vermutlich natürlich"</formula>
    </cfRule>
    <cfRule type="cellIs" dxfId="8558" priority="1995" stopIfTrue="1" operator="equal">
      <formula>"non pertinent / nicht relevant"</formula>
    </cfRule>
    <cfRule type="cellIs" dxfId="8557" priority="1996" stopIfTrue="1" operator="equal">
      <formula>"61-80%"</formula>
    </cfRule>
    <cfRule type="cellIs" dxfId="8556" priority="1997" stopIfTrue="1" operator="equal">
      <formula>"41-60%"</formula>
    </cfRule>
    <cfRule type="cellIs" dxfId="8555" priority="1998" stopIfTrue="1" operator="equal">
      <formula>"21-40%"</formula>
    </cfRule>
    <cfRule type="cellIs" dxfId="8554" priority="1999" stopIfTrue="1" operator="equal">
      <formula>"0-20%"</formula>
    </cfRule>
    <cfRule type="cellIs" dxfId="8553" priority="2000" stopIfTrue="1" operator="equal">
      <formula>"81-100%"</formula>
    </cfRule>
    <cfRule type="cellIs" dxfId="8552" priority="2001" stopIfTrue="1" operator="equal">
      <formula>"100%"</formula>
    </cfRule>
  </conditionalFormatting>
  <conditionalFormatting sqref="N170">
    <cfRule type="cellIs" dxfId="8551" priority="2034" stopIfTrue="1" operator="equal">
      <formula>"Régime présumé naturel (100%) / Abfluss vermutlich natürlich"</formula>
    </cfRule>
    <cfRule type="cellIs" dxfId="8550" priority="2035" stopIfTrue="1" operator="equal">
      <formula>"non pertinent / nicht relevant"</formula>
    </cfRule>
    <cfRule type="cellIs" dxfId="8549" priority="2036" stopIfTrue="1" operator="equal">
      <formula>"61-80%"</formula>
    </cfRule>
    <cfRule type="cellIs" dxfId="8548" priority="2037" stopIfTrue="1" operator="equal">
      <formula>"41-60%"</formula>
    </cfRule>
    <cfRule type="cellIs" dxfId="8547" priority="2038" stopIfTrue="1" operator="equal">
      <formula>"21-40%"</formula>
    </cfRule>
    <cfRule type="cellIs" dxfId="8546" priority="2039" stopIfTrue="1" operator="equal">
      <formula>"0-20%"</formula>
    </cfRule>
    <cfRule type="cellIs" dxfId="8545" priority="2040" stopIfTrue="1" operator="equal">
      <formula>"81-100%"</formula>
    </cfRule>
    <cfRule type="cellIs" dxfId="8544" priority="2041" stopIfTrue="1" operator="equal">
      <formula>"100%"</formula>
    </cfRule>
  </conditionalFormatting>
  <conditionalFormatting sqref="N225:O225">
    <cfRule type="cellIs" dxfId="8543" priority="2018" stopIfTrue="1" operator="equal">
      <formula>"Régime présumé naturel (100%) / Abfluss vermutlich natürlich"</formula>
    </cfRule>
    <cfRule type="cellIs" dxfId="8542" priority="2019" stopIfTrue="1" operator="equal">
      <formula>"non pertinent / nicht relevant"</formula>
    </cfRule>
    <cfRule type="cellIs" dxfId="8541" priority="2020" stopIfTrue="1" operator="equal">
      <formula>"61-80%"</formula>
    </cfRule>
    <cfRule type="cellIs" dxfId="8540" priority="2021" stopIfTrue="1" operator="equal">
      <formula>"41-60%"</formula>
    </cfRule>
    <cfRule type="cellIs" dxfId="8539" priority="2022" stopIfTrue="1" operator="equal">
      <formula>"21-40%"</formula>
    </cfRule>
    <cfRule type="cellIs" dxfId="8538" priority="2023" stopIfTrue="1" operator="equal">
      <formula>"0-20%"</formula>
    </cfRule>
    <cfRule type="cellIs" dxfId="8537" priority="2024" stopIfTrue="1" operator="equal">
      <formula>"81-100%"</formula>
    </cfRule>
    <cfRule type="cellIs" dxfId="8536" priority="2025" stopIfTrue="1" operator="equal">
      <formula>"100%"</formula>
    </cfRule>
  </conditionalFormatting>
  <conditionalFormatting sqref="K225">
    <cfRule type="cellIs" dxfId="8535" priority="2010" stopIfTrue="1" operator="equal">
      <formula>"Régime présumé naturel (100%) / Abfluss vermutlich natürlich"</formula>
    </cfRule>
    <cfRule type="cellIs" dxfId="8534" priority="2011" stopIfTrue="1" operator="equal">
      <formula>"non pertinent / nicht relevant"</formula>
    </cfRule>
    <cfRule type="cellIs" dxfId="8533" priority="2012" stopIfTrue="1" operator="equal">
      <formula>"61-80%"</formula>
    </cfRule>
    <cfRule type="cellIs" dxfId="8532" priority="2013" stopIfTrue="1" operator="equal">
      <formula>"41-60%"</formula>
    </cfRule>
    <cfRule type="cellIs" dxfId="8531" priority="2014" stopIfTrue="1" operator="equal">
      <formula>"21-40%"</formula>
    </cfRule>
    <cfRule type="cellIs" dxfId="8530" priority="2015" stopIfTrue="1" operator="equal">
      <formula>"0-20%"</formula>
    </cfRule>
    <cfRule type="cellIs" dxfId="8529" priority="2016" stopIfTrue="1" operator="equal">
      <formula>"81-100%"</formula>
    </cfRule>
    <cfRule type="cellIs" dxfId="8528" priority="2017" stopIfTrue="1" operator="equal">
      <formula>"100%"</formula>
    </cfRule>
  </conditionalFormatting>
  <conditionalFormatting sqref="O235">
    <cfRule type="cellIs" dxfId="8527" priority="2002" stopIfTrue="1" operator="equal">
      <formula>"Régime présumé naturel (100%) / Abfluss vermutlich natürlich"</formula>
    </cfRule>
    <cfRule type="cellIs" dxfId="8526" priority="2003" stopIfTrue="1" operator="equal">
      <formula>"non pertinent / nicht relevant"</formula>
    </cfRule>
    <cfRule type="cellIs" dxfId="8525" priority="2004" stopIfTrue="1" operator="equal">
      <formula>"61-80%"</formula>
    </cfRule>
    <cfRule type="cellIs" dxfId="8524" priority="2005" stopIfTrue="1" operator="equal">
      <formula>"41-60%"</formula>
    </cfRule>
    <cfRule type="cellIs" dxfId="8523" priority="2006" stopIfTrue="1" operator="equal">
      <formula>"21-40%"</formula>
    </cfRule>
    <cfRule type="cellIs" dxfId="8522" priority="2007" stopIfTrue="1" operator="equal">
      <formula>"0-20%"</formula>
    </cfRule>
    <cfRule type="cellIs" dxfId="8521" priority="2008" stopIfTrue="1" operator="equal">
      <formula>"81-100%"</formula>
    </cfRule>
    <cfRule type="cellIs" dxfId="8520" priority="2009" stopIfTrue="1" operator="equal">
      <formula>"100%"</formula>
    </cfRule>
  </conditionalFormatting>
  <conditionalFormatting sqref="N262:O262">
    <cfRule type="cellIs" dxfId="8519" priority="1986" stopIfTrue="1" operator="equal">
      <formula>"Régime présumé naturel (100%) / Abfluss vermutlich natürlich"</formula>
    </cfRule>
    <cfRule type="cellIs" dxfId="8518" priority="1987" stopIfTrue="1" operator="equal">
      <formula>"non pertinent / nicht relevant"</formula>
    </cfRule>
    <cfRule type="cellIs" dxfId="8517" priority="1988" stopIfTrue="1" operator="equal">
      <formula>"61-80%"</formula>
    </cfRule>
    <cfRule type="cellIs" dxfId="8516" priority="1989" stopIfTrue="1" operator="equal">
      <formula>"41-60%"</formula>
    </cfRule>
    <cfRule type="cellIs" dxfId="8515" priority="1990" stopIfTrue="1" operator="equal">
      <formula>"21-40%"</formula>
    </cfRule>
    <cfRule type="cellIs" dxfId="8514" priority="1991" stopIfTrue="1" operator="equal">
      <formula>"0-20%"</formula>
    </cfRule>
    <cfRule type="cellIs" dxfId="8513" priority="1992" stopIfTrue="1" operator="equal">
      <formula>"81-100%"</formula>
    </cfRule>
    <cfRule type="cellIs" dxfId="8512" priority="1993" stopIfTrue="1" operator="equal">
      <formula>"100%"</formula>
    </cfRule>
  </conditionalFormatting>
  <conditionalFormatting sqref="I271">
    <cfRule type="cellIs" dxfId="8511" priority="1978" stopIfTrue="1" operator="equal">
      <formula>"Régime présumé naturel (100%) / Abfluss vermutlich natürlich"</formula>
    </cfRule>
    <cfRule type="cellIs" dxfId="8510" priority="1979" stopIfTrue="1" operator="equal">
      <formula>"non pertinent / nicht relevant"</formula>
    </cfRule>
    <cfRule type="cellIs" dxfId="8509" priority="1980" stopIfTrue="1" operator="equal">
      <formula>"61-80%"</formula>
    </cfRule>
    <cfRule type="cellIs" dxfId="8508" priority="1981" stopIfTrue="1" operator="equal">
      <formula>"41-60%"</formula>
    </cfRule>
    <cfRule type="cellIs" dxfId="8507" priority="1982" stopIfTrue="1" operator="equal">
      <formula>"21-40%"</formula>
    </cfRule>
    <cfRule type="cellIs" dxfId="8506" priority="1983" stopIfTrue="1" operator="equal">
      <formula>"0-20%"</formula>
    </cfRule>
    <cfRule type="cellIs" dxfId="8505" priority="1984" stopIfTrue="1" operator="equal">
      <formula>"81-100%"</formula>
    </cfRule>
    <cfRule type="cellIs" dxfId="8504" priority="1985" stopIfTrue="1" operator="equal">
      <formula>"100%"</formula>
    </cfRule>
  </conditionalFormatting>
  <conditionalFormatting sqref="L97:M97">
    <cfRule type="cellIs" dxfId="8503" priority="1970" stopIfTrue="1" operator="equal">
      <formula>"Régime présumé naturel (100%) / Abfluss vermutlich natürlich"</formula>
    </cfRule>
    <cfRule type="cellIs" dxfId="8502" priority="1971" stopIfTrue="1" operator="equal">
      <formula>"non pertinent / nicht relevant"</formula>
    </cfRule>
    <cfRule type="cellIs" dxfId="8501" priority="1972" stopIfTrue="1" operator="equal">
      <formula>"61-80%"</formula>
    </cfRule>
    <cfRule type="cellIs" dxfId="8500" priority="1973" stopIfTrue="1" operator="equal">
      <formula>"41-60%"</formula>
    </cfRule>
    <cfRule type="cellIs" dxfId="8499" priority="1974" stopIfTrue="1" operator="equal">
      <formula>"21-40%"</formula>
    </cfRule>
    <cfRule type="cellIs" dxfId="8498" priority="1975" stopIfTrue="1" operator="equal">
      <formula>"0-20%"</formula>
    </cfRule>
    <cfRule type="cellIs" dxfId="8497" priority="1976" stopIfTrue="1" operator="equal">
      <formula>"81-100%"</formula>
    </cfRule>
    <cfRule type="cellIs" dxfId="8496" priority="1977" stopIfTrue="1" operator="equal">
      <formula>"100%"</formula>
    </cfRule>
  </conditionalFormatting>
  <conditionalFormatting sqref="L98:M98">
    <cfRule type="cellIs" dxfId="8495" priority="1962" stopIfTrue="1" operator="equal">
      <formula>"Régime présumé naturel (100%) / Abfluss vermutlich natürlich"</formula>
    </cfRule>
    <cfRule type="cellIs" dxfId="8494" priority="1963" stopIfTrue="1" operator="equal">
      <formula>"non pertinent / nicht relevant"</formula>
    </cfRule>
    <cfRule type="cellIs" dxfId="8493" priority="1964" stopIfTrue="1" operator="equal">
      <formula>"61-80%"</formula>
    </cfRule>
    <cfRule type="cellIs" dxfId="8492" priority="1965" stopIfTrue="1" operator="equal">
      <formula>"41-60%"</formula>
    </cfRule>
    <cfRule type="cellIs" dxfId="8491" priority="1966" stopIfTrue="1" operator="equal">
      <formula>"21-40%"</formula>
    </cfRule>
    <cfRule type="cellIs" dxfId="8490" priority="1967" stopIfTrue="1" operator="equal">
      <formula>"0-20%"</formula>
    </cfRule>
    <cfRule type="cellIs" dxfId="8489" priority="1968" stopIfTrue="1" operator="equal">
      <formula>"81-100%"</formula>
    </cfRule>
    <cfRule type="cellIs" dxfId="8488" priority="1969" stopIfTrue="1" operator="equal">
      <formula>"100%"</formula>
    </cfRule>
  </conditionalFormatting>
  <conditionalFormatting sqref="L182:M182">
    <cfRule type="cellIs" dxfId="8487" priority="1954" stopIfTrue="1" operator="equal">
      <formula>"Régime présumé naturel (100%) / Abfluss vermutlich natürlich"</formula>
    </cfRule>
    <cfRule type="cellIs" dxfId="8486" priority="1955" stopIfTrue="1" operator="equal">
      <formula>"non pertinent / nicht relevant"</formula>
    </cfRule>
    <cfRule type="cellIs" dxfId="8485" priority="1956" stopIfTrue="1" operator="equal">
      <formula>"61-80%"</formula>
    </cfRule>
    <cfRule type="cellIs" dxfId="8484" priority="1957" stopIfTrue="1" operator="equal">
      <formula>"41-60%"</formula>
    </cfRule>
    <cfRule type="cellIs" dxfId="8483" priority="1958" stopIfTrue="1" operator="equal">
      <formula>"21-40%"</formula>
    </cfRule>
    <cfRule type="cellIs" dxfId="8482" priority="1959" stopIfTrue="1" operator="equal">
      <formula>"0-20%"</formula>
    </cfRule>
    <cfRule type="cellIs" dxfId="8481" priority="1960" stopIfTrue="1" operator="equal">
      <formula>"81-100%"</formula>
    </cfRule>
    <cfRule type="cellIs" dxfId="8480" priority="1961" stopIfTrue="1" operator="equal">
      <formula>"100%"</formula>
    </cfRule>
  </conditionalFormatting>
  <conditionalFormatting sqref="L261:M261">
    <cfRule type="cellIs" dxfId="8479" priority="1946" stopIfTrue="1" operator="equal">
      <formula>"Régime présumé naturel (100%) / Abfluss vermutlich natürlich"</formula>
    </cfRule>
    <cfRule type="cellIs" dxfId="8478" priority="1947" stopIfTrue="1" operator="equal">
      <formula>"non pertinent / nicht relevant"</formula>
    </cfRule>
    <cfRule type="cellIs" dxfId="8477" priority="1948" stopIfTrue="1" operator="equal">
      <formula>"61-80%"</formula>
    </cfRule>
    <cfRule type="cellIs" dxfId="8476" priority="1949" stopIfTrue="1" operator="equal">
      <formula>"41-60%"</formula>
    </cfRule>
    <cfRule type="cellIs" dxfId="8475" priority="1950" stopIfTrue="1" operator="equal">
      <formula>"21-40%"</formula>
    </cfRule>
    <cfRule type="cellIs" dxfId="8474" priority="1951" stopIfTrue="1" operator="equal">
      <formula>"0-20%"</formula>
    </cfRule>
    <cfRule type="cellIs" dxfId="8473" priority="1952" stopIfTrue="1" operator="equal">
      <formula>"81-100%"</formula>
    </cfRule>
    <cfRule type="cellIs" dxfId="8472" priority="1953" stopIfTrue="1" operator="equal">
      <formula>"100%"</formula>
    </cfRule>
  </conditionalFormatting>
  <conditionalFormatting sqref="N219:O219">
    <cfRule type="cellIs" dxfId="8471" priority="1906" stopIfTrue="1" operator="equal">
      <formula>"Régime présumé naturel (100%) / Abfluss vermutlich natürlich"</formula>
    </cfRule>
    <cfRule type="cellIs" dxfId="8470" priority="1907" stopIfTrue="1" operator="equal">
      <formula>"non pertinent / nicht relevant"</formula>
    </cfRule>
    <cfRule type="cellIs" dxfId="8469" priority="1908" stopIfTrue="1" operator="equal">
      <formula>"61-80%"</formula>
    </cfRule>
    <cfRule type="cellIs" dxfId="8468" priority="1909" stopIfTrue="1" operator="equal">
      <formula>"41-60%"</formula>
    </cfRule>
    <cfRule type="cellIs" dxfId="8467" priority="1910" stopIfTrue="1" operator="equal">
      <formula>"21-40%"</formula>
    </cfRule>
    <cfRule type="cellIs" dxfId="8466" priority="1911" stopIfTrue="1" operator="equal">
      <formula>"0-20%"</formula>
    </cfRule>
    <cfRule type="cellIs" dxfId="8465" priority="1912" stopIfTrue="1" operator="equal">
      <formula>"81-100%"</formula>
    </cfRule>
    <cfRule type="cellIs" dxfId="8464" priority="1913" stopIfTrue="1" operator="equal">
      <formula>"100%"</formula>
    </cfRule>
  </conditionalFormatting>
  <conditionalFormatting sqref="L208:M208">
    <cfRule type="cellIs" dxfId="8463" priority="1938" stopIfTrue="1" operator="equal">
      <formula>"Régime présumé naturel (100%) / Abfluss vermutlich natürlich"</formula>
    </cfRule>
    <cfRule type="cellIs" dxfId="8462" priority="1939" stopIfTrue="1" operator="equal">
      <formula>"non pertinent / nicht relevant"</formula>
    </cfRule>
    <cfRule type="cellIs" dxfId="8461" priority="1940" stopIfTrue="1" operator="equal">
      <formula>"61-80%"</formula>
    </cfRule>
    <cfRule type="cellIs" dxfId="8460" priority="1941" stopIfTrue="1" operator="equal">
      <formula>"41-60%"</formula>
    </cfRule>
    <cfRule type="cellIs" dxfId="8459" priority="1942" stopIfTrue="1" operator="equal">
      <formula>"21-40%"</formula>
    </cfRule>
    <cfRule type="cellIs" dxfId="8458" priority="1943" stopIfTrue="1" operator="equal">
      <formula>"0-20%"</formula>
    </cfRule>
    <cfRule type="cellIs" dxfId="8457" priority="1944" stopIfTrue="1" operator="equal">
      <formula>"81-100%"</formula>
    </cfRule>
    <cfRule type="cellIs" dxfId="8456" priority="1945" stopIfTrue="1" operator="equal">
      <formula>"100%"</formula>
    </cfRule>
  </conditionalFormatting>
  <conditionalFormatting sqref="N153:O153">
    <cfRule type="cellIs" dxfId="8455" priority="1930" stopIfTrue="1" operator="equal">
      <formula>"Régime présumé naturel (100%) / Abfluss vermutlich natürlich"</formula>
    </cfRule>
    <cfRule type="cellIs" dxfId="8454" priority="1931" stopIfTrue="1" operator="equal">
      <formula>"non pertinent / nicht relevant"</formula>
    </cfRule>
    <cfRule type="cellIs" dxfId="8453" priority="1932" stopIfTrue="1" operator="equal">
      <formula>"61-80%"</formula>
    </cfRule>
    <cfRule type="cellIs" dxfId="8452" priority="1933" stopIfTrue="1" operator="equal">
      <formula>"41-60%"</formula>
    </cfRule>
    <cfRule type="cellIs" dxfId="8451" priority="1934" stopIfTrue="1" operator="equal">
      <formula>"21-40%"</formula>
    </cfRule>
    <cfRule type="cellIs" dxfId="8450" priority="1935" stopIfTrue="1" operator="equal">
      <formula>"0-20%"</formula>
    </cfRule>
    <cfRule type="cellIs" dxfId="8449" priority="1936" stopIfTrue="1" operator="equal">
      <formula>"81-100%"</formula>
    </cfRule>
    <cfRule type="cellIs" dxfId="8448" priority="1937" stopIfTrue="1" operator="equal">
      <formula>"100%"</formula>
    </cfRule>
  </conditionalFormatting>
  <conditionalFormatting sqref="N179:O179">
    <cfRule type="cellIs" dxfId="8447" priority="1922" stopIfTrue="1" operator="equal">
      <formula>"Régime présumé naturel (100%) / Abfluss vermutlich natürlich"</formula>
    </cfRule>
    <cfRule type="cellIs" dxfId="8446" priority="1923" stopIfTrue="1" operator="equal">
      <formula>"non pertinent / nicht relevant"</formula>
    </cfRule>
    <cfRule type="cellIs" dxfId="8445" priority="1924" stopIfTrue="1" operator="equal">
      <formula>"61-80%"</formula>
    </cfRule>
    <cfRule type="cellIs" dxfId="8444" priority="1925" stopIfTrue="1" operator="equal">
      <formula>"41-60%"</formula>
    </cfRule>
    <cfRule type="cellIs" dxfId="8443" priority="1926" stopIfTrue="1" operator="equal">
      <formula>"21-40%"</formula>
    </cfRule>
    <cfRule type="cellIs" dxfId="8442" priority="1927" stopIfTrue="1" operator="equal">
      <formula>"0-20%"</formula>
    </cfRule>
    <cfRule type="cellIs" dxfId="8441" priority="1928" stopIfTrue="1" operator="equal">
      <formula>"81-100%"</formula>
    </cfRule>
    <cfRule type="cellIs" dxfId="8440" priority="1929" stopIfTrue="1" operator="equal">
      <formula>"100%"</formula>
    </cfRule>
  </conditionalFormatting>
  <conditionalFormatting sqref="N208:O208">
    <cfRule type="cellIs" dxfId="8439" priority="1914" stopIfTrue="1" operator="equal">
      <formula>"Régime présumé naturel (100%) / Abfluss vermutlich natürlich"</formula>
    </cfRule>
    <cfRule type="cellIs" dxfId="8438" priority="1915" stopIfTrue="1" operator="equal">
      <formula>"non pertinent / nicht relevant"</formula>
    </cfRule>
    <cfRule type="cellIs" dxfId="8437" priority="1916" stopIfTrue="1" operator="equal">
      <formula>"61-80%"</formula>
    </cfRule>
    <cfRule type="cellIs" dxfId="8436" priority="1917" stopIfTrue="1" operator="equal">
      <formula>"41-60%"</formula>
    </cfRule>
    <cfRule type="cellIs" dxfId="8435" priority="1918" stopIfTrue="1" operator="equal">
      <formula>"21-40%"</formula>
    </cfRule>
    <cfRule type="cellIs" dxfId="8434" priority="1919" stopIfTrue="1" operator="equal">
      <formula>"0-20%"</formula>
    </cfRule>
    <cfRule type="cellIs" dxfId="8433" priority="1920" stopIfTrue="1" operator="equal">
      <formula>"81-100%"</formula>
    </cfRule>
    <cfRule type="cellIs" dxfId="8432" priority="1921" stopIfTrue="1" operator="equal">
      <formula>"100%"</formula>
    </cfRule>
  </conditionalFormatting>
  <conditionalFormatting sqref="J4:J5 J22 J24:J27 J29:J30 J32:J33 J35:J37 J71:J72 J74 J77:J80 J86:J91 J93:J96 J112:J113 J117:J119 J127:J144 J149 J154:J158 J178 J180:J181 J213:J214 J231 J241:J247 J265:J266 J268:J270 J272:J275 J174:J176 J216:J218 J171:J172 J49:J64 J227:J229 J249:J260 J13 J99:J110 J183:J207 J262:J263 J220:J224 J209:J211 J15:J20 J7:J10 J39:J44 J46 J66:J68 J151:J152 J160:J169 J233">
    <cfRule type="cellIs" dxfId="8431" priority="1898" stopIfTrue="1" operator="equal">
      <formula>"Régime présumé naturel (100%) / Abfluss vermutlich natürlich"</formula>
    </cfRule>
    <cfRule type="cellIs" dxfId="8430" priority="1899" stopIfTrue="1" operator="equal">
      <formula>"non pertinent / nicht relevant"</formula>
    </cfRule>
    <cfRule type="cellIs" dxfId="8429" priority="1900" stopIfTrue="1" operator="equal">
      <formula>"61-80%"</formula>
    </cfRule>
    <cfRule type="cellIs" dxfId="8428" priority="1901" stopIfTrue="1" operator="equal">
      <formula>"41-60%"</formula>
    </cfRule>
    <cfRule type="cellIs" dxfId="8427" priority="1902" stopIfTrue="1" operator="equal">
      <formula>"21-40%"</formula>
    </cfRule>
    <cfRule type="cellIs" dxfId="8426" priority="1903" stopIfTrue="1" operator="equal">
      <formula>"0-20%"</formula>
    </cfRule>
    <cfRule type="cellIs" dxfId="8425" priority="1904" stopIfTrue="1" operator="equal">
      <formula>"81-100%"</formula>
    </cfRule>
    <cfRule type="cellIs" dxfId="8424" priority="1905" stopIfTrue="1" operator="equal">
      <formula>"100%"</formula>
    </cfRule>
  </conditionalFormatting>
  <conditionalFormatting sqref="J125:J126">
    <cfRule type="cellIs" dxfId="8423" priority="1890" stopIfTrue="1" operator="equal">
      <formula>"Régime présumé naturel (100%) / Abfluss vermutlich natürlich"</formula>
    </cfRule>
    <cfRule type="cellIs" dxfId="8422" priority="1891" stopIfTrue="1" operator="equal">
      <formula>"non pertinent / nicht relevant"</formula>
    </cfRule>
    <cfRule type="cellIs" dxfId="8421" priority="1892" stopIfTrue="1" operator="equal">
      <formula>"61-80%"</formula>
    </cfRule>
    <cfRule type="cellIs" dxfId="8420" priority="1893" stopIfTrue="1" operator="equal">
      <formula>"41-60%"</formula>
    </cfRule>
    <cfRule type="cellIs" dxfId="8419" priority="1894" stopIfTrue="1" operator="equal">
      <formula>"21-40%"</formula>
    </cfRule>
    <cfRule type="cellIs" dxfId="8418" priority="1895" stopIfTrue="1" operator="equal">
      <formula>"0-20%"</formula>
    </cfRule>
    <cfRule type="cellIs" dxfId="8417" priority="1896" stopIfTrue="1" operator="equal">
      <formula>"81-100%"</formula>
    </cfRule>
    <cfRule type="cellIs" dxfId="8416" priority="1897" stopIfTrue="1" operator="equal">
      <formula>"100%"</formula>
    </cfRule>
  </conditionalFormatting>
  <conditionalFormatting sqref="J225">
    <cfRule type="cellIs" dxfId="8415" priority="1882" stopIfTrue="1" operator="equal">
      <formula>"Régime présumé naturel (100%) / Abfluss vermutlich natürlich"</formula>
    </cfRule>
    <cfRule type="cellIs" dxfId="8414" priority="1883" stopIfTrue="1" operator="equal">
      <formula>"non pertinent / nicht relevant"</formula>
    </cfRule>
    <cfRule type="cellIs" dxfId="8413" priority="1884" stopIfTrue="1" operator="equal">
      <formula>"61-80%"</formula>
    </cfRule>
    <cfRule type="cellIs" dxfId="8412" priority="1885" stopIfTrue="1" operator="equal">
      <formula>"41-60%"</formula>
    </cfRule>
    <cfRule type="cellIs" dxfId="8411" priority="1886" stopIfTrue="1" operator="equal">
      <formula>"21-40%"</formula>
    </cfRule>
    <cfRule type="cellIs" dxfId="8410" priority="1887" stopIfTrue="1" operator="equal">
      <formula>"0-20%"</formula>
    </cfRule>
    <cfRule type="cellIs" dxfId="8409" priority="1888" stopIfTrue="1" operator="equal">
      <formula>"81-100%"</formula>
    </cfRule>
    <cfRule type="cellIs" dxfId="8408" priority="1889" stopIfTrue="1" operator="equal">
      <formula>"100%"</formula>
    </cfRule>
  </conditionalFormatting>
  <conditionalFormatting sqref="L231">
    <cfRule type="cellIs" dxfId="8407" priority="1762" stopIfTrue="1" operator="equal">
      <formula>"Régime présumé naturel (100%) / Abfluss vermutlich natürlich"</formula>
    </cfRule>
    <cfRule type="cellIs" dxfId="8406" priority="1763" stopIfTrue="1" operator="equal">
      <formula>"non pertinent / nicht relevant"</formula>
    </cfRule>
    <cfRule type="cellIs" dxfId="8405" priority="1764" stopIfTrue="1" operator="equal">
      <formula>"61-80%"</formula>
    </cfRule>
    <cfRule type="cellIs" dxfId="8404" priority="1765" stopIfTrue="1" operator="equal">
      <formula>"41-60%"</formula>
    </cfRule>
    <cfRule type="cellIs" dxfId="8403" priority="1766" stopIfTrue="1" operator="equal">
      <formula>"21-40%"</formula>
    </cfRule>
    <cfRule type="cellIs" dxfId="8402" priority="1767" stopIfTrue="1" operator="equal">
      <formula>"0-20%"</formula>
    </cfRule>
    <cfRule type="cellIs" dxfId="8401" priority="1768" stopIfTrue="1" operator="equal">
      <formula>"81-100%"</formula>
    </cfRule>
    <cfRule type="cellIs" dxfId="8400" priority="1769" stopIfTrue="1" operator="equal">
      <formula>"100%"</formula>
    </cfRule>
  </conditionalFormatting>
  <conditionalFormatting sqref="M41">
    <cfRule type="cellIs" dxfId="8399" priority="1874" stopIfTrue="1" operator="equal">
      <formula>"Régime présumé naturel (100%) / Abfluss vermutlich natürlich"</formula>
    </cfRule>
    <cfRule type="cellIs" dxfId="8398" priority="1875" stopIfTrue="1" operator="equal">
      <formula>"non pertinent / nicht relevant"</formula>
    </cfRule>
    <cfRule type="cellIs" dxfId="8397" priority="1876" stopIfTrue="1" operator="equal">
      <formula>"61-80%"</formula>
    </cfRule>
    <cfRule type="cellIs" dxfId="8396" priority="1877" stopIfTrue="1" operator="equal">
      <formula>"41-60%"</formula>
    </cfRule>
    <cfRule type="cellIs" dxfId="8395" priority="1878" stopIfTrue="1" operator="equal">
      <formula>"21-40%"</formula>
    </cfRule>
    <cfRule type="cellIs" dxfId="8394" priority="1879" stopIfTrue="1" operator="equal">
      <formula>"0-20%"</formula>
    </cfRule>
    <cfRule type="cellIs" dxfId="8393" priority="1880" stopIfTrue="1" operator="equal">
      <formula>"81-100%"</formula>
    </cfRule>
    <cfRule type="cellIs" dxfId="8392" priority="1881" stopIfTrue="1" operator="equal">
      <formula>"100%"</formula>
    </cfRule>
  </conditionalFormatting>
  <conditionalFormatting sqref="M46">
    <cfRule type="cellIs" dxfId="8391" priority="1866" stopIfTrue="1" operator="equal">
      <formula>"Régime présumé naturel (100%) / Abfluss vermutlich natürlich"</formula>
    </cfRule>
    <cfRule type="cellIs" dxfId="8390" priority="1867" stopIfTrue="1" operator="equal">
      <formula>"non pertinent / nicht relevant"</formula>
    </cfRule>
    <cfRule type="cellIs" dxfId="8389" priority="1868" stopIfTrue="1" operator="equal">
      <formula>"61-80%"</formula>
    </cfRule>
    <cfRule type="cellIs" dxfId="8388" priority="1869" stopIfTrue="1" operator="equal">
      <formula>"41-60%"</formula>
    </cfRule>
    <cfRule type="cellIs" dxfId="8387" priority="1870" stopIfTrue="1" operator="equal">
      <formula>"21-40%"</formula>
    </cfRule>
    <cfRule type="cellIs" dxfId="8386" priority="1871" stopIfTrue="1" operator="equal">
      <formula>"0-20%"</formula>
    </cfRule>
    <cfRule type="cellIs" dxfId="8385" priority="1872" stopIfTrue="1" operator="equal">
      <formula>"81-100%"</formula>
    </cfRule>
    <cfRule type="cellIs" dxfId="8384" priority="1873" stopIfTrue="1" operator="equal">
      <formula>"100%"</formula>
    </cfRule>
  </conditionalFormatting>
  <conditionalFormatting sqref="M47">
    <cfRule type="cellIs" dxfId="8383" priority="1858" stopIfTrue="1" operator="equal">
      <formula>"Régime présumé naturel (100%) / Abfluss vermutlich natürlich"</formula>
    </cfRule>
    <cfRule type="cellIs" dxfId="8382" priority="1859" stopIfTrue="1" operator="equal">
      <formula>"non pertinent / nicht relevant"</formula>
    </cfRule>
    <cfRule type="cellIs" dxfId="8381" priority="1860" stopIfTrue="1" operator="equal">
      <formula>"61-80%"</formula>
    </cfRule>
    <cfRule type="cellIs" dxfId="8380" priority="1861" stopIfTrue="1" operator="equal">
      <formula>"41-60%"</formula>
    </cfRule>
    <cfRule type="cellIs" dxfId="8379" priority="1862" stopIfTrue="1" operator="equal">
      <formula>"21-40%"</formula>
    </cfRule>
    <cfRule type="cellIs" dxfId="8378" priority="1863" stopIfTrue="1" operator="equal">
      <formula>"0-20%"</formula>
    </cfRule>
    <cfRule type="cellIs" dxfId="8377" priority="1864" stopIfTrue="1" operator="equal">
      <formula>"81-100%"</formula>
    </cfRule>
    <cfRule type="cellIs" dxfId="8376" priority="1865" stopIfTrue="1" operator="equal">
      <formula>"100%"</formula>
    </cfRule>
  </conditionalFormatting>
  <conditionalFormatting sqref="M48">
    <cfRule type="cellIs" dxfId="8375" priority="1850" stopIfTrue="1" operator="equal">
      <formula>"Régime présumé naturel (100%) / Abfluss vermutlich natürlich"</formula>
    </cfRule>
    <cfRule type="cellIs" dxfId="8374" priority="1851" stopIfTrue="1" operator="equal">
      <formula>"non pertinent / nicht relevant"</formula>
    </cfRule>
    <cfRule type="cellIs" dxfId="8373" priority="1852" stopIfTrue="1" operator="equal">
      <formula>"61-80%"</formula>
    </cfRule>
    <cfRule type="cellIs" dxfId="8372" priority="1853" stopIfTrue="1" operator="equal">
      <formula>"41-60%"</formula>
    </cfRule>
    <cfRule type="cellIs" dxfId="8371" priority="1854" stopIfTrue="1" operator="equal">
      <formula>"21-40%"</formula>
    </cfRule>
    <cfRule type="cellIs" dxfId="8370" priority="1855" stopIfTrue="1" operator="equal">
      <formula>"0-20%"</formula>
    </cfRule>
    <cfRule type="cellIs" dxfId="8369" priority="1856" stopIfTrue="1" operator="equal">
      <formula>"81-100%"</formula>
    </cfRule>
    <cfRule type="cellIs" dxfId="8368" priority="1857" stopIfTrue="1" operator="equal">
      <formula>"100%"</formula>
    </cfRule>
  </conditionalFormatting>
  <conditionalFormatting sqref="M49">
    <cfRule type="cellIs" dxfId="8367" priority="1842" stopIfTrue="1" operator="equal">
      <formula>"Régime présumé naturel (100%) / Abfluss vermutlich natürlich"</formula>
    </cfRule>
    <cfRule type="cellIs" dxfId="8366" priority="1843" stopIfTrue="1" operator="equal">
      <formula>"non pertinent / nicht relevant"</formula>
    </cfRule>
    <cfRule type="cellIs" dxfId="8365" priority="1844" stopIfTrue="1" operator="equal">
      <formula>"61-80%"</formula>
    </cfRule>
    <cfRule type="cellIs" dxfId="8364" priority="1845" stopIfTrue="1" operator="equal">
      <formula>"41-60%"</formula>
    </cfRule>
    <cfRule type="cellIs" dxfId="8363" priority="1846" stopIfTrue="1" operator="equal">
      <formula>"21-40%"</formula>
    </cfRule>
    <cfRule type="cellIs" dxfId="8362" priority="1847" stopIfTrue="1" operator="equal">
      <formula>"0-20%"</formula>
    </cfRule>
    <cfRule type="cellIs" dxfId="8361" priority="1848" stopIfTrue="1" operator="equal">
      <formula>"81-100%"</formula>
    </cfRule>
    <cfRule type="cellIs" dxfId="8360" priority="1849" stopIfTrue="1" operator="equal">
      <formula>"100%"</formula>
    </cfRule>
  </conditionalFormatting>
  <conditionalFormatting sqref="M50">
    <cfRule type="cellIs" dxfId="8359" priority="1834" stopIfTrue="1" operator="equal">
      <formula>"Régime présumé naturel (100%) / Abfluss vermutlich natürlich"</formula>
    </cfRule>
    <cfRule type="cellIs" dxfId="8358" priority="1835" stopIfTrue="1" operator="equal">
      <formula>"non pertinent / nicht relevant"</formula>
    </cfRule>
    <cfRule type="cellIs" dxfId="8357" priority="1836" stopIfTrue="1" operator="equal">
      <formula>"61-80%"</formula>
    </cfRule>
    <cfRule type="cellIs" dxfId="8356" priority="1837" stopIfTrue="1" operator="equal">
      <formula>"41-60%"</formula>
    </cfRule>
    <cfRule type="cellIs" dxfId="8355" priority="1838" stopIfTrue="1" operator="equal">
      <formula>"21-40%"</formula>
    </cfRule>
    <cfRule type="cellIs" dxfId="8354" priority="1839" stopIfTrue="1" operator="equal">
      <formula>"0-20%"</formula>
    </cfRule>
    <cfRule type="cellIs" dxfId="8353" priority="1840" stopIfTrue="1" operator="equal">
      <formula>"81-100%"</formula>
    </cfRule>
    <cfRule type="cellIs" dxfId="8352" priority="1841" stopIfTrue="1" operator="equal">
      <formula>"100%"</formula>
    </cfRule>
  </conditionalFormatting>
  <conditionalFormatting sqref="M52">
    <cfRule type="cellIs" dxfId="8351" priority="1826" stopIfTrue="1" operator="equal">
      <formula>"Régime présumé naturel (100%) / Abfluss vermutlich natürlich"</formula>
    </cfRule>
    <cfRule type="cellIs" dxfId="8350" priority="1827" stopIfTrue="1" operator="equal">
      <formula>"non pertinent / nicht relevant"</formula>
    </cfRule>
    <cfRule type="cellIs" dxfId="8349" priority="1828" stopIfTrue="1" operator="equal">
      <formula>"61-80%"</formula>
    </cfRule>
    <cfRule type="cellIs" dxfId="8348" priority="1829" stopIfTrue="1" operator="equal">
      <formula>"41-60%"</formula>
    </cfRule>
    <cfRule type="cellIs" dxfId="8347" priority="1830" stopIfTrue="1" operator="equal">
      <formula>"21-40%"</formula>
    </cfRule>
    <cfRule type="cellIs" dxfId="8346" priority="1831" stopIfTrue="1" operator="equal">
      <formula>"0-20%"</formula>
    </cfRule>
    <cfRule type="cellIs" dxfId="8345" priority="1832" stopIfTrue="1" operator="equal">
      <formula>"81-100%"</formula>
    </cfRule>
    <cfRule type="cellIs" dxfId="8344" priority="1833" stopIfTrue="1" operator="equal">
      <formula>"100%"</formula>
    </cfRule>
  </conditionalFormatting>
  <conditionalFormatting sqref="M158">
    <cfRule type="cellIs" dxfId="8343" priority="1818" stopIfTrue="1" operator="equal">
      <formula>"Régime présumé naturel (100%) / Abfluss vermutlich natürlich"</formula>
    </cfRule>
    <cfRule type="cellIs" dxfId="8342" priority="1819" stopIfTrue="1" operator="equal">
      <formula>"non pertinent / nicht relevant"</formula>
    </cfRule>
    <cfRule type="cellIs" dxfId="8341" priority="1820" stopIfTrue="1" operator="equal">
      <formula>"61-80%"</formula>
    </cfRule>
    <cfRule type="cellIs" dxfId="8340" priority="1821" stopIfTrue="1" operator="equal">
      <formula>"41-60%"</formula>
    </cfRule>
    <cfRule type="cellIs" dxfId="8339" priority="1822" stopIfTrue="1" operator="equal">
      <formula>"21-40%"</formula>
    </cfRule>
    <cfRule type="cellIs" dxfId="8338" priority="1823" stopIfTrue="1" operator="equal">
      <formula>"0-20%"</formula>
    </cfRule>
    <cfRule type="cellIs" dxfId="8337" priority="1824" stopIfTrue="1" operator="equal">
      <formula>"81-100%"</formula>
    </cfRule>
    <cfRule type="cellIs" dxfId="8336" priority="1825" stopIfTrue="1" operator="equal">
      <formula>"100%"</formula>
    </cfRule>
  </conditionalFormatting>
  <conditionalFormatting sqref="M160">
    <cfRule type="cellIs" dxfId="8335" priority="1810" stopIfTrue="1" operator="equal">
      <formula>"Régime présumé naturel (100%) / Abfluss vermutlich natürlich"</formula>
    </cfRule>
    <cfRule type="cellIs" dxfId="8334" priority="1811" stopIfTrue="1" operator="equal">
      <formula>"non pertinent / nicht relevant"</formula>
    </cfRule>
    <cfRule type="cellIs" dxfId="8333" priority="1812" stopIfTrue="1" operator="equal">
      <formula>"61-80%"</formula>
    </cfRule>
    <cfRule type="cellIs" dxfId="8332" priority="1813" stopIfTrue="1" operator="equal">
      <formula>"41-60%"</formula>
    </cfRule>
    <cfRule type="cellIs" dxfId="8331" priority="1814" stopIfTrue="1" operator="equal">
      <formula>"21-40%"</formula>
    </cfRule>
    <cfRule type="cellIs" dxfId="8330" priority="1815" stopIfTrue="1" operator="equal">
      <formula>"0-20%"</formula>
    </cfRule>
    <cfRule type="cellIs" dxfId="8329" priority="1816" stopIfTrue="1" operator="equal">
      <formula>"81-100%"</formula>
    </cfRule>
    <cfRule type="cellIs" dxfId="8328" priority="1817" stopIfTrue="1" operator="equal">
      <formula>"100%"</formula>
    </cfRule>
  </conditionalFormatting>
  <conditionalFormatting sqref="M167">
    <cfRule type="cellIs" dxfId="8327" priority="1802" stopIfTrue="1" operator="equal">
      <formula>"Régime présumé naturel (100%) / Abfluss vermutlich natürlich"</formula>
    </cfRule>
    <cfRule type="cellIs" dxfId="8326" priority="1803" stopIfTrue="1" operator="equal">
      <formula>"non pertinent / nicht relevant"</formula>
    </cfRule>
    <cfRule type="cellIs" dxfId="8325" priority="1804" stopIfTrue="1" operator="equal">
      <formula>"61-80%"</formula>
    </cfRule>
    <cfRule type="cellIs" dxfId="8324" priority="1805" stopIfTrue="1" operator="equal">
      <formula>"41-60%"</formula>
    </cfRule>
    <cfRule type="cellIs" dxfId="8323" priority="1806" stopIfTrue="1" operator="equal">
      <formula>"21-40%"</formula>
    </cfRule>
    <cfRule type="cellIs" dxfId="8322" priority="1807" stopIfTrue="1" operator="equal">
      <formula>"0-20%"</formula>
    </cfRule>
    <cfRule type="cellIs" dxfId="8321" priority="1808" stopIfTrue="1" operator="equal">
      <formula>"81-100%"</formula>
    </cfRule>
    <cfRule type="cellIs" dxfId="8320" priority="1809" stopIfTrue="1" operator="equal">
      <formula>"100%"</formula>
    </cfRule>
  </conditionalFormatting>
  <conditionalFormatting sqref="M187">
    <cfRule type="cellIs" dxfId="8319" priority="1794" stopIfTrue="1" operator="equal">
      <formula>"Régime présumé naturel (100%) / Abfluss vermutlich natürlich"</formula>
    </cfRule>
    <cfRule type="cellIs" dxfId="8318" priority="1795" stopIfTrue="1" operator="equal">
      <formula>"non pertinent / nicht relevant"</formula>
    </cfRule>
    <cfRule type="cellIs" dxfId="8317" priority="1796" stopIfTrue="1" operator="equal">
      <formula>"61-80%"</formula>
    </cfRule>
    <cfRule type="cellIs" dxfId="8316" priority="1797" stopIfTrue="1" operator="equal">
      <formula>"41-60%"</formula>
    </cfRule>
    <cfRule type="cellIs" dxfId="8315" priority="1798" stopIfTrue="1" operator="equal">
      <formula>"21-40%"</formula>
    </cfRule>
    <cfRule type="cellIs" dxfId="8314" priority="1799" stopIfTrue="1" operator="equal">
      <formula>"0-20%"</formula>
    </cfRule>
    <cfRule type="cellIs" dxfId="8313" priority="1800" stopIfTrue="1" operator="equal">
      <formula>"81-100%"</formula>
    </cfRule>
    <cfRule type="cellIs" dxfId="8312" priority="1801" stopIfTrue="1" operator="equal">
      <formula>"100%"</formula>
    </cfRule>
  </conditionalFormatting>
  <conditionalFormatting sqref="M188">
    <cfRule type="cellIs" dxfId="8311" priority="1786" stopIfTrue="1" operator="equal">
      <formula>"Régime présumé naturel (100%) / Abfluss vermutlich natürlich"</formula>
    </cfRule>
    <cfRule type="cellIs" dxfId="8310" priority="1787" stopIfTrue="1" operator="equal">
      <formula>"non pertinent / nicht relevant"</formula>
    </cfRule>
    <cfRule type="cellIs" dxfId="8309" priority="1788" stopIfTrue="1" operator="equal">
      <formula>"61-80%"</formula>
    </cfRule>
    <cfRule type="cellIs" dxfId="8308" priority="1789" stopIfTrue="1" operator="equal">
      <formula>"41-60%"</formula>
    </cfRule>
    <cfRule type="cellIs" dxfId="8307" priority="1790" stopIfTrue="1" operator="equal">
      <formula>"21-40%"</formula>
    </cfRule>
    <cfRule type="cellIs" dxfId="8306" priority="1791" stopIfTrue="1" operator="equal">
      <formula>"0-20%"</formula>
    </cfRule>
    <cfRule type="cellIs" dxfId="8305" priority="1792" stopIfTrue="1" operator="equal">
      <formula>"81-100%"</formula>
    </cfRule>
    <cfRule type="cellIs" dxfId="8304" priority="1793" stopIfTrue="1" operator="equal">
      <formula>"100%"</formula>
    </cfRule>
  </conditionalFormatting>
  <conditionalFormatting sqref="M189">
    <cfRule type="cellIs" dxfId="8303" priority="1778" stopIfTrue="1" operator="equal">
      <formula>"Régime présumé naturel (100%) / Abfluss vermutlich natürlich"</formula>
    </cfRule>
    <cfRule type="cellIs" dxfId="8302" priority="1779" stopIfTrue="1" operator="equal">
      <formula>"non pertinent / nicht relevant"</formula>
    </cfRule>
    <cfRule type="cellIs" dxfId="8301" priority="1780" stopIfTrue="1" operator="equal">
      <formula>"61-80%"</formula>
    </cfRule>
    <cfRule type="cellIs" dxfId="8300" priority="1781" stopIfTrue="1" operator="equal">
      <formula>"41-60%"</formula>
    </cfRule>
    <cfRule type="cellIs" dxfId="8299" priority="1782" stopIfTrue="1" operator="equal">
      <formula>"21-40%"</formula>
    </cfRule>
    <cfRule type="cellIs" dxfId="8298" priority="1783" stopIfTrue="1" operator="equal">
      <formula>"0-20%"</formula>
    </cfRule>
    <cfRule type="cellIs" dxfId="8297" priority="1784" stopIfTrue="1" operator="equal">
      <formula>"81-100%"</formula>
    </cfRule>
    <cfRule type="cellIs" dxfId="8296" priority="1785" stopIfTrue="1" operator="equal">
      <formula>"100%"</formula>
    </cfRule>
  </conditionalFormatting>
  <conditionalFormatting sqref="L119:M120">
    <cfRule type="cellIs" dxfId="8295" priority="1770" stopIfTrue="1" operator="equal">
      <formula>"Régime présumé naturel (100%) / Abfluss vermutlich natürlich"</formula>
    </cfRule>
    <cfRule type="cellIs" dxfId="8294" priority="1771" stopIfTrue="1" operator="equal">
      <formula>"non pertinent / nicht relevant"</formula>
    </cfRule>
    <cfRule type="cellIs" dxfId="8293" priority="1772" stopIfTrue="1" operator="equal">
      <formula>"61-80%"</formula>
    </cfRule>
    <cfRule type="cellIs" dxfId="8292" priority="1773" stopIfTrue="1" operator="equal">
      <formula>"41-60%"</formula>
    </cfRule>
    <cfRule type="cellIs" dxfId="8291" priority="1774" stopIfTrue="1" operator="equal">
      <formula>"21-40%"</formula>
    </cfRule>
    <cfRule type="cellIs" dxfId="8290" priority="1775" stopIfTrue="1" operator="equal">
      <formula>"0-20%"</formula>
    </cfRule>
    <cfRule type="cellIs" dxfId="8289" priority="1776" stopIfTrue="1" operator="equal">
      <formula>"81-100%"</formula>
    </cfRule>
    <cfRule type="cellIs" dxfId="8288" priority="1777" stopIfTrue="1" operator="equal">
      <formula>"100%"</formula>
    </cfRule>
  </conditionalFormatting>
  <conditionalFormatting sqref="L14:M14">
    <cfRule type="cellIs" dxfId="8287" priority="1754" stopIfTrue="1" operator="equal">
      <formula>"Régime présumé naturel (100%) / Abfluss vermutlich natürlich"</formula>
    </cfRule>
    <cfRule type="cellIs" dxfId="8286" priority="1755" stopIfTrue="1" operator="equal">
      <formula>"non pertinent / nicht relevant"</formula>
    </cfRule>
    <cfRule type="cellIs" dxfId="8285" priority="1756" stopIfTrue="1" operator="equal">
      <formula>"61-80%"</formula>
    </cfRule>
    <cfRule type="cellIs" dxfId="8284" priority="1757" stopIfTrue="1" operator="equal">
      <formula>"41-60%"</formula>
    </cfRule>
    <cfRule type="cellIs" dxfId="8283" priority="1758" stopIfTrue="1" operator="equal">
      <formula>"21-40%"</formula>
    </cfRule>
    <cfRule type="cellIs" dxfId="8282" priority="1759" stopIfTrue="1" operator="equal">
      <formula>"0-20%"</formula>
    </cfRule>
    <cfRule type="cellIs" dxfId="8281" priority="1760" stopIfTrue="1" operator="equal">
      <formula>"81-100%"</formula>
    </cfRule>
    <cfRule type="cellIs" dxfId="8280" priority="1761" stopIfTrue="1" operator="equal">
      <formula>"100%"</formula>
    </cfRule>
  </conditionalFormatting>
  <conditionalFormatting sqref="L248">
    <cfRule type="cellIs" dxfId="8279" priority="1746" stopIfTrue="1" operator="equal">
      <formula>"Régime présumé naturel (100%) / Abfluss vermutlich natürlich"</formula>
    </cfRule>
    <cfRule type="cellIs" dxfId="8278" priority="1747" stopIfTrue="1" operator="equal">
      <formula>"non pertinent / nicht relevant"</formula>
    </cfRule>
    <cfRule type="cellIs" dxfId="8277" priority="1748" stopIfTrue="1" operator="equal">
      <formula>"61-80%"</formula>
    </cfRule>
    <cfRule type="cellIs" dxfId="8276" priority="1749" stopIfTrue="1" operator="equal">
      <formula>"41-60%"</formula>
    </cfRule>
    <cfRule type="cellIs" dxfId="8275" priority="1750" stopIfTrue="1" operator="equal">
      <formula>"21-40%"</formula>
    </cfRule>
    <cfRule type="cellIs" dxfId="8274" priority="1751" stopIfTrue="1" operator="equal">
      <formula>"0-20%"</formula>
    </cfRule>
    <cfRule type="cellIs" dxfId="8273" priority="1752" stopIfTrue="1" operator="equal">
      <formula>"81-100%"</formula>
    </cfRule>
    <cfRule type="cellIs" dxfId="8272" priority="1753" stopIfTrue="1" operator="equal">
      <formula>"100%"</formula>
    </cfRule>
  </conditionalFormatting>
  <conditionalFormatting sqref="M248">
    <cfRule type="cellIs" dxfId="8271" priority="1738" stopIfTrue="1" operator="equal">
      <formula>"Régime présumé naturel (100%) / Abfluss vermutlich natürlich"</formula>
    </cfRule>
    <cfRule type="cellIs" dxfId="8270" priority="1739" stopIfTrue="1" operator="equal">
      <formula>"non pertinent / nicht relevant"</formula>
    </cfRule>
    <cfRule type="cellIs" dxfId="8269" priority="1740" stopIfTrue="1" operator="equal">
      <formula>"61-80%"</formula>
    </cfRule>
    <cfRule type="cellIs" dxfId="8268" priority="1741" stopIfTrue="1" operator="equal">
      <formula>"41-60%"</formula>
    </cfRule>
    <cfRule type="cellIs" dxfId="8267" priority="1742" stopIfTrue="1" operator="equal">
      <formula>"21-40%"</formula>
    </cfRule>
    <cfRule type="cellIs" dxfId="8266" priority="1743" stopIfTrue="1" operator="equal">
      <formula>"0-20%"</formula>
    </cfRule>
    <cfRule type="cellIs" dxfId="8265" priority="1744" stopIfTrue="1" operator="equal">
      <formula>"81-100%"</formula>
    </cfRule>
    <cfRule type="cellIs" dxfId="8264" priority="1745" stopIfTrue="1" operator="equal">
      <formula>"100%"</formula>
    </cfRule>
  </conditionalFormatting>
  <conditionalFormatting sqref="M81">
    <cfRule type="cellIs" dxfId="8263" priority="1730" stopIfTrue="1" operator="equal">
      <formula>"Régime présumé naturel (100%) / Abfluss vermutlich natürlich"</formula>
    </cfRule>
    <cfRule type="cellIs" dxfId="8262" priority="1731" stopIfTrue="1" operator="equal">
      <formula>"non pertinent / nicht relevant"</formula>
    </cfRule>
    <cfRule type="cellIs" dxfId="8261" priority="1732" stopIfTrue="1" operator="equal">
      <formula>"61-80%"</formula>
    </cfRule>
    <cfRule type="cellIs" dxfId="8260" priority="1733" stopIfTrue="1" operator="equal">
      <formula>"41-60%"</formula>
    </cfRule>
    <cfRule type="cellIs" dxfId="8259" priority="1734" stopIfTrue="1" operator="equal">
      <formula>"21-40%"</formula>
    </cfRule>
    <cfRule type="cellIs" dxfId="8258" priority="1735" stopIfTrue="1" operator="equal">
      <formula>"0-20%"</formula>
    </cfRule>
    <cfRule type="cellIs" dxfId="8257" priority="1736" stopIfTrue="1" operator="equal">
      <formula>"81-100%"</formula>
    </cfRule>
    <cfRule type="cellIs" dxfId="8256" priority="1737" stopIfTrue="1" operator="equal">
      <formula>"100%"</formula>
    </cfRule>
  </conditionalFormatting>
  <conditionalFormatting sqref="M88">
    <cfRule type="cellIs" dxfId="8255" priority="1722" stopIfTrue="1" operator="equal">
      <formula>"Régime présumé naturel (100%) / Abfluss vermutlich natürlich"</formula>
    </cfRule>
    <cfRule type="cellIs" dxfId="8254" priority="1723" stopIfTrue="1" operator="equal">
      <formula>"non pertinent / nicht relevant"</formula>
    </cfRule>
    <cfRule type="cellIs" dxfId="8253" priority="1724" stopIfTrue="1" operator="equal">
      <formula>"61-80%"</formula>
    </cfRule>
    <cfRule type="cellIs" dxfId="8252" priority="1725" stopIfTrue="1" operator="equal">
      <formula>"41-60%"</formula>
    </cfRule>
    <cfRule type="cellIs" dxfId="8251" priority="1726" stopIfTrue="1" operator="equal">
      <formula>"21-40%"</formula>
    </cfRule>
    <cfRule type="cellIs" dxfId="8250" priority="1727" stopIfTrue="1" operator="equal">
      <formula>"0-20%"</formula>
    </cfRule>
    <cfRule type="cellIs" dxfId="8249" priority="1728" stopIfTrue="1" operator="equal">
      <formula>"81-100%"</formula>
    </cfRule>
    <cfRule type="cellIs" dxfId="8248" priority="1729" stopIfTrue="1" operator="equal">
      <formula>"100%"</formula>
    </cfRule>
  </conditionalFormatting>
  <conditionalFormatting sqref="M176">
    <cfRule type="cellIs" dxfId="8247" priority="1714" stopIfTrue="1" operator="equal">
      <formula>"Régime présumé naturel (100%) / Abfluss vermutlich natürlich"</formula>
    </cfRule>
    <cfRule type="cellIs" dxfId="8246" priority="1715" stopIfTrue="1" operator="equal">
      <formula>"non pertinent / nicht relevant"</formula>
    </cfRule>
    <cfRule type="cellIs" dxfId="8245" priority="1716" stopIfTrue="1" operator="equal">
      <formula>"61-80%"</formula>
    </cfRule>
    <cfRule type="cellIs" dxfId="8244" priority="1717" stopIfTrue="1" operator="equal">
      <formula>"41-60%"</formula>
    </cfRule>
    <cfRule type="cellIs" dxfId="8243" priority="1718" stopIfTrue="1" operator="equal">
      <formula>"21-40%"</formula>
    </cfRule>
    <cfRule type="cellIs" dxfId="8242" priority="1719" stopIfTrue="1" operator="equal">
      <formula>"0-20%"</formula>
    </cfRule>
    <cfRule type="cellIs" dxfId="8241" priority="1720" stopIfTrue="1" operator="equal">
      <formula>"81-100%"</formula>
    </cfRule>
    <cfRule type="cellIs" dxfId="8240" priority="1721" stopIfTrue="1" operator="equal">
      <formula>"100%"</formula>
    </cfRule>
  </conditionalFormatting>
  <conditionalFormatting sqref="M225">
    <cfRule type="cellIs" dxfId="8239" priority="1706" stopIfTrue="1" operator="equal">
      <formula>"Régime présumé naturel (100%) / Abfluss vermutlich natürlich"</formula>
    </cfRule>
    <cfRule type="cellIs" dxfId="8238" priority="1707" stopIfTrue="1" operator="equal">
      <formula>"non pertinent / nicht relevant"</formula>
    </cfRule>
    <cfRule type="cellIs" dxfId="8237" priority="1708" stopIfTrue="1" operator="equal">
      <formula>"61-80%"</formula>
    </cfRule>
    <cfRule type="cellIs" dxfId="8236" priority="1709" stopIfTrue="1" operator="equal">
      <formula>"41-60%"</formula>
    </cfRule>
    <cfRule type="cellIs" dxfId="8235" priority="1710" stopIfTrue="1" operator="equal">
      <formula>"21-40%"</formula>
    </cfRule>
    <cfRule type="cellIs" dxfId="8234" priority="1711" stopIfTrue="1" operator="equal">
      <formula>"0-20%"</formula>
    </cfRule>
    <cfRule type="cellIs" dxfId="8233" priority="1712" stopIfTrue="1" operator="equal">
      <formula>"81-100%"</formula>
    </cfRule>
    <cfRule type="cellIs" dxfId="8232" priority="1713" stopIfTrue="1" operator="equal">
      <formula>"100%"</formula>
    </cfRule>
  </conditionalFormatting>
  <conditionalFormatting sqref="L11">
    <cfRule type="cellIs" dxfId="8231" priority="1698" stopIfTrue="1" operator="equal">
      <formula>"Régime présumé naturel (100%) / Abfluss vermutlich natürlich"</formula>
    </cfRule>
    <cfRule type="cellIs" dxfId="8230" priority="1699" stopIfTrue="1" operator="equal">
      <formula>"non pertinent / nicht relevant"</formula>
    </cfRule>
    <cfRule type="cellIs" dxfId="8229" priority="1700" stopIfTrue="1" operator="equal">
      <formula>"61-80%"</formula>
    </cfRule>
    <cfRule type="cellIs" dxfId="8228" priority="1701" stopIfTrue="1" operator="equal">
      <formula>"41-60%"</formula>
    </cfRule>
    <cfRule type="cellIs" dxfId="8227" priority="1702" stopIfTrue="1" operator="equal">
      <formula>"21-40%"</formula>
    </cfRule>
    <cfRule type="cellIs" dxfId="8226" priority="1703" stopIfTrue="1" operator="equal">
      <formula>"0-20%"</formula>
    </cfRule>
    <cfRule type="cellIs" dxfId="8225" priority="1704" stopIfTrue="1" operator="equal">
      <formula>"81-100%"</formula>
    </cfRule>
    <cfRule type="cellIs" dxfId="8224" priority="1705" stopIfTrue="1" operator="equal">
      <formula>"100%"</formula>
    </cfRule>
  </conditionalFormatting>
  <conditionalFormatting sqref="L12">
    <cfRule type="cellIs" dxfId="8223" priority="1690" stopIfTrue="1" operator="equal">
      <formula>"Régime présumé naturel (100%) / Abfluss vermutlich natürlich"</formula>
    </cfRule>
    <cfRule type="cellIs" dxfId="8222" priority="1691" stopIfTrue="1" operator="equal">
      <formula>"non pertinent / nicht relevant"</formula>
    </cfRule>
    <cfRule type="cellIs" dxfId="8221" priority="1692" stopIfTrue="1" operator="equal">
      <formula>"61-80%"</formula>
    </cfRule>
    <cfRule type="cellIs" dxfId="8220" priority="1693" stopIfTrue="1" operator="equal">
      <formula>"41-60%"</formula>
    </cfRule>
    <cfRule type="cellIs" dxfId="8219" priority="1694" stopIfTrue="1" operator="equal">
      <formula>"21-40%"</formula>
    </cfRule>
    <cfRule type="cellIs" dxfId="8218" priority="1695" stopIfTrue="1" operator="equal">
      <formula>"0-20%"</formula>
    </cfRule>
    <cfRule type="cellIs" dxfId="8217" priority="1696" stopIfTrue="1" operator="equal">
      <formula>"81-100%"</formula>
    </cfRule>
    <cfRule type="cellIs" dxfId="8216" priority="1697" stopIfTrue="1" operator="equal">
      <formula>"100%"</formula>
    </cfRule>
  </conditionalFormatting>
  <conditionalFormatting sqref="M11">
    <cfRule type="cellIs" dxfId="8215" priority="1682" stopIfTrue="1" operator="equal">
      <formula>"Régime présumé naturel (100%) / Abfluss vermutlich natürlich"</formula>
    </cfRule>
    <cfRule type="cellIs" dxfId="8214" priority="1683" stopIfTrue="1" operator="equal">
      <formula>"non pertinent / nicht relevant"</formula>
    </cfRule>
    <cfRule type="cellIs" dxfId="8213" priority="1684" stopIfTrue="1" operator="equal">
      <formula>"61-80%"</formula>
    </cfRule>
    <cfRule type="cellIs" dxfId="8212" priority="1685" stopIfTrue="1" operator="equal">
      <formula>"41-60%"</formula>
    </cfRule>
    <cfRule type="cellIs" dxfId="8211" priority="1686" stopIfTrue="1" operator="equal">
      <formula>"21-40%"</formula>
    </cfRule>
    <cfRule type="cellIs" dxfId="8210" priority="1687" stopIfTrue="1" operator="equal">
      <formula>"0-20%"</formula>
    </cfRule>
    <cfRule type="cellIs" dxfId="8209" priority="1688" stopIfTrue="1" operator="equal">
      <formula>"81-100%"</formula>
    </cfRule>
    <cfRule type="cellIs" dxfId="8208" priority="1689" stopIfTrue="1" operator="equal">
      <formula>"100%"</formula>
    </cfRule>
  </conditionalFormatting>
  <conditionalFormatting sqref="M12">
    <cfRule type="cellIs" dxfId="8207" priority="1674" stopIfTrue="1" operator="equal">
      <formula>"Régime présumé naturel (100%) / Abfluss vermutlich natürlich"</formula>
    </cfRule>
    <cfRule type="cellIs" dxfId="8206" priority="1675" stopIfTrue="1" operator="equal">
      <formula>"non pertinent / nicht relevant"</formula>
    </cfRule>
    <cfRule type="cellIs" dxfId="8205" priority="1676" stopIfTrue="1" operator="equal">
      <formula>"61-80%"</formula>
    </cfRule>
    <cfRule type="cellIs" dxfId="8204" priority="1677" stopIfTrue="1" operator="equal">
      <formula>"41-60%"</formula>
    </cfRule>
    <cfRule type="cellIs" dxfId="8203" priority="1678" stopIfTrue="1" operator="equal">
      <formula>"21-40%"</formula>
    </cfRule>
    <cfRule type="cellIs" dxfId="8202" priority="1679" stopIfTrue="1" operator="equal">
      <formula>"0-20%"</formula>
    </cfRule>
    <cfRule type="cellIs" dxfId="8201" priority="1680" stopIfTrue="1" operator="equal">
      <formula>"81-100%"</formula>
    </cfRule>
    <cfRule type="cellIs" dxfId="8200" priority="1681" stopIfTrue="1" operator="equal">
      <formula>"100%"</formula>
    </cfRule>
  </conditionalFormatting>
  <conditionalFormatting sqref="L275">
    <cfRule type="cellIs" dxfId="8199" priority="1666" stopIfTrue="1" operator="equal">
      <formula>"Régime présumé naturel (100%) / Abfluss vermutlich natürlich"</formula>
    </cfRule>
    <cfRule type="cellIs" dxfId="8198" priority="1667" stopIfTrue="1" operator="equal">
      <formula>"non pertinent / nicht relevant"</formula>
    </cfRule>
    <cfRule type="cellIs" dxfId="8197" priority="1668" stopIfTrue="1" operator="equal">
      <formula>"61-80%"</formula>
    </cfRule>
    <cfRule type="cellIs" dxfId="8196" priority="1669" stopIfTrue="1" operator="equal">
      <formula>"41-60%"</formula>
    </cfRule>
    <cfRule type="cellIs" dxfId="8195" priority="1670" stopIfTrue="1" operator="equal">
      <formula>"21-40%"</formula>
    </cfRule>
    <cfRule type="cellIs" dxfId="8194" priority="1671" stopIfTrue="1" operator="equal">
      <formula>"0-20%"</formula>
    </cfRule>
    <cfRule type="cellIs" dxfId="8193" priority="1672" stopIfTrue="1" operator="equal">
      <formula>"81-100%"</formula>
    </cfRule>
    <cfRule type="cellIs" dxfId="8192" priority="1673" stopIfTrue="1" operator="equal">
      <formula>"100%"</formula>
    </cfRule>
  </conditionalFormatting>
  <conditionalFormatting sqref="L76:L80">
    <cfRule type="cellIs" dxfId="8191" priority="1650" stopIfTrue="1" operator="equal">
      <formula>"Régime présumé naturel (100%) / Abfluss vermutlich natürlich"</formula>
    </cfRule>
    <cfRule type="cellIs" dxfId="8190" priority="1651" stopIfTrue="1" operator="equal">
      <formula>"non pertinent / nicht relevant"</formula>
    </cfRule>
    <cfRule type="cellIs" dxfId="8189" priority="1652" stopIfTrue="1" operator="equal">
      <formula>"61-80%"</formula>
    </cfRule>
    <cfRule type="cellIs" dxfId="8188" priority="1653" stopIfTrue="1" operator="equal">
      <formula>"41-60%"</formula>
    </cfRule>
    <cfRule type="cellIs" dxfId="8187" priority="1654" stopIfTrue="1" operator="equal">
      <formula>"21-40%"</formula>
    </cfRule>
    <cfRule type="cellIs" dxfId="8186" priority="1655" stopIfTrue="1" operator="equal">
      <formula>"0-20%"</formula>
    </cfRule>
    <cfRule type="cellIs" dxfId="8185" priority="1656" stopIfTrue="1" operator="equal">
      <formula>"81-100%"</formula>
    </cfRule>
    <cfRule type="cellIs" dxfId="8184" priority="1657" stopIfTrue="1" operator="equal">
      <formula>"100%"</formula>
    </cfRule>
  </conditionalFormatting>
  <conditionalFormatting sqref="M51">
    <cfRule type="cellIs" dxfId="8183" priority="1658" stopIfTrue="1" operator="equal">
      <formula>"Régime présumé naturel (100%) / Abfluss vermutlich natürlich"</formula>
    </cfRule>
    <cfRule type="cellIs" dxfId="8182" priority="1659" stopIfTrue="1" operator="equal">
      <formula>"non pertinent / nicht relevant"</formula>
    </cfRule>
    <cfRule type="cellIs" dxfId="8181" priority="1660" stopIfTrue="1" operator="equal">
      <formula>"61-80%"</formula>
    </cfRule>
    <cfRule type="cellIs" dxfId="8180" priority="1661" stopIfTrue="1" operator="equal">
      <formula>"41-60%"</formula>
    </cfRule>
    <cfRule type="cellIs" dxfId="8179" priority="1662" stopIfTrue="1" operator="equal">
      <formula>"21-40%"</formula>
    </cfRule>
    <cfRule type="cellIs" dxfId="8178" priority="1663" stopIfTrue="1" operator="equal">
      <formula>"0-20%"</formula>
    </cfRule>
    <cfRule type="cellIs" dxfId="8177" priority="1664" stopIfTrue="1" operator="equal">
      <formula>"81-100%"</formula>
    </cfRule>
    <cfRule type="cellIs" dxfId="8176" priority="1665" stopIfTrue="1" operator="equal">
      <formula>"100%"</formula>
    </cfRule>
  </conditionalFormatting>
  <conditionalFormatting sqref="J69">
    <cfRule type="cellIs" dxfId="8175" priority="1626" stopIfTrue="1" operator="equal">
      <formula>"Régime présumé naturel (100%) / Abfluss vermutlich natürlich"</formula>
    </cfRule>
    <cfRule type="cellIs" dxfId="8174" priority="1627" stopIfTrue="1" operator="equal">
      <formula>"non pertinent / nicht relevant"</formula>
    </cfRule>
    <cfRule type="cellIs" dxfId="8173" priority="1628" stopIfTrue="1" operator="equal">
      <formula>"61-80%"</formula>
    </cfRule>
    <cfRule type="cellIs" dxfId="8172" priority="1629" stopIfTrue="1" operator="equal">
      <formula>"41-60%"</formula>
    </cfRule>
    <cfRule type="cellIs" dxfId="8171" priority="1630" stopIfTrue="1" operator="equal">
      <formula>"21-40%"</formula>
    </cfRule>
    <cfRule type="cellIs" dxfId="8170" priority="1631" stopIfTrue="1" operator="equal">
      <formula>"0-20%"</formula>
    </cfRule>
    <cfRule type="cellIs" dxfId="8169" priority="1632" stopIfTrue="1" operator="equal">
      <formula>"81-100%"</formula>
    </cfRule>
    <cfRule type="cellIs" dxfId="8168" priority="1633" stopIfTrue="1" operator="equal">
      <formula>"100%"</formula>
    </cfRule>
  </conditionalFormatting>
  <conditionalFormatting sqref="J98">
    <cfRule type="cellIs" dxfId="8167" priority="1618" stopIfTrue="1" operator="equal">
      <formula>"Régime présumé naturel (100%) / Abfluss vermutlich natürlich"</formula>
    </cfRule>
    <cfRule type="cellIs" dxfId="8166" priority="1619" stopIfTrue="1" operator="equal">
      <formula>"non pertinent / nicht relevant"</formula>
    </cfRule>
    <cfRule type="cellIs" dxfId="8165" priority="1620" stopIfTrue="1" operator="equal">
      <formula>"61-80%"</formula>
    </cfRule>
    <cfRule type="cellIs" dxfId="8164" priority="1621" stopIfTrue="1" operator="equal">
      <formula>"41-60%"</formula>
    </cfRule>
    <cfRule type="cellIs" dxfId="8163" priority="1622" stopIfTrue="1" operator="equal">
      <formula>"21-40%"</formula>
    </cfRule>
    <cfRule type="cellIs" dxfId="8162" priority="1623" stopIfTrue="1" operator="equal">
      <formula>"0-20%"</formula>
    </cfRule>
    <cfRule type="cellIs" dxfId="8161" priority="1624" stopIfTrue="1" operator="equal">
      <formula>"81-100%"</formula>
    </cfRule>
    <cfRule type="cellIs" dxfId="8160" priority="1625" stopIfTrue="1" operator="equal">
      <formula>"100%"</formula>
    </cfRule>
  </conditionalFormatting>
  <conditionalFormatting sqref="J111">
    <cfRule type="cellIs" dxfId="8159" priority="1610" stopIfTrue="1" operator="equal">
      <formula>"Régime présumé naturel (100%) / Abfluss vermutlich natürlich"</formula>
    </cfRule>
    <cfRule type="cellIs" dxfId="8158" priority="1611" stopIfTrue="1" operator="equal">
      <formula>"non pertinent / nicht relevant"</formula>
    </cfRule>
    <cfRule type="cellIs" dxfId="8157" priority="1612" stopIfTrue="1" operator="equal">
      <formula>"61-80%"</formula>
    </cfRule>
    <cfRule type="cellIs" dxfId="8156" priority="1613" stopIfTrue="1" operator="equal">
      <formula>"41-60%"</formula>
    </cfRule>
    <cfRule type="cellIs" dxfId="8155" priority="1614" stopIfTrue="1" operator="equal">
      <formula>"21-40%"</formula>
    </cfRule>
    <cfRule type="cellIs" dxfId="8154" priority="1615" stopIfTrue="1" operator="equal">
      <formula>"0-20%"</formula>
    </cfRule>
    <cfRule type="cellIs" dxfId="8153" priority="1616" stopIfTrue="1" operator="equal">
      <formula>"81-100%"</formula>
    </cfRule>
    <cfRule type="cellIs" dxfId="8152" priority="1617" stopIfTrue="1" operator="equal">
      <formula>"100%"</formula>
    </cfRule>
  </conditionalFormatting>
  <conditionalFormatting sqref="J148">
    <cfRule type="cellIs" dxfId="8151" priority="1586" stopIfTrue="1" operator="equal">
      <formula>"Régime présumé naturel (100%) / Abfluss vermutlich natürlich"</formula>
    </cfRule>
    <cfRule type="cellIs" dxfId="8150" priority="1587" stopIfTrue="1" operator="equal">
      <formula>"non pertinent / nicht relevant"</formula>
    </cfRule>
    <cfRule type="cellIs" dxfId="8149" priority="1588" stopIfTrue="1" operator="equal">
      <formula>"61-80%"</formula>
    </cfRule>
    <cfRule type="cellIs" dxfId="8148" priority="1589" stopIfTrue="1" operator="equal">
      <formula>"41-60%"</formula>
    </cfRule>
    <cfRule type="cellIs" dxfId="8147" priority="1590" stopIfTrue="1" operator="equal">
      <formula>"21-40%"</formula>
    </cfRule>
    <cfRule type="cellIs" dxfId="8146" priority="1591" stopIfTrue="1" operator="equal">
      <formula>"0-20%"</formula>
    </cfRule>
    <cfRule type="cellIs" dxfId="8145" priority="1592" stopIfTrue="1" operator="equal">
      <formula>"81-100%"</formula>
    </cfRule>
    <cfRule type="cellIs" dxfId="8144" priority="1593" stopIfTrue="1" operator="equal">
      <formula>"100%"</formula>
    </cfRule>
  </conditionalFormatting>
  <conditionalFormatting sqref="J177">
    <cfRule type="cellIs" dxfId="8143" priority="1570" stopIfTrue="1" operator="equal">
      <formula>"Régime présumé naturel (100%) / Abfluss vermutlich natürlich"</formula>
    </cfRule>
    <cfRule type="cellIs" dxfId="8142" priority="1571" stopIfTrue="1" operator="equal">
      <formula>"non pertinent / nicht relevant"</formula>
    </cfRule>
    <cfRule type="cellIs" dxfId="8141" priority="1572" stopIfTrue="1" operator="equal">
      <formula>"61-80%"</formula>
    </cfRule>
    <cfRule type="cellIs" dxfId="8140" priority="1573" stopIfTrue="1" operator="equal">
      <formula>"41-60%"</formula>
    </cfRule>
    <cfRule type="cellIs" dxfId="8139" priority="1574" stopIfTrue="1" operator="equal">
      <formula>"21-40%"</formula>
    </cfRule>
    <cfRule type="cellIs" dxfId="8138" priority="1575" stopIfTrue="1" operator="equal">
      <formula>"0-20%"</formula>
    </cfRule>
    <cfRule type="cellIs" dxfId="8137" priority="1576" stopIfTrue="1" operator="equal">
      <formula>"81-100%"</formula>
    </cfRule>
    <cfRule type="cellIs" dxfId="8136" priority="1577" stopIfTrue="1" operator="equal">
      <formula>"100%"</formula>
    </cfRule>
  </conditionalFormatting>
  <conditionalFormatting sqref="J179">
    <cfRule type="cellIs" dxfId="8135" priority="1554" stopIfTrue="1" operator="equal">
      <formula>"Régime présumé naturel (100%) / Abfluss vermutlich natürlich"</formula>
    </cfRule>
    <cfRule type="cellIs" dxfId="8134" priority="1555" stopIfTrue="1" operator="equal">
      <formula>"non pertinent / nicht relevant"</formula>
    </cfRule>
    <cfRule type="cellIs" dxfId="8133" priority="1556" stopIfTrue="1" operator="equal">
      <formula>"61-80%"</formula>
    </cfRule>
    <cfRule type="cellIs" dxfId="8132" priority="1557" stopIfTrue="1" operator="equal">
      <formula>"41-60%"</formula>
    </cfRule>
    <cfRule type="cellIs" dxfId="8131" priority="1558" stopIfTrue="1" operator="equal">
      <formula>"21-40%"</formula>
    </cfRule>
    <cfRule type="cellIs" dxfId="8130" priority="1559" stopIfTrue="1" operator="equal">
      <formula>"0-20%"</formula>
    </cfRule>
    <cfRule type="cellIs" dxfId="8129" priority="1560" stopIfTrue="1" operator="equal">
      <formula>"81-100%"</formula>
    </cfRule>
    <cfRule type="cellIs" dxfId="8128" priority="1561" stopIfTrue="1" operator="equal">
      <formula>"100%"</formula>
    </cfRule>
  </conditionalFormatting>
  <conditionalFormatting sqref="J230">
    <cfRule type="cellIs" dxfId="8127" priority="1546" stopIfTrue="1" operator="equal">
      <formula>"Régime présumé naturel (100%) / Abfluss vermutlich natürlich"</formula>
    </cfRule>
    <cfRule type="cellIs" dxfId="8126" priority="1547" stopIfTrue="1" operator="equal">
      <formula>"non pertinent / nicht relevant"</formula>
    </cfRule>
    <cfRule type="cellIs" dxfId="8125" priority="1548" stopIfTrue="1" operator="equal">
      <formula>"61-80%"</formula>
    </cfRule>
    <cfRule type="cellIs" dxfId="8124" priority="1549" stopIfTrue="1" operator="equal">
      <formula>"41-60%"</formula>
    </cfRule>
    <cfRule type="cellIs" dxfId="8123" priority="1550" stopIfTrue="1" operator="equal">
      <formula>"21-40%"</formula>
    </cfRule>
    <cfRule type="cellIs" dxfId="8122" priority="1551" stopIfTrue="1" operator="equal">
      <formula>"0-20%"</formula>
    </cfRule>
    <cfRule type="cellIs" dxfId="8121" priority="1552" stopIfTrue="1" operator="equal">
      <formula>"81-100%"</formula>
    </cfRule>
    <cfRule type="cellIs" dxfId="8120" priority="1553" stopIfTrue="1" operator="equal">
      <formula>"100%"</formula>
    </cfRule>
  </conditionalFormatting>
  <conditionalFormatting sqref="J239">
    <cfRule type="cellIs" dxfId="8119" priority="1538" stopIfTrue="1" operator="equal">
      <formula>"Régime présumé naturel (100%) / Abfluss vermutlich natürlich"</formula>
    </cfRule>
    <cfRule type="cellIs" dxfId="8118" priority="1539" stopIfTrue="1" operator="equal">
      <formula>"non pertinent / nicht relevant"</formula>
    </cfRule>
    <cfRule type="cellIs" dxfId="8117" priority="1540" stopIfTrue="1" operator="equal">
      <formula>"61-80%"</formula>
    </cfRule>
    <cfRule type="cellIs" dxfId="8116" priority="1541" stopIfTrue="1" operator="equal">
      <formula>"41-60%"</formula>
    </cfRule>
    <cfRule type="cellIs" dxfId="8115" priority="1542" stopIfTrue="1" operator="equal">
      <formula>"21-40%"</formula>
    </cfRule>
    <cfRule type="cellIs" dxfId="8114" priority="1543" stopIfTrue="1" operator="equal">
      <formula>"0-20%"</formula>
    </cfRule>
    <cfRule type="cellIs" dxfId="8113" priority="1544" stopIfTrue="1" operator="equal">
      <formula>"81-100%"</formula>
    </cfRule>
    <cfRule type="cellIs" dxfId="8112" priority="1545" stopIfTrue="1" operator="equal">
      <formula>"100%"</formula>
    </cfRule>
  </conditionalFormatting>
  <conditionalFormatting sqref="J240">
    <cfRule type="cellIs" dxfId="8111" priority="1530" stopIfTrue="1" operator="equal">
      <formula>"Régime présumé naturel (100%) / Abfluss vermutlich natürlich"</formula>
    </cfRule>
    <cfRule type="cellIs" dxfId="8110" priority="1531" stopIfTrue="1" operator="equal">
      <formula>"non pertinent / nicht relevant"</formula>
    </cfRule>
    <cfRule type="cellIs" dxfId="8109" priority="1532" stopIfTrue="1" operator="equal">
      <formula>"61-80%"</formula>
    </cfRule>
    <cfRule type="cellIs" dxfId="8108" priority="1533" stopIfTrue="1" operator="equal">
      <formula>"41-60%"</formula>
    </cfRule>
    <cfRule type="cellIs" dxfId="8107" priority="1534" stopIfTrue="1" operator="equal">
      <formula>"21-40%"</formula>
    </cfRule>
    <cfRule type="cellIs" dxfId="8106" priority="1535" stopIfTrue="1" operator="equal">
      <formula>"0-20%"</formula>
    </cfRule>
    <cfRule type="cellIs" dxfId="8105" priority="1536" stopIfTrue="1" operator="equal">
      <formula>"81-100%"</formula>
    </cfRule>
    <cfRule type="cellIs" dxfId="8104" priority="1537" stopIfTrue="1" operator="equal">
      <formula>"100%"</formula>
    </cfRule>
  </conditionalFormatting>
  <conditionalFormatting sqref="J248">
    <cfRule type="cellIs" dxfId="8103" priority="1522" stopIfTrue="1" operator="equal">
      <formula>"Régime présumé naturel (100%) / Abfluss vermutlich natürlich"</formula>
    </cfRule>
    <cfRule type="cellIs" dxfId="8102" priority="1523" stopIfTrue="1" operator="equal">
      <formula>"non pertinent / nicht relevant"</formula>
    </cfRule>
    <cfRule type="cellIs" dxfId="8101" priority="1524" stopIfTrue="1" operator="equal">
      <formula>"61-80%"</formula>
    </cfRule>
    <cfRule type="cellIs" dxfId="8100" priority="1525" stopIfTrue="1" operator="equal">
      <formula>"41-60%"</formula>
    </cfRule>
    <cfRule type="cellIs" dxfId="8099" priority="1526" stopIfTrue="1" operator="equal">
      <formula>"21-40%"</formula>
    </cfRule>
    <cfRule type="cellIs" dxfId="8098" priority="1527" stopIfTrue="1" operator="equal">
      <formula>"0-20%"</formula>
    </cfRule>
    <cfRule type="cellIs" dxfId="8097" priority="1528" stopIfTrue="1" operator="equal">
      <formula>"81-100%"</formula>
    </cfRule>
    <cfRule type="cellIs" dxfId="8096" priority="1529" stopIfTrue="1" operator="equal">
      <formula>"100%"</formula>
    </cfRule>
  </conditionalFormatting>
  <conditionalFormatting sqref="J261">
    <cfRule type="cellIs" dxfId="8095" priority="1514" stopIfTrue="1" operator="equal">
      <formula>"Régime présumé naturel (100%) / Abfluss vermutlich natürlich"</formula>
    </cfRule>
    <cfRule type="cellIs" dxfId="8094" priority="1515" stopIfTrue="1" operator="equal">
      <formula>"non pertinent / nicht relevant"</formula>
    </cfRule>
    <cfRule type="cellIs" dxfId="8093" priority="1516" stopIfTrue="1" operator="equal">
      <formula>"61-80%"</formula>
    </cfRule>
    <cfRule type="cellIs" dxfId="8092" priority="1517" stopIfTrue="1" operator="equal">
      <formula>"41-60%"</formula>
    </cfRule>
    <cfRule type="cellIs" dxfId="8091" priority="1518" stopIfTrue="1" operator="equal">
      <formula>"21-40%"</formula>
    </cfRule>
    <cfRule type="cellIs" dxfId="8090" priority="1519" stopIfTrue="1" operator="equal">
      <formula>"0-20%"</formula>
    </cfRule>
    <cfRule type="cellIs" dxfId="8089" priority="1520" stopIfTrue="1" operator="equal">
      <formula>"81-100%"</formula>
    </cfRule>
    <cfRule type="cellIs" dxfId="8088" priority="1521" stopIfTrue="1" operator="equal">
      <formula>"100%"</formula>
    </cfRule>
  </conditionalFormatting>
  <conditionalFormatting sqref="J267">
    <cfRule type="cellIs" dxfId="8087" priority="1498" stopIfTrue="1" operator="equal">
      <formula>"Régime présumé naturel (100%) / Abfluss vermutlich natürlich"</formula>
    </cfRule>
    <cfRule type="cellIs" dxfId="8086" priority="1499" stopIfTrue="1" operator="equal">
      <formula>"non pertinent / nicht relevant"</formula>
    </cfRule>
    <cfRule type="cellIs" dxfId="8085" priority="1500" stopIfTrue="1" operator="equal">
      <formula>"61-80%"</formula>
    </cfRule>
    <cfRule type="cellIs" dxfId="8084" priority="1501" stopIfTrue="1" operator="equal">
      <formula>"41-60%"</formula>
    </cfRule>
    <cfRule type="cellIs" dxfId="8083" priority="1502" stopIfTrue="1" operator="equal">
      <formula>"21-40%"</formula>
    </cfRule>
    <cfRule type="cellIs" dxfId="8082" priority="1503" stopIfTrue="1" operator="equal">
      <formula>"0-20%"</formula>
    </cfRule>
    <cfRule type="cellIs" dxfId="8081" priority="1504" stopIfTrue="1" operator="equal">
      <formula>"81-100%"</formula>
    </cfRule>
    <cfRule type="cellIs" dxfId="8080" priority="1505" stopIfTrue="1" operator="equal">
      <formula>"100%"</formula>
    </cfRule>
  </conditionalFormatting>
  <conditionalFormatting sqref="J271">
    <cfRule type="cellIs" dxfId="8079" priority="1490" stopIfTrue="1" operator="equal">
      <formula>"Régime présumé naturel (100%) / Abfluss vermutlich natürlich"</formula>
    </cfRule>
    <cfRule type="cellIs" dxfId="8078" priority="1491" stopIfTrue="1" operator="equal">
      <formula>"non pertinent / nicht relevant"</formula>
    </cfRule>
    <cfRule type="cellIs" dxfId="8077" priority="1492" stopIfTrue="1" operator="equal">
      <formula>"61-80%"</formula>
    </cfRule>
    <cfRule type="cellIs" dxfId="8076" priority="1493" stopIfTrue="1" operator="equal">
      <formula>"41-60%"</formula>
    </cfRule>
    <cfRule type="cellIs" dxfId="8075" priority="1494" stopIfTrue="1" operator="equal">
      <formula>"21-40%"</formula>
    </cfRule>
    <cfRule type="cellIs" dxfId="8074" priority="1495" stopIfTrue="1" operator="equal">
      <formula>"0-20%"</formula>
    </cfRule>
    <cfRule type="cellIs" dxfId="8073" priority="1496" stopIfTrue="1" operator="equal">
      <formula>"81-100%"</formula>
    </cfRule>
    <cfRule type="cellIs" dxfId="8072" priority="1497" stopIfTrue="1" operator="equal">
      <formula>"100%"</formula>
    </cfRule>
  </conditionalFormatting>
  <conditionalFormatting sqref="J264">
    <cfRule type="cellIs" dxfId="8071" priority="1482" stopIfTrue="1" operator="equal">
      <formula>"Régime présumé naturel (100%) / Abfluss vermutlich natürlich"</formula>
    </cfRule>
    <cfRule type="cellIs" dxfId="8070" priority="1483" stopIfTrue="1" operator="equal">
      <formula>"non pertinent / nicht relevant"</formula>
    </cfRule>
    <cfRule type="cellIs" dxfId="8069" priority="1484" stopIfTrue="1" operator="equal">
      <formula>"61-80%"</formula>
    </cfRule>
    <cfRule type="cellIs" dxfId="8068" priority="1485" stopIfTrue="1" operator="equal">
      <formula>"41-60%"</formula>
    </cfRule>
    <cfRule type="cellIs" dxfId="8067" priority="1486" stopIfTrue="1" operator="equal">
      <formula>"21-40%"</formula>
    </cfRule>
    <cfRule type="cellIs" dxfId="8066" priority="1487" stopIfTrue="1" operator="equal">
      <formula>"0-20%"</formula>
    </cfRule>
    <cfRule type="cellIs" dxfId="8065" priority="1488" stopIfTrue="1" operator="equal">
      <formula>"81-100%"</formula>
    </cfRule>
    <cfRule type="cellIs" dxfId="8064" priority="1489" stopIfTrue="1" operator="equal">
      <formula>"100%"</formula>
    </cfRule>
  </conditionalFormatting>
  <conditionalFormatting sqref="J215">
    <cfRule type="cellIs" dxfId="8063" priority="1466" stopIfTrue="1" operator="equal">
      <formula>"Régime présumé naturel (100%) / Abfluss vermutlich natürlich"</formula>
    </cfRule>
    <cfRule type="cellIs" dxfId="8062" priority="1467" stopIfTrue="1" operator="equal">
      <formula>"non pertinent / nicht relevant"</formula>
    </cfRule>
    <cfRule type="cellIs" dxfId="8061" priority="1468" stopIfTrue="1" operator="equal">
      <formula>"61-80%"</formula>
    </cfRule>
    <cfRule type="cellIs" dxfId="8060" priority="1469" stopIfTrue="1" operator="equal">
      <formula>"41-60%"</formula>
    </cfRule>
    <cfRule type="cellIs" dxfId="8059" priority="1470" stopIfTrue="1" operator="equal">
      <formula>"21-40%"</formula>
    </cfRule>
    <cfRule type="cellIs" dxfId="8058" priority="1471" stopIfTrue="1" operator="equal">
      <formula>"0-20%"</formula>
    </cfRule>
    <cfRule type="cellIs" dxfId="8057" priority="1472" stopIfTrue="1" operator="equal">
      <formula>"81-100%"</formula>
    </cfRule>
    <cfRule type="cellIs" dxfId="8056" priority="1473" stopIfTrue="1" operator="equal">
      <formula>"100%"</formula>
    </cfRule>
  </conditionalFormatting>
  <conditionalFormatting sqref="J11">
    <cfRule type="cellIs" dxfId="8055" priority="1458" stopIfTrue="1" operator="equal">
      <formula>"Régime présumé naturel (100%) / Abfluss vermutlich natürlich"</formula>
    </cfRule>
    <cfRule type="cellIs" dxfId="8054" priority="1459" stopIfTrue="1" operator="equal">
      <formula>"non pertinent / nicht relevant"</formula>
    </cfRule>
    <cfRule type="cellIs" dxfId="8053" priority="1460" stopIfTrue="1" operator="equal">
      <formula>"61-80%"</formula>
    </cfRule>
    <cfRule type="cellIs" dxfId="8052" priority="1461" stopIfTrue="1" operator="equal">
      <formula>"41-60%"</formula>
    </cfRule>
    <cfRule type="cellIs" dxfId="8051" priority="1462" stopIfTrue="1" operator="equal">
      <formula>"21-40%"</formula>
    </cfRule>
    <cfRule type="cellIs" dxfId="8050" priority="1463" stopIfTrue="1" operator="equal">
      <formula>"0-20%"</formula>
    </cfRule>
    <cfRule type="cellIs" dxfId="8049" priority="1464" stopIfTrue="1" operator="equal">
      <formula>"81-100%"</formula>
    </cfRule>
    <cfRule type="cellIs" dxfId="8048" priority="1465" stopIfTrue="1" operator="equal">
      <formula>"100%"</formula>
    </cfRule>
  </conditionalFormatting>
  <conditionalFormatting sqref="J21">
    <cfRule type="cellIs" dxfId="8047" priority="1450" stopIfTrue="1" operator="equal">
      <formula>"Régime présumé naturel (100%) / Abfluss vermutlich natürlich"</formula>
    </cfRule>
    <cfRule type="cellIs" dxfId="8046" priority="1451" stopIfTrue="1" operator="equal">
      <formula>"non pertinent / nicht relevant"</formula>
    </cfRule>
    <cfRule type="cellIs" dxfId="8045" priority="1452" stopIfTrue="1" operator="equal">
      <formula>"61-80%"</formula>
    </cfRule>
    <cfRule type="cellIs" dxfId="8044" priority="1453" stopIfTrue="1" operator="equal">
      <formula>"41-60%"</formula>
    </cfRule>
    <cfRule type="cellIs" dxfId="8043" priority="1454" stopIfTrue="1" operator="equal">
      <formula>"21-40%"</formula>
    </cfRule>
    <cfRule type="cellIs" dxfId="8042" priority="1455" stopIfTrue="1" operator="equal">
      <formula>"0-20%"</formula>
    </cfRule>
    <cfRule type="cellIs" dxfId="8041" priority="1456" stopIfTrue="1" operator="equal">
      <formula>"81-100%"</formula>
    </cfRule>
    <cfRule type="cellIs" dxfId="8040" priority="1457" stopIfTrue="1" operator="equal">
      <formula>"100%"</formula>
    </cfRule>
  </conditionalFormatting>
  <conditionalFormatting sqref="J97">
    <cfRule type="cellIs" dxfId="8039" priority="1426" stopIfTrue="1" operator="equal">
      <formula>"Régime présumé naturel (100%) / Abfluss vermutlich natürlich"</formula>
    </cfRule>
    <cfRule type="cellIs" dxfId="8038" priority="1427" stopIfTrue="1" operator="equal">
      <formula>"non pertinent / nicht relevant"</formula>
    </cfRule>
    <cfRule type="cellIs" dxfId="8037" priority="1428" stopIfTrue="1" operator="equal">
      <formula>"61-80%"</formula>
    </cfRule>
    <cfRule type="cellIs" dxfId="8036" priority="1429" stopIfTrue="1" operator="equal">
      <formula>"41-60%"</formula>
    </cfRule>
    <cfRule type="cellIs" dxfId="8035" priority="1430" stopIfTrue="1" operator="equal">
      <formula>"21-40%"</formula>
    </cfRule>
    <cfRule type="cellIs" dxfId="8034" priority="1431" stopIfTrue="1" operator="equal">
      <formula>"0-20%"</formula>
    </cfRule>
    <cfRule type="cellIs" dxfId="8033" priority="1432" stopIfTrue="1" operator="equal">
      <formula>"81-100%"</formula>
    </cfRule>
    <cfRule type="cellIs" dxfId="8032" priority="1433" stopIfTrue="1" operator="equal">
      <formula>"100%"</formula>
    </cfRule>
  </conditionalFormatting>
  <conditionalFormatting sqref="J121">
    <cfRule type="cellIs" dxfId="8031" priority="1418" stopIfTrue="1" operator="equal">
      <formula>"Régime présumé naturel (100%) / Abfluss vermutlich natürlich"</formula>
    </cfRule>
    <cfRule type="cellIs" dxfId="8030" priority="1419" stopIfTrue="1" operator="equal">
      <formula>"non pertinent / nicht relevant"</formula>
    </cfRule>
    <cfRule type="cellIs" dxfId="8029" priority="1420" stopIfTrue="1" operator="equal">
      <formula>"61-80%"</formula>
    </cfRule>
    <cfRule type="cellIs" dxfId="8028" priority="1421" stopIfTrue="1" operator="equal">
      <formula>"41-60%"</formula>
    </cfRule>
    <cfRule type="cellIs" dxfId="8027" priority="1422" stopIfTrue="1" operator="equal">
      <formula>"21-40%"</formula>
    </cfRule>
    <cfRule type="cellIs" dxfId="8026" priority="1423" stopIfTrue="1" operator="equal">
      <formula>"0-20%"</formula>
    </cfRule>
    <cfRule type="cellIs" dxfId="8025" priority="1424" stopIfTrue="1" operator="equal">
      <formula>"81-100%"</formula>
    </cfRule>
    <cfRule type="cellIs" dxfId="8024" priority="1425" stopIfTrue="1" operator="equal">
      <formula>"100%"</formula>
    </cfRule>
  </conditionalFormatting>
  <conditionalFormatting sqref="J170">
    <cfRule type="cellIs" dxfId="8023" priority="1410" stopIfTrue="1" operator="equal">
      <formula>"Régime présumé naturel (100%) / Abfluss vermutlich natürlich"</formula>
    </cfRule>
    <cfRule type="cellIs" dxfId="8022" priority="1411" stopIfTrue="1" operator="equal">
      <formula>"non pertinent / nicht relevant"</formula>
    </cfRule>
    <cfRule type="cellIs" dxfId="8021" priority="1412" stopIfTrue="1" operator="equal">
      <formula>"61-80%"</formula>
    </cfRule>
    <cfRule type="cellIs" dxfId="8020" priority="1413" stopIfTrue="1" operator="equal">
      <formula>"41-60%"</formula>
    </cfRule>
    <cfRule type="cellIs" dxfId="8019" priority="1414" stopIfTrue="1" operator="equal">
      <formula>"21-40%"</formula>
    </cfRule>
    <cfRule type="cellIs" dxfId="8018" priority="1415" stopIfTrue="1" operator="equal">
      <formula>"0-20%"</formula>
    </cfRule>
    <cfRule type="cellIs" dxfId="8017" priority="1416" stopIfTrue="1" operator="equal">
      <formula>"81-100%"</formula>
    </cfRule>
    <cfRule type="cellIs" dxfId="8016" priority="1417" stopIfTrue="1" operator="equal">
      <formula>"100%"</formula>
    </cfRule>
  </conditionalFormatting>
  <conditionalFormatting sqref="J219">
    <cfRule type="cellIs" dxfId="8015" priority="1402" stopIfTrue="1" operator="equal">
      <formula>"Régime présumé naturel (100%) / Abfluss vermutlich natürlich"</formula>
    </cfRule>
    <cfRule type="cellIs" dxfId="8014" priority="1403" stopIfTrue="1" operator="equal">
      <formula>"non pertinent / nicht relevant"</formula>
    </cfRule>
    <cfRule type="cellIs" dxfId="8013" priority="1404" stopIfTrue="1" operator="equal">
      <formula>"61-80%"</formula>
    </cfRule>
    <cfRule type="cellIs" dxfId="8012" priority="1405" stopIfTrue="1" operator="equal">
      <formula>"41-60%"</formula>
    </cfRule>
    <cfRule type="cellIs" dxfId="8011" priority="1406" stopIfTrue="1" operator="equal">
      <formula>"21-40%"</formula>
    </cfRule>
    <cfRule type="cellIs" dxfId="8010" priority="1407" stopIfTrue="1" operator="equal">
      <formula>"0-20%"</formula>
    </cfRule>
    <cfRule type="cellIs" dxfId="8009" priority="1408" stopIfTrue="1" operator="equal">
      <formula>"81-100%"</formula>
    </cfRule>
    <cfRule type="cellIs" dxfId="8008" priority="1409" stopIfTrue="1" operator="equal">
      <formula>"100%"</formula>
    </cfRule>
  </conditionalFormatting>
  <conditionalFormatting sqref="J208">
    <cfRule type="cellIs" dxfId="8007" priority="1394" stopIfTrue="1" operator="equal">
      <formula>"Régime présumé naturel (100%) / Abfluss vermutlich natürlich"</formula>
    </cfRule>
    <cfRule type="cellIs" dxfId="8006" priority="1395" stopIfTrue="1" operator="equal">
      <formula>"non pertinent / nicht relevant"</formula>
    </cfRule>
    <cfRule type="cellIs" dxfId="8005" priority="1396" stopIfTrue="1" operator="equal">
      <formula>"61-80%"</formula>
    </cfRule>
    <cfRule type="cellIs" dxfId="8004" priority="1397" stopIfTrue="1" operator="equal">
      <formula>"41-60%"</formula>
    </cfRule>
    <cfRule type="cellIs" dxfId="8003" priority="1398" stopIfTrue="1" operator="equal">
      <formula>"21-40%"</formula>
    </cfRule>
    <cfRule type="cellIs" dxfId="8002" priority="1399" stopIfTrue="1" operator="equal">
      <formula>"0-20%"</formula>
    </cfRule>
    <cfRule type="cellIs" dxfId="8001" priority="1400" stopIfTrue="1" operator="equal">
      <formula>"81-100%"</formula>
    </cfRule>
    <cfRule type="cellIs" dxfId="8000" priority="1401" stopIfTrue="1" operator="equal">
      <formula>"100%"</formula>
    </cfRule>
  </conditionalFormatting>
  <conditionalFormatting sqref="J173">
    <cfRule type="cellIs" dxfId="7999" priority="1370" stopIfTrue="1" operator="equal">
      <formula>"Régime présumé naturel (100%) / Abfluss vermutlich natürlich"</formula>
    </cfRule>
    <cfRule type="cellIs" dxfId="7998" priority="1371" stopIfTrue="1" operator="equal">
      <formula>"non pertinent / nicht relevant"</formula>
    </cfRule>
    <cfRule type="cellIs" dxfId="7997" priority="1372" stopIfTrue="1" operator="equal">
      <formula>"61-80%"</formula>
    </cfRule>
    <cfRule type="cellIs" dxfId="7996" priority="1373" stopIfTrue="1" operator="equal">
      <formula>"41-60%"</formula>
    </cfRule>
    <cfRule type="cellIs" dxfId="7995" priority="1374" stopIfTrue="1" operator="equal">
      <formula>"21-40%"</formula>
    </cfRule>
    <cfRule type="cellIs" dxfId="7994" priority="1375" stopIfTrue="1" operator="equal">
      <formula>"0-20%"</formula>
    </cfRule>
    <cfRule type="cellIs" dxfId="7993" priority="1376" stopIfTrue="1" operator="equal">
      <formula>"81-100%"</formula>
    </cfRule>
    <cfRule type="cellIs" dxfId="7992" priority="1377" stopIfTrue="1" operator="equal">
      <formula>"100%"</formula>
    </cfRule>
  </conditionalFormatting>
  <conditionalFormatting sqref="J153">
    <cfRule type="cellIs" dxfId="7991" priority="1362" stopIfTrue="1" operator="equal">
      <formula>"Régime présumé naturel (100%) / Abfluss vermutlich natürlich"</formula>
    </cfRule>
    <cfRule type="cellIs" dxfId="7990" priority="1363" stopIfTrue="1" operator="equal">
      <formula>"non pertinent / nicht relevant"</formula>
    </cfRule>
    <cfRule type="cellIs" dxfId="7989" priority="1364" stopIfTrue="1" operator="equal">
      <formula>"61-80%"</formula>
    </cfRule>
    <cfRule type="cellIs" dxfId="7988" priority="1365" stopIfTrue="1" operator="equal">
      <formula>"41-60%"</formula>
    </cfRule>
    <cfRule type="cellIs" dxfId="7987" priority="1366" stopIfTrue="1" operator="equal">
      <formula>"21-40%"</formula>
    </cfRule>
    <cfRule type="cellIs" dxfId="7986" priority="1367" stopIfTrue="1" operator="equal">
      <formula>"0-20%"</formula>
    </cfRule>
    <cfRule type="cellIs" dxfId="7985" priority="1368" stopIfTrue="1" operator="equal">
      <formula>"81-100%"</formula>
    </cfRule>
    <cfRule type="cellIs" dxfId="7984" priority="1369" stopIfTrue="1" operator="equal">
      <formula>"100%"</formula>
    </cfRule>
  </conditionalFormatting>
  <conditionalFormatting sqref="J145:J147">
    <cfRule type="cellIs" dxfId="7983" priority="1354" stopIfTrue="1" operator="equal">
      <formula>"Régime présumé naturel (100%) / Abfluss vermutlich natürlich"</formula>
    </cfRule>
    <cfRule type="cellIs" dxfId="7982" priority="1355" stopIfTrue="1" operator="equal">
      <formula>"non pertinent / nicht relevant"</formula>
    </cfRule>
    <cfRule type="cellIs" dxfId="7981" priority="1356" stopIfTrue="1" operator="equal">
      <formula>"61-80%"</formula>
    </cfRule>
    <cfRule type="cellIs" dxfId="7980" priority="1357" stopIfTrue="1" operator="equal">
      <formula>"41-60%"</formula>
    </cfRule>
    <cfRule type="cellIs" dxfId="7979" priority="1358" stopIfTrue="1" operator="equal">
      <formula>"21-40%"</formula>
    </cfRule>
    <cfRule type="cellIs" dxfId="7978" priority="1359" stopIfTrue="1" operator="equal">
      <formula>"0-20%"</formula>
    </cfRule>
    <cfRule type="cellIs" dxfId="7977" priority="1360" stopIfTrue="1" operator="equal">
      <formula>"81-100%"</formula>
    </cfRule>
    <cfRule type="cellIs" dxfId="7976" priority="1361" stopIfTrue="1" operator="equal">
      <formula>"100%"</formula>
    </cfRule>
  </conditionalFormatting>
  <conditionalFormatting sqref="J123">
    <cfRule type="cellIs" dxfId="7975" priority="1346" stopIfTrue="1" operator="equal">
      <formula>"Régime présumé naturel (100%) / Abfluss vermutlich natürlich"</formula>
    </cfRule>
    <cfRule type="cellIs" dxfId="7974" priority="1347" stopIfTrue="1" operator="equal">
      <formula>"non pertinent / nicht relevant"</formula>
    </cfRule>
    <cfRule type="cellIs" dxfId="7973" priority="1348" stopIfTrue="1" operator="equal">
      <formula>"61-80%"</formula>
    </cfRule>
    <cfRule type="cellIs" dxfId="7972" priority="1349" stopIfTrue="1" operator="equal">
      <formula>"41-60%"</formula>
    </cfRule>
    <cfRule type="cellIs" dxfId="7971" priority="1350" stopIfTrue="1" operator="equal">
      <formula>"21-40%"</formula>
    </cfRule>
    <cfRule type="cellIs" dxfId="7970" priority="1351" stopIfTrue="1" operator="equal">
      <formula>"0-20%"</formula>
    </cfRule>
    <cfRule type="cellIs" dxfId="7969" priority="1352" stopIfTrue="1" operator="equal">
      <formula>"81-100%"</formula>
    </cfRule>
    <cfRule type="cellIs" dxfId="7968" priority="1353" stopIfTrue="1" operator="equal">
      <formula>"100%"</formula>
    </cfRule>
  </conditionalFormatting>
  <conditionalFormatting sqref="J115:J116">
    <cfRule type="cellIs" dxfId="7967" priority="1338" stopIfTrue="1" operator="equal">
      <formula>"Régime présumé naturel (100%) / Abfluss vermutlich natürlich"</formula>
    </cfRule>
    <cfRule type="cellIs" dxfId="7966" priority="1339" stopIfTrue="1" operator="equal">
      <formula>"non pertinent / nicht relevant"</formula>
    </cfRule>
    <cfRule type="cellIs" dxfId="7965" priority="1340" stopIfTrue="1" operator="equal">
      <formula>"61-80%"</formula>
    </cfRule>
    <cfRule type="cellIs" dxfId="7964" priority="1341" stopIfTrue="1" operator="equal">
      <formula>"41-60%"</formula>
    </cfRule>
    <cfRule type="cellIs" dxfId="7963" priority="1342" stopIfTrue="1" operator="equal">
      <formula>"21-40%"</formula>
    </cfRule>
    <cfRule type="cellIs" dxfId="7962" priority="1343" stopIfTrue="1" operator="equal">
      <formula>"0-20%"</formula>
    </cfRule>
    <cfRule type="cellIs" dxfId="7961" priority="1344" stopIfTrue="1" operator="equal">
      <formula>"81-100%"</formula>
    </cfRule>
    <cfRule type="cellIs" dxfId="7960" priority="1345" stopIfTrue="1" operator="equal">
      <formula>"100%"</formula>
    </cfRule>
  </conditionalFormatting>
  <conditionalFormatting sqref="J92">
    <cfRule type="cellIs" dxfId="7959" priority="1330" stopIfTrue="1" operator="equal">
      <formula>"Régime présumé naturel (100%) / Abfluss vermutlich natürlich"</formula>
    </cfRule>
    <cfRule type="cellIs" dxfId="7958" priority="1331" stopIfTrue="1" operator="equal">
      <formula>"non pertinent / nicht relevant"</formula>
    </cfRule>
    <cfRule type="cellIs" dxfId="7957" priority="1332" stopIfTrue="1" operator="equal">
      <formula>"61-80%"</formula>
    </cfRule>
    <cfRule type="cellIs" dxfId="7956" priority="1333" stopIfTrue="1" operator="equal">
      <formula>"41-60%"</formula>
    </cfRule>
    <cfRule type="cellIs" dxfId="7955" priority="1334" stopIfTrue="1" operator="equal">
      <formula>"21-40%"</formula>
    </cfRule>
    <cfRule type="cellIs" dxfId="7954" priority="1335" stopIfTrue="1" operator="equal">
      <formula>"0-20%"</formula>
    </cfRule>
    <cfRule type="cellIs" dxfId="7953" priority="1336" stopIfTrue="1" operator="equal">
      <formula>"81-100%"</formula>
    </cfRule>
    <cfRule type="cellIs" dxfId="7952" priority="1337" stopIfTrue="1" operator="equal">
      <formula>"100%"</formula>
    </cfRule>
  </conditionalFormatting>
  <conditionalFormatting sqref="J85">
    <cfRule type="cellIs" dxfId="7951" priority="1322" stopIfTrue="1" operator="equal">
      <formula>"Régime présumé naturel (100%) / Abfluss vermutlich natürlich"</formula>
    </cfRule>
    <cfRule type="cellIs" dxfId="7950" priority="1323" stopIfTrue="1" operator="equal">
      <formula>"non pertinent / nicht relevant"</formula>
    </cfRule>
    <cfRule type="cellIs" dxfId="7949" priority="1324" stopIfTrue="1" operator="equal">
      <formula>"61-80%"</formula>
    </cfRule>
    <cfRule type="cellIs" dxfId="7948" priority="1325" stopIfTrue="1" operator="equal">
      <formula>"41-60%"</formula>
    </cfRule>
    <cfRule type="cellIs" dxfId="7947" priority="1326" stopIfTrue="1" operator="equal">
      <formula>"21-40%"</formula>
    </cfRule>
    <cfRule type="cellIs" dxfId="7946" priority="1327" stopIfTrue="1" operator="equal">
      <formula>"0-20%"</formula>
    </cfRule>
    <cfRule type="cellIs" dxfId="7945" priority="1328" stopIfTrue="1" operator="equal">
      <formula>"81-100%"</formula>
    </cfRule>
    <cfRule type="cellIs" dxfId="7944" priority="1329" stopIfTrue="1" operator="equal">
      <formula>"100%"</formula>
    </cfRule>
  </conditionalFormatting>
  <conditionalFormatting sqref="J48">
    <cfRule type="cellIs" dxfId="7943" priority="1314" stopIfTrue="1" operator="equal">
      <formula>"Régime présumé naturel (100%) / Abfluss vermutlich natürlich"</formula>
    </cfRule>
    <cfRule type="cellIs" dxfId="7942" priority="1315" stopIfTrue="1" operator="equal">
      <formula>"non pertinent / nicht relevant"</formula>
    </cfRule>
    <cfRule type="cellIs" dxfId="7941" priority="1316" stopIfTrue="1" operator="equal">
      <formula>"61-80%"</formula>
    </cfRule>
    <cfRule type="cellIs" dxfId="7940" priority="1317" stopIfTrue="1" operator="equal">
      <formula>"41-60%"</formula>
    </cfRule>
    <cfRule type="cellIs" dxfId="7939" priority="1318" stopIfTrue="1" operator="equal">
      <formula>"21-40%"</formula>
    </cfRule>
    <cfRule type="cellIs" dxfId="7938" priority="1319" stopIfTrue="1" operator="equal">
      <formula>"0-20%"</formula>
    </cfRule>
    <cfRule type="cellIs" dxfId="7937" priority="1320" stopIfTrue="1" operator="equal">
      <formula>"81-100%"</formula>
    </cfRule>
    <cfRule type="cellIs" dxfId="7936" priority="1321" stopIfTrue="1" operator="equal">
      <formula>"100%"</formula>
    </cfRule>
  </conditionalFormatting>
  <conditionalFormatting sqref="J31">
    <cfRule type="cellIs" dxfId="7935" priority="1306" stopIfTrue="1" operator="equal">
      <formula>"Régime présumé naturel (100%) / Abfluss vermutlich natürlich"</formula>
    </cfRule>
    <cfRule type="cellIs" dxfId="7934" priority="1307" stopIfTrue="1" operator="equal">
      <formula>"non pertinent / nicht relevant"</formula>
    </cfRule>
    <cfRule type="cellIs" dxfId="7933" priority="1308" stopIfTrue="1" operator="equal">
      <formula>"61-80%"</formula>
    </cfRule>
    <cfRule type="cellIs" dxfId="7932" priority="1309" stopIfTrue="1" operator="equal">
      <formula>"41-60%"</formula>
    </cfRule>
    <cfRule type="cellIs" dxfId="7931" priority="1310" stopIfTrue="1" operator="equal">
      <formula>"21-40%"</formula>
    </cfRule>
    <cfRule type="cellIs" dxfId="7930" priority="1311" stopIfTrue="1" operator="equal">
      <formula>"0-20%"</formula>
    </cfRule>
    <cfRule type="cellIs" dxfId="7929" priority="1312" stopIfTrue="1" operator="equal">
      <formula>"81-100%"</formula>
    </cfRule>
    <cfRule type="cellIs" dxfId="7928" priority="1313" stopIfTrue="1" operator="equal">
      <formula>"100%"</formula>
    </cfRule>
  </conditionalFormatting>
  <conditionalFormatting sqref="J23">
    <cfRule type="cellIs" dxfId="7927" priority="1298" stopIfTrue="1" operator="equal">
      <formula>"Régime présumé naturel (100%) / Abfluss vermutlich natürlich"</formula>
    </cfRule>
    <cfRule type="cellIs" dxfId="7926" priority="1299" stopIfTrue="1" operator="equal">
      <formula>"non pertinent / nicht relevant"</formula>
    </cfRule>
    <cfRule type="cellIs" dxfId="7925" priority="1300" stopIfTrue="1" operator="equal">
      <formula>"61-80%"</formula>
    </cfRule>
    <cfRule type="cellIs" dxfId="7924" priority="1301" stopIfTrue="1" operator="equal">
      <formula>"41-60%"</formula>
    </cfRule>
    <cfRule type="cellIs" dxfId="7923" priority="1302" stopIfTrue="1" operator="equal">
      <formula>"21-40%"</formula>
    </cfRule>
    <cfRule type="cellIs" dxfId="7922" priority="1303" stopIfTrue="1" operator="equal">
      <formula>"0-20%"</formula>
    </cfRule>
    <cfRule type="cellIs" dxfId="7921" priority="1304" stopIfTrue="1" operator="equal">
      <formula>"81-100%"</formula>
    </cfRule>
    <cfRule type="cellIs" dxfId="7920" priority="1305" stopIfTrue="1" operator="equal">
      <formula>"100%"</formula>
    </cfRule>
  </conditionalFormatting>
  <conditionalFormatting sqref="J14">
    <cfRule type="cellIs" dxfId="7919" priority="1290" stopIfTrue="1" operator="equal">
      <formula>"Régime présumé naturel (100%) / Abfluss vermutlich natürlich"</formula>
    </cfRule>
    <cfRule type="cellIs" dxfId="7918" priority="1291" stopIfTrue="1" operator="equal">
      <formula>"non pertinent / nicht relevant"</formula>
    </cfRule>
    <cfRule type="cellIs" dxfId="7917" priority="1292" stopIfTrue="1" operator="equal">
      <formula>"61-80%"</formula>
    </cfRule>
    <cfRule type="cellIs" dxfId="7916" priority="1293" stopIfTrue="1" operator="equal">
      <formula>"41-60%"</formula>
    </cfRule>
    <cfRule type="cellIs" dxfId="7915" priority="1294" stopIfTrue="1" operator="equal">
      <formula>"21-40%"</formula>
    </cfRule>
    <cfRule type="cellIs" dxfId="7914" priority="1295" stopIfTrue="1" operator="equal">
      <formula>"0-20%"</formula>
    </cfRule>
    <cfRule type="cellIs" dxfId="7913" priority="1296" stopIfTrue="1" operator="equal">
      <formula>"81-100%"</formula>
    </cfRule>
    <cfRule type="cellIs" dxfId="7912" priority="1297" stopIfTrue="1" operator="equal">
      <formula>"100%"</formula>
    </cfRule>
  </conditionalFormatting>
  <conditionalFormatting sqref="J28">
    <cfRule type="cellIs" dxfId="7911" priority="1274" stopIfTrue="1" operator="equal">
      <formula>"Régime présumé naturel (100%) / Abfluss vermutlich natürlich"</formula>
    </cfRule>
    <cfRule type="cellIs" dxfId="7910" priority="1275" stopIfTrue="1" operator="equal">
      <formula>"non pertinent / nicht relevant"</formula>
    </cfRule>
    <cfRule type="cellIs" dxfId="7909" priority="1276" stopIfTrue="1" operator="equal">
      <formula>"61-80%"</formula>
    </cfRule>
    <cfRule type="cellIs" dxfId="7908" priority="1277" stopIfTrue="1" operator="equal">
      <formula>"41-60%"</formula>
    </cfRule>
    <cfRule type="cellIs" dxfId="7907" priority="1278" stopIfTrue="1" operator="equal">
      <formula>"21-40%"</formula>
    </cfRule>
    <cfRule type="cellIs" dxfId="7906" priority="1279" stopIfTrue="1" operator="equal">
      <formula>"0-20%"</formula>
    </cfRule>
    <cfRule type="cellIs" dxfId="7905" priority="1280" stopIfTrue="1" operator="equal">
      <formula>"81-100%"</formula>
    </cfRule>
    <cfRule type="cellIs" dxfId="7904" priority="1281" stopIfTrue="1" operator="equal">
      <formula>"100%"</formula>
    </cfRule>
  </conditionalFormatting>
  <conditionalFormatting sqref="J34">
    <cfRule type="cellIs" dxfId="7903" priority="1266" stopIfTrue="1" operator="equal">
      <formula>"Régime présumé naturel (100%) / Abfluss vermutlich natürlich"</formula>
    </cfRule>
    <cfRule type="cellIs" dxfId="7902" priority="1267" stopIfTrue="1" operator="equal">
      <formula>"non pertinent / nicht relevant"</formula>
    </cfRule>
    <cfRule type="cellIs" dxfId="7901" priority="1268" stopIfTrue="1" operator="equal">
      <formula>"61-80%"</formula>
    </cfRule>
    <cfRule type="cellIs" dxfId="7900" priority="1269" stopIfTrue="1" operator="equal">
      <formula>"41-60%"</formula>
    </cfRule>
    <cfRule type="cellIs" dxfId="7899" priority="1270" stopIfTrue="1" operator="equal">
      <formula>"21-40%"</formula>
    </cfRule>
    <cfRule type="cellIs" dxfId="7898" priority="1271" stopIfTrue="1" operator="equal">
      <formula>"0-20%"</formula>
    </cfRule>
    <cfRule type="cellIs" dxfId="7897" priority="1272" stopIfTrue="1" operator="equal">
      <formula>"81-100%"</formula>
    </cfRule>
    <cfRule type="cellIs" dxfId="7896" priority="1273" stopIfTrue="1" operator="equal">
      <formula>"100%"</formula>
    </cfRule>
  </conditionalFormatting>
  <conditionalFormatting sqref="H114:J114">
    <cfRule type="cellIs" dxfId="7895" priority="1258" stopIfTrue="1" operator="equal">
      <formula>"Régime présumé naturel (100%) / Abfluss vermutlich natürlich"</formula>
    </cfRule>
    <cfRule type="cellIs" dxfId="7894" priority="1259" stopIfTrue="1" operator="equal">
      <formula>"non pertinent / nicht relevant"</formula>
    </cfRule>
    <cfRule type="cellIs" dxfId="7893" priority="1260" stopIfTrue="1" operator="equal">
      <formula>"61-80%"</formula>
    </cfRule>
    <cfRule type="cellIs" dxfId="7892" priority="1261" stopIfTrue="1" operator="equal">
      <formula>"41-60%"</formula>
    </cfRule>
    <cfRule type="cellIs" dxfId="7891" priority="1262" stopIfTrue="1" operator="equal">
      <formula>"21-40%"</formula>
    </cfRule>
    <cfRule type="cellIs" dxfId="7890" priority="1263" stopIfTrue="1" operator="equal">
      <formula>"0-20%"</formula>
    </cfRule>
    <cfRule type="cellIs" dxfId="7889" priority="1264" stopIfTrue="1" operator="equal">
      <formula>"81-100%"</formula>
    </cfRule>
    <cfRule type="cellIs" dxfId="7888" priority="1265" stopIfTrue="1" operator="equal">
      <formula>"100%"</formula>
    </cfRule>
  </conditionalFormatting>
  <conditionalFormatting sqref="J122">
    <cfRule type="cellIs" dxfId="7887" priority="1250" stopIfTrue="1" operator="equal">
      <formula>"Régime présumé naturel (100%) / Abfluss vermutlich natürlich"</formula>
    </cfRule>
    <cfRule type="cellIs" dxfId="7886" priority="1251" stopIfTrue="1" operator="equal">
      <formula>"non pertinent / nicht relevant"</formula>
    </cfRule>
    <cfRule type="cellIs" dxfId="7885" priority="1252" stopIfTrue="1" operator="equal">
      <formula>"61-80%"</formula>
    </cfRule>
    <cfRule type="cellIs" dxfId="7884" priority="1253" stopIfTrue="1" operator="equal">
      <formula>"41-60%"</formula>
    </cfRule>
    <cfRule type="cellIs" dxfId="7883" priority="1254" stopIfTrue="1" operator="equal">
      <formula>"21-40%"</formula>
    </cfRule>
    <cfRule type="cellIs" dxfId="7882" priority="1255" stopIfTrue="1" operator="equal">
      <formula>"0-20%"</formula>
    </cfRule>
    <cfRule type="cellIs" dxfId="7881" priority="1256" stopIfTrue="1" operator="equal">
      <formula>"81-100%"</formula>
    </cfRule>
    <cfRule type="cellIs" dxfId="7880" priority="1257" stopIfTrue="1" operator="equal">
      <formula>"100%"</formula>
    </cfRule>
  </conditionalFormatting>
  <conditionalFormatting sqref="J124">
    <cfRule type="cellIs" dxfId="7879" priority="1242" stopIfTrue="1" operator="equal">
      <formula>"Régime présumé naturel (100%) / Abfluss vermutlich natürlich"</formula>
    </cfRule>
    <cfRule type="cellIs" dxfId="7878" priority="1243" stopIfTrue="1" operator="equal">
      <formula>"non pertinent / nicht relevant"</formula>
    </cfRule>
    <cfRule type="cellIs" dxfId="7877" priority="1244" stopIfTrue="1" operator="equal">
      <formula>"61-80%"</formula>
    </cfRule>
    <cfRule type="cellIs" dxfId="7876" priority="1245" stopIfTrue="1" operator="equal">
      <formula>"41-60%"</formula>
    </cfRule>
    <cfRule type="cellIs" dxfId="7875" priority="1246" stopIfTrue="1" operator="equal">
      <formula>"21-40%"</formula>
    </cfRule>
    <cfRule type="cellIs" dxfId="7874" priority="1247" stopIfTrue="1" operator="equal">
      <formula>"0-20%"</formula>
    </cfRule>
    <cfRule type="cellIs" dxfId="7873" priority="1248" stopIfTrue="1" operator="equal">
      <formula>"81-100%"</formula>
    </cfRule>
    <cfRule type="cellIs" dxfId="7872" priority="1249" stopIfTrue="1" operator="equal">
      <formula>"100%"</formula>
    </cfRule>
  </conditionalFormatting>
  <conditionalFormatting sqref="J182">
    <cfRule type="cellIs" dxfId="7871" priority="1234" stopIfTrue="1" operator="equal">
      <formula>"Régime présumé naturel (100%) / Abfluss vermutlich natürlich"</formula>
    </cfRule>
    <cfRule type="cellIs" dxfId="7870" priority="1235" stopIfTrue="1" operator="equal">
      <formula>"non pertinent / nicht relevant"</formula>
    </cfRule>
    <cfRule type="cellIs" dxfId="7869" priority="1236" stopIfTrue="1" operator="equal">
      <formula>"61-80%"</formula>
    </cfRule>
    <cfRule type="cellIs" dxfId="7868" priority="1237" stopIfTrue="1" operator="equal">
      <formula>"41-60%"</formula>
    </cfRule>
    <cfRule type="cellIs" dxfId="7867" priority="1238" stopIfTrue="1" operator="equal">
      <formula>"21-40%"</formula>
    </cfRule>
    <cfRule type="cellIs" dxfId="7866" priority="1239" stopIfTrue="1" operator="equal">
      <formula>"0-20%"</formula>
    </cfRule>
    <cfRule type="cellIs" dxfId="7865" priority="1240" stopIfTrue="1" operator="equal">
      <formula>"81-100%"</formula>
    </cfRule>
    <cfRule type="cellIs" dxfId="7864" priority="1241" stopIfTrue="1" operator="equal">
      <formula>"100%"</formula>
    </cfRule>
  </conditionalFormatting>
  <conditionalFormatting sqref="P207">
    <cfRule type="cellIs" dxfId="7863" priority="1226" stopIfTrue="1" operator="equal">
      <formula>"Régime présumé naturel (100%) / Abfluss vermutlich natürlich"</formula>
    </cfRule>
    <cfRule type="cellIs" dxfId="7862" priority="1227" stopIfTrue="1" operator="equal">
      <formula>"non pertinent / nicht relevant"</formula>
    </cfRule>
    <cfRule type="cellIs" dxfId="7861" priority="1228" stopIfTrue="1" operator="equal">
      <formula>"61-80%"</formula>
    </cfRule>
    <cfRule type="cellIs" dxfId="7860" priority="1229" stopIfTrue="1" operator="equal">
      <formula>"41-60%"</formula>
    </cfRule>
    <cfRule type="cellIs" dxfId="7859" priority="1230" stopIfTrue="1" operator="equal">
      <formula>"21-40%"</formula>
    </cfRule>
    <cfRule type="cellIs" dxfId="7858" priority="1231" stopIfTrue="1" operator="equal">
      <formula>"0-20%"</formula>
    </cfRule>
    <cfRule type="cellIs" dxfId="7857" priority="1232" stopIfTrue="1" operator="equal">
      <formula>"81-100%"</formula>
    </cfRule>
    <cfRule type="cellIs" dxfId="7856" priority="1233" stopIfTrue="1" operator="equal">
      <formula>"100%"</formula>
    </cfRule>
  </conditionalFormatting>
  <conditionalFormatting sqref="J6">
    <cfRule type="cellIs" dxfId="7855" priority="1218" stopIfTrue="1" operator="equal">
      <formula>"Régime présumé naturel (100%) / Abfluss vermutlich natürlich"</formula>
    </cfRule>
    <cfRule type="cellIs" dxfId="7854" priority="1219" stopIfTrue="1" operator="equal">
      <formula>"non pertinent / nicht relevant"</formula>
    </cfRule>
    <cfRule type="cellIs" dxfId="7853" priority="1220" stopIfTrue="1" operator="equal">
      <formula>"61-80%"</formula>
    </cfRule>
    <cfRule type="cellIs" dxfId="7852" priority="1221" stopIfTrue="1" operator="equal">
      <formula>"41-60%"</formula>
    </cfRule>
    <cfRule type="cellIs" dxfId="7851" priority="1222" stopIfTrue="1" operator="equal">
      <formula>"21-40%"</formula>
    </cfRule>
    <cfRule type="cellIs" dxfId="7850" priority="1223" stopIfTrue="1" operator="equal">
      <formula>"0-20%"</formula>
    </cfRule>
    <cfRule type="cellIs" dxfId="7849" priority="1224" stopIfTrue="1" operator="equal">
      <formula>"81-100%"</formula>
    </cfRule>
    <cfRule type="cellIs" dxfId="7848" priority="1225" stopIfTrue="1" operator="equal">
      <formula>"100%"</formula>
    </cfRule>
  </conditionalFormatting>
  <conditionalFormatting sqref="Q31">
    <cfRule type="cellIs" dxfId="7847" priority="996" stopIfTrue="1" operator="equal">
      <formula>"Régime présumé naturel (100%) / Abfluss vermutlich natürlich"</formula>
    </cfRule>
    <cfRule type="cellIs" dxfId="7846" priority="997" stopIfTrue="1" operator="equal">
      <formula>"non pertinent / nicht relevant"</formula>
    </cfRule>
    <cfRule type="cellIs" dxfId="7845" priority="998" stopIfTrue="1" operator="equal">
      <formula>"61-80%"</formula>
    </cfRule>
    <cfRule type="cellIs" dxfId="7844" priority="999" stopIfTrue="1" operator="equal">
      <formula>"41-60%"</formula>
    </cfRule>
    <cfRule type="cellIs" dxfId="7843" priority="1000" stopIfTrue="1" operator="equal">
      <formula>"21-40%"</formula>
    </cfRule>
    <cfRule type="cellIs" dxfId="7842" priority="1001" stopIfTrue="1" operator="equal">
      <formula>"0-20%"</formula>
    </cfRule>
    <cfRule type="cellIs" dxfId="7841" priority="1002" stopIfTrue="1" operator="equal">
      <formula>"81-100%"</formula>
    </cfRule>
    <cfRule type="cellIs" dxfId="7840" priority="1003" stopIfTrue="1" operator="equal">
      <formula>"100%"</formula>
    </cfRule>
  </conditionalFormatting>
  <conditionalFormatting sqref="Q272:Q273 Q275">
    <cfRule type="cellIs" dxfId="7839" priority="1204" stopIfTrue="1" operator="equal">
      <formula>"Régime présumé naturel (100%) / Abfluss vermutlich natürlich"</formula>
    </cfRule>
    <cfRule type="cellIs" dxfId="7838" priority="1205" stopIfTrue="1" operator="equal">
      <formula>"non pertinent / nicht relevant"</formula>
    </cfRule>
    <cfRule type="cellIs" dxfId="7837" priority="1206" stopIfTrue="1" operator="equal">
      <formula>"61-80%"</formula>
    </cfRule>
    <cfRule type="cellIs" dxfId="7836" priority="1207" stopIfTrue="1" operator="equal">
      <formula>"41-60%"</formula>
    </cfRule>
    <cfRule type="cellIs" dxfId="7835" priority="1208" stopIfTrue="1" operator="equal">
      <formula>"21-40%"</formula>
    </cfRule>
    <cfRule type="cellIs" dxfId="7834" priority="1209" stopIfTrue="1" operator="equal">
      <formula>"0-20%"</formula>
    </cfRule>
    <cfRule type="cellIs" dxfId="7833" priority="1210" stopIfTrue="1" operator="equal">
      <formula>"81-100%"</formula>
    </cfRule>
    <cfRule type="cellIs" dxfId="7832" priority="1211" stopIfTrue="1" operator="equal">
      <formula>"100%"</formula>
    </cfRule>
  </conditionalFormatting>
  <conditionalFormatting sqref="Q213:Q214 Q216:Q218 Q220 Q211">
    <cfRule type="cellIs" dxfId="7831" priority="1196" stopIfTrue="1" operator="equal">
      <formula>"Régime présumé naturel (100%) / Abfluss vermutlich natürlich"</formula>
    </cfRule>
    <cfRule type="cellIs" dxfId="7830" priority="1197" stopIfTrue="1" operator="equal">
      <formula>"non pertinent / nicht relevant"</formula>
    </cfRule>
    <cfRule type="cellIs" dxfId="7829" priority="1198" stopIfTrue="1" operator="equal">
      <formula>"61-80%"</formula>
    </cfRule>
    <cfRule type="cellIs" dxfId="7828" priority="1199" stopIfTrue="1" operator="equal">
      <formula>"41-60%"</formula>
    </cfRule>
    <cfRule type="cellIs" dxfId="7827" priority="1200" stopIfTrue="1" operator="equal">
      <formula>"21-40%"</formula>
    </cfRule>
    <cfRule type="cellIs" dxfId="7826" priority="1201" stopIfTrue="1" operator="equal">
      <formula>"0-20%"</formula>
    </cfRule>
    <cfRule type="cellIs" dxfId="7825" priority="1202" stopIfTrue="1" operator="equal">
      <formula>"81-100%"</formula>
    </cfRule>
    <cfRule type="cellIs" dxfId="7824" priority="1203" stopIfTrue="1" operator="equal">
      <formula>"100%"</formula>
    </cfRule>
  </conditionalFormatting>
  <conditionalFormatting sqref="Q215">
    <cfRule type="cellIs" dxfId="7823" priority="1188" stopIfTrue="1" operator="equal">
      <formula>"Régime présumé naturel (100%) / Abfluss vermutlich natürlich"</formula>
    </cfRule>
    <cfRule type="cellIs" dxfId="7822" priority="1189" stopIfTrue="1" operator="equal">
      <formula>"non pertinent / nicht relevant"</formula>
    </cfRule>
    <cfRule type="cellIs" dxfId="7821" priority="1190" stopIfTrue="1" operator="equal">
      <formula>"61-80%"</formula>
    </cfRule>
    <cfRule type="cellIs" dxfId="7820" priority="1191" stopIfTrue="1" operator="equal">
      <formula>"41-60%"</formula>
    </cfRule>
    <cfRule type="cellIs" dxfId="7819" priority="1192" stopIfTrue="1" operator="equal">
      <formula>"21-40%"</formula>
    </cfRule>
    <cfRule type="cellIs" dxfId="7818" priority="1193" stopIfTrue="1" operator="equal">
      <formula>"0-20%"</formula>
    </cfRule>
    <cfRule type="cellIs" dxfId="7817" priority="1194" stopIfTrue="1" operator="equal">
      <formula>"81-100%"</formula>
    </cfRule>
    <cfRule type="cellIs" dxfId="7816" priority="1195" stopIfTrue="1" operator="equal">
      <formula>"100%"</formula>
    </cfRule>
  </conditionalFormatting>
  <conditionalFormatting sqref="Q219">
    <cfRule type="cellIs" dxfId="7815" priority="1180" stopIfTrue="1" operator="equal">
      <formula>"Régime présumé naturel (100%) / Abfluss vermutlich natürlich"</formula>
    </cfRule>
    <cfRule type="cellIs" dxfId="7814" priority="1181" stopIfTrue="1" operator="equal">
      <formula>"non pertinent / nicht relevant"</formula>
    </cfRule>
    <cfRule type="cellIs" dxfId="7813" priority="1182" stopIfTrue="1" operator="equal">
      <formula>"61-80%"</formula>
    </cfRule>
    <cfRule type="cellIs" dxfId="7812" priority="1183" stopIfTrue="1" operator="equal">
      <formula>"41-60%"</formula>
    </cfRule>
    <cfRule type="cellIs" dxfId="7811" priority="1184" stopIfTrue="1" operator="equal">
      <formula>"21-40%"</formula>
    </cfRule>
    <cfRule type="cellIs" dxfId="7810" priority="1185" stopIfTrue="1" operator="equal">
      <formula>"0-20%"</formula>
    </cfRule>
    <cfRule type="cellIs" dxfId="7809" priority="1186" stopIfTrue="1" operator="equal">
      <formula>"81-100%"</formula>
    </cfRule>
    <cfRule type="cellIs" dxfId="7808" priority="1187" stopIfTrue="1" operator="equal">
      <formula>"100%"</formula>
    </cfRule>
  </conditionalFormatting>
  <conditionalFormatting sqref="Q177">
    <cfRule type="cellIs" dxfId="7807" priority="1164" stopIfTrue="1" operator="equal">
      <formula>"Régime présumé naturel (100%) / Abfluss vermutlich natürlich"</formula>
    </cfRule>
    <cfRule type="cellIs" dxfId="7806" priority="1165" stopIfTrue="1" operator="equal">
      <formula>"non pertinent / nicht relevant"</formula>
    </cfRule>
    <cfRule type="cellIs" dxfId="7805" priority="1166" stopIfTrue="1" operator="equal">
      <formula>"61-80%"</formula>
    </cfRule>
    <cfRule type="cellIs" dxfId="7804" priority="1167" stopIfTrue="1" operator="equal">
      <formula>"41-60%"</formula>
    </cfRule>
    <cfRule type="cellIs" dxfId="7803" priority="1168" stopIfTrue="1" operator="equal">
      <formula>"21-40%"</formula>
    </cfRule>
    <cfRule type="cellIs" dxfId="7802" priority="1169" stopIfTrue="1" operator="equal">
      <formula>"0-20%"</formula>
    </cfRule>
    <cfRule type="cellIs" dxfId="7801" priority="1170" stopIfTrue="1" operator="equal">
      <formula>"81-100%"</formula>
    </cfRule>
    <cfRule type="cellIs" dxfId="7800" priority="1171" stopIfTrue="1" operator="equal">
      <formula>"100%"</formula>
    </cfRule>
  </conditionalFormatting>
  <conditionalFormatting sqref="Q174:Q175 Q172">
    <cfRule type="cellIs" dxfId="7799" priority="1156" stopIfTrue="1" operator="equal">
      <formula>"Régime présumé naturel (100%) / Abfluss vermutlich natürlich"</formula>
    </cfRule>
    <cfRule type="cellIs" dxfId="7798" priority="1157" stopIfTrue="1" operator="equal">
      <formula>"non pertinent / nicht relevant"</formula>
    </cfRule>
    <cfRule type="cellIs" dxfId="7797" priority="1158" stopIfTrue="1" operator="equal">
      <formula>"61-80%"</formula>
    </cfRule>
    <cfRule type="cellIs" dxfId="7796" priority="1159" stopIfTrue="1" operator="equal">
      <formula>"41-60%"</formula>
    </cfRule>
    <cfRule type="cellIs" dxfId="7795" priority="1160" stopIfTrue="1" operator="equal">
      <formula>"21-40%"</formula>
    </cfRule>
    <cfRule type="cellIs" dxfId="7794" priority="1161" stopIfTrue="1" operator="equal">
      <formula>"0-20%"</formula>
    </cfRule>
    <cfRule type="cellIs" dxfId="7793" priority="1162" stopIfTrue="1" operator="equal">
      <formula>"81-100%"</formula>
    </cfRule>
    <cfRule type="cellIs" dxfId="7792" priority="1163" stopIfTrue="1" operator="equal">
      <formula>"100%"</formula>
    </cfRule>
  </conditionalFormatting>
  <conditionalFormatting sqref="Q173">
    <cfRule type="cellIs" dxfId="7791" priority="1148" stopIfTrue="1" operator="equal">
      <formula>"Régime présumé naturel (100%) / Abfluss vermutlich natürlich"</formula>
    </cfRule>
    <cfRule type="cellIs" dxfId="7790" priority="1149" stopIfTrue="1" operator="equal">
      <formula>"non pertinent / nicht relevant"</formula>
    </cfRule>
    <cfRule type="cellIs" dxfId="7789" priority="1150" stopIfTrue="1" operator="equal">
      <formula>"61-80%"</formula>
    </cfRule>
    <cfRule type="cellIs" dxfId="7788" priority="1151" stopIfTrue="1" operator="equal">
      <formula>"41-60%"</formula>
    </cfRule>
    <cfRule type="cellIs" dxfId="7787" priority="1152" stopIfTrue="1" operator="equal">
      <formula>"21-40%"</formula>
    </cfRule>
    <cfRule type="cellIs" dxfId="7786" priority="1153" stopIfTrue="1" operator="equal">
      <formula>"0-20%"</formula>
    </cfRule>
    <cfRule type="cellIs" dxfId="7785" priority="1154" stopIfTrue="1" operator="equal">
      <formula>"81-100%"</formula>
    </cfRule>
    <cfRule type="cellIs" dxfId="7784" priority="1155" stopIfTrue="1" operator="equal">
      <formula>"100%"</formula>
    </cfRule>
  </conditionalFormatting>
  <conditionalFormatting sqref="Q161:Q169">
    <cfRule type="cellIs" dxfId="7783" priority="1140" stopIfTrue="1" operator="equal">
      <formula>"Régime présumé naturel (100%) / Abfluss vermutlich natürlich"</formula>
    </cfRule>
    <cfRule type="cellIs" dxfId="7782" priority="1141" stopIfTrue="1" operator="equal">
      <formula>"non pertinent / nicht relevant"</formula>
    </cfRule>
    <cfRule type="cellIs" dxfId="7781" priority="1142" stopIfTrue="1" operator="equal">
      <formula>"61-80%"</formula>
    </cfRule>
    <cfRule type="cellIs" dxfId="7780" priority="1143" stopIfTrue="1" operator="equal">
      <formula>"41-60%"</formula>
    </cfRule>
    <cfRule type="cellIs" dxfId="7779" priority="1144" stopIfTrue="1" operator="equal">
      <formula>"21-40%"</formula>
    </cfRule>
    <cfRule type="cellIs" dxfId="7778" priority="1145" stopIfTrue="1" operator="equal">
      <formula>"0-20%"</formula>
    </cfRule>
    <cfRule type="cellIs" dxfId="7777" priority="1146" stopIfTrue="1" operator="equal">
      <formula>"81-100%"</formula>
    </cfRule>
    <cfRule type="cellIs" dxfId="7776" priority="1147" stopIfTrue="1" operator="equal">
      <formula>"100%"</formula>
    </cfRule>
  </conditionalFormatting>
  <conditionalFormatting sqref="Q154 Q156:Q158">
    <cfRule type="cellIs" dxfId="7775" priority="1132" stopIfTrue="1" operator="equal">
      <formula>"Régime présumé naturel (100%) / Abfluss vermutlich natürlich"</formula>
    </cfRule>
    <cfRule type="cellIs" dxfId="7774" priority="1133" stopIfTrue="1" operator="equal">
      <formula>"non pertinent / nicht relevant"</formula>
    </cfRule>
    <cfRule type="cellIs" dxfId="7773" priority="1134" stopIfTrue="1" operator="equal">
      <formula>"61-80%"</formula>
    </cfRule>
    <cfRule type="cellIs" dxfId="7772" priority="1135" stopIfTrue="1" operator="equal">
      <formula>"41-60%"</formula>
    </cfRule>
    <cfRule type="cellIs" dxfId="7771" priority="1136" stopIfTrue="1" operator="equal">
      <formula>"21-40%"</formula>
    </cfRule>
    <cfRule type="cellIs" dxfId="7770" priority="1137" stopIfTrue="1" operator="equal">
      <formula>"0-20%"</formula>
    </cfRule>
    <cfRule type="cellIs" dxfId="7769" priority="1138" stopIfTrue="1" operator="equal">
      <formula>"81-100%"</formula>
    </cfRule>
    <cfRule type="cellIs" dxfId="7768" priority="1139" stopIfTrue="1" operator="equal">
      <formula>"100%"</formula>
    </cfRule>
  </conditionalFormatting>
  <conditionalFormatting sqref="Q153">
    <cfRule type="cellIs" dxfId="7767" priority="1124" stopIfTrue="1" operator="equal">
      <formula>"Régime présumé naturel (100%) / Abfluss vermutlich natürlich"</formula>
    </cfRule>
    <cfRule type="cellIs" dxfId="7766" priority="1125" stopIfTrue="1" operator="equal">
      <formula>"non pertinent / nicht relevant"</formula>
    </cfRule>
    <cfRule type="cellIs" dxfId="7765" priority="1126" stopIfTrue="1" operator="equal">
      <formula>"61-80%"</formula>
    </cfRule>
    <cfRule type="cellIs" dxfId="7764" priority="1127" stopIfTrue="1" operator="equal">
      <formula>"41-60%"</formula>
    </cfRule>
    <cfRule type="cellIs" dxfId="7763" priority="1128" stopIfTrue="1" operator="equal">
      <formula>"21-40%"</formula>
    </cfRule>
    <cfRule type="cellIs" dxfId="7762" priority="1129" stopIfTrue="1" operator="equal">
      <formula>"0-20%"</formula>
    </cfRule>
    <cfRule type="cellIs" dxfId="7761" priority="1130" stopIfTrue="1" operator="equal">
      <formula>"81-100%"</formula>
    </cfRule>
    <cfRule type="cellIs" dxfId="7760" priority="1131" stopIfTrue="1" operator="equal">
      <formula>"100%"</formula>
    </cfRule>
  </conditionalFormatting>
  <conditionalFormatting sqref="Q144">
    <cfRule type="cellIs" dxfId="7759" priority="1116" stopIfTrue="1" operator="equal">
      <formula>"Régime présumé naturel (100%) / Abfluss vermutlich natürlich"</formula>
    </cfRule>
    <cfRule type="cellIs" dxfId="7758" priority="1117" stopIfTrue="1" operator="equal">
      <formula>"non pertinent / nicht relevant"</formula>
    </cfRule>
    <cfRule type="cellIs" dxfId="7757" priority="1118" stopIfTrue="1" operator="equal">
      <formula>"61-80%"</formula>
    </cfRule>
    <cfRule type="cellIs" dxfId="7756" priority="1119" stopIfTrue="1" operator="equal">
      <formula>"41-60%"</formula>
    </cfRule>
    <cfRule type="cellIs" dxfId="7755" priority="1120" stopIfTrue="1" operator="equal">
      <formula>"21-40%"</formula>
    </cfRule>
    <cfRule type="cellIs" dxfId="7754" priority="1121" stopIfTrue="1" operator="equal">
      <formula>"0-20%"</formula>
    </cfRule>
    <cfRule type="cellIs" dxfId="7753" priority="1122" stopIfTrue="1" operator="equal">
      <formula>"81-100%"</formula>
    </cfRule>
    <cfRule type="cellIs" dxfId="7752" priority="1123" stopIfTrue="1" operator="equal">
      <formula>"100%"</formula>
    </cfRule>
  </conditionalFormatting>
  <conditionalFormatting sqref="Q145:Q147">
    <cfRule type="cellIs" dxfId="7751" priority="1108" stopIfTrue="1" operator="equal">
      <formula>"Régime présumé naturel (100%) / Abfluss vermutlich natürlich"</formula>
    </cfRule>
    <cfRule type="cellIs" dxfId="7750" priority="1109" stopIfTrue="1" operator="equal">
      <formula>"non pertinent / nicht relevant"</formula>
    </cfRule>
    <cfRule type="cellIs" dxfId="7749" priority="1110" stopIfTrue="1" operator="equal">
      <formula>"61-80%"</formula>
    </cfRule>
    <cfRule type="cellIs" dxfId="7748" priority="1111" stopIfTrue="1" operator="equal">
      <formula>"41-60%"</formula>
    </cfRule>
    <cfRule type="cellIs" dxfId="7747" priority="1112" stopIfTrue="1" operator="equal">
      <formula>"21-40%"</formula>
    </cfRule>
    <cfRule type="cellIs" dxfId="7746" priority="1113" stopIfTrue="1" operator="equal">
      <formula>"0-20%"</formula>
    </cfRule>
    <cfRule type="cellIs" dxfId="7745" priority="1114" stopIfTrue="1" operator="equal">
      <formula>"81-100%"</formula>
    </cfRule>
    <cfRule type="cellIs" dxfId="7744" priority="1115" stopIfTrue="1" operator="equal">
      <formula>"100%"</formula>
    </cfRule>
  </conditionalFormatting>
  <conditionalFormatting sqref="Q149">
    <cfRule type="cellIs" dxfId="7743" priority="1100" stopIfTrue="1" operator="equal">
      <formula>"Régime présumé naturel (100%) / Abfluss vermutlich natürlich"</formula>
    </cfRule>
    <cfRule type="cellIs" dxfId="7742" priority="1101" stopIfTrue="1" operator="equal">
      <formula>"non pertinent / nicht relevant"</formula>
    </cfRule>
    <cfRule type="cellIs" dxfId="7741" priority="1102" stopIfTrue="1" operator="equal">
      <formula>"61-80%"</formula>
    </cfRule>
    <cfRule type="cellIs" dxfId="7740" priority="1103" stopIfTrue="1" operator="equal">
      <formula>"41-60%"</formula>
    </cfRule>
    <cfRule type="cellIs" dxfId="7739" priority="1104" stopIfTrue="1" operator="equal">
      <formula>"21-40%"</formula>
    </cfRule>
    <cfRule type="cellIs" dxfId="7738" priority="1105" stopIfTrue="1" operator="equal">
      <formula>"0-20%"</formula>
    </cfRule>
    <cfRule type="cellIs" dxfId="7737" priority="1106" stopIfTrue="1" operator="equal">
      <formula>"81-100%"</formula>
    </cfRule>
    <cfRule type="cellIs" dxfId="7736" priority="1107" stopIfTrue="1" operator="equal">
      <formula>"100%"</formula>
    </cfRule>
  </conditionalFormatting>
  <conditionalFormatting sqref="Q152">
    <cfRule type="cellIs" dxfId="7735" priority="1092" stopIfTrue="1" operator="equal">
      <formula>"Régime présumé naturel (100%) / Abfluss vermutlich natürlich"</formula>
    </cfRule>
    <cfRule type="cellIs" dxfId="7734" priority="1093" stopIfTrue="1" operator="equal">
      <formula>"non pertinent / nicht relevant"</formula>
    </cfRule>
    <cfRule type="cellIs" dxfId="7733" priority="1094" stopIfTrue="1" operator="equal">
      <formula>"61-80%"</formula>
    </cfRule>
    <cfRule type="cellIs" dxfId="7732" priority="1095" stopIfTrue="1" operator="equal">
      <formula>"41-60%"</formula>
    </cfRule>
    <cfRule type="cellIs" dxfId="7731" priority="1096" stopIfTrue="1" operator="equal">
      <formula>"21-40%"</formula>
    </cfRule>
    <cfRule type="cellIs" dxfId="7730" priority="1097" stopIfTrue="1" operator="equal">
      <formula>"0-20%"</formula>
    </cfRule>
    <cfRule type="cellIs" dxfId="7729" priority="1098" stopIfTrue="1" operator="equal">
      <formula>"81-100%"</formula>
    </cfRule>
    <cfRule type="cellIs" dxfId="7728" priority="1099" stopIfTrue="1" operator="equal">
      <formula>"100%"</formula>
    </cfRule>
  </conditionalFormatting>
  <conditionalFormatting sqref="Q148">
    <cfRule type="cellIs" dxfId="7727" priority="1084" stopIfTrue="1" operator="equal">
      <formula>"Régime présumé naturel (100%) / Abfluss vermutlich natürlich"</formula>
    </cfRule>
    <cfRule type="cellIs" dxfId="7726" priority="1085" stopIfTrue="1" operator="equal">
      <formula>"non pertinent / nicht relevant"</formula>
    </cfRule>
    <cfRule type="cellIs" dxfId="7725" priority="1086" stopIfTrue="1" operator="equal">
      <formula>"61-80%"</formula>
    </cfRule>
    <cfRule type="cellIs" dxfId="7724" priority="1087" stopIfTrue="1" operator="equal">
      <formula>"41-60%"</formula>
    </cfRule>
    <cfRule type="cellIs" dxfId="7723" priority="1088" stopIfTrue="1" operator="equal">
      <formula>"21-40%"</formula>
    </cfRule>
    <cfRule type="cellIs" dxfId="7722" priority="1089" stopIfTrue="1" operator="equal">
      <formula>"0-20%"</formula>
    </cfRule>
    <cfRule type="cellIs" dxfId="7721" priority="1090" stopIfTrue="1" operator="equal">
      <formula>"81-100%"</formula>
    </cfRule>
    <cfRule type="cellIs" dxfId="7720" priority="1091" stopIfTrue="1" operator="equal">
      <formula>"100%"</formula>
    </cfRule>
  </conditionalFormatting>
  <conditionalFormatting sqref="Q151">
    <cfRule type="cellIs" dxfId="7719" priority="1076" stopIfTrue="1" operator="equal">
      <formula>"Régime présumé naturel (100%) / Abfluss vermutlich natürlich"</formula>
    </cfRule>
    <cfRule type="cellIs" dxfId="7718" priority="1077" stopIfTrue="1" operator="equal">
      <formula>"non pertinent / nicht relevant"</formula>
    </cfRule>
    <cfRule type="cellIs" dxfId="7717" priority="1078" stopIfTrue="1" operator="equal">
      <formula>"61-80%"</formula>
    </cfRule>
    <cfRule type="cellIs" dxfId="7716" priority="1079" stopIfTrue="1" operator="equal">
      <formula>"41-60%"</formula>
    </cfRule>
    <cfRule type="cellIs" dxfId="7715" priority="1080" stopIfTrue="1" operator="equal">
      <formula>"21-40%"</formula>
    </cfRule>
    <cfRule type="cellIs" dxfId="7714" priority="1081" stopIfTrue="1" operator="equal">
      <formula>"0-20%"</formula>
    </cfRule>
    <cfRule type="cellIs" dxfId="7713" priority="1082" stopIfTrue="1" operator="equal">
      <formula>"81-100%"</formula>
    </cfRule>
    <cfRule type="cellIs" dxfId="7712" priority="1083" stopIfTrue="1" operator="equal">
      <formula>"100%"</formula>
    </cfRule>
  </conditionalFormatting>
  <conditionalFormatting sqref="Q77:Q80">
    <cfRule type="cellIs" dxfId="7711" priority="1068" stopIfTrue="1" operator="equal">
      <formula>"Régime présumé naturel (100%) / Abfluss vermutlich natürlich"</formula>
    </cfRule>
    <cfRule type="cellIs" dxfId="7710" priority="1069" stopIfTrue="1" operator="equal">
      <formula>"non pertinent / nicht relevant"</formula>
    </cfRule>
    <cfRule type="cellIs" dxfId="7709" priority="1070" stopIfTrue="1" operator="equal">
      <formula>"61-80%"</formula>
    </cfRule>
    <cfRule type="cellIs" dxfId="7708" priority="1071" stopIfTrue="1" operator="equal">
      <formula>"41-60%"</formula>
    </cfRule>
    <cfRule type="cellIs" dxfId="7707" priority="1072" stopIfTrue="1" operator="equal">
      <formula>"21-40%"</formula>
    </cfRule>
    <cfRule type="cellIs" dxfId="7706" priority="1073" stopIfTrue="1" operator="equal">
      <formula>"0-20%"</formula>
    </cfRule>
    <cfRule type="cellIs" dxfId="7705" priority="1074" stopIfTrue="1" operator="equal">
      <formula>"81-100%"</formula>
    </cfRule>
    <cfRule type="cellIs" dxfId="7704" priority="1075" stopIfTrue="1" operator="equal">
      <formula>"100%"</formula>
    </cfRule>
  </conditionalFormatting>
  <conditionalFormatting sqref="Q62:Q64 Q66:Q68">
    <cfRule type="cellIs" dxfId="7703" priority="1060" stopIfTrue="1" operator="equal">
      <formula>"Régime présumé naturel (100%) / Abfluss vermutlich natürlich"</formula>
    </cfRule>
    <cfRule type="cellIs" dxfId="7702" priority="1061" stopIfTrue="1" operator="equal">
      <formula>"non pertinent / nicht relevant"</formula>
    </cfRule>
    <cfRule type="cellIs" dxfId="7701" priority="1062" stopIfTrue="1" operator="equal">
      <formula>"61-80%"</formula>
    </cfRule>
    <cfRule type="cellIs" dxfId="7700" priority="1063" stopIfTrue="1" operator="equal">
      <formula>"41-60%"</formula>
    </cfRule>
    <cfRule type="cellIs" dxfId="7699" priority="1064" stopIfTrue="1" operator="equal">
      <formula>"21-40%"</formula>
    </cfRule>
    <cfRule type="cellIs" dxfId="7698" priority="1065" stopIfTrue="1" operator="equal">
      <formula>"0-20%"</formula>
    </cfRule>
    <cfRule type="cellIs" dxfId="7697" priority="1066" stopIfTrue="1" operator="equal">
      <formula>"81-100%"</formula>
    </cfRule>
    <cfRule type="cellIs" dxfId="7696" priority="1067" stopIfTrue="1" operator="equal">
      <formula>"100%"</formula>
    </cfRule>
  </conditionalFormatting>
  <conditionalFormatting sqref="Q69">
    <cfRule type="cellIs" dxfId="7695" priority="1052" stopIfTrue="1" operator="equal">
      <formula>"Régime présumé naturel (100%) / Abfluss vermutlich natürlich"</formula>
    </cfRule>
    <cfRule type="cellIs" dxfId="7694" priority="1053" stopIfTrue="1" operator="equal">
      <formula>"non pertinent / nicht relevant"</formula>
    </cfRule>
    <cfRule type="cellIs" dxfId="7693" priority="1054" stopIfTrue="1" operator="equal">
      <formula>"61-80%"</formula>
    </cfRule>
    <cfRule type="cellIs" dxfId="7692" priority="1055" stopIfTrue="1" operator="equal">
      <formula>"41-60%"</formula>
    </cfRule>
    <cfRule type="cellIs" dxfId="7691" priority="1056" stopIfTrue="1" operator="equal">
      <formula>"21-40%"</formula>
    </cfRule>
    <cfRule type="cellIs" dxfId="7690" priority="1057" stopIfTrue="1" operator="equal">
      <formula>"0-20%"</formula>
    </cfRule>
    <cfRule type="cellIs" dxfId="7689" priority="1058" stopIfTrue="1" operator="equal">
      <formula>"81-100%"</formula>
    </cfRule>
    <cfRule type="cellIs" dxfId="7688" priority="1059" stopIfTrue="1" operator="equal">
      <formula>"100%"</formula>
    </cfRule>
  </conditionalFormatting>
  <conditionalFormatting sqref="Q49:Q61 Q46">
    <cfRule type="cellIs" dxfId="7687" priority="1044" stopIfTrue="1" operator="equal">
      <formula>"Régime présumé naturel (100%) / Abfluss vermutlich natürlich"</formula>
    </cfRule>
    <cfRule type="cellIs" dxfId="7686" priority="1045" stopIfTrue="1" operator="equal">
      <formula>"non pertinent / nicht relevant"</formula>
    </cfRule>
    <cfRule type="cellIs" dxfId="7685" priority="1046" stopIfTrue="1" operator="equal">
      <formula>"61-80%"</formula>
    </cfRule>
    <cfRule type="cellIs" dxfId="7684" priority="1047" stopIfTrue="1" operator="equal">
      <formula>"41-60%"</formula>
    </cfRule>
    <cfRule type="cellIs" dxfId="7683" priority="1048" stopIfTrue="1" operator="equal">
      <formula>"21-40%"</formula>
    </cfRule>
    <cfRule type="cellIs" dxfId="7682" priority="1049" stopIfTrue="1" operator="equal">
      <formula>"0-20%"</formula>
    </cfRule>
    <cfRule type="cellIs" dxfId="7681" priority="1050" stopIfTrue="1" operator="equal">
      <formula>"81-100%"</formula>
    </cfRule>
    <cfRule type="cellIs" dxfId="7680" priority="1051" stopIfTrue="1" operator="equal">
      <formula>"100%"</formula>
    </cfRule>
  </conditionalFormatting>
  <conditionalFormatting sqref="Q48">
    <cfRule type="cellIs" dxfId="7679" priority="1028" stopIfTrue="1" operator="equal">
      <formula>"Régime présumé naturel (100%) / Abfluss vermutlich natürlich"</formula>
    </cfRule>
    <cfRule type="cellIs" dxfId="7678" priority="1029" stopIfTrue="1" operator="equal">
      <formula>"non pertinent / nicht relevant"</formula>
    </cfRule>
    <cfRule type="cellIs" dxfId="7677" priority="1030" stopIfTrue="1" operator="equal">
      <formula>"61-80%"</formula>
    </cfRule>
    <cfRule type="cellIs" dxfId="7676" priority="1031" stopIfTrue="1" operator="equal">
      <formula>"41-60%"</formula>
    </cfRule>
    <cfRule type="cellIs" dxfId="7675" priority="1032" stopIfTrue="1" operator="equal">
      <formula>"21-40%"</formula>
    </cfRule>
    <cfRule type="cellIs" dxfId="7674" priority="1033" stopIfTrue="1" operator="equal">
      <formula>"0-20%"</formula>
    </cfRule>
    <cfRule type="cellIs" dxfId="7673" priority="1034" stopIfTrue="1" operator="equal">
      <formula>"81-100%"</formula>
    </cfRule>
    <cfRule type="cellIs" dxfId="7672" priority="1035" stopIfTrue="1" operator="equal">
      <formula>"100%"</formula>
    </cfRule>
  </conditionalFormatting>
  <conditionalFormatting sqref="Q4:R4 Q22 Q24:Q27 Q32:Q33 Q35:Q37 Q13 Q15:Q20 Q8:Q10 Q29 Q39:Q43 Q5 R5:R275">
    <cfRule type="cellIs" dxfId="7671" priority="1020" stopIfTrue="1" operator="equal">
      <formula>"Régime présumé naturel (100%) / Abfluss vermutlich natürlich"</formula>
    </cfRule>
    <cfRule type="cellIs" dxfId="7670" priority="1021" stopIfTrue="1" operator="equal">
      <formula>"non pertinent / nicht relevant"</formula>
    </cfRule>
    <cfRule type="cellIs" dxfId="7669" priority="1022" stopIfTrue="1" operator="equal">
      <formula>"61-80%"</formula>
    </cfRule>
    <cfRule type="cellIs" dxfId="7668" priority="1023" stopIfTrue="1" operator="equal">
      <formula>"41-60%"</formula>
    </cfRule>
    <cfRule type="cellIs" dxfId="7667" priority="1024" stopIfTrue="1" operator="equal">
      <formula>"21-40%"</formula>
    </cfRule>
    <cfRule type="cellIs" dxfId="7666" priority="1025" stopIfTrue="1" operator="equal">
      <formula>"0-20%"</formula>
    </cfRule>
    <cfRule type="cellIs" dxfId="7665" priority="1026" stopIfTrue="1" operator="equal">
      <formula>"81-100%"</formula>
    </cfRule>
    <cfRule type="cellIs" dxfId="7664" priority="1027" stopIfTrue="1" operator="equal">
      <formula>"100%"</formula>
    </cfRule>
  </conditionalFormatting>
  <conditionalFormatting sqref="Q11">
    <cfRule type="cellIs" dxfId="7663" priority="1012" stopIfTrue="1" operator="equal">
      <formula>"Régime présumé naturel (100%) / Abfluss vermutlich natürlich"</formula>
    </cfRule>
    <cfRule type="cellIs" dxfId="7662" priority="1013" stopIfTrue="1" operator="equal">
      <formula>"non pertinent / nicht relevant"</formula>
    </cfRule>
    <cfRule type="cellIs" dxfId="7661" priority="1014" stopIfTrue="1" operator="equal">
      <formula>"61-80%"</formula>
    </cfRule>
    <cfRule type="cellIs" dxfId="7660" priority="1015" stopIfTrue="1" operator="equal">
      <formula>"41-60%"</formula>
    </cfRule>
    <cfRule type="cellIs" dxfId="7659" priority="1016" stopIfTrue="1" operator="equal">
      <formula>"21-40%"</formula>
    </cfRule>
    <cfRule type="cellIs" dxfId="7658" priority="1017" stopIfTrue="1" operator="equal">
      <formula>"0-20%"</formula>
    </cfRule>
    <cfRule type="cellIs" dxfId="7657" priority="1018" stopIfTrue="1" operator="equal">
      <formula>"81-100%"</formula>
    </cfRule>
    <cfRule type="cellIs" dxfId="7656" priority="1019" stopIfTrue="1" operator="equal">
      <formula>"100%"</formula>
    </cfRule>
  </conditionalFormatting>
  <conditionalFormatting sqref="Q21">
    <cfRule type="cellIs" dxfId="7655" priority="1004" stopIfTrue="1" operator="equal">
      <formula>"Régime présumé naturel (100%) / Abfluss vermutlich natürlich"</formula>
    </cfRule>
    <cfRule type="cellIs" dxfId="7654" priority="1005" stopIfTrue="1" operator="equal">
      <formula>"non pertinent / nicht relevant"</formula>
    </cfRule>
    <cfRule type="cellIs" dxfId="7653" priority="1006" stopIfTrue="1" operator="equal">
      <formula>"61-80%"</formula>
    </cfRule>
    <cfRule type="cellIs" dxfId="7652" priority="1007" stopIfTrue="1" operator="equal">
      <formula>"41-60%"</formula>
    </cfRule>
    <cfRule type="cellIs" dxfId="7651" priority="1008" stopIfTrue="1" operator="equal">
      <formula>"21-40%"</formula>
    </cfRule>
    <cfRule type="cellIs" dxfId="7650" priority="1009" stopIfTrue="1" operator="equal">
      <formula>"0-20%"</formula>
    </cfRule>
    <cfRule type="cellIs" dxfId="7649" priority="1010" stopIfTrue="1" operator="equal">
      <formula>"81-100%"</formula>
    </cfRule>
    <cfRule type="cellIs" dxfId="7648" priority="1011" stopIfTrue="1" operator="equal">
      <formula>"100%"</formula>
    </cfRule>
  </conditionalFormatting>
  <conditionalFormatting sqref="Q23">
    <cfRule type="cellIs" dxfId="7647" priority="988" stopIfTrue="1" operator="equal">
      <formula>"Régime présumé naturel (100%) / Abfluss vermutlich natürlich"</formula>
    </cfRule>
    <cfRule type="cellIs" dxfId="7646" priority="989" stopIfTrue="1" operator="equal">
      <formula>"non pertinent / nicht relevant"</formula>
    </cfRule>
    <cfRule type="cellIs" dxfId="7645" priority="990" stopIfTrue="1" operator="equal">
      <formula>"61-80%"</formula>
    </cfRule>
    <cfRule type="cellIs" dxfId="7644" priority="991" stopIfTrue="1" operator="equal">
      <formula>"41-60%"</formula>
    </cfRule>
    <cfRule type="cellIs" dxfId="7643" priority="992" stopIfTrue="1" operator="equal">
      <formula>"21-40%"</formula>
    </cfRule>
    <cfRule type="cellIs" dxfId="7642" priority="993" stopIfTrue="1" operator="equal">
      <formula>"0-20%"</formula>
    </cfRule>
    <cfRule type="cellIs" dxfId="7641" priority="994" stopIfTrue="1" operator="equal">
      <formula>"81-100%"</formula>
    </cfRule>
    <cfRule type="cellIs" dxfId="7640" priority="995" stopIfTrue="1" operator="equal">
      <formula>"100%"</formula>
    </cfRule>
  </conditionalFormatting>
  <conditionalFormatting sqref="Q14">
    <cfRule type="cellIs" dxfId="7639" priority="980" stopIfTrue="1" operator="equal">
      <formula>"Régime présumé naturel (100%) / Abfluss vermutlich natürlich"</formula>
    </cfRule>
    <cfRule type="cellIs" dxfId="7638" priority="981" stopIfTrue="1" operator="equal">
      <formula>"non pertinent / nicht relevant"</formula>
    </cfRule>
    <cfRule type="cellIs" dxfId="7637" priority="982" stopIfTrue="1" operator="equal">
      <formula>"61-80%"</formula>
    </cfRule>
    <cfRule type="cellIs" dxfId="7636" priority="983" stopIfTrue="1" operator="equal">
      <formula>"41-60%"</formula>
    </cfRule>
    <cfRule type="cellIs" dxfId="7635" priority="984" stopIfTrue="1" operator="equal">
      <formula>"21-40%"</formula>
    </cfRule>
    <cfRule type="cellIs" dxfId="7634" priority="985" stopIfTrue="1" operator="equal">
      <formula>"0-20%"</formula>
    </cfRule>
    <cfRule type="cellIs" dxfId="7633" priority="986" stopIfTrue="1" operator="equal">
      <formula>"81-100%"</formula>
    </cfRule>
    <cfRule type="cellIs" dxfId="7632" priority="987" stopIfTrue="1" operator="equal">
      <formula>"100%"</formula>
    </cfRule>
  </conditionalFormatting>
  <conditionalFormatting sqref="Q28">
    <cfRule type="cellIs" dxfId="7631" priority="972" stopIfTrue="1" operator="equal">
      <formula>"Régime présumé naturel (100%) / Abfluss vermutlich natürlich"</formula>
    </cfRule>
    <cfRule type="cellIs" dxfId="7630" priority="973" stopIfTrue="1" operator="equal">
      <formula>"non pertinent / nicht relevant"</formula>
    </cfRule>
    <cfRule type="cellIs" dxfId="7629" priority="974" stopIfTrue="1" operator="equal">
      <formula>"61-80%"</formula>
    </cfRule>
    <cfRule type="cellIs" dxfId="7628" priority="975" stopIfTrue="1" operator="equal">
      <formula>"41-60%"</formula>
    </cfRule>
    <cfRule type="cellIs" dxfId="7627" priority="976" stopIfTrue="1" operator="equal">
      <formula>"21-40%"</formula>
    </cfRule>
    <cfRule type="cellIs" dxfId="7626" priority="977" stopIfTrue="1" operator="equal">
      <formula>"0-20%"</formula>
    </cfRule>
    <cfRule type="cellIs" dxfId="7625" priority="978" stopIfTrue="1" operator="equal">
      <formula>"81-100%"</formula>
    </cfRule>
    <cfRule type="cellIs" dxfId="7624" priority="979" stopIfTrue="1" operator="equal">
      <formula>"100%"</formula>
    </cfRule>
  </conditionalFormatting>
  <conditionalFormatting sqref="Q34">
    <cfRule type="cellIs" dxfId="7623" priority="964" stopIfTrue="1" operator="equal">
      <formula>"Régime présumé naturel (100%) / Abfluss vermutlich natürlich"</formula>
    </cfRule>
    <cfRule type="cellIs" dxfId="7622" priority="965" stopIfTrue="1" operator="equal">
      <formula>"non pertinent / nicht relevant"</formula>
    </cfRule>
    <cfRule type="cellIs" dxfId="7621" priority="966" stopIfTrue="1" operator="equal">
      <formula>"61-80%"</formula>
    </cfRule>
    <cfRule type="cellIs" dxfId="7620" priority="967" stopIfTrue="1" operator="equal">
      <formula>"41-60%"</formula>
    </cfRule>
    <cfRule type="cellIs" dxfId="7619" priority="968" stopIfTrue="1" operator="equal">
      <formula>"21-40%"</formula>
    </cfRule>
    <cfRule type="cellIs" dxfId="7618" priority="969" stopIfTrue="1" operator="equal">
      <formula>"0-20%"</formula>
    </cfRule>
    <cfRule type="cellIs" dxfId="7617" priority="970" stopIfTrue="1" operator="equal">
      <formula>"81-100%"</formula>
    </cfRule>
    <cfRule type="cellIs" dxfId="7616" priority="971" stopIfTrue="1" operator="equal">
      <formula>"100%"</formula>
    </cfRule>
  </conditionalFormatting>
  <conditionalFormatting sqref="Q171">
    <cfRule type="cellIs" dxfId="7615" priority="956" stopIfTrue="1" operator="equal">
      <formula>"Régime présumé naturel (100%) / Abfluss vermutlich natürlich"</formula>
    </cfRule>
    <cfRule type="cellIs" dxfId="7614" priority="957" stopIfTrue="1" operator="equal">
      <formula>"non pertinent / nicht relevant"</formula>
    </cfRule>
    <cfRule type="cellIs" dxfId="7613" priority="958" stopIfTrue="1" operator="equal">
      <formula>"61-80%"</formula>
    </cfRule>
    <cfRule type="cellIs" dxfId="7612" priority="959" stopIfTrue="1" operator="equal">
      <formula>"41-60%"</formula>
    </cfRule>
    <cfRule type="cellIs" dxfId="7611" priority="960" stopIfTrue="1" operator="equal">
      <formula>"21-40%"</formula>
    </cfRule>
    <cfRule type="cellIs" dxfId="7610" priority="961" stopIfTrue="1" operator="equal">
      <formula>"0-20%"</formula>
    </cfRule>
    <cfRule type="cellIs" dxfId="7609" priority="962" stopIfTrue="1" operator="equal">
      <formula>"81-100%"</formula>
    </cfRule>
    <cfRule type="cellIs" dxfId="7608" priority="963" stopIfTrue="1" operator="equal">
      <formula>"100%"</formula>
    </cfRule>
  </conditionalFormatting>
  <conditionalFormatting sqref="Q12">
    <cfRule type="cellIs" dxfId="7607" priority="948" stopIfTrue="1" operator="equal">
      <formula>"Régime présumé naturel (100%) / Abfluss vermutlich natürlich"</formula>
    </cfRule>
    <cfRule type="cellIs" dxfId="7606" priority="949" stopIfTrue="1" operator="equal">
      <formula>"non pertinent / nicht relevant"</formula>
    </cfRule>
    <cfRule type="cellIs" dxfId="7605" priority="950" stopIfTrue="1" operator="equal">
      <formula>"61-80%"</formula>
    </cfRule>
    <cfRule type="cellIs" dxfId="7604" priority="951" stopIfTrue="1" operator="equal">
      <formula>"41-60%"</formula>
    </cfRule>
    <cfRule type="cellIs" dxfId="7603" priority="952" stopIfTrue="1" operator="equal">
      <formula>"21-40%"</formula>
    </cfRule>
    <cfRule type="cellIs" dxfId="7602" priority="953" stopIfTrue="1" operator="equal">
      <formula>"0-20%"</formula>
    </cfRule>
    <cfRule type="cellIs" dxfId="7601" priority="954" stopIfTrue="1" operator="equal">
      <formula>"81-100%"</formula>
    </cfRule>
    <cfRule type="cellIs" dxfId="7600" priority="955" stopIfTrue="1" operator="equal">
      <formula>"100%"</formula>
    </cfRule>
  </conditionalFormatting>
  <conditionalFormatting sqref="J12">
    <cfRule type="cellIs" dxfId="7599" priority="940" stopIfTrue="1" operator="equal">
      <formula>"Régime présumé naturel (100%) / Abfluss vermutlich natürlich"</formula>
    </cfRule>
    <cfRule type="cellIs" dxfId="7598" priority="941" stopIfTrue="1" operator="equal">
      <formula>"non pertinent / nicht relevant"</formula>
    </cfRule>
    <cfRule type="cellIs" dxfId="7597" priority="942" stopIfTrue="1" operator="equal">
      <formula>"61-80%"</formula>
    </cfRule>
    <cfRule type="cellIs" dxfId="7596" priority="943" stopIfTrue="1" operator="equal">
      <formula>"41-60%"</formula>
    </cfRule>
    <cfRule type="cellIs" dxfId="7595" priority="944" stopIfTrue="1" operator="equal">
      <formula>"21-40%"</formula>
    </cfRule>
    <cfRule type="cellIs" dxfId="7594" priority="945" stopIfTrue="1" operator="equal">
      <formula>"0-20%"</formula>
    </cfRule>
    <cfRule type="cellIs" dxfId="7593" priority="946" stopIfTrue="1" operator="equal">
      <formula>"81-100%"</formula>
    </cfRule>
    <cfRule type="cellIs" dxfId="7592" priority="947" stopIfTrue="1" operator="equal">
      <formula>"100%"</formula>
    </cfRule>
  </conditionalFormatting>
  <conditionalFormatting sqref="J38">
    <cfRule type="cellIs" dxfId="7591" priority="932" stopIfTrue="1" operator="equal">
      <formula>"Régime présumé naturel (100%) / Abfluss vermutlich natürlich"</formula>
    </cfRule>
    <cfRule type="cellIs" dxfId="7590" priority="933" stopIfTrue="1" operator="equal">
      <formula>"non pertinent / nicht relevant"</formula>
    </cfRule>
    <cfRule type="cellIs" dxfId="7589" priority="934" stopIfTrue="1" operator="equal">
      <formula>"61-80%"</formula>
    </cfRule>
    <cfRule type="cellIs" dxfId="7588" priority="935" stopIfTrue="1" operator="equal">
      <formula>"41-60%"</formula>
    </cfRule>
    <cfRule type="cellIs" dxfId="7587" priority="936" stopIfTrue="1" operator="equal">
      <formula>"21-40%"</formula>
    </cfRule>
    <cfRule type="cellIs" dxfId="7586" priority="937" stopIfTrue="1" operator="equal">
      <formula>"0-20%"</formula>
    </cfRule>
    <cfRule type="cellIs" dxfId="7585" priority="938" stopIfTrue="1" operator="equal">
      <formula>"81-100%"</formula>
    </cfRule>
    <cfRule type="cellIs" dxfId="7584" priority="939" stopIfTrue="1" operator="equal">
      <formula>"100%"</formula>
    </cfRule>
  </conditionalFormatting>
  <conditionalFormatting sqref="Q38">
    <cfRule type="cellIs" dxfId="7583" priority="924" stopIfTrue="1" operator="equal">
      <formula>"Régime présumé naturel (100%) / Abfluss vermutlich natürlich"</formula>
    </cfRule>
    <cfRule type="cellIs" dxfId="7582" priority="925" stopIfTrue="1" operator="equal">
      <formula>"non pertinent / nicht relevant"</formula>
    </cfRule>
    <cfRule type="cellIs" dxfId="7581" priority="926" stopIfTrue="1" operator="equal">
      <formula>"61-80%"</formula>
    </cfRule>
    <cfRule type="cellIs" dxfId="7580" priority="927" stopIfTrue="1" operator="equal">
      <formula>"41-60%"</formula>
    </cfRule>
    <cfRule type="cellIs" dxfId="7579" priority="928" stopIfTrue="1" operator="equal">
      <formula>"21-40%"</formula>
    </cfRule>
    <cfRule type="cellIs" dxfId="7578" priority="929" stopIfTrue="1" operator="equal">
      <formula>"0-20%"</formula>
    </cfRule>
    <cfRule type="cellIs" dxfId="7577" priority="930" stopIfTrue="1" operator="equal">
      <formula>"81-100%"</formula>
    </cfRule>
    <cfRule type="cellIs" dxfId="7576" priority="931" stopIfTrue="1" operator="equal">
      <formula>"100%"</formula>
    </cfRule>
  </conditionalFormatting>
  <conditionalFormatting sqref="Q45">
    <cfRule type="cellIs" dxfId="7575" priority="916" stopIfTrue="1" operator="equal">
      <formula>"Régime présumé naturel (100%) / Abfluss vermutlich natürlich"</formula>
    </cfRule>
    <cfRule type="cellIs" dxfId="7574" priority="917" stopIfTrue="1" operator="equal">
      <formula>"non pertinent / nicht relevant"</formula>
    </cfRule>
    <cfRule type="cellIs" dxfId="7573" priority="918" stopIfTrue="1" operator="equal">
      <formula>"61-80%"</formula>
    </cfRule>
    <cfRule type="cellIs" dxfId="7572" priority="919" stopIfTrue="1" operator="equal">
      <formula>"41-60%"</formula>
    </cfRule>
    <cfRule type="cellIs" dxfId="7571" priority="920" stopIfTrue="1" operator="equal">
      <formula>"21-40%"</formula>
    </cfRule>
    <cfRule type="cellIs" dxfId="7570" priority="921" stopIfTrue="1" operator="equal">
      <formula>"0-20%"</formula>
    </cfRule>
    <cfRule type="cellIs" dxfId="7569" priority="922" stopIfTrue="1" operator="equal">
      <formula>"81-100%"</formula>
    </cfRule>
    <cfRule type="cellIs" dxfId="7568" priority="923" stopIfTrue="1" operator="equal">
      <formula>"100%"</formula>
    </cfRule>
  </conditionalFormatting>
  <conditionalFormatting sqref="Q47">
    <cfRule type="cellIs" dxfId="7567" priority="908" stopIfTrue="1" operator="equal">
      <formula>"Régime présumé naturel (100%) / Abfluss vermutlich natürlich"</formula>
    </cfRule>
    <cfRule type="cellIs" dxfId="7566" priority="909" stopIfTrue="1" operator="equal">
      <formula>"non pertinent / nicht relevant"</formula>
    </cfRule>
    <cfRule type="cellIs" dxfId="7565" priority="910" stopIfTrue="1" operator="equal">
      <formula>"61-80%"</formula>
    </cfRule>
    <cfRule type="cellIs" dxfId="7564" priority="911" stopIfTrue="1" operator="equal">
      <formula>"41-60%"</formula>
    </cfRule>
    <cfRule type="cellIs" dxfId="7563" priority="912" stopIfTrue="1" operator="equal">
      <formula>"21-40%"</formula>
    </cfRule>
    <cfRule type="cellIs" dxfId="7562" priority="913" stopIfTrue="1" operator="equal">
      <formula>"0-20%"</formula>
    </cfRule>
    <cfRule type="cellIs" dxfId="7561" priority="914" stopIfTrue="1" operator="equal">
      <formula>"81-100%"</formula>
    </cfRule>
    <cfRule type="cellIs" dxfId="7560" priority="915" stopIfTrue="1" operator="equal">
      <formula>"100%"</formula>
    </cfRule>
  </conditionalFormatting>
  <conditionalFormatting sqref="J47">
    <cfRule type="cellIs" dxfId="7559" priority="900" stopIfTrue="1" operator="equal">
      <formula>"Régime présumé naturel (100%) / Abfluss vermutlich natürlich"</formula>
    </cfRule>
    <cfRule type="cellIs" dxfId="7558" priority="901" stopIfTrue="1" operator="equal">
      <formula>"non pertinent / nicht relevant"</formula>
    </cfRule>
    <cfRule type="cellIs" dxfId="7557" priority="902" stopIfTrue="1" operator="equal">
      <formula>"61-80%"</formula>
    </cfRule>
    <cfRule type="cellIs" dxfId="7556" priority="903" stopIfTrue="1" operator="equal">
      <formula>"41-60%"</formula>
    </cfRule>
    <cfRule type="cellIs" dxfId="7555" priority="904" stopIfTrue="1" operator="equal">
      <formula>"21-40%"</formula>
    </cfRule>
    <cfRule type="cellIs" dxfId="7554" priority="905" stopIfTrue="1" operator="equal">
      <formula>"0-20%"</formula>
    </cfRule>
    <cfRule type="cellIs" dxfId="7553" priority="906" stopIfTrue="1" operator="equal">
      <formula>"81-100%"</formula>
    </cfRule>
    <cfRule type="cellIs" dxfId="7552" priority="907" stopIfTrue="1" operator="equal">
      <formula>"100%"</formula>
    </cfRule>
  </conditionalFormatting>
  <conditionalFormatting sqref="J45">
    <cfRule type="cellIs" dxfId="7551" priority="892" stopIfTrue="1" operator="equal">
      <formula>"Régime présumé naturel (100%) / Abfluss vermutlich natürlich"</formula>
    </cfRule>
    <cfRule type="cellIs" dxfId="7550" priority="893" stopIfTrue="1" operator="equal">
      <formula>"non pertinent / nicht relevant"</formula>
    </cfRule>
    <cfRule type="cellIs" dxfId="7549" priority="894" stopIfTrue="1" operator="equal">
      <formula>"61-80%"</formula>
    </cfRule>
    <cfRule type="cellIs" dxfId="7548" priority="895" stopIfTrue="1" operator="equal">
      <formula>"41-60%"</formula>
    </cfRule>
    <cfRule type="cellIs" dxfId="7547" priority="896" stopIfTrue="1" operator="equal">
      <formula>"21-40%"</formula>
    </cfRule>
    <cfRule type="cellIs" dxfId="7546" priority="897" stopIfTrue="1" operator="equal">
      <formula>"0-20%"</formula>
    </cfRule>
    <cfRule type="cellIs" dxfId="7545" priority="898" stopIfTrue="1" operator="equal">
      <formula>"81-100%"</formula>
    </cfRule>
    <cfRule type="cellIs" dxfId="7544" priority="899" stopIfTrue="1" operator="equal">
      <formula>"100%"</formula>
    </cfRule>
  </conditionalFormatting>
  <conditionalFormatting sqref="Q65">
    <cfRule type="cellIs" dxfId="7543" priority="884" stopIfTrue="1" operator="equal">
      <formula>"Régime présumé naturel (100%) / Abfluss vermutlich natürlich"</formula>
    </cfRule>
    <cfRule type="cellIs" dxfId="7542" priority="885" stopIfTrue="1" operator="equal">
      <formula>"non pertinent / nicht relevant"</formula>
    </cfRule>
    <cfRule type="cellIs" dxfId="7541" priority="886" stopIfTrue="1" operator="equal">
      <formula>"61-80%"</formula>
    </cfRule>
    <cfRule type="cellIs" dxfId="7540" priority="887" stopIfTrue="1" operator="equal">
      <formula>"41-60%"</formula>
    </cfRule>
    <cfRule type="cellIs" dxfId="7539" priority="888" stopIfTrue="1" operator="equal">
      <formula>"21-40%"</formula>
    </cfRule>
    <cfRule type="cellIs" dxfId="7538" priority="889" stopIfTrue="1" operator="equal">
      <formula>"0-20%"</formula>
    </cfRule>
    <cfRule type="cellIs" dxfId="7537" priority="890" stopIfTrue="1" operator="equal">
      <formula>"81-100%"</formula>
    </cfRule>
    <cfRule type="cellIs" dxfId="7536" priority="891" stopIfTrue="1" operator="equal">
      <formula>"100%"</formula>
    </cfRule>
  </conditionalFormatting>
  <conditionalFormatting sqref="J65">
    <cfRule type="cellIs" dxfId="7535" priority="876" stopIfTrue="1" operator="equal">
      <formula>"Régime présumé naturel (100%) / Abfluss vermutlich natürlich"</formula>
    </cfRule>
    <cfRule type="cellIs" dxfId="7534" priority="877" stopIfTrue="1" operator="equal">
      <formula>"non pertinent / nicht relevant"</formula>
    </cfRule>
    <cfRule type="cellIs" dxfId="7533" priority="878" stopIfTrue="1" operator="equal">
      <formula>"61-80%"</formula>
    </cfRule>
    <cfRule type="cellIs" dxfId="7532" priority="879" stopIfTrue="1" operator="equal">
      <formula>"41-60%"</formula>
    </cfRule>
    <cfRule type="cellIs" dxfId="7531" priority="880" stopIfTrue="1" operator="equal">
      <formula>"21-40%"</formula>
    </cfRule>
    <cfRule type="cellIs" dxfId="7530" priority="881" stopIfTrue="1" operator="equal">
      <formula>"0-20%"</formula>
    </cfRule>
    <cfRule type="cellIs" dxfId="7529" priority="882" stopIfTrue="1" operator="equal">
      <formula>"81-100%"</formula>
    </cfRule>
    <cfRule type="cellIs" dxfId="7528" priority="883" stopIfTrue="1" operator="equal">
      <formula>"100%"</formula>
    </cfRule>
  </conditionalFormatting>
  <conditionalFormatting sqref="J70">
    <cfRule type="cellIs" dxfId="7527" priority="868" stopIfTrue="1" operator="equal">
      <formula>"Régime présumé naturel (100%) / Abfluss vermutlich natürlich"</formula>
    </cfRule>
    <cfRule type="cellIs" dxfId="7526" priority="869" stopIfTrue="1" operator="equal">
      <formula>"non pertinent / nicht relevant"</formula>
    </cfRule>
    <cfRule type="cellIs" dxfId="7525" priority="870" stopIfTrue="1" operator="equal">
      <formula>"61-80%"</formula>
    </cfRule>
    <cfRule type="cellIs" dxfId="7524" priority="871" stopIfTrue="1" operator="equal">
      <formula>"41-60%"</formula>
    </cfRule>
    <cfRule type="cellIs" dxfId="7523" priority="872" stopIfTrue="1" operator="equal">
      <formula>"21-40%"</formula>
    </cfRule>
    <cfRule type="cellIs" dxfId="7522" priority="873" stopIfTrue="1" operator="equal">
      <formula>"0-20%"</formula>
    </cfRule>
    <cfRule type="cellIs" dxfId="7521" priority="874" stopIfTrue="1" operator="equal">
      <formula>"81-100%"</formula>
    </cfRule>
    <cfRule type="cellIs" dxfId="7520" priority="875" stopIfTrue="1" operator="equal">
      <formula>"100%"</formula>
    </cfRule>
  </conditionalFormatting>
  <conditionalFormatting sqref="Q70">
    <cfRule type="cellIs" dxfId="7519" priority="860" stopIfTrue="1" operator="equal">
      <formula>"Régime présumé naturel (100%) / Abfluss vermutlich natürlich"</formula>
    </cfRule>
    <cfRule type="cellIs" dxfId="7518" priority="861" stopIfTrue="1" operator="equal">
      <formula>"non pertinent / nicht relevant"</formula>
    </cfRule>
    <cfRule type="cellIs" dxfId="7517" priority="862" stopIfTrue="1" operator="equal">
      <formula>"61-80%"</formula>
    </cfRule>
    <cfRule type="cellIs" dxfId="7516" priority="863" stopIfTrue="1" operator="equal">
      <formula>"41-60%"</formula>
    </cfRule>
    <cfRule type="cellIs" dxfId="7515" priority="864" stopIfTrue="1" operator="equal">
      <formula>"21-40%"</formula>
    </cfRule>
    <cfRule type="cellIs" dxfId="7514" priority="865" stopIfTrue="1" operator="equal">
      <formula>"0-20%"</formula>
    </cfRule>
    <cfRule type="cellIs" dxfId="7513" priority="866" stopIfTrue="1" operator="equal">
      <formula>"81-100%"</formula>
    </cfRule>
    <cfRule type="cellIs" dxfId="7512" priority="867" stopIfTrue="1" operator="equal">
      <formula>"100%"</formula>
    </cfRule>
  </conditionalFormatting>
  <conditionalFormatting sqref="J75">
    <cfRule type="cellIs" dxfId="7511" priority="852" stopIfTrue="1" operator="equal">
      <formula>"Régime présumé naturel (100%) / Abfluss vermutlich natürlich"</formula>
    </cfRule>
    <cfRule type="cellIs" dxfId="7510" priority="853" stopIfTrue="1" operator="equal">
      <formula>"non pertinent / nicht relevant"</formula>
    </cfRule>
    <cfRule type="cellIs" dxfId="7509" priority="854" stopIfTrue="1" operator="equal">
      <formula>"61-80%"</formula>
    </cfRule>
    <cfRule type="cellIs" dxfId="7508" priority="855" stopIfTrue="1" operator="equal">
      <formula>"41-60%"</formula>
    </cfRule>
    <cfRule type="cellIs" dxfId="7507" priority="856" stopIfTrue="1" operator="equal">
      <formula>"21-40%"</formula>
    </cfRule>
    <cfRule type="cellIs" dxfId="7506" priority="857" stopIfTrue="1" operator="equal">
      <formula>"0-20%"</formula>
    </cfRule>
    <cfRule type="cellIs" dxfId="7505" priority="858" stopIfTrue="1" operator="equal">
      <formula>"81-100%"</formula>
    </cfRule>
    <cfRule type="cellIs" dxfId="7504" priority="859" stopIfTrue="1" operator="equal">
      <formula>"100%"</formula>
    </cfRule>
  </conditionalFormatting>
  <conditionalFormatting sqref="Q75">
    <cfRule type="cellIs" dxfId="7503" priority="844" stopIfTrue="1" operator="equal">
      <formula>"Régime présumé naturel (100%) / Abfluss vermutlich natürlich"</formula>
    </cfRule>
    <cfRule type="cellIs" dxfId="7502" priority="845" stopIfTrue="1" operator="equal">
      <formula>"non pertinent / nicht relevant"</formula>
    </cfRule>
    <cfRule type="cellIs" dxfId="7501" priority="846" stopIfTrue="1" operator="equal">
      <formula>"61-80%"</formula>
    </cfRule>
    <cfRule type="cellIs" dxfId="7500" priority="847" stopIfTrue="1" operator="equal">
      <formula>"41-60%"</formula>
    </cfRule>
    <cfRule type="cellIs" dxfId="7499" priority="848" stopIfTrue="1" operator="equal">
      <formula>"21-40%"</formula>
    </cfRule>
    <cfRule type="cellIs" dxfId="7498" priority="849" stopIfTrue="1" operator="equal">
      <formula>"0-20%"</formula>
    </cfRule>
    <cfRule type="cellIs" dxfId="7497" priority="850" stopIfTrue="1" operator="equal">
      <formula>"81-100%"</formula>
    </cfRule>
    <cfRule type="cellIs" dxfId="7496" priority="851" stopIfTrue="1" operator="equal">
      <formula>"100%"</formula>
    </cfRule>
  </conditionalFormatting>
  <conditionalFormatting sqref="J73">
    <cfRule type="cellIs" dxfId="7495" priority="836" stopIfTrue="1" operator="equal">
      <formula>"Régime présumé naturel (100%) / Abfluss vermutlich natürlich"</formula>
    </cfRule>
    <cfRule type="cellIs" dxfId="7494" priority="837" stopIfTrue="1" operator="equal">
      <formula>"non pertinent / nicht relevant"</formula>
    </cfRule>
    <cfRule type="cellIs" dxfId="7493" priority="838" stopIfTrue="1" operator="equal">
      <formula>"61-80%"</formula>
    </cfRule>
    <cfRule type="cellIs" dxfId="7492" priority="839" stopIfTrue="1" operator="equal">
      <formula>"41-60%"</formula>
    </cfRule>
    <cfRule type="cellIs" dxfId="7491" priority="840" stopIfTrue="1" operator="equal">
      <formula>"21-40%"</formula>
    </cfRule>
    <cfRule type="cellIs" dxfId="7490" priority="841" stopIfTrue="1" operator="equal">
      <formula>"0-20%"</formula>
    </cfRule>
    <cfRule type="cellIs" dxfId="7489" priority="842" stopIfTrue="1" operator="equal">
      <formula>"81-100%"</formula>
    </cfRule>
    <cfRule type="cellIs" dxfId="7488" priority="843" stopIfTrue="1" operator="equal">
      <formula>"100%"</formula>
    </cfRule>
  </conditionalFormatting>
  <conditionalFormatting sqref="J120">
    <cfRule type="cellIs" dxfId="7487" priority="828" stopIfTrue="1" operator="equal">
      <formula>"Régime présumé naturel (100%) / Abfluss vermutlich natürlich"</formula>
    </cfRule>
    <cfRule type="cellIs" dxfId="7486" priority="829" stopIfTrue="1" operator="equal">
      <formula>"non pertinent / nicht relevant"</formula>
    </cfRule>
    <cfRule type="cellIs" dxfId="7485" priority="830" stopIfTrue="1" operator="equal">
      <formula>"61-80%"</formula>
    </cfRule>
    <cfRule type="cellIs" dxfId="7484" priority="831" stopIfTrue="1" operator="equal">
      <formula>"41-60%"</formula>
    </cfRule>
    <cfRule type="cellIs" dxfId="7483" priority="832" stopIfTrue="1" operator="equal">
      <formula>"21-40%"</formula>
    </cfRule>
    <cfRule type="cellIs" dxfId="7482" priority="833" stopIfTrue="1" operator="equal">
      <formula>"0-20%"</formula>
    </cfRule>
    <cfRule type="cellIs" dxfId="7481" priority="834" stopIfTrue="1" operator="equal">
      <formula>"81-100%"</formula>
    </cfRule>
    <cfRule type="cellIs" dxfId="7480" priority="835" stopIfTrue="1" operator="equal">
      <formula>"100%"</formula>
    </cfRule>
  </conditionalFormatting>
  <conditionalFormatting sqref="J150">
    <cfRule type="cellIs" dxfId="7479" priority="820" stopIfTrue="1" operator="equal">
      <formula>"Régime présumé naturel (100%) / Abfluss vermutlich natürlich"</formula>
    </cfRule>
    <cfRule type="cellIs" dxfId="7478" priority="821" stopIfTrue="1" operator="equal">
      <formula>"non pertinent / nicht relevant"</formula>
    </cfRule>
    <cfRule type="cellIs" dxfId="7477" priority="822" stopIfTrue="1" operator="equal">
      <formula>"61-80%"</formula>
    </cfRule>
    <cfRule type="cellIs" dxfId="7476" priority="823" stopIfTrue="1" operator="equal">
      <formula>"41-60%"</formula>
    </cfRule>
    <cfRule type="cellIs" dxfId="7475" priority="824" stopIfTrue="1" operator="equal">
      <formula>"21-40%"</formula>
    </cfRule>
    <cfRule type="cellIs" dxfId="7474" priority="825" stopIfTrue="1" operator="equal">
      <formula>"0-20%"</formula>
    </cfRule>
    <cfRule type="cellIs" dxfId="7473" priority="826" stopIfTrue="1" operator="equal">
      <formula>"81-100%"</formula>
    </cfRule>
    <cfRule type="cellIs" dxfId="7472" priority="827" stopIfTrue="1" operator="equal">
      <formula>"100%"</formula>
    </cfRule>
  </conditionalFormatting>
  <conditionalFormatting sqref="Q189:Q207">
    <cfRule type="cellIs" dxfId="7471" priority="812" stopIfTrue="1" operator="equal">
      <formula>"Régime présumé naturel (100%) / Abfluss vermutlich natürlich"</formula>
    </cfRule>
    <cfRule type="cellIs" dxfId="7470" priority="813" stopIfTrue="1" operator="equal">
      <formula>"non pertinent / nicht relevant"</formula>
    </cfRule>
    <cfRule type="cellIs" dxfId="7469" priority="814" stopIfTrue="1" operator="equal">
      <formula>"61-80%"</formula>
    </cfRule>
    <cfRule type="cellIs" dxfId="7468" priority="815" stopIfTrue="1" operator="equal">
      <formula>"41-60%"</formula>
    </cfRule>
    <cfRule type="cellIs" dxfId="7467" priority="816" stopIfTrue="1" operator="equal">
      <formula>"21-40%"</formula>
    </cfRule>
    <cfRule type="cellIs" dxfId="7466" priority="817" stopIfTrue="1" operator="equal">
      <formula>"0-20%"</formula>
    </cfRule>
    <cfRule type="cellIs" dxfId="7465" priority="818" stopIfTrue="1" operator="equal">
      <formula>"81-100%"</formula>
    </cfRule>
    <cfRule type="cellIs" dxfId="7464" priority="819" stopIfTrue="1" operator="equal">
      <formula>"100%"</formula>
    </cfRule>
  </conditionalFormatting>
  <conditionalFormatting sqref="J232">
    <cfRule type="cellIs" dxfId="7463" priority="804" stopIfTrue="1" operator="equal">
      <formula>"Régime présumé naturel (100%) / Abfluss vermutlich natürlich"</formula>
    </cfRule>
    <cfRule type="cellIs" dxfId="7462" priority="805" stopIfTrue="1" operator="equal">
      <formula>"non pertinent / nicht relevant"</formula>
    </cfRule>
    <cfRule type="cellIs" dxfId="7461" priority="806" stopIfTrue="1" operator="equal">
      <formula>"61-80%"</formula>
    </cfRule>
    <cfRule type="cellIs" dxfId="7460" priority="807" stopIfTrue="1" operator="equal">
      <formula>"41-60%"</formula>
    </cfRule>
    <cfRule type="cellIs" dxfId="7459" priority="808" stopIfTrue="1" operator="equal">
      <formula>"21-40%"</formula>
    </cfRule>
    <cfRule type="cellIs" dxfId="7458" priority="809" stopIfTrue="1" operator="equal">
      <formula>"0-20%"</formula>
    </cfRule>
    <cfRule type="cellIs" dxfId="7457" priority="810" stopIfTrue="1" operator="equal">
      <formula>"81-100%"</formula>
    </cfRule>
    <cfRule type="cellIs" dxfId="7456" priority="811" stopIfTrue="1" operator="equal">
      <formula>"100%"</formula>
    </cfRule>
  </conditionalFormatting>
  <conditionalFormatting sqref="J234">
    <cfRule type="cellIs" dxfId="7455" priority="796" stopIfTrue="1" operator="equal">
      <formula>"Régime présumé naturel (100%) / Abfluss vermutlich natürlich"</formula>
    </cfRule>
    <cfRule type="cellIs" dxfId="7454" priority="797" stopIfTrue="1" operator="equal">
      <formula>"non pertinent / nicht relevant"</formula>
    </cfRule>
    <cfRule type="cellIs" dxfId="7453" priority="798" stopIfTrue="1" operator="equal">
      <formula>"61-80%"</formula>
    </cfRule>
    <cfRule type="cellIs" dxfId="7452" priority="799" stopIfTrue="1" operator="equal">
      <formula>"41-60%"</formula>
    </cfRule>
    <cfRule type="cellIs" dxfId="7451" priority="800" stopIfTrue="1" operator="equal">
      <formula>"21-40%"</formula>
    </cfRule>
    <cfRule type="cellIs" dxfId="7450" priority="801" stopIfTrue="1" operator="equal">
      <formula>"0-20%"</formula>
    </cfRule>
    <cfRule type="cellIs" dxfId="7449" priority="802" stopIfTrue="1" operator="equal">
      <formula>"81-100%"</formula>
    </cfRule>
    <cfRule type="cellIs" dxfId="7448" priority="803" stopIfTrue="1" operator="equal">
      <formula>"100%"</formula>
    </cfRule>
  </conditionalFormatting>
  <conditionalFormatting sqref="J235">
    <cfRule type="cellIs" dxfId="7447" priority="788" stopIfTrue="1" operator="equal">
      <formula>"Régime présumé naturel (100%) / Abfluss vermutlich natürlich"</formula>
    </cfRule>
    <cfRule type="cellIs" dxfId="7446" priority="789" stopIfTrue="1" operator="equal">
      <formula>"non pertinent / nicht relevant"</formula>
    </cfRule>
    <cfRule type="cellIs" dxfId="7445" priority="790" stopIfTrue="1" operator="equal">
      <formula>"61-80%"</formula>
    </cfRule>
    <cfRule type="cellIs" dxfId="7444" priority="791" stopIfTrue="1" operator="equal">
      <formula>"41-60%"</formula>
    </cfRule>
    <cfRule type="cellIs" dxfId="7443" priority="792" stopIfTrue="1" operator="equal">
      <formula>"21-40%"</formula>
    </cfRule>
    <cfRule type="cellIs" dxfId="7442" priority="793" stopIfTrue="1" operator="equal">
      <formula>"0-20%"</formula>
    </cfRule>
    <cfRule type="cellIs" dxfId="7441" priority="794" stopIfTrue="1" operator="equal">
      <formula>"81-100%"</formula>
    </cfRule>
    <cfRule type="cellIs" dxfId="7440" priority="795" stopIfTrue="1" operator="equal">
      <formula>"100%"</formula>
    </cfRule>
  </conditionalFormatting>
  <conditionalFormatting sqref="J236">
    <cfRule type="cellIs" dxfId="7439" priority="780" stopIfTrue="1" operator="equal">
      <formula>"Régime présumé naturel (100%) / Abfluss vermutlich natürlich"</formula>
    </cfRule>
    <cfRule type="cellIs" dxfId="7438" priority="781" stopIfTrue="1" operator="equal">
      <formula>"non pertinent / nicht relevant"</formula>
    </cfRule>
    <cfRule type="cellIs" dxfId="7437" priority="782" stopIfTrue="1" operator="equal">
      <formula>"61-80%"</formula>
    </cfRule>
    <cfRule type="cellIs" dxfId="7436" priority="783" stopIfTrue="1" operator="equal">
      <formula>"41-60%"</formula>
    </cfRule>
    <cfRule type="cellIs" dxfId="7435" priority="784" stopIfTrue="1" operator="equal">
      <formula>"21-40%"</formula>
    </cfRule>
    <cfRule type="cellIs" dxfId="7434" priority="785" stopIfTrue="1" operator="equal">
      <formula>"0-20%"</formula>
    </cfRule>
    <cfRule type="cellIs" dxfId="7433" priority="786" stopIfTrue="1" operator="equal">
      <formula>"81-100%"</formula>
    </cfRule>
    <cfRule type="cellIs" dxfId="7432" priority="787" stopIfTrue="1" operator="equal">
      <formula>"100%"</formula>
    </cfRule>
  </conditionalFormatting>
  <conditionalFormatting sqref="J237:J238">
    <cfRule type="cellIs" dxfId="7431" priority="772" stopIfTrue="1" operator="equal">
      <formula>"Régime présumé naturel (100%) / Abfluss vermutlich natürlich"</formula>
    </cfRule>
    <cfRule type="cellIs" dxfId="7430" priority="773" stopIfTrue="1" operator="equal">
      <formula>"non pertinent / nicht relevant"</formula>
    </cfRule>
    <cfRule type="cellIs" dxfId="7429" priority="774" stopIfTrue="1" operator="equal">
      <formula>"61-80%"</formula>
    </cfRule>
    <cfRule type="cellIs" dxfId="7428" priority="775" stopIfTrue="1" operator="equal">
      <formula>"41-60%"</formula>
    </cfRule>
    <cfRule type="cellIs" dxfId="7427" priority="776" stopIfTrue="1" operator="equal">
      <formula>"21-40%"</formula>
    </cfRule>
    <cfRule type="cellIs" dxfId="7426" priority="777" stopIfTrue="1" operator="equal">
      <formula>"0-20%"</formula>
    </cfRule>
    <cfRule type="cellIs" dxfId="7425" priority="778" stopIfTrue="1" operator="equal">
      <formula>"81-100%"</formula>
    </cfRule>
    <cfRule type="cellIs" dxfId="7424" priority="779" stopIfTrue="1" operator="equal">
      <formula>"100%"</formula>
    </cfRule>
  </conditionalFormatting>
  <conditionalFormatting sqref="Q7">
    <cfRule type="cellIs" dxfId="7423" priority="764" stopIfTrue="1" operator="equal">
      <formula>"Régime présumé naturel (100%) / Abfluss vermutlich natürlich"</formula>
    </cfRule>
    <cfRule type="cellIs" dxfId="7422" priority="765" stopIfTrue="1" operator="equal">
      <formula>"non pertinent / nicht relevant"</formula>
    </cfRule>
    <cfRule type="cellIs" dxfId="7421" priority="766" stopIfTrue="1" operator="equal">
      <formula>"61-80%"</formula>
    </cfRule>
    <cfRule type="cellIs" dxfId="7420" priority="767" stopIfTrue="1" operator="equal">
      <formula>"41-60%"</formula>
    </cfRule>
    <cfRule type="cellIs" dxfId="7419" priority="768" stopIfTrue="1" operator="equal">
      <formula>"21-40%"</formula>
    </cfRule>
    <cfRule type="cellIs" dxfId="7418" priority="769" stopIfTrue="1" operator="equal">
      <formula>"0-20%"</formula>
    </cfRule>
    <cfRule type="cellIs" dxfId="7417" priority="770" stopIfTrue="1" operator="equal">
      <formula>"81-100%"</formula>
    </cfRule>
    <cfRule type="cellIs" dxfId="7416" priority="771" stopIfTrue="1" operator="equal">
      <formula>"100%"</formula>
    </cfRule>
  </conditionalFormatting>
  <conditionalFormatting sqref="Q6">
    <cfRule type="cellIs" dxfId="7415" priority="756" stopIfTrue="1" operator="equal">
      <formula>"Régime présumé naturel (100%) / Abfluss vermutlich natürlich"</formula>
    </cfRule>
    <cfRule type="cellIs" dxfId="7414" priority="757" stopIfTrue="1" operator="equal">
      <formula>"non pertinent / nicht relevant"</formula>
    </cfRule>
    <cfRule type="cellIs" dxfId="7413" priority="758" stopIfTrue="1" operator="equal">
      <formula>"61-80%"</formula>
    </cfRule>
    <cfRule type="cellIs" dxfId="7412" priority="759" stopIfTrue="1" operator="equal">
      <formula>"41-60%"</formula>
    </cfRule>
    <cfRule type="cellIs" dxfId="7411" priority="760" stopIfTrue="1" operator="equal">
      <formula>"21-40%"</formula>
    </cfRule>
    <cfRule type="cellIs" dxfId="7410" priority="761" stopIfTrue="1" operator="equal">
      <formula>"0-20%"</formula>
    </cfRule>
    <cfRule type="cellIs" dxfId="7409" priority="762" stopIfTrue="1" operator="equal">
      <formula>"81-100%"</formula>
    </cfRule>
    <cfRule type="cellIs" dxfId="7408" priority="763" stopIfTrue="1" operator="equal">
      <formula>"100%"</formula>
    </cfRule>
  </conditionalFormatting>
  <conditionalFormatting sqref="Q74">
    <cfRule type="cellIs" dxfId="7407" priority="748" stopIfTrue="1" operator="equal">
      <formula>"Régime présumé naturel (100%) / Abfluss vermutlich natürlich"</formula>
    </cfRule>
    <cfRule type="cellIs" dxfId="7406" priority="749" stopIfTrue="1" operator="equal">
      <formula>"non pertinent / nicht relevant"</formula>
    </cfRule>
    <cfRule type="cellIs" dxfId="7405" priority="750" stopIfTrue="1" operator="equal">
      <formula>"61-80%"</formula>
    </cfRule>
    <cfRule type="cellIs" dxfId="7404" priority="751" stopIfTrue="1" operator="equal">
      <formula>"41-60%"</formula>
    </cfRule>
    <cfRule type="cellIs" dxfId="7403" priority="752" stopIfTrue="1" operator="equal">
      <formula>"21-40%"</formula>
    </cfRule>
    <cfRule type="cellIs" dxfId="7402" priority="753" stopIfTrue="1" operator="equal">
      <formula>"0-20%"</formula>
    </cfRule>
    <cfRule type="cellIs" dxfId="7401" priority="754" stopIfTrue="1" operator="equal">
      <formula>"81-100%"</formula>
    </cfRule>
    <cfRule type="cellIs" dxfId="7400" priority="755" stopIfTrue="1" operator="equal">
      <formula>"100%"</formula>
    </cfRule>
  </conditionalFormatting>
  <conditionalFormatting sqref="Q73">
    <cfRule type="cellIs" dxfId="7399" priority="740" stopIfTrue="1" operator="equal">
      <formula>"Régime présumé naturel (100%) / Abfluss vermutlich natürlich"</formula>
    </cfRule>
    <cfRule type="cellIs" dxfId="7398" priority="741" stopIfTrue="1" operator="equal">
      <formula>"non pertinent / nicht relevant"</formula>
    </cfRule>
    <cfRule type="cellIs" dxfId="7397" priority="742" stopIfTrue="1" operator="equal">
      <formula>"61-80%"</formula>
    </cfRule>
    <cfRule type="cellIs" dxfId="7396" priority="743" stopIfTrue="1" operator="equal">
      <formula>"41-60%"</formula>
    </cfRule>
    <cfRule type="cellIs" dxfId="7395" priority="744" stopIfTrue="1" operator="equal">
      <formula>"21-40%"</formula>
    </cfRule>
    <cfRule type="cellIs" dxfId="7394" priority="745" stopIfTrue="1" operator="equal">
      <formula>"0-20%"</formula>
    </cfRule>
    <cfRule type="cellIs" dxfId="7393" priority="746" stopIfTrue="1" operator="equal">
      <formula>"81-100%"</formula>
    </cfRule>
    <cfRule type="cellIs" dxfId="7392" priority="747" stopIfTrue="1" operator="equal">
      <formula>"100%"</formula>
    </cfRule>
  </conditionalFormatting>
  <conditionalFormatting sqref="Q76">
    <cfRule type="cellIs" dxfId="7391" priority="732" stopIfTrue="1" operator="equal">
      <formula>"Régime présumé naturel (100%) / Abfluss vermutlich natürlich"</formula>
    </cfRule>
    <cfRule type="cellIs" dxfId="7390" priority="733" stopIfTrue="1" operator="equal">
      <formula>"non pertinent / nicht relevant"</formula>
    </cfRule>
    <cfRule type="cellIs" dxfId="7389" priority="734" stopIfTrue="1" operator="equal">
      <formula>"61-80%"</formula>
    </cfRule>
    <cfRule type="cellIs" dxfId="7388" priority="735" stopIfTrue="1" operator="equal">
      <formula>"41-60%"</formula>
    </cfRule>
    <cfRule type="cellIs" dxfId="7387" priority="736" stopIfTrue="1" operator="equal">
      <formula>"21-40%"</formula>
    </cfRule>
    <cfRule type="cellIs" dxfId="7386" priority="737" stopIfTrue="1" operator="equal">
      <formula>"0-20%"</formula>
    </cfRule>
    <cfRule type="cellIs" dxfId="7385" priority="738" stopIfTrue="1" operator="equal">
      <formula>"81-100%"</formula>
    </cfRule>
    <cfRule type="cellIs" dxfId="7384" priority="739" stopIfTrue="1" operator="equal">
      <formula>"100%"</formula>
    </cfRule>
  </conditionalFormatting>
  <conditionalFormatting sqref="Q81:Q82">
    <cfRule type="cellIs" dxfId="7383" priority="724" stopIfTrue="1" operator="equal">
      <formula>"Régime présumé naturel (100%) / Abfluss vermutlich natürlich"</formula>
    </cfRule>
    <cfRule type="cellIs" dxfId="7382" priority="725" stopIfTrue="1" operator="equal">
      <formula>"non pertinent / nicht relevant"</formula>
    </cfRule>
    <cfRule type="cellIs" dxfId="7381" priority="726" stopIfTrue="1" operator="equal">
      <formula>"61-80%"</formula>
    </cfRule>
    <cfRule type="cellIs" dxfId="7380" priority="727" stopIfTrue="1" operator="equal">
      <formula>"41-60%"</formula>
    </cfRule>
    <cfRule type="cellIs" dxfId="7379" priority="728" stopIfTrue="1" operator="equal">
      <formula>"21-40%"</formula>
    </cfRule>
    <cfRule type="cellIs" dxfId="7378" priority="729" stopIfTrue="1" operator="equal">
      <formula>"0-20%"</formula>
    </cfRule>
    <cfRule type="cellIs" dxfId="7377" priority="730" stopIfTrue="1" operator="equal">
      <formula>"81-100%"</formula>
    </cfRule>
    <cfRule type="cellIs" dxfId="7376" priority="731" stopIfTrue="1" operator="equal">
      <formula>"100%"</formula>
    </cfRule>
  </conditionalFormatting>
  <conditionalFormatting sqref="J76">
    <cfRule type="cellIs" dxfId="7375" priority="716" stopIfTrue="1" operator="equal">
      <formula>"Régime présumé naturel (100%) / Abfluss vermutlich natürlich"</formula>
    </cfRule>
    <cfRule type="cellIs" dxfId="7374" priority="717" stopIfTrue="1" operator="equal">
      <formula>"non pertinent / nicht relevant"</formula>
    </cfRule>
    <cfRule type="cellIs" dxfId="7373" priority="718" stopIfTrue="1" operator="equal">
      <formula>"61-80%"</formula>
    </cfRule>
    <cfRule type="cellIs" dxfId="7372" priority="719" stopIfTrue="1" operator="equal">
      <formula>"41-60%"</formula>
    </cfRule>
    <cfRule type="cellIs" dxfId="7371" priority="720" stopIfTrue="1" operator="equal">
      <formula>"21-40%"</formula>
    </cfRule>
    <cfRule type="cellIs" dxfId="7370" priority="721" stopIfTrue="1" operator="equal">
      <formula>"0-20%"</formula>
    </cfRule>
    <cfRule type="cellIs" dxfId="7369" priority="722" stopIfTrue="1" operator="equal">
      <formula>"81-100%"</formula>
    </cfRule>
    <cfRule type="cellIs" dxfId="7368" priority="723" stopIfTrue="1" operator="equal">
      <formula>"100%"</formula>
    </cfRule>
  </conditionalFormatting>
  <conditionalFormatting sqref="J81:J82">
    <cfRule type="cellIs" dxfId="7367" priority="708" stopIfTrue="1" operator="equal">
      <formula>"Régime présumé naturel (100%) / Abfluss vermutlich natürlich"</formula>
    </cfRule>
    <cfRule type="cellIs" dxfId="7366" priority="709" stopIfTrue="1" operator="equal">
      <formula>"non pertinent / nicht relevant"</formula>
    </cfRule>
    <cfRule type="cellIs" dxfId="7365" priority="710" stopIfTrue="1" operator="equal">
      <formula>"61-80%"</formula>
    </cfRule>
    <cfRule type="cellIs" dxfId="7364" priority="711" stopIfTrue="1" operator="equal">
      <formula>"41-60%"</formula>
    </cfRule>
    <cfRule type="cellIs" dxfId="7363" priority="712" stopIfTrue="1" operator="equal">
      <formula>"21-40%"</formula>
    </cfRule>
    <cfRule type="cellIs" dxfId="7362" priority="713" stopIfTrue="1" operator="equal">
      <formula>"0-20%"</formula>
    </cfRule>
    <cfRule type="cellIs" dxfId="7361" priority="714" stopIfTrue="1" operator="equal">
      <formula>"81-100%"</formula>
    </cfRule>
    <cfRule type="cellIs" dxfId="7360" priority="715" stopIfTrue="1" operator="equal">
      <formula>"100%"</formula>
    </cfRule>
  </conditionalFormatting>
  <conditionalFormatting sqref="J84">
    <cfRule type="cellIs" dxfId="7359" priority="700" stopIfTrue="1" operator="equal">
      <formula>"Régime présumé naturel (100%) / Abfluss vermutlich natürlich"</formula>
    </cfRule>
    <cfRule type="cellIs" dxfId="7358" priority="701" stopIfTrue="1" operator="equal">
      <formula>"non pertinent / nicht relevant"</formula>
    </cfRule>
    <cfRule type="cellIs" dxfId="7357" priority="702" stopIfTrue="1" operator="equal">
      <formula>"61-80%"</formula>
    </cfRule>
    <cfRule type="cellIs" dxfId="7356" priority="703" stopIfTrue="1" operator="equal">
      <formula>"41-60%"</formula>
    </cfRule>
    <cfRule type="cellIs" dxfId="7355" priority="704" stopIfTrue="1" operator="equal">
      <formula>"21-40%"</formula>
    </cfRule>
    <cfRule type="cellIs" dxfId="7354" priority="705" stopIfTrue="1" operator="equal">
      <formula>"0-20%"</formula>
    </cfRule>
    <cfRule type="cellIs" dxfId="7353" priority="706" stopIfTrue="1" operator="equal">
      <formula>"81-100%"</formula>
    </cfRule>
    <cfRule type="cellIs" dxfId="7352" priority="707" stopIfTrue="1" operator="equal">
      <formula>"100%"</formula>
    </cfRule>
  </conditionalFormatting>
  <conditionalFormatting sqref="J83">
    <cfRule type="cellIs" dxfId="7351" priority="692" stopIfTrue="1" operator="equal">
      <formula>"Régime présumé naturel (100%) / Abfluss vermutlich natürlich"</formula>
    </cfRule>
    <cfRule type="cellIs" dxfId="7350" priority="693" stopIfTrue="1" operator="equal">
      <formula>"non pertinent / nicht relevant"</formula>
    </cfRule>
    <cfRule type="cellIs" dxfId="7349" priority="694" stopIfTrue="1" operator="equal">
      <formula>"61-80%"</formula>
    </cfRule>
    <cfRule type="cellIs" dxfId="7348" priority="695" stopIfTrue="1" operator="equal">
      <formula>"41-60%"</formula>
    </cfRule>
    <cfRule type="cellIs" dxfId="7347" priority="696" stopIfTrue="1" operator="equal">
      <formula>"21-40%"</formula>
    </cfRule>
    <cfRule type="cellIs" dxfId="7346" priority="697" stopIfTrue="1" operator="equal">
      <formula>"0-20%"</formula>
    </cfRule>
    <cfRule type="cellIs" dxfId="7345" priority="698" stopIfTrue="1" operator="equal">
      <formula>"81-100%"</formula>
    </cfRule>
    <cfRule type="cellIs" dxfId="7344" priority="699" stopIfTrue="1" operator="equal">
      <formula>"100%"</formula>
    </cfRule>
  </conditionalFormatting>
  <conditionalFormatting sqref="Q83">
    <cfRule type="cellIs" dxfId="7343" priority="684" stopIfTrue="1" operator="equal">
      <formula>"Régime présumé naturel (100%) / Abfluss vermutlich natürlich"</formula>
    </cfRule>
    <cfRule type="cellIs" dxfId="7342" priority="685" stopIfTrue="1" operator="equal">
      <formula>"non pertinent / nicht relevant"</formula>
    </cfRule>
    <cfRule type="cellIs" dxfId="7341" priority="686" stopIfTrue="1" operator="equal">
      <formula>"61-80%"</formula>
    </cfRule>
    <cfRule type="cellIs" dxfId="7340" priority="687" stopIfTrue="1" operator="equal">
      <formula>"41-60%"</formula>
    </cfRule>
    <cfRule type="cellIs" dxfId="7339" priority="688" stopIfTrue="1" operator="equal">
      <formula>"21-40%"</formula>
    </cfRule>
    <cfRule type="cellIs" dxfId="7338" priority="689" stopIfTrue="1" operator="equal">
      <formula>"0-20%"</formula>
    </cfRule>
    <cfRule type="cellIs" dxfId="7337" priority="690" stopIfTrue="1" operator="equal">
      <formula>"81-100%"</formula>
    </cfRule>
    <cfRule type="cellIs" dxfId="7336" priority="691" stopIfTrue="1" operator="equal">
      <formula>"100%"</formula>
    </cfRule>
  </conditionalFormatting>
  <conditionalFormatting sqref="Q84">
    <cfRule type="cellIs" dxfId="7335" priority="676" stopIfTrue="1" operator="equal">
      <formula>"Régime présumé naturel (100%) / Abfluss vermutlich natürlich"</formula>
    </cfRule>
    <cfRule type="cellIs" dxfId="7334" priority="677" stopIfTrue="1" operator="equal">
      <formula>"non pertinent / nicht relevant"</formula>
    </cfRule>
    <cfRule type="cellIs" dxfId="7333" priority="678" stopIfTrue="1" operator="equal">
      <formula>"61-80%"</formula>
    </cfRule>
    <cfRule type="cellIs" dxfId="7332" priority="679" stopIfTrue="1" operator="equal">
      <formula>"41-60%"</formula>
    </cfRule>
    <cfRule type="cellIs" dxfId="7331" priority="680" stopIfTrue="1" operator="equal">
      <formula>"21-40%"</formula>
    </cfRule>
    <cfRule type="cellIs" dxfId="7330" priority="681" stopIfTrue="1" operator="equal">
      <formula>"0-20%"</formula>
    </cfRule>
    <cfRule type="cellIs" dxfId="7329" priority="682" stopIfTrue="1" operator="equal">
      <formula>"81-100%"</formula>
    </cfRule>
    <cfRule type="cellIs" dxfId="7328" priority="683" stopIfTrue="1" operator="equal">
      <formula>"100%"</formula>
    </cfRule>
  </conditionalFormatting>
  <conditionalFormatting sqref="J159">
    <cfRule type="cellIs" dxfId="7327" priority="668" stopIfTrue="1" operator="equal">
      <formula>"Régime présumé naturel (100%) / Abfluss vermutlich natürlich"</formula>
    </cfRule>
    <cfRule type="cellIs" dxfId="7326" priority="669" stopIfTrue="1" operator="equal">
      <formula>"non pertinent / nicht relevant"</formula>
    </cfRule>
    <cfRule type="cellIs" dxfId="7325" priority="670" stopIfTrue="1" operator="equal">
      <formula>"61-80%"</formula>
    </cfRule>
    <cfRule type="cellIs" dxfId="7324" priority="671" stopIfTrue="1" operator="equal">
      <formula>"41-60%"</formula>
    </cfRule>
    <cfRule type="cellIs" dxfId="7323" priority="672" stopIfTrue="1" operator="equal">
      <formula>"21-40%"</formula>
    </cfRule>
    <cfRule type="cellIs" dxfId="7322" priority="673" stopIfTrue="1" operator="equal">
      <formula>"0-20%"</formula>
    </cfRule>
    <cfRule type="cellIs" dxfId="7321" priority="674" stopIfTrue="1" operator="equal">
      <formula>"81-100%"</formula>
    </cfRule>
    <cfRule type="cellIs" dxfId="7320" priority="675" stopIfTrue="1" operator="equal">
      <formula>"100%"</formula>
    </cfRule>
  </conditionalFormatting>
  <conditionalFormatting sqref="Q159">
    <cfRule type="cellIs" dxfId="7319" priority="660" stopIfTrue="1" operator="equal">
      <formula>"Régime présumé naturel (100%) / Abfluss vermutlich natürlich"</formula>
    </cfRule>
    <cfRule type="cellIs" dxfId="7318" priority="661" stopIfTrue="1" operator="equal">
      <formula>"non pertinent / nicht relevant"</formula>
    </cfRule>
    <cfRule type="cellIs" dxfId="7317" priority="662" stopIfTrue="1" operator="equal">
      <formula>"61-80%"</formula>
    </cfRule>
    <cfRule type="cellIs" dxfId="7316" priority="663" stopIfTrue="1" operator="equal">
      <formula>"41-60%"</formula>
    </cfRule>
    <cfRule type="cellIs" dxfId="7315" priority="664" stopIfTrue="1" operator="equal">
      <formula>"21-40%"</formula>
    </cfRule>
    <cfRule type="cellIs" dxfId="7314" priority="665" stopIfTrue="1" operator="equal">
      <formula>"0-20%"</formula>
    </cfRule>
    <cfRule type="cellIs" dxfId="7313" priority="666" stopIfTrue="1" operator="equal">
      <formula>"81-100%"</formula>
    </cfRule>
    <cfRule type="cellIs" dxfId="7312" priority="667" stopIfTrue="1" operator="equal">
      <formula>"100%"</formula>
    </cfRule>
  </conditionalFormatting>
  <conditionalFormatting sqref="Q142:Q143">
    <cfRule type="cellIs" dxfId="7311" priority="652" stopIfTrue="1" operator="equal">
      <formula>"Régime présumé naturel (100%) / Abfluss vermutlich natürlich"</formula>
    </cfRule>
    <cfRule type="cellIs" dxfId="7310" priority="653" stopIfTrue="1" operator="equal">
      <formula>"non pertinent / nicht relevant"</formula>
    </cfRule>
    <cfRule type="cellIs" dxfId="7309" priority="654" stopIfTrue="1" operator="equal">
      <formula>"61-80%"</formula>
    </cfRule>
    <cfRule type="cellIs" dxfId="7308" priority="655" stopIfTrue="1" operator="equal">
      <formula>"41-60%"</formula>
    </cfRule>
    <cfRule type="cellIs" dxfId="7307" priority="656" stopIfTrue="1" operator="equal">
      <formula>"21-40%"</formula>
    </cfRule>
    <cfRule type="cellIs" dxfId="7306" priority="657" stopIfTrue="1" operator="equal">
      <formula>"0-20%"</formula>
    </cfRule>
    <cfRule type="cellIs" dxfId="7305" priority="658" stopIfTrue="1" operator="equal">
      <formula>"81-100%"</formula>
    </cfRule>
    <cfRule type="cellIs" dxfId="7304" priority="659" stopIfTrue="1" operator="equal">
      <formula>"100%"</formula>
    </cfRule>
  </conditionalFormatting>
  <conditionalFormatting sqref="Q178">
    <cfRule type="cellIs" dxfId="7303" priority="644" stopIfTrue="1" operator="equal">
      <formula>"Régime présumé naturel (100%) / Abfluss vermutlich natürlich"</formula>
    </cfRule>
    <cfRule type="cellIs" dxfId="7302" priority="645" stopIfTrue="1" operator="equal">
      <formula>"non pertinent / nicht relevant"</formula>
    </cfRule>
    <cfRule type="cellIs" dxfId="7301" priority="646" stopIfTrue="1" operator="equal">
      <formula>"61-80%"</formula>
    </cfRule>
    <cfRule type="cellIs" dxfId="7300" priority="647" stopIfTrue="1" operator="equal">
      <formula>"41-60%"</formula>
    </cfRule>
    <cfRule type="cellIs" dxfId="7299" priority="648" stopIfTrue="1" operator="equal">
      <formula>"21-40%"</formula>
    </cfRule>
    <cfRule type="cellIs" dxfId="7298" priority="649" stopIfTrue="1" operator="equal">
      <formula>"0-20%"</formula>
    </cfRule>
    <cfRule type="cellIs" dxfId="7297" priority="650" stopIfTrue="1" operator="equal">
      <formula>"81-100%"</formula>
    </cfRule>
    <cfRule type="cellIs" dxfId="7296" priority="651" stopIfTrue="1" operator="equal">
      <formula>"100%"</formula>
    </cfRule>
  </conditionalFormatting>
  <conditionalFormatting sqref="Q180">
    <cfRule type="cellIs" dxfId="7295" priority="628" stopIfTrue="1" operator="equal">
      <formula>"Régime présumé naturel (100%) / Abfluss vermutlich natürlich"</formula>
    </cfRule>
    <cfRule type="cellIs" dxfId="7294" priority="629" stopIfTrue="1" operator="equal">
      <formula>"non pertinent / nicht relevant"</formula>
    </cfRule>
    <cfRule type="cellIs" dxfId="7293" priority="630" stopIfTrue="1" operator="equal">
      <formula>"61-80%"</formula>
    </cfRule>
    <cfRule type="cellIs" dxfId="7292" priority="631" stopIfTrue="1" operator="equal">
      <formula>"41-60%"</formula>
    </cfRule>
    <cfRule type="cellIs" dxfId="7291" priority="632" stopIfTrue="1" operator="equal">
      <formula>"21-40%"</formula>
    </cfRule>
    <cfRule type="cellIs" dxfId="7290" priority="633" stopIfTrue="1" operator="equal">
      <formula>"0-20%"</formula>
    </cfRule>
    <cfRule type="cellIs" dxfId="7289" priority="634" stopIfTrue="1" operator="equal">
      <formula>"81-100%"</formula>
    </cfRule>
    <cfRule type="cellIs" dxfId="7288" priority="635" stopIfTrue="1" operator="equal">
      <formula>"100%"</formula>
    </cfRule>
  </conditionalFormatting>
  <conditionalFormatting sqref="Q274">
    <cfRule type="cellIs" dxfId="7287" priority="620" stopIfTrue="1" operator="equal">
      <formula>"Régime présumé naturel (100%) / Abfluss vermutlich natürlich"</formula>
    </cfRule>
    <cfRule type="cellIs" dxfId="7286" priority="621" stopIfTrue="1" operator="equal">
      <formula>"non pertinent / nicht relevant"</formula>
    </cfRule>
    <cfRule type="cellIs" dxfId="7285" priority="622" stopIfTrue="1" operator="equal">
      <formula>"61-80%"</formula>
    </cfRule>
    <cfRule type="cellIs" dxfId="7284" priority="623" stopIfTrue="1" operator="equal">
      <formula>"41-60%"</formula>
    </cfRule>
    <cfRule type="cellIs" dxfId="7283" priority="624" stopIfTrue="1" operator="equal">
      <formula>"21-40%"</formula>
    </cfRule>
    <cfRule type="cellIs" dxfId="7282" priority="625" stopIfTrue="1" operator="equal">
      <formula>"0-20%"</formula>
    </cfRule>
    <cfRule type="cellIs" dxfId="7281" priority="626" stopIfTrue="1" operator="equal">
      <formula>"81-100%"</formula>
    </cfRule>
    <cfRule type="cellIs" dxfId="7280" priority="627" stopIfTrue="1" operator="equal">
      <formula>"100%"</formula>
    </cfRule>
  </conditionalFormatting>
  <conditionalFormatting sqref="L239:L240">
    <cfRule type="cellIs" dxfId="7279" priority="612" stopIfTrue="1" operator="equal">
      <formula>"Régime présumé naturel (100%) / Abfluss vermutlich natürlich"</formula>
    </cfRule>
    <cfRule type="cellIs" dxfId="7278" priority="613" stopIfTrue="1" operator="equal">
      <formula>"non pertinent / nicht relevant"</formula>
    </cfRule>
    <cfRule type="cellIs" dxfId="7277" priority="614" stopIfTrue="1" operator="equal">
      <formula>"61-80%"</formula>
    </cfRule>
    <cfRule type="cellIs" dxfId="7276" priority="615" stopIfTrue="1" operator="equal">
      <formula>"41-60%"</formula>
    </cfRule>
    <cfRule type="cellIs" dxfId="7275" priority="616" stopIfTrue="1" operator="equal">
      <formula>"21-40%"</formula>
    </cfRule>
    <cfRule type="cellIs" dxfId="7274" priority="617" stopIfTrue="1" operator="equal">
      <formula>"0-20%"</formula>
    </cfRule>
    <cfRule type="cellIs" dxfId="7273" priority="618" stopIfTrue="1" operator="equal">
      <formula>"81-100%"</formula>
    </cfRule>
    <cfRule type="cellIs" dxfId="7272" priority="619" stopIfTrue="1" operator="equal">
      <formula>"100%"</formula>
    </cfRule>
  </conditionalFormatting>
  <conditionalFormatting sqref="L179">
    <cfRule type="cellIs" dxfId="7271" priority="604" stopIfTrue="1" operator="equal">
      <formula>"Régime présumé naturel (100%) / Abfluss vermutlich natürlich"</formula>
    </cfRule>
    <cfRule type="cellIs" dxfId="7270" priority="605" stopIfTrue="1" operator="equal">
      <formula>"non pertinent / nicht relevant"</formula>
    </cfRule>
    <cfRule type="cellIs" dxfId="7269" priority="606" stopIfTrue="1" operator="equal">
      <formula>"61-80%"</formula>
    </cfRule>
    <cfRule type="cellIs" dxfId="7268" priority="607" stopIfTrue="1" operator="equal">
      <formula>"41-60%"</formula>
    </cfRule>
    <cfRule type="cellIs" dxfId="7267" priority="608" stopIfTrue="1" operator="equal">
      <formula>"21-40%"</formula>
    </cfRule>
    <cfRule type="cellIs" dxfId="7266" priority="609" stopIfTrue="1" operator="equal">
      <formula>"0-20%"</formula>
    </cfRule>
    <cfRule type="cellIs" dxfId="7265" priority="610" stopIfTrue="1" operator="equal">
      <formula>"81-100%"</formula>
    </cfRule>
    <cfRule type="cellIs" dxfId="7264" priority="611" stopIfTrue="1" operator="equal">
      <formula>"100%"</formula>
    </cfRule>
  </conditionalFormatting>
  <conditionalFormatting sqref="Q179">
    <cfRule type="cellIs" dxfId="7263" priority="596" stopIfTrue="1" operator="equal">
      <formula>"Régime présumé naturel (100%) / Abfluss vermutlich natürlich"</formula>
    </cfRule>
    <cfRule type="cellIs" dxfId="7262" priority="597" stopIfTrue="1" operator="equal">
      <formula>"non pertinent / nicht relevant"</formula>
    </cfRule>
    <cfRule type="cellIs" dxfId="7261" priority="598" stopIfTrue="1" operator="equal">
      <formula>"61-80%"</formula>
    </cfRule>
    <cfRule type="cellIs" dxfId="7260" priority="599" stopIfTrue="1" operator="equal">
      <formula>"41-60%"</formula>
    </cfRule>
    <cfRule type="cellIs" dxfId="7259" priority="600" stopIfTrue="1" operator="equal">
      <formula>"21-40%"</formula>
    </cfRule>
    <cfRule type="cellIs" dxfId="7258" priority="601" stopIfTrue="1" operator="equal">
      <formula>"0-20%"</formula>
    </cfRule>
    <cfRule type="cellIs" dxfId="7257" priority="602" stopIfTrue="1" operator="equal">
      <formula>"81-100%"</formula>
    </cfRule>
    <cfRule type="cellIs" dxfId="7256" priority="603" stopIfTrue="1" operator="equal">
      <formula>"100%"</formula>
    </cfRule>
  </conditionalFormatting>
  <conditionalFormatting sqref="Q181">
    <cfRule type="cellIs" dxfId="7255" priority="588" stopIfTrue="1" operator="equal">
      <formula>"Régime présumé naturel (100%) / Abfluss vermutlich natürlich"</formula>
    </cfRule>
    <cfRule type="cellIs" dxfId="7254" priority="589" stopIfTrue="1" operator="equal">
      <formula>"non pertinent / nicht relevant"</formula>
    </cfRule>
    <cfRule type="cellIs" dxfId="7253" priority="590" stopIfTrue="1" operator="equal">
      <formula>"61-80%"</formula>
    </cfRule>
    <cfRule type="cellIs" dxfId="7252" priority="591" stopIfTrue="1" operator="equal">
      <formula>"41-60%"</formula>
    </cfRule>
    <cfRule type="cellIs" dxfId="7251" priority="592" stopIfTrue="1" operator="equal">
      <formula>"21-40%"</formula>
    </cfRule>
    <cfRule type="cellIs" dxfId="7250" priority="593" stopIfTrue="1" operator="equal">
      <formula>"0-20%"</formula>
    </cfRule>
    <cfRule type="cellIs" dxfId="7249" priority="594" stopIfTrue="1" operator="equal">
      <formula>"81-100%"</formula>
    </cfRule>
    <cfRule type="cellIs" dxfId="7248" priority="595" stopIfTrue="1" operator="equal">
      <formula>"100%"</formula>
    </cfRule>
  </conditionalFormatting>
  <conditionalFormatting sqref="Q182">
    <cfRule type="cellIs" dxfId="7247" priority="580" stopIfTrue="1" operator="equal">
      <formula>"Régime présumé naturel (100%) / Abfluss vermutlich natürlich"</formula>
    </cfRule>
    <cfRule type="cellIs" dxfId="7246" priority="581" stopIfTrue="1" operator="equal">
      <formula>"non pertinent / nicht relevant"</formula>
    </cfRule>
    <cfRule type="cellIs" dxfId="7245" priority="582" stopIfTrue="1" operator="equal">
      <formula>"61-80%"</formula>
    </cfRule>
    <cfRule type="cellIs" dxfId="7244" priority="583" stopIfTrue="1" operator="equal">
      <formula>"41-60%"</formula>
    </cfRule>
    <cfRule type="cellIs" dxfId="7243" priority="584" stopIfTrue="1" operator="equal">
      <formula>"21-40%"</formula>
    </cfRule>
    <cfRule type="cellIs" dxfId="7242" priority="585" stopIfTrue="1" operator="equal">
      <formula>"0-20%"</formula>
    </cfRule>
    <cfRule type="cellIs" dxfId="7241" priority="586" stopIfTrue="1" operator="equal">
      <formula>"81-100%"</formula>
    </cfRule>
    <cfRule type="cellIs" dxfId="7240" priority="587" stopIfTrue="1" operator="equal">
      <formula>"100%"</formula>
    </cfRule>
  </conditionalFormatting>
  <conditionalFormatting sqref="Q183">
    <cfRule type="cellIs" dxfId="7239" priority="572" stopIfTrue="1" operator="equal">
      <formula>"Régime présumé naturel (100%) / Abfluss vermutlich natürlich"</formula>
    </cfRule>
    <cfRule type="cellIs" dxfId="7238" priority="573" stopIfTrue="1" operator="equal">
      <formula>"non pertinent / nicht relevant"</formula>
    </cfRule>
    <cfRule type="cellIs" dxfId="7237" priority="574" stopIfTrue="1" operator="equal">
      <formula>"61-80%"</formula>
    </cfRule>
    <cfRule type="cellIs" dxfId="7236" priority="575" stopIfTrue="1" operator="equal">
      <formula>"41-60%"</formula>
    </cfRule>
    <cfRule type="cellIs" dxfId="7235" priority="576" stopIfTrue="1" operator="equal">
      <formula>"21-40%"</formula>
    </cfRule>
    <cfRule type="cellIs" dxfId="7234" priority="577" stopIfTrue="1" operator="equal">
      <formula>"0-20%"</formula>
    </cfRule>
    <cfRule type="cellIs" dxfId="7233" priority="578" stopIfTrue="1" operator="equal">
      <formula>"81-100%"</formula>
    </cfRule>
    <cfRule type="cellIs" dxfId="7232" priority="579" stopIfTrue="1" operator="equal">
      <formula>"100%"</formula>
    </cfRule>
  </conditionalFormatting>
  <conditionalFormatting sqref="Q186:Q188">
    <cfRule type="cellIs" dxfId="7231" priority="564" stopIfTrue="1" operator="equal">
      <formula>"Régime présumé naturel (100%) / Abfluss vermutlich natürlich"</formula>
    </cfRule>
    <cfRule type="cellIs" dxfId="7230" priority="565" stopIfTrue="1" operator="equal">
      <formula>"non pertinent / nicht relevant"</formula>
    </cfRule>
    <cfRule type="cellIs" dxfId="7229" priority="566" stopIfTrue="1" operator="equal">
      <formula>"61-80%"</formula>
    </cfRule>
    <cfRule type="cellIs" dxfId="7228" priority="567" stopIfTrue="1" operator="equal">
      <formula>"41-60%"</formula>
    </cfRule>
    <cfRule type="cellIs" dxfId="7227" priority="568" stopIfTrue="1" operator="equal">
      <formula>"21-40%"</formula>
    </cfRule>
    <cfRule type="cellIs" dxfId="7226" priority="569" stopIfTrue="1" operator="equal">
      <formula>"0-20%"</formula>
    </cfRule>
    <cfRule type="cellIs" dxfId="7225" priority="570" stopIfTrue="1" operator="equal">
      <formula>"81-100%"</formula>
    </cfRule>
    <cfRule type="cellIs" dxfId="7224" priority="571" stopIfTrue="1" operator="equal">
      <formula>"100%"</formula>
    </cfRule>
  </conditionalFormatting>
  <conditionalFormatting sqref="Q185">
    <cfRule type="cellIs" dxfId="7223" priority="556" stopIfTrue="1" operator="equal">
      <formula>"Régime présumé naturel (100%) / Abfluss vermutlich natürlich"</formula>
    </cfRule>
    <cfRule type="cellIs" dxfId="7222" priority="557" stopIfTrue="1" operator="equal">
      <formula>"non pertinent / nicht relevant"</formula>
    </cfRule>
    <cfRule type="cellIs" dxfId="7221" priority="558" stopIfTrue="1" operator="equal">
      <formula>"61-80%"</formula>
    </cfRule>
    <cfRule type="cellIs" dxfId="7220" priority="559" stopIfTrue="1" operator="equal">
      <formula>"41-60%"</formula>
    </cfRule>
    <cfRule type="cellIs" dxfId="7219" priority="560" stopIfTrue="1" operator="equal">
      <formula>"21-40%"</formula>
    </cfRule>
    <cfRule type="cellIs" dxfId="7218" priority="561" stopIfTrue="1" operator="equal">
      <formula>"0-20%"</formula>
    </cfRule>
    <cfRule type="cellIs" dxfId="7217" priority="562" stopIfTrue="1" operator="equal">
      <formula>"81-100%"</formula>
    </cfRule>
    <cfRule type="cellIs" dxfId="7216" priority="563" stopIfTrue="1" operator="equal">
      <formula>"100%"</formula>
    </cfRule>
  </conditionalFormatting>
  <conditionalFormatting sqref="Q208">
    <cfRule type="cellIs" dxfId="7215" priority="548" stopIfTrue="1" operator="equal">
      <formula>"Régime présumé naturel (100%) / Abfluss vermutlich natürlich"</formula>
    </cfRule>
    <cfRule type="cellIs" dxfId="7214" priority="549" stopIfTrue="1" operator="equal">
      <formula>"non pertinent / nicht relevant"</formula>
    </cfRule>
    <cfRule type="cellIs" dxfId="7213" priority="550" stopIfTrue="1" operator="equal">
      <formula>"61-80%"</formula>
    </cfRule>
    <cfRule type="cellIs" dxfId="7212" priority="551" stopIfTrue="1" operator="equal">
      <formula>"41-60%"</formula>
    </cfRule>
    <cfRule type="cellIs" dxfId="7211" priority="552" stopIfTrue="1" operator="equal">
      <formula>"21-40%"</formula>
    </cfRule>
    <cfRule type="cellIs" dxfId="7210" priority="553" stopIfTrue="1" operator="equal">
      <formula>"0-20%"</formula>
    </cfRule>
    <cfRule type="cellIs" dxfId="7209" priority="554" stopIfTrue="1" operator="equal">
      <formula>"81-100%"</formula>
    </cfRule>
    <cfRule type="cellIs" dxfId="7208" priority="555" stopIfTrue="1" operator="equal">
      <formula>"100%"</formula>
    </cfRule>
  </conditionalFormatting>
  <conditionalFormatting sqref="Q209">
    <cfRule type="cellIs" dxfId="7207" priority="540" stopIfTrue="1" operator="equal">
      <formula>"Régime présumé naturel (100%) / Abfluss vermutlich natürlich"</formula>
    </cfRule>
    <cfRule type="cellIs" dxfId="7206" priority="541" stopIfTrue="1" operator="equal">
      <formula>"non pertinent / nicht relevant"</formula>
    </cfRule>
    <cfRule type="cellIs" dxfId="7205" priority="542" stopIfTrue="1" operator="equal">
      <formula>"61-80%"</formula>
    </cfRule>
    <cfRule type="cellIs" dxfId="7204" priority="543" stopIfTrue="1" operator="equal">
      <formula>"41-60%"</formula>
    </cfRule>
    <cfRule type="cellIs" dxfId="7203" priority="544" stopIfTrue="1" operator="equal">
      <formula>"21-40%"</formula>
    </cfRule>
    <cfRule type="cellIs" dxfId="7202" priority="545" stopIfTrue="1" operator="equal">
      <formula>"0-20%"</formula>
    </cfRule>
    <cfRule type="cellIs" dxfId="7201" priority="546" stopIfTrue="1" operator="equal">
      <formula>"81-100%"</formula>
    </cfRule>
    <cfRule type="cellIs" dxfId="7200" priority="547" stopIfTrue="1" operator="equal">
      <formula>"100%"</formula>
    </cfRule>
  </conditionalFormatting>
  <conditionalFormatting sqref="Q210">
    <cfRule type="cellIs" dxfId="7199" priority="532" stopIfTrue="1" operator="equal">
      <formula>"Régime présumé naturel (100%) / Abfluss vermutlich natürlich"</formula>
    </cfRule>
    <cfRule type="cellIs" dxfId="7198" priority="533" stopIfTrue="1" operator="equal">
      <formula>"non pertinent / nicht relevant"</formula>
    </cfRule>
    <cfRule type="cellIs" dxfId="7197" priority="534" stopIfTrue="1" operator="equal">
      <formula>"61-80%"</formula>
    </cfRule>
    <cfRule type="cellIs" dxfId="7196" priority="535" stopIfTrue="1" operator="equal">
      <formula>"41-60%"</formula>
    </cfRule>
    <cfRule type="cellIs" dxfId="7195" priority="536" stopIfTrue="1" operator="equal">
      <formula>"21-40%"</formula>
    </cfRule>
    <cfRule type="cellIs" dxfId="7194" priority="537" stopIfTrue="1" operator="equal">
      <formula>"0-20%"</formula>
    </cfRule>
    <cfRule type="cellIs" dxfId="7193" priority="538" stopIfTrue="1" operator="equal">
      <formula>"81-100%"</formula>
    </cfRule>
    <cfRule type="cellIs" dxfId="7192" priority="539" stopIfTrue="1" operator="equal">
      <formula>"100%"</formula>
    </cfRule>
  </conditionalFormatting>
  <conditionalFormatting sqref="J212">
    <cfRule type="cellIs" dxfId="7191" priority="524" stopIfTrue="1" operator="equal">
      <formula>"Régime présumé naturel (100%) / Abfluss vermutlich natürlich"</formula>
    </cfRule>
    <cfRule type="cellIs" dxfId="7190" priority="525" stopIfTrue="1" operator="equal">
      <formula>"non pertinent / nicht relevant"</formula>
    </cfRule>
    <cfRule type="cellIs" dxfId="7189" priority="526" stopIfTrue="1" operator="equal">
      <formula>"61-80%"</formula>
    </cfRule>
    <cfRule type="cellIs" dxfId="7188" priority="527" stopIfTrue="1" operator="equal">
      <formula>"41-60%"</formula>
    </cfRule>
    <cfRule type="cellIs" dxfId="7187" priority="528" stopIfTrue="1" operator="equal">
      <formula>"21-40%"</formula>
    </cfRule>
    <cfRule type="cellIs" dxfId="7186" priority="529" stopIfTrue="1" operator="equal">
      <formula>"0-20%"</formula>
    </cfRule>
    <cfRule type="cellIs" dxfId="7185" priority="530" stopIfTrue="1" operator="equal">
      <formula>"81-100%"</formula>
    </cfRule>
    <cfRule type="cellIs" dxfId="7184" priority="531" stopIfTrue="1" operator="equal">
      <formula>"100%"</formula>
    </cfRule>
  </conditionalFormatting>
  <conditionalFormatting sqref="Q212">
    <cfRule type="cellIs" dxfId="7183" priority="516" stopIfTrue="1" operator="equal">
      <formula>"Régime présumé naturel (100%) / Abfluss vermutlich natürlich"</formula>
    </cfRule>
    <cfRule type="cellIs" dxfId="7182" priority="517" stopIfTrue="1" operator="equal">
      <formula>"non pertinent / nicht relevant"</formula>
    </cfRule>
    <cfRule type="cellIs" dxfId="7181" priority="518" stopIfTrue="1" operator="equal">
      <formula>"61-80%"</formula>
    </cfRule>
    <cfRule type="cellIs" dxfId="7180" priority="519" stopIfTrue="1" operator="equal">
      <formula>"41-60%"</formula>
    </cfRule>
    <cfRule type="cellIs" dxfId="7179" priority="520" stopIfTrue="1" operator="equal">
      <formula>"21-40%"</formula>
    </cfRule>
    <cfRule type="cellIs" dxfId="7178" priority="521" stopIfTrue="1" operator="equal">
      <formula>"0-20%"</formula>
    </cfRule>
    <cfRule type="cellIs" dxfId="7177" priority="522" stopIfTrue="1" operator="equal">
      <formula>"81-100%"</formula>
    </cfRule>
    <cfRule type="cellIs" dxfId="7176" priority="523" stopIfTrue="1" operator="equal">
      <formula>"100%"</formula>
    </cfRule>
  </conditionalFormatting>
  <conditionalFormatting sqref="J226">
    <cfRule type="cellIs" dxfId="7175" priority="508" stopIfTrue="1" operator="equal">
      <formula>"Régime présumé naturel (100%) / Abfluss vermutlich natürlich"</formula>
    </cfRule>
    <cfRule type="cellIs" dxfId="7174" priority="509" stopIfTrue="1" operator="equal">
      <formula>"non pertinent / nicht relevant"</formula>
    </cfRule>
    <cfRule type="cellIs" dxfId="7173" priority="510" stopIfTrue="1" operator="equal">
      <formula>"61-80%"</formula>
    </cfRule>
    <cfRule type="cellIs" dxfId="7172" priority="511" stopIfTrue="1" operator="equal">
      <formula>"41-60%"</formula>
    </cfRule>
    <cfRule type="cellIs" dxfId="7171" priority="512" stopIfTrue="1" operator="equal">
      <formula>"21-40%"</formula>
    </cfRule>
    <cfRule type="cellIs" dxfId="7170" priority="513" stopIfTrue="1" operator="equal">
      <formula>"0-20%"</formula>
    </cfRule>
    <cfRule type="cellIs" dxfId="7169" priority="514" stopIfTrue="1" operator="equal">
      <formula>"81-100%"</formula>
    </cfRule>
    <cfRule type="cellIs" dxfId="7168" priority="515" stopIfTrue="1" operator="equal">
      <formula>"100%"</formula>
    </cfRule>
  </conditionalFormatting>
  <conditionalFormatting sqref="Q150">
    <cfRule type="cellIs" dxfId="7167" priority="500" stopIfTrue="1" operator="equal">
      <formula>"Régime présumé naturel (100%) / Abfluss vermutlich natürlich"</formula>
    </cfRule>
    <cfRule type="cellIs" dxfId="7166" priority="501" stopIfTrue="1" operator="equal">
      <formula>"non pertinent / nicht relevant"</formula>
    </cfRule>
    <cfRule type="cellIs" dxfId="7165" priority="502" stopIfTrue="1" operator="equal">
      <formula>"61-80%"</formula>
    </cfRule>
    <cfRule type="cellIs" dxfId="7164" priority="503" stopIfTrue="1" operator="equal">
      <formula>"41-60%"</formula>
    </cfRule>
    <cfRule type="cellIs" dxfId="7163" priority="504" stopIfTrue="1" operator="equal">
      <formula>"21-40%"</formula>
    </cfRule>
    <cfRule type="cellIs" dxfId="7162" priority="505" stopIfTrue="1" operator="equal">
      <formula>"0-20%"</formula>
    </cfRule>
    <cfRule type="cellIs" dxfId="7161" priority="506" stopIfTrue="1" operator="equal">
      <formula>"81-100%"</formula>
    </cfRule>
    <cfRule type="cellIs" dxfId="7160" priority="507" stopIfTrue="1" operator="equal">
      <formula>"100%"</formula>
    </cfRule>
  </conditionalFormatting>
  <conditionalFormatting sqref="Q155">
    <cfRule type="cellIs" dxfId="7159" priority="476" stopIfTrue="1" operator="equal">
      <formula>"Régime présumé naturel (100%) / Abfluss vermutlich natürlich"</formula>
    </cfRule>
    <cfRule type="cellIs" dxfId="7158" priority="477" stopIfTrue="1" operator="equal">
      <formula>"non pertinent / nicht relevant"</formula>
    </cfRule>
    <cfRule type="cellIs" dxfId="7157" priority="478" stopIfTrue="1" operator="equal">
      <formula>"61-80%"</formula>
    </cfRule>
    <cfRule type="cellIs" dxfId="7156" priority="479" stopIfTrue="1" operator="equal">
      <formula>"41-60%"</formula>
    </cfRule>
    <cfRule type="cellIs" dxfId="7155" priority="480" stopIfTrue="1" operator="equal">
      <formula>"21-40%"</formula>
    </cfRule>
    <cfRule type="cellIs" dxfId="7154" priority="481" stopIfTrue="1" operator="equal">
      <formula>"0-20%"</formula>
    </cfRule>
    <cfRule type="cellIs" dxfId="7153" priority="482" stopIfTrue="1" operator="equal">
      <formula>"81-100%"</formula>
    </cfRule>
    <cfRule type="cellIs" dxfId="7152" priority="483" stopIfTrue="1" operator="equal">
      <formula>"100%"</formula>
    </cfRule>
  </conditionalFormatting>
  <conditionalFormatting sqref="Q160">
    <cfRule type="cellIs" dxfId="7151" priority="468" stopIfTrue="1" operator="equal">
      <formula>"Régime présumé naturel (100%) / Abfluss vermutlich natürlich"</formula>
    </cfRule>
    <cfRule type="cellIs" dxfId="7150" priority="469" stopIfTrue="1" operator="equal">
      <formula>"non pertinent / nicht relevant"</formula>
    </cfRule>
    <cfRule type="cellIs" dxfId="7149" priority="470" stopIfTrue="1" operator="equal">
      <formula>"61-80%"</formula>
    </cfRule>
    <cfRule type="cellIs" dxfId="7148" priority="471" stopIfTrue="1" operator="equal">
      <formula>"41-60%"</formula>
    </cfRule>
    <cfRule type="cellIs" dxfId="7147" priority="472" stopIfTrue="1" operator="equal">
      <formula>"21-40%"</formula>
    </cfRule>
    <cfRule type="cellIs" dxfId="7146" priority="473" stopIfTrue="1" operator="equal">
      <formula>"0-20%"</formula>
    </cfRule>
    <cfRule type="cellIs" dxfId="7145" priority="474" stopIfTrue="1" operator="equal">
      <formula>"81-100%"</formula>
    </cfRule>
    <cfRule type="cellIs" dxfId="7144" priority="475" stopIfTrue="1" operator="equal">
      <formula>"100%"</formula>
    </cfRule>
  </conditionalFormatting>
  <conditionalFormatting sqref="L217:M220">
    <cfRule type="cellIs" dxfId="7143" priority="460" stopIfTrue="1" operator="equal">
      <formula>"Régime présumé naturel (100%) / Abfluss vermutlich natürlich"</formula>
    </cfRule>
    <cfRule type="cellIs" dxfId="7142" priority="461" stopIfTrue="1" operator="equal">
      <formula>"non pertinent / nicht relevant"</formula>
    </cfRule>
    <cfRule type="cellIs" dxfId="7141" priority="462" stopIfTrue="1" operator="equal">
      <formula>"61-80%"</formula>
    </cfRule>
    <cfRule type="cellIs" dxfId="7140" priority="463" stopIfTrue="1" operator="equal">
      <formula>"41-60%"</formula>
    </cfRule>
    <cfRule type="cellIs" dxfId="7139" priority="464" stopIfTrue="1" operator="equal">
      <formula>"21-40%"</formula>
    </cfRule>
    <cfRule type="cellIs" dxfId="7138" priority="465" stopIfTrue="1" operator="equal">
      <formula>"0-20%"</formula>
    </cfRule>
    <cfRule type="cellIs" dxfId="7137" priority="466" stopIfTrue="1" operator="equal">
      <formula>"81-100%"</formula>
    </cfRule>
    <cfRule type="cellIs" dxfId="7136" priority="467" stopIfTrue="1" operator="equal">
      <formula>"100%"</formula>
    </cfRule>
  </conditionalFormatting>
  <conditionalFormatting sqref="L211:M212 L214:M215">
    <cfRule type="cellIs" dxfId="7135" priority="452" stopIfTrue="1" operator="equal">
      <formula>"Régime présumé naturel (100%) / Abfluss vermutlich natürlich"</formula>
    </cfRule>
    <cfRule type="cellIs" dxfId="7134" priority="453" stopIfTrue="1" operator="equal">
      <formula>"non pertinent / nicht relevant"</formula>
    </cfRule>
    <cfRule type="cellIs" dxfId="7133" priority="454" stopIfTrue="1" operator="equal">
      <formula>"61-80%"</formula>
    </cfRule>
    <cfRule type="cellIs" dxfId="7132" priority="455" stopIfTrue="1" operator="equal">
      <formula>"41-60%"</formula>
    </cfRule>
    <cfRule type="cellIs" dxfId="7131" priority="456" stopIfTrue="1" operator="equal">
      <formula>"21-40%"</formula>
    </cfRule>
    <cfRule type="cellIs" dxfId="7130" priority="457" stopIfTrue="1" operator="equal">
      <formula>"0-20%"</formula>
    </cfRule>
    <cfRule type="cellIs" dxfId="7129" priority="458" stopIfTrue="1" operator="equal">
      <formula>"81-100%"</formula>
    </cfRule>
    <cfRule type="cellIs" dxfId="7128" priority="459" stopIfTrue="1" operator="equal">
      <formula>"100%"</formula>
    </cfRule>
  </conditionalFormatting>
  <conditionalFormatting sqref="L213:M213">
    <cfRule type="cellIs" dxfId="7127" priority="444" stopIfTrue="1" operator="equal">
      <formula>"Régime présumé naturel (100%) / Abfluss vermutlich natürlich"</formula>
    </cfRule>
    <cfRule type="cellIs" dxfId="7126" priority="445" stopIfTrue="1" operator="equal">
      <formula>"non pertinent / nicht relevant"</formula>
    </cfRule>
    <cfRule type="cellIs" dxfId="7125" priority="446" stopIfTrue="1" operator="equal">
      <formula>"61-80%"</formula>
    </cfRule>
    <cfRule type="cellIs" dxfId="7124" priority="447" stopIfTrue="1" operator="equal">
      <formula>"41-60%"</formula>
    </cfRule>
    <cfRule type="cellIs" dxfId="7123" priority="448" stopIfTrue="1" operator="equal">
      <formula>"21-40%"</formula>
    </cfRule>
    <cfRule type="cellIs" dxfId="7122" priority="449" stopIfTrue="1" operator="equal">
      <formula>"0-20%"</formula>
    </cfRule>
    <cfRule type="cellIs" dxfId="7121" priority="450" stopIfTrue="1" operator="equal">
      <formula>"81-100%"</formula>
    </cfRule>
    <cfRule type="cellIs" dxfId="7120" priority="451" stopIfTrue="1" operator="equal">
      <formula>"100%"</formula>
    </cfRule>
  </conditionalFormatting>
  <conditionalFormatting sqref="L216:M216">
    <cfRule type="cellIs" dxfId="7119" priority="436" stopIfTrue="1" operator="equal">
      <formula>"Régime présumé naturel (100%) / Abfluss vermutlich natürlich"</formula>
    </cfRule>
    <cfRule type="cellIs" dxfId="7118" priority="437" stopIfTrue="1" operator="equal">
      <formula>"non pertinent / nicht relevant"</formula>
    </cfRule>
    <cfRule type="cellIs" dxfId="7117" priority="438" stopIfTrue="1" operator="equal">
      <formula>"61-80%"</formula>
    </cfRule>
    <cfRule type="cellIs" dxfId="7116" priority="439" stopIfTrue="1" operator="equal">
      <formula>"41-60%"</formula>
    </cfRule>
    <cfRule type="cellIs" dxfId="7115" priority="440" stopIfTrue="1" operator="equal">
      <formula>"21-40%"</formula>
    </cfRule>
    <cfRule type="cellIs" dxfId="7114" priority="441" stopIfTrue="1" operator="equal">
      <formula>"0-20%"</formula>
    </cfRule>
    <cfRule type="cellIs" dxfId="7113" priority="442" stopIfTrue="1" operator="equal">
      <formula>"81-100%"</formula>
    </cfRule>
    <cfRule type="cellIs" dxfId="7112" priority="443" stopIfTrue="1" operator="equal">
      <formula>"100%"</formula>
    </cfRule>
  </conditionalFormatting>
  <conditionalFormatting sqref="Q71">
    <cfRule type="cellIs" dxfId="7111" priority="412" stopIfTrue="1" operator="equal">
      <formula>"Régime présumé naturel (100%) / Abfluss vermutlich natürlich"</formula>
    </cfRule>
    <cfRule type="cellIs" dxfId="7110" priority="413" stopIfTrue="1" operator="equal">
      <formula>"non pertinent / nicht relevant"</formula>
    </cfRule>
    <cfRule type="cellIs" dxfId="7109" priority="414" stopIfTrue="1" operator="equal">
      <formula>"61-80%"</formula>
    </cfRule>
    <cfRule type="cellIs" dxfId="7108" priority="415" stopIfTrue="1" operator="equal">
      <formula>"41-60%"</formula>
    </cfRule>
    <cfRule type="cellIs" dxfId="7107" priority="416" stopIfTrue="1" operator="equal">
      <formula>"21-40%"</formula>
    </cfRule>
    <cfRule type="cellIs" dxfId="7106" priority="417" stopIfTrue="1" operator="equal">
      <formula>"0-20%"</formula>
    </cfRule>
    <cfRule type="cellIs" dxfId="7105" priority="418" stopIfTrue="1" operator="equal">
      <formula>"81-100%"</formula>
    </cfRule>
    <cfRule type="cellIs" dxfId="7104" priority="419" stopIfTrue="1" operator="equal">
      <formula>"100%"</formula>
    </cfRule>
  </conditionalFormatting>
  <conditionalFormatting sqref="Q72">
    <cfRule type="cellIs" dxfId="7103" priority="404" stopIfTrue="1" operator="equal">
      <formula>"Régime présumé naturel (100%) / Abfluss vermutlich natürlich"</formula>
    </cfRule>
    <cfRule type="cellIs" dxfId="7102" priority="405" stopIfTrue="1" operator="equal">
      <formula>"non pertinent / nicht relevant"</formula>
    </cfRule>
    <cfRule type="cellIs" dxfId="7101" priority="406" stopIfTrue="1" operator="equal">
      <formula>"61-80%"</formula>
    </cfRule>
    <cfRule type="cellIs" dxfId="7100" priority="407" stopIfTrue="1" operator="equal">
      <formula>"41-60%"</formula>
    </cfRule>
    <cfRule type="cellIs" dxfId="7099" priority="408" stopIfTrue="1" operator="equal">
      <formula>"21-40%"</formula>
    </cfRule>
    <cfRule type="cellIs" dxfId="7098" priority="409" stopIfTrue="1" operator="equal">
      <formula>"0-20%"</formula>
    </cfRule>
    <cfRule type="cellIs" dxfId="7097" priority="410" stopIfTrue="1" operator="equal">
      <formula>"81-100%"</formula>
    </cfRule>
    <cfRule type="cellIs" dxfId="7096" priority="411" stopIfTrue="1" operator="equal">
      <formula>"100%"</formula>
    </cfRule>
  </conditionalFormatting>
  <conditionalFormatting sqref="Q30">
    <cfRule type="cellIs" dxfId="7095" priority="396" stopIfTrue="1" operator="equal">
      <formula>"Régime présumé naturel (100%) / Abfluss vermutlich natürlich"</formula>
    </cfRule>
    <cfRule type="cellIs" dxfId="7094" priority="397" stopIfTrue="1" operator="equal">
      <formula>"non pertinent / nicht relevant"</formula>
    </cfRule>
    <cfRule type="cellIs" dxfId="7093" priority="398" stopIfTrue="1" operator="equal">
      <formula>"61-80%"</formula>
    </cfRule>
    <cfRule type="cellIs" dxfId="7092" priority="399" stopIfTrue="1" operator="equal">
      <formula>"41-60%"</formula>
    </cfRule>
    <cfRule type="cellIs" dxfId="7091" priority="400" stopIfTrue="1" operator="equal">
      <formula>"21-40%"</formula>
    </cfRule>
    <cfRule type="cellIs" dxfId="7090" priority="401" stopIfTrue="1" operator="equal">
      <formula>"0-20%"</formula>
    </cfRule>
    <cfRule type="cellIs" dxfId="7089" priority="402" stopIfTrue="1" operator="equal">
      <formula>"81-100%"</formula>
    </cfRule>
    <cfRule type="cellIs" dxfId="7088" priority="403" stopIfTrue="1" operator="equal">
      <formula>"100%"</formula>
    </cfRule>
  </conditionalFormatting>
  <conditionalFormatting sqref="Q44">
    <cfRule type="cellIs" dxfId="7087" priority="388" stopIfTrue="1" operator="equal">
      <formula>"Régime présumé naturel (100%) / Abfluss vermutlich natürlich"</formula>
    </cfRule>
    <cfRule type="cellIs" dxfId="7086" priority="389" stopIfTrue="1" operator="equal">
      <formula>"non pertinent / nicht relevant"</formula>
    </cfRule>
    <cfRule type="cellIs" dxfId="7085" priority="390" stopIfTrue="1" operator="equal">
      <formula>"61-80%"</formula>
    </cfRule>
    <cfRule type="cellIs" dxfId="7084" priority="391" stopIfTrue="1" operator="equal">
      <formula>"41-60%"</formula>
    </cfRule>
    <cfRule type="cellIs" dxfId="7083" priority="392" stopIfTrue="1" operator="equal">
      <formula>"21-40%"</formula>
    </cfRule>
    <cfRule type="cellIs" dxfId="7082" priority="393" stopIfTrue="1" operator="equal">
      <formula>"0-20%"</formula>
    </cfRule>
    <cfRule type="cellIs" dxfId="7081" priority="394" stopIfTrue="1" operator="equal">
      <formula>"81-100%"</formula>
    </cfRule>
    <cfRule type="cellIs" dxfId="7080" priority="395" stopIfTrue="1" operator="equal">
      <formula>"100%"</formula>
    </cfRule>
  </conditionalFormatting>
  <conditionalFormatting sqref="P102">
    <cfRule type="cellIs" dxfId="7079" priority="380" stopIfTrue="1" operator="equal">
      <formula>"Régime présumé naturel (100%) / Abfluss vermutlich natürlich"</formula>
    </cfRule>
    <cfRule type="cellIs" dxfId="7078" priority="381" stopIfTrue="1" operator="equal">
      <formula>"non pertinent / nicht relevant"</formula>
    </cfRule>
    <cfRule type="cellIs" dxfId="7077" priority="382" stopIfTrue="1" operator="equal">
      <formula>"61-80%"</formula>
    </cfRule>
    <cfRule type="cellIs" dxfId="7076" priority="383" stopIfTrue="1" operator="equal">
      <formula>"41-60%"</formula>
    </cfRule>
    <cfRule type="cellIs" dxfId="7075" priority="384" stopIfTrue="1" operator="equal">
      <formula>"21-40%"</formula>
    </cfRule>
    <cfRule type="cellIs" dxfId="7074" priority="385" stopIfTrue="1" operator="equal">
      <formula>"0-20%"</formula>
    </cfRule>
    <cfRule type="cellIs" dxfId="7073" priority="386" stopIfTrue="1" operator="equal">
      <formula>"81-100%"</formula>
    </cfRule>
    <cfRule type="cellIs" dxfId="7072" priority="387" stopIfTrue="1" operator="equal">
      <formula>"100%"</formula>
    </cfRule>
  </conditionalFormatting>
  <conditionalFormatting sqref="P120">
    <cfRule type="cellIs" dxfId="7071" priority="372" stopIfTrue="1" operator="equal">
      <formula>"Régime présumé naturel (100%) / Abfluss vermutlich natürlich"</formula>
    </cfRule>
    <cfRule type="cellIs" dxfId="7070" priority="373" stopIfTrue="1" operator="equal">
      <formula>"non pertinent / nicht relevant"</formula>
    </cfRule>
    <cfRule type="cellIs" dxfId="7069" priority="374" stopIfTrue="1" operator="equal">
      <formula>"61-80%"</formula>
    </cfRule>
    <cfRule type="cellIs" dxfId="7068" priority="375" stopIfTrue="1" operator="equal">
      <formula>"41-60%"</formula>
    </cfRule>
    <cfRule type="cellIs" dxfId="7067" priority="376" stopIfTrue="1" operator="equal">
      <formula>"21-40%"</formula>
    </cfRule>
    <cfRule type="cellIs" dxfId="7066" priority="377" stopIfTrue="1" operator="equal">
      <formula>"0-20%"</formula>
    </cfRule>
    <cfRule type="cellIs" dxfId="7065" priority="378" stopIfTrue="1" operator="equal">
      <formula>"81-100%"</formula>
    </cfRule>
    <cfRule type="cellIs" dxfId="7064" priority="379" stopIfTrue="1" operator="equal">
      <formula>"100%"</formula>
    </cfRule>
  </conditionalFormatting>
  <conditionalFormatting sqref="P130">
    <cfRule type="cellIs" dxfId="7063" priority="364" stopIfTrue="1" operator="equal">
      <formula>"Régime présumé naturel (100%) / Abfluss vermutlich natürlich"</formula>
    </cfRule>
    <cfRule type="cellIs" dxfId="7062" priority="365" stopIfTrue="1" operator="equal">
      <formula>"non pertinent / nicht relevant"</formula>
    </cfRule>
    <cfRule type="cellIs" dxfId="7061" priority="366" stopIfTrue="1" operator="equal">
      <formula>"61-80%"</formula>
    </cfRule>
    <cfRule type="cellIs" dxfId="7060" priority="367" stopIfTrue="1" operator="equal">
      <formula>"41-60%"</formula>
    </cfRule>
    <cfRule type="cellIs" dxfId="7059" priority="368" stopIfTrue="1" operator="equal">
      <formula>"21-40%"</formula>
    </cfRule>
    <cfRule type="cellIs" dxfId="7058" priority="369" stopIfTrue="1" operator="equal">
      <formula>"0-20%"</formula>
    </cfRule>
    <cfRule type="cellIs" dxfId="7057" priority="370" stopIfTrue="1" operator="equal">
      <formula>"81-100%"</formula>
    </cfRule>
    <cfRule type="cellIs" dxfId="7056" priority="371" stopIfTrue="1" operator="equal">
      <formula>"100%"</formula>
    </cfRule>
  </conditionalFormatting>
  <conditionalFormatting sqref="P184">
    <cfRule type="cellIs" dxfId="7055" priority="356" stopIfTrue="1" operator="equal">
      <formula>"Régime présumé naturel (100%) / Abfluss vermutlich natürlich"</formula>
    </cfRule>
    <cfRule type="cellIs" dxfId="7054" priority="357" stopIfTrue="1" operator="equal">
      <formula>"non pertinent / nicht relevant"</formula>
    </cfRule>
    <cfRule type="cellIs" dxfId="7053" priority="358" stopIfTrue="1" operator="equal">
      <formula>"61-80%"</formula>
    </cfRule>
    <cfRule type="cellIs" dxfId="7052" priority="359" stopIfTrue="1" operator="equal">
      <formula>"41-60%"</formula>
    </cfRule>
    <cfRule type="cellIs" dxfId="7051" priority="360" stopIfTrue="1" operator="equal">
      <formula>"21-40%"</formula>
    </cfRule>
    <cfRule type="cellIs" dxfId="7050" priority="361" stopIfTrue="1" operator="equal">
      <formula>"0-20%"</formula>
    </cfRule>
    <cfRule type="cellIs" dxfId="7049" priority="362" stopIfTrue="1" operator="equal">
      <formula>"81-100%"</formula>
    </cfRule>
    <cfRule type="cellIs" dxfId="7048" priority="363" stopIfTrue="1" operator="equal">
      <formula>"100%"</formula>
    </cfRule>
  </conditionalFormatting>
  <conditionalFormatting sqref="P195">
    <cfRule type="cellIs" dxfId="7047" priority="348" stopIfTrue="1" operator="equal">
      <formula>"Régime présumé naturel (100%) / Abfluss vermutlich natürlich"</formula>
    </cfRule>
    <cfRule type="cellIs" dxfId="7046" priority="349" stopIfTrue="1" operator="equal">
      <formula>"non pertinent / nicht relevant"</formula>
    </cfRule>
    <cfRule type="cellIs" dxfId="7045" priority="350" stopIfTrue="1" operator="equal">
      <formula>"61-80%"</formula>
    </cfRule>
    <cfRule type="cellIs" dxfId="7044" priority="351" stopIfTrue="1" operator="equal">
      <formula>"41-60%"</formula>
    </cfRule>
    <cfRule type="cellIs" dxfId="7043" priority="352" stopIfTrue="1" operator="equal">
      <formula>"21-40%"</formula>
    </cfRule>
    <cfRule type="cellIs" dxfId="7042" priority="353" stopIfTrue="1" operator="equal">
      <formula>"0-20%"</formula>
    </cfRule>
    <cfRule type="cellIs" dxfId="7041" priority="354" stopIfTrue="1" operator="equal">
      <formula>"81-100%"</formula>
    </cfRule>
    <cfRule type="cellIs" dxfId="7040" priority="355" stopIfTrue="1" operator="equal">
      <formula>"100%"</formula>
    </cfRule>
  </conditionalFormatting>
  <conditionalFormatting sqref="P252">
    <cfRule type="cellIs" dxfId="7039" priority="340" stopIfTrue="1" operator="equal">
      <formula>"Régime présumé naturel (100%) / Abfluss vermutlich natürlich"</formula>
    </cfRule>
    <cfRule type="cellIs" dxfId="7038" priority="341" stopIfTrue="1" operator="equal">
      <formula>"non pertinent / nicht relevant"</formula>
    </cfRule>
    <cfRule type="cellIs" dxfId="7037" priority="342" stopIfTrue="1" operator="equal">
      <formula>"61-80%"</formula>
    </cfRule>
    <cfRule type="cellIs" dxfId="7036" priority="343" stopIfTrue="1" operator="equal">
      <formula>"41-60%"</formula>
    </cfRule>
    <cfRule type="cellIs" dxfId="7035" priority="344" stopIfTrue="1" operator="equal">
      <formula>"21-40%"</formula>
    </cfRule>
    <cfRule type="cellIs" dxfId="7034" priority="345" stopIfTrue="1" operator="equal">
      <formula>"0-20%"</formula>
    </cfRule>
    <cfRule type="cellIs" dxfId="7033" priority="346" stopIfTrue="1" operator="equal">
      <formula>"81-100%"</formula>
    </cfRule>
    <cfRule type="cellIs" dxfId="7032" priority="347" stopIfTrue="1" operator="equal">
      <formula>"100%"</formula>
    </cfRule>
  </conditionalFormatting>
  <conditionalFormatting sqref="P258">
    <cfRule type="cellIs" dxfId="7031" priority="332" stopIfTrue="1" operator="equal">
      <formula>"Régime présumé naturel (100%) / Abfluss vermutlich natürlich"</formula>
    </cfRule>
    <cfRule type="cellIs" dxfId="7030" priority="333" stopIfTrue="1" operator="equal">
      <formula>"non pertinent / nicht relevant"</formula>
    </cfRule>
    <cfRule type="cellIs" dxfId="7029" priority="334" stopIfTrue="1" operator="equal">
      <formula>"61-80%"</formula>
    </cfRule>
    <cfRule type="cellIs" dxfId="7028" priority="335" stopIfTrue="1" operator="equal">
      <formula>"41-60%"</formula>
    </cfRule>
    <cfRule type="cellIs" dxfId="7027" priority="336" stopIfTrue="1" operator="equal">
      <formula>"21-40%"</formula>
    </cfRule>
    <cfRule type="cellIs" dxfId="7026" priority="337" stopIfTrue="1" operator="equal">
      <formula>"0-20%"</formula>
    </cfRule>
    <cfRule type="cellIs" dxfId="7025" priority="338" stopIfTrue="1" operator="equal">
      <formula>"81-100%"</formula>
    </cfRule>
    <cfRule type="cellIs" dxfId="7024" priority="339" stopIfTrue="1" operator="equal">
      <formula>"100%"</formula>
    </cfRule>
  </conditionalFormatting>
  <conditionalFormatting sqref="P259">
    <cfRule type="cellIs" dxfId="7023" priority="324" stopIfTrue="1" operator="equal">
      <formula>"Régime présumé naturel (100%) / Abfluss vermutlich natürlich"</formula>
    </cfRule>
    <cfRule type="cellIs" dxfId="7022" priority="325" stopIfTrue="1" operator="equal">
      <formula>"non pertinent / nicht relevant"</formula>
    </cfRule>
    <cfRule type="cellIs" dxfId="7021" priority="326" stopIfTrue="1" operator="equal">
      <formula>"61-80%"</formula>
    </cfRule>
    <cfRule type="cellIs" dxfId="7020" priority="327" stopIfTrue="1" operator="equal">
      <formula>"41-60%"</formula>
    </cfRule>
    <cfRule type="cellIs" dxfId="7019" priority="328" stopIfTrue="1" operator="equal">
      <formula>"21-40%"</formula>
    </cfRule>
    <cfRule type="cellIs" dxfId="7018" priority="329" stopIfTrue="1" operator="equal">
      <formula>"0-20%"</formula>
    </cfRule>
    <cfRule type="cellIs" dxfId="7017" priority="330" stopIfTrue="1" operator="equal">
      <formula>"81-100%"</formula>
    </cfRule>
    <cfRule type="cellIs" dxfId="7016" priority="331" stopIfTrue="1" operator="equal">
      <formula>"100%"</formula>
    </cfRule>
  </conditionalFormatting>
  <conditionalFormatting sqref="P268">
    <cfRule type="cellIs" dxfId="7015" priority="316" stopIfTrue="1" operator="equal">
      <formula>"Régime présumé naturel (100%) / Abfluss vermutlich natürlich"</formula>
    </cfRule>
    <cfRule type="cellIs" dxfId="7014" priority="317" stopIfTrue="1" operator="equal">
      <formula>"non pertinent / nicht relevant"</formula>
    </cfRule>
    <cfRule type="cellIs" dxfId="7013" priority="318" stopIfTrue="1" operator="equal">
      <formula>"61-80%"</formula>
    </cfRule>
    <cfRule type="cellIs" dxfId="7012" priority="319" stopIfTrue="1" operator="equal">
      <formula>"41-60%"</formula>
    </cfRule>
    <cfRule type="cellIs" dxfId="7011" priority="320" stopIfTrue="1" operator="equal">
      <formula>"21-40%"</formula>
    </cfRule>
    <cfRule type="cellIs" dxfId="7010" priority="321" stopIfTrue="1" operator="equal">
      <formula>"0-20%"</formula>
    </cfRule>
    <cfRule type="cellIs" dxfId="7009" priority="322" stopIfTrue="1" operator="equal">
      <formula>"81-100%"</formula>
    </cfRule>
    <cfRule type="cellIs" dxfId="7008" priority="323" stopIfTrue="1" operator="equal">
      <formula>"100%"</formula>
    </cfRule>
  </conditionalFormatting>
  <conditionalFormatting sqref="P30">
    <cfRule type="cellIs" dxfId="7007" priority="308" stopIfTrue="1" operator="equal">
      <formula>"Régime présumé naturel (100%) / Abfluss vermutlich natürlich"</formula>
    </cfRule>
    <cfRule type="cellIs" dxfId="7006" priority="309" stopIfTrue="1" operator="equal">
      <formula>"non pertinent / nicht relevant"</formula>
    </cfRule>
    <cfRule type="cellIs" dxfId="7005" priority="310" stopIfTrue="1" operator="equal">
      <formula>"61-80%"</formula>
    </cfRule>
    <cfRule type="cellIs" dxfId="7004" priority="311" stopIfTrue="1" operator="equal">
      <formula>"41-60%"</formula>
    </cfRule>
    <cfRule type="cellIs" dxfId="7003" priority="312" stopIfTrue="1" operator="equal">
      <formula>"21-40%"</formula>
    </cfRule>
    <cfRule type="cellIs" dxfId="7002" priority="313" stopIfTrue="1" operator="equal">
      <formula>"0-20%"</formula>
    </cfRule>
    <cfRule type="cellIs" dxfId="7001" priority="314" stopIfTrue="1" operator="equal">
      <formula>"81-100%"</formula>
    </cfRule>
    <cfRule type="cellIs" dxfId="7000" priority="315" stopIfTrue="1" operator="equal">
      <formula>"100%"</formula>
    </cfRule>
  </conditionalFormatting>
  <conditionalFormatting sqref="P44">
    <cfRule type="cellIs" dxfId="6999" priority="300" stopIfTrue="1" operator="equal">
      <formula>"Régime présumé naturel (100%) / Abfluss vermutlich natürlich"</formula>
    </cfRule>
    <cfRule type="cellIs" dxfId="6998" priority="301" stopIfTrue="1" operator="equal">
      <formula>"non pertinent / nicht relevant"</formula>
    </cfRule>
    <cfRule type="cellIs" dxfId="6997" priority="302" stopIfTrue="1" operator="equal">
      <formula>"61-80%"</formula>
    </cfRule>
    <cfRule type="cellIs" dxfId="6996" priority="303" stopIfTrue="1" operator="equal">
      <formula>"41-60%"</formula>
    </cfRule>
    <cfRule type="cellIs" dxfId="6995" priority="304" stopIfTrue="1" operator="equal">
      <formula>"21-40%"</formula>
    </cfRule>
    <cfRule type="cellIs" dxfId="6994" priority="305" stopIfTrue="1" operator="equal">
      <formula>"0-20%"</formula>
    </cfRule>
    <cfRule type="cellIs" dxfId="6993" priority="306" stopIfTrue="1" operator="equal">
      <formula>"81-100%"</formula>
    </cfRule>
    <cfRule type="cellIs" dxfId="6992" priority="307" stopIfTrue="1" operator="equal">
      <formula>"100%"</formula>
    </cfRule>
  </conditionalFormatting>
  <conditionalFormatting sqref="Q88">
    <cfRule type="cellIs" dxfId="6991" priority="292" stopIfTrue="1" operator="equal">
      <formula>"Régime présumé naturel (100%) / Abfluss vermutlich natürlich"</formula>
    </cfRule>
    <cfRule type="cellIs" dxfId="6990" priority="293" stopIfTrue="1" operator="equal">
      <formula>"non pertinent / nicht relevant"</formula>
    </cfRule>
    <cfRule type="cellIs" dxfId="6989" priority="294" stopIfTrue="1" operator="equal">
      <formula>"61-80%"</formula>
    </cfRule>
    <cfRule type="cellIs" dxfId="6988" priority="295" stopIfTrue="1" operator="equal">
      <formula>"41-60%"</formula>
    </cfRule>
    <cfRule type="cellIs" dxfId="6987" priority="296" stopIfTrue="1" operator="equal">
      <formula>"21-40%"</formula>
    </cfRule>
    <cfRule type="cellIs" dxfId="6986" priority="297" stopIfTrue="1" operator="equal">
      <formula>"0-20%"</formula>
    </cfRule>
    <cfRule type="cellIs" dxfId="6985" priority="298" stopIfTrue="1" operator="equal">
      <formula>"81-100%"</formula>
    </cfRule>
    <cfRule type="cellIs" dxfId="6984" priority="299" stopIfTrue="1" operator="equal">
      <formula>"100%"</formula>
    </cfRule>
  </conditionalFormatting>
  <conditionalFormatting sqref="Q170">
    <cfRule type="cellIs" dxfId="6983" priority="284" stopIfTrue="1" operator="equal">
      <formula>"Régime présumé naturel (100%) / Abfluss vermutlich natürlich"</formula>
    </cfRule>
    <cfRule type="cellIs" dxfId="6982" priority="285" stopIfTrue="1" operator="equal">
      <formula>"non pertinent / nicht relevant"</formula>
    </cfRule>
    <cfRule type="cellIs" dxfId="6981" priority="286" stopIfTrue="1" operator="equal">
      <formula>"61-80%"</formula>
    </cfRule>
    <cfRule type="cellIs" dxfId="6980" priority="287" stopIfTrue="1" operator="equal">
      <formula>"41-60%"</formula>
    </cfRule>
    <cfRule type="cellIs" dxfId="6979" priority="288" stopIfTrue="1" operator="equal">
      <formula>"21-40%"</formula>
    </cfRule>
    <cfRule type="cellIs" dxfId="6978" priority="289" stopIfTrue="1" operator="equal">
      <formula>"0-20%"</formula>
    </cfRule>
    <cfRule type="cellIs" dxfId="6977" priority="290" stopIfTrue="1" operator="equal">
      <formula>"81-100%"</formula>
    </cfRule>
    <cfRule type="cellIs" dxfId="6976" priority="291" stopIfTrue="1" operator="equal">
      <formula>"100%"</formula>
    </cfRule>
  </conditionalFormatting>
  <conditionalFormatting sqref="Q176">
    <cfRule type="cellIs" dxfId="6975" priority="276" stopIfTrue="1" operator="equal">
      <formula>"Régime présumé naturel (100%) / Abfluss vermutlich natürlich"</formula>
    </cfRule>
    <cfRule type="cellIs" dxfId="6974" priority="277" stopIfTrue="1" operator="equal">
      <formula>"non pertinent / nicht relevant"</formula>
    </cfRule>
    <cfRule type="cellIs" dxfId="6973" priority="278" stopIfTrue="1" operator="equal">
      <formula>"61-80%"</formula>
    </cfRule>
    <cfRule type="cellIs" dxfId="6972" priority="279" stopIfTrue="1" operator="equal">
      <formula>"41-60%"</formula>
    </cfRule>
    <cfRule type="cellIs" dxfId="6971" priority="280" stopIfTrue="1" operator="equal">
      <formula>"21-40%"</formula>
    </cfRule>
    <cfRule type="cellIs" dxfId="6970" priority="281" stopIfTrue="1" operator="equal">
      <formula>"0-20%"</formula>
    </cfRule>
    <cfRule type="cellIs" dxfId="6969" priority="282" stopIfTrue="1" operator="equal">
      <formula>"81-100%"</formula>
    </cfRule>
    <cfRule type="cellIs" dxfId="6968" priority="283" stopIfTrue="1" operator="equal">
      <formula>"100%"</formula>
    </cfRule>
  </conditionalFormatting>
  <conditionalFormatting sqref="Q231 Q241:Q247 Q265:Q266 Q268:Q270 Q227:Q229 Q249:Q260 Q262:Q263 Q221:Q224 Q233">
    <cfRule type="cellIs" dxfId="6967" priority="268" stopIfTrue="1" operator="equal">
      <formula>"Régime présumé naturel (100%) / Abfluss vermutlich natürlich"</formula>
    </cfRule>
    <cfRule type="cellIs" dxfId="6966" priority="269" stopIfTrue="1" operator="equal">
      <formula>"non pertinent / nicht relevant"</formula>
    </cfRule>
    <cfRule type="cellIs" dxfId="6965" priority="270" stopIfTrue="1" operator="equal">
      <formula>"61-80%"</formula>
    </cfRule>
    <cfRule type="cellIs" dxfId="6964" priority="271" stopIfTrue="1" operator="equal">
      <formula>"41-60%"</formula>
    </cfRule>
    <cfRule type="cellIs" dxfId="6963" priority="272" stopIfTrue="1" operator="equal">
      <formula>"21-40%"</formula>
    </cfRule>
    <cfRule type="cellIs" dxfId="6962" priority="273" stopIfTrue="1" operator="equal">
      <formula>"0-20%"</formula>
    </cfRule>
    <cfRule type="cellIs" dxfId="6961" priority="274" stopIfTrue="1" operator="equal">
      <formula>"81-100%"</formula>
    </cfRule>
    <cfRule type="cellIs" dxfId="6960" priority="275" stopIfTrue="1" operator="equal">
      <formula>"100%"</formula>
    </cfRule>
  </conditionalFormatting>
  <conditionalFormatting sqref="Q225">
    <cfRule type="cellIs" dxfId="6959" priority="260" stopIfTrue="1" operator="equal">
      <formula>"Régime présumé naturel (100%) / Abfluss vermutlich natürlich"</formula>
    </cfRule>
    <cfRule type="cellIs" dxfId="6958" priority="261" stopIfTrue="1" operator="equal">
      <formula>"non pertinent / nicht relevant"</formula>
    </cfRule>
    <cfRule type="cellIs" dxfId="6957" priority="262" stopIfTrue="1" operator="equal">
      <formula>"61-80%"</formula>
    </cfRule>
    <cfRule type="cellIs" dxfId="6956" priority="263" stopIfTrue="1" operator="equal">
      <formula>"41-60%"</formula>
    </cfRule>
    <cfRule type="cellIs" dxfId="6955" priority="264" stopIfTrue="1" operator="equal">
      <formula>"21-40%"</formula>
    </cfRule>
    <cfRule type="cellIs" dxfId="6954" priority="265" stopIfTrue="1" operator="equal">
      <formula>"0-20%"</formula>
    </cfRule>
    <cfRule type="cellIs" dxfId="6953" priority="266" stopIfTrue="1" operator="equal">
      <formula>"81-100%"</formula>
    </cfRule>
    <cfRule type="cellIs" dxfId="6952" priority="267" stopIfTrue="1" operator="equal">
      <formula>"100%"</formula>
    </cfRule>
  </conditionalFormatting>
  <conditionalFormatting sqref="Q230">
    <cfRule type="cellIs" dxfId="6951" priority="252" stopIfTrue="1" operator="equal">
      <formula>"Régime présumé naturel (100%) / Abfluss vermutlich natürlich"</formula>
    </cfRule>
    <cfRule type="cellIs" dxfId="6950" priority="253" stopIfTrue="1" operator="equal">
      <formula>"non pertinent / nicht relevant"</formula>
    </cfRule>
    <cfRule type="cellIs" dxfId="6949" priority="254" stopIfTrue="1" operator="equal">
      <formula>"61-80%"</formula>
    </cfRule>
    <cfRule type="cellIs" dxfId="6948" priority="255" stopIfTrue="1" operator="equal">
      <formula>"41-60%"</formula>
    </cfRule>
    <cfRule type="cellIs" dxfId="6947" priority="256" stopIfTrue="1" operator="equal">
      <formula>"21-40%"</formula>
    </cfRule>
    <cfRule type="cellIs" dxfId="6946" priority="257" stopIfTrue="1" operator="equal">
      <formula>"0-20%"</formula>
    </cfRule>
    <cfRule type="cellIs" dxfId="6945" priority="258" stopIfTrue="1" operator="equal">
      <formula>"81-100%"</formula>
    </cfRule>
    <cfRule type="cellIs" dxfId="6944" priority="259" stopIfTrue="1" operator="equal">
      <formula>"100%"</formula>
    </cfRule>
  </conditionalFormatting>
  <conditionalFormatting sqref="Q239">
    <cfRule type="cellIs" dxfId="6943" priority="244" stopIfTrue="1" operator="equal">
      <formula>"Régime présumé naturel (100%) / Abfluss vermutlich natürlich"</formula>
    </cfRule>
    <cfRule type="cellIs" dxfId="6942" priority="245" stopIfTrue="1" operator="equal">
      <formula>"non pertinent / nicht relevant"</formula>
    </cfRule>
    <cfRule type="cellIs" dxfId="6941" priority="246" stopIfTrue="1" operator="equal">
      <formula>"61-80%"</formula>
    </cfRule>
    <cfRule type="cellIs" dxfId="6940" priority="247" stopIfTrue="1" operator="equal">
      <formula>"41-60%"</formula>
    </cfRule>
    <cfRule type="cellIs" dxfId="6939" priority="248" stopIfTrue="1" operator="equal">
      <formula>"21-40%"</formula>
    </cfRule>
    <cfRule type="cellIs" dxfId="6938" priority="249" stopIfTrue="1" operator="equal">
      <formula>"0-20%"</formula>
    </cfRule>
    <cfRule type="cellIs" dxfId="6937" priority="250" stopIfTrue="1" operator="equal">
      <formula>"81-100%"</formula>
    </cfRule>
    <cfRule type="cellIs" dxfId="6936" priority="251" stopIfTrue="1" operator="equal">
      <formula>"100%"</formula>
    </cfRule>
  </conditionalFormatting>
  <conditionalFormatting sqref="Q240">
    <cfRule type="cellIs" dxfId="6935" priority="236" stopIfTrue="1" operator="equal">
      <formula>"Régime présumé naturel (100%) / Abfluss vermutlich natürlich"</formula>
    </cfRule>
    <cfRule type="cellIs" dxfId="6934" priority="237" stopIfTrue="1" operator="equal">
      <formula>"non pertinent / nicht relevant"</formula>
    </cfRule>
    <cfRule type="cellIs" dxfId="6933" priority="238" stopIfTrue="1" operator="equal">
      <formula>"61-80%"</formula>
    </cfRule>
    <cfRule type="cellIs" dxfId="6932" priority="239" stopIfTrue="1" operator="equal">
      <formula>"41-60%"</formula>
    </cfRule>
    <cfRule type="cellIs" dxfId="6931" priority="240" stopIfTrue="1" operator="equal">
      <formula>"21-40%"</formula>
    </cfRule>
    <cfRule type="cellIs" dxfId="6930" priority="241" stopIfTrue="1" operator="equal">
      <formula>"0-20%"</formula>
    </cfRule>
    <cfRule type="cellIs" dxfId="6929" priority="242" stopIfTrue="1" operator="equal">
      <formula>"81-100%"</formula>
    </cfRule>
    <cfRule type="cellIs" dxfId="6928" priority="243" stopIfTrue="1" operator="equal">
      <formula>"100%"</formula>
    </cfRule>
  </conditionalFormatting>
  <conditionalFormatting sqref="Q248">
    <cfRule type="cellIs" dxfId="6927" priority="228" stopIfTrue="1" operator="equal">
      <formula>"Régime présumé naturel (100%) / Abfluss vermutlich natürlich"</formula>
    </cfRule>
    <cfRule type="cellIs" dxfId="6926" priority="229" stopIfTrue="1" operator="equal">
      <formula>"non pertinent / nicht relevant"</formula>
    </cfRule>
    <cfRule type="cellIs" dxfId="6925" priority="230" stopIfTrue="1" operator="equal">
      <formula>"61-80%"</formula>
    </cfRule>
    <cfRule type="cellIs" dxfId="6924" priority="231" stopIfTrue="1" operator="equal">
      <formula>"41-60%"</formula>
    </cfRule>
    <cfRule type="cellIs" dxfId="6923" priority="232" stopIfTrue="1" operator="equal">
      <formula>"21-40%"</formula>
    </cfRule>
    <cfRule type="cellIs" dxfId="6922" priority="233" stopIfTrue="1" operator="equal">
      <formula>"0-20%"</formula>
    </cfRule>
    <cfRule type="cellIs" dxfId="6921" priority="234" stopIfTrue="1" operator="equal">
      <formula>"81-100%"</formula>
    </cfRule>
    <cfRule type="cellIs" dxfId="6920" priority="235" stopIfTrue="1" operator="equal">
      <formula>"100%"</formula>
    </cfRule>
  </conditionalFormatting>
  <conditionalFormatting sqref="Q261">
    <cfRule type="cellIs" dxfId="6919" priority="220" stopIfTrue="1" operator="equal">
      <formula>"Régime présumé naturel (100%) / Abfluss vermutlich natürlich"</formula>
    </cfRule>
    <cfRule type="cellIs" dxfId="6918" priority="221" stopIfTrue="1" operator="equal">
      <formula>"non pertinent / nicht relevant"</formula>
    </cfRule>
    <cfRule type="cellIs" dxfId="6917" priority="222" stopIfTrue="1" operator="equal">
      <formula>"61-80%"</formula>
    </cfRule>
    <cfRule type="cellIs" dxfId="6916" priority="223" stopIfTrue="1" operator="equal">
      <formula>"41-60%"</formula>
    </cfRule>
    <cfRule type="cellIs" dxfId="6915" priority="224" stopIfTrue="1" operator="equal">
      <formula>"21-40%"</formula>
    </cfRule>
    <cfRule type="cellIs" dxfId="6914" priority="225" stopIfTrue="1" operator="equal">
      <formula>"0-20%"</formula>
    </cfRule>
    <cfRule type="cellIs" dxfId="6913" priority="226" stopIfTrue="1" operator="equal">
      <formula>"81-100%"</formula>
    </cfRule>
    <cfRule type="cellIs" dxfId="6912" priority="227" stopIfTrue="1" operator="equal">
      <formula>"100%"</formula>
    </cfRule>
  </conditionalFormatting>
  <conditionalFormatting sqref="Q267">
    <cfRule type="cellIs" dxfId="6911" priority="212" stopIfTrue="1" operator="equal">
      <formula>"Régime présumé naturel (100%) / Abfluss vermutlich natürlich"</formula>
    </cfRule>
    <cfRule type="cellIs" dxfId="6910" priority="213" stopIfTrue="1" operator="equal">
      <formula>"non pertinent / nicht relevant"</formula>
    </cfRule>
    <cfRule type="cellIs" dxfId="6909" priority="214" stopIfTrue="1" operator="equal">
      <formula>"61-80%"</formula>
    </cfRule>
    <cfRule type="cellIs" dxfId="6908" priority="215" stopIfTrue="1" operator="equal">
      <formula>"41-60%"</formula>
    </cfRule>
    <cfRule type="cellIs" dxfId="6907" priority="216" stopIfTrue="1" operator="equal">
      <formula>"21-40%"</formula>
    </cfRule>
    <cfRule type="cellIs" dxfId="6906" priority="217" stopIfTrue="1" operator="equal">
      <formula>"0-20%"</formula>
    </cfRule>
    <cfRule type="cellIs" dxfId="6905" priority="218" stopIfTrue="1" operator="equal">
      <formula>"81-100%"</formula>
    </cfRule>
    <cfRule type="cellIs" dxfId="6904" priority="219" stopIfTrue="1" operator="equal">
      <formula>"100%"</formula>
    </cfRule>
  </conditionalFormatting>
  <conditionalFormatting sqref="Q271">
    <cfRule type="cellIs" dxfId="6903" priority="204" stopIfTrue="1" operator="equal">
      <formula>"Régime présumé naturel (100%) / Abfluss vermutlich natürlich"</formula>
    </cfRule>
    <cfRule type="cellIs" dxfId="6902" priority="205" stopIfTrue="1" operator="equal">
      <formula>"non pertinent / nicht relevant"</formula>
    </cfRule>
    <cfRule type="cellIs" dxfId="6901" priority="206" stopIfTrue="1" operator="equal">
      <formula>"61-80%"</formula>
    </cfRule>
    <cfRule type="cellIs" dxfId="6900" priority="207" stopIfTrue="1" operator="equal">
      <formula>"41-60%"</formula>
    </cfRule>
    <cfRule type="cellIs" dxfId="6899" priority="208" stopIfTrue="1" operator="equal">
      <formula>"21-40%"</formula>
    </cfRule>
    <cfRule type="cellIs" dxfId="6898" priority="209" stopIfTrue="1" operator="equal">
      <formula>"0-20%"</formula>
    </cfRule>
    <cfRule type="cellIs" dxfId="6897" priority="210" stopIfTrue="1" operator="equal">
      <formula>"81-100%"</formula>
    </cfRule>
    <cfRule type="cellIs" dxfId="6896" priority="211" stopIfTrue="1" operator="equal">
      <formula>"100%"</formula>
    </cfRule>
  </conditionalFormatting>
  <conditionalFormatting sqref="Q264">
    <cfRule type="cellIs" dxfId="6895" priority="196" stopIfTrue="1" operator="equal">
      <formula>"Régime présumé naturel (100%) / Abfluss vermutlich natürlich"</formula>
    </cfRule>
    <cfRule type="cellIs" dxfId="6894" priority="197" stopIfTrue="1" operator="equal">
      <formula>"non pertinent / nicht relevant"</formula>
    </cfRule>
    <cfRule type="cellIs" dxfId="6893" priority="198" stopIfTrue="1" operator="equal">
      <formula>"61-80%"</formula>
    </cfRule>
    <cfRule type="cellIs" dxfId="6892" priority="199" stopIfTrue="1" operator="equal">
      <formula>"41-60%"</formula>
    </cfRule>
    <cfRule type="cellIs" dxfId="6891" priority="200" stopIfTrue="1" operator="equal">
      <formula>"21-40%"</formula>
    </cfRule>
    <cfRule type="cellIs" dxfId="6890" priority="201" stopIfTrue="1" operator="equal">
      <formula>"0-20%"</formula>
    </cfRule>
    <cfRule type="cellIs" dxfId="6889" priority="202" stopIfTrue="1" operator="equal">
      <formula>"81-100%"</formula>
    </cfRule>
    <cfRule type="cellIs" dxfId="6888" priority="203" stopIfTrue="1" operator="equal">
      <formula>"100%"</formula>
    </cfRule>
  </conditionalFormatting>
  <conditionalFormatting sqref="Q232">
    <cfRule type="cellIs" dxfId="6887" priority="180" stopIfTrue="1" operator="equal">
      <formula>"Régime présumé naturel (100%) / Abfluss vermutlich natürlich"</formula>
    </cfRule>
    <cfRule type="cellIs" dxfId="6886" priority="181" stopIfTrue="1" operator="equal">
      <formula>"non pertinent / nicht relevant"</formula>
    </cfRule>
    <cfRule type="cellIs" dxfId="6885" priority="182" stopIfTrue="1" operator="equal">
      <formula>"61-80%"</formula>
    </cfRule>
    <cfRule type="cellIs" dxfId="6884" priority="183" stopIfTrue="1" operator="equal">
      <formula>"41-60%"</formula>
    </cfRule>
    <cfRule type="cellIs" dxfId="6883" priority="184" stopIfTrue="1" operator="equal">
      <formula>"21-40%"</formula>
    </cfRule>
    <cfRule type="cellIs" dxfId="6882" priority="185" stopIfTrue="1" operator="equal">
      <formula>"0-20%"</formula>
    </cfRule>
    <cfRule type="cellIs" dxfId="6881" priority="186" stopIfTrue="1" operator="equal">
      <formula>"81-100%"</formula>
    </cfRule>
    <cfRule type="cellIs" dxfId="6880" priority="187" stopIfTrue="1" operator="equal">
      <formula>"100%"</formula>
    </cfRule>
  </conditionalFormatting>
  <conditionalFormatting sqref="Q234">
    <cfRule type="cellIs" dxfId="6879" priority="172" stopIfTrue="1" operator="equal">
      <formula>"Régime présumé naturel (100%) / Abfluss vermutlich natürlich"</formula>
    </cfRule>
    <cfRule type="cellIs" dxfId="6878" priority="173" stopIfTrue="1" operator="equal">
      <formula>"non pertinent / nicht relevant"</formula>
    </cfRule>
    <cfRule type="cellIs" dxfId="6877" priority="174" stopIfTrue="1" operator="equal">
      <formula>"61-80%"</formula>
    </cfRule>
    <cfRule type="cellIs" dxfId="6876" priority="175" stopIfTrue="1" operator="equal">
      <formula>"41-60%"</formula>
    </cfRule>
    <cfRule type="cellIs" dxfId="6875" priority="176" stopIfTrue="1" operator="equal">
      <formula>"21-40%"</formula>
    </cfRule>
    <cfRule type="cellIs" dxfId="6874" priority="177" stopIfTrue="1" operator="equal">
      <formula>"0-20%"</formula>
    </cfRule>
    <cfRule type="cellIs" dxfId="6873" priority="178" stopIfTrue="1" operator="equal">
      <formula>"81-100%"</formula>
    </cfRule>
    <cfRule type="cellIs" dxfId="6872" priority="179" stopIfTrue="1" operator="equal">
      <formula>"100%"</formula>
    </cfRule>
  </conditionalFormatting>
  <conditionalFormatting sqref="Q235">
    <cfRule type="cellIs" dxfId="6871" priority="164" stopIfTrue="1" operator="equal">
      <formula>"Régime présumé naturel (100%) / Abfluss vermutlich natürlich"</formula>
    </cfRule>
    <cfRule type="cellIs" dxfId="6870" priority="165" stopIfTrue="1" operator="equal">
      <formula>"non pertinent / nicht relevant"</formula>
    </cfRule>
    <cfRule type="cellIs" dxfId="6869" priority="166" stopIfTrue="1" operator="equal">
      <formula>"61-80%"</formula>
    </cfRule>
    <cfRule type="cellIs" dxfId="6868" priority="167" stopIfTrue="1" operator="equal">
      <formula>"41-60%"</formula>
    </cfRule>
    <cfRule type="cellIs" dxfId="6867" priority="168" stopIfTrue="1" operator="equal">
      <formula>"21-40%"</formula>
    </cfRule>
    <cfRule type="cellIs" dxfId="6866" priority="169" stopIfTrue="1" operator="equal">
      <formula>"0-20%"</formula>
    </cfRule>
    <cfRule type="cellIs" dxfId="6865" priority="170" stopIfTrue="1" operator="equal">
      <formula>"81-100%"</formula>
    </cfRule>
    <cfRule type="cellIs" dxfId="6864" priority="171" stopIfTrue="1" operator="equal">
      <formula>"100%"</formula>
    </cfRule>
  </conditionalFormatting>
  <conditionalFormatting sqref="Q236">
    <cfRule type="cellIs" dxfId="6863" priority="156" stopIfTrue="1" operator="equal">
      <formula>"Régime présumé naturel (100%) / Abfluss vermutlich natürlich"</formula>
    </cfRule>
    <cfRule type="cellIs" dxfId="6862" priority="157" stopIfTrue="1" operator="equal">
      <formula>"non pertinent / nicht relevant"</formula>
    </cfRule>
    <cfRule type="cellIs" dxfId="6861" priority="158" stopIfTrue="1" operator="equal">
      <formula>"61-80%"</formula>
    </cfRule>
    <cfRule type="cellIs" dxfId="6860" priority="159" stopIfTrue="1" operator="equal">
      <formula>"41-60%"</formula>
    </cfRule>
    <cfRule type="cellIs" dxfId="6859" priority="160" stopIfTrue="1" operator="equal">
      <formula>"21-40%"</formula>
    </cfRule>
    <cfRule type="cellIs" dxfId="6858" priority="161" stopIfTrue="1" operator="equal">
      <formula>"0-20%"</formula>
    </cfRule>
    <cfRule type="cellIs" dxfId="6857" priority="162" stopIfTrue="1" operator="equal">
      <formula>"81-100%"</formula>
    </cfRule>
    <cfRule type="cellIs" dxfId="6856" priority="163" stopIfTrue="1" operator="equal">
      <formula>"100%"</formula>
    </cfRule>
  </conditionalFormatting>
  <conditionalFormatting sqref="Q237:Q238">
    <cfRule type="cellIs" dxfId="6855" priority="148" stopIfTrue="1" operator="equal">
      <formula>"Régime présumé naturel (100%) / Abfluss vermutlich natürlich"</formula>
    </cfRule>
    <cfRule type="cellIs" dxfId="6854" priority="149" stopIfTrue="1" operator="equal">
      <formula>"non pertinent / nicht relevant"</formula>
    </cfRule>
    <cfRule type="cellIs" dxfId="6853" priority="150" stopIfTrue="1" operator="equal">
      <formula>"61-80%"</formula>
    </cfRule>
    <cfRule type="cellIs" dxfId="6852" priority="151" stopIfTrue="1" operator="equal">
      <formula>"41-60%"</formula>
    </cfRule>
    <cfRule type="cellIs" dxfId="6851" priority="152" stopIfTrue="1" operator="equal">
      <formula>"21-40%"</formula>
    </cfRule>
    <cfRule type="cellIs" dxfId="6850" priority="153" stopIfTrue="1" operator="equal">
      <formula>"0-20%"</formula>
    </cfRule>
    <cfRule type="cellIs" dxfId="6849" priority="154" stopIfTrue="1" operator="equal">
      <formula>"81-100%"</formula>
    </cfRule>
    <cfRule type="cellIs" dxfId="6848" priority="155" stopIfTrue="1" operator="equal">
      <formula>"100%"</formula>
    </cfRule>
  </conditionalFormatting>
  <conditionalFormatting sqref="Q226">
    <cfRule type="cellIs" dxfId="6847" priority="140" stopIfTrue="1" operator="equal">
      <formula>"Régime présumé naturel (100%) / Abfluss vermutlich natürlich"</formula>
    </cfRule>
    <cfRule type="cellIs" dxfId="6846" priority="141" stopIfTrue="1" operator="equal">
      <formula>"non pertinent / nicht relevant"</formula>
    </cfRule>
    <cfRule type="cellIs" dxfId="6845" priority="142" stopIfTrue="1" operator="equal">
      <formula>"61-80%"</formula>
    </cfRule>
    <cfRule type="cellIs" dxfId="6844" priority="143" stopIfTrue="1" operator="equal">
      <formula>"41-60%"</formula>
    </cfRule>
    <cfRule type="cellIs" dxfId="6843" priority="144" stopIfTrue="1" operator="equal">
      <formula>"21-40%"</formula>
    </cfRule>
    <cfRule type="cellIs" dxfId="6842" priority="145" stopIfTrue="1" operator="equal">
      <formula>"0-20%"</formula>
    </cfRule>
    <cfRule type="cellIs" dxfId="6841" priority="146" stopIfTrue="1" operator="equal">
      <formula>"81-100%"</formula>
    </cfRule>
    <cfRule type="cellIs" dxfId="6840" priority="147" stopIfTrue="1" operator="equal">
      <formula>"100%"</formula>
    </cfRule>
  </conditionalFormatting>
  <conditionalFormatting sqref="Q86:Q87">
    <cfRule type="cellIs" dxfId="6839" priority="132" stopIfTrue="1" operator="equal">
      <formula>"Régime présumé naturel (100%) / Abfluss vermutlich natürlich"</formula>
    </cfRule>
    <cfRule type="cellIs" dxfId="6838" priority="133" stopIfTrue="1" operator="equal">
      <formula>"non pertinent / nicht relevant"</formula>
    </cfRule>
    <cfRule type="cellIs" dxfId="6837" priority="134" stopIfTrue="1" operator="equal">
      <formula>"61-80%"</formula>
    </cfRule>
    <cfRule type="cellIs" dxfId="6836" priority="135" stopIfTrue="1" operator="equal">
      <formula>"41-60%"</formula>
    </cfRule>
    <cfRule type="cellIs" dxfId="6835" priority="136" stopIfTrue="1" operator="equal">
      <formula>"21-40%"</formula>
    </cfRule>
    <cfRule type="cellIs" dxfId="6834" priority="137" stopIfTrue="1" operator="equal">
      <formula>"0-20%"</formula>
    </cfRule>
    <cfRule type="cellIs" dxfId="6833" priority="138" stopIfTrue="1" operator="equal">
      <formula>"81-100%"</formula>
    </cfRule>
    <cfRule type="cellIs" dxfId="6832" priority="139" stopIfTrue="1" operator="equal">
      <formula>"100%"</formula>
    </cfRule>
  </conditionalFormatting>
  <conditionalFormatting sqref="Q85">
    <cfRule type="cellIs" dxfId="6831" priority="124" stopIfTrue="1" operator="equal">
      <formula>"Régime présumé naturel (100%) / Abfluss vermutlich natürlich"</formula>
    </cfRule>
    <cfRule type="cellIs" dxfId="6830" priority="125" stopIfTrue="1" operator="equal">
      <formula>"non pertinent / nicht relevant"</formula>
    </cfRule>
    <cfRule type="cellIs" dxfId="6829" priority="126" stopIfTrue="1" operator="equal">
      <formula>"61-80%"</formula>
    </cfRule>
    <cfRule type="cellIs" dxfId="6828" priority="127" stopIfTrue="1" operator="equal">
      <formula>"41-60%"</formula>
    </cfRule>
    <cfRule type="cellIs" dxfId="6827" priority="128" stopIfTrue="1" operator="equal">
      <formula>"21-40%"</formula>
    </cfRule>
    <cfRule type="cellIs" dxfId="6826" priority="129" stopIfTrue="1" operator="equal">
      <formula>"0-20%"</formula>
    </cfRule>
    <cfRule type="cellIs" dxfId="6825" priority="130" stopIfTrue="1" operator="equal">
      <formula>"81-100%"</formula>
    </cfRule>
    <cfRule type="cellIs" dxfId="6824" priority="131" stopIfTrue="1" operator="equal">
      <formula>"100%"</formula>
    </cfRule>
  </conditionalFormatting>
  <conditionalFormatting sqref="Q89:Q91 Q93:Q96 Q112:Q113 Q117:Q119 Q127:Q141 Q99:Q110">
    <cfRule type="cellIs" dxfId="6823" priority="116" stopIfTrue="1" operator="equal">
      <formula>"Régime présumé naturel (100%) / Abfluss vermutlich natürlich"</formula>
    </cfRule>
    <cfRule type="cellIs" dxfId="6822" priority="117" stopIfTrue="1" operator="equal">
      <formula>"non pertinent / nicht relevant"</formula>
    </cfRule>
    <cfRule type="cellIs" dxfId="6821" priority="118" stopIfTrue="1" operator="equal">
      <formula>"61-80%"</formula>
    </cfRule>
    <cfRule type="cellIs" dxfId="6820" priority="119" stopIfTrue="1" operator="equal">
      <formula>"41-60%"</formula>
    </cfRule>
    <cfRule type="cellIs" dxfId="6819" priority="120" stopIfTrue="1" operator="equal">
      <formula>"21-40%"</formula>
    </cfRule>
    <cfRule type="cellIs" dxfId="6818" priority="121" stopIfTrue="1" operator="equal">
      <formula>"0-20%"</formula>
    </cfRule>
    <cfRule type="cellIs" dxfId="6817" priority="122" stopIfTrue="1" operator="equal">
      <formula>"81-100%"</formula>
    </cfRule>
    <cfRule type="cellIs" dxfId="6816" priority="123" stopIfTrue="1" operator="equal">
      <formula>"100%"</formula>
    </cfRule>
  </conditionalFormatting>
  <conditionalFormatting sqref="Q125:Q126">
    <cfRule type="cellIs" dxfId="6815" priority="108" stopIfTrue="1" operator="equal">
      <formula>"Régime présumé naturel (100%) / Abfluss vermutlich natürlich"</formula>
    </cfRule>
    <cfRule type="cellIs" dxfId="6814" priority="109" stopIfTrue="1" operator="equal">
      <formula>"non pertinent / nicht relevant"</formula>
    </cfRule>
    <cfRule type="cellIs" dxfId="6813" priority="110" stopIfTrue="1" operator="equal">
      <formula>"61-80%"</formula>
    </cfRule>
    <cfRule type="cellIs" dxfId="6812" priority="111" stopIfTrue="1" operator="equal">
      <formula>"41-60%"</formula>
    </cfRule>
    <cfRule type="cellIs" dxfId="6811" priority="112" stopIfTrue="1" operator="equal">
      <formula>"21-40%"</formula>
    </cfRule>
    <cfRule type="cellIs" dxfId="6810" priority="113" stopIfTrue="1" operator="equal">
      <formula>"0-20%"</formula>
    </cfRule>
    <cfRule type="cellIs" dxfId="6809" priority="114" stopIfTrue="1" operator="equal">
      <formula>"81-100%"</formula>
    </cfRule>
    <cfRule type="cellIs" dxfId="6808" priority="115" stopIfTrue="1" operator="equal">
      <formula>"100%"</formula>
    </cfRule>
  </conditionalFormatting>
  <conditionalFormatting sqref="Q98">
    <cfRule type="cellIs" dxfId="6807" priority="100" stopIfTrue="1" operator="equal">
      <formula>"Régime présumé naturel (100%) / Abfluss vermutlich natürlich"</formula>
    </cfRule>
    <cfRule type="cellIs" dxfId="6806" priority="101" stopIfTrue="1" operator="equal">
      <formula>"non pertinent / nicht relevant"</formula>
    </cfRule>
    <cfRule type="cellIs" dxfId="6805" priority="102" stopIfTrue="1" operator="equal">
      <formula>"61-80%"</formula>
    </cfRule>
    <cfRule type="cellIs" dxfId="6804" priority="103" stopIfTrue="1" operator="equal">
      <formula>"41-60%"</formula>
    </cfRule>
    <cfRule type="cellIs" dxfId="6803" priority="104" stopIfTrue="1" operator="equal">
      <formula>"21-40%"</formula>
    </cfRule>
    <cfRule type="cellIs" dxfId="6802" priority="105" stopIfTrue="1" operator="equal">
      <formula>"0-20%"</formula>
    </cfRule>
    <cfRule type="cellIs" dxfId="6801" priority="106" stopIfTrue="1" operator="equal">
      <formula>"81-100%"</formula>
    </cfRule>
    <cfRule type="cellIs" dxfId="6800" priority="107" stopIfTrue="1" operator="equal">
      <formula>"100%"</formula>
    </cfRule>
  </conditionalFormatting>
  <conditionalFormatting sqref="Q111">
    <cfRule type="cellIs" dxfId="6799" priority="92" stopIfTrue="1" operator="equal">
      <formula>"Régime présumé naturel (100%) / Abfluss vermutlich natürlich"</formula>
    </cfRule>
    <cfRule type="cellIs" dxfId="6798" priority="93" stopIfTrue="1" operator="equal">
      <formula>"non pertinent / nicht relevant"</formula>
    </cfRule>
    <cfRule type="cellIs" dxfId="6797" priority="94" stopIfTrue="1" operator="equal">
      <formula>"61-80%"</formula>
    </cfRule>
    <cfRule type="cellIs" dxfId="6796" priority="95" stopIfTrue="1" operator="equal">
      <formula>"41-60%"</formula>
    </cfRule>
    <cfRule type="cellIs" dxfId="6795" priority="96" stopIfTrue="1" operator="equal">
      <formula>"21-40%"</formula>
    </cfRule>
    <cfRule type="cellIs" dxfId="6794" priority="97" stopIfTrue="1" operator="equal">
      <formula>"0-20%"</formula>
    </cfRule>
    <cfRule type="cellIs" dxfId="6793" priority="98" stopIfTrue="1" operator="equal">
      <formula>"81-100%"</formula>
    </cfRule>
    <cfRule type="cellIs" dxfId="6792" priority="99" stopIfTrue="1" operator="equal">
      <formula>"100%"</formula>
    </cfRule>
  </conditionalFormatting>
  <conditionalFormatting sqref="Q97">
    <cfRule type="cellIs" dxfId="6791" priority="76" stopIfTrue="1" operator="equal">
      <formula>"Régime présumé naturel (100%) / Abfluss vermutlich natürlich"</formula>
    </cfRule>
    <cfRule type="cellIs" dxfId="6790" priority="77" stopIfTrue="1" operator="equal">
      <formula>"non pertinent / nicht relevant"</formula>
    </cfRule>
    <cfRule type="cellIs" dxfId="6789" priority="78" stopIfTrue="1" operator="equal">
      <formula>"61-80%"</formula>
    </cfRule>
    <cfRule type="cellIs" dxfId="6788" priority="79" stopIfTrue="1" operator="equal">
      <formula>"41-60%"</formula>
    </cfRule>
    <cfRule type="cellIs" dxfId="6787" priority="80" stopIfTrue="1" operator="equal">
      <formula>"21-40%"</formula>
    </cfRule>
    <cfRule type="cellIs" dxfId="6786" priority="81" stopIfTrue="1" operator="equal">
      <formula>"0-20%"</formula>
    </cfRule>
    <cfRule type="cellIs" dxfId="6785" priority="82" stopIfTrue="1" operator="equal">
      <formula>"81-100%"</formula>
    </cfRule>
    <cfRule type="cellIs" dxfId="6784" priority="83" stopIfTrue="1" operator="equal">
      <formula>"100%"</formula>
    </cfRule>
  </conditionalFormatting>
  <conditionalFormatting sqref="Q121">
    <cfRule type="cellIs" dxfId="6783" priority="68" stopIfTrue="1" operator="equal">
      <formula>"Régime présumé naturel (100%) / Abfluss vermutlich natürlich"</formula>
    </cfRule>
    <cfRule type="cellIs" dxfId="6782" priority="69" stopIfTrue="1" operator="equal">
      <formula>"non pertinent / nicht relevant"</formula>
    </cfRule>
    <cfRule type="cellIs" dxfId="6781" priority="70" stopIfTrue="1" operator="equal">
      <formula>"61-80%"</formula>
    </cfRule>
    <cfRule type="cellIs" dxfId="6780" priority="71" stopIfTrue="1" operator="equal">
      <formula>"41-60%"</formula>
    </cfRule>
    <cfRule type="cellIs" dxfId="6779" priority="72" stopIfTrue="1" operator="equal">
      <formula>"21-40%"</formula>
    </cfRule>
    <cfRule type="cellIs" dxfId="6778" priority="73" stopIfTrue="1" operator="equal">
      <formula>"0-20%"</formula>
    </cfRule>
    <cfRule type="cellIs" dxfId="6777" priority="74" stopIfTrue="1" operator="equal">
      <formula>"81-100%"</formula>
    </cfRule>
    <cfRule type="cellIs" dxfId="6776" priority="75" stopIfTrue="1" operator="equal">
      <formula>"100%"</formula>
    </cfRule>
  </conditionalFormatting>
  <conditionalFormatting sqref="Q123">
    <cfRule type="cellIs" dxfId="6775" priority="60" stopIfTrue="1" operator="equal">
      <formula>"Régime présumé naturel (100%) / Abfluss vermutlich natürlich"</formula>
    </cfRule>
    <cfRule type="cellIs" dxfId="6774" priority="61" stopIfTrue="1" operator="equal">
      <formula>"non pertinent / nicht relevant"</formula>
    </cfRule>
    <cfRule type="cellIs" dxfId="6773" priority="62" stopIfTrue="1" operator="equal">
      <formula>"61-80%"</formula>
    </cfRule>
    <cfRule type="cellIs" dxfId="6772" priority="63" stopIfTrue="1" operator="equal">
      <formula>"41-60%"</formula>
    </cfRule>
    <cfRule type="cellIs" dxfId="6771" priority="64" stopIfTrue="1" operator="equal">
      <formula>"21-40%"</formula>
    </cfRule>
    <cfRule type="cellIs" dxfId="6770" priority="65" stopIfTrue="1" operator="equal">
      <formula>"0-20%"</formula>
    </cfRule>
    <cfRule type="cellIs" dxfId="6769" priority="66" stopIfTrue="1" operator="equal">
      <formula>"81-100%"</formula>
    </cfRule>
    <cfRule type="cellIs" dxfId="6768" priority="67" stopIfTrue="1" operator="equal">
      <formula>"100%"</formula>
    </cfRule>
  </conditionalFormatting>
  <conditionalFormatting sqref="Q115:Q116">
    <cfRule type="cellIs" dxfId="6767" priority="52" stopIfTrue="1" operator="equal">
      <formula>"Régime présumé naturel (100%) / Abfluss vermutlich natürlich"</formula>
    </cfRule>
    <cfRule type="cellIs" dxfId="6766" priority="53" stopIfTrue="1" operator="equal">
      <formula>"non pertinent / nicht relevant"</formula>
    </cfRule>
    <cfRule type="cellIs" dxfId="6765" priority="54" stopIfTrue="1" operator="equal">
      <formula>"61-80%"</formula>
    </cfRule>
    <cfRule type="cellIs" dxfId="6764" priority="55" stopIfTrue="1" operator="equal">
      <formula>"41-60%"</formula>
    </cfRule>
    <cfRule type="cellIs" dxfId="6763" priority="56" stopIfTrue="1" operator="equal">
      <formula>"21-40%"</formula>
    </cfRule>
    <cfRule type="cellIs" dxfId="6762" priority="57" stopIfTrue="1" operator="equal">
      <formula>"0-20%"</formula>
    </cfRule>
    <cfRule type="cellIs" dxfId="6761" priority="58" stopIfTrue="1" operator="equal">
      <formula>"81-100%"</formula>
    </cfRule>
    <cfRule type="cellIs" dxfId="6760" priority="59" stopIfTrue="1" operator="equal">
      <formula>"100%"</formula>
    </cfRule>
  </conditionalFormatting>
  <conditionalFormatting sqref="Q92">
    <cfRule type="cellIs" dxfId="6759" priority="44" stopIfTrue="1" operator="equal">
      <formula>"Régime présumé naturel (100%) / Abfluss vermutlich natürlich"</formula>
    </cfRule>
    <cfRule type="cellIs" dxfId="6758" priority="45" stopIfTrue="1" operator="equal">
      <formula>"non pertinent / nicht relevant"</formula>
    </cfRule>
    <cfRule type="cellIs" dxfId="6757" priority="46" stopIfTrue="1" operator="equal">
      <formula>"61-80%"</formula>
    </cfRule>
    <cfRule type="cellIs" dxfId="6756" priority="47" stopIfTrue="1" operator="equal">
      <formula>"41-60%"</formula>
    </cfRule>
    <cfRule type="cellIs" dxfId="6755" priority="48" stopIfTrue="1" operator="equal">
      <formula>"21-40%"</formula>
    </cfRule>
    <cfRule type="cellIs" dxfId="6754" priority="49" stopIfTrue="1" operator="equal">
      <formula>"0-20%"</formula>
    </cfRule>
    <cfRule type="cellIs" dxfId="6753" priority="50" stopIfTrue="1" operator="equal">
      <formula>"81-100%"</formula>
    </cfRule>
    <cfRule type="cellIs" dxfId="6752" priority="51" stopIfTrue="1" operator="equal">
      <formula>"100%"</formula>
    </cfRule>
  </conditionalFormatting>
  <conditionalFormatting sqref="Q114">
    <cfRule type="cellIs" dxfId="6751" priority="36" stopIfTrue="1" operator="equal">
      <formula>"Régime présumé naturel (100%) / Abfluss vermutlich natürlich"</formula>
    </cfRule>
    <cfRule type="cellIs" dxfId="6750" priority="37" stopIfTrue="1" operator="equal">
      <formula>"non pertinent / nicht relevant"</formula>
    </cfRule>
    <cfRule type="cellIs" dxfId="6749" priority="38" stopIfTrue="1" operator="equal">
      <formula>"61-80%"</formula>
    </cfRule>
    <cfRule type="cellIs" dxfId="6748" priority="39" stopIfTrue="1" operator="equal">
      <formula>"41-60%"</formula>
    </cfRule>
    <cfRule type="cellIs" dxfId="6747" priority="40" stopIfTrue="1" operator="equal">
      <formula>"21-40%"</formula>
    </cfRule>
    <cfRule type="cellIs" dxfId="6746" priority="41" stopIfTrue="1" operator="equal">
      <formula>"0-20%"</formula>
    </cfRule>
    <cfRule type="cellIs" dxfId="6745" priority="42" stopIfTrue="1" operator="equal">
      <formula>"81-100%"</formula>
    </cfRule>
    <cfRule type="cellIs" dxfId="6744" priority="43" stopIfTrue="1" operator="equal">
      <formula>"100%"</formula>
    </cfRule>
  </conditionalFormatting>
  <conditionalFormatting sqref="Q122">
    <cfRule type="cellIs" dxfId="6743" priority="28" stopIfTrue="1" operator="equal">
      <formula>"Régime présumé naturel (100%) / Abfluss vermutlich natürlich"</formula>
    </cfRule>
    <cfRule type="cellIs" dxfId="6742" priority="29" stopIfTrue="1" operator="equal">
      <formula>"non pertinent / nicht relevant"</formula>
    </cfRule>
    <cfRule type="cellIs" dxfId="6741" priority="30" stopIfTrue="1" operator="equal">
      <formula>"61-80%"</formula>
    </cfRule>
    <cfRule type="cellIs" dxfId="6740" priority="31" stopIfTrue="1" operator="equal">
      <formula>"41-60%"</formula>
    </cfRule>
    <cfRule type="cellIs" dxfId="6739" priority="32" stopIfTrue="1" operator="equal">
      <formula>"21-40%"</formula>
    </cfRule>
    <cfRule type="cellIs" dxfId="6738" priority="33" stopIfTrue="1" operator="equal">
      <formula>"0-20%"</formula>
    </cfRule>
    <cfRule type="cellIs" dxfId="6737" priority="34" stopIfTrue="1" operator="equal">
      <formula>"81-100%"</formula>
    </cfRule>
    <cfRule type="cellIs" dxfId="6736" priority="35" stopIfTrue="1" operator="equal">
      <formula>"100%"</formula>
    </cfRule>
  </conditionalFormatting>
  <conditionalFormatting sqref="Q124">
    <cfRule type="cellIs" dxfId="6735" priority="20" stopIfTrue="1" operator="equal">
      <formula>"Régime présumé naturel (100%) / Abfluss vermutlich natürlich"</formula>
    </cfRule>
    <cfRule type="cellIs" dxfId="6734" priority="21" stopIfTrue="1" operator="equal">
      <formula>"non pertinent / nicht relevant"</formula>
    </cfRule>
    <cfRule type="cellIs" dxfId="6733" priority="22" stopIfTrue="1" operator="equal">
      <formula>"61-80%"</formula>
    </cfRule>
    <cfRule type="cellIs" dxfId="6732" priority="23" stopIfTrue="1" operator="equal">
      <formula>"41-60%"</formula>
    </cfRule>
    <cfRule type="cellIs" dxfId="6731" priority="24" stopIfTrue="1" operator="equal">
      <formula>"21-40%"</formula>
    </cfRule>
    <cfRule type="cellIs" dxfId="6730" priority="25" stopIfTrue="1" operator="equal">
      <formula>"0-20%"</formula>
    </cfRule>
    <cfRule type="cellIs" dxfId="6729" priority="26" stopIfTrue="1" operator="equal">
      <formula>"81-100%"</formula>
    </cfRule>
    <cfRule type="cellIs" dxfId="6728" priority="27" stopIfTrue="1" operator="equal">
      <formula>"100%"</formula>
    </cfRule>
  </conditionalFormatting>
  <conditionalFormatting sqref="Q120">
    <cfRule type="cellIs" dxfId="6727" priority="12" stopIfTrue="1" operator="equal">
      <formula>"Régime présumé naturel (100%) / Abfluss vermutlich natürlich"</formula>
    </cfRule>
    <cfRule type="cellIs" dxfId="6726" priority="13" stopIfTrue="1" operator="equal">
      <formula>"non pertinent / nicht relevant"</formula>
    </cfRule>
    <cfRule type="cellIs" dxfId="6725" priority="14" stopIfTrue="1" operator="equal">
      <formula>"61-80%"</formula>
    </cfRule>
    <cfRule type="cellIs" dxfId="6724" priority="15" stopIfTrue="1" operator="equal">
      <formula>"41-60%"</formula>
    </cfRule>
    <cfRule type="cellIs" dxfId="6723" priority="16" stopIfTrue="1" operator="equal">
      <formula>"21-40%"</formula>
    </cfRule>
    <cfRule type="cellIs" dxfId="6722" priority="17" stopIfTrue="1" operator="equal">
      <formula>"0-20%"</formula>
    </cfRule>
    <cfRule type="cellIs" dxfId="6721" priority="18" stopIfTrue="1" operator="equal">
      <formula>"81-100%"</formula>
    </cfRule>
    <cfRule type="cellIs" dxfId="6720" priority="19" stopIfTrue="1" operator="equal">
      <formula>"100%"</formula>
    </cfRule>
  </conditionalFormatting>
  <conditionalFormatting sqref="S2 S4:S1048576">
    <cfRule type="cellIs" dxfId="6719" priority="9" operator="equal">
      <formula>"Potentiellement affecté / möglicherweise betroffen"</formula>
    </cfRule>
    <cfRule type="cellIs" dxfId="6718" priority="10" operator="equal">
      <formula>"Potentiellement affecté mais non plausible / möglicherweise betroffen aber nicht nachweisbar"</formula>
    </cfRule>
    <cfRule type="cellIs" dxfId="6717" priority="11" operator="equal">
      <formula>"Non affecté / nicht betroffen"</formula>
    </cfRule>
  </conditionalFormatting>
  <conditionalFormatting sqref="Q184">
    <cfRule type="cellIs" dxfId="6716" priority="1" stopIfTrue="1" operator="equal">
      <formula>"Régime présumé naturel (100%) / Abfluss vermutlich natürlich"</formula>
    </cfRule>
    <cfRule type="cellIs" dxfId="6715" priority="2" stopIfTrue="1" operator="equal">
      <formula>"non pertinent / nicht relevant"</formula>
    </cfRule>
    <cfRule type="cellIs" dxfId="6714" priority="3" stopIfTrue="1" operator="equal">
      <formula>"61-80%"</formula>
    </cfRule>
    <cfRule type="cellIs" dxfId="6713" priority="4" stopIfTrue="1" operator="equal">
      <formula>"41-60%"</formula>
    </cfRule>
    <cfRule type="cellIs" dxfId="6712" priority="5" stopIfTrue="1" operator="equal">
      <formula>"21-40%"</formula>
    </cfRule>
    <cfRule type="cellIs" dxfId="6711" priority="6" stopIfTrue="1" operator="equal">
      <formula>"0-20%"</formula>
    </cfRule>
    <cfRule type="cellIs" dxfId="6710" priority="7" stopIfTrue="1" operator="equal">
      <formula>"81-100%"</formula>
    </cfRule>
    <cfRule type="cellIs" dxfId="6709" priority="8" stopIfTrue="1" operator="equal">
      <formula>"100%"</formula>
    </cfRule>
  </conditionalFormatting>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F273"/>
  <sheetViews>
    <sheetView zoomScale="85" zoomScaleNormal="85" workbookViewId="0">
      <selection activeCell="B30" sqref="B30"/>
    </sheetView>
  </sheetViews>
  <sheetFormatPr baseColWidth="10" defaultRowHeight="15" x14ac:dyDescent="0.25"/>
  <cols>
    <col min="2" max="4" width="11.5703125" customWidth="1"/>
    <col min="5" max="5" width="8" style="267" customWidth="1"/>
  </cols>
  <sheetData>
    <row r="1" spans="1:6" ht="95.25" x14ac:dyDescent="0.25">
      <c r="A1" s="268" t="s">
        <v>1053</v>
      </c>
      <c r="B1" s="269" t="s">
        <v>21</v>
      </c>
      <c r="C1" s="269" t="s">
        <v>22</v>
      </c>
      <c r="D1" s="269" t="s">
        <v>20</v>
      </c>
      <c r="E1" s="573" t="s">
        <v>1980</v>
      </c>
      <c r="F1" s="269" t="s">
        <v>1863</v>
      </c>
    </row>
    <row r="2" spans="1:6" ht="54" x14ac:dyDescent="0.25">
      <c r="A2" s="926">
        <v>2</v>
      </c>
      <c r="B2" s="400" t="s">
        <v>36</v>
      </c>
      <c r="C2" s="400" t="s">
        <v>37</v>
      </c>
      <c r="D2" s="401" t="s">
        <v>35</v>
      </c>
      <c r="E2" s="328" t="s">
        <v>1981</v>
      </c>
      <c r="F2" s="467" t="s">
        <v>719</v>
      </c>
    </row>
    <row r="3" spans="1:6" ht="33.75" x14ac:dyDescent="0.25">
      <c r="A3" s="926">
        <v>3</v>
      </c>
      <c r="B3" s="400" t="s">
        <v>46</v>
      </c>
      <c r="C3" s="400" t="s">
        <v>37</v>
      </c>
      <c r="D3" s="401" t="s">
        <v>35</v>
      </c>
      <c r="E3" s="328" t="s">
        <v>1981</v>
      </c>
      <c r="F3" s="467" t="s">
        <v>722</v>
      </c>
    </row>
    <row r="4" spans="1:6" ht="18" x14ac:dyDescent="0.25">
      <c r="A4" s="926">
        <v>4</v>
      </c>
      <c r="B4" s="400" t="s">
        <v>440</v>
      </c>
      <c r="C4" s="400" t="s">
        <v>441</v>
      </c>
      <c r="D4" s="401" t="s">
        <v>439</v>
      </c>
      <c r="E4" s="325"/>
      <c r="F4" s="467" t="s">
        <v>722</v>
      </c>
    </row>
    <row r="5" spans="1:6" ht="54" x14ac:dyDescent="0.25">
      <c r="A5" s="926">
        <v>5</v>
      </c>
      <c r="B5" s="400" t="s">
        <v>449</v>
      </c>
      <c r="C5" s="400" t="s">
        <v>450</v>
      </c>
      <c r="D5" s="401" t="s">
        <v>448</v>
      </c>
      <c r="E5" s="328" t="s">
        <v>1981</v>
      </c>
      <c r="F5" s="467" t="s">
        <v>719</v>
      </c>
    </row>
    <row r="6" spans="1:6" ht="54" x14ac:dyDescent="0.25">
      <c r="A6" s="926">
        <v>6</v>
      </c>
      <c r="B6" s="400" t="s">
        <v>473</v>
      </c>
      <c r="C6" s="400" t="s">
        <v>417</v>
      </c>
      <c r="D6" s="401" t="s">
        <v>472</v>
      </c>
      <c r="E6" s="325"/>
      <c r="F6" s="467" t="s">
        <v>719</v>
      </c>
    </row>
    <row r="7" spans="1:6" ht="54" x14ac:dyDescent="0.25">
      <c r="A7" s="926">
        <v>7</v>
      </c>
      <c r="B7" s="400" t="s">
        <v>476</v>
      </c>
      <c r="C7" s="400" t="s">
        <v>417</v>
      </c>
      <c r="D7" s="401" t="s">
        <v>472</v>
      </c>
      <c r="E7" s="325"/>
      <c r="F7" s="467" t="s">
        <v>719</v>
      </c>
    </row>
    <row r="8" spans="1:6" ht="54" x14ac:dyDescent="0.25">
      <c r="A8" s="926">
        <v>8</v>
      </c>
      <c r="B8" s="400" t="s">
        <v>478</v>
      </c>
      <c r="C8" s="400" t="s">
        <v>479</v>
      </c>
      <c r="D8" s="401" t="s">
        <v>472</v>
      </c>
      <c r="E8" s="325"/>
      <c r="F8" s="467" t="s">
        <v>719</v>
      </c>
    </row>
    <row r="9" spans="1:6" ht="54" x14ac:dyDescent="0.25">
      <c r="A9" s="926">
        <v>9</v>
      </c>
      <c r="B9" s="400" t="s">
        <v>480</v>
      </c>
      <c r="C9" s="400" t="s">
        <v>417</v>
      </c>
      <c r="D9" s="401">
        <v>0</v>
      </c>
      <c r="E9" s="328" t="s">
        <v>1981</v>
      </c>
      <c r="F9" s="467" t="s">
        <v>719</v>
      </c>
    </row>
    <row r="10" spans="1:6" ht="18" x14ac:dyDescent="0.25">
      <c r="A10" s="926">
        <v>11</v>
      </c>
      <c r="B10" s="400" t="s">
        <v>481</v>
      </c>
      <c r="C10" s="400" t="s">
        <v>417</v>
      </c>
      <c r="D10" s="401" t="s">
        <v>472</v>
      </c>
      <c r="E10" s="328" t="s">
        <v>1981</v>
      </c>
      <c r="F10" s="467" t="s">
        <v>722</v>
      </c>
    </row>
    <row r="11" spans="1:6" ht="18" x14ac:dyDescent="0.25">
      <c r="A11" s="926">
        <v>12</v>
      </c>
      <c r="B11" s="400" t="s">
        <v>436</v>
      </c>
      <c r="C11" s="400" t="s">
        <v>417</v>
      </c>
      <c r="D11" s="401" t="s">
        <v>435</v>
      </c>
      <c r="E11" s="328" t="s">
        <v>1981</v>
      </c>
      <c r="F11" s="467" t="s">
        <v>722</v>
      </c>
    </row>
    <row r="12" spans="1:6" ht="33.75" x14ac:dyDescent="0.25">
      <c r="A12" s="926">
        <v>14</v>
      </c>
      <c r="B12" s="400" t="s">
        <v>411</v>
      </c>
      <c r="C12" s="400" t="s">
        <v>412</v>
      </c>
      <c r="D12" s="401" t="s">
        <v>410</v>
      </c>
      <c r="E12" s="328" t="s">
        <v>1981</v>
      </c>
      <c r="F12" s="467" t="s">
        <v>722</v>
      </c>
    </row>
    <row r="13" spans="1:6" ht="22.5" x14ac:dyDescent="0.25">
      <c r="A13" s="926">
        <v>16</v>
      </c>
      <c r="B13" s="400" t="s">
        <v>416</v>
      </c>
      <c r="C13" s="400" t="s">
        <v>417</v>
      </c>
      <c r="D13" s="401" t="s">
        <v>410</v>
      </c>
      <c r="E13" s="325"/>
      <c r="F13" s="467" t="s">
        <v>722</v>
      </c>
    </row>
    <row r="14" spans="1:6" ht="22.5" x14ac:dyDescent="0.25">
      <c r="A14" s="926">
        <v>18</v>
      </c>
      <c r="B14" s="400" t="s">
        <v>419</v>
      </c>
      <c r="C14" s="400" t="s">
        <v>417</v>
      </c>
      <c r="D14" s="401" t="s">
        <v>410</v>
      </c>
      <c r="E14" s="325"/>
      <c r="F14" s="467" t="s">
        <v>722</v>
      </c>
    </row>
    <row r="15" spans="1:6" ht="45" x14ac:dyDescent="0.25">
      <c r="A15" s="926">
        <v>19</v>
      </c>
      <c r="B15" s="400" t="s">
        <v>420</v>
      </c>
      <c r="C15" s="400" t="s">
        <v>421</v>
      </c>
      <c r="D15" s="401" t="s">
        <v>410</v>
      </c>
      <c r="E15" s="328" t="s">
        <v>1982</v>
      </c>
      <c r="F15" s="467" t="s">
        <v>722</v>
      </c>
    </row>
    <row r="16" spans="1:6" ht="36" x14ac:dyDescent="0.25">
      <c r="A16" s="1233">
        <v>22</v>
      </c>
      <c r="B16" s="409" t="s">
        <v>275</v>
      </c>
      <c r="C16" s="410" t="s">
        <v>37</v>
      </c>
      <c r="D16" s="411" t="s">
        <v>274</v>
      </c>
      <c r="E16" s="328" t="s">
        <v>1981</v>
      </c>
      <c r="F16" s="467" t="s">
        <v>767</v>
      </c>
    </row>
    <row r="17" spans="1:6" ht="36" x14ac:dyDescent="0.25">
      <c r="A17" s="1233">
        <v>25</v>
      </c>
      <c r="B17" s="409" t="s">
        <v>277</v>
      </c>
      <c r="C17" s="410" t="s">
        <v>37</v>
      </c>
      <c r="D17" s="411" t="s">
        <v>274</v>
      </c>
      <c r="E17" s="328" t="s">
        <v>1981</v>
      </c>
      <c r="F17" s="467" t="s">
        <v>767</v>
      </c>
    </row>
    <row r="18" spans="1:6" ht="36" x14ac:dyDescent="0.25">
      <c r="A18" s="928">
        <v>27</v>
      </c>
      <c r="B18" s="400" t="s">
        <v>278</v>
      </c>
      <c r="C18" s="400" t="s">
        <v>279</v>
      </c>
      <c r="D18" s="401" t="s">
        <v>274</v>
      </c>
      <c r="E18" s="328" t="s">
        <v>1981</v>
      </c>
      <c r="F18" s="467" t="s">
        <v>767</v>
      </c>
    </row>
    <row r="19" spans="1:6" ht="36" x14ac:dyDescent="0.25">
      <c r="A19" s="928">
        <v>28</v>
      </c>
      <c r="B19" s="400" t="s">
        <v>281</v>
      </c>
      <c r="C19" s="400" t="s">
        <v>282</v>
      </c>
      <c r="D19" s="401" t="s">
        <v>274</v>
      </c>
      <c r="E19" s="328" t="s">
        <v>1981</v>
      </c>
      <c r="F19" s="467" t="s">
        <v>767</v>
      </c>
    </row>
    <row r="20" spans="1:6" ht="36" x14ac:dyDescent="0.25">
      <c r="A20" s="926">
        <v>29</v>
      </c>
      <c r="B20" s="400" t="s">
        <v>283</v>
      </c>
      <c r="C20" s="400" t="s">
        <v>284</v>
      </c>
      <c r="D20" s="401" t="s">
        <v>274</v>
      </c>
      <c r="E20" s="328" t="s">
        <v>1981</v>
      </c>
      <c r="F20" s="467" t="s">
        <v>767</v>
      </c>
    </row>
    <row r="21" spans="1:6" ht="22.5" x14ac:dyDescent="0.25">
      <c r="A21" s="926">
        <v>30</v>
      </c>
      <c r="B21" s="400" t="s">
        <v>285</v>
      </c>
      <c r="C21" s="400" t="s">
        <v>284</v>
      </c>
      <c r="D21" s="401" t="s">
        <v>274</v>
      </c>
      <c r="E21" s="328" t="s">
        <v>1981</v>
      </c>
      <c r="F21" s="467" t="s">
        <v>722</v>
      </c>
    </row>
    <row r="22" spans="1:6" ht="18" x14ac:dyDescent="0.25">
      <c r="A22" s="926">
        <v>31</v>
      </c>
      <c r="B22" s="400" t="s">
        <v>286</v>
      </c>
      <c r="C22" s="400" t="s">
        <v>284</v>
      </c>
      <c r="D22" s="401" t="s">
        <v>274</v>
      </c>
      <c r="E22" s="328" t="s">
        <v>1981</v>
      </c>
      <c r="F22" s="467" t="s">
        <v>722</v>
      </c>
    </row>
    <row r="23" spans="1:6" ht="22.5" x14ac:dyDescent="0.25">
      <c r="A23" s="926">
        <v>32</v>
      </c>
      <c r="B23" s="400" t="s">
        <v>288</v>
      </c>
      <c r="C23" s="400" t="s">
        <v>284</v>
      </c>
      <c r="D23" s="401" t="s">
        <v>274</v>
      </c>
      <c r="E23" s="328" t="s">
        <v>1981</v>
      </c>
      <c r="F23" s="467" t="s">
        <v>722</v>
      </c>
    </row>
    <row r="24" spans="1:6" ht="22.5" x14ac:dyDescent="0.25">
      <c r="A24" s="926">
        <v>33</v>
      </c>
      <c r="B24" s="400" t="s">
        <v>290</v>
      </c>
      <c r="C24" s="400" t="s">
        <v>284</v>
      </c>
      <c r="D24" s="401" t="s">
        <v>274</v>
      </c>
      <c r="E24" s="328" t="s">
        <v>1981</v>
      </c>
      <c r="F24" s="467" t="s">
        <v>722</v>
      </c>
    </row>
    <row r="25" spans="1:6" ht="18" x14ac:dyDescent="0.25">
      <c r="A25" s="926">
        <v>34</v>
      </c>
      <c r="B25" s="400" t="s">
        <v>291</v>
      </c>
      <c r="C25" s="400" t="s">
        <v>284</v>
      </c>
      <c r="D25" s="401" t="s">
        <v>274</v>
      </c>
      <c r="E25" s="328" t="s">
        <v>1981</v>
      </c>
      <c r="F25" s="467" t="s">
        <v>722</v>
      </c>
    </row>
    <row r="26" spans="1:6" ht="22.5" x14ac:dyDescent="0.25">
      <c r="A26" s="926">
        <v>35</v>
      </c>
      <c r="B26" s="400" t="s">
        <v>292</v>
      </c>
      <c r="C26" s="400" t="s">
        <v>284</v>
      </c>
      <c r="D26" s="401" t="s">
        <v>274</v>
      </c>
      <c r="E26" s="328" t="s">
        <v>1981</v>
      </c>
      <c r="F26" s="467" t="s">
        <v>722</v>
      </c>
    </row>
    <row r="27" spans="1:6" ht="54" x14ac:dyDescent="0.25">
      <c r="A27" s="926">
        <v>36</v>
      </c>
      <c r="B27" s="400" t="s">
        <v>49</v>
      </c>
      <c r="C27" s="400" t="s">
        <v>50</v>
      </c>
      <c r="D27" s="401" t="s">
        <v>35</v>
      </c>
      <c r="E27" s="328"/>
      <c r="F27" s="467" t="s">
        <v>719</v>
      </c>
    </row>
    <row r="28" spans="1:6" ht="22.5" x14ac:dyDescent="0.25">
      <c r="A28" s="926">
        <v>37</v>
      </c>
      <c r="B28" s="400" t="s">
        <v>56</v>
      </c>
      <c r="C28" s="400" t="s">
        <v>57</v>
      </c>
      <c r="D28" s="401" t="s">
        <v>35</v>
      </c>
      <c r="E28" s="328" t="s">
        <v>1981</v>
      </c>
      <c r="F28" s="467" t="s">
        <v>722</v>
      </c>
    </row>
    <row r="29" spans="1:6" ht="33.75" x14ac:dyDescent="0.25">
      <c r="A29" s="926">
        <v>40</v>
      </c>
      <c r="B29" s="400" t="s">
        <v>60</v>
      </c>
      <c r="C29" s="400" t="s">
        <v>50</v>
      </c>
      <c r="D29" s="401" t="s">
        <v>35</v>
      </c>
      <c r="E29" s="328" t="s">
        <v>1981</v>
      </c>
      <c r="F29" s="467" t="s">
        <v>722</v>
      </c>
    </row>
    <row r="30" spans="1:6" ht="22.5" x14ac:dyDescent="0.25">
      <c r="A30" s="926">
        <v>44</v>
      </c>
      <c r="B30" s="400" t="s">
        <v>93</v>
      </c>
      <c r="C30" s="400" t="s">
        <v>94</v>
      </c>
      <c r="D30" s="401" t="s">
        <v>92</v>
      </c>
      <c r="E30" s="325"/>
      <c r="F30" s="467" t="s">
        <v>722</v>
      </c>
    </row>
    <row r="31" spans="1:6" ht="22.5" x14ac:dyDescent="0.25">
      <c r="A31" s="926">
        <v>45</v>
      </c>
      <c r="B31" s="400" t="s">
        <v>455</v>
      </c>
      <c r="C31" s="400" t="s">
        <v>456</v>
      </c>
      <c r="D31" s="401" t="s">
        <v>454</v>
      </c>
      <c r="E31" s="328" t="s">
        <v>1981</v>
      </c>
      <c r="F31" s="467" t="s">
        <v>722</v>
      </c>
    </row>
    <row r="32" spans="1:6" ht="22.5" x14ac:dyDescent="0.25">
      <c r="A32" s="926">
        <v>46</v>
      </c>
      <c r="B32" s="400" t="s">
        <v>97</v>
      </c>
      <c r="C32" s="400" t="s">
        <v>94</v>
      </c>
      <c r="D32" s="401" t="s">
        <v>92</v>
      </c>
      <c r="E32" s="328" t="s">
        <v>1981</v>
      </c>
      <c r="F32" s="467" t="s">
        <v>722</v>
      </c>
    </row>
    <row r="33" spans="1:6" ht="33.75" x14ac:dyDescent="0.25">
      <c r="A33" s="927">
        <v>47.1</v>
      </c>
      <c r="B33" s="400" t="s">
        <v>98</v>
      </c>
      <c r="C33" s="400" t="s">
        <v>50</v>
      </c>
      <c r="D33" s="401" t="s">
        <v>92</v>
      </c>
      <c r="E33" s="328" t="s">
        <v>1981</v>
      </c>
      <c r="F33" s="467" t="s">
        <v>722</v>
      </c>
    </row>
    <row r="34" spans="1:6" ht="33.75" x14ac:dyDescent="0.25">
      <c r="A34" s="927">
        <v>47.2</v>
      </c>
      <c r="B34" s="400" t="s">
        <v>98</v>
      </c>
      <c r="C34" s="400" t="s">
        <v>50</v>
      </c>
      <c r="D34" s="401" t="s">
        <v>92</v>
      </c>
      <c r="E34" s="325"/>
      <c r="F34" s="467" t="s">
        <v>722</v>
      </c>
    </row>
    <row r="35" spans="1:6" ht="22.5" x14ac:dyDescent="0.25">
      <c r="A35" s="926">
        <v>48</v>
      </c>
      <c r="B35" s="400" t="s">
        <v>100</v>
      </c>
      <c r="C35" s="400" t="s">
        <v>101</v>
      </c>
      <c r="D35" s="401" t="s">
        <v>92</v>
      </c>
      <c r="E35" s="325"/>
      <c r="F35" s="467" t="s">
        <v>722</v>
      </c>
    </row>
    <row r="36" spans="1:6" ht="22.5" x14ac:dyDescent="0.25">
      <c r="A36" s="926">
        <v>49</v>
      </c>
      <c r="B36" s="400" t="s">
        <v>105</v>
      </c>
      <c r="C36" s="400" t="s">
        <v>101</v>
      </c>
      <c r="D36" s="401" t="s">
        <v>92</v>
      </c>
      <c r="E36" s="325"/>
      <c r="F36" s="467" t="s">
        <v>722</v>
      </c>
    </row>
    <row r="37" spans="1:6" ht="22.5" x14ac:dyDescent="0.25">
      <c r="A37" s="926">
        <v>50</v>
      </c>
      <c r="B37" s="400" t="s">
        <v>574</v>
      </c>
      <c r="C37" s="400" t="s">
        <v>575</v>
      </c>
      <c r="D37" s="401" t="s">
        <v>573</v>
      </c>
      <c r="E37" s="325"/>
      <c r="F37" s="467" t="s">
        <v>722</v>
      </c>
    </row>
    <row r="38" spans="1:6" ht="18" x14ac:dyDescent="0.25">
      <c r="A38" s="926">
        <v>51</v>
      </c>
      <c r="B38" s="400" t="s">
        <v>62</v>
      </c>
      <c r="C38" s="400" t="s">
        <v>63</v>
      </c>
      <c r="D38" s="401" t="s">
        <v>35</v>
      </c>
      <c r="E38" s="325" t="s">
        <v>1981</v>
      </c>
      <c r="F38" s="467" t="s">
        <v>722</v>
      </c>
    </row>
    <row r="39" spans="1:6" ht="22.5" x14ac:dyDescent="0.25">
      <c r="A39" s="926">
        <v>52</v>
      </c>
      <c r="B39" s="400" t="s">
        <v>234</v>
      </c>
      <c r="C39" s="400" t="s">
        <v>235</v>
      </c>
      <c r="D39" s="401" t="s">
        <v>233</v>
      </c>
      <c r="E39" s="325"/>
      <c r="F39" s="467" t="s">
        <v>722</v>
      </c>
    </row>
    <row r="40" spans="1:6" ht="36" x14ac:dyDescent="0.25">
      <c r="A40" s="926">
        <v>53</v>
      </c>
      <c r="B40" s="400" t="s">
        <v>107</v>
      </c>
      <c r="C40" s="400" t="s">
        <v>108</v>
      </c>
      <c r="D40" s="401" t="s">
        <v>92</v>
      </c>
      <c r="E40" s="325"/>
      <c r="F40" s="467" t="s">
        <v>767</v>
      </c>
    </row>
    <row r="41" spans="1:6" ht="18" x14ac:dyDescent="0.25">
      <c r="A41" s="926">
        <v>55</v>
      </c>
      <c r="B41" s="400" t="s">
        <v>184</v>
      </c>
      <c r="C41" s="400" t="s">
        <v>185</v>
      </c>
      <c r="D41" s="401" t="s">
        <v>183</v>
      </c>
      <c r="E41" s="325"/>
      <c r="F41" s="467" t="s">
        <v>722</v>
      </c>
    </row>
    <row r="42" spans="1:6" ht="22.5" x14ac:dyDescent="0.25">
      <c r="A42" s="926">
        <v>58</v>
      </c>
      <c r="B42" s="400" t="s">
        <v>111</v>
      </c>
      <c r="C42" s="400" t="s">
        <v>112</v>
      </c>
      <c r="D42" s="401" t="s">
        <v>92</v>
      </c>
      <c r="E42" s="325"/>
      <c r="F42" s="467" t="s">
        <v>722</v>
      </c>
    </row>
    <row r="43" spans="1:6" ht="36" x14ac:dyDescent="0.25">
      <c r="A43" s="926">
        <v>59</v>
      </c>
      <c r="B43" s="400" t="s">
        <v>115</v>
      </c>
      <c r="C43" s="400" t="s">
        <v>116</v>
      </c>
      <c r="D43" s="401" t="s">
        <v>92</v>
      </c>
      <c r="E43" s="325" t="s">
        <v>1981</v>
      </c>
      <c r="F43" s="467" t="s">
        <v>767</v>
      </c>
    </row>
    <row r="44" spans="1:6" ht="18" x14ac:dyDescent="0.25">
      <c r="A44" s="926">
        <v>60</v>
      </c>
      <c r="B44" s="400" t="s">
        <v>198</v>
      </c>
      <c r="C44" s="400" t="s">
        <v>199</v>
      </c>
      <c r="D44" s="401" t="s">
        <v>197</v>
      </c>
      <c r="E44" s="325"/>
      <c r="F44" s="467" t="s">
        <v>722</v>
      </c>
    </row>
    <row r="45" spans="1:6" ht="22.5" x14ac:dyDescent="0.25">
      <c r="A45" s="926">
        <v>61</v>
      </c>
      <c r="B45" s="400" t="s">
        <v>204</v>
      </c>
      <c r="C45" s="400" t="s">
        <v>205</v>
      </c>
      <c r="D45" s="401" t="s">
        <v>197</v>
      </c>
      <c r="E45" s="325"/>
      <c r="F45" s="467" t="s">
        <v>722</v>
      </c>
    </row>
    <row r="46" spans="1:6" ht="33.75" x14ac:dyDescent="0.25">
      <c r="A46" s="927">
        <v>62.1</v>
      </c>
      <c r="B46" s="400" t="s">
        <v>207</v>
      </c>
      <c r="C46" s="400" t="s">
        <v>208</v>
      </c>
      <c r="D46" s="401" t="s">
        <v>197</v>
      </c>
      <c r="E46" s="325" t="s">
        <v>1981</v>
      </c>
      <c r="F46" s="467" t="s">
        <v>722</v>
      </c>
    </row>
    <row r="47" spans="1:6" ht="36" x14ac:dyDescent="0.25">
      <c r="A47" s="927">
        <v>62.2</v>
      </c>
      <c r="B47" s="400" t="s">
        <v>207</v>
      </c>
      <c r="C47" s="400" t="s">
        <v>208</v>
      </c>
      <c r="D47" s="401" t="s">
        <v>197</v>
      </c>
      <c r="E47" s="325" t="s">
        <v>1981</v>
      </c>
      <c r="F47" s="467" t="s">
        <v>767</v>
      </c>
    </row>
    <row r="48" spans="1:6" ht="36" x14ac:dyDescent="0.25">
      <c r="A48" s="926">
        <v>64</v>
      </c>
      <c r="B48" s="400" t="s">
        <v>210</v>
      </c>
      <c r="C48" s="400" t="s">
        <v>211</v>
      </c>
      <c r="D48" s="401" t="s">
        <v>197</v>
      </c>
      <c r="E48" s="325"/>
      <c r="F48" s="467" t="s">
        <v>767</v>
      </c>
    </row>
    <row r="49" spans="1:6" ht="36" x14ac:dyDescent="0.25">
      <c r="A49" s="926">
        <v>65</v>
      </c>
      <c r="B49" s="400" t="s">
        <v>213</v>
      </c>
      <c r="C49" s="400" t="s">
        <v>208</v>
      </c>
      <c r="D49" s="401" t="s">
        <v>197</v>
      </c>
      <c r="E49" s="325" t="s">
        <v>1981</v>
      </c>
      <c r="F49" s="467" t="s">
        <v>767</v>
      </c>
    </row>
    <row r="50" spans="1:6" ht="36" x14ac:dyDescent="0.25">
      <c r="A50" s="926">
        <v>66</v>
      </c>
      <c r="B50" s="400" t="s">
        <v>215</v>
      </c>
      <c r="C50" s="400" t="s">
        <v>208</v>
      </c>
      <c r="D50" s="401" t="s">
        <v>197</v>
      </c>
      <c r="E50" s="325" t="s">
        <v>1981</v>
      </c>
      <c r="F50" s="467" t="s">
        <v>767</v>
      </c>
    </row>
    <row r="51" spans="1:6" ht="36" x14ac:dyDescent="0.25">
      <c r="A51" s="926">
        <v>68</v>
      </c>
      <c r="B51" s="400" t="s">
        <v>579</v>
      </c>
      <c r="C51" s="400" t="s">
        <v>208</v>
      </c>
      <c r="D51" s="401" t="s">
        <v>573</v>
      </c>
      <c r="E51" s="325" t="s">
        <v>1981</v>
      </c>
      <c r="F51" s="467" t="s">
        <v>767</v>
      </c>
    </row>
    <row r="52" spans="1:6" ht="18" x14ac:dyDescent="0.25">
      <c r="A52" s="928">
        <v>69</v>
      </c>
      <c r="B52" s="400" t="s">
        <v>117</v>
      </c>
      <c r="C52" s="400" t="s">
        <v>50</v>
      </c>
      <c r="D52" s="401" t="s">
        <v>92</v>
      </c>
      <c r="E52" s="325" t="s">
        <v>1981</v>
      </c>
      <c r="F52" s="467" t="s">
        <v>722</v>
      </c>
    </row>
    <row r="53" spans="1:6" ht="22.5" x14ac:dyDescent="0.25">
      <c r="A53" s="926">
        <v>70</v>
      </c>
      <c r="B53" s="400" t="s">
        <v>120</v>
      </c>
      <c r="C53" s="400" t="s">
        <v>121</v>
      </c>
      <c r="D53" s="401" t="s">
        <v>92</v>
      </c>
      <c r="E53" s="325" t="s">
        <v>1981</v>
      </c>
      <c r="F53" s="467" t="s">
        <v>722</v>
      </c>
    </row>
    <row r="54" spans="1:6" ht="18" x14ac:dyDescent="0.25">
      <c r="A54" s="926">
        <v>71</v>
      </c>
      <c r="B54" s="400" t="s">
        <v>122</v>
      </c>
      <c r="C54" s="400" t="s">
        <v>123</v>
      </c>
      <c r="D54" s="401" t="s">
        <v>92</v>
      </c>
      <c r="E54" s="325" t="s">
        <v>1981</v>
      </c>
      <c r="F54" s="467" t="s">
        <v>722</v>
      </c>
    </row>
    <row r="55" spans="1:6" ht="18" x14ac:dyDescent="0.25">
      <c r="A55" s="926">
        <v>72</v>
      </c>
      <c r="B55" s="400" t="s">
        <v>124</v>
      </c>
      <c r="C55" s="400" t="s">
        <v>125</v>
      </c>
      <c r="D55" s="401" t="s">
        <v>92</v>
      </c>
      <c r="E55" s="325"/>
      <c r="F55" s="467" t="s">
        <v>722</v>
      </c>
    </row>
    <row r="56" spans="1:6" ht="18" x14ac:dyDescent="0.25">
      <c r="A56" s="926">
        <v>74</v>
      </c>
      <c r="B56" s="400" t="s">
        <v>128</v>
      </c>
      <c r="C56" s="400" t="s">
        <v>125</v>
      </c>
      <c r="D56" s="401" t="s">
        <v>92</v>
      </c>
      <c r="E56" s="325"/>
      <c r="F56" s="467" t="s">
        <v>722</v>
      </c>
    </row>
    <row r="57" spans="1:6" ht="18" x14ac:dyDescent="0.25">
      <c r="A57" s="926">
        <v>75</v>
      </c>
      <c r="B57" s="400" t="s">
        <v>129</v>
      </c>
      <c r="C57" s="400" t="s">
        <v>130</v>
      </c>
      <c r="D57" s="401" t="s">
        <v>92</v>
      </c>
      <c r="E57" s="328" t="s">
        <v>1981</v>
      </c>
      <c r="F57" s="467" t="s">
        <v>722</v>
      </c>
    </row>
    <row r="58" spans="1:6" ht="18" x14ac:dyDescent="0.25">
      <c r="A58" s="926">
        <v>76</v>
      </c>
      <c r="B58" s="400" t="s">
        <v>131</v>
      </c>
      <c r="C58" s="400" t="s">
        <v>130</v>
      </c>
      <c r="D58" s="401" t="s">
        <v>92</v>
      </c>
      <c r="E58" s="328" t="s">
        <v>1981</v>
      </c>
      <c r="F58" s="467" t="s">
        <v>722</v>
      </c>
    </row>
    <row r="59" spans="1:6" ht="22.5" x14ac:dyDescent="0.25">
      <c r="A59" s="926">
        <v>77</v>
      </c>
      <c r="B59" s="400" t="s">
        <v>133</v>
      </c>
      <c r="C59" s="400" t="s">
        <v>130</v>
      </c>
      <c r="D59" s="401" t="s">
        <v>92</v>
      </c>
      <c r="E59" s="325"/>
      <c r="F59" s="467" t="s">
        <v>722</v>
      </c>
    </row>
    <row r="60" spans="1:6" ht="22.5" x14ac:dyDescent="0.25">
      <c r="A60" s="926">
        <v>78</v>
      </c>
      <c r="B60" s="400" t="s">
        <v>134</v>
      </c>
      <c r="C60" s="400" t="s">
        <v>135</v>
      </c>
      <c r="D60" s="401" t="s">
        <v>92</v>
      </c>
      <c r="E60" s="325"/>
      <c r="F60" s="467" t="s">
        <v>722</v>
      </c>
    </row>
    <row r="61" spans="1:6" ht="22.5" x14ac:dyDescent="0.25">
      <c r="A61" s="927">
        <v>79.099999999999994</v>
      </c>
      <c r="B61" s="400" t="s">
        <v>136</v>
      </c>
      <c r="C61" s="400" t="s">
        <v>137</v>
      </c>
      <c r="D61" s="401" t="s">
        <v>92</v>
      </c>
      <c r="E61" s="328" t="s">
        <v>1981</v>
      </c>
      <c r="F61" s="467" t="s">
        <v>722</v>
      </c>
    </row>
    <row r="62" spans="1:6" ht="22.5" x14ac:dyDescent="0.25">
      <c r="A62" s="927">
        <v>79.2</v>
      </c>
      <c r="B62" s="400" t="s">
        <v>136</v>
      </c>
      <c r="C62" s="400" t="s">
        <v>137</v>
      </c>
      <c r="D62" s="401" t="s">
        <v>92</v>
      </c>
      <c r="E62" s="328"/>
      <c r="F62" s="467" t="s">
        <v>722</v>
      </c>
    </row>
    <row r="63" spans="1:6" ht="18" x14ac:dyDescent="0.25">
      <c r="A63" s="926">
        <v>80</v>
      </c>
      <c r="B63" s="400" t="s">
        <v>138</v>
      </c>
      <c r="C63" s="400" t="s">
        <v>139</v>
      </c>
      <c r="D63" s="401" t="s">
        <v>92</v>
      </c>
      <c r="E63" s="325"/>
      <c r="F63" s="467" t="s">
        <v>722</v>
      </c>
    </row>
    <row r="64" spans="1:6" ht="45" x14ac:dyDescent="0.25">
      <c r="A64" s="926">
        <v>81</v>
      </c>
      <c r="B64" s="400" t="s">
        <v>140</v>
      </c>
      <c r="C64" s="400" t="s">
        <v>141</v>
      </c>
      <c r="D64" s="401" t="s">
        <v>92</v>
      </c>
      <c r="E64" s="325"/>
      <c r="F64" s="467" t="s">
        <v>722</v>
      </c>
    </row>
    <row r="65" spans="1:6" ht="36" x14ac:dyDescent="0.25">
      <c r="A65" s="926">
        <v>83</v>
      </c>
      <c r="B65" s="400" t="s">
        <v>142</v>
      </c>
      <c r="C65" s="400" t="s">
        <v>50</v>
      </c>
      <c r="D65" s="401" t="s">
        <v>92</v>
      </c>
      <c r="E65" s="328" t="s">
        <v>1981</v>
      </c>
      <c r="F65" s="467" t="s">
        <v>767</v>
      </c>
    </row>
    <row r="66" spans="1:6" ht="36" x14ac:dyDescent="0.25">
      <c r="A66" s="926">
        <v>84</v>
      </c>
      <c r="B66" s="400" t="s">
        <v>143</v>
      </c>
      <c r="C66" s="400" t="s">
        <v>50</v>
      </c>
      <c r="D66" s="401" t="s">
        <v>92</v>
      </c>
      <c r="E66" s="328" t="s">
        <v>1981</v>
      </c>
      <c r="F66" s="467" t="s">
        <v>767</v>
      </c>
    </row>
    <row r="67" spans="1:6" ht="18" x14ac:dyDescent="0.25">
      <c r="A67" s="926">
        <v>86</v>
      </c>
      <c r="B67" s="400" t="s">
        <v>144</v>
      </c>
      <c r="C67" s="400" t="s">
        <v>145</v>
      </c>
      <c r="D67" s="401" t="s">
        <v>92</v>
      </c>
      <c r="E67" s="328" t="s">
        <v>1981</v>
      </c>
      <c r="F67" s="467" t="s">
        <v>722</v>
      </c>
    </row>
    <row r="68" spans="1:6" ht="54" x14ac:dyDescent="0.25">
      <c r="A68" s="926">
        <v>87</v>
      </c>
      <c r="B68" s="400" t="s">
        <v>64</v>
      </c>
      <c r="C68" s="400" t="s">
        <v>63</v>
      </c>
      <c r="D68" s="401" t="s">
        <v>35</v>
      </c>
      <c r="E68" s="328" t="s">
        <v>1981</v>
      </c>
      <c r="F68" s="467" t="s">
        <v>719</v>
      </c>
    </row>
    <row r="69" spans="1:6" ht="54" x14ac:dyDescent="0.25">
      <c r="A69" s="926">
        <v>88</v>
      </c>
      <c r="B69" s="400" t="s">
        <v>65</v>
      </c>
      <c r="C69" s="400" t="s">
        <v>63</v>
      </c>
      <c r="D69" s="401" t="s">
        <v>35</v>
      </c>
      <c r="E69" s="328" t="s">
        <v>1981</v>
      </c>
      <c r="F69" s="467" t="s">
        <v>719</v>
      </c>
    </row>
    <row r="70" spans="1:6" ht="22.5" x14ac:dyDescent="0.25">
      <c r="A70" s="926">
        <v>91</v>
      </c>
      <c r="B70" s="400" t="s">
        <v>66</v>
      </c>
      <c r="C70" s="400" t="s">
        <v>63</v>
      </c>
      <c r="D70" s="401" t="s">
        <v>35</v>
      </c>
      <c r="E70" s="328" t="s">
        <v>1983</v>
      </c>
      <c r="F70" s="467" t="s">
        <v>722</v>
      </c>
    </row>
    <row r="71" spans="1:6" ht="33.75" x14ac:dyDescent="0.25">
      <c r="A71" s="926">
        <v>92</v>
      </c>
      <c r="B71" s="400" t="s">
        <v>79</v>
      </c>
      <c r="C71" s="400" t="s">
        <v>63</v>
      </c>
      <c r="D71" s="401" t="s">
        <v>78</v>
      </c>
      <c r="E71" s="328" t="s">
        <v>1981</v>
      </c>
      <c r="F71" s="467" t="s">
        <v>722</v>
      </c>
    </row>
    <row r="72" spans="1:6" ht="33.75" x14ac:dyDescent="0.25">
      <c r="A72" s="926">
        <v>95</v>
      </c>
      <c r="B72" s="400" t="s">
        <v>75</v>
      </c>
      <c r="C72" s="400" t="s">
        <v>63</v>
      </c>
      <c r="D72" s="401" t="s">
        <v>74</v>
      </c>
      <c r="E72" s="328" t="s">
        <v>1981</v>
      </c>
      <c r="F72" s="467" t="s">
        <v>722</v>
      </c>
    </row>
    <row r="73" spans="1:6" ht="54" x14ac:dyDescent="0.25">
      <c r="A73" s="926">
        <v>97</v>
      </c>
      <c r="B73" s="400" t="s">
        <v>688</v>
      </c>
      <c r="C73" s="400" t="s">
        <v>689</v>
      </c>
      <c r="D73" s="401" t="s">
        <v>687</v>
      </c>
      <c r="E73" s="328" t="s">
        <v>1981</v>
      </c>
      <c r="F73" s="467" t="s">
        <v>719</v>
      </c>
    </row>
    <row r="74" spans="1:6" ht="18" x14ac:dyDescent="0.25">
      <c r="A74" s="926">
        <v>98</v>
      </c>
      <c r="B74" s="400" t="s">
        <v>377</v>
      </c>
      <c r="C74" s="400" t="s">
        <v>378</v>
      </c>
      <c r="D74" s="401" t="s">
        <v>376</v>
      </c>
      <c r="E74" s="325"/>
      <c r="F74" s="467" t="s">
        <v>722</v>
      </c>
    </row>
    <row r="75" spans="1:6" ht="18" x14ac:dyDescent="0.25">
      <c r="A75" s="926">
        <v>99</v>
      </c>
      <c r="B75" s="400" t="s">
        <v>396</v>
      </c>
      <c r="C75" s="400" t="s">
        <v>397</v>
      </c>
      <c r="D75" s="401" t="s">
        <v>395</v>
      </c>
      <c r="E75" s="328" t="s">
        <v>1981</v>
      </c>
      <c r="F75" s="467" t="s">
        <v>722</v>
      </c>
    </row>
    <row r="76" spans="1:6" ht="36" x14ac:dyDescent="0.25">
      <c r="A76" s="926">
        <v>100</v>
      </c>
      <c r="B76" s="400" t="s">
        <v>398</v>
      </c>
      <c r="C76" s="400" t="s">
        <v>399</v>
      </c>
      <c r="D76" s="401" t="s">
        <v>395</v>
      </c>
      <c r="E76" s="328" t="s">
        <v>1981</v>
      </c>
      <c r="F76" s="467" t="s">
        <v>767</v>
      </c>
    </row>
    <row r="77" spans="1:6" ht="18" x14ac:dyDescent="0.25">
      <c r="A77" s="926">
        <v>101</v>
      </c>
      <c r="B77" s="400" t="s">
        <v>400</v>
      </c>
      <c r="C77" s="400" t="s">
        <v>401</v>
      </c>
      <c r="D77" s="401" t="s">
        <v>395</v>
      </c>
      <c r="E77" s="325"/>
      <c r="F77" s="467" t="s">
        <v>722</v>
      </c>
    </row>
    <row r="78" spans="1:6" ht="33.75" x14ac:dyDescent="0.25">
      <c r="A78" s="926">
        <v>102</v>
      </c>
      <c r="B78" s="400" t="s">
        <v>404</v>
      </c>
      <c r="C78" s="400" t="s">
        <v>405</v>
      </c>
      <c r="D78" s="401" t="s">
        <v>395</v>
      </c>
      <c r="E78" s="328"/>
      <c r="F78" s="467" t="s">
        <v>722</v>
      </c>
    </row>
    <row r="79" spans="1:6" ht="36" x14ac:dyDescent="0.25">
      <c r="A79" s="926">
        <v>104</v>
      </c>
      <c r="B79" s="400" t="s">
        <v>461</v>
      </c>
      <c r="C79" s="400" t="s">
        <v>462</v>
      </c>
      <c r="D79" s="401" t="s">
        <v>460</v>
      </c>
      <c r="E79" s="328" t="s">
        <v>1981</v>
      </c>
      <c r="F79" s="467" t="s">
        <v>767</v>
      </c>
    </row>
    <row r="80" spans="1:6" ht="36" x14ac:dyDescent="0.25">
      <c r="A80" s="927">
        <v>105.1</v>
      </c>
      <c r="B80" s="400" t="s">
        <v>552</v>
      </c>
      <c r="C80" s="400" t="s">
        <v>553</v>
      </c>
      <c r="D80" s="401" t="s">
        <v>551</v>
      </c>
      <c r="E80" s="328" t="s">
        <v>1981</v>
      </c>
      <c r="F80" s="467" t="s">
        <v>767</v>
      </c>
    </row>
    <row r="81" spans="1:6" ht="22.5" x14ac:dyDescent="0.25">
      <c r="A81" s="927">
        <v>105.2</v>
      </c>
      <c r="B81" s="400" t="s">
        <v>552</v>
      </c>
      <c r="C81" s="400" t="s">
        <v>553</v>
      </c>
      <c r="D81" s="401" t="s">
        <v>551</v>
      </c>
      <c r="E81" s="328"/>
      <c r="F81" s="467" t="s">
        <v>722</v>
      </c>
    </row>
    <row r="82" spans="1:6" ht="22.5" x14ac:dyDescent="0.25">
      <c r="A82" s="926">
        <v>107</v>
      </c>
      <c r="B82" s="400" t="s">
        <v>554</v>
      </c>
      <c r="C82" s="400" t="s">
        <v>555</v>
      </c>
      <c r="D82" s="401" t="s">
        <v>551</v>
      </c>
      <c r="E82" s="325"/>
      <c r="F82" s="467" t="s">
        <v>722</v>
      </c>
    </row>
    <row r="83" spans="1:6" ht="22.5" x14ac:dyDescent="0.25">
      <c r="A83" s="926">
        <v>108</v>
      </c>
      <c r="B83" s="400" t="s">
        <v>556</v>
      </c>
      <c r="C83" s="400" t="s">
        <v>557</v>
      </c>
      <c r="D83" s="401" t="s">
        <v>551</v>
      </c>
      <c r="E83" s="328" t="s">
        <v>1981</v>
      </c>
      <c r="F83" s="467" t="s">
        <v>722</v>
      </c>
    </row>
    <row r="84" spans="1:6" ht="33.75" x14ac:dyDescent="0.25">
      <c r="A84" s="927">
        <v>109.1</v>
      </c>
      <c r="B84" s="400" t="s">
        <v>260</v>
      </c>
      <c r="C84" s="400" t="s">
        <v>261</v>
      </c>
      <c r="D84" s="401" t="s">
        <v>259</v>
      </c>
      <c r="E84" s="325"/>
      <c r="F84" s="467" t="s">
        <v>722</v>
      </c>
    </row>
    <row r="85" spans="1:6" ht="33.75" x14ac:dyDescent="0.25">
      <c r="A85" s="927">
        <v>109.2</v>
      </c>
      <c r="B85" s="400" t="s">
        <v>260</v>
      </c>
      <c r="C85" s="400" t="s">
        <v>261</v>
      </c>
      <c r="D85" s="401" t="s">
        <v>259</v>
      </c>
      <c r="E85" s="325"/>
      <c r="F85" s="467" t="s">
        <v>722</v>
      </c>
    </row>
    <row r="86" spans="1:6" ht="22.5" x14ac:dyDescent="0.25">
      <c r="A86" s="926">
        <v>110</v>
      </c>
      <c r="B86" s="400" t="s">
        <v>471</v>
      </c>
      <c r="C86" s="400" t="s">
        <v>446</v>
      </c>
      <c r="D86" s="401" t="s">
        <v>470</v>
      </c>
      <c r="E86" s="325"/>
      <c r="F86" s="467" t="s">
        <v>722</v>
      </c>
    </row>
    <row r="87" spans="1:6" ht="22.5" x14ac:dyDescent="0.25">
      <c r="A87" s="926">
        <v>112</v>
      </c>
      <c r="B87" s="400" t="s">
        <v>242</v>
      </c>
      <c r="C87" s="400" t="s">
        <v>243</v>
      </c>
      <c r="D87" s="401" t="s">
        <v>241</v>
      </c>
      <c r="E87" s="325"/>
      <c r="F87" s="467" t="s">
        <v>722</v>
      </c>
    </row>
    <row r="88" spans="1:6" ht="22.5" x14ac:dyDescent="0.25">
      <c r="A88" s="926">
        <v>113</v>
      </c>
      <c r="B88" s="400" t="s">
        <v>247</v>
      </c>
      <c r="C88" s="400" t="s">
        <v>248</v>
      </c>
      <c r="D88" s="401" t="s">
        <v>241</v>
      </c>
      <c r="E88" s="325"/>
      <c r="F88" s="467" t="s">
        <v>722</v>
      </c>
    </row>
    <row r="89" spans="1:6" ht="36" x14ac:dyDescent="0.25">
      <c r="A89" s="926">
        <v>114</v>
      </c>
      <c r="B89" s="400" t="s">
        <v>249</v>
      </c>
      <c r="C89" s="400" t="s">
        <v>250</v>
      </c>
      <c r="D89" s="401" t="s">
        <v>241</v>
      </c>
      <c r="E89" s="328" t="s">
        <v>1981</v>
      </c>
      <c r="F89" s="467" t="s">
        <v>767</v>
      </c>
    </row>
    <row r="90" spans="1:6" ht="18" x14ac:dyDescent="0.25">
      <c r="A90" s="926">
        <v>115</v>
      </c>
      <c r="B90" s="400" t="s">
        <v>253</v>
      </c>
      <c r="C90" s="400" t="s">
        <v>254</v>
      </c>
      <c r="D90" s="401" t="s">
        <v>241</v>
      </c>
      <c r="E90" s="325" t="s">
        <v>1981</v>
      </c>
      <c r="F90" s="467" t="s">
        <v>722</v>
      </c>
    </row>
    <row r="91" spans="1:6" ht="22.5" x14ac:dyDescent="0.25">
      <c r="A91" s="926">
        <v>118</v>
      </c>
      <c r="B91" s="400" t="s">
        <v>582</v>
      </c>
      <c r="C91" s="400" t="s">
        <v>254</v>
      </c>
      <c r="D91" s="401" t="s">
        <v>573</v>
      </c>
      <c r="E91" s="325"/>
      <c r="F91" s="467" t="s">
        <v>722</v>
      </c>
    </row>
    <row r="92" spans="1:6" ht="36" x14ac:dyDescent="0.25">
      <c r="A92" s="927">
        <v>119.1</v>
      </c>
      <c r="B92" s="400" t="s">
        <v>584</v>
      </c>
      <c r="C92" s="400" t="s">
        <v>585</v>
      </c>
      <c r="D92" s="401" t="s">
        <v>573</v>
      </c>
      <c r="E92" s="325"/>
      <c r="F92" s="467" t="s">
        <v>767</v>
      </c>
    </row>
    <row r="93" spans="1:6" ht="36" x14ac:dyDescent="0.25">
      <c r="A93" s="927">
        <v>119.2</v>
      </c>
      <c r="B93" s="400" t="s">
        <v>584</v>
      </c>
      <c r="C93" s="400" t="s">
        <v>585</v>
      </c>
      <c r="D93" s="401" t="s">
        <v>573</v>
      </c>
      <c r="E93" s="325"/>
      <c r="F93" s="467" t="s">
        <v>767</v>
      </c>
    </row>
    <row r="94" spans="1:6" ht="22.5" x14ac:dyDescent="0.25">
      <c r="A94" s="927">
        <v>119.3</v>
      </c>
      <c r="B94" s="400" t="s">
        <v>584</v>
      </c>
      <c r="C94" s="400" t="s">
        <v>585</v>
      </c>
      <c r="D94" s="401" t="s">
        <v>573</v>
      </c>
      <c r="E94" s="328"/>
      <c r="F94" s="467" t="s">
        <v>722</v>
      </c>
    </row>
    <row r="95" spans="1:6" ht="22.5" x14ac:dyDescent="0.25">
      <c r="A95" s="926">
        <v>120</v>
      </c>
      <c r="B95" s="400" t="s">
        <v>588</v>
      </c>
      <c r="C95" s="400" t="s">
        <v>589</v>
      </c>
      <c r="D95" s="401" t="s">
        <v>573</v>
      </c>
      <c r="E95" s="325"/>
      <c r="F95" s="467" t="s">
        <v>722</v>
      </c>
    </row>
    <row r="96" spans="1:6" ht="27" x14ac:dyDescent="0.25">
      <c r="A96" s="926">
        <v>121</v>
      </c>
      <c r="B96" s="400" t="s">
        <v>591</v>
      </c>
      <c r="C96" s="400" t="s">
        <v>589</v>
      </c>
      <c r="D96" s="401" t="s">
        <v>573</v>
      </c>
      <c r="E96" s="325" t="s">
        <v>1984</v>
      </c>
      <c r="F96" s="467" t="s">
        <v>722</v>
      </c>
    </row>
    <row r="97" spans="1:6" ht="18" x14ac:dyDescent="0.25">
      <c r="A97" s="926">
        <v>122</v>
      </c>
      <c r="B97" s="400" t="s">
        <v>593</v>
      </c>
      <c r="C97" s="400" t="s">
        <v>589</v>
      </c>
      <c r="D97" s="401" t="s">
        <v>573</v>
      </c>
      <c r="E97" s="325"/>
      <c r="F97" s="467" t="s">
        <v>722</v>
      </c>
    </row>
    <row r="98" spans="1:6" ht="36" x14ac:dyDescent="0.25">
      <c r="A98" s="927">
        <v>123.1</v>
      </c>
      <c r="B98" s="400" t="s">
        <v>596</v>
      </c>
      <c r="C98" s="400" t="s">
        <v>597</v>
      </c>
      <c r="D98" s="401" t="s">
        <v>573</v>
      </c>
      <c r="E98" s="328" t="s">
        <v>1981</v>
      </c>
      <c r="F98" s="467" t="s">
        <v>767</v>
      </c>
    </row>
    <row r="99" spans="1:6" ht="36" x14ac:dyDescent="0.25">
      <c r="A99" s="927">
        <v>123.2</v>
      </c>
      <c r="B99" s="400" t="s">
        <v>596</v>
      </c>
      <c r="C99" s="400" t="s">
        <v>597</v>
      </c>
      <c r="D99" s="401" t="s">
        <v>573</v>
      </c>
      <c r="E99" s="328" t="s">
        <v>1981</v>
      </c>
      <c r="F99" s="467" t="s">
        <v>767</v>
      </c>
    </row>
    <row r="100" spans="1:6" ht="33.75" x14ac:dyDescent="0.25">
      <c r="A100" s="927">
        <v>123.3</v>
      </c>
      <c r="B100" s="400" t="s">
        <v>596</v>
      </c>
      <c r="C100" s="400" t="s">
        <v>597</v>
      </c>
      <c r="D100" s="401" t="s">
        <v>573</v>
      </c>
      <c r="E100" s="328"/>
      <c r="F100" s="467" t="s">
        <v>722</v>
      </c>
    </row>
    <row r="101" spans="1:6" ht="36" x14ac:dyDescent="0.25">
      <c r="A101" s="926">
        <v>124</v>
      </c>
      <c r="B101" s="400" t="s">
        <v>598</v>
      </c>
      <c r="C101" s="400" t="s">
        <v>599</v>
      </c>
      <c r="D101" s="401" t="s">
        <v>573</v>
      </c>
      <c r="E101" s="328" t="s">
        <v>1981</v>
      </c>
      <c r="F101" s="467" t="s">
        <v>767</v>
      </c>
    </row>
    <row r="102" spans="1:6" ht="22.5" x14ac:dyDescent="0.25">
      <c r="A102" s="926">
        <v>125</v>
      </c>
      <c r="B102" s="400" t="s">
        <v>626</v>
      </c>
      <c r="C102" s="400" t="s">
        <v>627</v>
      </c>
      <c r="D102" s="401" t="s">
        <v>625</v>
      </c>
      <c r="E102" s="325"/>
      <c r="F102" s="467" t="s">
        <v>722</v>
      </c>
    </row>
    <row r="103" spans="1:6" ht="18" x14ac:dyDescent="0.25">
      <c r="A103" s="926">
        <v>127</v>
      </c>
      <c r="B103" s="400" t="s">
        <v>630</v>
      </c>
      <c r="C103" s="400" t="s">
        <v>631</v>
      </c>
      <c r="D103" s="401" t="s">
        <v>625</v>
      </c>
      <c r="E103" s="328" t="s">
        <v>1981</v>
      </c>
      <c r="F103" s="467" t="s">
        <v>722</v>
      </c>
    </row>
    <row r="104" spans="1:6" ht="22.5" x14ac:dyDescent="0.25">
      <c r="A104" s="926">
        <v>128</v>
      </c>
      <c r="B104" s="400" t="s">
        <v>635</v>
      </c>
      <c r="C104" s="400" t="s">
        <v>636</v>
      </c>
      <c r="D104" s="401" t="s">
        <v>625</v>
      </c>
      <c r="E104" s="328" t="s">
        <v>1981</v>
      </c>
      <c r="F104" s="467" t="s">
        <v>722</v>
      </c>
    </row>
    <row r="105" spans="1:6" ht="22.5" x14ac:dyDescent="0.25">
      <c r="A105" s="926">
        <v>129</v>
      </c>
      <c r="B105" s="400" t="s">
        <v>639</v>
      </c>
      <c r="C105" s="400" t="s">
        <v>636</v>
      </c>
      <c r="D105" s="401" t="s">
        <v>625</v>
      </c>
      <c r="E105" s="328" t="s">
        <v>1981</v>
      </c>
      <c r="F105" s="467" t="s">
        <v>722</v>
      </c>
    </row>
    <row r="106" spans="1:6" ht="22.5" x14ac:dyDescent="0.25">
      <c r="A106" s="926">
        <v>130</v>
      </c>
      <c r="B106" s="400" t="s">
        <v>640</v>
      </c>
      <c r="C106" s="400" t="s">
        <v>641</v>
      </c>
      <c r="D106" s="401" t="s">
        <v>625</v>
      </c>
      <c r="E106" s="328" t="s">
        <v>1981</v>
      </c>
      <c r="F106" s="467" t="s">
        <v>722</v>
      </c>
    </row>
    <row r="107" spans="1:6" ht="22.5" x14ac:dyDescent="0.25">
      <c r="A107" s="926">
        <v>131</v>
      </c>
      <c r="B107" s="400" t="s">
        <v>642</v>
      </c>
      <c r="C107" s="400" t="s">
        <v>641</v>
      </c>
      <c r="D107" s="401" t="s">
        <v>625</v>
      </c>
      <c r="E107" s="328" t="s">
        <v>1981</v>
      </c>
      <c r="F107" s="467" t="s">
        <v>722</v>
      </c>
    </row>
    <row r="108" spans="1:6" ht="22.5" x14ac:dyDescent="0.25">
      <c r="A108" s="926">
        <v>132</v>
      </c>
      <c r="B108" s="400" t="s">
        <v>643</v>
      </c>
      <c r="C108" s="400" t="s">
        <v>644</v>
      </c>
      <c r="D108" s="401" t="s">
        <v>625</v>
      </c>
      <c r="E108" s="325"/>
      <c r="F108" s="467" t="s">
        <v>722</v>
      </c>
    </row>
    <row r="109" spans="1:6" ht="36" x14ac:dyDescent="0.25">
      <c r="A109" s="926">
        <v>133</v>
      </c>
      <c r="B109" s="400" t="s">
        <v>646</v>
      </c>
      <c r="C109" s="400" t="s">
        <v>647</v>
      </c>
      <c r="D109" s="401" t="s">
        <v>625</v>
      </c>
      <c r="E109" s="328" t="s">
        <v>1981</v>
      </c>
      <c r="F109" s="467" t="s">
        <v>767</v>
      </c>
    </row>
    <row r="110" spans="1:6" ht="18" x14ac:dyDescent="0.25">
      <c r="A110" s="926">
        <v>134</v>
      </c>
      <c r="B110" s="400" t="s">
        <v>649</v>
      </c>
      <c r="C110" s="400" t="s">
        <v>650</v>
      </c>
      <c r="D110" s="401" t="s">
        <v>625</v>
      </c>
      <c r="E110" s="325"/>
      <c r="F110" s="467" t="s">
        <v>722</v>
      </c>
    </row>
    <row r="111" spans="1:6" ht="18" x14ac:dyDescent="0.25">
      <c r="A111" s="926">
        <v>135</v>
      </c>
      <c r="B111" s="400" t="s">
        <v>652</v>
      </c>
      <c r="C111" s="400" t="s">
        <v>650</v>
      </c>
      <c r="D111" s="401" t="s">
        <v>625</v>
      </c>
      <c r="E111" s="325"/>
      <c r="F111" s="467" t="s">
        <v>722</v>
      </c>
    </row>
    <row r="112" spans="1:6" ht="36" x14ac:dyDescent="0.25">
      <c r="A112" s="926">
        <v>138</v>
      </c>
      <c r="B112" s="400" t="s">
        <v>653</v>
      </c>
      <c r="C112" s="400" t="s">
        <v>654</v>
      </c>
      <c r="D112" s="401" t="s">
        <v>625</v>
      </c>
      <c r="E112" s="325" t="s">
        <v>1981</v>
      </c>
      <c r="F112" s="467" t="s">
        <v>767</v>
      </c>
    </row>
    <row r="113" spans="1:6" ht="36" x14ac:dyDescent="0.25">
      <c r="A113" s="926">
        <v>139</v>
      </c>
      <c r="B113" s="400" t="s">
        <v>656</v>
      </c>
      <c r="C113" s="400" t="s">
        <v>657</v>
      </c>
      <c r="D113" s="401" t="s">
        <v>625</v>
      </c>
      <c r="E113" s="325" t="s">
        <v>1981</v>
      </c>
      <c r="F113" s="467" t="s">
        <v>767</v>
      </c>
    </row>
    <row r="114" spans="1:6" ht="18" x14ac:dyDescent="0.25">
      <c r="A114" s="926">
        <v>140</v>
      </c>
      <c r="B114" s="400" t="s">
        <v>661</v>
      </c>
      <c r="C114" s="400" t="s">
        <v>657</v>
      </c>
      <c r="D114" s="401" t="s">
        <v>625</v>
      </c>
      <c r="E114" s="325" t="s">
        <v>1981</v>
      </c>
      <c r="F114" s="467" t="s">
        <v>722</v>
      </c>
    </row>
    <row r="115" spans="1:6" ht="18" x14ac:dyDescent="0.25">
      <c r="A115" s="926">
        <v>141</v>
      </c>
      <c r="B115" s="400" t="s">
        <v>662</v>
      </c>
      <c r="C115" s="400" t="s">
        <v>657</v>
      </c>
      <c r="D115" s="401" t="s">
        <v>625</v>
      </c>
      <c r="E115" s="325" t="s">
        <v>1981</v>
      </c>
      <c r="F115" s="467" t="s">
        <v>722</v>
      </c>
    </row>
    <row r="116" spans="1:6" ht="33.75" x14ac:dyDescent="0.25">
      <c r="A116" s="926">
        <v>142</v>
      </c>
      <c r="B116" s="400" t="s">
        <v>663</v>
      </c>
      <c r="C116" s="400" t="s">
        <v>664</v>
      </c>
      <c r="D116" s="401" t="s">
        <v>625</v>
      </c>
      <c r="E116" s="325" t="s">
        <v>1981</v>
      </c>
      <c r="F116" s="467" t="s">
        <v>722</v>
      </c>
    </row>
    <row r="117" spans="1:6" ht="36" x14ac:dyDescent="0.25">
      <c r="A117" s="926">
        <v>144</v>
      </c>
      <c r="B117" s="400" t="s">
        <v>362</v>
      </c>
      <c r="C117" s="400" t="s">
        <v>363</v>
      </c>
      <c r="D117" s="401" t="s">
        <v>361</v>
      </c>
      <c r="E117" s="325" t="s">
        <v>1981</v>
      </c>
      <c r="F117" s="467" t="s">
        <v>767</v>
      </c>
    </row>
    <row r="118" spans="1:6" ht="36" x14ac:dyDescent="0.25">
      <c r="A118" s="926">
        <v>145</v>
      </c>
      <c r="B118" s="400" t="s">
        <v>369</v>
      </c>
      <c r="C118" s="400" t="s">
        <v>363</v>
      </c>
      <c r="D118" s="401" t="s">
        <v>361</v>
      </c>
      <c r="E118" s="325" t="s">
        <v>1981</v>
      </c>
      <c r="F118" s="467" t="s">
        <v>767</v>
      </c>
    </row>
    <row r="119" spans="1:6" ht="22.5" x14ac:dyDescent="0.25">
      <c r="A119" s="926">
        <v>146</v>
      </c>
      <c r="B119" s="400" t="s">
        <v>483</v>
      </c>
      <c r="C119" s="400" t="s">
        <v>484</v>
      </c>
      <c r="D119" s="401" t="s">
        <v>482</v>
      </c>
      <c r="E119" s="325" t="s">
        <v>1981</v>
      </c>
      <c r="F119" s="467" t="s">
        <v>722</v>
      </c>
    </row>
    <row r="120" spans="1:6" ht="18" x14ac:dyDescent="0.25">
      <c r="A120" s="926">
        <v>147</v>
      </c>
      <c r="B120" s="400" t="s">
        <v>485</v>
      </c>
      <c r="C120" s="400" t="s">
        <v>484</v>
      </c>
      <c r="D120" s="401" t="s">
        <v>482</v>
      </c>
      <c r="E120" s="325" t="s">
        <v>1981</v>
      </c>
      <c r="F120" s="467" t="s">
        <v>722</v>
      </c>
    </row>
    <row r="121" spans="1:6" ht="18" x14ac:dyDescent="0.25">
      <c r="A121" s="926">
        <v>148</v>
      </c>
      <c r="B121" s="400" t="s">
        <v>486</v>
      </c>
      <c r="C121" s="400" t="s">
        <v>484</v>
      </c>
      <c r="D121" s="401" t="s">
        <v>482</v>
      </c>
      <c r="E121" s="325" t="s">
        <v>1981</v>
      </c>
      <c r="F121" s="467" t="s">
        <v>722</v>
      </c>
    </row>
    <row r="122" spans="1:6" ht="18" x14ac:dyDescent="0.25">
      <c r="A122" s="926">
        <v>149</v>
      </c>
      <c r="B122" s="400" t="s">
        <v>487</v>
      </c>
      <c r="C122" s="400" t="s">
        <v>484</v>
      </c>
      <c r="D122" s="401" t="s">
        <v>482</v>
      </c>
      <c r="E122" s="325" t="s">
        <v>1981</v>
      </c>
      <c r="F122" s="467" t="s">
        <v>722</v>
      </c>
    </row>
    <row r="123" spans="1:6" ht="18" x14ac:dyDescent="0.25">
      <c r="A123" s="927">
        <v>150.1</v>
      </c>
      <c r="B123" s="400" t="s">
        <v>488</v>
      </c>
      <c r="C123" s="400" t="s">
        <v>489</v>
      </c>
      <c r="D123" s="401" t="s">
        <v>482</v>
      </c>
      <c r="E123" s="325" t="s">
        <v>1981</v>
      </c>
      <c r="F123" s="467" t="s">
        <v>722</v>
      </c>
    </row>
    <row r="124" spans="1:6" ht="18" x14ac:dyDescent="0.25">
      <c r="A124" s="927">
        <v>150.19999999999999</v>
      </c>
      <c r="B124" s="400" t="s">
        <v>488</v>
      </c>
      <c r="C124" s="400" t="s">
        <v>489</v>
      </c>
      <c r="D124" s="401" t="s">
        <v>482</v>
      </c>
      <c r="E124" s="325" t="s">
        <v>1981</v>
      </c>
      <c r="F124" s="467" t="s">
        <v>722</v>
      </c>
    </row>
    <row r="125" spans="1:6" ht="22.5" x14ac:dyDescent="0.25">
      <c r="A125" s="928">
        <v>151</v>
      </c>
      <c r="B125" s="400" t="s">
        <v>490</v>
      </c>
      <c r="C125" s="400" t="s">
        <v>489</v>
      </c>
      <c r="D125" s="401" t="s">
        <v>482</v>
      </c>
      <c r="E125" s="325" t="s">
        <v>1981</v>
      </c>
      <c r="F125" s="467" t="s">
        <v>722</v>
      </c>
    </row>
    <row r="126" spans="1:6" ht="22.5" x14ac:dyDescent="0.25">
      <c r="A126" s="926">
        <v>155</v>
      </c>
      <c r="B126" s="400" t="s">
        <v>491</v>
      </c>
      <c r="C126" s="400" t="s">
        <v>492</v>
      </c>
      <c r="D126" s="401" t="s">
        <v>482</v>
      </c>
      <c r="E126" s="325" t="s">
        <v>1981</v>
      </c>
      <c r="F126" s="467" t="s">
        <v>722</v>
      </c>
    </row>
    <row r="127" spans="1:6" ht="36" x14ac:dyDescent="0.25">
      <c r="A127" s="926">
        <v>156</v>
      </c>
      <c r="B127" s="400" t="s">
        <v>493</v>
      </c>
      <c r="C127" s="400" t="s">
        <v>294</v>
      </c>
      <c r="D127" s="401" t="s">
        <v>482</v>
      </c>
      <c r="E127" s="325" t="s">
        <v>1981</v>
      </c>
      <c r="F127" s="467" t="s">
        <v>767</v>
      </c>
    </row>
    <row r="128" spans="1:6" ht="36" x14ac:dyDescent="0.25">
      <c r="A128" s="926">
        <v>157</v>
      </c>
      <c r="B128" s="400" t="s">
        <v>359</v>
      </c>
      <c r="C128" s="400" t="s">
        <v>294</v>
      </c>
      <c r="D128" s="401" t="s">
        <v>358</v>
      </c>
      <c r="E128" s="325" t="s">
        <v>1981</v>
      </c>
      <c r="F128" s="467" t="s">
        <v>767</v>
      </c>
    </row>
    <row r="129" spans="1:6" ht="36" x14ac:dyDescent="0.25">
      <c r="A129" s="926">
        <v>158</v>
      </c>
      <c r="B129" s="400" t="s">
        <v>293</v>
      </c>
      <c r="C129" s="400" t="s">
        <v>294</v>
      </c>
      <c r="D129" s="401" t="s">
        <v>274</v>
      </c>
      <c r="E129" s="325" t="s">
        <v>1981</v>
      </c>
      <c r="F129" s="467" t="s">
        <v>767</v>
      </c>
    </row>
    <row r="130" spans="1:6" ht="36" x14ac:dyDescent="0.25">
      <c r="A130" s="926">
        <v>160</v>
      </c>
      <c r="B130" s="400" t="s">
        <v>296</v>
      </c>
      <c r="C130" s="400" t="s">
        <v>294</v>
      </c>
      <c r="D130" s="401" t="s">
        <v>274</v>
      </c>
      <c r="E130" s="325" t="s">
        <v>1981</v>
      </c>
      <c r="F130" s="467" t="s">
        <v>767</v>
      </c>
    </row>
    <row r="131" spans="1:6" ht="36" x14ac:dyDescent="0.25">
      <c r="A131" s="926">
        <v>161</v>
      </c>
      <c r="B131" s="400" t="s">
        <v>297</v>
      </c>
      <c r="C131" s="400" t="s">
        <v>294</v>
      </c>
      <c r="D131" s="401" t="s">
        <v>274</v>
      </c>
      <c r="E131" s="328" t="s">
        <v>1981</v>
      </c>
      <c r="F131" s="467" t="s">
        <v>767</v>
      </c>
    </row>
    <row r="132" spans="1:6" ht="36" x14ac:dyDescent="0.25">
      <c r="A132" s="926">
        <v>162</v>
      </c>
      <c r="B132" s="400" t="s">
        <v>298</v>
      </c>
      <c r="C132" s="400" t="s">
        <v>294</v>
      </c>
      <c r="D132" s="401" t="s">
        <v>274</v>
      </c>
      <c r="E132" s="325" t="s">
        <v>1981</v>
      </c>
      <c r="F132" s="467" t="s">
        <v>767</v>
      </c>
    </row>
    <row r="133" spans="1:6" ht="18" x14ac:dyDescent="0.25">
      <c r="A133" s="926">
        <v>164</v>
      </c>
      <c r="B133" s="400" t="s">
        <v>299</v>
      </c>
      <c r="C133" s="400" t="s">
        <v>294</v>
      </c>
      <c r="D133" s="401" t="s">
        <v>274</v>
      </c>
      <c r="E133" s="325" t="s">
        <v>1981</v>
      </c>
      <c r="F133" s="467" t="s">
        <v>722</v>
      </c>
    </row>
    <row r="134" spans="1:6" ht="18" x14ac:dyDescent="0.25">
      <c r="A134" s="926">
        <v>166</v>
      </c>
      <c r="B134" s="400" t="s">
        <v>301</v>
      </c>
      <c r="C134" s="400" t="s">
        <v>302</v>
      </c>
      <c r="D134" s="401" t="s">
        <v>274</v>
      </c>
      <c r="E134" s="325" t="s">
        <v>1981</v>
      </c>
      <c r="F134" s="467" t="s">
        <v>722</v>
      </c>
    </row>
    <row r="135" spans="1:6" ht="36" x14ac:dyDescent="0.25">
      <c r="A135" s="926">
        <v>167</v>
      </c>
      <c r="B135" s="400" t="s">
        <v>497</v>
      </c>
      <c r="C135" s="400" t="s">
        <v>484</v>
      </c>
      <c r="D135" s="401" t="s">
        <v>482</v>
      </c>
      <c r="E135" s="325" t="s">
        <v>1981</v>
      </c>
      <c r="F135" s="467" t="s">
        <v>767</v>
      </c>
    </row>
    <row r="136" spans="1:6" ht="36" x14ac:dyDescent="0.25">
      <c r="A136" s="926">
        <v>168</v>
      </c>
      <c r="B136" s="400" t="s">
        <v>499</v>
      </c>
      <c r="C136" s="400" t="s">
        <v>484</v>
      </c>
      <c r="D136" s="401" t="s">
        <v>482</v>
      </c>
      <c r="E136" s="325" t="s">
        <v>1981</v>
      </c>
      <c r="F136" s="467" t="s">
        <v>767</v>
      </c>
    </row>
    <row r="137" spans="1:6" ht="36" x14ac:dyDescent="0.25">
      <c r="A137" s="927">
        <v>169.1</v>
      </c>
      <c r="B137" s="400" t="s">
        <v>500</v>
      </c>
      <c r="C137" s="400" t="s">
        <v>501</v>
      </c>
      <c r="D137" s="401" t="s">
        <v>482</v>
      </c>
      <c r="E137" s="325" t="s">
        <v>1981</v>
      </c>
      <c r="F137" s="467" t="s">
        <v>767</v>
      </c>
    </row>
    <row r="138" spans="1:6" ht="36" x14ac:dyDescent="0.25">
      <c r="A138" s="927">
        <v>169.2</v>
      </c>
      <c r="B138" s="400" t="s">
        <v>500</v>
      </c>
      <c r="C138" s="400" t="s">
        <v>501</v>
      </c>
      <c r="D138" s="401" t="s">
        <v>482</v>
      </c>
      <c r="E138" s="325" t="s">
        <v>1981</v>
      </c>
      <c r="F138" s="467" t="s">
        <v>767</v>
      </c>
    </row>
    <row r="139" spans="1:6" ht="18" x14ac:dyDescent="0.25">
      <c r="A139" s="926">
        <v>170</v>
      </c>
      <c r="B139" s="400" t="s">
        <v>502</v>
      </c>
      <c r="C139" s="400" t="s">
        <v>503</v>
      </c>
      <c r="D139" s="401" t="s">
        <v>482</v>
      </c>
      <c r="E139" s="325" t="s">
        <v>1981</v>
      </c>
      <c r="F139" s="467" t="s">
        <v>722</v>
      </c>
    </row>
    <row r="140" spans="1:6" ht="18" x14ac:dyDescent="0.25">
      <c r="A140" s="928">
        <v>171</v>
      </c>
      <c r="B140" s="400" t="s">
        <v>503</v>
      </c>
      <c r="C140" s="400" t="s">
        <v>503</v>
      </c>
      <c r="D140" s="401" t="s">
        <v>482</v>
      </c>
      <c r="E140" s="325" t="s">
        <v>1981</v>
      </c>
      <c r="F140" s="467" t="s">
        <v>722</v>
      </c>
    </row>
    <row r="141" spans="1:6" ht="18" x14ac:dyDescent="0.25">
      <c r="A141" s="926">
        <v>172</v>
      </c>
      <c r="B141" s="400" t="s">
        <v>509</v>
      </c>
      <c r="C141" s="400" t="s">
        <v>503</v>
      </c>
      <c r="D141" s="401" t="s">
        <v>482</v>
      </c>
      <c r="E141" s="325" t="s">
        <v>1981</v>
      </c>
      <c r="F141" s="467" t="s">
        <v>722</v>
      </c>
    </row>
    <row r="142" spans="1:6" ht="18" x14ac:dyDescent="0.25">
      <c r="A142" s="926">
        <v>174</v>
      </c>
      <c r="B142" s="400" t="s">
        <v>303</v>
      </c>
      <c r="C142" s="400" t="s">
        <v>304</v>
      </c>
      <c r="D142" s="401" t="s">
        <v>274</v>
      </c>
      <c r="E142" s="325" t="s">
        <v>1981</v>
      </c>
      <c r="F142" s="467" t="s">
        <v>722</v>
      </c>
    </row>
    <row r="143" spans="1:6" ht="18" x14ac:dyDescent="0.25">
      <c r="A143" s="926">
        <v>176</v>
      </c>
      <c r="B143" s="400" t="s">
        <v>305</v>
      </c>
      <c r="C143" s="400" t="s">
        <v>304</v>
      </c>
      <c r="D143" s="401" t="s">
        <v>274</v>
      </c>
      <c r="E143" s="325" t="s">
        <v>1981</v>
      </c>
      <c r="F143" s="467" t="s">
        <v>722</v>
      </c>
    </row>
    <row r="144" spans="1:6" ht="22.5" x14ac:dyDescent="0.25">
      <c r="A144" s="926">
        <v>177</v>
      </c>
      <c r="B144" s="400" t="s">
        <v>306</v>
      </c>
      <c r="C144" s="400" t="s">
        <v>304</v>
      </c>
      <c r="D144" s="401" t="s">
        <v>274</v>
      </c>
      <c r="E144" s="325" t="s">
        <v>1981</v>
      </c>
      <c r="F144" s="467" t="s">
        <v>722</v>
      </c>
    </row>
    <row r="145" spans="1:6" ht="22.5" x14ac:dyDescent="0.25">
      <c r="A145" s="926">
        <v>181</v>
      </c>
      <c r="B145" s="400" t="s">
        <v>309</v>
      </c>
      <c r="C145" s="400" t="s">
        <v>304</v>
      </c>
      <c r="D145" s="401" t="s">
        <v>274</v>
      </c>
      <c r="E145" s="325" t="s">
        <v>1981</v>
      </c>
      <c r="F145" s="467" t="s">
        <v>722</v>
      </c>
    </row>
    <row r="146" spans="1:6" ht="18" x14ac:dyDescent="0.25">
      <c r="A146" s="926">
        <v>185</v>
      </c>
      <c r="B146" s="400" t="s">
        <v>312</v>
      </c>
      <c r="C146" s="400" t="s">
        <v>304</v>
      </c>
      <c r="D146" s="401" t="s">
        <v>274</v>
      </c>
      <c r="E146" s="325" t="s">
        <v>1981</v>
      </c>
      <c r="F146" s="467" t="s">
        <v>722</v>
      </c>
    </row>
    <row r="147" spans="1:6" ht="22.5" x14ac:dyDescent="0.25">
      <c r="A147" s="926">
        <v>187</v>
      </c>
      <c r="B147" s="400" t="s">
        <v>314</v>
      </c>
      <c r="C147" s="400" t="s">
        <v>315</v>
      </c>
      <c r="D147" s="401" t="s">
        <v>274</v>
      </c>
      <c r="E147" s="325"/>
      <c r="F147" s="467" t="s">
        <v>722</v>
      </c>
    </row>
    <row r="148" spans="1:6" ht="54" x14ac:dyDescent="0.25">
      <c r="A148" s="926">
        <v>188</v>
      </c>
      <c r="B148" s="400" t="s">
        <v>317</v>
      </c>
      <c r="C148" s="400" t="s">
        <v>304</v>
      </c>
      <c r="D148" s="401" t="s">
        <v>274</v>
      </c>
      <c r="E148" s="325"/>
      <c r="F148" s="467" t="s">
        <v>719</v>
      </c>
    </row>
    <row r="149" spans="1:6" ht="54" x14ac:dyDescent="0.25">
      <c r="A149" s="926">
        <v>190</v>
      </c>
      <c r="B149" s="400" t="s">
        <v>318</v>
      </c>
      <c r="C149" s="400" t="s">
        <v>319</v>
      </c>
      <c r="D149" s="401" t="s">
        <v>274</v>
      </c>
      <c r="E149" s="325"/>
      <c r="F149" s="467" t="s">
        <v>719</v>
      </c>
    </row>
    <row r="150" spans="1:6" ht="36" x14ac:dyDescent="0.25">
      <c r="A150" s="926">
        <v>194</v>
      </c>
      <c r="B150" s="400" t="s">
        <v>320</v>
      </c>
      <c r="C150" s="400" t="s">
        <v>321</v>
      </c>
      <c r="D150" s="401" t="s">
        <v>274</v>
      </c>
      <c r="E150" s="325"/>
      <c r="F150" s="467" t="s">
        <v>767</v>
      </c>
    </row>
    <row r="151" spans="1:6" ht="45" x14ac:dyDescent="0.25">
      <c r="A151" s="926">
        <v>195</v>
      </c>
      <c r="B151" s="400" t="s">
        <v>322</v>
      </c>
      <c r="C151" s="400" t="s">
        <v>323</v>
      </c>
      <c r="D151" s="401" t="s">
        <v>274</v>
      </c>
      <c r="E151" s="325" t="s">
        <v>1981</v>
      </c>
      <c r="F151" s="467" t="s">
        <v>722</v>
      </c>
    </row>
    <row r="152" spans="1:6" ht="22.5" x14ac:dyDescent="0.25">
      <c r="A152" s="926">
        <v>198</v>
      </c>
      <c r="B152" s="400" t="s">
        <v>601</v>
      </c>
      <c r="C152" s="400" t="s">
        <v>217</v>
      </c>
      <c r="D152" s="401" t="s">
        <v>573</v>
      </c>
      <c r="E152" s="325"/>
      <c r="F152" s="467" t="s">
        <v>722</v>
      </c>
    </row>
    <row r="153" spans="1:6" ht="33.75" x14ac:dyDescent="0.25">
      <c r="A153" s="926">
        <v>200</v>
      </c>
      <c r="B153" s="400" t="s">
        <v>602</v>
      </c>
      <c r="C153" s="400" t="s">
        <v>217</v>
      </c>
      <c r="D153" s="401" t="s">
        <v>573</v>
      </c>
      <c r="E153" s="325"/>
      <c r="F153" s="467" t="s">
        <v>722</v>
      </c>
    </row>
    <row r="154" spans="1:6" ht="33.75" x14ac:dyDescent="0.25">
      <c r="A154" s="926">
        <v>201</v>
      </c>
      <c r="B154" s="400" t="s">
        <v>603</v>
      </c>
      <c r="C154" s="400" t="s">
        <v>217</v>
      </c>
      <c r="D154" s="401" t="s">
        <v>573</v>
      </c>
      <c r="E154" s="325"/>
      <c r="F154" s="467" t="s">
        <v>722</v>
      </c>
    </row>
    <row r="155" spans="1:6" ht="33.75" x14ac:dyDescent="0.25">
      <c r="A155" s="926">
        <v>202</v>
      </c>
      <c r="B155" s="400" t="s">
        <v>604</v>
      </c>
      <c r="C155" s="400" t="s">
        <v>217</v>
      </c>
      <c r="D155" s="401" t="s">
        <v>573</v>
      </c>
      <c r="E155" s="325"/>
      <c r="F155" s="467" t="s">
        <v>722</v>
      </c>
    </row>
    <row r="156" spans="1:6" ht="33.75" x14ac:dyDescent="0.25">
      <c r="A156" s="926">
        <v>203</v>
      </c>
      <c r="B156" s="400" t="s">
        <v>237</v>
      </c>
      <c r="C156" s="400" t="s">
        <v>217</v>
      </c>
      <c r="D156" s="401" t="s">
        <v>233</v>
      </c>
      <c r="E156" s="325"/>
      <c r="F156" s="467" t="s">
        <v>722</v>
      </c>
    </row>
    <row r="157" spans="1:6" ht="22.5" x14ac:dyDescent="0.25">
      <c r="A157" s="926">
        <v>204</v>
      </c>
      <c r="B157" s="400" t="s">
        <v>216</v>
      </c>
      <c r="C157" s="400" t="s">
        <v>217</v>
      </c>
      <c r="D157" s="401" t="s">
        <v>197</v>
      </c>
      <c r="E157" s="325"/>
      <c r="F157" s="467" t="s">
        <v>722</v>
      </c>
    </row>
    <row r="158" spans="1:6" ht="33.75" x14ac:dyDescent="0.25">
      <c r="A158" s="926">
        <v>205</v>
      </c>
      <c r="B158" s="400" t="s">
        <v>238</v>
      </c>
      <c r="C158" s="400" t="s">
        <v>217</v>
      </c>
      <c r="D158" s="401" t="s">
        <v>233</v>
      </c>
      <c r="E158" s="325"/>
      <c r="F158" s="467" t="s">
        <v>722</v>
      </c>
    </row>
    <row r="159" spans="1:6" ht="33.75" x14ac:dyDescent="0.25">
      <c r="A159" s="926">
        <v>206</v>
      </c>
      <c r="B159" s="400" t="s">
        <v>239</v>
      </c>
      <c r="C159" s="400" t="s">
        <v>217</v>
      </c>
      <c r="D159" s="401" t="s">
        <v>233</v>
      </c>
      <c r="E159" s="325"/>
      <c r="F159" s="467" t="s">
        <v>722</v>
      </c>
    </row>
    <row r="160" spans="1:6" ht="33.75" x14ac:dyDescent="0.25">
      <c r="A160" s="926">
        <v>207</v>
      </c>
      <c r="B160" s="400" t="s">
        <v>240</v>
      </c>
      <c r="C160" s="400" t="s">
        <v>217</v>
      </c>
      <c r="D160" s="401" t="s">
        <v>233</v>
      </c>
      <c r="E160" s="325"/>
      <c r="F160" s="467" t="s">
        <v>722</v>
      </c>
    </row>
    <row r="161" spans="1:6" ht="33.75" x14ac:dyDescent="0.25">
      <c r="A161" s="926">
        <v>208</v>
      </c>
      <c r="B161" s="400" t="s">
        <v>605</v>
      </c>
      <c r="C161" s="400" t="s">
        <v>606</v>
      </c>
      <c r="D161" s="401" t="s">
        <v>573</v>
      </c>
      <c r="E161" s="325"/>
      <c r="F161" s="467" t="s">
        <v>722</v>
      </c>
    </row>
    <row r="162" spans="1:6" ht="33.75" x14ac:dyDescent="0.25">
      <c r="A162" s="926">
        <v>209</v>
      </c>
      <c r="B162" s="400" t="s">
        <v>190</v>
      </c>
      <c r="C162" s="400" t="s">
        <v>191</v>
      </c>
      <c r="D162" s="401" t="s">
        <v>189</v>
      </c>
      <c r="E162" s="325"/>
      <c r="F162" s="467" t="s">
        <v>722</v>
      </c>
    </row>
    <row r="163" spans="1:6" ht="18" x14ac:dyDescent="0.25">
      <c r="A163" s="926">
        <v>211</v>
      </c>
      <c r="B163" s="400" t="s">
        <v>607</v>
      </c>
      <c r="C163" s="400" t="s">
        <v>608</v>
      </c>
      <c r="D163" s="401" t="s">
        <v>573</v>
      </c>
      <c r="E163" s="325"/>
      <c r="F163" s="467" t="s">
        <v>722</v>
      </c>
    </row>
    <row r="164" spans="1:6" ht="22.5" x14ac:dyDescent="0.25">
      <c r="A164" s="926">
        <v>216</v>
      </c>
      <c r="B164" s="400" t="s">
        <v>266</v>
      </c>
      <c r="C164" s="400" t="s">
        <v>267</v>
      </c>
      <c r="D164" s="401" t="s">
        <v>259</v>
      </c>
      <c r="E164" s="325"/>
      <c r="F164" s="467" t="s">
        <v>722</v>
      </c>
    </row>
    <row r="165" spans="1:6" ht="22.5" x14ac:dyDescent="0.25">
      <c r="A165" s="926">
        <v>217</v>
      </c>
      <c r="B165" s="400" t="s">
        <v>218</v>
      </c>
      <c r="C165" s="400" t="s">
        <v>219</v>
      </c>
      <c r="D165" s="401" t="s">
        <v>197</v>
      </c>
      <c r="E165" s="325"/>
      <c r="F165" s="467" t="s">
        <v>722</v>
      </c>
    </row>
    <row r="166" spans="1:6" ht="36" x14ac:dyDescent="0.25">
      <c r="A166" s="926">
        <v>218</v>
      </c>
      <c r="B166" s="400" t="s">
        <v>258</v>
      </c>
      <c r="C166" s="400" t="s">
        <v>250</v>
      </c>
      <c r="D166" s="401" t="s">
        <v>241</v>
      </c>
      <c r="E166" s="325" t="s">
        <v>1981</v>
      </c>
      <c r="F166" s="467" t="s">
        <v>767</v>
      </c>
    </row>
    <row r="167" spans="1:6" ht="18" x14ac:dyDescent="0.25">
      <c r="A167" s="926">
        <v>219</v>
      </c>
      <c r="B167" s="400" t="s">
        <v>422</v>
      </c>
      <c r="C167" s="400" t="s">
        <v>423</v>
      </c>
      <c r="D167" s="401" t="s">
        <v>410</v>
      </c>
      <c r="E167" s="325"/>
      <c r="F167" s="467" t="s">
        <v>722</v>
      </c>
    </row>
    <row r="168" spans="1:6" ht="54" x14ac:dyDescent="0.25">
      <c r="A168" s="926">
        <v>220</v>
      </c>
      <c r="B168" s="400" t="s">
        <v>68</v>
      </c>
      <c r="C168" s="400" t="s">
        <v>37</v>
      </c>
      <c r="D168" s="401" t="s">
        <v>35</v>
      </c>
      <c r="E168" s="325" t="s">
        <v>1981</v>
      </c>
      <c r="F168" s="467" t="s">
        <v>719</v>
      </c>
    </row>
    <row r="169" spans="1:6" ht="18" x14ac:dyDescent="0.25">
      <c r="A169" s="928">
        <v>221</v>
      </c>
      <c r="B169" s="400" t="s">
        <v>193</v>
      </c>
      <c r="C169" s="400" t="s">
        <v>50</v>
      </c>
      <c r="D169" s="401" t="s">
        <v>192</v>
      </c>
      <c r="E169" s="325" t="s">
        <v>1981</v>
      </c>
      <c r="F169" s="467" t="s">
        <v>722</v>
      </c>
    </row>
    <row r="170" spans="1:6" ht="22.5" x14ac:dyDescent="0.25">
      <c r="A170" s="926">
        <v>222</v>
      </c>
      <c r="B170" s="400" t="s">
        <v>146</v>
      </c>
      <c r="C170" s="400" t="s">
        <v>147</v>
      </c>
      <c r="D170" s="401" t="s">
        <v>92</v>
      </c>
      <c r="E170" s="325"/>
      <c r="F170" s="467" t="s">
        <v>722</v>
      </c>
    </row>
    <row r="171" spans="1:6" ht="36" x14ac:dyDescent="0.25">
      <c r="A171" s="927">
        <v>223.1</v>
      </c>
      <c r="B171" s="400" t="s">
        <v>148</v>
      </c>
      <c r="C171" s="400" t="s">
        <v>149</v>
      </c>
      <c r="D171" s="401" t="s">
        <v>92</v>
      </c>
      <c r="E171" s="325" t="s">
        <v>1981</v>
      </c>
      <c r="F171" s="467" t="s">
        <v>767</v>
      </c>
    </row>
    <row r="172" spans="1:6" ht="33.75" x14ac:dyDescent="0.25">
      <c r="A172" s="927">
        <v>223.2</v>
      </c>
      <c r="B172" s="400" t="s">
        <v>148</v>
      </c>
      <c r="C172" s="400" t="s">
        <v>149</v>
      </c>
      <c r="D172" s="401" t="s">
        <v>92</v>
      </c>
      <c r="E172" s="325"/>
      <c r="F172" s="467" t="s">
        <v>722</v>
      </c>
    </row>
    <row r="173" spans="1:6" ht="18" x14ac:dyDescent="0.25">
      <c r="A173" s="926">
        <v>224</v>
      </c>
      <c r="B173" s="400" t="s">
        <v>151</v>
      </c>
      <c r="C173" s="400" t="s">
        <v>152</v>
      </c>
      <c r="D173" s="401" t="s">
        <v>92</v>
      </c>
      <c r="E173" s="325"/>
      <c r="F173" s="467" t="s">
        <v>722</v>
      </c>
    </row>
    <row r="174" spans="1:6" ht="36" x14ac:dyDescent="0.25">
      <c r="A174" s="926">
        <v>225</v>
      </c>
      <c r="B174" s="400" t="s">
        <v>464</v>
      </c>
      <c r="C174" s="400" t="s">
        <v>465</v>
      </c>
      <c r="D174" s="401" t="s">
        <v>460</v>
      </c>
      <c r="E174" s="325" t="s">
        <v>1981</v>
      </c>
      <c r="F174" s="467" t="s">
        <v>767</v>
      </c>
    </row>
    <row r="175" spans="1:6" ht="22.5" x14ac:dyDescent="0.25">
      <c r="A175" s="926">
        <v>226</v>
      </c>
      <c r="B175" s="400" t="s">
        <v>609</v>
      </c>
      <c r="C175" s="400" t="s">
        <v>610</v>
      </c>
      <c r="D175" s="401" t="s">
        <v>573</v>
      </c>
      <c r="E175" s="325" t="s">
        <v>1981</v>
      </c>
      <c r="F175" s="467" t="s">
        <v>722</v>
      </c>
    </row>
    <row r="176" spans="1:6" ht="22.5" x14ac:dyDescent="0.25">
      <c r="A176" s="926">
        <v>227</v>
      </c>
      <c r="B176" s="400" t="s">
        <v>513</v>
      </c>
      <c r="C176" s="400" t="s">
        <v>514</v>
      </c>
      <c r="D176" s="401" t="s">
        <v>482</v>
      </c>
      <c r="E176" s="325" t="s">
        <v>1981</v>
      </c>
      <c r="F176" s="467" t="s">
        <v>722</v>
      </c>
    </row>
    <row r="177" spans="1:6" ht="22.5" x14ac:dyDescent="0.25">
      <c r="A177" s="926">
        <v>228</v>
      </c>
      <c r="B177" s="400" t="s">
        <v>518</v>
      </c>
      <c r="C177" s="400" t="s">
        <v>519</v>
      </c>
      <c r="D177" s="401" t="s">
        <v>482</v>
      </c>
      <c r="E177" s="325" t="s">
        <v>1981</v>
      </c>
      <c r="F177" s="467" t="s">
        <v>722</v>
      </c>
    </row>
    <row r="178" spans="1:6" ht="22.5" x14ac:dyDescent="0.25">
      <c r="A178" s="928">
        <v>229</v>
      </c>
      <c r="B178" s="400" t="s">
        <v>520</v>
      </c>
      <c r="C178" s="400" t="s">
        <v>521</v>
      </c>
      <c r="D178" s="401" t="s">
        <v>482</v>
      </c>
      <c r="E178" s="325"/>
      <c r="F178" s="467" t="s">
        <v>722</v>
      </c>
    </row>
    <row r="179" spans="1:6" ht="22.5" x14ac:dyDescent="0.25">
      <c r="A179" s="928">
        <v>301</v>
      </c>
      <c r="B179" s="400" t="s">
        <v>612</v>
      </c>
      <c r="C179" s="400" t="s">
        <v>254</v>
      </c>
      <c r="D179" s="401" t="s">
        <v>573</v>
      </c>
      <c r="E179" s="325"/>
      <c r="F179" s="467" t="s">
        <v>722</v>
      </c>
    </row>
    <row r="180" spans="1:6" ht="27" x14ac:dyDescent="0.25">
      <c r="A180" s="1233">
        <v>302</v>
      </c>
      <c r="B180" s="409" t="s">
        <v>613</v>
      </c>
      <c r="C180" s="410" t="s">
        <v>589</v>
      </c>
      <c r="D180" s="411" t="s">
        <v>573</v>
      </c>
      <c r="E180" s="328" t="s">
        <v>1984</v>
      </c>
      <c r="F180" s="467" t="s">
        <v>722</v>
      </c>
    </row>
    <row r="181" spans="1:6" ht="22.5" x14ac:dyDescent="0.25">
      <c r="A181" s="928">
        <v>303</v>
      </c>
      <c r="B181" s="400" t="s">
        <v>615</v>
      </c>
      <c r="C181" s="400" t="s">
        <v>616</v>
      </c>
      <c r="D181" s="401" t="s">
        <v>573</v>
      </c>
      <c r="E181" s="325"/>
      <c r="F181" s="467" t="s">
        <v>722</v>
      </c>
    </row>
    <row r="182" spans="1:6" ht="22.5" x14ac:dyDescent="0.25">
      <c r="A182" s="928">
        <v>304</v>
      </c>
      <c r="B182" s="400" t="s">
        <v>620</v>
      </c>
      <c r="C182" s="400" t="s">
        <v>621</v>
      </c>
      <c r="D182" s="401" t="s">
        <v>573</v>
      </c>
      <c r="E182" s="325"/>
      <c r="F182" s="467" t="s">
        <v>722</v>
      </c>
    </row>
    <row r="183" spans="1:6" ht="22.5" x14ac:dyDescent="0.25">
      <c r="A183" s="928">
        <v>305</v>
      </c>
      <c r="B183" s="400" t="s">
        <v>622</v>
      </c>
      <c r="C183" s="400" t="s">
        <v>623</v>
      </c>
      <c r="D183" s="401" t="s">
        <v>573</v>
      </c>
      <c r="E183" s="325"/>
      <c r="F183" s="467" t="s">
        <v>722</v>
      </c>
    </row>
    <row r="184" spans="1:6" ht="22.5" x14ac:dyDescent="0.25">
      <c r="A184" s="1233">
        <v>306</v>
      </c>
      <c r="B184" s="409" t="s">
        <v>394</v>
      </c>
      <c r="C184" s="410" t="s">
        <v>217</v>
      </c>
      <c r="D184" s="411" t="s">
        <v>393</v>
      </c>
      <c r="E184" s="325"/>
      <c r="F184" s="467" t="s">
        <v>722</v>
      </c>
    </row>
    <row r="185" spans="1:6" ht="18" x14ac:dyDescent="0.25">
      <c r="A185" s="928">
        <v>307</v>
      </c>
      <c r="B185" s="400" t="s">
        <v>221</v>
      </c>
      <c r="C185" s="400" t="s">
        <v>222</v>
      </c>
      <c r="D185" s="401" t="s">
        <v>197</v>
      </c>
      <c r="E185" s="325"/>
      <c r="F185" s="467" t="s">
        <v>722</v>
      </c>
    </row>
    <row r="186" spans="1:6" ht="33.75" x14ac:dyDescent="0.25">
      <c r="A186" s="928">
        <v>310</v>
      </c>
      <c r="B186" s="400" t="s">
        <v>223</v>
      </c>
      <c r="C186" s="400" t="s">
        <v>224</v>
      </c>
      <c r="D186" s="401" t="s">
        <v>197</v>
      </c>
      <c r="E186" s="325"/>
      <c r="F186" s="467" t="s">
        <v>722</v>
      </c>
    </row>
    <row r="187" spans="1:6" ht="18" x14ac:dyDescent="0.25">
      <c r="A187" s="1233">
        <v>311</v>
      </c>
      <c r="B187" s="409" t="s">
        <v>226</v>
      </c>
      <c r="C187" s="410" t="s">
        <v>227</v>
      </c>
      <c r="D187" s="411" t="s">
        <v>197</v>
      </c>
      <c r="E187" s="325"/>
      <c r="F187" s="467" t="s">
        <v>722</v>
      </c>
    </row>
    <row r="188" spans="1:6" ht="18" x14ac:dyDescent="0.25">
      <c r="A188" s="1233">
        <v>312</v>
      </c>
      <c r="B188" s="409" t="s">
        <v>229</v>
      </c>
      <c r="C188" s="410" t="s">
        <v>230</v>
      </c>
      <c r="D188" s="411" t="s">
        <v>197</v>
      </c>
      <c r="E188" s="325"/>
      <c r="F188" s="467" t="s">
        <v>722</v>
      </c>
    </row>
    <row r="189" spans="1:6" ht="22.5" x14ac:dyDescent="0.25">
      <c r="A189" s="928">
        <v>313</v>
      </c>
      <c r="B189" s="400" t="s">
        <v>231</v>
      </c>
      <c r="C189" s="400" t="s">
        <v>231</v>
      </c>
      <c r="D189" s="401" t="s">
        <v>197</v>
      </c>
      <c r="E189" s="325"/>
      <c r="F189" s="467" t="s">
        <v>722</v>
      </c>
    </row>
    <row r="190" spans="1:6" ht="18" x14ac:dyDescent="0.25">
      <c r="A190" s="928">
        <v>314</v>
      </c>
      <c r="B190" s="400" t="s">
        <v>154</v>
      </c>
      <c r="C190" s="400" t="s">
        <v>154</v>
      </c>
      <c r="D190" s="401" t="s">
        <v>183</v>
      </c>
      <c r="E190" s="325"/>
      <c r="F190" s="467" t="s">
        <v>722</v>
      </c>
    </row>
    <row r="191" spans="1:6" ht="18" x14ac:dyDescent="0.25">
      <c r="A191" s="928">
        <v>315</v>
      </c>
      <c r="B191" s="400" t="s">
        <v>153</v>
      </c>
      <c r="C191" s="400" t="s">
        <v>154</v>
      </c>
      <c r="D191" s="401" t="s">
        <v>92</v>
      </c>
      <c r="E191" s="325"/>
      <c r="F191" s="467" t="s">
        <v>722</v>
      </c>
    </row>
    <row r="192" spans="1:6" ht="18" x14ac:dyDescent="0.25">
      <c r="A192" s="1233">
        <v>316</v>
      </c>
      <c r="B192" s="409" t="s">
        <v>155</v>
      </c>
      <c r="C192" s="410" t="s">
        <v>112</v>
      </c>
      <c r="D192" s="411" t="s">
        <v>92</v>
      </c>
      <c r="E192" s="325"/>
      <c r="F192" s="467" t="s">
        <v>722</v>
      </c>
    </row>
    <row r="193" spans="1:6" ht="18" x14ac:dyDescent="0.25">
      <c r="A193" s="1233">
        <v>317</v>
      </c>
      <c r="B193" s="409" t="s">
        <v>156</v>
      </c>
      <c r="C193" s="410" t="s">
        <v>157</v>
      </c>
      <c r="D193" s="411" t="s">
        <v>92</v>
      </c>
      <c r="E193" s="325"/>
      <c r="F193" s="467" t="s">
        <v>722</v>
      </c>
    </row>
    <row r="194" spans="1:6" ht="18" x14ac:dyDescent="0.25">
      <c r="A194" s="1233">
        <v>318</v>
      </c>
      <c r="B194" s="409" t="s">
        <v>159</v>
      </c>
      <c r="C194" s="410" t="s">
        <v>160</v>
      </c>
      <c r="D194" s="411" t="s">
        <v>92</v>
      </c>
      <c r="E194" s="325"/>
      <c r="F194" s="467" t="s">
        <v>722</v>
      </c>
    </row>
    <row r="195" spans="1:6" ht="18" x14ac:dyDescent="0.25">
      <c r="A195" s="928">
        <v>319</v>
      </c>
      <c r="B195" s="400" t="s">
        <v>161</v>
      </c>
      <c r="C195" s="400" t="s">
        <v>94</v>
      </c>
      <c r="D195" s="401" t="s">
        <v>92</v>
      </c>
      <c r="E195" s="325"/>
      <c r="F195" s="467" t="s">
        <v>722</v>
      </c>
    </row>
    <row r="196" spans="1:6" ht="18" x14ac:dyDescent="0.25">
      <c r="A196" s="1233">
        <v>320</v>
      </c>
      <c r="B196" s="409" t="s">
        <v>163</v>
      </c>
      <c r="C196" s="410" t="s">
        <v>164</v>
      </c>
      <c r="D196" s="411" t="s">
        <v>92</v>
      </c>
      <c r="E196" s="325"/>
      <c r="F196" s="467" t="s">
        <v>722</v>
      </c>
    </row>
    <row r="197" spans="1:6" ht="18" x14ac:dyDescent="0.25">
      <c r="A197" s="928">
        <v>321</v>
      </c>
      <c r="B197" s="400" t="s">
        <v>165</v>
      </c>
      <c r="C197" s="400" t="s">
        <v>94</v>
      </c>
      <c r="D197" s="401" t="s">
        <v>92</v>
      </c>
      <c r="E197" s="325"/>
      <c r="F197" s="467" t="s">
        <v>722</v>
      </c>
    </row>
    <row r="198" spans="1:6" ht="18" x14ac:dyDescent="0.25">
      <c r="A198" s="928">
        <v>322</v>
      </c>
      <c r="B198" s="400" t="s">
        <v>166</v>
      </c>
      <c r="C198" s="400" t="s">
        <v>167</v>
      </c>
      <c r="D198" s="401" t="s">
        <v>92</v>
      </c>
      <c r="E198" s="325"/>
      <c r="F198" s="467" t="s">
        <v>722</v>
      </c>
    </row>
    <row r="199" spans="1:6" ht="22.5" x14ac:dyDescent="0.25">
      <c r="A199" s="928">
        <v>323</v>
      </c>
      <c r="B199" s="400" t="s">
        <v>168</v>
      </c>
      <c r="C199" s="400" t="s">
        <v>169</v>
      </c>
      <c r="D199" s="401" t="s">
        <v>92</v>
      </c>
      <c r="E199" s="325"/>
      <c r="F199" s="467" t="s">
        <v>722</v>
      </c>
    </row>
    <row r="200" spans="1:6" ht="18" x14ac:dyDescent="0.25">
      <c r="A200" s="928">
        <v>324</v>
      </c>
      <c r="B200" s="400" t="s">
        <v>171</v>
      </c>
      <c r="C200" s="400" t="s">
        <v>172</v>
      </c>
      <c r="D200" s="401" t="s">
        <v>92</v>
      </c>
      <c r="E200" s="325"/>
      <c r="F200" s="467" t="s">
        <v>722</v>
      </c>
    </row>
    <row r="201" spans="1:6" ht="27" x14ac:dyDescent="0.25">
      <c r="A201" s="928">
        <v>325</v>
      </c>
      <c r="B201" s="400" t="s">
        <v>174</v>
      </c>
      <c r="C201" s="400" t="s">
        <v>125</v>
      </c>
      <c r="D201" s="401" t="s">
        <v>92</v>
      </c>
      <c r="E201" s="325" t="s">
        <v>1984</v>
      </c>
      <c r="F201" s="467" t="s">
        <v>722</v>
      </c>
    </row>
    <row r="202" spans="1:6" ht="33.75" x14ac:dyDescent="0.25">
      <c r="A202" s="927">
        <v>326.10000000000002</v>
      </c>
      <c r="B202" s="400" t="s">
        <v>175</v>
      </c>
      <c r="C202" s="400" t="s">
        <v>176</v>
      </c>
      <c r="D202" s="401" t="s">
        <v>92</v>
      </c>
      <c r="E202" s="325"/>
      <c r="F202" s="467" t="s">
        <v>722</v>
      </c>
    </row>
    <row r="203" spans="1:6" ht="33.75" x14ac:dyDescent="0.25">
      <c r="A203" s="927">
        <v>326.2</v>
      </c>
      <c r="B203" s="400" t="s">
        <v>175</v>
      </c>
      <c r="C203" s="400" t="s">
        <v>176</v>
      </c>
      <c r="D203" s="401" t="s">
        <v>92</v>
      </c>
      <c r="E203" s="325"/>
      <c r="F203" s="467" t="s">
        <v>722</v>
      </c>
    </row>
    <row r="204" spans="1:6" ht="18" x14ac:dyDescent="0.25">
      <c r="A204" s="928">
        <v>327</v>
      </c>
      <c r="B204" s="400" t="s">
        <v>177</v>
      </c>
      <c r="C204" s="400" t="s">
        <v>178</v>
      </c>
      <c r="D204" s="401" t="s">
        <v>92</v>
      </c>
      <c r="E204" s="325"/>
      <c r="F204" s="467" t="s">
        <v>722</v>
      </c>
    </row>
    <row r="205" spans="1:6" ht="22.5" x14ac:dyDescent="0.25">
      <c r="A205" s="1233">
        <v>328</v>
      </c>
      <c r="B205" s="409" t="s">
        <v>180</v>
      </c>
      <c r="C205" s="410" t="s">
        <v>181</v>
      </c>
      <c r="D205" s="411" t="s">
        <v>92</v>
      </c>
      <c r="E205" s="325"/>
      <c r="F205" s="467" t="s">
        <v>722</v>
      </c>
    </row>
    <row r="206" spans="1:6" ht="18" x14ac:dyDescent="0.25">
      <c r="A206" s="929">
        <v>329</v>
      </c>
      <c r="B206" s="409" t="s">
        <v>665</v>
      </c>
      <c r="C206" s="410" t="s">
        <v>666</v>
      </c>
      <c r="D206" s="411" t="s">
        <v>625</v>
      </c>
      <c r="E206" s="325"/>
      <c r="F206" s="467" t="s">
        <v>722</v>
      </c>
    </row>
    <row r="207" spans="1:6" ht="18" x14ac:dyDescent="0.25">
      <c r="A207" s="1233">
        <v>330</v>
      </c>
      <c r="B207" s="409" t="s">
        <v>668</v>
      </c>
      <c r="C207" s="410" t="s">
        <v>669</v>
      </c>
      <c r="D207" s="411" t="s">
        <v>625</v>
      </c>
      <c r="E207" s="325"/>
      <c r="F207" s="467" t="s">
        <v>722</v>
      </c>
    </row>
    <row r="208" spans="1:6" ht="18" x14ac:dyDescent="0.25">
      <c r="A208" s="1233">
        <v>331</v>
      </c>
      <c r="B208" s="409" t="s">
        <v>671</v>
      </c>
      <c r="C208" s="410" t="s">
        <v>672</v>
      </c>
      <c r="D208" s="411" t="s">
        <v>625</v>
      </c>
      <c r="E208" s="325"/>
      <c r="F208" s="467" t="s">
        <v>722</v>
      </c>
    </row>
    <row r="209" spans="1:6" ht="22.5" x14ac:dyDescent="0.25">
      <c r="A209" s="1233">
        <v>332</v>
      </c>
      <c r="B209" s="409" t="s">
        <v>674</v>
      </c>
      <c r="C209" s="410" t="s">
        <v>675</v>
      </c>
      <c r="D209" s="411" t="s">
        <v>625</v>
      </c>
      <c r="E209" s="325" t="s">
        <v>1981</v>
      </c>
      <c r="F209" s="467" t="s">
        <v>722</v>
      </c>
    </row>
    <row r="210" spans="1:6" ht="22.5" x14ac:dyDescent="0.25">
      <c r="A210" s="1233">
        <v>333</v>
      </c>
      <c r="B210" s="409" t="s">
        <v>677</v>
      </c>
      <c r="C210" s="410" t="s">
        <v>675</v>
      </c>
      <c r="D210" s="411" t="s">
        <v>625</v>
      </c>
      <c r="E210" s="325" t="s">
        <v>1981</v>
      </c>
      <c r="F210" s="467" t="s">
        <v>722</v>
      </c>
    </row>
    <row r="211" spans="1:6" ht="18" x14ac:dyDescent="0.25">
      <c r="A211" s="1233">
        <v>334</v>
      </c>
      <c r="B211" s="409" t="s">
        <v>679</v>
      </c>
      <c r="C211" s="410" t="s">
        <v>680</v>
      </c>
      <c r="D211" s="411" t="s">
        <v>625</v>
      </c>
      <c r="E211" s="325"/>
      <c r="F211" s="467" t="s">
        <v>722</v>
      </c>
    </row>
    <row r="212" spans="1:6" ht="22.5" x14ac:dyDescent="0.25">
      <c r="A212" s="1233">
        <v>335</v>
      </c>
      <c r="B212" s="409" t="s">
        <v>682</v>
      </c>
      <c r="C212" s="410" t="s">
        <v>683</v>
      </c>
      <c r="D212" s="411" t="s">
        <v>625</v>
      </c>
      <c r="E212" s="325" t="s">
        <v>1981</v>
      </c>
      <c r="F212" s="467" t="s">
        <v>722</v>
      </c>
    </row>
    <row r="213" spans="1:6" ht="22.5" x14ac:dyDescent="0.25">
      <c r="A213" s="929">
        <v>336</v>
      </c>
      <c r="B213" s="409" t="s">
        <v>685</v>
      </c>
      <c r="C213" s="410" t="s">
        <v>686</v>
      </c>
      <c r="D213" s="411" t="s">
        <v>625</v>
      </c>
      <c r="E213" s="325"/>
      <c r="F213" s="467" t="s">
        <v>722</v>
      </c>
    </row>
    <row r="214" spans="1:6" ht="22.5" x14ac:dyDescent="0.25">
      <c r="A214" s="926">
        <v>337</v>
      </c>
      <c r="B214" s="400" t="s">
        <v>69</v>
      </c>
      <c r="C214" s="400" t="s">
        <v>70</v>
      </c>
      <c r="D214" s="401" t="s">
        <v>35</v>
      </c>
      <c r="E214" s="325"/>
      <c r="F214" s="467" t="s">
        <v>722</v>
      </c>
    </row>
    <row r="215" spans="1:6" ht="22.5" x14ac:dyDescent="0.25">
      <c r="A215" s="926">
        <v>338</v>
      </c>
      <c r="B215" s="400" t="s">
        <v>380</v>
      </c>
      <c r="C215" s="400" t="s">
        <v>381</v>
      </c>
      <c r="D215" s="401" t="s">
        <v>376</v>
      </c>
      <c r="E215" s="325"/>
      <c r="F215" s="467" t="s">
        <v>722</v>
      </c>
    </row>
    <row r="216" spans="1:6" ht="22.5" x14ac:dyDescent="0.25">
      <c r="A216" s="926">
        <v>339</v>
      </c>
      <c r="B216" s="400" t="s">
        <v>383</v>
      </c>
      <c r="C216" s="400" t="s">
        <v>384</v>
      </c>
      <c r="D216" s="401" t="s">
        <v>376</v>
      </c>
      <c r="E216" s="325"/>
      <c r="F216" s="467" t="s">
        <v>722</v>
      </c>
    </row>
    <row r="217" spans="1:6" ht="18" x14ac:dyDescent="0.25">
      <c r="A217" s="926">
        <v>340</v>
      </c>
      <c r="B217" s="400" t="s">
        <v>386</v>
      </c>
      <c r="C217" s="400" t="s">
        <v>387</v>
      </c>
      <c r="D217" s="401" t="s">
        <v>376</v>
      </c>
      <c r="E217" s="325"/>
      <c r="F217" s="467" t="s">
        <v>722</v>
      </c>
    </row>
    <row r="218" spans="1:6" ht="33.75" x14ac:dyDescent="0.25">
      <c r="A218" s="926">
        <v>341</v>
      </c>
      <c r="B218" s="400" t="s">
        <v>389</v>
      </c>
      <c r="C218" s="400" t="s">
        <v>390</v>
      </c>
      <c r="D218" s="401" t="s">
        <v>376</v>
      </c>
      <c r="E218" s="325"/>
      <c r="F218" s="467" t="s">
        <v>722</v>
      </c>
    </row>
    <row r="219" spans="1:6" ht="18" x14ac:dyDescent="0.25">
      <c r="A219" s="926">
        <v>342</v>
      </c>
      <c r="B219" s="400" t="s">
        <v>445</v>
      </c>
      <c r="C219" s="400" t="s">
        <v>446</v>
      </c>
      <c r="D219" s="401" t="s">
        <v>439</v>
      </c>
      <c r="E219" s="325"/>
      <c r="F219" s="467" t="s">
        <v>722</v>
      </c>
    </row>
    <row r="220" spans="1:6" ht="22.5" x14ac:dyDescent="0.25">
      <c r="A220" s="926">
        <v>343</v>
      </c>
      <c r="B220" s="400" t="s">
        <v>694</v>
      </c>
      <c r="C220" s="400" t="s">
        <v>695</v>
      </c>
      <c r="D220" s="401" t="s">
        <v>693</v>
      </c>
      <c r="E220" s="325"/>
      <c r="F220" s="467" t="s">
        <v>722</v>
      </c>
    </row>
    <row r="221" spans="1:6" ht="22.5" x14ac:dyDescent="0.25">
      <c r="A221" s="926">
        <v>344</v>
      </c>
      <c r="B221" s="400" t="s">
        <v>698</v>
      </c>
      <c r="C221" s="400" t="s">
        <v>695</v>
      </c>
      <c r="D221" s="401" t="s">
        <v>693</v>
      </c>
      <c r="E221" s="325"/>
      <c r="F221" s="467" t="s">
        <v>722</v>
      </c>
    </row>
    <row r="222" spans="1:6" ht="18" x14ac:dyDescent="0.25">
      <c r="A222" s="926">
        <v>345</v>
      </c>
      <c r="B222" s="400" t="s">
        <v>700</v>
      </c>
      <c r="C222" s="400" t="s">
        <v>412</v>
      </c>
      <c r="D222" s="401" t="s">
        <v>693</v>
      </c>
      <c r="E222" s="325"/>
      <c r="F222" s="467" t="s">
        <v>722</v>
      </c>
    </row>
    <row r="223" spans="1:6" ht="36" x14ac:dyDescent="0.25">
      <c r="A223" s="930">
        <v>346</v>
      </c>
      <c r="B223" s="400" t="s">
        <v>467</v>
      </c>
      <c r="C223" s="400" t="s">
        <v>462</v>
      </c>
      <c r="D223" s="401" t="s">
        <v>460</v>
      </c>
      <c r="E223" s="325" t="s">
        <v>1981</v>
      </c>
      <c r="F223" s="467" t="s">
        <v>767</v>
      </c>
    </row>
    <row r="224" spans="1:6" ht="22.5" x14ac:dyDescent="0.25">
      <c r="A224" s="931">
        <v>347</v>
      </c>
      <c r="B224" s="400" t="s">
        <v>269</v>
      </c>
      <c r="C224" s="400" t="s">
        <v>270</v>
      </c>
      <c r="D224" s="401" t="s">
        <v>259</v>
      </c>
      <c r="E224" s="325"/>
      <c r="F224" s="467" t="s">
        <v>722</v>
      </c>
    </row>
    <row r="225" spans="1:6" ht="36" x14ac:dyDescent="0.25">
      <c r="A225" s="1233">
        <v>348</v>
      </c>
      <c r="B225" s="409" t="s">
        <v>272</v>
      </c>
      <c r="C225" s="410" t="s">
        <v>273</v>
      </c>
      <c r="D225" s="411" t="s">
        <v>259</v>
      </c>
      <c r="E225" s="325" t="s">
        <v>1981</v>
      </c>
      <c r="F225" s="467" t="s">
        <v>767</v>
      </c>
    </row>
    <row r="226" spans="1:6" ht="18" x14ac:dyDescent="0.25">
      <c r="A226" s="926">
        <v>349</v>
      </c>
      <c r="B226" s="400" t="s">
        <v>558</v>
      </c>
      <c r="C226" s="400" t="s">
        <v>559</v>
      </c>
      <c r="D226" s="401" t="s">
        <v>551</v>
      </c>
      <c r="E226" s="325"/>
      <c r="F226" s="467" t="s">
        <v>722</v>
      </c>
    </row>
    <row r="227" spans="1:6" ht="18" x14ac:dyDescent="0.25">
      <c r="A227" s="929">
        <v>350</v>
      </c>
      <c r="B227" s="409" t="s">
        <v>561</v>
      </c>
      <c r="C227" s="410" t="s">
        <v>562</v>
      </c>
      <c r="D227" s="411" t="s">
        <v>551</v>
      </c>
      <c r="E227" s="325"/>
      <c r="F227" s="467" t="s">
        <v>722</v>
      </c>
    </row>
    <row r="228" spans="1:6" ht="22.5" x14ac:dyDescent="0.25">
      <c r="A228" s="926">
        <v>351</v>
      </c>
      <c r="B228" s="400" t="s">
        <v>563</v>
      </c>
      <c r="C228" s="400" t="s">
        <v>564</v>
      </c>
      <c r="D228" s="401" t="s">
        <v>551</v>
      </c>
      <c r="E228" s="325" t="s">
        <v>1981</v>
      </c>
      <c r="F228" s="467" t="s">
        <v>722</v>
      </c>
    </row>
    <row r="229" spans="1:6" ht="27" x14ac:dyDescent="0.25">
      <c r="A229" s="926">
        <v>352</v>
      </c>
      <c r="B229" s="400" t="s">
        <v>408</v>
      </c>
      <c r="C229" s="400" t="s">
        <v>409</v>
      </c>
      <c r="D229" s="401" t="s">
        <v>407</v>
      </c>
      <c r="E229" s="325" t="s">
        <v>1984</v>
      </c>
      <c r="F229" s="467" t="s">
        <v>722</v>
      </c>
    </row>
    <row r="230" spans="1:6" ht="22.5" x14ac:dyDescent="0.25">
      <c r="A230" s="926">
        <v>353</v>
      </c>
      <c r="B230" s="400" t="s">
        <v>565</v>
      </c>
      <c r="C230" s="400" t="s">
        <v>566</v>
      </c>
      <c r="D230" s="401" t="s">
        <v>551</v>
      </c>
      <c r="E230" s="325"/>
      <c r="F230" s="467" t="s">
        <v>722</v>
      </c>
    </row>
    <row r="231" spans="1:6" ht="18" x14ac:dyDescent="0.25">
      <c r="A231" s="926">
        <v>354</v>
      </c>
      <c r="B231" s="400" t="s">
        <v>568</v>
      </c>
      <c r="C231" s="400" t="s">
        <v>569</v>
      </c>
      <c r="D231" s="401" t="s">
        <v>551</v>
      </c>
      <c r="E231" s="325"/>
      <c r="F231" s="467" t="s">
        <v>722</v>
      </c>
    </row>
    <row r="232" spans="1:6" ht="22.5" x14ac:dyDescent="0.25">
      <c r="A232" s="926">
        <v>355</v>
      </c>
      <c r="B232" s="400" t="s">
        <v>570</v>
      </c>
      <c r="C232" s="400" t="s">
        <v>555</v>
      </c>
      <c r="D232" s="401" t="s">
        <v>551</v>
      </c>
      <c r="E232" s="325"/>
      <c r="F232" s="467" t="s">
        <v>722</v>
      </c>
    </row>
    <row r="233" spans="1:6" ht="36" x14ac:dyDescent="0.25">
      <c r="A233" s="926">
        <v>356</v>
      </c>
      <c r="B233" s="400" t="s">
        <v>571</v>
      </c>
      <c r="C233" s="400" t="s">
        <v>572</v>
      </c>
      <c r="D233" s="401" t="s">
        <v>551</v>
      </c>
      <c r="E233" s="325" t="s">
        <v>1981</v>
      </c>
      <c r="F233" s="467" t="s">
        <v>767</v>
      </c>
    </row>
    <row r="234" spans="1:6" ht="22.5" x14ac:dyDescent="0.25">
      <c r="A234" s="926">
        <v>357</v>
      </c>
      <c r="B234" s="400" t="s">
        <v>524</v>
      </c>
      <c r="C234" s="400" t="s">
        <v>525</v>
      </c>
      <c r="D234" s="401" t="s">
        <v>482</v>
      </c>
      <c r="E234" s="325" t="s">
        <v>1981</v>
      </c>
      <c r="F234" s="467" t="s">
        <v>722</v>
      </c>
    </row>
    <row r="235" spans="1:6" ht="36" x14ac:dyDescent="0.25">
      <c r="A235" s="926">
        <v>358</v>
      </c>
      <c r="B235" s="400" t="s">
        <v>526</v>
      </c>
      <c r="C235" s="400" t="s">
        <v>484</v>
      </c>
      <c r="D235" s="401" t="s">
        <v>482</v>
      </c>
      <c r="E235" s="325" t="s">
        <v>1981</v>
      </c>
      <c r="F235" s="467" t="s">
        <v>767</v>
      </c>
    </row>
    <row r="236" spans="1:6" ht="36" x14ac:dyDescent="0.25">
      <c r="A236" s="926">
        <v>359</v>
      </c>
      <c r="B236" s="400" t="s">
        <v>528</v>
      </c>
      <c r="C236" s="400" t="s">
        <v>484</v>
      </c>
      <c r="D236" s="401" t="s">
        <v>482</v>
      </c>
      <c r="E236" s="325" t="s">
        <v>1981</v>
      </c>
      <c r="F236" s="467" t="s">
        <v>767</v>
      </c>
    </row>
    <row r="237" spans="1:6" ht="18" x14ac:dyDescent="0.25">
      <c r="A237" s="926">
        <v>360</v>
      </c>
      <c r="B237" s="400" t="s">
        <v>530</v>
      </c>
      <c r="C237" s="400" t="s">
        <v>531</v>
      </c>
      <c r="D237" s="401" t="s">
        <v>482</v>
      </c>
      <c r="E237" s="325" t="s">
        <v>1981</v>
      </c>
      <c r="F237" s="467" t="s">
        <v>722</v>
      </c>
    </row>
    <row r="238" spans="1:6" ht="18" x14ac:dyDescent="0.25">
      <c r="A238" s="926">
        <v>361</v>
      </c>
      <c r="B238" s="400" t="s">
        <v>533</v>
      </c>
      <c r="C238" s="400" t="s">
        <v>531</v>
      </c>
      <c r="D238" s="401" t="s">
        <v>482</v>
      </c>
      <c r="E238" s="325" t="s">
        <v>1981</v>
      </c>
      <c r="F238" s="467" t="s">
        <v>722</v>
      </c>
    </row>
    <row r="239" spans="1:6" ht="18" x14ac:dyDescent="0.25">
      <c r="A239" s="926">
        <v>362</v>
      </c>
      <c r="B239" s="400" t="s">
        <v>534</v>
      </c>
      <c r="C239" s="400" t="s">
        <v>535</v>
      </c>
      <c r="D239" s="401" t="s">
        <v>482</v>
      </c>
      <c r="E239" s="325"/>
      <c r="F239" s="467" t="s">
        <v>722</v>
      </c>
    </row>
    <row r="240" spans="1:6" ht="18" x14ac:dyDescent="0.25">
      <c r="A240" s="926">
        <v>363</v>
      </c>
      <c r="B240" s="400" t="s">
        <v>537</v>
      </c>
      <c r="C240" s="400" t="s">
        <v>538</v>
      </c>
      <c r="D240" s="401" t="s">
        <v>482</v>
      </c>
      <c r="E240" s="325"/>
      <c r="F240" s="467" t="s">
        <v>722</v>
      </c>
    </row>
    <row r="241" spans="1:6" ht="22.5" x14ac:dyDescent="0.25">
      <c r="A241" s="926">
        <v>364</v>
      </c>
      <c r="B241" s="400" t="s">
        <v>539</v>
      </c>
      <c r="C241" s="400" t="s">
        <v>540</v>
      </c>
      <c r="D241" s="401" t="s">
        <v>482</v>
      </c>
      <c r="E241" s="325"/>
      <c r="F241" s="467" t="s">
        <v>722</v>
      </c>
    </row>
    <row r="242" spans="1:6" ht="18" x14ac:dyDescent="0.25">
      <c r="A242" s="926">
        <v>365</v>
      </c>
      <c r="B242" s="400" t="s">
        <v>541</v>
      </c>
      <c r="C242" s="400" t="s">
        <v>542</v>
      </c>
      <c r="D242" s="401" t="s">
        <v>482</v>
      </c>
      <c r="E242" s="325"/>
      <c r="F242" s="467" t="s">
        <v>722</v>
      </c>
    </row>
    <row r="243" spans="1:6" ht="18" x14ac:dyDescent="0.25">
      <c r="A243" s="926">
        <v>366</v>
      </c>
      <c r="B243" s="400" t="s">
        <v>543</v>
      </c>
      <c r="C243" s="400" t="s">
        <v>544</v>
      </c>
      <c r="D243" s="401" t="s">
        <v>482</v>
      </c>
      <c r="E243" s="325"/>
      <c r="F243" s="467" t="s">
        <v>722</v>
      </c>
    </row>
    <row r="244" spans="1:6" ht="22.5" x14ac:dyDescent="0.25">
      <c r="A244" s="926">
        <v>367</v>
      </c>
      <c r="B244" s="400" t="s">
        <v>545</v>
      </c>
      <c r="C244" s="400" t="s">
        <v>546</v>
      </c>
      <c r="D244" s="401" t="s">
        <v>482</v>
      </c>
      <c r="E244" s="325"/>
      <c r="F244" s="467" t="s">
        <v>722</v>
      </c>
    </row>
    <row r="245" spans="1:6" ht="18" x14ac:dyDescent="0.25">
      <c r="A245" s="930">
        <v>368</v>
      </c>
      <c r="B245" s="400" t="s">
        <v>547</v>
      </c>
      <c r="C245" s="400" t="s">
        <v>548</v>
      </c>
      <c r="D245" s="401" t="s">
        <v>482</v>
      </c>
      <c r="E245" s="325"/>
      <c r="F245" s="467" t="s">
        <v>722</v>
      </c>
    </row>
    <row r="246" spans="1:6" ht="18" x14ac:dyDescent="0.25">
      <c r="A246" s="926">
        <v>369</v>
      </c>
      <c r="B246" s="400" t="s">
        <v>424</v>
      </c>
      <c r="C246" s="400" t="s">
        <v>425</v>
      </c>
      <c r="D246" s="401" t="s">
        <v>410</v>
      </c>
      <c r="E246" s="325" t="s">
        <v>1981</v>
      </c>
      <c r="F246" s="467" t="s">
        <v>722</v>
      </c>
    </row>
    <row r="247" spans="1:6" ht="22.5" x14ac:dyDescent="0.25">
      <c r="A247" s="926">
        <v>371</v>
      </c>
      <c r="B247" s="400" t="s">
        <v>90</v>
      </c>
      <c r="C247" s="400" t="s">
        <v>91</v>
      </c>
      <c r="D247" s="401" t="s">
        <v>89</v>
      </c>
      <c r="E247" s="325"/>
      <c r="F247" s="467" t="s">
        <v>722</v>
      </c>
    </row>
    <row r="248" spans="1:6" ht="18" x14ac:dyDescent="0.25">
      <c r="A248" s="1233">
        <v>372</v>
      </c>
      <c r="B248" s="409" t="s">
        <v>81</v>
      </c>
      <c r="C248" s="410" t="s">
        <v>82</v>
      </c>
      <c r="D248" s="411" t="s">
        <v>80</v>
      </c>
      <c r="E248" s="325"/>
      <c r="F248" s="467" t="s">
        <v>722</v>
      </c>
    </row>
    <row r="249" spans="1:6" ht="33.75" x14ac:dyDescent="0.25">
      <c r="A249" s="926">
        <v>373</v>
      </c>
      <c r="B249" s="400" t="s">
        <v>427</v>
      </c>
      <c r="C249" s="400" t="s">
        <v>428</v>
      </c>
      <c r="D249" s="401" t="s">
        <v>410</v>
      </c>
      <c r="E249" s="325"/>
      <c r="F249" s="467" t="s">
        <v>722</v>
      </c>
    </row>
    <row r="250" spans="1:6" ht="36" x14ac:dyDescent="0.25">
      <c r="A250" s="926">
        <v>374</v>
      </c>
      <c r="B250" s="400" t="s">
        <v>429</v>
      </c>
      <c r="C250" s="400" t="s">
        <v>430</v>
      </c>
      <c r="D250" s="401" t="s">
        <v>410</v>
      </c>
      <c r="E250" s="325" t="s">
        <v>1981</v>
      </c>
      <c r="F250" s="467" t="s">
        <v>767</v>
      </c>
    </row>
    <row r="251" spans="1:6" ht="36" x14ac:dyDescent="0.25">
      <c r="A251" s="929">
        <v>375</v>
      </c>
      <c r="B251" s="409" t="s">
        <v>324</v>
      </c>
      <c r="C251" s="410" t="s">
        <v>37</v>
      </c>
      <c r="D251" s="411" t="s">
        <v>274</v>
      </c>
      <c r="E251" s="325" t="s">
        <v>1981</v>
      </c>
      <c r="F251" s="467" t="s">
        <v>767</v>
      </c>
    </row>
    <row r="252" spans="1:6" ht="36" x14ac:dyDescent="0.25">
      <c r="A252" s="926">
        <v>376</v>
      </c>
      <c r="B252" s="400" t="s">
        <v>433</v>
      </c>
      <c r="C252" s="400" t="s">
        <v>37</v>
      </c>
      <c r="D252" s="401" t="s">
        <v>410</v>
      </c>
      <c r="E252" s="325" t="s">
        <v>1981</v>
      </c>
      <c r="F252" s="467" t="s">
        <v>767</v>
      </c>
    </row>
    <row r="253" spans="1:6" ht="22.5" x14ac:dyDescent="0.25">
      <c r="A253" s="1233">
        <v>379</v>
      </c>
      <c r="B253" s="409" t="s">
        <v>325</v>
      </c>
      <c r="C253" s="410" t="s">
        <v>326</v>
      </c>
      <c r="D253" s="411" t="s">
        <v>274</v>
      </c>
      <c r="E253" s="325" t="s">
        <v>1981</v>
      </c>
      <c r="F253" s="467" t="s">
        <v>722</v>
      </c>
    </row>
    <row r="254" spans="1:6" ht="18" x14ac:dyDescent="0.25">
      <c r="A254" s="926">
        <v>380</v>
      </c>
      <c r="B254" s="400" t="s">
        <v>327</v>
      </c>
      <c r="C254" s="400" t="s">
        <v>328</v>
      </c>
      <c r="D254" s="401" t="s">
        <v>274</v>
      </c>
      <c r="E254" s="325"/>
      <c r="F254" s="467" t="s">
        <v>722</v>
      </c>
    </row>
    <row r="255" spans="1:6" ht="36" x14ac:dyDescent="0.25">
      <c r="A255" s="929">
        <v>381</v>
      </c>
      <c r="B255" s="409" t="s">
        <v>329</v>
      </c>
      <c r="C255" s="410" t="s">
        <v>284</v>
      </c>
      <c r="D255" s="411" t="s">
        <v>274</v>
      </c>
      <c r="E255" s="325" t="s">
        <v>1981</v>
      </c>
      <c r="F255" s="467" t="s">
        <v>767</v>
      </c>
    </row>
    <row r="256" spans="1:6" ht="18" x14ac:dyDescent="0.25">
      <c r="A256" s="929">
        <v>382</v>
      </c>
      <c r="B256" s="409" t="s">
        <v>330</v>
      </c>
      <c r="C256" s="410" t="s">
        <v>331</v>
      </c>
      <c r="D256" s="411" t="s">
        <v>274</v>
      </c>
      <c r="E256" s="325"/>
      <c r="F256" s="467" t="s">
        <v>722</v>
      </c>
    </row>
    <row r="257" spans="1:6" ht="18" x14ac:dyDescent="0.25">
      <c r="A257" s="929">
        <v>383</v>
      </c>
      <c r="B257" s="409" t="s">
        <v>332</v>
      </c>
      <c r="C257" s="410" t="s">
        <v>331</v>
      </c>
      <c r="D257" s="411" t="s">
        <v>274</v>
      </c>
      <c r="E257" s="325" t="s">
        <v>1981</v>
      </c>
      <c r="F257" s="467" t="s">
        <v>722</v>
      </c>
    </row>
    <row r="258" spans="1:6" ht="18" x14ac:dyDescent="0.25">
      <c r="A258" s="929">
        <v>384</v>
      </c>
      <c r="B258" s="409" t="s">
        <v>333</v>
      </c>
      <c r="C258" s="410" t="s">
        <v>331</v>
      </c>
      <c r="D258" s="411" t="s">
        <v>274</v>
      </c>
      <c r="E258" s="325" t="s">
        <v>1981</v>
      </c>
      <c r="F258" s="467" t="s">
        <v>722</v>
      </c>
    </row>
    <row r="259" spans="1:6" ht="36" x14ac:dyDescent="0.25">
      <c r="A259" s="1233">
        <v>385</v>
      </c>
      <c r="B259" s="409" t="s">
        <v>334</v>
      </c>
      <c r="C259" s="410" t="s">
        <v>335</v>
      </c>
      <c r="D259" s="411" t="s">
        <v>274</v>
      </c>
      <c r="E259" s="325" t="s">
        <v>1981</v>
      </c>
      <c r="F259" s="467" t="s">
        <v>767</v>
      </c>
    </row>
    <row r="260" spans="1:6" ht="18" x14ac:dyDescent="0.25">
      <c r="A260" s="932">
        <v>386</v>
      </c>
      <c r="B260" s="409" t="s">
        <v>336</v>
      </c>
      <c r="C260" s="410" t="s">
        <v>337</v>
      </c>
      <c r="D260" s="411" t="s">
        <v>274</v>
      </c>
      <c r="E260" s="325" t="s">
        <v>1981</v>
      </c>
      <c r="F260" s="467" t="s">
        <v>722</v>
      </c>
    </row>
    <row r="261" spans="1:6" ht="18" x14ac:dyDescent="0.25">
      <c r="A261" s="1233">
        <v>387</v>
      </c>
      <c r="B261" s="409" t="s">
        <v>338</v>
      </c>
      <c r="C261" s="410" t="s">
        <v>337</v>
      </c>
      <c r="D261" s="411" t="s">
        <v>274</v>
      </c>
      <c r="E261" s="325" t="s">
        <v>1981</v>
      </c>
      <c r="F261" s="467" t="s">
        <v>722</v>
      </c>
    </row>
    <row r="262" spans="1:6" ht="36" x14ac:dyDescent="0.25">
      <c r="A262" s="929">
        <v>388</v>
      </c>
      <c r="B262" s="409" t="s">
        <v>339</v>
      </c>
      <c r="C262" s="410" t="s">
        <v>340</v>
      </c>
      <c r="D262" s="411" t="s">
        <v>274</v>
      </c>
      <c r="E262" s="325" t="s">
        <v>1981</v>
      </c>
      <c r="F262" s="467" t="s">
        <v>767</v>
      </c>
    </row>
    <row r="263" spans="1:6" ht="36" x14ac:dyDescent="0.25">
      <c r="A263" s="1233">
        <v>389</v>
      </c>
      <c r="B263" s="409" t="s">
        <v>341</v>
      </c>
      <c r="C263" s="410" t="s">
        <v>342</v>
      </c>
      <c r="D263" s="411" t="s">
        <v>274</v>
      </c>
      <c r="E263" s="325" t="s">
        <v>1981</v>
      </c>
      <c r="F263" s="467" t="s">
        <v>767</v>
      </c>
    </row>
    <row r="264" spans="1:6" ht="22.5" x14ac:dyDescent="0.25">
      <c r="A264" s="1233">
        <v>390</v>
      </c>
      <c r="B264" s="409" t="s">
        <v>343</v>
      </c>
      <c r="C264" s="410" t="s">
        <v>344</v>
      </c>
      <c r="D264" s="411" t="s">
        <v>274</v>
      </c>
      <c r="E264" s="325"/>
      <c r="F264" s="467" t="s">
        <v>722</v>
      </c>
    </row>
    <row r="265" spans="1:6" ht="18" x14ac:dyDescent="0.25">
      <c r="A265" s="1233">
        <v>391</v>
      </c>
      <c r="B265" s="409" t="s">
        <v>345</v>
      </c>
      <c r="C265" s="410" t="s">
        <v>346</v>
      </c>
      <c r="D265" s="411" t="s">
        <v>274</v>
      </c>
      <c r="E265" s="328" t="s">
        <v>1981</v>
      </c>
      <c r="F265" s="467" t="s">
        <v>722</v>
      </c>
    </row>
    <row r="266" spans="1:6" ht="36" x14ac:dyDescent="0.25">
      <c r="A266" s="1233">
        <v>392</v>
      </c>
      <c r="B266" s="409" t="s">
        <v>347</v>
      </c>
      <c r="C266" s="410" t="s">
        <v>348</v>
      </c>
      <c r="D266" s="411" t="s">
        <v>274</v>
      </c>
      <c r="E266" s="328" t="s">
        <v>1981</v>
      </c>
      <c r="F266" s="467" t="s">
        <v>767</v>
      </c>
    </row>
    <row r="267" spans="1:6" ht="22.5" x14ac:dyDescent="0.25">
      <c r="A267" s="926">
        <v>393</v>
      </c>
      <c r="B267" s="400" t="s">
        <v>349</v>
      </c>
      <c r="C267" s="400" t="s">
        <v>350</v>
      </c>
      <c r="D267" s="401" t="s">
        <v>274</v>
      </c>
      <c r="E267" s="325"/>
      <c r="F267" s="467" t="s">
        <v>722</v>
      </c>
    </row>
    <row r="268" spans="1:6" ht="18" x14ac:dyDescent="0.25">
      <c r="A268" s="926">
        <v>394</v>
      </c>
      <c r="B268" s="400" t="s">
        <v>351</v>
      </c>
      <c r="C268" s="400" t="s">
        <v>351</v>
      </c>
      <c r="D268" s="401" t="s">
        <v>274</v>
      </c>
      <c r="E268" s="325" t="s">
        <v>1981</v>
      </c>
      <c r="F268" s="467" t="s">
        <v>722</v>
      </c>
    </row>
    <row r="269" spans="1:6" ht="33.75" x14ac:dyDescent="0.25">
      <c r="A269" s="1233">
        <v>395</v>
      </c>
      <c r="B269" s="409" t="s">
        <v>352</v>
      </c>
      <c r="C269" s="410" t="s">
        <v>353</v>
      </c>
      <c r="D269" s="411" t="s">
        <v>274</v>
      </c>
      <c r="E269" s="325" t="s">
        <v>1981</v>
      </c>
      <c r="F269" s="467" t="s">
        <v>722</v>
      </c>
    </row>
    <row r="270" spans="1:6" ht="18" x14ac:dyDescent="0.25">
      <c r="A270" s="1234">
        <v>396</v>
      </c>
      <c r="B270" s="400" t="s">
        <v>354</v>
      </c>
      <c r="C270" s="400" t="s">
        <v>354</v>
      </c>
      <c r="D270" s="401" t="s">
        <v>274</v>
      </c>
      <c r="E270" s="325"/>
      <c r="F270" s="467" t="s">
        <v>722</v>
      </c>
    </row>
    <row r="271" spans="1:6" ht="18" x14ac:dyDescent="0.25">
      <c r="A271" s="1235">
        <v>397</v>
      </c>
      <c r="B271" s="409" t="s">
        <v>356</v>
      </c>
      <c r="C271" s="410" t="s">
        <v>357</v>
      </c>
      <c r="D271" s="411" t="s">
        <v>274</v>
      </c>
      <c r="E271" s="325"/>
      <c r="F271" s="467" t="s">
        <v>722</v>
      </c>
    </row>
    <row r="272" spans="1:6" ht="36" x14ac:dyDescent="0.25">
      <c r="A272" s="934">
        <v>398</v>
      </c>
      <c r="B272" s="409" t="s">
        <v>550</v>
      </c>
      <c r="C272" s="410" t="s">
        <v>484</v>
      </c>
      <c r="D272" s="411" t="s">
        <v>482</v>
      </c>
      <c r="E272" s="328" t="s">
        <v>1981</v>
      </c>
      <c r="F272" s="467" t="s">
        <v>767</v>
      </c>
    </row>
    <row r="273" spans="1:6" ht="36" x14ac:dyDescent="0.25">
      <c r="A273" s="933">
        <v>399</v>
      </c>
      <c r="B273" s="409" t="s">
        <v>372</v>
      </c>
      <c r="C273" s="410" t="s">
        <v>363</v>
      </c>
      <c r="D273" s="411" t="s">
        <v>361</v>
      </c>
      <c r="E273" s="325" t="s">
        <v>1981</v>
      </c>
      <c r="F273" s="467" t="s">
        <v>767</v>
      </c>
    </row>
  </sheetData>
  <autoFilter ref="A1:F273"/>
  <conditionalFormatting sqref="F2:F273">
    <cfRule type="cellIs" dxfId="6708" priority="12" stopIfTrue="1" operator="equal">
      <formula>"Non affecté / nicht betroffen"</formula>
    </cfRule>
    <cfRule type="cellIs" dxfId="6707" priority="13" stopIfTrue="1" operator="equal">
      <formula>"Potentiellement affecté mais non plausible / möglicherweise betroffen aber nicht nachweisbar"</formula>
    </cfRule>
    <cfRule type="cellIs" dxfId="6706" priority="14" stopIfTrue="1" operator="equal">
      <formula>"Potentiellement affecté / möglicherweise betroffen"</formula>
    </cfRule>
  </conditionalFormatting>
  <pageMargins left="0.7" right="0.7" top="0.75" bottom="0.75" header="0.3" footer="0.3"/>
  <pageSetup paperSize="9" scale="1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BAB"/>
    <pageSetUpPr fitToPage="1"/>
  </sheetPr>
  <dimension ref="A1:AK276"/>
  <sheetViews>
    <sheetView zoomScale="55" zoomScaleNormal="55" workbookViewId="0">
      <pane xSplit="2" ySplit="3" topLeftCell="C4" activePane="bottomRight" state="frozenSplit"/>
      <selection activeCell="B30" sqref="B30"/>
      <selection pane="topRight" activeCell="B30" sqref="B30"/>
      <selection pane="bottomLeft" activeCell="B30" sqref="B30"/>
      <selection pane="bottomRight" activeCell="B30" sqref="B30"/>
    </sheetView>
  </sheetViews>
  <sheetFormatPr baseColWidth="10" defaultColWidth="11.42578125" defaultRowHeight="40.5" customHeight="1" x14ac:dyDescent="0.25"/>
  <cols>
    <col min="1" max="1" width="6.85546875" style="1133" bestFit="1" customWidth="1"/>
    <col min="2" max="2" width="7.42578125" style="1133" hidden="1" customWidth="1"/>
    <col min="3" max="3" width="12.42578125" style="1134" hidden="1" customWidth="1"/>
    <col min="4" max="4" width="13.7109375" style="1134" hidden="1" customWidth="1"/>
    <col min="5" max="5" width="8.42578125" style="450" customWidth="1"/>
    <col min="6" max="6" width="6.5703125" style="450" customWidth="1"/>
    <col min="7" max="7" width="7" style="450" customWidth="1"/>
    <col min="8" max="8" width="12.140625" style="450" bestFit="1" customWidth="1"/>
    <col min="9" max="9" width="9.7109375" style="450" customWidth="1"/>
    <col min="10" max="10" width="10.5703125" style="450" bestFit="1" customWidth="1"/>
    <col min="11" max="11" width="12.42578125" style="578" bestFit="1" customWidth="1"/>
    <col min="12" max="12" width="15.28515625" style="991" customWidth="1"/>
    <col min="13" max="13" width="14.140625" style="1160" customWidth="1"/>
    <col min="14" max="14" width="5.7109375" style="1161" customWidth="1"/>
    <col min="15" max="15" width="8.42578125" style="1056" hidden="1" customWidth="1"/>
    <col min="16" max="16" width="12.140625" style="1044" customWidth="1"/>
    <col min="17" max="17" width="24.140625" style="578" hidden="1" customWidth="1"/>
    <col min="18" max="18" width="14.140625" style="1170" customWidth="1"/>
    <col min="19" max="19" width="14.140625" style="1184" customWidth="1"/>
    <col min="20" max="20" width="8.42578125" style="578" hidden="1" customWidth="1"/>
    <col min="21" max="21" width="8.28515625" style="1185" customWidth="1"/>
    <col min="22" max="22" width="5.28515625" style="1056" hidden="1" customWidth="1"/>
    <col min="23" max="23" width="9.7109375" style="1146" customWidth="1"/>
    <col min="24" max="24" width="26.28515625" style="1196" customWidth="1"/>
    <col min="25" max="25" width="14.140625" style="1200" customWidth="1"/>
    <col min="26" max="26" width="8.5703125" style="1201" hidden="1" customWidth="1"/>
    <col min="27" max="27" width="6" style="1254" customWidth="1"/>
    <col min="28" max="28" width="139.85546875" style="1073" hidden="1" customWidth="1"/>
    <col min="29" max="29" width="26.7109375" style="450" customWidth="1"/>
    <col min="30" max="30" width="12.28515625" style="450" customWidth="1"/>
    <col min="31" max="31" width="11.42578125" style="450" customWidth="1"/>
    <col min="32" max="37" width="11.42578125" style="1007"/>
    <col min="38" max="16384" width="11.42578125" style="450"/>
  </cols>
  <sheetData>
    <row r="1" spans="1:37" s="946" customFormat="1" ht="40.5" customHeight="1" x14ac:dyDescent="0.25">
      <c r="A1" s="1131"/>
      <c r="B1" s="1131"/>
      <c r="C1" s="1132"/>
      <c r="D1" s="1132"/>
      <c r="E1" s="1353" t="s">
        <v>1908</v>
      </c>
      <c r="F1" s="1353"/>
      <c r="G1" s="1353"/>
      <c r="H1" s="1353"/>
      <c r="I1" s="946" t="s">
        <v>1909</v>
      </c>
      <c r="J1" s="946" t="s">
        <v>1910</v>
      </c>
      <c r="K1" s="1354" t="s">
        <v>1911</v>
      </c>
      <c r="L1" s="1354"/>
      <c r="M1" s="1351" t="s">
        <v>1966</v>
      </c>
      <c r="N1" s="1352"/>
      <c r="O1" s="1147"/>
      <c r="P1" s="1355" t="s">
        <v>1912</v>
      </c>
      <c r="Q1" s="1355"/>
      <c r="R1" s="1356"/>
      <c r="S1" s="1357" t="s">
        <v>1939</v>
      </c>
      <c r="T1" s="1358"/>
      <c r="U1" s="1359"/>
      <c r="V1" s="1329" t="s">
        <v>1913</v>
      </c>
      <c r="W1" s="1329"/>
      <c r="X1" s="1329"/>
      <c r="Y1" s="1335" t="s">
        <v>1967</v>
      </c>
      <c r="Z1" s="1336"/>
      <c r="AA1" s="1337"/>
      <c r="AB1" s="1197"/>
      <c r="AF1" s="1118"/>
      <c r="AG1" s="1118"/>
      <c r="AH1" s="1118"/>
      <c r="AI1" s="1118"/>
      <c r="AJ1" s="1118"/>
      <c r="AK1" s="1118"/>
    </row>
    <row r="2" spans="1:37" ht="63.75" customHeight="1" x14ac:dyDescent="0.25">
      <c r="M2" s="1339" t="s">
        <v>1928</v>
      </c>
      <c r="N2" s="1340"/>
      <c r="O2" s="1341" t="s">
        <v>1929</v>
      </c>
      <c r="P2" s="1342"/>
      <c r="Q2" s="1342"/>
      <c r="R2" s="1343"/>
      <c r="S2" s="1345" t="s">
        <v>1941</v>
      </c>
      <c r="T2" s="1346"/>
      <c r="U2" s="1347"/>
      <c r="V2" s="1344" t="s">
        <v>31</v>
      </c>
      <c r="W2" s="1344"/>
      <c r="X2" s="1344"/>
      <c r="Y2" s="1348" t="s">
        <v>1917</v>
      </c>
      <c r="Z2" s="1349"/>
      <c r="AA2" s="1350"/>
      <c r="AC2" s="1338" t="s">
        <v>1056</v>
      </c>
      <c r="AD2" s="1338" t="s">
        <v>1907</v>
      </c>
      <c r="AE2" s="1338" t="s">
        <v>32</v>
      </c>
    </row>
    <row r="3" spans="1:37" s="1111" customFormat="1" ht="249.6" customHeight="1" thickBot="1" x14ac:dyDescent="0.3">
      <c r="A3" s="1099" t="s">
        <v>1053</v>
      </c>
      <c r="B3" s="1100" t="s">
        <v>20</v>
      </c>
      <c r="C3" s="1100" t="s">
        <v>21</v>
      </c>
      <c r="D3" s="1100" t="s">
        <v>22</v>
      </c>
      <c r="E3" s="1101" t="s">
        <v>1956</v>
      </c>
      <c r="F3" s="1101" t="s">
        <v>1957</v>
      </c>
      <c r="G3" s="1101" t="s">
        <v>1958</v>
      </c>
      <c r="H3" s="1101" t="s">
        <v>1959</v>
      </c>
      <c r="I3" s="1101" t="s">
        <v>1965</v>
      </c>
      <c r="J3" s="1101" t="s">
        <v>1960</v>
      </c>
      <c r="K3" s="1101" t="s">
        <v>1961</v>
      </c>
      <c r="L3" s="1102" t="s">
        <v>1962</v>
      </c>
      <c r="M3" s="1220" t="s">
        <v>1963</v>
      </c>
      <c r="N3" s="1221" t="s">
        <v>1968</v>
      </c>
      <c r="O3" s="1104" t="s">
        <v>1054</v>
      </c>
      <c r="P3" s="1222" t="s">
        <v>1055</v>
      </c>
      <c r="Q3" s="1222" t="s">
        <v>715</v>
      </c>
      <c r="R3" s="1223" t="s">
        <v>1964</v>
      </c>
      <c r="S3" s="1224" t="s">
        <v>1939</v>
      </c>
      <c r="T3" s="1225" t="s">
        <v>1931</v>
      </c>
      <c r="U3" s="1226" t="s">
        <v>30</v>
      </c>
      <c r="V3" s="1112" t="s">
        <v>31</v>
      </c>
      <c r="W3" s="1106" t="s">
        <v>1974</v>
      </c>
      <c r="X3" s="1227" t="s">
        <v>1948</v>
      </c>
      <c r="Y3" s="1263" t="s">
        <v>1917</v>
      </c>
      <c r="Z3" s="1257" t="s">
        <v>1931</v>
      </c>
      <c r="AA3" s="1264" t="s">
        <v>1968</v>
      </c>
      <c r="AB3" s="1110"/>
      <c r="AC3" s="1338"/>
      <c r="AD3" s="1338"/>
      <c r="AE3" s="1338"/>
      <c r="AF3" s="1116"/>
      <c r="AG3" s="1116"/>
      <c r="AH3" s="1116"/>
      <c r="AI3" s="1116"/>
      <c r="AJ3" s="1116"/>
      <c r="AK3" s="1116"/>
    </row>
    <row r="4" spans="1:37" s="1086" customFormat="1" ht="40.5" customHeight="1" thickTop="1" x14ac:dyDescent="0.25">
      <c r="A4" s="926">
        <v>2</v>
      </c>
      <c r="B4" s="1202" t="str">
        <f>IF(VLOOKUP(A4,'Données de base - Grunddaten'!$A$2:$M$273,5,FALSE)="","",VLOOKUP(A4,'Données de base - Grunddaten'!$A$2:$M$273,5,FALSE))</f>
        <v>AG</v>
      </c>
      <c r="C4" s="23" t="str">
        <f>IF(VLOOKUP(A4,'Données de base - Grunddaten'!$A$2:$M$273,3,FALSE)="","",VLOOKUP(A4,'Données de base - Grunddaten'!$A$2:$M$273,3,FALSE))</f>
        <v>Haumättli</v>
      </c>
      <c r="D4" s="23" t="str">
        <f>IF(VLOOKUP(A4,'Données de base - Grunddaten'!$A$2:$M$273,4,FALSE)="","",VLOOKUP(A4,'Données de base - Grunddaten'!$A$2:$M$273,4,FALSE))</f>
        <v>Rhein</v>
      </c>
      <c r="E4" s="1203">
        <v>59.8</v>
      </c>
      <c r="F4" s="1203">
        <v>59.783583994543186</v>
      </c>
      <c r="G4" s="1203">
        <v>0</v>
      </c>
      <c r="H4" s="1204" t="s">
        <v>1057</v>
      </c>
      <c r="I4" s="1205" t="s">
        <v>1058</v>
      </c>
      <c r="J4" s="1205" t="s">
        <v>1059</v>
      </c>
      <c r="K4" s="1206"/>
      <c r="L4" s="1207"/>
      <c r="M4" s="1208" t="s">
        <v>720</v>
      </c>
      <c r="N4" s="1209" t="s">
        <v>72</v>
      </c>
      <c r="O4" s="1210" t="str">
        <f>VLOOKUP(A4,Strat_Plan_Revit!$A$10:$S$321,11,FALSE)</f>
        <v>mittel</v>
      </c>
      <c r="P4" s="1211" t="str">
        <f>VLOOKUP(A4,Strat_Plan_Revit!$A$10:$S$321,12,FALSE)</f>
        <v>mittel</v>
      </c>
      <c r="Q4" s="1212" t="str">
        <f>VLOOKUP(A4,Strat_Plan_Revit!$A$10:$S$321,13,FALSE)</f>
        <v>-</v>
      </c>
      <c r="R4" s="1213" t="s">
        <v>720</v>
      </c>
      <c r="S4" s="1214" t="s">
        <v>720</v>
      </c>
      <c r="T4" s="1215" t="s">
        <v>59</v>
      </c>
      <c r="U4" s="1216"/>
      <c r="V4" s="1217"/>
      <c r="W4" s="1218" t="s">
        <v>752</v>
      </c>
      <c r="X4" s="1219" t="s">
        <v>1060</v>
      </c>
      <c r="Y4" s="1265" t="s">
        <v>752</v>
      </c>
      <c r="Z4" s="1258" t="s">
        <v>368</v>
      </c>
      <c r="AA4" s="1266" t="str">
        <f>IF(Z4="a",Z4,IF(Z4="b",Z4,IF(Z4="c","a",IF(Z4="d","a",IF(Z4="e","b")))))</f>
        <v>b</v>
      </c>
      <c r="AB4" s="1084"/>
      <c r="AC4" s="1085"/>
      <c r="AD4" s="1085"/>
      <c r="AE4" s="1085"/>
      <c r="AF4" s="1117"/>
      <c r="AG4" s="1117"/>
      <c r="AH4" s="1117"/>
      <c r="AI4" s="1117"/>
      <c r="AJ4" s="1117"/>
      <c r="AK4" s="1117"/>
    </row>
    <row r="5" spans="1:37" ht="40.5" customHeight="1" x14ac:dyDescent="0.25">
      <c r="A5" s="926">
        <v>3</v>
      </c>
      <c r="B5" s="270" t="str">
        <f>IF(VLOOKUP(A5,'Données de base - Grunddaten'!$A$2:$M$273,5,FALSE)="","",VLOOKUP(A5,'Données de base - Grunddaten'!$A$2:$M$273,5,FALSE))</f>
        <v>AG</v>
      </c>
      <c r="C5" s="41" t="str">
        <f>IF(VLOOKUP(A5,'Données de base - Grunddaten'!$A$2:$M$273,3,FALSE)="","",VLOOKUP(A5,'Données de base - Grunddaten'!$A$2:$M$273,3,FALSE))</f>
        <v>Koblenzer Rhein und Laufen</v>
      </c>
      <c r="D5" s="41" t="str">
        <f>IF(VLOOKUP(A5,'Données de base - Grunddaten'!$A$2:$M$273,4,FALSE)="","",VLOOKUP(A5,'Données de base - Grunddaten'!$A$2:$M$273,4,FALSE))</f>
        <v>Rhein</v>
      </c>
      <c r="E5" s="271">
        <v>-7.2727272727272725</v>
      </c>
      <c r="F5" s="271">
        <v>0</v>
      </c>
      <c r="G5" s="271">
        <v>7.2727272727272725</v>
      </c>
      <c r="H5" s="272" t="s">
        <v>1061</v>
      </c>
      <c r="I5" s="273"/>
      <c r="J5" s="273" t="s">
        <v>1059</v>
      </c>
      <c r="K5" s="274"/>
      <c r="L5" s="275"/>
      <c r="M5" s="1151" t="s">
        <v>723</v>
      </c>
      <c r="N5" s="1152" t="s">
        <v>72</v>
      </c>
      <c r="O5" s="1148" t="str">
        <f>VLOOKUP(A5,Strat_Plan_Revit!$A$10:$S$321,11,FALSE)</f>
        <v>gross / mittel</v>
      </c>
      <c r="P5" s="977" t="str">
        <f>VLOOKUP(A5,Strat_Plan_Revit!$A$10:$S$321,12,FALSE)</f>
        <v>gross/gering</v>
      </c>
      <c r="Q5" s="277" t="str">
        <f>VLOOKUP(A5,Strat_Plan_Revit!$A$10:$S$321,13,FALSE)</f>
        <v>20 Jahre: 3. Drittel</v>
      </c>
      <c r="R5" s="1162" t="s">
        <v>738</v>
      </c>
      <c r="S5" s="1173" t="s">
        <v>738</v>
      </c>
      <c r="T5" s="278" t="s">
        <v>110</v>
      </c>
      <c r="U5" s="1174" t="s">
        <v>1062</v>
      </c>
      <c r="V5" s="282"/>
      <c r="W5" s="287" t="s">
        <v>723</v>
      </c>
      <c r="X5" s="97" t="s">
        <v>1063</v>
      </c>
      <c r="Y5" s="1265" t="s">
        <v>723</v>
      </c>
      <c r="Z5" s="1258" t="s">
        <v>368</v>
      </c>
      <c r="AA5" s="1266" t="str">
        <f t="shared" ref="AA5:AA68" si="0">IF(Z5="a",Z5,IF(Z5="b",Z5,IF(Z5="c","a",IF(Z5="d","a",IF(Z5="e","b")))))</f>
        <v>b</v>
      </c>
      <c r="AB5" s="1074"/>
      <c r="AC5" s="572"/>
      <c r="AD5" s="572"/>
      <c r="AE5" s="572"/>
    </row>
    <row r="6" spans="1:37" ht="40.5" customHeight="1" x14ac:dyDescent="0.25">
      <c r="A6" s="926">
        <v>4</v>
      </c>
      <c r="B6" s="270" t="str">
        <f>IF(VLOOKUP(A6,'Données de base - Grunddaten'!$A$2:$M$273,5,FALSE)="","",VLOOKUP(A6,'Données de base - Grunddaten'!$A$2:$M$273,5,FALSE))</f>
        <v>SH</v>
      </c>
      <c r="C6" s="41" t="str">
        <f>IF(VLOOKUP(A6,'Données de base - Grunddaten'!$A$2:$M$273,3,FALSE)="","",VLOOKUP(A6,'Données de base - Grunddaten'!$A$2:$M$273,3,FALSE))</f>
        <v>Seldenhalde</v>
      </c>
      <c r="D6" s="41" t="str">
        <f>IF(VLOOKUP(A6,'Données de base - Grunddaten'!$A$2:$M$273,4,FALSE)="","",VLOOKUP(A6,'Données de base - Grunddaten'!$A$2:$M$273,4,FALSE))</f>
        <v>Wutach</v>
      </c>
      <c r="E6" s="271">
        <v>-3.6363636363636362</v>
      </c>
      <c r="F6" s="271">
        <v>0</v>
      </c>
      <c r="G6" s="271">
        <v>3.6363636363636362</v>
      </c>
      <c r="H6" s="272" t="s">
        <v>1061</v>
      </c>
      <c r="I6" s="1130"/>
      <c r="J6" s="273" t="s">
        <v>1059</v>
      </c>
      <c r="K6" s="274"/>
      <c r="L6" s="275"/>
      <c r="M6" s="1151" t="s">
        <v>752</v>
      </c>
      <c r="N6" s="1152" t="s">
        <v>43</v>
      </c>
      <c r="O6" s="1148" t="str">
        <f>VLOOKUP(A6,Strat_Plan_Revit!$A$10:$S$321,11,FALSE)</f>
        <v>gross</v>
      </c>
      <c r="P6" s="977" t="str">
        <f>VLOOKUP(A6,Strat_Plan_Revit!$A$10:$S$321,12,FALSE)</f>
        <v>gering</v>
      </c>
      <c r="Q6" s="277" t="str">
        <f>VLOOKUP(A6,Strat_Plan_Revit!$A$10:$S$321,13,FALSE)</f>
        <v xml:space="preserve">keine </v>
      </c>
      <c r="R6" s="1162" t="s">
        <v>752</v>
      </c>
      <c r="S6" s="1173" t="s">
        <v>752</v>
      </c>
      <c r="T6" s="278" t="s">
        <v>59</v>
      </c>
      <c r="U6" s="1174"/>
      <c r="V6" s="282"/>
      <c r="W6" s="287" t="s">
        <v>752</v>
      </c>
      <c r="X6" s="1186" t="s">
        <v>444</v>
      </c>
      <c r="Y6" s="1265" t="s">
        <v>752</v>
      </c>
      <c r="Z6" s="1258" t="s">
        <v>59</v>
      </c>
      <c r="AA6" s="1266" t="str">
        <f t="shared" si="0"/>
        <v>a</v>
      </c>
      <c r="AB6" s="1074"/>
      <c r="AC6" s="572"/>
      <c r="AD6" s="572"/>
      <c r="AE6" s="572"/>
    </row>
    <row r="7" spans="1:37" ht="40.5" customHeight="1" x14ac:dyDescent="0.25">
      <c r="A7" s="926">
        <v>5</v>
      </c>
      <c r="B7" s="270" t="str">
        <f>IF(VLOOKUP(A7,'Données de base - Grunddaten'!$A$2:$M$273,5,FALSE)="","",VLOOKUP(A7,'Données de base - Grunddaten'!$A$2:$M$273,5,FALSE))</f>
        <v>SH/ZH</v>
      </c>
      <c r="C7" s="41" t="str">
        <f>IF(VLOOKUP(A7,'Données de base - Grunddaten'!$A$2:$M$273,3,FALSE)="","",VLOOKUP(A7,'Données de base - Grunddaten'!$A$2:$M$273,3,FALSE))</f>
        <v>Eggrank–Thurspitz</v>
      </c>
      <c r="D7" s="41" t="str">
        <f>IF(VLOOKUP(A7,'Données de base - Grunddaten'!$A$2:$M$273,4,FALSE)="","",VLOOKUP(A7,'Données de base - Grunddaten'!$A$2:$M$273,4,FALSE))</f>
        <v>Rhein, Thur</v>
      </c>
      <c r="E7" s="271">
        <v>60.86363636363636</v>
      </c>
      <c r="F7" s="271">
        <v>74.544402398944868</v>
      </c>
      <c r="G7" s="271">
        <v>13.636363636363637</v>
      </c>
      <c r="H7" s="272" t="s">
        <v>1057</v>
      </c>
      <c r="I7" s="273" t="s">
        <v>1058</v>
      </c>
      <c r="J7" s="273" t="s">
        <v>1068</v>
      </c>
      <c r="K7" s="274"/>
      <c r="L7" s="275"/>
      <c r="M7" s="1151" t="s">
        <v>720</v>
      </c>
      <c r="N7" s="1152" t="s">
        <v>72</v>
      </c>
      <c r="O7" s="1148" t="s">
        <v>1864</v>
      </c>
      <c r="P7" s="977" t="s">
        <v>1865</v>
      </c>
      <c r="Q7" s="277" t="s">
        <v>1866</v>
      </c>
      <c r="R7" s="1162" t="s">
        <v>720</v>
      </c>
      <c r="S7" s="1173" t="s">
        <v>720</v>
      </c>
      <c r="T7" s="278" t="s">
        <v>59</v>
      </c>
      <c r="U7" s="1174"/>
      <c r="V7" s="282"/>
      <c r="W7" s="41" t="s">
        <v>1169</v>
      </c>
      <c r="X7" s="1186" t="s">
        <v>453</v>
      </c>
      <c r="Y7" s="1265" t="s">
        <v>720</v>
      </c>
      <c r="Z7" s="1258" t="s">
        <v>110</v>
      </c>
      <c r="AA7" s="1266" t="str">
        <f t="shared" si="0"/>
        <v>a</v>
      </c>
      <c r="AB7" s="1074"/>
      <c r="AC7" s="572"/>
      <c r="AD7" s="572"/>
      <c r="AE7" s="572"/>
    </row>
    <row r="8" spans="1:37" ht="40.5" customHeight="1" x14ac:dyDescent="0.25">
      <c r="A8" s="926">
        <v>6</v>
      </c>
      <c r="B8" s="270" t="str">
        <f>IF(VLOOKUP(A8,'Données de base - Grunddaten'!$A$2:$M$273,5,FALSE)="","",VLOOKUP(A8,'Données de base - Grunddaten'!$A$2:$M$273,5,FALSE))</f>
        <v>TG</v>
      </c>
      <c r="C8" s="41" t="str">
        <f>IF(VLOOKUP(A8,'Données de base - Grunddaten'!$A$2:$M$273,3,FALSE)="","",VLOOKUP(A8,'Données de base - Grunddaten'!$A$2:$M$273,3,FALSE))</f>
        <v>Schäffäuli</v>
      </c>
      <c r="D8" s="41" t="str">
        <f>IF(VLOOKUP(A8,'Données de base - Grunddaten'!$A$2:$M$273,4,FALSE)="","",VLOOKUP(A8,'Données de base - Grunddaten'!$A$2:$M$273,4,FALSE))</f>
        <v>Thur</v>
      </c>
      <c r="E8" s="271">
        <v>73.11818181818181</v>
      </c>
      <c r="F8" s="271">
        <v>76.275790489432637</v>
      </c>
      <c r="G8" s="271">
        <v>3.1818181818181817</v>
      </c>
      <c r="H8" s="272" t="s">
        <v>1057</v>
      </c>
      <c r="I8" s="273"/>
      <c r="J8" s="273" t="s">
        <v>1064</v>
      </c>
      <c r="K8" s="274"/>
      <c r="L8" s="275"/>
      <c r="M8" s="1151" t="s">
        <v>723</v>
      </c>
      <c r="N8" s="1152" t="s">
        <v>72</v>
      </c>
      <c r="O8" s="1148" t="str">
        <f>VLOOKUP(A8,Strat_Plan_Revit!$A$10:$S$321,11,FALSE)</f>
        <v>gross</v>
      </c>
      <c r="P8" s="977" t="str">
        <f>VLOOKUP(A8,Strat_Plan_Revit!$A$10:$S$321,12,FALSE)</f>
        <v>gross/mittel/kein/nicht best.</v>
      </c>
      <c r="Q8" s="277" t="str">
        <f>VLOOKUP(A8,Strat_Plan_Revit!$A$10:$S$321,13,FALSE)</f>
        <v>keine Angaben</v>
      </c>
      <c r="R8" s="1162" t="s">
        <v>723</v>
      </c>
      <c r="S8" s="1173" t="s">
        <v>723</v>
      </c>
      <c r="T8" s="278" t="s">
        <v>59</v>
      </c>
      <c r="U8" s="1174"/>
      <c r="V8" s="282"/>
      <c r="W8" s="341" t="s">
        <v>1167</v>
      </c>
      <c r="X8" s="97" t="s">
        <v>1176</v>
      </c>
      <c r="Y8" s="1265" t="s">
        <v>752</v>
      </c>
      <c r="Z8" s="1258" t="s">
        <v>368</v>
      </c>
      <c r="AA8" s="1266" t="str">
        <f t="shared" si="0"/>
        <v>b</v>
      </c>
      <c r="AB8" s="1074"/>
      <c r="AC8" s="572"/>
      <c r="AD8" s="572"/>
      <c r="AE8" s="572"/>
    </row>
    <row r="9" spans="1:37" ht="40.5" customHeight="1" x14ac:dyDescent="0.25">
      <c r="A9" s="926">
        <v>7</v>
      </c>
      <c r="B9" s="270" t="str">
        <f>IF(VLOOKUP(A9,'Données de base - Grunddaten'!$A$2:$M$273,5,FALSE)="","",VLOOKUP(A9,'Données de base - Grunddaten'!$A$2:$M$273,5,FALSE))</f>
        <v>TG</v>
      </c>
      <c r="C9" s="41" t="str">
        <f>IF(VLOOKUP(A9,'Données de base - Grunddaten'!$A$2:$M$273,3,FALSE)="","",VLOOKUP(A9,'Données de base - Grunddaten'!$A$2:$M$273,3,FALSE))</f>
        <v>Wuer</v>
      </c>
      <c r="D9" s="41" t="str">
        <f>IF(VLOOKUP(A9,'Données de base - Grunddaten'!$A$2:$M$273,4,FALSE)="","",VLOOKUP(A9,'Données de base - Grunddaten'!$A$2:$M$273,4,FALSE))</f>
        <v>Thur</v>
      </c>
      <c r="E9" s="271">
        <v>60.281818181818181</v>
      </c>
      <c r="F9" s="271">
        <v>77.128372535204647</v>
      </c>
      <c r="G9" s="271">
        <v>16.818181818181817</v>
      </c>
      <c r="H9" s="272" t="s">
        <v>1057</v>
      </c>
      <c r="I9" s="273"/>
      <c r="J9" s="273" t="s">
        <v>1064</v>
      </c>
      <c r="K9" s="274"/>
      <c r="L9" s="275"/>
      <c r="M9" s="1151" t="s">
        <v>737</v>
      </c>
      <c r="N9" s="1152" t="s">
        <v>43</v>
      </c>
      <c r="O9" s="1148" t="str">
        <f>VLOOKUP(A9,Strat_Plan_Revit!$A$10:$S$321,11,FALSE)</f>
        <v>gross/mittel</v>
      </c>
      <c r="P9" s="977" t="str">
        <f>VLOOKUP(A9,Strat_Plan_Revit!$A$10:$S$321,12,FALSE)</f>
        <v>gross/mittel/gering/kein/nicht best.</v>
      </c>
      <c r="Q9" s="277" t="str">
        <f>VLOOKUP(A9,Strat_Plan_Revit!$A$10:$S$321,13,FALSE)</f>
        <v>keine Angaben</v>
      </c>
      <c r="R9" s="1162" t="s">
        <v>737</v>
      </c>
      <c r="S9" s="1173" t="s">
        <v>737</v>
      </c>
      <c r="T9" s="278" t="s">
        <v>59</v>
      </c>
      <c r="U9" s="1174" t="s">
        <v>1177</v>
      </c>
      <c r="V9" s="282"/>
      <c r="W9" s="341" t="s">
        <v>1167</v>
      </c>
      <c r="X9" s="97" t="s">
        <v>1178</v>
      </c>
      <c r="Y9" s="1265" t="s">
        <v>737</v>
      </c>
      <c r="Z9" s="1258" t="s">
        <v>59</v>
      </c>
      <c r="AA9" s="1266" t="str">
        <f t="shared" si="0"/>
        <v>a</v>
      </c>
      <c r="AC9" s="572"/>
      <c r="AD9" s="572"/>
      <c r="AE9" s="572"/>
    </row>
    <row r="10" spans="1:37" ht="40.5" customHeight="1" x14ac:dyDescent="0.25">
      <c r="A10" s="926">
        <v>8</v>
      </c>
      <c r="B10" s="270" t="str">
        <f>IF(VLOOKUP(A10,'Données de base - Grunddaten'!$A$2:$M$273,5,FALSE)="","",VLOOKUP(A10,'Données de base - Grunddaten'!$A$2:$M$273,5,FALSE))</f>
        <v>TG</v>
      </c>
      <c r="C10" s="41" t="str">
        <f>IF(VLOOKUP(A10,'Données de base - Grunddaten'!$A$2:$M$273,3,FALSE)="","",VLOOKUP(A10,'Données de base - Grunddaten'!$A$2:$M$273,3,FALSE))</f>
        <v>Hau–Äuli</v>
      </c>
      <c r="D10" s="41" t="str">
        <f>IF(VLOOKUP(A10,'Données de base - Grunddaten'!$A$2:$M$273,4,FALSE)="","",VLOOKUP(A10,'Données de base - Grunddaten'!$A$2:$M$273,4,FALSE))</f>
        <v>Murg, Thur</v>
      </c>
      <c r="E10" s="271">
        <v>77.727272727272734</v>
      </c>
      <c r="F10" s="271">
        <v>79.964610661799071</v>
      </c>
      <c r="G10" s="271">
        <v>2.2727272727272729</v>
      </c>
      <c r="H10" s="272" t="s">
        <v>1057</v>
      </c>
      <c r="I10" s="273"/>
      <c r="J10" s="273" t="s">
        <v>1064</v>
      </c>
      <c r="K10" s="274"/>
      <c r="L10" s="275"/>
      <c r="M10" s="1151" t="s">
        <v>737</v>
      </c>
      <c r="N10" s="1152" t="s">
        <v>43</v>
      </c>
      <c r="O10" s="1148" t="str">
        <f>VLOOKUP(A10,Strat_Plan_Revit!$A$10:$S$321,11,FALSE)</f>
        <v>gross</v>
      </c>
      <c r="P10" s="977" t="str">
        <f>VLOOKUP(A10,Strat_Plan_Revit!$A$10:$S$321,12,FALSE)</f>
        <v>gross/mittel</v>
      </c>
      <c r="Q10" s="277" t="str">
        <f>VLOOKUP(A10,Strat_Plan_Revit!$A$10:$S$321,13,FALSE)</f>
        <v>keine Angaben</v>
      </c>
      <c r="R10" s="1162" t="s">
        <v>737</v>
      </c>
      <c r="S10" s="1173" t="s">
        <v>737</v>
      </c>
      <c r="T10" s="278" t="s">
        <v>59</v>
      </c>
      <c r="U10" s="1174" t="s">
        <v>1177</v>
      </c>
      <c r="V10" s="282"/>
      <c r="W10" s="341" t="s">
        <v>1179</v>
      </c>
      <c r="X10" s="97" t="s">
        <v>1178</v>
      </c>
      <c r="Y10" s="1265" t="s">
        <v>737</v>
      </c>
      <c r="Z10" s="1258" t="s">
        <v>59</v>
      </c>
      <c r="AA10" s="1266" t="str">
        <f t="shared" si="0"/>
        <v>a</v>
      </c>
      <c r="AC10" s="572"/>
      <c r="AD10" s="572"/>
      <c r="AE10" s="572"/>
    </row>
    <row r="11" spans="1:37" ht="40.5" customHeight="1" x14ac:dyDescent="0.25">
      <c r="A11" s="926">
        <v>9</v>
      </c>
      <c r="B11" s="270" t="str">
        <f>IF(VLOOKUP(A11,'Données de base - Grunddaten'!$A$2:$M$273,5,FALSE)="","",VLOOKUP(A11,'Données de base - Grunddaten'!$A$2:$M$273,5,FALSE))</f>
        <v>TG</v>
      </c>
      <c r="C11" s="41" t="str">
        <f>IF(VLOOKUP(A11,'Données de base - Grunddaten'!$A$2:$M$273,3,FALSE)="","",VLOOKUP(A11,'Données de base - Grunddaten'!$A$2:$M$273,3,FALSE))</f>
        <v>Wyden bei Pfyn</v>
      </c>
      <c r="D11" s="41" t="str">
        <f>IF(VLOOKUP(A11,'Données de base - Grunddaten'!$A$2:$M$273,4,FALSE)="","",VLOOKUP(A11,'Données de base - Grunddaten'!$A$2:$M$273,4,FALSE))</f>
        <v>Thur</v>
      </c>
      <c r="E11" s="271">
        <v>71.772727272727266</v>
      </c>
      <c r="F11" s="271">
        <v>79.522288424166661</v>
      </c>
      <c r="G11" s="271">
        <v>7.7272727272727275</v>
      </c>
      <c r="H11" s="272" t="s">
        <v>1057</v>
      </c>
      <c r="I11" s="273"/>
      <c r="J11" s="273" t="s">
        <v>1064</v>
      </c>
      <c r="K11" s="274"/>
      <c r="L11" s="275"/>
      <c r="M11" s="1151" t="s">
        <v>737</v>
      </c>
      <c r="N11" s="1152" t="s">
        <v>43</v>
      </c>
      <c r="O11" s="1148" t="str">
        <f>VLOOKUP(A11,Strat_Plan_Revit!$A$10:$S$321,11,FALSE)</f>
        <v>gross/mittel</v>
      </c>
      <c r="P11" s="977" t="str">
        <f>VLOOKUP(A11,Strat_Plan_Revit!$A$10:$S$321,12,FALSE)</f>
        <v>gross/mittel/gering</v>
      </c>
      <c r="Q11" s="277" t="str">
        <f>VLOOKUP(A11,Strat_Plan_Revit!$A$10:$S$321,13,FALSE)</f>
        <v>keine Angaben</v>
      </c>
      <c r="R11" s="1162" t="s">
        <v>737</v>
      </c>
      <c r="S11" s="1173" t="s">
        <v>737</v>
      </c>
      <c r="T11" s="278" t="s">
        <v>59</v>
      </c>
      <c r="U11" s="1174"/>
      <c r="V11" s="282"/>
      <c r="W11" s="341" t="s">
        <v>1179</v>
      </c>
      <c r="X11" s="97" t="s">
        <v>1178</v>
      </c>
      <c r="Y11" s="1265" t="s">
        <v>737</v>
      </c>
      <c r="Z11" s="1258" t="s">
        <v>59</v>
      </c>
      <c r="AA11" s="1266" t="str">
        <f t="shared" si="0"/>
        <v>a</v>
      </c>
      <c r="AB11" s="1074"/>
      <c r="AC11" s="572"/>
      <c r="AD11" s="572"/>
      <c r="AE11" s="572"/>
    </row>
    <row r="12" spans="1:37" ht="76.5" x14ac:dyDescent="0.25">
      <c r="A12" s="926">
        <v>11</v>
      </c>
      <c r="B12" s="651" t="str">
        <f>IF(VLOOKUP(A12,'Données de base - Grunddaten'!$A$2:$M$273,5,FALSE)="","",VLOOKUP(A12,'Données de base - Grunddaten'!$A$2:$M$273,5,FALSE))</f>
        <v>TG</v>
      </c>
      <c r="C12" s="652" t="str">
        <f>IF(VLOOKUP(A12,'Données de base - Grunddaten'!$A$2:$M$273,3,FALSE)="","",VLOOKUP(A12,'Données de base - Grunddaten'!$A$2:$M$273,3,FALSE))</f>
        <v>Unteres Ghögg</v>
      </c>
      <c r="D12" s="652" t="str">
        <f>IF(VLOOKUP(A12,'Données de base - Grunddaten'!$A$2:$M$273,4,FALSE)="","",VLOOKUP(A12,'Données de base - Grunddaten'!$A$2:$M$273,4,FALSE))</f>
        <v>Thur</v>
      </c>
      <c r="E12" s="653">
        <v>50.972727272727276</v>
      </c>
      <c r="F12" s="653">
        <v>68.716973803390601</v>
      </c>
      <c r="G12" s="653">
        <v>17.727272727272727</v>
      </c>
      <c r="H12" s="654" t="s">
        <v>1057</v>
      </c>
      <c r="I12" s="655"/>
      <c r="J12" s="655" t="s">
        <v>1068</v>
      </c>
      <c r="K12" s="656"/>
      <c r="L12" s="657"/>
      <c r="M12" s="1153" t="s">
        <v>1969</v>
      </c>
      <c r="N12" s="1154" t="s">
        <v>72</v>
      </c>
      <c r="O12" s="1149" t="str">
        <f>VLOOKUP(A12,Strat_Plan_Revit!$A$10:$S$321,11,FALSE)</f>
        <v>gross/mittel</v>
      </c>
      <c r="P12" s="978" t="str">
        <f>VLOOKUP(A12,Strat_Plan_Revit!$A$10:$S$321,12,FALSE)</f>
        <v>gross/mittel/gering</v>
      </c>
      <c r="Q12" s="658" t="str">
        <f>VLOOKUP(A12,Strat_Plan_Revit!$A$10:$S$321,13,FALSE)</f>
        <v>keine Angaben</v>
      </c>
      <c r="R12" s="1163" t="s">
        <v>1969</v>
      </c>
      <c r="S12" s="1175" t="s">
        <v>1969</v>
      </c>
      <c r="T12" s="659" t="s">
        <v>59</v>
      </c>
      <c r="U12" s="1176"/>
      <c r="V12" s="660"/>
      <c r="W12" s="1135" t="s">
        <v>1167</v>
      </c>
      <c r="X12" s="1187" t="s">
        <v>1168</v>
      </c>
      <c r="Y12" s="1267" t="s">
        <v>1969</v>
      </c>
      <c r="Z12" s="1259" t="s">
        <v>59</v>
      </c>
      <c r="AA12" s="1266" t="str">
        <f t="shared" si="0"/>
        <v>a</v>
      </c>
      <c r="AB12" s="1074"/>
      <c r="AC12" s="572"/>
      <c r="AD12" s="572"/>
      <c r="AE12" s="572"/>
    </row>
    <row r="13" spans="1:37" ht="40.5" customHeight="1" x14ac:dyDescent="0.25">
      <c r="A13" s="926">
        <v>12</v>
      </c>
      <c r="B13" s="651" t="str">
        <f>IF(VLOOKUP(A13,'Données de base - Grunddaten'!$A$2:$M$273,5,FALSE)="","",VLOOKUP(A13,'Données de base - Grunddaten'!$A$2:$M$273,5,FALSE))</f>
        <v>SG/TG</v>
      </c>
      <c r="C13" s="652" t="str">
        <f>IF(VLOOKUP(A13,'Données de base - Grunddaten'!$A$2:$M$273,3,FALSE)="","",VLOOKUP(A13,'Données de base - Grunddaten'!$A$2:$M$273,3,FALSE))</f>
        <v>Ghöggerhütte</v>
      </c>
      <c r="D13" s="652" t="str">
        <f>IF(VLOOKUP(A13,'Données de base - Grunddaten'!$A$2:$M$273,4,FALSE)="","",VLOOKUP(A13,'Données de base - Grunddaten'!$A$2:$M$273,4,FALSE))</f>
        <v>Thur</v>
      </c>
      <c r="E13" s="653">
        <v>80.209090909090904</v>
      </c>
      <c r="F13" s="653">
        <v>89.312443989999991</v>
      </c>
      <c r="G13" s="653">
        <v>9.0909090909090917</v>
      </c>
      <c r="H13" s="654" t="s">
        <v>1057</v>
      </c>
      <c r="I13" s="655"/>
      <c r="J13" s="655" t="s">
        <v>1064</v>
      </c>
      <c r="K13" s="656"/>
      <c r="L13" s="657"/>
      <c r="M13" s="1155" t="s">
        <v>737</v>
      </c>
      <c r="N13" s="1154" t="s">
        <v>43</v>
      </c>
      <c r="O13" s="1149" t="s">
        <v>1867</v>
      </c>
      <c r="P13" s="978" t="s">
        <v>1868</v>
      </c>
      <c r="Q13" s="658" t="s">
        <v>1869</v>
      </c>
      <c r="R13" s="1164" t="s">
        <v>737</v>
      </c>
      <c r="S13" s="1177" t="s">
        <v>737</v>
      </c>
      <c r="T13" s="659" t="s">
        <v>59</v>
      </c>
      <c r="U13" s="1176"/>
      <c r="V13" s="660"/>
      <c r="W13" s="1135" t="s">
        <v>1167</v>
      </c>
      <c r="X13" s="1187" t="s">
        <v>1168</v>
      </c>
      <c r="Y13" s="1268" t="s">
        <v>737</v>
      </c>
      <c r="Z13" s="1259" t="s">
        <v>59</v>
      </c>
      <c r="AA13" s="1266" t="str">
        <f t="shared" si="0"/>
        <v>a</v>
      </c>
      <c r="AB13" s="1074" t="s">
        <v>1077</v>
      </c>
      <c r="AC13" s="572"/>
      <c r="AD13" s="572"/>
      <c r="AE13" s="572"/>
    </row>
    <row r="14" spans="1:37" ht="40.5" customHeight="1" x14ac:dyDescent="0.25">
      <c r="A14" s="926">
        <v>14</v>
      </c>
      <c r="B14" s="651" t="str">
        <f>IF(VLOOKUP(A14,'Données de base - Grunddaten'!$A$2:$M$273,5,FALSE)="","",VLOOKUP(A14,'Données de base - Grunddaten'!$A$2:$M$273,5,FALSE))</f>
        <v>SG</v>
      </c>
      <c r="C14" s="652" t="str">
        <f>IF(VLOOKUP(A14,'Données de base - Grunddaten'!$A$2:$M$273,3,FALSE)="","",VLOOKUP(A14,'Données de base - Grunddaten'!$A$2:$M$273,3,FALSE))</f>
        <v>Glatt nordwestlich Flawil</v>
      </c>
      <c r="D14" s="652" t="str">
        <f>IF(VLOOKUP(A14,'Données de base - Grunddaten'!$A$2:$M$273,4,FALSE)="","",VLOOKUP(A14,'Données de base - Grunddaten'!$A$2:$M$273,4,FALSE))</f>
        <v>Glatt</v>
      </c>
      <c r="E14" s="653">
        <v>-44.31818181818182</v>
      </c>
      <c r="F14" s="653">
        <v>12.530488791100515</v>
      </c>
      <c r="G14" s="653">
        <v>56.81818181818182</v>
      </c>
      <c r="H14" s="654" t="s">
        <v>1072</v>
      </c>
      <c r="I14" s="655"/>
      <c r="J14" s="655" t="s">
        <v>1059</v>
      </c>
      <c r="K14" s="656"/>
      <c r="L14" s="657"/>
      <c r="M14" s="1155" t="s">
        <v>723</v>
      </c>
      <c r="N14" s="1154" t="s">
        <v>43</v>
      </c>
      <c r="O14" s="1149" t="str">
        <f>VLOOKUP(A14,Strat_Plan_Revit!$A$10:$S$321,11,FALSE)</f>
        <v>Important et moyen</v>
      </c>
      <c r="P14" s="978" t="str">
        <f>VLOOKUP(A14,Strat_Plan_Revit!$A$10:$S$321,12,FALSE)</f>
        <v>moyen</v>
      </c>
      <c r="Q14" s="658" t="str">
        <f>VLOOKUP(A14,Strat_Plan_Revit!$A$10:$S$321,13,FALSE)</f>
        <v>gross</v>
      </c>
      <c r="R14" s="1164" t="s">
        <v>723</v>
      </c>
      <c r="S14" s="1177" t="s">
        <v>723</v>
      </c>
      <c r="T14" s="659" t="s">
        <v>59</v>
      </c>
      <c r="U14" s="1176"/>
      <c r="V14" s="660"/>
      <c r="W14" s="661"/>
      <c r="X14" s="1188"/>
      <c r="Y14" s="1268" t="s">
        <v>723</v>
      </c>
      <c r="Z14" s="1259" t="s">
        <v>59</v>
      </c>
      <c r="AA14" s="1266" t="str">
        <f t="shared" si="0"/>
        <v>a</v>
      </c>
      <c r="AB14" s="1074"/>
      <c r="AC14" s="572"/>
      <c r="AD14" s="572"/>
      <c r="AE14" s="572"/>
    </row>
    <row r="15" spans="1:37" ht="40.5" customHeight="1" x14ac:dyDescent="0.25">
      <c r="A15" s="926">
        <v>16</v>
      </c>
      <c r="B15" s="651" t="str">
        <f>IF(VLOOKUP(A15,'Données de base - Grunddaten'!$A$2:$M$273,5,FALSE)="","",VLOOKUP(A15,'Données de base - Grunddaten'!$A$2:$M$273,5,FALSE))</f>
        <v>SG</v>
      </c>
      <c r="C15" s="652" t="str">
        <f>IF(VLOOKUP(A15,'Données de base - Grunddaten'!$A$2:$M$273,3,FALSE)="","",VLOOKUP(A15,'Données de base - Grunddaten'!$A$2:$M$273,3,FALSE))</f>
        <v>Gillhof–Glattburg</v>
      </c>
      <c r="D15" s="652" t="str">
        <f>IF(VLOOKUP(A15,'Données de base - Grunddaten'!$A$2:$M$273,4,FALSE)="","",VLOOKUP(A15,'Données de base - Grunddaten'!$A$2:$M$273,4,FALSE))</f>
        <v>Thur</v>
      </c>
      <c r="E15" s="653">
        <v>42.945454545454545</v>
      </c>
      <c r="F15" s="653">
        <v>58.432189094275643</v>
      </c>
      <c r="G15" s="653">
        <v>15.454545454545455</v>
      </c>
      <c r="H15" s="654" t="s">
        <v>1057</v>
      </c>
      <c r="I15" s="655" t="s">
        <v>1058</v>
      </c>
      <c r="J15" s="655" t="s">
        <v>1064</v>
      </c>
      <c r="K15" s="656"/>
      <c r="L15" s="657"/>
      <c r="M15" s="1155" t="s">
        <v>737</v>
      </c>
      <c r="N15" s="1154" t="s">
        <v>43</v>
      </c>
      <c r="O15" s="1149" t="str">
        <f>VLOOKUP(A15,Strat_Plan_Revit!$A$10:$S$321,11,FALSE)</f>
        <v>important</v>
      </c>
      <c r="P15" s="978" t="str">
        <f>VLOOKUP(A15,Strat_Plan_Revit!$A$10:$S$321,12,FALSE)</f>
        <v>important</v>
      </c>
      <c r="Q15" s="658" t="str">
        <f>VLOOKUP(A15,Strat_Plan_Revit!$A$10:$S$321,13,FALSE)</f>
        <v>gross</v>
      </c>
      <c r="R15" s="1164" t="s">
        <v>737</v>
      </c>
      <c r="S15" s="1177" t="s">
        <v>737</v>
      </c>
      <c r="T15" s="659" t="s">
        <v>59</v>
      </c>
      <c r="U15" s="1176"/>
      <c r="V15" s="660"/>
      <c r="W15" s="661"/>
      <c r="X15" s="1188"/>
      <c r="Y15" s="1268" t="s">
        <v>737</v>
      </c>
      <c r="Z15" s="1259" t="s">
        <v>59</v>
      </c>
      <c r="AA15" s="1266" t="str">
        <f t="shared" si="0"/>
        <v>a</v>
      </c>
      <c r="AB15" s="1074" t="s">
        <v>1082</v>
      </c>
      <c r="AC15" s="572"/>
      <c r="AD15" s="572"/>
      <c r="AE15" s="572"/>
    </row>
    <row r="16" spans="1:37" ht="40.5" customHeight="1" x14ac:dyDescent="0.25">
      <c r="A16" s="926">
        <v>18</v>
      </c>
      <c r="B16" s="651" t="str">
        <f>IF(VLOOKUP(A16,'Données de base - Grunddaten'!$A$2:$M$273,5,FALSE)="","",VLOOKUP(A16,'Données de base - Grunddaten'!$A$2:$M$273,5,FALSE))</f>
        <v>SG</v>
      </c>
      <c r="C16" s="652" t="str">
        <f>IF(VLOOKUP(A16,'Données de base - Grunddaten'!$A$2:$M$273,3,FALSE)="","",VLOOKUP(A16,'Données de base - Grunddaten'!$A$2:$M$273,3,FALSE))</f>
        <v>Thurauen Wil-Weieren</v>
      </c>
      <c r="D16" s="652" t="str">
        <f>IF(VLOOKUP(A16,'Données de base - Grunddaten'!$A$2:$M$273,4,FALSE)="","",VLOOKUP(A16,'Données de base - Grunddaten'!$A$2:$M$273,4,FALSE))</f>
        <v>Thur</v>
      </c>
      <c r="E16" s="653">
        <v>38.74545454545455</v>
      </c>
      <c r="F16" s="653">
        <v>84.166666666666657</v>
      </c>
      <c r="G16" s="653">
        <v>45.454545454545453</v>
      </c>
      <c r="H16" s="654" t="s">
        <v>1078</v>
      </c>
      <c r="I16" s="655"/>
      <c r="J16" s="655" t="s">
        <v>1064</v>
      </c>
      <c r="K16" s="656"/>
      <c r="L16" s="657"/>
      <c r="M16" s="1156" t="s">
        <v>1970</v>
      </c>
      <c r="N16" s="1154" t="s">
        <v>72</v>
      </c>
      <c r="O16" s="1149" t="str">
        <f>VLOOKUP(A16,Strat_Plan_Revit!$A$10:$S$321,11,FALSE)</f>
        <v>important</v>
      </c>
      <c r="P16" s="978" t="str">
        <f>VLOOKUP(A16,Strat_Plan_Revit!$A$10:$S$321,12,FALSE)</f>
        <v>important</v>
      </c>
      <c r="Q16" s="658" t="str">
        <f>VLOOKUP(A16,Strat_Plan_Revit!$A$10:$S$321,13,FALSE)</f>
        <v>gross</v>
      </c>
      <c r="R16" s="1165" t="s">
        <v>1970</v>
      </c>
      <c r="S16" s="1156" t="s">
        <v>1970</v>
      </c>
      <c r="T16" s="659" t="s">
        <v>59</v>
      </c>
      <c r="U16" s="1176"/>
      <c r="V16" s="660"/>
      <c r="W16" s="661"/>
      <c r="X16" s="1188"/>
      <c r="Y16" s="1269" t="s">
        <v>1970</v>
      </c>
      <c r="Z16" s="1259" t="s">
        <v>59</v>
      </c>
      <c r="AA16" s="1266" t="str">
        <f t="shared" si="0"/>
        <v>a</v>
      </c>
      <c r="AB16" s="1074" t="s">
        <v>1084</v>
      </c>
      <c r="AC16" s="572"/>
      <c r="AD16" s="572"/>
      <c r="AE16" s="572"/>
    </row>
    <row r="17" spans="1:31" ht="40.5" customHeight="1" x14ac:dyDescent="0.25">
      <c r="A17" s="926">
        <v>19</v>
      </c>
      <c r="B17" s="651" t="str">
        <f>IF(VLOOKUP(A17,'Données de base - Grunddaten'!$A$2:$M$273,5,FALSE)="","",VLOOKUP(A17,'Données de base - Grunddaten'!$A$2:$M$273,5,FALSE))</f>
        <v>SG</v>
      </c>
      <c r="C17" s="652" t="str">
        <f>IF(VLOOKUP(A17,'Données de base - Grunddaten'!$A$2:$M$273,3,FALSE)="","",VLOOKUP(A17,'Données de base - Grunddaten'!$A$2:$M$273,3,FALSE))</f>
        <v>Thur und Necker bei Lütisburg</v>
      </c>
      <c r="D17" s="652" t="str">
        <f>IF(VLOOKUP(A17,'Données de base - Grunddaten'!$A$2:$M$273,4,FALSE)="","",VLOOKUP(A17,'Données de base - Grunddaten'!$A$2:$M$273,4,FALSE))</f>
        <v>Necker, Thur</v>
      </c>
      <c r="E17" s="653">
        <v>-24.09090909090909</v>
      </c>
      <c r="F17" s="653">
        <v>0</v>
      </c>
      <c r="G17" s="653">
        <v>24.09090909090909</v>
      </c>
      <c r="H17" s="654" t="s">
        <v>1061</v>
      </c>
      <c r="I17" s="655"/>
      <c r="J17" s="655" t="s">
        <v>1059</v>
      </c>
      <c r="K17" s="656"/>
      <c r="L17" s="657"/>
      <c r="M17" s="1157" t="s">
        <v>1971</v>
      </c>
      <c r="N17" s="1154" t="s">
        <v>43</v>
      </c>
      <c r="O17" s="1149" t="str">
        <f>VLOOKUP(A17,Strat_Plan_Revit!$A$10:$S$321,11,FALSE)</f>
        <v>important</v>
      </c>
      <c r="P17" s="978" t="str">
        <f>VLOOKUP(A17,Strat_Plan_Revit!$A$10:$S$321,12,FALSE)</f>
        <v>moyen</v>
      </c>
      <c r="Q17" s="658" t="str">
        <f>VLOOKUP(A17,Strat_Plan_Revit!$A$10:$S$321,13,FALSE)</f>
        <v>gross</v>
      </c>
      <c r="R17" s="1166" t="s">
        <v>1973</v>
      </c>
      <c r="S17" s="1159" t="s">
        <v>1973</v>
      </c>
      <c r="T17" s="659" t="s">
        <v>110</v>
      </c>
      <c r="U17" s="1176"/>
      <c r="V17" s="660"/>
      <c r="W17" s="661"/>
      <c r="X17" s="1188"/>
      <c r="Y17" s="1270" t="s">
        <v>1973</v>
      </c>
      <c r="Z17" s="1259" t="s">
        <v>110</v>
      </c>
      <c r="AA17" s="1266" t="str">
        <f t="shared" si="0"/>
        <v>a</v>
      </c>
      <c r="AC17" s="572"/>
      <c r="AD17" s="572"/>
      <c r="AE17" s="572"/>
    </row>
    <row r="18" spans="1:31" ht="57.6" customHeight="1" x14ac:dyDescent="0.25">
      <c r="A18" s="1233">
        <v>22</v>
      </c>
      <c r="B18" s="651" t="str">
        <f>IF(VLOOKUP(A18,'Données de base - Grunddaten'!$A$2:$M$273,5,FALSE)="","",VLOOKUP(A18,'Données de base - Grunddaten'!$A$2:$M$273,5,FALSE))</f>
        <v>GR</v>
      </c>
      <c r="C18" s="652" t="str">
        <f>IF(VLOOKUP(A18,'Données de base - Grunddaten'!$A$2:$M$273,3,FALSE)="","",VLOOKUP(A18,'Données de base - Grunddaten'!$A$2:$M$273,3,FALSE))</f>
        <v>Zizers-Mastril</v>
      </c>
      <c r="D18" s="652" t="str">
        <f>IF(VLOOKUP(A18,'Données de base - Grunddaten'!$A$2:$M$273,4,FALSE)="","",VLOOKUP(A18,'Données de base - Grunddaten'!$A$2:$M$273,4,FALSE))</f>
        <v>Rhein</v>
      </c>
      <c r="E18" s="653"/>
      <c r="F18" s="653"/>
      <c r="G18" s="653"/>
      <c r="H18" s="654"/>
      <c r="I18" s="662"/>
      <c r="J18" s="662"/>
      <c r="K18" s="663" t="s">
        <v>1066</v>
      </c>
      <c r="L18" s="664" t="s">
        <v>1149</v>
      </c>
      <c r="M18" s="1158" t="s">
        <v>1972</v>
      </c>
      <c r="N18" s="1154" t="s">
        <v>72</v>
      </c>
      <c r="O18" s="1149" t="str">
        <f>VLOOKUP(A18,Strat_Plan_Revit!$A$10:$S$321,11,FALSE)</f>
        <v>gross</v>
      </c>
      <c r="P18" s="978" t="str">
        <f>VLOOKUP(A18,Strat_Plan_Revit!$A$10:$S$321,12,FALSE)</f>
        <v>gross/gering</v>
      </c>
      <c r="Q18" s="658" t="str">
        <f>VLOOKUP(A18,Strat_Plan_Revit!$A$10:$S$321,13,FALSE)</f>
        <v>hoch/gering</v>
      </c>
      <c r="R18" s="1167" t="s">
        <v>1972</v>
      </c>
      <c r="S18" s="1158" t="s">
        <v>1972</v>
      </c>
      <c r="T18" s="659" t="s">
        <v>59</v>
      </c>
      <c r="U18" s="1176"/>
      <c r="V18" s="660"/>
      <c r="W18" s="1135"/>
      <c r="X18" s="1187"/>
      <c r="Y18" s="1271" t="s">
        <v>1972</v>
      </c>
      <c r="Z18" s="1259" t="s">
        <v>59</v>
      </c>
      <c r="AA18" s="1266" t="str">
        <f t="shared" si="0"/>
        <v>a</v>
      </c>
      <c r="AC18" s="572"/>
      <c r="AD18" s="572"/>
      <c r="AE18" s="572"/>
    </row>
    <row r="19" spans="1:31" ht="62.45" customHeight="1" x14ac:dyDescent="0.25">
      <c r="A19" s="1233">
        <v>25</v>
      </c>
      <c r="B19" s="651" t="str">
        <f>IF(VLOOKUP(A19,'Données de base - Grunddaten'!$A$2:$M$273,5,FALSE)="","",VLOOKUP(A19,'Données de base - Grunddaten'!$A$2:$M$273,5,FALSE))</f>
        <v>GR</v>
      </c>
      <c r="C19" s="652" t="str">
        <f>IF(VLOOKUP(A19,'Données de base - Grunddaten'!$A$2:$M$273,3,FALSE)="","",VLOOKUP(A19,'Données de base - Grunddaten'!$A$2:$M$273,3,FALSE))</f>
        <v>Trimmiser Rodauen Rhein</v>
      </c>
      <c r="D19" s="652" t="str">
        <f>IF(VLOOKUP(A19,'Données de base - Grunddaten'!$A$2:$M$273,4,FALSE)="","",VLOOKUP(A19,'Données de base - Grunddaten'!$A$2:$M$273,4,FALSE))</f>
        <v>Rhein</v>
      </c>
      <c r="E19" s="653"/>
      <c r="F19" s="653"/>
      <c r="G19" s="653"/>
      <c r="H19" s="654"/>
      <c r="I19" s="662" t="s">
        <v>1058</v>
      </c>
      <c r="J19" s="662"/>
      <c r="K19" s="663" t="s">
        <v>1078</v>
      </c>
      <c r="L19" s="664" t="s">
        <v>1150</v>
      </c>
      <c r="M19" s="1156" t="s">
        <v>1970</v>
      </c>
      <c r="N19" s="1154" t="s">
        <v>72</v>
      </c>
      <c r="O19" s="1149" t="str">
        <f>VLOOKUP(A19,Strat_Plan_Revit!$A$10:$S$321,11,FALSE)</f>
        <v>gross</v>
      </c>
      <c r="P19" s="978" t="str">
        <f>VLOOKUP(A19,Strat_Plan_Revit!$A$10:$S$321,12,FALSE)</f>
        <v>gross/mittel</v>
      </c>
      <c r="Q19" s="658" t="str">
        <f>VLOOKUP(A19,Strat_Plan_Revit!$A$10:$S$321,13,FALSE)</f>
        <v>mittel</v>
      </c>
      <c r="R19" s="1165" t="s">
        <v>1970</v>
      </c>
      <c r="S19" s="1156" t="s">
        <v>1970</v>
      </c>
      <c r="T19" s="659" t="s">
        <v>59</v>
      </c>
      <c r="U19" s="1176"/>
      <c r="V19" s="660"/>
      <c r="W19" s="1135"/>
      <c r="X19" s="1187"/>
      <c r="Y19" s="1269" t="s">
        <v>1970</v>
      </c>
      <c r="Z19" s="1259" t="s">
        <v>59</v>
      </c>
      <c r="AA19" s="1266" t="str">
        <f t="shared" si="0"/>
        <v>a</v>
      </c>
      <c r="AC19" s="572"/>
      <c r="AD19" s="572"/>
      <c r="AE19" s="572"/>
    </row>
    <row r="20" spans="1:31" ht="45.6" customHeight="1" x14ac:dyDescent="0.25">
      <c r="A20" s="928">
        <v>27</v>
      </c>
      <c r="B20" s="651" t="str">
        <f>IF(VLOOKUP(A20,'Données de base - Grunddaten'!$A$2:$M$273,5,FALSE)="","",VLOOKUP(A20,'Données de base - Grunddaten'!$A$2:$M$273,5,FALSE))</f>
        <v>GR</v>
      </c>
      <c r="C20" s="652" t="str">
        <f>IF(VLOOKUP(A20,'Données de base - Grunddaten'!$A$2:$M$273,3,FALSE)="","",VLOOKUP(A20,'Données de base - Grunddaten'!$A$2:$M$273,3,FALSE))</f>
        <v>Rhäzünser Rheinauen</v>
      </c>
      <c r="D20" s="652" t="str">
        <f>IF(VLOOKUP(A20,'Données de base - Grunddaten'!$A$2:$M$273,4,FALSE)="","",VLOOKUP(A20,'Données de base - Grunddaten'!$A$2:$M$273,4,FALSE))</f>
        <v>Hinterrhein</v>
      </c>
      <c r="E20" s="653">
        <v>-41.2</v>
      </c>
      <c r="F20" s="653">
        <v>8.7764597107577345</v>
      </c>
      <c r="G20" s="653">
        <v>50</v>
      </c>
      <c r="H20" s="654" t="s">
        <v>1072</v>
      </c>
      <c r="I20" s="655" t="s">
        <v>1058</v>
      </c>
      <c r="J20" s="655" t="s">
        <v>1064</v>
      </c>
      <c r="K20" s="656"/>
      <c r="L20" s="657"/>
      <c r="M20" s="1158" t="s">
        <v>1972</v>
      </c>
      <c r="N20" s="1154" t="s">
        <v>72</v>
      </c>
      <c r="O20" s="1149" t="str">
        <f>VLOOKUP(A20,Strat_Plan_Revit!$A$10:$S$321,11,FALSE)</f>
        <v>gross</v>
      </c>
      <c r="P20" s="978" t="str">
        <f>VLOOKUP(A20,Strat_Plan_Revit!$A$10:$S$321,12,FALSE)</f>
        <v>gross/mittel/gering</v>
      </c>
      <c r="Q20" s="658" t="str">
        <f>VLOOKUP(A20,Strat_Plan_Revit!$A$10:$S$321,13,FALSE)</f>
        <v>hoch/gering</v>
      </c>
      <c r="R20" s="1167" t="s">
        <v>1972</v>
      </c>
      <c r="S20" s="1158" t="s">
        <v>1972</v>
      </c>
      <c r="T20" s="659" t="s">
        <v>59</v>
      </c>
      <c r="U20" s="1176"/>
      <c r="V20" s="660"/>
      <c r="W20" s="1135"/>
      <c r="X20" s="1187"/>
      <c r="Y20" s="1271" t="s">
        <v>1972</v>
      </c>
      <c r="Z20" s="1259" t="s">
        <v>59</v>
      </c>
      <c r="AA20" s="1266" t="str">
        <f t="shared" si="0"/>
        <v>a</v>
      </c>
      <c r="AC20" s="572"/>
      <c r="AD20" s="572"/>
      <c r="AE20" s="572"/>
    </row>
    <row r="21" spans="1:31" ht="40.5" customHeight="1" x14ac:dyDescent="0.25">
      <c r="A21" s="928">
        <v>28</v>
      </c>
      <c r="B21" s="651" t="str">
        <f>IF(VLOOKUP(A21,'Données de base - Grunddaten'!$A$2:$M$273,5,FALSE)="","",VLOOKUP(A21,'Données de base - Grunddaten'!$A$2:$M$273,5,FALSE))</f>
        <v>GR</v>
      </c>
      <c r="C21" s="652" t="str">
        <f>IF(VLOOKUP(A21,'Données de base - Grunddaten'!$A$2:$M$273,3,FALSE)="","",VLOOKUP(A21,'Données de base - Grunddaten'!$A$2:$M$273,3,FALSE))</f>
        <v>Cumparduns</v>
      </c>
      <c r="D21" s="652" t="str">
        <f>IF(VLOOKUP(A21,'Données de base - Grunddaten'!$A$2:$M$273,4,FALSE)="","",VLOOKUP(A21,'Données de base - Grunddaten'!$A$2:$M$273,4,FALSE))</f>
        <v>Albula, Hinterrhein</v>
      </c>
      <c r="E21" s="653">
        <v>76.518181818181816</v>
      </c>
      <c r="F21" s="653">
        <v>79.726100551331811</v>
      </c>
      <c r="G21" s="653">
        <v>3.1818181818181817</v>
      </c>
      <c r="H21" s="654" t="s">
        <v>1057</v>
      </c>
      <c r="I21" s="655"/>
      <c r="J21" s="655" t="s">
        <v>1068</v>
      </c>
      <c r="K21" s="656"/>
      <c r="L21" s="657"/>
      <c r="M21" s="1155" t="s">
        <v>738</v>
      </c>
      <c r="N21" s="1154" t="s">
        <v>72</v>
      </c>
      <c r="O21" s="1149" t="str">
        <f>VLOOKUP(A21,Strat_Plan_Revit!$A$10:$S$321,11,FALSE)</f>
        <v>gross</v>
      </c>
      <c r="P21" s="978" t="str">
        <f>VLOOKUP(A21,Strat_Plan_Revit!$A$10:$S$321,12,FALSE)</f>
        <v>gross/mittel</v>
      </c>
      <c r="Q21" s="658" t="str">
        <f>VLOOKUP(A21,Strat_Plan_Revit!$A$10:$S$321,13,FALSE)</f>
        <v>hoch</v>
      </c>
      <c r="R21" s="1164" t="s">
        <v>738</v>
      </c>
      <c r="S21" s="1177" t="s">
        <v>738</v>
      </c>
      <c r="T21" s="659" t="s">
        <v>59</v>
      </c>
      <c r="U21" s="1176" t="s">
        <v>1151</v>
      </c>
      <c r="V21" s="660"/>
      <c r="W21" s="1135"/>
      <c r="X21" s="1187"/>
      <c r="Y21" s="1268" t="s">
        <v>738</v>
      </c>
      <c r="Z21" s="1259" t="s">
        <v>59</v>
      </c>
      <c r="AA21" s="1266" t="str">
        <f t="shared" si="0"/>
        <v>a</v>
      </c>
      <c r="AB21" s="1074" t="s">
        <v>1089</v>
      </c>
      <c r="AC21" s="572"/>
      <c r="AD21" s="572"/>
      <c r="AE21" s="572"/>
    </row>
    <row r="22" spans="1:31" ht="40.5" customHeight="1" x14ac:dyDescent="0.25">
      <c r="A22" s="926">
        <v>29</v>
      </c>
      <c r="B22" s="651" t="str">
        <f>IF(VLOOKUP(A22,'Données de base - Grunddaten'!$A$2:$M$273,5,FALSE)="","",VLOOKUP(A22,'Données de base - Grunddaten'!$A$2:$M$273,5,FALSE))</f>
        <v>GR</v>
      </c>
      <c r="C22" s="652" t="str">
        <f>IF(VLOOKUP(A22,'Données de base - Grunddaten'!$A$2:$M$273,3,FALSE)="","",VLOOKUP(A22,'Données de base - Grunddaten'!$A$2:$M$273,3,FALSE))</f>
        <v>Cauma</v>
      </c>
      <c r="D22" s="652" t="str">
        <f>IF(VLOOKUP(A22,'Données de base - Grunddaten'!$A$2:$M$273,4,FALSE)="","",VLOOKUP(A22,'Données de base - Grunddaten'!$A$2:$M$273,4,FALSE))</f>
        <v>Vorderrhein</v>
      </c>
      <c r="E22" s="653">
        <v>-4.9545454545454541</v>
      </c>
      <c r="F22" s="653">
        <v>0.54608529534316819</v>
      </c>
      <c r="G22" s="653">
        <v>5.4545454545454541</v>
      </c>
      <c r="H22" s="654" t="s">
        <v>1066</v>
      </c>
      <c r="I22" s="655" t="s">
        <v>1079</v>
      </c>
      <c r="J22" s="655" t="s">
        <v>1059</v>
      </c>
      <c r="K22" s="656"/>
      <c r="L22" s="657"/>
      <c r="M22" s="1155" t="s">
        <v>752</v>
      </c>
      <c r="N22" s="1154" t="s">
        <v>72</v>
      </c>
      <c r="O22" s="1149" t="str">
        <f>VLOOKUP(A22,Strat_Plan_Revit!$A$10:$S$321,11,FALSE)</f>
        <v>gross</v>
      </c>
      <c r="P22" s="978" t="str">
        <f>VLOOKUP(A22,Strat_Plan_Revit!$A$10:$S$321,12,FALSE)</f>
        <v xml:space="preserve">gross/mittel/ - </v>
      </c>
      <c r="Q22" s="658" t="str">
        <f>VLOOKUP(A22,Strat_Plan_Revit!$A$10:$S$321,13,FALSE)</f>
        <v>mittel/gering</v>
      </c>
      <c r="R22" s="1164" t="s">
        <v>720</v>
      </c>
      <c r="S22" s="1177" t="s">
        <v>720</v>
      </c>
      <c r="T22" s="659" t="s">
        <v>110</v>
      </c>
      <c r="U22" s="1176"/>
      <c r="V22" s="660"/>
      <c r="W22" s="1135"/>
      <c r="X22" s="1187"/>
      <c r="Y22" s="1268" t="s">
        <v>720</v>
      </c>
      <c r="Z22" s="1259" t="s">
        <v>110</v>
      </c>
      <c r="AA22" s="1266" t="str">
        <f t="shared" si="0"/>
        <v>a</v>
      </c>
      <c r="AB22" s="1074" t="s">
        <v>1091</v>
      </c>
      <c r="AC22" s="572"/>
      <c r="AD22" s="572"/>
      <c r="AE22" s="572"/>
    </row>
    <row r="23" spans="1:31" ht="40.5" customHeight="1" x14ac:dyDescent="0.25">
      <c r="A23" s="926">
        <v>30</v>
      </c>
      <c r="B23" s="651" t="str">
        <f>IF(VLOOKUP(A23,'Données de base - Grunddaten'!$A$2:$M$273,5,FALSE)="","",VLOOKUP(A23,'Données de base - Grunddaten'!$A$2:$M$273,5,FALSE))</f>
        <v>GR</v>
      </c>
      <c r="C23" s="652" t="str">
        <f>IF(VLOOKUP(A23,'Données de base - Grunddaten'!$A$2:$M$273,3,FALSE)="","",VLOOKUP(A23,'Données de base - Grunddaten'!$A$2:$M$273,3,FALSE))</f>
        <v>Plaun da Foppas</v>
      </c>
      <c r="D23" s="652" t="str">
        <f>IF(VLOOKUP(A23,'Données de base - Grunddaten'!$A$2:$M$273,4,FALSE)="","",VLOOKUP(A23,'Données de base - Grunddaten'!$A$2:$M$273,4,FALSE))</f>
        <v>Vorderrhein</v>
      </c>
      <c r="E23" s="653">
        <v>41.336363636363643</v>
      </c>
      <c r="F23" s="653">
        <v>47.663346289951122</v>
      </c>
      <c r="G23" s="653">
        <v>6.3636363636363633</v>
      </c>
      <c r="H23" s="654" t="s">
        <v>1057</v>
      </c>
      <c r="I23" s="655"/>
      <c r="J23" s="655" t="s">
        <v>1068</v>
      </c>
      <c r="K23" s="656"/>
      <c r="L23" s="657"/>
      <c r="M23" s="1155" t="s">
        <v>737</v>
      </c>
      <c r="N23" s="1154" t="s">
        <v>43</v>
      </c>
      <c r="O23" s="1149" t="str">
        <f>VLOOKUP(A23,Strat_Plan_Revit!$A$10:$S$321,11,FALSE)</f>
        <v>gross</v>
      </c>
      <c r="P23" s="978" t="str">
        <f>VLOOKUP(A23,Strat_Plan_Revit!$A$10:$S$321,12,FALSE)</f>
        <v>gross</v>
      </c>
      <c r="Q23" s="658" t="str">
        <f>VLOOKUP(A23,Strat_Plan_Revit!$A$10:$S$321,13,FALSE)</f>
        <v>hoch</v>
      </c>
      <c r="R23" s="1164" t="s">
        <v>737</v>
      </c>
      <c r="S23" s="1177" t="s">
        <v>737</v>
      </c>
      <c r="T23" s="659" t="s">
        <v>59</v>
      </c>
      <c r="U23" s="1176"/>
      <c r="V23" s="660"/>
      <c r="W23" s="1135"/>
      <c r="X23" s="1187"/>
      <c r="Y23" s="1268" t="s">
        <v>737</v>
      </c>
      <c r="Z23" s="1259" t="s">
        <v>59</v>
      </c>
      <c r="AA23" s="1266" t="str">
        <f t="shared" si="0"/>
        <v>a</v>
      </c>
      <c r="AC23" s="572"/>
      <c r="AD23" s="572"/>
      <c r="AE23" s="572"/>
    </row>
    <row r="24" spans="1:31" ht="40.5" customHeight="1" x14ac:dyDescent="0.25">
      <c r="A24" s="926">
        <v>31</v>
      </c>
      <c r="B24" s="651" t="str">
        <f>IF(VLOOKUP(A24,'Données de base - Grunddaten'!$A$2:$M$273,5,FALSE)="","",VLOOKUP(A24,'Données de base - Grunddaten'!$A$2:$M$273,5,FALSE))</f>
        <v>GR</v>
      </c>
      <c r="C24" s="652" t="str">
        <f>IF(VLOOKUP(A24,'Données de base - Grunddaten'!$A$2:$M$273,3,FALSE)="","",VLOOKUP(A24,'Données de base - Grunddaten'!$A$2:$M$273,3,FALSE))</f>
        <v>Cahuons</v>
      </c>
      <c r="D24" s="652" t="str">
        <f>IF(VLOOKUP(A24,'Données de base - Grunddaten'!$A$2:$M$273,4,FALSE)="","",VLOOKUP(A24,'Données de base - Grunddaten'!$A$2:$M$273,4,FALSE))</f>
        <v>Vorderrhein</v>
      </c>
      <c r="E24" s="653">
        <v>16.136363636363637</v>
      </c>
      <c r="F24" s="653">
        <v>17.483865041673265</v>
      </c>
      <c r="G24" s="653">
        <v>1.3636363636363635</v>
      </c>
      <c r="H24" s="654" t="s">
        <v>1066</v>
      </c>
      <c r="I24" s="655"/>
      <c r="J24" s="655" t="s">
        <v>1068</v>
      </c>
      <c r="K24" s="656"/>
      <c r="L24" s="657"/>
      <c r="M24" s="1155" t="s">
        <v>720</v>
      </c>
      <c r="N24" s="1154" t="s">
        <v>43</v>
      </c>
      <c r="O24" s="1149" t="str">
        <f>VLOOKUP(A24,Strat_Plan_Revit!$A$10:$S$321,11,FALSE)</f>
        <v>gross</v>
      </c>
      <c r="P24" s="978" t="str">
        <f>VLOOKUP(A24,Strat_Plan_Revit!$A$10:$S$321,12,FALSE)</f>
        <v xml:space="preserve">gross/mittel/gering/ - </v>
      </c>
      <c r="Q24" s="658" t="str">
        <f>VLOOKUP(A24,Strat_Plan_Revit!$A$10:$S$321,13,FALSE)</f>
        <v>hoch</v>
      </c>
      <c r="R24" s="1164" t="s">
        <v>737</v>
      </c>
      <c r="S24" s="1177" t="s">
        <v>720</v>
      </c>
      <c r="T24" s="659" t="s">
        <v>59</v>
      </c>
      <c r="U24" s="1176"/>
      <c r="V24" s="660"/>
      <c r="W24" s="1135"/>
      <c r="X24" s="1187"/>
      <c r="Y24" s="1268" t="s">
        <v>720</v>
      </c>
      <c r="Z24" s="1259" t="s">
        <v>59</v>
      </c>
      <c r="AA24" s="1266" t="str">
        <f t="shared" si="0"/>
        <v>a</v>
      </c>
      <c r="AC24" s="572"/>
      <c r="AD24" s="572"/>
      <c r="AE24" s="572"/>
    </row>
    <row r="25" spans="1:31" ht="40.5" customHeight="1" x14ac:dyDescent="0.25">
      <c r="A25" s="926">
        <v>32</v>
      </c>
      <c r="B25" s="651" t="str">
        <f>IF(VLOOKUP(A25,'Données de base - Grunddaten'!$A$2:$M$273,5,FALSE)="","",VLOOKUP(A25,'Données de base - Grunddaten'!$A$2:$M$273,5,FALSE))</f>
        <v>GR</v>
      </c>
      <c r="C25" s="652" t="str">
        <f>IF(VLOOKUP(A25,'Données de base - Grunddaten'!$A$2:$M$273,3,FALSE)="","",VLOOKUP(A25,'Données de base - Grunddaten'!$A$2:$M$273,3,FALSE))</f>
        <v>Disla–Pardomat</v>
      </c>
      <c r="D25" s="652" t="str">
        <f>IF(VLOOKUP(A25,'Données de base - Grunddaten'!$A$2:$M$273,4,FALSE)="","",VLOOKUP(A25,'Données de base - Grunddaten'!$A$2:$M$273,4,FALSE))</f>
        <v>Vorderrhein</v>
      </c>
      <c r="E25" s="653">
        <v>-56.363636363636367</v>
      </c>
      <c r="F25" s="653">
        <v>0</v>
      </c>
      <c r="G25" s="653">
        <v>56.363636363636367</v>
      </c>
      <c r="H25" s="654" t="s">
        <v>1061</v>
      </c>
      <c r="I25" s="655" t="s">
        <v>1079</v>
      </c>
      <c r="J25" s="655" t="s">
        <v>1068</v>
      </c>
      <c r="K25" s="656"/>
      <c r="L25" s="657"/>
      <c r="M25" s="1155" t="s">
        <v>752</v>
      </c>
      <c r="N25" s="1154" t="s">
        <v>43</v>
      </c>
      <c r="O25" s="1149" t="str">
        <f>VLOOKUP(A25,Strat_Plan_Revit!$A$10:$S$321,11,FALSE)</f>
        <v>gross</v>
      </c>
      <c r="P25" s="978" t="str">
        <f>VLOOKUP(A25,Strat_Plan_Revit!$A$10:$S$321,12,FALSE)</f>
        <v xml:space="preserve">gross/mittel/gering/ - </v>
      </c>
      <c r="Q25" s="658" t="str">
        <f>VLOOKUP(A25,Strat_Plan_Revit!$A$10:$S$321,13,FALSE)</f>
        <v>hoch/mittel/gering</v>
      </c>
      <c r="R25" s="1164" t="s">
        <v>738</v>
      </c>
      <c r="S25" s="1177" t="s">
        <v>738</v>
      </c>
      <c r="T25" s="659" t="s">
        <v>110</v>
      </c>
      <c r="U25" s="1176"/>
      <c r="V25" s="660"/>
      <c r="W25" s="1135"/>
      <c r="X25" s="1187"/>
      <c r="Y25" s="1268" t="s">
        <v>738</v>
      </c>
      <c r="Z25" s="1259" t="s">
        <v>110</v>
      </c>
      <c r="AA25" s="1266" t="str">
        <f t="shared" si="0"/>
        <v>a</v>
      </c>
      <c r="AC25" s="572"/>
      <c r="AD25" s="572"/>
      <c r="AE25" s="572"/>
    </row>
    <row r="26" spans="1:31" ht="40.5" customHeight="1" x14ac:dyDescent="0.25">
      <c r="A26" s="926">
        <v>33</v>
      </c>
      <c r="B26" s="651" t="str">
        <f>IF(VLOOKUP(A26,'Données de base - Grunddaten'!$A$2:$M$273,5,FALSE)="","",VLOOKUP(A26,'Données de base - Grunddaten'!$A$2:$M$273,5,FALSE))</f>
        <v>GR</v>
      </c>
      <c r="C26" s="652" t="str">
        <f>IF(VLOOKUP(A26,'Données de base - Grunddaten'!$A$2:$M$273,3,FALSE)="","",VLOOKUP(A26,'Données de base - Grunddaten'!$A$2:$M$273,3,FALSE))</f>
        <v>Fontanivas–Sonduritg</v>
      </c>
      <c r="D26" s="652" t="str">
        <f>IF(VLOOKUP(A26,'Données de base - Grunddaten'!$A$2:$M$273,4,FALSE)="","",VLOOKUP(A26,'Données de base - Grunddaten'!$A$2:$M$273,4,FALSE))</f>
        <v>Vorderrhein</v>
      </c>
      <c r="E26" s="653">
        <v>34.272727272727273</v>
      </c>
      <c r="F26" s="653">
        <v>36.993320960061709</v>
      </c>
      <c r="G26" s="653">
        <v>2.7272727272727271</v>
      </c>
      <c r="H26" s="654" t="s">
        <v>1066</v>
      </c>
      <c r="I26" s="655"/>
      <c r="J26" s="655" t="s">
        <v>1064</v>
      </c>
      <c r="K26" s="656"/>
      <c r="L26" s="657"/>
      <c r="M26" s="1155" t="s">
        <v>720</v>
      </c>
      <c r="N26" s="1154" t="s">
        <v>43</v>
      </c>
      <c r="O26" s="1149" t="str">
        <f>VLOOKUP(A26,Strat_Plan_Revit!$A$10:$S$321,11,FALSE)</f>
        <v>gross</v>
      </c>
      <c r="P26" s="978" t="str">
        <f>VLOOKUP(A26,Strat_Plan_Revit!$A$10:$S$321,12,FALSE)</f>
        <v>gross/ -</v>
      </c>
      <c r="Q26" s="658" t="str">
        <f>VLOOKUP(A26,Strat_Plan_Revit!$A$10:$S$321,13,FALSE)</f>
        <v>hoch</v>
      </c>
      <c r="R26" s="1164" t="s">
        <v>737</v>
      </c>
      <c r="S26" s="1177" t="s">
        <v>720</v>
      </c>
      <c r="T26" s="659" t="s">
        <v>110</v>
      </c>
      <c r="U26" s="1176"/>
      <c r="V26" s="660"/>
      <c r="W26" s="1135"/>
      <c r="X26" s="1187"/>
      <c r="Y26" s="1268" t="s">
        <v>720</v>
      </c>
      <c r="Z26" s="1259" t="s">
        <v>110</v>
      </c>
      <c r="AA26" s="1266" t="str">
        <f t="shared" si="0"/>
        <v>a</v>
      </c>
      <c r="AC26" s="572"/>
      <c r="AD26" s="572"/>
      <c r="AE26" s="572"/>
    </row>
    <row r="27" spans="1:31" ht="40.5" customHeight="1" x14ac:dyDescent="0.25">
      <c r="A27" s="926">
        <v>34</v>
      </c>
      <c r="B27" s="651" t="str">
        <f>IF(VLOOKUP(A27,'Données de base - Grunddaten'!$A$2:$M$273,5,FALSE)="","",VLOOKUP(A27,'Données de base - Grunddaten'!$A$2:$M$273,5,FALSE))</f>
        <v>GR</v>
      </c>
      <c r="C27" s="652" t="str">
        <f>IF(VLOOKUP(A27,'Données de base - Grunddaten'!$A$2:$M$273,3,FALSE)="","",VLOOKUP(A27,'Données de base - Grunddaten'!$A$2:$M$273,3,FALSE))</f>
        <v>Gravas</v>
      </c>
      <c r="D27" s="652" t="str">
        <f>IF(VLOOKUP(A27,'Données de base - Grunddaten'!$A$2:$M$273,4,FALSE)="","",VLOOKUP(A27,'Données de base - Grunddaten'!$A$2:$M$273,4,FALSE))</f>
        <v>Vorderrhein</v>
      </c>
      <c r="E27" s="653">
        <v>-13.181818181818182</v>
      </c>
      <c r="F27" s="653">
        <v>0</v>
      </c>
      <c r="G27" s="653">
        <v>13.181818181818182</v>
      </c>
      <c r="H27" s="654" t="s">
        <v>1061</v>
      </c>
      <c r="I27" s="655"/>
      <c r="J27" s="655" t="s">
        <v>1068</v>
      </c>
      <c r="K27" s="656"/>
      <c r="L27" s="657"/>
      <c r="M27" s="1155" t="s">
        <v>752</v>
      </c>
      <c r="N27" s="1154" t="s">
        <v>43</v>
      </c>
      <c r="O27" s="1149" t="str">
        <f>VLOOKUP(A27,Strat_Plan_Revit!$A$10:$S$321,11,FALSE)</f>
        <v>gross</v>
      </c>
      <c r="P27" s="978" t="str">
        <f>VLOOKUP(A27,Strat_Plan_Revit!$A$10:$S$321,12,FALSE)</f>
        <v>kein/nicht best.</v>
      </c>
      <c r="Q27" s="658" t="str">
        <f>VLOOKUP(A27,Strat_Plan_Revit!$A$10:$S$321,13,FALSE)</f>
        <v>gering</v>
      </c>
      <c r="R27" s="1164" t="s">
        <v>752</v>
      </c>
      <c r="S27" s="1177" t="s">
        <v>752</v>
      </c>
      <c r="T27" s="659" t="s">
        <v>59</v>
      </c>
      <c r="U27" s="1176"/>
      <c r="V27" s="660"/>
      <c r="W27" s="1135"/>
      <c r="X27" s="1187"/>
      <c r="Y27" s="1268" t="s">
        <v>752</v>
      </c>
      <c r="Z27" s="1259" t="s">
        <v>59</v>
      </c>
      <c r="AA27" s="1266" t="str">
        <f t="shared" si="0"/>
        <v>a</v>
      </c>
      <c r="AB27" s="1073" t="s">
        <v>1096</v>
      </c>
      <c r="AC27" s="572"/>
      <c r="AD27" s="572"/>
      <c r="AE27" s="572"/>
    </row>
    <row r="28" spans="1:31" ht="49.15" customHeight="1" x14ac:dyDescent="0.25">
      <c r="A28" s="926">
        <v>35</v>
      </c>
      <c r="B28" s="651" t="str">
        <f>IF(VLOOKUP(A28,'Données de base - Grunddaten'!$A$2:$M$273,5,FALSE)="","",VLOOKUP(A28,'Données de base - Grunddaten'!$A$2:$M$273,5,FALSE))</f>
        <v>GR</v>
      </c>
      <c r="C28" s="652" t="str">
        <f>IF(VLOOKUP(A28,'Données de base - Grunddaten'!$A$2:$M$273,3,FALSE)="","",VLOOKUP(A28,'Données de base - Grunddaten'!$A$2:$M$273,3,FALSE))</f>
        <v>Ogna da Pardiala</v>
      </c>
      <c r="D28" s="652" t="str">
        <f>IF(VLOOKUP(A28,'Données de base - Grunddaten'!$A$2:$M$273,4,FALSE)="","",VLOOKUP(A28,'Données de base - Grunddaten'!$A$2:$M$273,4,FALSE))</f>
        <v>Vorderrhein</v>
      </c>
      <c r="E28" s="653">
        <v>-35.145454545454548</v>
      </c>
      <c r="F28" s="653">
        <v>54.369993439708857</v>
      </c>
      <c r="G28" s="653">
        <v>89.545454545454547</v>
      </c>
      <c r="H28" s="654" t="s">
        <v>1078</v>
      </c>
      <c r="I28" s="655"/>
      <c r="J28" s="655" t="s">
        <v>1068</v>
      </c>
      <c r="K28" s="656"/>
      <c r="L28" s="657"/>
      <c r="M28" s="1159" t="s">
        <v>1973</v>
      </c>
      <c r="N28" s="1154" t="s">
        <v>43</v>
      </c>
      <c r="O28" s="1149" t="str">
        <f>VLOOKUP(A28,Strat_Plan_Revit!$A$10:$S$321,11,FALSE)</f>
        <v>gross</v>
      </c>
      <c r="P28" s="978" t="str">
        <f>VLOOKUP(A28,Strat_Plan_Revit!$A$10:$S$321,12,FALSE)</f>
        <v xml:space="preserve">gross/mittel/ - </v>
      </c>
      <c r="Q28" s="658" t="str">
        <f>VLOOKUP(A28,Strat_Plan_Revit!$A$10:$S$321,13,FALSE)</f>
        <v>hoch/gering</v>
      </c>
      <c r="R28" s="1166" t="s">
        <v>1973</v>
      </c>
      <c r="S28" s="1159" t="s">
        <v>1973</v>
      </c>
      <c r="T28" s="659" t="s">
        <v>59</v>
      </c>
      <c r="U28" s="1176"/>
      <c r="V28" s="660"/>
      <c r="W28" s="1135"/>
      <c r="X28" s="1187"/>
      <c r="Y28" s="1270" t="s">
        <v>1973</v>
      </c>
      <c r="Z28" s="1259" t="s">
        <v>59</v>
      </c>
      <c r="AA28" s="1266" t="str">
        <f t="shared" si="0"/>
        <v>a</v>
      </c>
      <c r="AC28" s="572"/>
      <c r="AD28" s="572"/>
      <c r="AE28" s="572"/>
    </row>
    <row r="29" spans="1:31" ht="148.15" customHeight="1" x14ac:dyDescent="0.25">
      <c r="A29" s="926">
        <v>36</v>
      </c>
      <c r="B29" s="651" t="str">
        <f>IF(VLOOKUP(A29,'Données de base - Grunddaten'!$A$2:$M$273,5,FALSE)="","",VLOOKUP(A29,'Données de base - Grunddaten'!$A$2:$M$273,5,FALSE))</f>
        <v>AG</v>
      </c>
      <c r="C29" s="652" t="str">
        <f>IF(VLOOKUP(A29,'Données de base - Grunddaten'!$A$2:$M$273,3,FALSE)="","",VLOOKUP(A29,'Données de base - Grunddaten'!$A$2:$M$273,3,FALSE))</f>
        <v>Auenreste Klingnauer Stausee</v>
      </c>
      <c r="D29" s="652" t="str">
        <f>IF(VLOOKUP(A29,'Données de base - Grunddaten'!$A$2:$M$273,4,FALSE)="","",VLOOKUP(A29,'Données de base - Grunddaten'!$A$2:$M$273,4,FALSE))</f>
        <v>Aare</v>
      </c>
      <c r="E29" s="653">
        <v>47.036363636363632</v>
      </c>
      <c r="F29" s="653">
        <v>58.414253610283616</v>
      </c>
      <c r="G29" s="653">
        <v>11.363636363636363</v>
      </c>
      <c r="H29" s="654" t="s">
        <v>1057</v>
      </c>
      <c r="I29" s="655"/>
      <c r="J29" s="655" t="s">
        <v>1064</v>
      </c>
      <c r="K29" s="656"/>
      <c r="L29" s="657"/>
      <c r="M29" s="1158" t="s">
        <v>1972</v>
      </c>
      <c r="N29" s="1154" t="s">
        <v>72</v>
      </c>
      <c r="O29" s="1149" t="str">
        <f>VLOOKUP(A29,Strat_Plan_Revit!$A$10:$S$321,11,FALSE)</f>
        <v>gross / mittel</v>
      </c>
      <c r="P29" s="978" t="str">
        <f>VLOOKUP(A29,Strat_Plan_Revit!$A$10:$S$321,12,FALSE)</f>
        <v>gross/gering</v>
      </c>
      <c r="Q29" s="658" t="str">
        <f>VLOOKUP(A29,Strat_Plan_Revit!$A$10:$S$321,13,FALSE)</f>
        <v>20 Jahre: 1. Drittel</v>
      </c>
      <c r="R29" s="1165" t="s">
        <v>1970</v>
      </c>
      <c r="S29" s="1156" t="s">
        <v>1970</v>
      </c>
      <c r="T29" s="659" t="s">
        <v>59</v>
      </c>
      <c r="U29" s="1176" t="s">
        <v>1062</v>
      </c>
      <c r="V29" s="660"/>
      <c r="W29" s="1136" t="s">
        <v>1972</v>
      </c>
      <c r="X29" s="1187" t="s">
        <v>1065</v>
      </c>
      <c r="Y29" s="1271" t="s">
        <v>1972</v>
      </c>
      <c r="Z29" s="1259" t="s">
        <v>368</v>
      </c>
      <c r="AA29" s="1266" t="str">
        <f t="shared" si="0"/>
        <v>b</v>
      </c>
      <c r="AC29" s="572"/>
      <c r="AD29" s="572"/>
      <c r="AE29" s="572"/>
    </row>
    <row r="30" spans="1:31" ht="102" x14ac:dyDescent="0.25">
      <c r="A30" s="926">
        <v>37</v>
      </c>
      <c r="B30" s="651" t="str">
        <f>IF(VLOOKUP(A30,'Données de base - Grunddaten'!$A$2:$M$273,5,FALSE)="","",VLOOKUP(A30,'Données de base - Grunddaten'!$A$2:$M$273,5,FALSE))</f>
        <v>AG</v>
      </c>
      <c r="C30" s="652" t="str">
        <f>IF(VLOOKUP(A30,'Données de base - Grunddaten'!$A$2:$M$273,3,FALSE)="","",VLOOKUP(A30,'Données de base - Grunddaten'!$A$2:$M$273,3,FALSE))</f>
        <v>Wasserschloss Brugg–Stilli</v>
      </c>
      <c r="D30" s="652" t="str">
        <f>IF(VLOOKUP(A30,'Données de base - Grunddaten'!$A$2:$M$273,4,FALSE)="","",VLOOKUP(A30,'Données de base - Grunddaten'!$A$2:$M$273,4,FALSE))</f>
        <v>Aare, Reuss</v>
      </c>
      <c r="E30" s="653">
        <v>6.5727272727272741</v>
      </c>
      <c r="F30" s="653">
        <v>9.3262553334303266</v>
      </c>
      <c r="G30" s="653">
        <v>2.7272727272727271</v>
      </c>
      <c r="H30" s="654" t="s">
        <v>1066</v>
      </c>
      <c r="I30" s="655"/>
      <c r="J30" s="655" t="s">
        <v>1059</v>
      </c>
      <c r="K30" s="656"/>
      <c r="L30" s="657"/>
      <c r="M30" s="1153" t="s">
        <v>1969</v>
      </c>
      <c r="N30" s="1154" t="s">
        <v>72</v>
      </c>
      <c r="O30" s="1149" t="str">
        <f>VLOOKUP(A30,Strat_Plan_Revit!$A$10:$S$321,11,FALSE)</f>
        <v>gross / mittel</v>
      </c>
      <c r="P30" s="978" t="str">
        <f>VLOOKUP(A30,Strat_Plan_Revit!$A$10:$S$321,12,FALSE)</f>
        <v>gering</v>
      </c>
      <c r="Q30" s="658" t="str">
        <f>VLOOKUP(A30,Strat_Plan_Revit!$A$10:$S$321,13,FALSE)</f>
        <v>-</v>
      </c>
      <c r="R30" s="1168" t="s">
        <v>1971</v>
      </c>
      <c r="S30" s="1157" t="s">
        <v>1971</v>
      </c>
      <c r="T30" s="659" t="s">
        <v>110</v>
      </c>
      <c r="U30" s="1176"/>
      <c r="V30" s="660"/>
      <c r="W30" s="1137" t="s">
        <v>1969</v>
      </c>
      <c r="X30" s="1187" t="s">
        <v>1067</v>
      </c>
      <c r="Y30" s="1272" t="s">
        <v>1969</v>
      </c>
      <c r="Z30" s="1259" t="s">
        <v>368</v>
      </c>
      <c r="AA30" s="1266" t="str">
        <f t="shared" si="0"/>
        <v>b</v>
      </c>
      <c r="AC30" s="572"/>
      <c r="AD30" s="572"/>
      <c r="AE30" s="572"/>
    </row>
    <row r="31" spans="1:31" ht="40.5" customHeight="1" x14ac:dyDescent="0.25">
      <c r="A31" s="926">
        <v>40</v>
      </c>
      <c r="B31" s="270" t="str">
        <f>IF(VLOOKUP(A31,'Données de base - Grunddaten'!$A$2:$M$273,5,FALSE)="","",VLOOKUP(A31,'Données de base - Grunddaten'!$A$2:$M$273,5,FALSE))</f>
        <v>AG</v>
      </c>
      <c r="C31" s="41" t="str">
        <f>IF(VLOOKUP(A31,'Données de base - Grunddaten'!$A$2:$M$273,3,FALSE)="","",VLOOKUP(A31,'Données de base - Grunddaten'!$A$2:$M$273,3,FALSE))</f>
        <v>Umiker Schachen–Stierenhölzli</v>
      </c>
      <c r="D31" s="41" t="str">
        <f>IF(VLOOKUP(A31,'Données de base - Grunddaten'!$A$2:$M$273,4,FALSE)="","",VLOOKUP(A31,'Données de base - Grunddaten'!$A$2:$M$273,4,FALSE))</f>
        <v>Aare</v>
      </c>
      <c r="E31" s="271">
        <v>-10</v>
      </c>
      <c r="F31" s="271">
        <v>0</v>
      </c>
      <c r="G31" s="271">
        <v>10</v>
      </c>
      <c r="H31" s="272" t="s">
        <v>1061</v>
      </c>
      <c r="I31" s="273"/>
      <c r="J31" s="273" t="s">
        <v>1068</v>
      </c>
      <c r="K31" s="274"/>
      <c r="L31" s="275"/>
      <c r="M31" s="1151" t="s">
        <v>723</v>
      </c>
      <c r="N31" s="1152" t="s">
        <v>72</v>
      </c>
      <c r="O31" s="1148" t="str">
        <f>VLOOKUP(A31,Strat_Plan_Revit!$A$10:$S$321,11,FALSE)</f>
        <v>gross / mittel</v>
      </c>
      <c r="P31" s="977" t="str">
        <f>VLOOKUP(A31,Strat_Plan_Revit!$A$10:$S$321,12,FALSE)</f>
        <v>gross / mittel</v>
      </c>
      <c r="Q31" s="277" t="str">
        <f>VLOOKUP(A31,Strat_Plan_Revit!$A$10:$S$321,13,FALSE)</f>
        <v>20 Jahre: 2. Drittel</v>
      </c>
      <c r="R31" s="1162" t="s">
        <v>723</v>
      </c>
      <c r="S31" s="1173" t="s">
        <v>723</v>
      </c>
      <c r="T31" s="278" t="s">
        <v>59</v>
      </c>
      <c r="U31" s="1174"/>
      <c r="V31" s="282"/>
      <c r="W31" s="449" t="s">
        <v>737</v>
      </c>
      <c r="X31" s="97" t="s">
        <v>1069</v>
      </c>
      <c r="Y31" s="1273" t="s">
        <v>737</v>
      </c>
      <c r="Z31" s="1258" t="s">
        <v>368</v>
      </c>
      <c r="AA31" s="1266" t="str">
        <f t="shared" si="0"/>
        <v>b</v>
      </c>
      <c r="AB31" s="1074" t="s">
        <v>1102</v>
      </c>
      <c r="AC31" s="572"/>
      <c r="AD31" s="572"/>
      <c r="AE31" s="572"/>
    </row>
    <row r="32" spans="1:31" ht="40.5" customHeight="1" x14ac:dyDescent="0.25">
      <c r="A32" s="926">
        <v>44</v>
      </c>
      <c r="B32" s="270" t="str">
        <f>IF(VLOOKUP(A32,'Données de base - Grunddaten'!$A$2:$M$273,5,FALSE)="","",VLOOKUP(A32,'Données de base - Grunddaten'!$A$2:$M$273,5,FALSE))</f>
        <v>BE</v>
      </c>
      <c r="C32" s="41" t="str">
        <f>IF(VLOOKUP(A32,'Données de base - Grunddaten'!$A$2:$M$273,3,FALSE)="","",VLOOKUP(A32,'Données de base - Grunddaten'!$A$2:$M$273,3,FALSE))</f>
        <v>Oberburger Schachen</v>
      </c>
      <c r="D32" s="41" t="str">
        <f>IF(VLOOKUP(A32,'Données de base - Grunddaten'!$A$2:$M$273,4,FALSE)="","",VLOOKUP(A32,'Données de base - Grunddaten'!$A$2:$M$273,4,FALSE))</f>
        <v>Emme</v>
      </c>
      <c r="E32" s="271">
        <v>76.763636363636365</v>
      </c>
      <c r="F32" s="271">
        <v>80.376799100354035</v>
      </c>
      <c r="G32" s="271">
        <v>3.6363636363636362</v>
      </c>
      <c r="H32" s="272" t="s">
        <v>1057</v>
      </c>
      <c r="I32" s="273" t="s">
        <v>1058</v>
      </c>
      <c r="J32" s="273" t="s">
        <v>1068</v>
      </c>
      <c r="K32" s="274"/>
      <c r="L32" s="275"/>
      <c r="M32" s="1151" t="s">
        <v>737</v>
      </c>
      <c r="N32" s="1152" t="s">
        <v>43</v>
      </c>
      <c r="O32" s="1148" t="str">
        <f>VLOOKUP(A32,Strat_Plan_Revit!$A$10:$S$321,11,FALSE)</f>
        <v>gross</v>
      </c>
      <c r="P32" s="977" t="str">
        <f>VLOOKUP(A32,Strat_Plan_Revit!$A$10:$S$321,12,FALSE)</f>
        <v>gross</v>
      </c>
      <c r="Q32" s="277" t="str">
        <f>VLOOKUP(A32,Strat_Plan_Revit!$A$10:$S$321,13,FALSE)</f>
        <v>hoch</v>
      </c>
      <c r="R32" s="1162" t="s">
        <v>737</v>
      </c>
      <c r="S32" s="1173" t="s">
        <v>737</v>
      </c>
      <c r="T32" s="278" t="s">
        <v>59</v>
      </c>
      <c r="U32" s="1174"/>
      <c r="V32" s="282"/>
      <c r="W32" s="448"/>
      <c r="X32" s="97" t="s">
        <v>1085</v>
      </c>
      <c r="Y32" s="1265" t="s">
        <v>738</v>
      </c>
      <c r="Z32" s="1258" t="s">
        <v>368</v>
      </c>
      <c r="AA32" s="1266" t="s">
        <v>43</v>
      </c>
      <c r="AC32" s="572"/>
      <c r="AD32" s="572"/>
      <c r="AE32" s="572"/>
    </row>
    <row r="33" spans="1:31" ht="40.5" customHeight="1" x14ac:dyDescent="0.25">
      <c r="A33" s="926">
        <v>45</v>
      </c>
      <c r="B33" s="270" t="str">
        <f>IF(VLOOKUP(A33,'Données de base - Grunddaten'!$A$2:$M$273,5,FALSE)="","",VLOOKUP(A33,'Données de base - Grunddaten'!$A$2:$M$273,5,FALSE))</f>
        <v>SO</v>
      </c>
      <c r="C33" s="41" t="str">
        <f>IF(VLOOKUP(A33,'Données de base - Grunddaten'!$A$2:$M$273,3,FALSE)="","",VLOOKUP(A33,'Données de base - Grunddaten'!$A$2:$M$273,3,FALSE))</f>
        <v>Emmenschachen</v>
      </c>
      <c r="D33" s="41" t="str">
        <f>IF(VLOOKUP(A33,'Données de base - Grunddaten'!$A$2:$M$273,4,FALSE)="","",VLOOKUP(A33,'Données de base - Grunddaten'!$A$2:$M$273,4,FALSE))</f>
        <v>Aare, Emme</v>
      </c>
      <c r="E33" s="271">
        <v>52.63636363636364</v>
      </c>
      <c r="F33" s="271">
        <v>64.010123691815977</v>
      </c>
      <c r="G33" s="271">
        <v>11.363636363636363</v>
      </c>
      <c r="H33" s="272" t="s">
        <v>1057</v>
      </c>
      <c r="I33" s="273"/>
      <c r="J33" s="273" t="s">
        <v>1068</v>
      </c>
      <c r="K33" s="274"/>
      <c r="L33" s="275"/>
      <c r="M33" s="1151" t="s">
        <v>737</v>
      </c>
      <c r="N33" s="1152" t="s">
        <v>43</v>
      </c>
      <c r="O33" s="1148" t="str">
        <f>VLOOKUP(A33,Strat_Plan_Revit!$A$10:$S$321,11,FALSE)</f>
        <v>gross</v>
      </c>
      <c r="P33" s="977" t="str">
        <f>VLOOKUP(A33,Strat_Plan_Revit!$A$10:$S$321,12,FALSE)</f>
        <v>gross</v>
      </c>
      <c r="Q33" s="277" t="str">
        <f>VLOOKUP(A33,Strat_Plan_Revit!$A$10:$S$321,13,FALSE)</f>
        <v>Umsetzung in den nächsten 20 Jahren</v>
      </c>
      <c r="R33" s="1162" t="s">
        <v>737</v>
      </c>
      <c r="S33" s="1173" t="s">
        <v>737</v>
      </c>
      <c r="T33" s="278" t="s">
        <v>59</v>
      </c>
      <c r="U33" s="1174"/>
      <c r="V33" s="282"/>
      <c r="W33" s="448"/>
      <c r="X33" s="97" t="s">
        <v>1171</v>
      </c>
      <c r="Y33" s="1265" t="s">
        <v>737</v>
      </c>
      <c r="Z33" s="1258" t="s">
        <v>59</v>
      </c>
      <c r="AA33" s="1266" t="str">
        <f t="shared" si="0"/>
        <v>a</v>
      </c>
      <c r="AB33" s="1074" t="s">
        <v>1103</v>
      </c>
      <c r="AC33" s="572"/>
      <c r="AD33" s="572"/>
      <c r="AE33" s="572"/>
    </row>
    <row r="34" spans="1:31" ht="40.5" customHeight="1" x14ac:dyDescent="0.25">
      <c r="A34" s="926">
        <v>46</v>
      </c>
      <c r="B34" s="270" t="str">
        <f>IF(VLOOKUP(A34,'Données de base - Grunddaten'!$A$2:$M$273,5,FALSE)="","",VLOOKUP(A34,'Données de base - Grunddaten'!$A$2:$M$273,5,FALSE))</f>
        <v>BE</v>
      </c>
      <c r="C34" s="41" t="str">
        <f>IF(VLOOKUP(A34,'Données de base - Grunddaten'!$A$2:$M$273,3,FALSE)="","",VLOOKUP(A34,'Données de base - Grunddaten'!$A$2:$M$273,3,FALSE))</f>
        <v>Utzenstorfer Schachen</v>
      </c>
      <c r="D34" s="41" t="str">
        <f>IF(VLOOKUP(A34,'Données de base - Grunddaten'!$A$2:$M$273,4,FALSE)="","",VLOOKUP(A34,'Données de base - Grunddaten'!$A$2:$M$273,4,FALSE))</f>
        <v>Emme</v>
      </c>
      <c r="E34" s="271">
        <v>85.8</v>
      </c>
      <c r="F34" s="271">
        <v>85.833333333333343</v>
      </c>
      <c r="G34" s="271">
        <v>0</v>
      </c>
      <c r="H34" s="272" t="s">
        <v>1057</v>
      </c>
      <c r="I34" s="273"/>
      <c r="J34" s="273" t="s">
        <v>1068</v>
      </c>
      <c r="K34" s="274"/>
      <c r="L34" s="275"/>
      <c r="M34" s="1151" t="s">
        <v>737</v>
      </c>
      <c r="N34" s="1152" t="s">
        <v>43</v>
      </c>
      <c r="O34" s="1148" t="str">
        <f>VLOOKUP(A34,Strat_Plan_Revit!$A$10:$S$321,11,FALSE)</f>
        <v>gross</v>
      </c>
      <c r="P34" s="977" t="str">
        <f>VLOOKUP(A34,Strat_Plan_Revit!$A$10:$S$321,12,FALSE)</f>
        <v>gross</v>
      </c>
      <c r="Q34" s="277" t="str">
        <f>VLOOKUP(A34,Strat_Plan_Revit!$A$10:$S$321,13,FALSE)</f>
        <v>hoch</v>
      </c>
      <c r="R34" s="1162" t="s">
        <v>737</v>
      </c>
      <c r="S34" s="1173" t="s">
        <v>737</v>
      </c>
      <c r="T34" s="278" t="s">
        <v>59</v>
      </c>
      <c r="U34" s="1174"/>
      <c r="V34" s="282"/>
      <c r="W34" s="448"/>
      <c r="X34" s="97" t="s">
        <v>1086</v>
      </c>
      <c r="Y34" s="1265" t="s">
        <v>738</v>
      </c>
      <c r="Z34" s="1258" t="s">
        <v>368</v>
      </c>
      <c r="AA34" s="1266" t="s">
        <v>43</v>
      </c>
      <c r="AB34" s="1074" t="s">
        <v>1103</v>
      </c>
      <c r="AC34" s="572"/>
      <c r="AD34" s="572"/>
      <c r="AE34" s="572"/>
    </row>
    <row r="35" spans="1:31" ht="40.5" customHeight="1" x14ac:dyDescent="0.25">
      <c r="A35" s="927">
        <v>47.1</v>
      </c>
      <c r="B35" s="270" t="str">
        <f>IF(VLOOKUP(A35,'Données de base - Grunddaten'!$A$2:$M$273,5,FALSE)="","",VLOOKUP(A35,'Données de base - Grunddaten'!$A$2:$M$273,5,FALSE))</f>
        <v>BE</v>
      </c>
      <c r="C35" s="41" t="str">
        <f>IF(VLOOKUP(A35,'Données de base - Grunddaten'!$A$2:$M$273,3,FALSE)="","",VLOOKUP(A35,'Données de base - Grunddaten'!$A$2:$M$273,3,FALSE))</f>
        <v>Altwässer der Aare und der Zihl</v>
      </c>
      <c r="D35" s="41" t="str">
        <f>IF(VLOOKUP(A35,'Données de base - Grunddaten'!$A$2:$M$273,4,FALSE)="","",VLOOKUP(A35,'Données de base - Grunddaten'!$A$2:$M$273,4,FALSE))</f>
        <v>Aare</v>
      </c>
      <c r="E35" s="271">
        <v>55.25454545454545</v>
      </c>
      <c r="F35" s="271">
        <v>64.845773488511327</v>
      </c>
      <c r="G35" s="271">
        <v>9.545454545454545</v>
      </c>
      <c r="H35" s="272"/>
      <c r="I35" s="279"/>
      <c r="J35" s="279"/>
      <c r="K35" s="280" t="s">
        <v>1066</v>
      </c>
      <c r="L35" s="281" t="s">
        <v>1087</v>
      </c>
      <c r="M35" s="1151" t="s">
        <v>738</v>
      </c>
      <c r="N35" s="1152" t="s">
        <v>72</v>
      </c>
      <c r="O35" s="1148" t="str">
        <f>VLOOKUP(A35,Strat_Plan_Revit!$A$10:$S$321,11,FALSE)</f>
        <v>gross</v>
      </c>
      <c r="P35" s="977" t="str">
        <f>VLOOKUP(A35,Strat_Plan_Revit!$A$10:$S$321,12,FALSE)</f>
        <v>gross/mittel</v>
      </c>
      <c r="Q35" s="277" t="str">
        <f>VLOOKUP(A35,Strat_Plan_Revit!$A$10:$S$321,13,FALSE)</f>
        <v>hoch / mittel</v>
      </c>
      <c r="R35" s="1169"/>
      <c r="S35" s="1173" t="s">
        <v>738</v>
      </c>
      <c r="T35" s="278" t="s">
        <v>72</v>
      </c>
      <c r="U35" s="1174"/>
      <c r="V35" s="282"/>
      <c r="W35" s="448"/>
      <c r="X35" s="97" t="s">
        <v>1088</v>
      </c>
      <c r="Y35" s="1265" t="s">
        <v>738</v>
      </c>
      <c r="Z35" s="1260" t="s">
        <v>72</v>
      </c>
      <c r="AA35" s="1266" t="str">
        <f t="shared" si="0"/>
        <v>b</v>
      </c>
      <c r="AB35" s="1074" t="s">
        <v>1103</v>
      </c>
      <c r="AC35" s="572"/>
      <c r="AD35" s="572"/>
      <c r="AE35" s="572"/>
    </row>
    <row r="36" spans="1:31" ht="40.5" customHeight="1" x14ac:dyDescent="0.25">
      <c r="A36" s="927">
        <v>47.2</v>
      </c>
      <c r="B36" s="270" t="str">
        <f>IF(VLOOKUP(A36,'Données de base - Grunddaten'!$A$2:$M$273,5,FALSE)="","",VLOOKUP(A36,'Données de base - Grunddaten'!$A$2:$M$273,5,FALSE))</f>
        <v>BE</v>
      </c>
      <c r="C36" s="41" t="str">
        <f>IF(VLOOKUP(A36,'Données de base - Grunddaten'!$A$2:$M$273,3,FALSE)="","",VLOOKUP(A36,'Données de base - Grunddaten'!$A$2:$M$273,3,FALSE))</f>
        <v>Altwässer der Aare und der Zihl</v>
      </c>
      <c r="D36" s="41" t="str">
        <f>IF(VLOOKUP(A36,'Données de base - Grunddaten'!$A$2:$M$273,4,FALSE)="","",VLOOKUP(A36,'Données de base - Grunddaten'!$A$2:$M$273,4,FALSE))</f>
        <v>Aare</v>
      </c>
      <c r="E36" s="271"/>
      <c r="F36" s="271"/>
      <c r="G36" s="271"/>
      <c r="H36" s="272"/>
      <c r="I36" s="279"/>
      <c r="J36" s="279"/>
      <c r="K36" s="280" t="s">
        <v>1057</v>
      </c>
      <c r="L36" s="281" t="s">
        <v>1090</v>
      </c>
      <c r="M36" s="1151" t="s">
        <v>752</v>
      </c>
      <c r="N36" s="1152" t="s">
        <v>72</v>
      </c>
      <c r="O36" s="1148">
        <f>VLOOKUP(A36,Strat_Plan_Revit!$A$10:$S$321,11,FALSE)</f>
        <v>0</v>
      </c>
      <c r="P36" s="977">
        <f>VLOOKUP(A36,Strat_Plan_Revit!$A$10:$S$321,12,FALSE)</f>
        <v>0</v>
      </c>
      <c r="Q36" s="277">
        <f>VLOOKUP(A36,Strat_Plan_Revit!$A$10:$S$321,13,FALSE)</f>
        <v>0</v>
      </c>
      <c r="R36" s="1162" t="s">
        <v>738</v>
      </c>
      <c r="S36" s="1173" t="s">
        <v>738</v>
      </c>
      <c r="T36" s="278" t="s">
        <v>110</v>
      </c>
      <c r="U36" s="1174"/>
      <c r="V36" s="282"/>
      <c r="W36" s="448"/>
      <c r="X36" s="97" t="s">
        <v>1088</v>
      </c>
      <c r="Y36" s="1265" t="s">
        <v>738</v>
      </c>
      <c r="Z36" s="1258" t="s">
        <v>110</v>
      </c>
      <c r="AA36" s="1266" t="str">
        <f t="shared" si="0"/>
        <v>a</v>
      </c>
      <c r="AC36" s="572"/>
      <c r="AD36" s="572"/>
      <c r="AE36" s="572"/>
    </row>
    <row r="37" spans="1:31" ht="40.5" customHeight="1" x14ac:dyDescent="0.25">
      <c r="A37" s="926">
        <v>48</v>
      </c>
      <c r="B37" s="270" t="str">
        <f>IF(VLOOKUP(A37,'Données de base - Grunddaten'!$A$2:$M$273,5,FALSE)="","",VLOOKUP(A37,'Données de base - Grunddaten'!$A$2:$M$273,5,FALSE))</f>
        <v>BE</v>
      </c>
      <c r="C37" s="41" t="str">
        <f>IF(VLOOKUP(A37,'Données de base - Grunddaten'!$A$2:$M$273,3,FALSE)="","",VLOOKUP(A37,'Données de base - Grunddaten'!$A$2:$M$273,3,FALSE))</f>
        <v>Alte Aare: Lyss–Dotzigen</v>
      </c>
      <c r="D37" s="41" t="str">
        <f>IF(VLOOKUP(A37,'Données de base - Grunddaten'!$A$2:$M$273,4,FALSE)="","",VLOOKUP(A37,'Données de base - Grunddaten'!$A$2:$M$273,4,FALSE))</f>
        <v>Alte Aare</v>
      </c>
      <c r="E37" s="271">
        <v>-56.81818181818182</v>
      </c>
      <c r="F37" s="271">
        <v>0</v>
      </c>
      <c r="G37" s="271">
        <v>56.81818181818182</v>
      </c>
      <c r="H37" s="272" t="s">
        <v>1061</v>
      </c>
      <c r="I37" s="273"/>
      <c r="J37" s="273" t="s">
        <v>1059</v>
      </c>
      <c r="K37" s="274"/>
      <c r="L37" s="275"/>
      <c r="M37" s="1151" t="s">
        <v>720</v>
      </c>
      <c r="N37" s="1152" t="s">
        <v>72</v>
      </c>
      <c r="O37" s="1148" t="str">
        <f>VLOOKUP(A37,Strat_Plan_Revit!$A$10:$S$321,11,FALSE)</f>
        <v>gross</v>
      </c>
      <c r="P37" s="977" t="str">
        <f>VLOOKUP(A37,Strat_Plan_Revit!$A$10:$S$321,12,FALSE)</f>
        <v>gross</v>
      </c>
      <c r="Q37" s="277" t="str">
        <f>VLOOKUP(A37,Strat_Plan_Revit!$A$10:$S$321,13,FALSE)</f>
        <v>hoch</v>
      </c>
      <c r="R37" s="1162" t="s">
        <v>737</v>
      </c>
      <c r="S37" s="1173" t="s">
        <v>737</v>
      </c>
      <c r="T37" s="278" t="s">
        <v>110</v>
      </c>
      <c r="U37" s="1174"/>
      <c r="V37" s="282"/>
      <c r="W37" s="448"/>
      <c r="X37" s="97" t="s">
        <v>1092</v>
      </c>
      <c r="Y37" s="1265" t="s">
        <v>737</v>
      </c>
      <c r="Z37" s="1258" t="s">
        <v>110</v>
      </c>
      <c r="AA37" s="1266" t="str">
        <f t="shared" si="0"/>
        <v>a</v>
      </c>
      <c r="AB37" s="1074" t="s">
        <v>1107</v>
      </c>
      <c r="AC37" s="572"/>
      <c r="AD37" s="572"/>
      <c r="AE37" s="572"/>
    </row>
    <row r="38" spans="1:31" ht="40.5" customHeight="1" x14ac:dyDescent="0.25">
      <c r="A38" s="926">
        <v>49</v>
      </c>
      <c r="B38" s="270" t="str">
        <f>IF(VLOOKUP(A38,'Données de base - Grunddaten'!$A$2:$M$273,5,FALSE)="","",VLOOKUP(A38,'Données de base - Grunddaten'!$A$2:$M$273,5,FALSE))</f>
        <v>BE</v>
      </c>
      <c r="C38" s="41" t="str">
        <f>IF(VLOOKUP(A38,'Données de base - Grunddaten'!$A$2:$M$273,3,FALSE)="","",VLOOKUP(A38,'Données de base - Grunddaten'!$A$2:$M$273,3,FALSE))</f>
        <v>Alte Aare: Aarberg–Lyss</v>
      </c>
      <c r="D38" s="41" t="str">
        <f>IF(VLOOKUP(A38,'Données de base - Grunddaten'!$A$2:$M$273,4,FALSE)="","",VLOOKUP(A38,'Données de base - Grunddaten'!$A$2:$M$273,4,FALSE))</f>
        <v>Alte Aare</v>
      </c>
      <c r="E38" s="271">
        <v>-19.309090909090912</v>
      </c>
      <c r="F38" s="271">
        <v>6.6464047523348038</v>
      </c>
      <c r="G38" s="271">
        <v>25.90909090909091</v>
      </c>
      <c r="H38" s="272" t="s">
        <v>1072</v>
      </c>
      <c r="I38" s="273"/>
      <c r="J38" s="273" t="s">
        <v>1064</v>
      </c>
      <c r="K38" s="274"/>
      <c r="L38" s="275"/>
      <c r="M38" s="1151" t="s">
        <v>720</v>
      </c>
      <c r="N38" s="1152" t="s">
        <v>72</v>
      </c>
      <c r="O38" s="1148" t="str">
        <f>VLOOKUP(A38,Strat_Plan_Revit!$A$10:$S$321,11,FALSE)</f>
        <v>gross</v>
      </c>
      <c r="P38" s="977" t="str">
        <f>VLOOKUP(A38,Strat_Plan_Revit!$A$10:$S$321,12,FALSE)</f>
        <v>gross</v>
      </c>
      <c r="Q38" s="277" t="str">
        <f>VLOOKUP(A38,Strat_Plan_Revit!$A$10:$S$321,13,FALSE)</f>
        <v>hoch</v>
      </c>
      <c r="R38" s="1162" t="s">
        <v>737</v>
      </c>
      <c r="S38" s="1173" t="s">
        <v>737</v>
      </c>
      <c r="T38" s="278" t="s">
        <v>110</v>
      </c>
      <c r="U38" s="1174"/>
      <c r="V38" s="282"/>
      <c r="W38" s="448"/>
      <c r="X38" s="97" t="s">
        <v>1092</v>
      </c>
      <c r="Y38" s="1265" t="s">
        <v>737</v>
      </c>
      <c r="Z38" s="1258" t="s">
        <v>110</v>
      </c>
      <c r="AA38" s="1266" t="str">
        <f t="shared" si="0"/>
        <v>a</v>
      </c>
      <c r="AB38" s="1074"/>
      <c r="AC38" s="572"/>
      <c r="AD38" s="572"/>
      <c r="AE38" s="572"/>
    </row>
    <row r="39" spans="1:31" ht="40.5" customHeight="1" x14ac:dyDescent="0.25">
      <c r="A39" s="926">
        <v>50</v>
      </c>
      <c r="B39" s="270" t="str">
        <f>IF(VLOOKUP(A39,'Données de base - Grunddaten'!$A$2:$M$273,5,FALSE)="","",VLOOKUP(A39,'Données de base - Grunddaten'!$A$2:$M$273,5,FALSE))</f>
        <v>VD</v>
      </c>
      <c r="C39" s="41" t="str">
        <f>IF(VLOOKUP(A39,'Données de base - Grunddaten'!$A$2:$M$273,3,FALSE)="","",VLOOKUP(A39,'Données de base - Grunddaten'!$A$2:$M$273,3,FALSE))</f>
        <v>Sagnes de la Burtignière</v>
      </c>
      <c r="D39" s="41" t="str">
        <f>IF(VLOOKUP(A39,'Données de base - Grunddaten'!$A$2:$M$273,4,FALSE)="","",VLOOKUP(A39,'Données de base - Grunddaten'!$A$2:$M$273,4,FALSE))</f>
        <v>L'Orbe</v>
      </c>
      <c r="E39" s="271">
        <v>-25</v>
      </c>
      <c r="F39" s="271">
        <v>0</v>
      </c>
      <c r="G39" s="271">
        <v>25</v>
      </c>
      <c r="H39" s="272" t="s">
        <v>1061</v>
      </c>
      <c r="I39" s="273"/>
      <c r="J39" s="273" t="s">
        <v>1068</v>
      </c>
      <c r="K39" s="274"/>
      <c r="L39" s="275"/>
      <c r="M39" s="1151" t="s">
        <v>752</v>
      </c>
      <c r="N39" s="1152" t="s">
        <v>43</v>
      </c>
      <c r="O39" s="1148" t="str">
        <f>VLOOKUP(A39,Strat_Plan_Revit!$A$10:$S$321,11,FALSE)</f>
        <v>élevé</v>
      </c>
      <c r="P39" s="977" t="str">
        <f>VLOOKUP(A39,Strat_Plan_Revit!$A$10:$S$321,12,FALSE)</f>
        <v>faible</v>
      </c>
      <c r="Q39" s="277" t="str">
        <f>VLOOKUP(A39,Strat_Plan_Revit!$A$10:$S$321,13,FALSE)</f>
        <v>nulle à faible</v>
      </c>
      <c r="R39" s="1162" t="s">
        <v>752</v>
      </c>
      <c r="S39" s="1173" t="s">
        <v>752</v>
      </c>
      <c r="T39" s="278" t="s">
        <v>59</v>
      </c>
      <c r="U39" s="1174"/>
      <c r="V39" s="282"/>
      <c r="W39" s="341"/>
      <c r="X39" s="97"/>
      <c r="Y39" s="1265" t="s">
        <v>752</v>
      </c>
      <c r="Z39" s="1258" t="s">
        <v>59</v>
      </c>
      <c r="AA39" s="1266" t="str">
        <f t="shared" si="0"/>
        <v>a</v>
      </c>
      <c r="AC39" s="572"/>
      <c r="AD39" s="572"/>
      <c r="AE39" s="572"/>
    </row>
    <row r="40" spans="1:31" ht="40.5" customHeight="1" x14ac:dyDescent="0.25">
      <c r="A40" s="926">
        <v>51</v>
      </c>
      <c r="B40" s="270" t="str">
        <f>IF(VLOOKUP(A40,'Données de base - Grunddaten'!$A$2:$M$273,5,FALSE)="","",VLOOKUP(A40,'Données de base - Grunddaten'!$A$2:$M$273,5,FALSE))</f>
        <v>AG</v>
      </c>
      <c r="C40" s="41" t="str">
        <f>IF(VLOOKUP(A40,'Données de base - Grunddaten'!$A$2:$M$273,3,FALSE)="","",VLOOKUP(A40,'Données de base - Grunddaten'!$A$2:$M$273,3,FALSE))</f>
        <v>Reussinsel Risi</v>
      </c>
      <c r="D40" s="41" t="str">
        <f>IF(VLOOKUP(A40,'Données de base - Grunddaten'!$A$2:$M$273,4,FALSE)="","",VLOOKUP(A40,'Données de base - Grunddaten'!$A$2:$M$273,4,FALSE))</f>
        <v>Reuss</v>
      </c>
      <c r="E40" s="271">
        <v>-1.8181818181818181</v>
      </c>
      <c r="F40" s="271">
        <v>0</v>
      </c>
      <c r="G40" s="271">
        <v>1.8181818181818181</v>
      </c>
      <c r="H40" s="272" t="s">
        <v>1061</v>
      </c>
      <c r="I40" s="273"/>
      <c r="J40" s="273" t="s">
        <v>1059</v>
      </c>
      <c r="K40" s="274"/>
      <c r="L40" s="275"/>
      <c r="M40" s="1151" t="s">
        <v>720</v>
      </c>
      <c r="N40" s="1152" t="s">
        <v>72</v>
      </c>
      <c r="O40" s="1148" t="str">
        <f>VLOOKUP(A40,Strat_Plan_Revit!$A$10:$S$321,11,FALSE)</f>
        <v>gross</v>
      </c>
      <c r="P40" s="977" t="str">
        <f>VLOOKUP(A40,Strat_Plan_Revit!$A$10:$S$321,12,FALSE)</f>
        <v>gering</v>
      </c>
      <c r="Q40" s="277" t="str">
        <f>VLOOKUP(A40,Strat_Plan_Revit!$A$10:$S$321,13,FALSE)</f>
        <v>-</v>
      </c>
      <c r="R40" s="1162" t="s">
        <v>752</v>
      </c>
      <c r="S40" s="1178" t="s">
        <v>752</v>
      </c>
      <c r="T40" s="278" t="s">
        <v>110</v>
      </c>
      <c r="U40" s="1174"/>
      <c r="V40" s="282"/>
      <c r="W40" s="1139"/>
      <c r="X40" s="1189" t="s">
        <v>1070</v>
      </c>
      <c r="Y40" s="1274" t="s">
        <v>752</v>
      </c>
      <c r="Z40" s="1258" t="s">
        <v>110</v>
      </c>
      <c r="AA40" s="1266" t="str">
        <f t="shared" si="0"/>
        <v>a</v>
      </c>
      <c r="AC40" s="572"/>
      <c r="AD40" s="572"/>
      <c r="AE40" s="572"/>
    </row>
    <row r="41" spans="1:31" ht="40.5" customHeight="1" x14ac:dyDescent="0.25">
      <c r="A41" s="926">
        <v>52</v>
      </c>
      <c r="B41" s="270" t="str">
        <f>IF(VLOOKUP(A41,'Données de base - Grunddaten'!$A$2:$M$273,5,FALSE)="","",VLOOKUP(A41,'Données de base - Grunddaten'!$A$2:$M$273,5,FALSE))</f>
        <v>FR/VD</v>
      </c>
      <c r="C41" s="41" t="str">
        <f>IF(VLOOKUP(A41,'Données de base - Grunddaten'!$A$2:$M$273,3,FALSE)="","",VLOOKUP(A41,'Données de base - Grunddaten'!$A$2:$M$273,3,FALSE))</f>
        <v>Les Iles de Villeneuve</v>
      </c>
      <c r="D41" s="41" t="str">
        <f>IF(VLOOKUP(A41,'Données de base - Grunddaten'!$A$2:$M$273,4,FALSE)="","",VLOOKUP(A41,'Données de base - Grunddaten'!$A$2:$M$273,4,FALSE))</f>
        <v>La Broye</v>
      </c>
      <c r="E41" s="271">
        <v>81.936363636363637</v>
      </c>
      <c r="F41" s="271">
        <v>83.333333333333343</v>
      </c>
      <c r="G41" s="271">
        <v>1.3636363636363635</v>
      </c>
      <c r="H41" s="272" t="s">
        <v>1057</v>
      </c>
      <c r="I41" s="273"/>
      <c r="J41" s="273" t="s">
        <v>1064</v>
      </c>
      <c r="K41" s="274"/>
      <c r="L41" s="275"/>
      <c r="M41" s="1151" t="s">
        <v>737</v>
      </c>
      <c r="N41" s="1152" t="s">
        <v>43</v>
      </c>
      <c r="O41" s="1148" t="s">
        <v>1870</v>
      </c>
      <c r="P41" s="977" t="s">
        <v>1871</v>
      </c>
      <c r="Q41" s="277" t="s">
        <v>1872</v>
      </c>
      <c r="R41" s="1162" t="s">
        <v>737</v>
      </c>
      <c r="S41" s="1173" t="s">
        <v>737</v>
      </c>
      <c r="T41" s="278" t="s">
        <v>59</v>
      </c>
      <c r="U41" s="1174"/>
      <c r="V41" s="282"/>
      <c r="W41" s="448"/>
      <c r="X41" s="97" t="s">
        <v>1141</v>
      </c>
      <c r="Y41" s="1265" t="s">
        <v>737</v>
      </c>
      <c r="Z41" s="1258" t="s">
        <v>59</v>
      </c>
      <c r="AA41" s="1266" t="str">
        <f t="shared" si="0"/>
        <v>a</v>
      </c>
      <c r="AB41" s="1074"/>
      <c r="AC41" s="572"/>
      <c r="AD41" s="572"/>
      <c r="AE41" s="572"/>
    </row>
    <row r="42" spans="1:31" ht="40.5" customHeight="1" x14ac:dyDescent="0.25">
      <c r="A42" s="926">
        <v>53</v>
      </c>
      <c r="B42" s="270" t="str">
        <f>IF(VLOOKUP(A42,'Données de base - Grunddaten'!$A$2:$M$273,5,FALSE)="","",VLOOKUP(A42,'Données de base - Grunddaten'!$A$2:$M$273,5,FALSE))</f>
        <v>BE</v>
      </c>
      <c r="C42" s="41" t="str">
        <f>IF(VLOOKUP(A42,'Données de base - Grunddaten'!$A$2:$M$273,3,FALSE)="","",VLOOKUP(A42,'Données de base - Grunddaten'!$A$2:$M$273,3,FALSE))</f>
        <v>Niederried–Oltigenmatt</v>
      </c>
      <c r="D42" s="41" t="str">
        <f>IF(VLOOKUP(A42,'Données de base - Grunddaten'!$A$2:$M$273,4,FALSE)="","",VLOOKUP(A42,'Données de base - Grunddaten'!$A$2:$M$273,4,FALSE))</f>
        <v>Aare, Saane</v>
      </c>
      <c r="E42" s="271">
        <v>12.890909090909091</v>
      </c>
      <c r="F42" s="271">
        <v>18.842301719776469</v>
      </c>
      <c r="G42" s="271">
        <v>5.9090909090909092</v>
      </c>
      <c r="H42" s="272" t="s">
        <v>1066</v>
      </c>
      <c r="I42" s="273"/>
      <c r="J42" s="273" t="s">
        <v>1064</v>
      </c>
      <c r="K42" s="274"/>
      <c r="L42" s="275"/>
      <c r="M42" s="1151" t="s">
        <v>737</v>
      </c>
      <c r="N42" s="1152" t="s">
        <v>72</v>
      </c>
      <c r="O42" s="1148" t="str">
        <f>VLOOKUP(A42,Strat_Plan_Revit!$A$10:$S$321,11,FALSE)</f>
        <v>gross</v>
      </c>
      <c r="P42" s="977" t="str">
        <f>VLOOKUP(A42,Strat_Plan_Revit!$A$10:$S$321,12,FALSE)</f>
        <v>gross/gering</v>
      </c>
      <c r="Q42" s="277" t="str">
        <f>VLOOKUP(A42,Strat_Plan_Revit!$A$10:$S$321,13,FALSE)</f>
        <v>hoch (nur im oberen Teil der Aue)</v>
      </c>
      <c r="R42" s="1162" t="s">
        <v>737</v>
      </c>
      <c r="S42" s="1173" t="s">
        <v>737</v>
      </c>
      <c r="T42" s="278" t="s">
        <v>59</v>
      </c>
      <c r="U42" s="1174"/>
      <c r="V42" s="282"/>
      <c r="W42" s="448"/>
      <c r="X42" s="97" t="s">
        <v>1093</v>
      </c>
      <c r="Y42" s="1265" t="s">
        <v>737</v>
      </c>
      <c r="Z42" s="1258" t="s">
        <v>59</v>
      </c>
      <c r="AA42" s="1266" t="str">
        <f t="shared" si="0"/>
        <v>a</v>
      </c>
      <c r="AC42" s="572"/>
      <c r="AD42" s="572"/>
      <c r="AE42" s="572"/>
    </row>
    <row r="43" spans="1:31" ht="40.5" customHeight="1" x14ac:dyDescent="0.25">
      <c r="A43" s="926">
        <v>55</v>
      </c>
      <c r="B43" s="270" t="str">
        <f>IF(VLOOKUP(A43,'Données de base - Grunddaten'!$A$2:$M$273,5,FALSE)="","",VLOOKUP(A43,'Données de base - Grunddaten'!$A$2:$M$273,5,FALSE))</f>
        <v>BE/FR</v>
      </c>
      <c r="C43" s="41" t="str">
        <f>IF(VLOOKUP(A43,'Données de base - Grunddaten'!$A$2:$M$273,3,FALSE)="","",VLOOKUP(A43,'Données de base - Grunddaten'!$A$2:$M$273,3,FALSE))</f>
        <v>Senseauen</v>
      </c>
      <c r="D43" s="41" t="str">
        <f>IF(VLOOKUP(A43,'Données de base - Grunddaten'!$A$2:$M$273,4,FALSE)="","",VLOOKUP(A43,'Données de base - Grunddaten'!$A$2:$M$273,4,FALSE))</f>
        <v>Sense</v>
      </c>
      <c r="E43" s="271">
        <v>-64.090909090909093</v>
      </c>
      <c r="F43" s="271">
        <v>0</v>
      </c>
      <c r="G43" s="271">
        <v>64.090909090909093</v>
      </c>
      <c r="H43" s="272" t="s">
        <v>1061</v>
      </c>
      <c r="I43" s="273"/>
      <c r="J43" s="273" t="s">
        <v>1068</v>
      </c>
      <c r="K43" s="274"/>
      <c r="L43" s="275"/>
      <c r="M43" s="1151" t="s">
        <v>752</v>
      </c>
      <c r="N43" s="1152" t="s">
        <v>43</v>
      </c>
      <c r="O43" s="1148" t="s">
        <v>1873</v>
      </c>
      <c r="P43" s="977" t="str">
        <f>VLOOKUP(A43,Strat_Plan_Revit!$A$10:$S$321,12,FALSE)</f>
        <v>gross/gering</v>
      </c>
      <c r="Q43" s="277" t="str">
        <f>VLOOKUP(A43,Strat_Plan_Revit!$A$10:$S$321,13,FALSE)</f>
        <v>hoch (nur im untersten Abschnitt)</v>
      </c>
      <c r="R43" s="1162" t="s">
        <v>752</v>
      </c>
      <c r="S43" s="1173" t="s">
        <v>752</v>
      </c>
      <c r="T43" s="278" t="s">
        <v>59</v>
      </c>
      <c r="U43" s="1174" t="s">
        <v>1125</v>
      </c>
      <c r="V43" s="282"/>
      <c r="W43" s="448"/>
      <c r="X43" s="1189" t="s">
        <v>1126</v>
      </c>
      <c r="Y43" s="1265" t="s">
        <v>752</v>
      </c>
      <c r="Z43" s="1258" t="s">
        <v>59</v>
      </c>
      <c r="AA43" s="1266" t="str">
        <f t="shared" si="0"/>
        <v>a</v>
      </c>
      <c r="AC43" s="572"/>
      <c r="AD43" s="572"/>
      <c r="AE43" s="572"/>
    </row>
    <row r="44" spans="1:31" ht="40.5" customHeight="1" x14ac:dyDescent="0.25">
      <c r="A44" s="926">
        <v>58</v>
      </c>
      <c r="B44" s="270" t="str">
        <f>IF(VLOOKUP(A44,'Données de base - Grunddaten'!$A$2:$M$273,5,FALSE)="","",VLOOKUP(A44,'Données de base - Grunddaten'!$A$2:$M$273,5,FALSE))</f>
        <v>BE</v>
      </c>
      <c r="C44" s="41" t="str">
        <f>IF(VLOOKUP(A44,'Données de base - Grunddaten'!$A$2:$M$273,3,FALSE)="","",VLOOKUP(A44,'Données de base - Grunddaten'!$A$2:$M$273,3,FALSE))</f>
        <v>Teuffengraben–Sackau</v>
      </c>
      <c r="D44" s="41" t="str">
        <f>IF(VLOOKUP(A44,'Données de base - Grunddaten'!$A$2:$M$273,4,FALSE)="","",VLOOKUP(A44,'Données de base - Grunddaten'!$A$2:$M$273,4,FALSE))</f>
        <v>Schwarzwasser</v>
      </c>
      <c r="E44" s="271">
        <v>-57.218181818181819</v>
      </c>
      <c r="F44" s="271">
        <v>4.5712114522383462</v>
      </c>
      <c r="G44" s="271">
        <v>61.81818181818182</v>
      </c>
      <c r="H44" s="272" t="s">
        <v>1072</v>
      </c>
      <c r="I44" s="273"/>
      <c r="J44" s="273" t="s">
        <v>1059</v>
      </c>
      <c r="K44" s="274"/>
      <c r="L44" s="275"/>
      <c r="M44" s="1151" t="s">
        <v>723</v>
      </c>
      <c r="N44" s="1152" t="s">
        <v>43</v>
      </c>
      <c r="O44" s="1148" t="str">
        <f>VLOOKUP(A44,Strat_Plan_Revit!$A$10:$S$321,11,FALSE)</f>
        <v>gross</v>
      </c>
      <c r="P44" s="977" t="s">
        <v>1874</v>
      </c>
      <c r="Q44" s="277" t="s">
        <v>1875</v>
      </c>
      <c r="R44" s="1162" t="s">
        <v>723</v>
      </c>
      <c r="S44" s="1173" t="s">
        <v>723</v>
      </c>
      <c r="T44" s="278" t="s">
        <v>59</v>
      </c>
      <c r="U44" s="1174"/>
      <c r="V44" s="282"/>
      <c r="W44" s="448"/>
      <c r="X44" s="97" t="s">
        <v>1094</v>
      </c>
      <c r="Y44" s="1265" t="s">
        <v>738</v>
      </c>
      <c r="Z44" s="1258" t="s">
        <v>368</v>
      </c>
      <c r="AA44" s="1266" t="str">
        <f t="shared" si="0"/>
        <v>b</v>
      </c>
      <c r="AC44" s="572"/>
      <c r="AD44" s="572"/>
      <c r="AE44" s="572"/>
    </row>
    <row r="45" spans="1:31" ht="40.5" customHeight="1" x14ac:dyDescent="0.25">
      <c r="A45" s="926">
        <v>59</v>
      </c>
      <c r="B45" s="270" t="str">
        <f>IF(VLOOKUP(A45,'Données de base - Grunddaten'!$A$2:$M$273,5,FALSE)="","",VLOOKUP(A45,'Données de base - Grunddaten'!$A$2:$M$273,5,FALSE))</f>
        <v>BE</v>
      </c>
      <c r="C45" s="41" t="str">
        <f>IF(VLOOKUP(A45,'Données de base - Grunddaten'!$A$2:$M$273,3,FALSE)="","",VLOOKUP(A45,'Données de base - Grunddaten'!$A$2:$M$273,3,FALSE))</f>
        <v>Laupenau</v>
      </c>
      <c r="D45" s="41" t="str">
        <f>IF(VLOOKUP(A45,'Données de base - Grunddaten'!$A$2:$M$273,4,FALSE)="","",VLOOKUP(A45,'Données de base - Grunddaten'!$A$2:$M$273,4,FALSE))</f>
        <v>Saane</v>
      </c>
      <c r="E45" s="271">
        <v>66.3</v>
      </c>
      <c r="F45" s="271">
        <v>66.315016986919062</v>
      </c>
      <c r="G45" s="271">
        <v>0</v>
      </c>
      <c r="H45" s="272" t="s">
        <v>1057</v>
      </c>
      <c r="I45" s="273"/>
      <c r="J45" s="273" t="s">
        <v>1064</v>
      </c>
      <c r="K45" s="274"/>
      <c r="L45" s="275"/>
      <c r="M45" s="1151" t="s">
        <v>737</v>
      </c>
      <c r="N45" s="1152" t="s">
        <v>43</v>
      </c>
      <c r="O45" s="1148" t="str">
        <f>VLOOKUP(A45,Strat_Plan_Revit!$A$10:$S$321,11,FALSE)</f>
        <v>gross/mittel</v>
      </c>
      <c r="P45" s="977" t="str">
        <f>VLOOKUP(A45,Strat_Plan_Revit!$A$10:$S$321,12,FALSE)</f>
        <v>gross</v>
      </c>
      <c r="Q45" s="277" t="str">
        <f>VLOOKUP(A45,Strat_Plan_Revit!$A$10:$S$321,13,FALSE)</f>
        <v>mittel</v>
      </c>
      <c r="R45" s="1162" t="s">
        <v>737</v>
      </c>
      <c r="S45" s="1173" t="s">
        <v>737</v>
      </c>
      <c r="T45" s="278" t="s">
        <v>59</v>
      </c>
      <c r="U45" s="1174"/>
      <c r="V45" s="282"/>
      <c r="W45" s="448"/>
      <c r="X45" s="97" t="s">
        <v>1095</v>
      </c>
      <c r="Y45" s="1265" t="s">
        <v>737</v>
      </c>
      <c r="Z45" s="1258" t="s">
        <v>59</v>
      </c>
      <c r="AA45" s="1266" t="str">
        <f t="shared" si="0"/>
        <v>a</v>
      </c>
      <c r="AC45" s="572"/>
      <c r="AD45" s="572"/>
      <c r="AE45" s="572"/>
    </row>
    <row r="46" spans="1:31" ht="40.5" customHeight="1" x14ac:dyDescent="0.25">
      <c r="A46" s="926">
        <v>60</v>
      </c>
      <c r="B46" s="270" t="str">
        <f>IF(VLOOKUP(A46,'Données de base - Grunddaten'!$A$2:$M$273,5,FALSE)="","",VLOOKUP(A46,'Données de base - Grunddaten'!$A$2:$M$273,5,FALSE))</f>
        <v>FR</v>
      </c>
      <c r="C46" s="41" t="str">
        <f>IF(VLOOKUP(A46,'Données de base - Grunddaten'!$A$2:$M$273,3,FALSE)="","",VLOOKUP(A46,'Données de base - Grunddaten'!$A$2:$M$273,3,FALSE))</f>
        <v>Bois du Dévin</v>
      </c>
      <c r="D46" s="41" t="str">
        <f>IF(VLOOKUP(A46,'Données de base - Grunddaten'!$A$2:$M$273,4,FALSE)="","",VLOOKUP(A46,'Données de base - Grunddaten'!$A$2:$M$273,4,FALSE))</f>
        <v>La Gérine</v>
      </c>
      <c r="E46" s="271">
        <v>-7.5272727272727273</v>
      </c>
      <c r="F46" s="271">
        <v>0.23268662724426875</v>
      </c>
      <c r="G46" s="271">
        <v>7.7272727272727275</v>
      </c>
      <c r="H46" s="272" t="s">
        <v>1066</v>
      </c>
      <c r="I46" s="273"/>
      <c r="J46" s="273" t="s">
        <v>1059</v>
      </c>
      <c r="K46" s="274"/>
      <c r="L46" s="275"/>
      <c r="M46" s="1151" t="s">
        <v>752</v>
      </c>
      <c r="N46" s="1152" t="s">
        <v>72</v>
      </c>
      <c r="O46" s="1148" t="str">
        <f>VLOOKUP(A46,Strat_Plan_Revit!$A$10:$S$321,11,FALSE)</f>
        <v>gross</v>
      </c>
      <c r="P46" s="977" t="str">
        <f>VLOOKUP(A46,Strat_Plan_Revit!$A$10:$S$321,12,FALSE)</f>
        <v>gross</v>
      </c>
      <c r="Q46" s="277" t="str">
        <f>VLOOKUP(A46,Strat_Plan_Revit!$A$10:$S$321,13,FALSE)</f>
        <v>mittel/hoch</v>
      </c>
      <c r="R46" s="1162" t="s">
        <v>737</v>
      </c>
      <c r="S46" s="1173" t="s">
        <v>737</v>
      </c>
      <c r="T46" s="278" t="s">
        <v>110</v>
      </c>
      <c r="U46" s="1174"/>
      <c r="V46" s="1053" t="s">
        <v>126</v>
      </c>
      <c r="W46" s="1140"/>
      <c r="X46" s="1190" t="s">
        <v>1130</v>
      </c>
      <c r="Y46" s="1265" t="s">
        <v>720</v>
      </c>
      <c r="Z46" s="1258" t="s">
        <v>368</v>
      </c>
      <c r="AA46" s="1266" t="str">
        <f t="shared" si="0"/>
        <v>b</v>
      </c>
      <c r="AC46" s="572"/>
      <c r="AD46" s="572"/>
      <c r="AE46" s="572"/>
    </row>
    <row r="47" spans="1:31" ht="40.5" customHeight="1" x14ac:dyDescent="0.25">
      <c r="A47" s="926">
        <v>61</v>
      </c>
      <c r="B47" s="270" t="str">
        <f>IF(VLOOKUP(A47,'Données de base - Grunddaten'!$A$2:$M$273,5,FALSE)="","",VLOOKUP(A47,'Données de base - Grunddaten'!$A$2:$M$273,5,FALSE))</f>
        <v>FR</v>
      </c>
      <c r="C47" s="41" t="str">
        <f>IF(VLOOKUP(A47,'Données de base - Grunddaten'!$A$2:$M$273,3,FALSE)="","",VLOOKUP(A47,'Données de base - Grunddaten'!$A$2:$M$273,3,FALSE))</f>
        <v>Ärgera: Plasselb–Marly</v>
      </c>
      <c r="D47" s="41" t="str">
        <f>IF(VLOOKUP(A47,'Données de base - Grunddaten'!$A$2:$M$273,4,FALSE)="","",VLOOKUP(A47,'Données de base - Grunddaten'!$A$2:$M$273,4,FALSE))</f>
        <v>Ärgera / La Gérine</v>
      </c>
      <c r="E47" s="271">
        <v>2.6454545454545446</v>
      </c>
      <c r="F47" s="271">
        <v>13.117797899244012</v>
      </c>
      <c r="G47" s="271">
        <v>10.454545454545455</v>
      </c>
      <c r="H47" s="272" t="s">
        <v>1066</v>
      </c>
      <c r="I47" s="273"/>
      <c r="J47" s="273" t="s">
        <v>1059</v>
      </c>
      <c r="K47" s="274"/>
      <c r="L47" s="275"/>
      <c r="M47" s="1151" t="s">
        <v>720</v>
      </c>
      <c r="N47" s="1152" t="s">
        <v>43</v>
      </c>
      <c r="O47" s="1148" t="str">
        <f>VLOOKUP(A47,Strat_Plan_Revit!$A$10:$S$321,11,FALSE)</f>
        <v>gross</v>
      </c>
      <c r="P47" s="977" t="str">
        <f>VLOOKUP(A47,Strat_Plan_Revit!$A$10:$S$321,12,FALSE)</f>
        <v>natürlich</v>
      </c>
      <c r="Q47" s="277" t="str">
        <f>VLOOKUP(A47,Strat_Plan_Revit!$A$10:$S$321,13,FALSE)</f>
        <v>tief</v>
      </c>
      <c r="R47" s="1162" t="s">
        <v>752</v>
      </c>
      <c r="S47" s="1179" t="s">
        <v>720</v>
      </c>
      <c r="T47" s="278" t="s">
        <v>43</v>
      </c>
      <c r="U47" s="1174" t="s">
        <v>1131</v>
      </c>
      <c r="V47" s="1053" t="s">
        <v>126</v>
      </c>
      <c r="W47" s="1140"/>
      <c r="X47" s="1190" t="s">
        <v>1132</v>
      </c>
      <c r="Y47" s="1265" t="s">
        <v>720</v>
      </c>
      <c r="Z47" s="1258" t="s">
        <v>368</v>
      </c>
      <c r="AA47" s="1266" t="s">
        <v>43</v>
      </c>
      <c r="AC47" s="572"/>
      <c r="AD47" s="572"/>
      <c r="AE47" s="572"/>
    </row>
    <row r="48" spans="1:31" ht="40.5" customHeight="1" x14ac:dyDescent="0.25">
      <c r="A48" s="927">
        <v>62.1</v>
      </c>
      <c r="B48" s="270" t="str">
        <f>IF(VLOOKUP(A48,'Données de base - Grunddaten'!$A$2:$M$273,5,FALSE)="","",VLOOKUP(A48,'Données de base - Grunddaten'!$A$2:$M$273,5,FALSE))</f>
        <v>FR</v>
      </c>
      <c r="C48" s="41" t="str">
        <f>IF(VLOOKUP(A48,'Données de base - Grunddaten'!$A$2:$M$273,3,FALSE)="","",VLOOKUP(A48,'Données de base - Grunddaten'!$A$2:$M$273,3,FALSE))</f>
        <v>La Sarine: Rossens–Fribourg</v>
      </c>
      <c r="D48" s="41" t="str">
        <f>IF(VLOOKUP(A48,'Données de base - Grunddaten'!$A$2:$M$273,4,FALSE)="","",VLOOKUP(A48,'Données de base - Grunddaten'!$A$2:$M$273,4,FALSE))</f>
        <v>La Sarine</v>
      </c>
      <c r="E48" s="271">
        <v>-21.363636363636363</v>
      </c>
      <c r="F48" s="271">
        <v>0</v>
      </c>
      <c r="G48" s="271">
        <v>21.363636363636363</v>
      </c>
      <c r="H48" s="272" t="s">
        <v>1061</v>
      </c>
      <c r="I48" s="273" t="s">
        <v>1058</v>
      </c>
      <c r="J48" s="273" t="s">
        <v>1068</v>
      </c>
      <c r="K48" s="274"/>
      <c r="L48" s="275"/>
      <c r="M48" s="1151" t="s">
        <v>752</v>
      </c>
      <c r="N48" s="1152" t="s">
        <v>43</v>
      </c>
      <c r="O48" s="1148" t="str">
        <f>VLOOKUP(A48,Strat_Plan_Revit!$A$10:$S$321,11,FALSE)</f>
        <v>gross</v>
      </c>
      <c r="P48" s="977" t="str">
        <f>VLOOKUP(A48,Strat_Plan_Revit!$A$10:$S$321,12,FALSE)</f>
        <v>natürlich/mittel</v>
      </c>
      <c r="Q48" s="277" t="str">
        <f>VLOOKUP(A48,Strat_Plan_Revit!$A$10:$S$321,13,FALSE)</f>
        <v>tief</v>
      </c>
      <c r="R48" s="1169"/>
      <c r="S48" s="1173" t="s">
        <v>752</v>
      </c>
      <c r="T48" s="278" t="s">
        <v>43</v>
      </c>
      <c r="U48" s="1174"/>
      <c r="V48" s="282"/>
      <c r="W48" s="448"/>
      <c r="X48" s="1191"/>
      <c r="Y48" s="1265" t="s">
        <v>752</v>
      </c>
      <c r="Z48" s="1260" t="s">
        <v>43</v>
      </c>
      <c r="AA48" s="1266" t="str">
        <f t="shared" si="0"/>
        <v>a</v>
      </c>
      <c r="AC48" s="572"/>
      <c r="AD48" s="572"/>
      <c r="AE48" s="572"/>
    </row>
    <row r="49" spans="1:31" ht="40.5" customHeight="1" x14ac:dyDescent="0.25">
      <c r="A49" s="927">
        <v>62.2</v>
      </c>
      <c r="B49" s="270" t="str">
        <f>IF(VLOOKUP(A49,'Données de base - Grunddaten'!$A$2:$M$273,5,FALSE)="","",VLOOKUP(A49,'Données de base - Grunddaten'!$A$2:$M$273,5,FALSE))</f>
        <v>FR</v>
      </c>
      <c r="C49" s="41" t="str">
        <f>IF(VLOOKUP(A49,'Données de base - Grunddaten'!$A$2:$M$273,3,FALSE)="","",VLOOKUP(A49,'Données de base - Grunddaten'!$A$2:$M$273,3,FALSE))</f>
        <v>La Sarine: Rossens–Fribourg</v>
      </c>
      <c r="D49" s="41" t="str">
        <f>IF(VLOOKUP(A49,'Données de base - Grunddaten'!$A$2:$M$273,4,FALSE)="","",VLOOKUP(A49,'Données de base - Grunddaten'!$A$2:$M$273,4,FALSE))</f>
        <v>La Sarine</v>
      </c>
      <c r="E49" s="271"/>
      <c r="F49" s="271"/>
      <c r="G49" s="271"/>
      <c r="H49" s="272"/>
      <c r="I49" s="279"/>
      <c r="J49" s="279"/>
      <c r="K49" s="280" t="s">
        <v>1061</v>
      </c>
      <c r="L49" s="281" t="s">
        <v>1092</v>
      </c>
      <c r="M49" s="1151" t="s">
        <v>720</v>
      </c>
      <c r="N49" s="1152" t="s">
        <v>72</v>
      </c>
      <c r="O49" s="1148" t="str">
        <f>VLOOKUP(A49,Strat_Plan_Revit!$A$10:$S$321,11,FALSE)</f>
        <v>gross</v>
      </c>
      <c r="P49" s="977" t="str">
        <f>VLOOKUP(A49,Strat_Plan_Revit!$A$10:$S$321,12,FALSE)</f>
        <v>natürlich/mittel</v>
      </c>
      <c r="Q49" s="277" t="str">
        <f>VLOOKUP(A49,Strat_Plan_Revit!$A$10:$S$321,13,FALSE)</f>
        <v>tief</v>
      </c>
      <c r="R49" s="1162" t="s">
        <v>752</v>
      </c>
      <c r="S49" s="1178" t="s">
        <v>752</v>
      </c>
      <c r="T49" s="278" t="s">
        <v>110</v>
      </c>
      <c r="U49" s="1174"/>
      <c r="V49" s="282"/>
      <c r="W49" s="448"/>
      <c r="X49" s="97" t="s">
        <v>1133</v>
      </c>
      <c r="Y49" s="284" t="s">
        <v>720</v>
      </c>
      <c r="Z49" s="1258" t="s">
        <v>368</v>
      </c>
      <c r="AA49" s="1266" t="str">
        <f t="shared" si="0"/>
        <v>b</v>
      </c>
      <c r="AC49" s="572"/>
      <c r="AD49" s="572"/>
      <c r="AE49" s="572"/>
    </row>
    <row r="50" spans="1:31" ht="40.5" customHeight="1" x14ac:dyDescent="0.25">
      <c r="A50" s="926">
        <v>64</v>
      </c>
      <c r="B50" s="270" t="str">
        <f>IF(VLOOKUP(A50,'Données de base - Grunddaten'!$A$2:$M$273,5,FALSE)="","",VLOOKUP(A50,'Données de base - Grunddaten'!$A$2:$M$273,5,FALSE))</f>
        <v>FR</v>
      </c>
      <c r="C50" s="41" t="str">
        <f>IF(VLOOKUP(A50,'Données de base - Grunddaten'!$A$2:$M$273,3,FALSE)="","",VLOOKUP(A50,'Données de base - Grunddaten'!$A$2:$M$273,3,FALSE))</f>
        <v>Broc</v>
      </c>
      <c r="D50" s="41" t="str">
        <f>IF(VLOOKUP(A50,'Données de base - Grunddaten'!$A$2:$M$273,4,FALSE)="","",VLOOKUP(A50,'Données de base - Grunddaten'!$A$2:$M$273,4,FALSE))</f>
        <v>La Sarine, La Jogne, Lac de Gruyère</v>
      </c>
      <c r="E50" s="271">
        <v>6.6818181818181817</v>
      </c>
      <c r="F50" s="271">
        <v>13.50376652335121</v>
      </c>
      <c r="G50" s="271">
        <v>6.8181818181818183</v>
      </c>
      <c r="H50" s="272" t="s">
        <v>1066</v>
      </c>
      <c r="I50" s="273" t="s">
        <v>1071</v>
      </c>
      <c r="J50" s="273" t="s">
        <v>1068</v>
      </c>
      <c r="K50" s="274"/>
      <c r="L50" s="275"/>
      <c r="M50" s="1151" t="s">
        <v>720</v>
      </c>
      <c r="N50" s="1152" t="s">
        <v>43</v>
      </c>
      <c r="O50" s="1148" t="str">
        <f>VLOOKUP(A50,Strat_Plan_Revit!$A$10:$S$321,11,FALSE)</f>
        <v>gross</v>
      </c>
      <c r="P50" s="977" t="str">
        <f>VLOOKUP(A50,Strat_Plan_Revit!$A$10:$S$321,12,FALSE)</f>
        <v>gross/gering</v>
      </c>
      <c r="Q50" s="277" t="str">
        <f>VLOOKUP(A50,Strat_Plan_Revit!$A$10:$S$321,13,FALSE)</f>
        <v>hoch</v>
      </c>
      <c r="R50" s="1162" t="s">
        <v>737</v>
      </c>
      <c r="S50" s="1173" t="s">
        <v>737</v>
      </c>
      <c r="T50" s="278" t="s">
        <v>110</v>
      </c>
      <c r="U50" s="1174"/>
      <c r="V50" s="282"/>
      <c r="W50" s="448"/>
      <c r="X50" s="97" t="s">
        <v>1134</v>
      </c>
      <c r="Y50" s="1265" t="s">
        <v>737</v>
      </c>
      <c r="Z50" s="1258" t="s">
        <v>110</v>
      </c>
      <c r="AA50" s="1266" t="str">
        <f t="shared" si="0"/>
        <v>a</v>
      </c>
      <c r="AC50" s="572"/>
      <c r="AD50" s="572"/>
      <c r="AE50" s="572"/>
    </row>
    <row r="51" spans="1:31" ht="40.5" customHeight="1" x14ac:dyDescent="0.25">
      <c r="A51" s="926">
        <v>65</v>
      </c>
      <c r="B51" s="270" t="str">
        <f>IF(VLOOKUP(A51,'Données de base - Grunddaten'!$A$2:$M$273,5,FALSE)="","",VLOOKUP(A51,'Données de base - Grunddaten'!$A$2:$M$273,5,FALSE))</f>
        <v>FR</v>
      </c>
      <c r="C51" s="41" t="str">
        <f>IF(VLOOKUP(A51,'Données de base - Grunddaten'!$A$2:$M$273,3,FALSE)="","",VLOOKUP(A51,'Données de base - Grunddaten'!$A$2:$M$273,3,FALSE))</f>
        <v>Les Auges d'Estavannens</v>
      </c>
      <c r="D51" s="41" t="str">
        <f>IF(VLOOKUP(A51,'Données de base - Grunddaten'!$A$2:$M$273,4,FALSE)="","",VLOOKUP(A51,'Données de base - Grunddaten'!$A$2:$M$273,4,FALSE))</f>
        <v>La Sarine</v>
      </c>
      <c r="E51" s="271">
        <v>73.354545454545459</v>
      </c>
      <c r="F51" s="271">
        <v>82.926815163333345</v>
      </c>
      <c r="G51" s="271">
        <v>9.545454545454545</v>
      </c>
      <c r="H51" s="272" t="s">
        <v>1057</v>
      </c>
      <c r="I51" s="273"/>
      <c r="J51" s="273" t="s">
        <v>1064</v>
      </c>
      <c r="K51" s="274"/>
      <c r="L51" s="275"/>
      <c r="M51" s="1151" t="s">
        <v>737</v>
      </c>
      <c r="N51" s="1152" t="s">
        <v>43</v>
      </c>
      <c r="O51" s="1148" t="str">
        <f>VLOOKUP(A51,Strat_Plan_Revit!$A$10:$S$321,11,FALSE)</f>
        <v>gross</v>
      </c>
      <c r="P51" s="977" t="str">
        <f>VLOOKUP(A51,Strat_Plan_Revit!$A$10:$S$321,12,FALSE)</f>
        <v>gross/gering</v>
      </c>
      <c r="Q51" s="277" t="str">
        <f>VLOOKUP(A51,Strat_Plan_Revit!$A$10:$S$321,13,FALSE)</f>
        <v>hoch</v>
      </c>
      <c r="R51" s="1162" t="s">
        <v>737</v>
      </c>
      <c r="S51" s="1173" t="s">
        <v>737</v>
      </c>
      <c r="T51" s="278" t="s">
        <v>59</v>
      </c>
      <c r="U51" s="1174"/>
      <c r="V51" s="282"/>
      <c r="W51" s="448"/>
      <c r="X51" s="1192" t="s">
        <v>1135</v>
      </c>
      <c r="Y51" s="1265" t="s">
        <v>737</v>
      </c>
      <c r="Z51" s="1258" t="s">
        <v>59</v>
      </c>
      <c r="AA51" s="1266" t="str">
        <f t="shared" si="0"/>
        <v>a</v>
      </c>
      <c r="AC51" s="572"/>
      <c r="AD51" s="572"/>
      <c r="AE51" s="572"/>
    </row>
    <row r="52" spans="1:31" ht="40.5" customHeight="1" x14ac:dyDescent="0.25">
      <c r="A52" s="926">
        <v>66</v>
      </c>
      <c r="B52" s="270" t="str">
        <f>IF(VLOOKUP(A52,'Données de base - Grunddaten'!$A$2:$M$273,5,FALSE)="","",VLOOKUP(A52,'Données de base - Grunddaten'!$A$2:$M$273,5,FALSE))</f>
        <v>FR</v>
      </c>
      <c r="C52" s="41" t="str">
        <f>IF(VLOOKUP(A52,'Données de base - Grunddaten'!$A$2:$M$273,3,FALSE)="","",VLOOKUP(A52,'Données de base - Grunddaten'!$A$2:$M$273,3,FALSE))</f>
        <v>Les Auges de Neirivue</v>
      </c>
      <c r="D52" s="41" t="str">
        <f>IF(VLOOKUP(A52,'Données de base - Grunddaten'!$A$2:$M$273,4,FALSE)="","",VLOOKUP(A52,'Données de base - Grunddaten'!$A$2:$M$273,4,FALSE))</f>
        <v>La Sarine</v>
      </c>
      <c r="E52" s="271">
        <v>66.509090909090901</v>
      </c>
      <c r="F52" s="271">
        <v>80.609310676666666</v>
      </c>
      <c r="G52" s="271">
        <v>14.090909090909092</v>
      </c>
      <c r="H52" s="272" t="s">
        <v>1057</v>
      </c>
      <c r="I52" s="273"/>
      <c r="J52" s="273" t="s">
        <v>1068</v>
      </c>
      <c r="K52" s="274"/>
      <c r="L52" s="275"/>
      <c r="M52" s="1151" t="s">
        <v>737</v>
      </c>
      <c r="N52" s="1152" t="s">
        <v>43</v>
      </c>
      <c r="O52" s="1148" t="str">
        <f>VLOOKUP(A52,Strat_Plan_Revit!$A$10:$S$321,11,FALSE)</f>
        <v>gross</v>
      </c>
      <c r="P52" s="977" t="str">
        <f>VLOOKUP(A52,Strat_Plan_Revit!$A$10:$S$321,12,FALSE)</f>
        <v>gross/gering</v>
      </c>
      <c r="Q52" s="277" t="str">
        <f>VLOOKUP(A52,Strat_Plan_Revit!$A$10:$S$321,13,FALSE)</f>
        <v>hoch</v>
      </c>
      <c r="R52" s="1162" t="s">
        <v>737</v>
      </c>
      <c r="S52" s="1173" t="s">
        <v>737</v>
      </c>
      <c r="T52" s="278" t="s">
        <v>59</v>
      </c>
      <c r="U52" s="1174"/>
      <c r="V52" s="282"/>
      <c r="W52" s="448"/>
      <c r="X52" s="1191"/>
      <c r="Y52" s="1265" t="s">
        <v>737</v>
      </c>
      <c r="Z52" s="1258" t="s">
        <v>59</v>
      </c>
      <c r="AA52" s="1266" t="str">
        <f t="shared" si="0"/>
        <v>a</v>
      </c>
      <c r="AC52" s="572"/>
      <c r="AD52" s="572"/>
      <c r="AE52" s="572"/>
    </row>
    <row r="53" spans="1:31" ht="40.5" customHeight="1" x14ac:dyDescent="0.25">
      <c r="A53" s="926">
        <v>68</v>
      </c>
      <c r="B53" s="270" t="str">
        <f>IF(VLOOKUP(A53,'Données de base - Grunddaten'!$A$2:$M$273,5,FALSE)="","",VLOOKUP(A53,'Données de base - Grunddaten'!$A$2:$M$273,5,FALSE))</f>
        <v>VD</v>
      </c>
      <c r="C53" s="41" t="str">
        <f>IF(VLOOKUP(A53,'Données de base - Grunddaten'!$A$2:$M$273,3,FALSE)="","",VLOOKUP(A53,'Données de base - Grunddaten'!$A$2:$M$273,3,FALSE))</f>
        <v>La Sarine près Château-d'Oex</v>
      </c>
      <c r="D53" s="41" t="str">
        <f>IF(VLOOKUP(A53,'Données de base - Grunddaten'!$A$2:$M$273,4,FALSE)="","",VLOOKUP(A53,'Données de base - Grunddaten'!$A$2:$M$273,4,FALSE))</f>
        <v>La Sarine</v>
      </c>
      <c r="E53" s="271">
        <v>22.072727272727274</v>
      </c>
      <c r="F53" s="271">
        <v>24.809925255785867</v>
      </c>
      <c r="G53" s="271">
        <v>2.7272727272727271</v>
      </c>
      <c r="H53" s="272" t="s">
        <v>1066</v>
      </c>
      <c r="I53" s="273"/>
      <c r="J53" s="273" t="s">
        <v>1064</v>
      </c>
      <c r="K53" s="274"/>
      <c r="L53" s="275"/>
      <c r="M53" s="1151" t="s">
        <v>720</v>
      </c>
      <c r="N53" s="1152" t="s">
        <v>43</v>
      </c>
      <c r="O53" s="1148" t="str">
        <f>VLOOKUP(A53,Strat_Plan_Revit!$A$10:$S$321,11,FALSE)</f>
        <v>élevé</v>
      </c>
      <c r="P53" s="977" t="str">
        <f>VLOOKUP(A53,Strat_Plan_Revit!$A$10:$S$321,12,FALSE)</f>
        <v>élevé (faible pour affluents et une partie de la Sarine)</v>
      </c>
      <c r="Q53" s="277" t="str">
        <f>VLOOKUP(A53,Strat_Plan_Revit!$A$10:$S$321,13,FALSE)</f>
        <v>élevé (nulle pour une partie de la Sarine; faible ou nulle pour les affluents)</v>
      </c>
      <c r="R53" s="1162" t="s">
        <v>737</v>
      </c>
      <c r="S53" s="1173" t="s">
        <v>737</v>
      </c>
      <c r="T53" s="278" t="s">
        <v>110</v>
      </c>
      <c r="U53" s="1174"/>
      <c r="V53" s="282"/>
      <c r="W53" s="341"/>
      <c r="X53" s="97"/>
      <c r="Y53" s="1265" t="s">
        <v>737</v>
      </c>
      <c r="Z53" s="1258" t="s">
        <v>110</v>
      </c>
      <c r="AA53" s="1266" t="str">
        <f t="shared" si="0"/>
        <v>a</v>
      </c>
      <c r="AC53" s="572"/>
      <c r="AD53" s="572"/>
      <c r="AE53" s="572"/>
    </row>
    <row r="54" spans="1:31" ht="40.5" customHeight="1" x14ac:dyDescent="0.25">
      <c r="A54" s="928">
        <v>69</v>
      </c>
      <c r="B54" s="270" t="str">
        <f>IF(VLOOKUP(A54,'Données de base - Grunddaten'!$A$2:$M$273,5,FALSE)="","",VLOOKUP(A54,'Données de base - Grunddaten'!$A$2:$M$273,5,FALSE))</f>
        <v>BE</v>
      </c>
      <c r="C54" s="41" t="str">
        <f>IF(VLOOKUP(A54,'Données de base - Grunddaten'!$A$2:$M$273,3,FALSE)="","",VLOOKUP(A54,'Données de base - Grunddaten'!$A$2:$M$273,3,FALSE))</f>
        <v>Belper Giessen</v>
      </c>
      <c r="D54" s="41" t="str">
        <f>IF(VLOOKUP(A54,'Données de base - Grunddaten'!$A$2:$M$273,4,FALSE)="","",VLOOKUP(A54,'Données de base - Grunddaten'!$A$2:$M$273,4,FALSE))</f>
        <v>Aare</v>
      </c>
      <c r="E54" s="271">
        <v>42.981818181818184</v>
      </c>
      <c r="F54" s="271">
        <v>74.760643604577211</v>
      </c>
      <c r="G54" s="271">
        <v>31.818181818181817</v>
      </c>
      <c r="H54" s="272" t="s">
        <v>1078</v>
      </c>
      <c r="I54" s="273"/>
      <c r="J54" s="273" t="s">
        <v>1068</v>
      </c>
      <c r="K54" s="274"/>
      <c r="L54" s="275"/>
      <c r="M54" s="1151" t="s">
        <v>738</v>
      </c>
      <c r="N54" s="1152" t="s">
        <v>43</v>
      </c>
      <c r="O54" s="1148" t="str">
        <f>VLOOKUP(A54,Strat_Plan_Revit!$A$10:$S$321,11,FALSE)</f>
        <v>gross</v>
      </c>
      <c r="P54" s="977" t="str">
        <f>VLOOKUP(A54,Strat_Plan_Revit!$A$10:$S$321,12,FALSE)</f>
        <v>gross (nur Aare)</v>
      </c>
      <c r="Q54" s="277" t="str">
        <f>VLOOKUP(A54,Strat_Plan_Revit!$A$10:$S$321,13,FALSE)</f>
        <v>hoch (nur Aare)</v>
      </c>
      <c r="R54" s="1162" t="s">
        <v>738</v>
      </c>
      <c r="S54" s="1173" t="s">
        <v>738</v>
      </c>
      <c r="T54" s="278" t="s">
        <v>59</v>
      </c>
      <c r="U54" s="1174"/>
      <c r="V54" s="282"/>
      <c r="W54" s="448"/>
      <c r="X54" s="97" t="s">
        <v>1097</v>
      </c>
      <c r="Y54" s="1265" t="s">
        <v>738</v>
      </c>
      <c r="Z54" s="1258" t="s">
        <v>59</v>
      </c>
      <c r="AA54" s="1266" t="str">
        <f t="shared" si="0"/>
        <v>a</v>
      </c>
      <c r="AC54" s="572"/>
      <c r="AD54" s="572"/>
      <c r="AE54" s="572"/>
    </row>
    <row r="55" spans="1:31" ht="40.5" customHeight="1" x14ac:dyDescent="0.25">
      <c r="A55" s="926">
        <v>70</v>
      </c>
      <c r="B55" s="270" t="str">
        <f>IF(VLOOKUP(A55,'Données de base - Grunddaten'!$A$2:$M$273,5,FALSE)="","",VLOOKUP(A55,'Données de base - Grunddaten'!$A$2:$M$273,5,FALSE))</f>
        <v>BE</v>
      </c>
      <c r="C55" s="41" t="str">
        <f>IF(VLOOKUP(A55,'Données de base - Grunddaten'!$A$2:$M$273,3,FALSE)="","",VLOOKUP(A55,'Données de base - Grunddaten'!$A$2:$M$273,3,FALSE))</f>
        <v>Chandergrien</v>
      </c>
      <c r="D55" s="41" t="str">
        <f>IF(VLOOKUP(A55,'Données de base - Grunddaten'!$A$2:$M$273,4,FALSE)="","",VLOOKUP(A55,'Données de base - Grunddaten'!$A$2:$M$273,4,FALSE))</f>
        <v>Kander, Thunersee</v>
      </c>
      <c r="E55" s="271">
        <v>9.5363636363636353</v>
      </c>
      <c r="F55" s="271">
        <v>30.906065412540574</v>
      </c>
      <c r="G55" s="271">
        <v>21.363636363636363</v>
      </c>
      <c r="H55" s="272" t="s">
        <v>1072</v>
      </c>
      <c r="I55" s="273"/>
      <c r="J55" s="273" t="s">
        <v>1064</v>
      </c>
      <c r="K55" s="274"/>
      <c r="L55" s="275"/>
      <c r="M55" s="1151" t="s">
        <v>737</v>
      </c>
      <c r="N55" s="1152" t="s">
        <v>72</v>
      </c>
      <c r="O55" s="1148" t="str">
        <f>VLOOKUP(A55,Strat_Plan_Revit!$A$10:$S$321,11,FALSE)</f>
        <v>gross</v>
      </c>
      <c r="P55" s="977" t="str">
        <f>VLOOKUP(A55,Strat_Plan_Revit!$A$10:$S$321,12,FALSE)</f>
        <v>gering</v>
      </c>
      <c r="Q55" s="277" t="str">
        <f>VLOOKUP(A55,Strat_Plan_Revit!$A$10:$S$321,13,FALSE)</f>
        <v>-</v>
      </c>
      <c r="R55" s="1162" t="s">
        <v>752</v>
      </c>
      <c r="S55" s="1173" t="s">
        <v>752</v>
      </c>
      <c r="T55" s="278" t="s">
        <v>110</v>
      </c>
      <c r="U55" s="1174" t="s">
        <v>1098</v>
      </c>
      <c r="V55" s="282"/>
      <c r="W55" s="341" t="s">
        <v>1099</v>
      </c>
      <c r="X55" s="97" t="s">
        <v>1100</v>
      </c>
      <c r="Y55" s="1265" t="s">
        <v>738</v>
      </c>
      <c r="Z55" s="1258" t="s">
        <v>368</v>
      </c>
      <c r="AA55" s="1266" t="str">
        <f t="shared" si="0"/>
        <v>b</v>
      </c>
      <c r="AC55" s="572"/>
      <c r="AD55" s="572"/>
      <c r="AE55" s="572"/>
    </row>
    <row r="56" spans="1:31" ht="40.5" customHeight="1" x14ac:dyDescent="0.25">
      <c r="A56" s="926">
        <v>71</v>
      </c>
      <c r="B56" s="270" t="str">
        <f>IF(VLOOKUP(A56,'Données de base - Grunddaten'!$A$2:$M$273,5,FALSE)="","",VLOOKUP(A56,'Données de base - Grunddaten'!$A$2:$M$273,5,FALSE))</f>
        <v>BE</v>
      </c>
      <c r="C56" s="41" t="str">
        <f>IF(VLOOKUP(A56,'Données de base - Grunddaten'!$A$2:$M$273,3,FALSE)="","",VLOOKUP(A56,'Données de base - Grunddaten'!$A$2:$M$273,3,FALSE))</f>
        <v>Augand</v>
      </c>
      <c r="D56" s="41" t="str">
        <f>IF(VLOOKUP(A56,'Données de base - Grunddaten'!$A$2:$M$273,4,FALSE)="","",VLOOKUP(A56,'Données de base - Grunddaten'!$A$2:$M$273,4,FALSE))</f>
        <v>Kander, Simme</v>
      </c>
      <c r="E56" s="271">
        <v>57.736363636363635</v>
      </c>
      <c r="F56" s="271">
        <v>64.060083082563622</v>
      </c>
      <c r="G56" s="271">
        <v>6.3636363636363633</v>
      </c>
      <c r="H56" s="272" t="s">
        <v>1057</v>
      </c>
      <c r="I56" s="273" t="s">
        <v>1071</v>
      </c>
      <c r="J56" s="273" t="s">
        <v>1068</v>
      </c>
      <c r="K56" s="274"/>
      <c r="L56" s="275"/>
      <c r="M56" s="1151" t="s">
        <v>752</v>
      </c>
      <c r="N56" s="1152" t="s">
        <v>72</v>
      </c>
      <c r="O56" s="1148" t="str">
        <f>VLOOKUP(A56,Strat_Plan_Revit!$A$10:$S$321,11,FALSE)</f>
        <v>gross</v>
      </c>
      <c r="P56" s="977" t="str">
        <f>VLOOKUP(A56,Strat_Plan_Revit!$A$10:$S$321,12,FALSE)</f>
        <v>gering</v>
      </c>
      <c r="Q56" s="277" t="str">
        <f>VLOOKUP(A56,Strat_Plan_Revit!$A$10:$S$321,13,FALSE)</f>
        <v>-</v>
      </c>
      <c r="R56" s="1162" t="s">
        <v>752</v>
      </c>
      <c r="S56" s="1173" t="s">
        <v>752</v>
      </c>
      <c r="T56" s="278" t="s">
        <v>59</v>
      </c>
      <c r="U56" s="1174"/>
      <c r="V56" s="282"/>
      <c r="W56" s="448"/>
      <c r="X56" s="1191"/>
      <c r="Y56" s="1265" t="s">
        <v>752</v>
      </c>
      <c r="Z56" s="1258" t="s">
        <v>59</v>
      </c>
      <c r="AA56" s="1266" t="str">
        <f t="shared" si="0"/>
        <v>a</v>
      </c>
      <c r="AB56" s="1074" t="s">
        <v>1122</v>
      </c>
      <c r="AC56" s="572"/>
      <c r="AD56" s="572"/>
      <c r="AE56" s="572"/>
    </row>
    <row r="57" spans="1:31" ht="40.5" customHeight="1" x14ac:dyDescent="0.25">
      <c r="A57" s="926">
        <v>72</v>
      </c>
      <c r="B57" s="270" t="str">
        <f>IF(VLOOKUP(A57,'Données de base - Grunddaten'!$A$2:$M$273,5,FALSE)="","",VLOOKUP(A57,'Données de base - Grunddaten'!$A$2:$M$273,5,FALSE))</f>
        <v>BE</v>
      </c>
      <c r="C57" s="41" t="str">
        <f>IF(VLOOKUP(A57,'Données de base - Grunddaten'!$A$2:$M$273,3,FALSE)="","",VLOOKUP(A57,'Données de base - Grunddaten'!$A$2:$M$273,3,FALSE))</f>
        <v>Heustrich</v>
      </c>
      <c r="D57" s="41" t="str">
        <f>IF(VLOOKUP(A57,'Données de base - Grunddaten'!$A$2:$M$273,4,FALSE)="","",VLOOKUP(A57,'Données de base - Grunddaten'!$A$2:$M$273,4,FALSE))</f>
        <v>Kander</v>
      </c>
      <c r="E57" s="271"/>
      <c r="F57" s="271"/>
      <c r="G57" s="271"/>
      <c r="H57" s="272"/>
      <c r="I57" s="279"/>
      <c r="J57" s="279" t="s">
        <v>1068</v>
      </c>
      <c r="K57" s="280" t="s">
        <v>1057</v>
      </c>
      <c r="L57" s="275"/>
      <c r="M57" s="1151" t="s">
        <v>737</v>
      </c>
      <c r="N57" s="1152" t="s">
        <v>72</v>
      </c>
      <c r="O57" s="1148" t="str">
        <f>VLOOKUP(A57,Strat_Plan_Revit!$A$10:$S$321,11,FALSE)</f>
        <v>gross</v>
      </c>
      <c r="P57" s="977" t="str">
        <f>VLOOKUP(A57,Strat_Plan_Revit!$A$10:$S$321,12,FALSE)</f>
        <v>gross (nur Kander)</v>
      </c>
      <c r="Q57" s="277" t="str">
        <f>VLOOKUP(A57,Strat_Plan_Revit!$A$10:$S$321,13,FALSE)</f>
        <v>hoch (nur Kander)</v>
      </c>
      <c r="R57" s="1162" t="s">
        <v>737</v>
      </c>
      <c r="S57" s="1173" t="s">
        <v>737</v>
      </c>
      <c r="T57" s="278" t="s">
        <v>59</v>
      </c>
      <c r="U57" s="1174"/>
      <c r="V57" s="282"/>
      <c r="W57" s="448"/>
      <c r="X57" s="97" t="s">
        <v>1101</v>
      </c>
      <c r="Y57" s="1265" t="s">
        <v>737</v>
      </c>
      <c r="Z57" s="1258" t="s">
        <v>59</v>
      </c>
      <c r="AA57" s="1266" t="str">
        <f t="shared" si="0"/>
        <v>a</v>
      </c>
      <c r="AB57" s="1074" t="s">
        <v>1123</v>
      </c>
      <c r="AC57" s="572"/>
      <c r="AD57" s="572"/>
      <c r="AE57" s="572"/>
    </row>
    <row r="58" spans="1:31" ht="40.5" customHeight="1" x14ac:dyDescent="0.25">
      <c r="A58" s="926">
        <v>74</v>
      </c>
      <c r="B58" s="270" t="str">
        <f>IF(VLOOKUP(A58,'Données de base - Grunddaten'!$A$2:$M$273,5,FALSE)="","",VLOOKUP(A58,'Données de base - Grunddaten'!$A$2:$M$273,5,FALSE))</f>
        <v>BE</v>
      </c>
      <c r="C58" s="41" t="str">
        <f>IF(VLOOKUP(A58,'Données de base - Grunddaten'!$A$2:$M$273,3,FALSE)="","",VLOOKUP(A58,'Données de base - Grunddaten'!$A$2:$M$273,3,FALSE))</f>
        <v>Gastereholz</v>
      </c>
      <c r="D58" s="41" t="str">
        <f>IF(VLOOKUP(A58,'Données de base - Grunddaten'!$A$2:$M$273,4,FALSE)="","",VLOOKUP(A58,'Données de base - Grunddaten'!$A$2:$M$273,4,FALSE))</f>
        <v>Kander</v>
      </c>
      <c r="E58" s="271">
        <v>-7.3545454545454554</v>
      </c>
      <c r="F58" s="271">
        <v>8.0796876009794474</v>
      </c>
      <c r="G58" s="271">
        <v>15.454545454545455</v>
      </c>
      <c r="H58" s="272" t="s">
        <v>1066</v>
      </c>
      <c r="I58" s="273"/>
      <c r="J58" s="273" t="s">
        <v>1064</v>
      </c>
      <c r="K58" s="274"/>
      <c r="L58" s="275"/>
      <c r="M58" s="1151" t="s">
        <v>752</v>
      </c>
      <c r="N58" s="1152" t="s">
        <v>72</v>
      </c>
      <c r="O58" s="1148" t="str">
        <f>VLOOKUP(A58,Strat_Plan_Revit!$A$10:$S$321,11,FALSE)</f>
        <v>mittel (nur Kander)</v>
      </c>
      <c r="P58" s="977" t="str">
        <f>VLOOKUP(A58,Strat_Plan_Revit!$A$10:$S$321,12,FALSE)</f>
        <v>gering</v>
      </c>
      <c r="Q58" s="277" t="str">
        <f>VLOOKUP(A58,Strat_Plan_Revit!$A$10:$S$321,13,FALSE)</f>
        <v>-</v>
      </c>
      <c r="R58" s="1162" t="s">
        <v>752</v>
      </c>
      <c r="S58" s="1173" t="s">
        <v>752</v>
      </c>
      <c r="T58" s="278" t="s">
        <v>59</v>
      </c>
      <c r="U58" s="1174"/>
      <c r="V58" s="282"/>
      <c r="W58" s="448"/>
      <c r="X58" s="1192" t="s">
        <v>1092</v>
      </c>
      <c r="Y58" s="1265" t="s">
        <v>752</v>
      </c>
      <c r="Z58" s="1258" t="s">
        <v>59</v>
      </c>
      <c r="AA58" s="1266" t="str">
        <f t="shared" si="0"/>
        <v>a</v>
      </c>
      <c r="AC58" s="572"/>
      <c r="AD58" s="572"/>
      <c r="AE58" s="572"/>
    </row>
    <row r="59" spans="1:31" ht="40.5" customHeight="1" x14ac:dyDescent="0.25">
      <c r="A59" s="926">
        <v>75</v>
      </c>
      <c r="B59" s="270" t="str">
        <f>IF(VLOOKUP(A59,'Données de base - Grunddaten'!$A$2:$M$273,5,FALSE)="","",VLOOKUP(A59,'Données de base - Grunddaten'!$A$2:$M$273,5,FALSE))</f>
        <v>BE</v>
      </c>
      <c r="C59" s="41" t="str">
        <f>IF(VLOOKUP(A59,'Données de base - Grunddaten'!$A$2:$M$273,3,FALSE)="","",VLOOKUP(A59,'Données de base - Grunddaten'!$A$2:$M$273,3,FALSE))</f>
        <v>Brünnlisau</v>
      </c>
      <c r="D59" s="41" t="str">
        <f>IF(VLOOKUP(A59,'Données de base - Grunddaten'!$A$2:$M$273,4,FALSE)="","",VLOOKUP(A59,'Données de base - Grunddaten'!$A$2:$M$273,4,FALSE))</f>
        <v>Simme</v>
      </c>
      <c r="E59" s="271">
        <v>77.054545454545448</v>
      </c>
      <c r="F59" s="271">
        <v>86.58993470475933</v>
      </c>
      <c r="G59" s="271">
        <v>9.545454545454545</v>
      </c>
      <c r="H59" s="272" t="s">
        <v>1057</v>
      </c>
      <c r="I59" s="273" t="s">
        <v>1071</v>
      </c>
      <c r="J59" s="273" t="s">
        <v>1068</v>
      </c>
      <c r="K59" s="274"/>
      <c r="L59" s="275"/>
      <c r="M59" s="1151" t="s">
        <v>737</v>
      </c>
      <c r="N59" s="1152" t="s">
        <v>43</v>
      </c>
      <c r="O59" s="1148" t="str">
        <f>VLOOKUP(A59,Strat_Plan_Revit!$A$10:$S$321,11,FALSE)</f>
        <v>mittel (nur Simme)</v>
      </c>
      <c r="P59" s="977" t="str">
        <f>VLOOKUP(A59,Strat_Plan_Revit!$A$10:$S$321,12,FALSE)</f>
        <v>gross/mittel</v>
      </c>
      <c r="Q59" s="277" t="str">
        <f>VLOOKUP(A59,Strat_Plan_Revit!$A$10:$S$321,13,FALSE)</f>
        <v>hoch</v>
      </c>
      <c r="R59" s="1162" t="s">
        <v>737</v>
      </c>
      <c r="S59" s="1173" t="s">
        <v>737</v>
      </c>
      <c r="T59" s="278" t="s">
        <v>59</v>
      </c>
      <c r="U59" s="1174"/>
      <c r="V59" s="282"/>
      <c r="W59" s="448"/>
      <c r="X59" s="1192" t="s">
        <v>1101</v>
      </c>
      <c r="Y59" s="1265" t="s">
        <v>737</v>
      </c>
      <c r="Z59" s="1258" t="s">
        <v>59</v>
      </c>
      <c r="AA59" s="1266" t="str">
        <f t="shared" si="0"/>
        <v>a</v>
      </c>
      <c r="AC59" s="572"/>
      <c r="AD59" s="572"/>
      <c r="AE59" s="572"/>
    </row>
    <row r="60" spans="1:31" ht="40.5" customHeight="1" x14ac:dyDescent="0.25">
      <c r="A60" s="926">
        <v>76</v>
      </c>
      <c r="B60" s="270" t="str">
        <f>IF(VLOOKUP(A60,'Données de base - Grunddaten'!$A$2:$M$273,5,FALSE)="","",VLOOKUP(A60,'Données de base - Grunddaten'!$A$2:$M$273,5,FALSE))</f>
        <v>BE</v>
      </c>
      <c r="C60" s="41" t="str">
        <f>IF(VLOOKUP(A60,'Données de base - Grunddaten'!$A$2:$M$273,3,FALSE)="","",VLOOKUP(A60,'Données de base - Grunddaten'!$A$2:$M$273,3,FALSE))</f>
        <v>Wilerau</v>
      </c>
      <c r="D60" s="41" t="str">
        <f>IF(VLOOKUP(A60,'Données de base - Grunddaten'!$A$2:$M$273,4,FALSE)="","",VLOOKUP(A60,'Données de base - Grunddaten'!$A$2:$M$273,4,FALSE))</f>
        <v>Simme</v>
      </c>
      <c r="E60" s="271">
        <v>57.18181818181818</v>
      </c>
      <c r="F60" s="271">
        <v>64.023087550559637</v>
      </c>
      <c r="G60" s="271">
        <v>6.8181818181818183</v>
      </c>
      <c r="H60" s="272" t="s">
        <v>1057</v>
      </c>
      <c r="I60" s="273"/>
      <c r="J60" s="273" t="s">
        <v>1068</v>
      </c>
      <c r="K60" s="274"/>
      <c r="L60" s="275"/>
      <c r="M60" s="1151" t="s">
        <v>737</v>
      </c>
      <c r="N60" s="1152" t="s">
        <v>43</v>
      </c>
      <c r="O60" s="1148" t="str">
        <f>VLOOKUP(A60,Strat_Plan_Revit!$A$10:$S$321,11,FALSE)</f>
        <v>mittel</v>
      </c>
      <c r="P60" s="977" t="str">
        <f>VLOOKUP(A60,Strat_Plan_Revit!$A$10:$S$321,12,FALSE)</f>
        <v>gross</v>
      </c>
      <c r="Q60" s="277" t="str">
        <f>VLOOKUP(A60,Strat_Plan_Revit!$A$10:$S$321,13,FALSE)</f>
        <v>-</v>
      </c>
      <c r="R60" s="1162" t="s">
        <v>737</v>
      </c>
      <c r="S60" s="1173" t="s">
        <v>737</v>
      </c>
      <c r="T60" s="278" t="s">
        <v>59</v>
      </c>
      <c r="U60" s="1174"/>
      <c r="V60" s="282"/>
      <c r="W60" s="448"/>
      <c r="X60" s="1192" t="s">
        <v>1101</v>
      </c>
      <c r="Y60" s="1265" t="s">
        <v>737</v>
      </c>
      <c r="Z60" s="1258" t="s">
        <v>59</v>
      </c>
      <c r="AA60" s="1266" t="str">
        <f t="shared" si="0"/>
        <v>a</v>
      </c>
      <c r="AC60" s="572"/>
      <c r="AD60" s="572"/>
      <c r="AE60" s="572"/>
    </row>
    <row r="61" spans="1:31" ht="40.5" customHeight="1" x14ac:dyDescent="0.25">
      <c r="A61" s="926">
        <v>77</v>
      </c>
      <c r="B61" s="270" t="str">
        <f>IF(VLOOKUP(A61,'Données de base - Grunddaten'!$A$2:$M$273,5,FALSE)="","",VLOOKUP(A61,'Données de base - Grunddaten'!$A$2:$M$273,5,FALSE))</f>
        <v>BE</v>
      </c>
      <c r="C61" s="41" t="str">
        <f>IF(VLOOKUP(A61,'Données de base - Grunddaten'!$A$2:$M$273,3,FALSE)="","",VLOOKUP(A61,'Données de base - Grunddaten'!$A$2:$M$273,3,FALSE))</f>
        <v>Niedermettlisau</v>
      </c>
      <c r="D61" s="41" t="str">
        <f>IF(VLOOKUP(A61,'Données de base - Grunddaten'!$A$2:$M$273,4,FALSE)="","",VLOOKUP(A61,'Données de base - Grunddaten'!$A$2:$M$273,4,FALSE))</f>
        <v>Simme</v>
      </c>
      <c r="E61" s="271">
        <v>6.1363636363636367</v>
      </c>
      <c r="F61" s="271">
        <v>12.491291914629956</v>
      </c>
      <c r="G61" s="271">
        <v>6.3636363636363633</v>
      </c>
      <c r="H61" s="272" t="s">
        <v>1066</v>
      </c>
      <c r="I61" s="273"/>
      <c r="J61" s="273" t="s">
        <v>1059</v>
      </c>
      <c r="K61" s="274"/>
      <c r="L61" s="275"/>
      <c r="M61" s="1151" t="s">
        <v>720</v>
      </c>
      <c r="N61" s="1152" t="s">
        <v>43</v>
      </c>
      <c r="O61" s="1148" t="str">
        <f>VLOOKUP(A61,Strat_Plan_Revit!$A$10:$S$321,11,FALSE)</f>
        <v>gross</v>
      </c>
      <c r="P61" s="977" t="str">
        <f>VLOOKUP(A61,Strat_Plan_Revit!$A$10:$S$321,12,FALSE)</f>
        <v>mittel</v>
      </c>
      <c r="Q61" s="277" t="str">
        <f>VLOOKUP(A61,Strat_Plan_Revit!$A$10:$S$321,13,FALSE)</f>
        <v>-</v>
      </c>
      <c r="R61" s="1162" t="s">
        <v>720</v>
      </c>
      <c r="S61" s="1173" t="s">
        <v>720</v>
      </c>
      <c r="T61" s="278" t="s">
        <v>59</v>
      </c>
      <c r="U61" s="1174"/>
      <c r="V61" s="282"/>
      <c r="W61" s="448"/>
      <c r="X61" s="97" t="s">
        <v>1101</v>
      </c>
      <c r="Y61" s="1265" t="s">
        <v>720</v>
      </c>
      <c r="Z61" s="1258" t="s">
        <v>59</v>
      </c>
      <c r="AA61" s="1266" t="str">
        <f t="shared" si="0"/>
        <v>a</v>
      </c>
      <c r="AB61" s="1074" t="s">
        <v>1122</v>
      </c>
      <c r="AC61" s="572"/>
      <c r="AD61" s="572"/>
      <c r="AE61" s="572"/>
    </row>
    <row r="62" spans="1:31" ht="40.5" customHeight="1" x14ac:dyDescent="0.25">
      <c r="A62" s="926">
        <v>78</v>
      </c>
      <c r="B62" s="270" t="str">
        <f>IF(VLOOKUP(A62,'Données de base - Grunddaten'!$A$2:$M$273,5,FALSE)="","",VLOOKUP(A62,'Données de base - Grunddaten'!$A$2:$M$273,5,FALSE))</f>
        <v>BE</v>
      </c>
      <c r="C62" s="41" t="str">
        <f>IF(VLOOKUP(A62,'Données de base - Grunddaten'!$A$2:$M$273,3,FALSE)="","",VLOOKUP(A62,'Données de base - Grunddaten'!$A$2:$M$273,3,FALSE))</f>
        <v>Engstlige: Bim Stei–Oybedly</v>
      </c>
      <c r="D62" s="41" t="str">
        <f>IF(VLOOKUP(A62,'Données de base - Grunddaten'!$A$2:$M$273,4,FALSE)="","",VLOOKUP(A62,'Données de base - Grunddaten'!$A$2:$M$273,4,FALSE))</f>
        <v>Engstlige</v>
      </c>
      <c r="E62" s="271">
        <v>-5.9727272727272727</v>
      </c>
      <c r="F62" s="271">
        <v>1.3179120329817062</v>
      </c>
      <c r="G62" s="271">
        <v>7.2727272727272725</v>
      </c>
      <c r="H62" s="272" t="s">
        <v>1066</v>
      </c>
      <c r="I62" s="273"/>
      <c r="J62" s="273" t="s">
        <v>1059</v>
      </c>
      <c r="K62" s="274"/>
      <c r="L62" s="275"/>
      <c r="M62" s="1151" t="s">
        <v>720</v>
      </c>
      <c r="N62" s="1152" t="s">
        <v>43</v>
      </c>
      <c r="O62" s="1148" t="str">
        <f>VLOOKUP(A62,Strat_Plan_Revit!$A$10:$S$321,11,FALSE)</f>
        <v>gross</v>
      </c>
      <c r="P62" s="977" t="str">
        <f>VLOOKUP(A62,Strat_Plan_Revit!$A$10:$S$321,12,FALSE)</f>
        <v>gering</v>
      </c>
      <c r="Q62" s="277" t="str">
        <f>VLOOKUP(A62,Strat_Plan_Revit!$A$10:$S$321,13,FALSE)</f>
        <v>-</v>
      </c>
      <c r="R62" s="1162" t="s">
        <v>752</v>
      </c>
      <c r="S62" s="1178" t="s">
        <v>752</v>
      </c>
      <c r="T62" s="278" t="s">
        <v>110</v>
      </c>
      <c r="U62" s="1174"/>
      <c r="V62" s="282"/>
      <c r="W62" s="448"/>
      <c r="X62" s="97" t="s">
        <v>1092</v>
      </c>
      <c r="Y62" s="1274" t="s">
        <v>752</v>
      </c>
      <c r="Z62" s="1258" t="s">
        <v>59</v>
      </c>
      <c r="AA62" s="1266" t="str">
        <f t="shared" si="0"/>
        <v>a</v>
      </c>
      <c r="AC62" s="572"/>
      <c r="AD62" s="572"/>
      <c r="AE62" s="572"/>
    </row>
    <row r="63" spans="1:31" ht="40.5" customHeight="1" x14ac:dyDescent="0.25">
      <c r="A63" s="927">
        <v>79.099999999999994</v>
      </c>
      <c r="B63" s="270" t="str">
        <f>IF(VLOOKUP(A63,'Données de base - Grunddaten'!$A$2:$M$273,5,FALSE)="","",VLOOKUP(A63,'Données de base - Grunddaten'!$A$2:$M$273,5,FALSE))</f>
        <v>BE</v>
      </c>
      <c r="C63" s="41" t="str">
        <f>IF(VLOOKUP(A63,'Données de base - Grunddaten'!$A$2:$M$273,3,FALSE)="","",VLOOKUP(A63,'Données de base - Grunddaten'!$A$2:$M$273,3,FALSE))</f>
        <v>Weissenau</v>
      </c>
      <c r="D63" s="41" t="str">
        <f>IF(VLOOKUP(A63,'Données de base - Grunddaten'!$A$2:$M$273,4,FALSE)="","",VLOOKUP(A63,'Données de base - Grunddaten'!$A$2:$M$273,4,FALSE))</f>
        <v>Aare, Thunersee</v>
      </c>
      <c r="E63" s="271">
        <v>58.618181818181817</v>
      </c>
      <c r="F63" s="271">
        <v>44.927850440390493</v>
      </c>
      <c r="G63" s="271">
        <v>3.1818181818181817</v>
      </c>
      <c r="H63" s="272" t="s">
        <v>1057</v>
      </c>
      <c r="I63" s="273"/>
      <c r="J63" s="273" t="s">
        <v>1068</v>
      </c>
      <c r="K63" s="274"/>
      <c r="L63" s="275"/>
      <c r="M63" s="1151" t="s">
        <v>737</v>
      </c>
      <c r="N63" s="1152" t="s">
        <v>43</v>
      </c>
      <c r="O63" s="1148" t="str">
        <f>VLOOKUP(A63,Strat_Plan_Revit!$A$10:$S$321,11,FALSE)</f>
        <v>gross</v>
      </c>
      <c r="P63" s="977" t="str">
        <f>VLOOKUP(A63,Strat_Plan_Revit!$A$10:$S$321,12,FALSE)</f>
        <v>gross (nur Aare)</v>
      </c>
      <c r="Q63" s="277" t="str">
        <f>VLOOKUP(A63,Strat_Plan_Revit!$A$10:$S$321,13,FALSE)</f>
        <v>hoch (nur Aare)</v>
      </c>
      <c r="R63" s="1169"/>
      <c r="S63" s="1180" t="s">
        <v>737</v>
      </c>
      <c r="T63" s="278" t="s">
        <v>110</v>
      </c>
      <c r="U63" s="1174" t="s">
        <v>1104</v>
      </c>
      <c r="V63" s="1053" t="s">
        <v>126</v>
      </c>
      <c r="W63" s="1141" t="s">
        <v>1105</v>
      </c>
      <c r="X63" s="1190" t="s">
        <v>1106</v>
      </c>
      <c r="Y63" s="1273" t="s">
        <v>737</v>
      </c>
      <c r="Z63" s="1260" t="s">
        <v>110</v>
      </c>
      <c r="AA63" s="1266" t="str">
        <f t="shared" si="0"/>
        <v>a</v>
      </c>
      <c r="AC63" s="572"/>
      <c r="AD63" s="572"/>
      <c r="AE63" s="572"/>
    </row>
    <row r="64" spans="1:31" ht="40.5" customHeight="1" x14ac:dyDescent="0.25">
      <c r="A64" s="927">
        <v>79.2</v>
      </c>
      <c r="B64" s="270" t="str">
        <f>IF(VLOOKUP(A64,'Données de base - Grunddaten'!$A$2:$M$273,5,FALSE)="","",VLOOKUP(A64,'Données de base - Grunddaten'!$A$2:$M$273,5,FALSE))</f>
        <v>BE</v>
      </c>
      <c r="C64" s="41" t="str">
        <f>IF(VLOOKUP(A64,'Données de base - Grunddaten'!$A$2:$M$273,3,FALSE)="","",VLOOKUP(A64,'Données de base - Grunddaten'!$A$2:$M$273,3,FALSE))</f>
        <v>Weissenau</v>
      </c>
      <c r="D64" s="41" t="str">
        <f>IF(VLOOKUP(A64,'Données de base - Grunddaten'!$A$2:$M$273,4,FALSE)="","",VLOOKUP(A64,'Données de base - Grunddaten'!$A$2:$M$273,4,FALSE))</f>
        <v>Aare, Thunersee</v>
      </c>
      <c r="E64" s="271"/>
      <c r="F64" s="271"/>
      <c r="G64" s="271"/>
      <c r="H64" s="272"/>
      <c r="I64" s="279"/>
      <c r="J64" s="279" t="s">
        <v>1068</v>
      </c>
      <c r="K64" s="280" t="s">
        <v>1066</v>
      </c>
      <c r="L64" s="281" t="s">
        <v>1108</v>
      </c>
      <c r="M64" s="1151" t="s">
        <v>752</v>
      </c>
      <c r="N64" s="1152" t="s">
        <v>72</v>
      </c>
      <c r="O64" s="1148">
        <f>VLOOKUP(A64,Strat_Plan_Revit!$A$10:$S$321,11,FALSE)</f>
        <v>0</v>
      </c>
      <c r="P64" s="977">
        <f>VLOOKUP(A64,Strat_Plan_Revit!$A$10:$S$321,12,FALSE)</f>
        <v>0</v>
      </c>
      <c r="Q64" s="277">
        <f>VLOOKUP(A64,Strat_Plan_Revit!$A$10:$S$321,13,FALSE)</f>
        <v>0</v>
      </c>
      <c r="R64" s="1162" t="s">
        <v>737</v>
      </c>
      <c r="S64" s="1180" t="s">
        <v>737</v>
      </c>
      <c r="T64" s="278" t="s">
        <v>110</v>
      </c>
      <c r="U64" s="1174" t="s">
        <v>1109</v>
      </c>
      <c r="V64" s="1053" t="s">
        <v>126</v>
      </c>
      <c r="W64" s="1141" t="s">
        <v>1110</v>
      </c>
      <c r="X64" s="1190" t="s">
        <v>1111</v>
      </c>
      <c r="Y64" s="284" t="s">
        <v>752</v>
      </c>
      <c r="Z64" s="1260" t="s">
        <v>368</v>
      </c>
      <c r="AA64" s="1266" t="str">
        <f t="shared" si="0"/>
        <v>b</v>
      </c>
      <c r="AB64" s="1198"/>
      <c r="AC64" s="572"/>
      <c r="AD64" s="572"/>
      <c r="AE64" s="572"/>
    </row>
    <row r="65" spans="1:31" ht="40.5" customHeight="1" x14ac:dyDescent="0.25">
      <c r="A65" s="926">
        <v>80</v>
      </c>
      <c r="B65" s="270" t="str">
        <f>IF(VLOOKUP(A65,'Données de base - Grunddaten'!$A$2:$M$273,5,FALSE)="","",VLOOKUP(A65,'Données de base - Grunddaten'!$A$2:$M$273,5,FALSE))</f>
        <v>BE</v>
      </c>
      <c r="C65" s="41" t="str">
        <f>IF(VLOOKUP(A65,'Données de base - Grunddaten'!$A$2:$M$273,3,FALSE)="","",VLOOKUP(A65,'Données de base - Grunddaten'!$A$2:$M$273,3,FALSE))</f>
        <v>Chappelistutz</v>
      </c>
      <c r="D65" s="41" t="str">
        <f>IF(VLOOKUP(A65,'Données de base - Grunddaten'!$A$2:$M$273,4,FALSE)="","",VLOOKUP(A65,'Données de base - Grunddaten'!$A$2:$M$273,4,FALSE))</f>
        <v>Lütschine</v>
      </c>
      <c r="E65" s="271"/>
      <c r="F65" s="271"/>
      <c r="G65" s="271"/>
      <c r="H65" s="272"/>
      <c r="I65" s="279"/>
      <c r="J65" s="279" t="s">
        <v>1059</v>
      </c>
      <c r="K65" s="280" t="s">
        <v>1078</v>
      </c>
      <c r="L65" s="281" t="s">
        <v>1112</v>
      </c>
      <c r="M65" s="1151" t="s">
        <v>738</v>
      </c>
      <c r="N65" s="1152" t="s">
        <v>72</v>
      </c>
      <c r="O65" s="1148" t="str">
        <f>VLOOKUP(A65,Strat_Plan_Revit!$A$10:$S$321,11,FALSE)</f>
        <v>gross</v>
      </c>
      <c r="P65" s="977" t="str">
        <f>VLOOKUP(A65,Strat_Plan_Revit!$A$10:$S$321,12,FALSE)</f>
        <v>gross</v>
      </c>
      <c r="Q65" s="277" t="str">
        <f>VLOOKUP(A65,Strat_Plan_Revit!$A$10:$S$321,13,FALSE)</f>
        <v>hoch</v>
      </c>
      <c r="R65" s="1162" t="s">
        <v>738</v>
      </c>
      <c r="S65" s="1173" t="s">
        <v>738</v>
      </c>
      <c r="T65" s="278" t="s">
        <v>59</v>
      </c>
      <c r="U65" s="1174"/>
      <c r="V65" s="282"/>
      <c r="W65" s="448"/>
      <c r="X65" s="1192" t="s">
        <v>1092</v>
      </c>
      <c r="Y65" s="1265" t="s">
        <v>738</v>
      </c>
      <c r="Z65" s="1258" t="s">
        <v>59</v>
      </c>
      <c r="AA65" s="1266" t="str">
        <f t="shared" si="0"/>
        <v>a</v>
      </c>
      <c r="AC65" s="572"/>
      <c r="AD65" s="572"/>
      <c r="AE65" s="572"/>
    </row>
    <row r="66" spans="1:31" ht="40.5" customHeight="1" x14ac:dyDescent="0.25">
      <c r="A66" s="926">
        <v>81</v>
      </c>
      <c r="B66" s="270" t="str">
        <f>IF(VLOOKUP(A66,'Données de base - Grunddaten'!$A$2:$M$273,5,FALSE)="","",VLOOKUP(A66,'Données de base - Grunddaten'!$A$2:$M$273,5,FALSE))</f>
        <v>BE</v>
      </c>
      <c r="C66" s="41" t="str">
        <f>IF(VLOOKUP(A66,'Données de base - Grunddaten'!$A$2:$M$273,3,FALSE)="","",VLOOKUP(A66,'Données de base - Grunddaten'!$A$2:$M$273,3,FALSE))</f>
        <v>In Erlen</v>
      </c>
      <c r="D66" s="41" t="str">
        <f>IF(VLOOKUP(A66,'Données de base - Grunddaten'!$A$2:$M$273,4,FALSE)="","",VLOOKUP(A66,'Données de base - Grunddaten'!$A$2:$M$273,4,FALSE))</f>
        <v>Weisse Lütschine, Schwarze Lütschine</v>
      </c>
      <c r="E66" s="271">
        <v>38.200000000000003</v>
      </c>
      <c r="F66" s="271">
        <v>48.15407313300333</v>
      </c>
      <c r="G66" s="271">
        <v>10</v>
      </c>
      <c r="H66" s="272" t="s">
        <v>1057</v>
      </c>
      <c r="I66" s="273"/>
      <c r="J66" s="273" t="s">
        <v>1068</v>
      </c>
      <c r="K66" s="274"/>
      <c r="L66" s="275"/>
      <c r="M66" s="1151" t="s">
        <v>737</v>
      </c>
      <c r="N66" s="1152" t="s">
        <v>43</v>
      </c>
      <c r="O66" s="1148" t="str">
        <f>VLOOKUP(A66,Strat_Plan_Revit!$A$10:$S$321,11,FALSE)</f>
        <v>mittel</v>
      </c>
      <c r="P66" s="977" t="str">
        <f>VLOOKUP(A66,Strat_Plan_Revit!$A$10:$S$321,12,FALSE)</f>
        <v>gross</v>
      </c>
      <c r="Q66" s="277" t="str">
        <f>VLOOKUP(A66,Strat_Plan_Revit!$A$10:$S$321,13,FALSE)</f>
        <v>hoch</v>
      </c>
      <c r="R66" s="1162" t="s">
        <v>737</v>
      </c>
      <c r="S66" s="1173" t="s">
        <v>737</v>
      </c>
      <c r="T66" s="278" t="s">
        <v>59</v>
      </c>
      <c r="U66" s="1174"/>
      <c r="V66" s="282"/>
      <c r="W66" s="448"/>
      <c r="X66" s="1192" t="s">
        <v>1113</v>
      </c>
      <c r="Y66" s="1265" t="s">
        <v>738</v>
      </c>
      <c r="Z66" s="1260" t="s">
        <v>368</v>
      </c>
      <c r="AA66" s="1266" t="s">
        <v>43</v>
      </c>
      <c r="AC66" s="572"/>
      <c r="AD66" s="572"/>
      <c r="AE66" s="572"/>
    </row>
    <row r="67" spans="1:31" ht="40.5" customHeight="1" x14ac:dyDescent="0.25">
      <c r="A67" s="926">
        <v>83</v>
      </c>
      <c r="B67" s="270" t="str">
        <f>IF(VLOOKUP(A67,'Données de base - Grunddaten'!$A$2:$M$273,5,FALSE)="","",VLOOKUP(A67,'Données de base - Grunddaten'!$A$2:$M$273,5,FALSE))</f>
        <v>BE</v>
      </c>
      <c r="C67" s="41" t="str">
        <f>IF(VLOOKUP(A67,'Données de base - Grunddaten'!$A$2:$M$273,3,FALSE)="","",VLOOKUP(A67,'Données de base - Grunddaten'!$A$2:$M$273,3,FALSE))</f>
        <v>Jägglisglunte</v>
      </c>
      <c r="D67" s="41" t="str">
        <f>IF(VLOOKUP(A67,'Données de base - Grunddaten'!$A$2:$M$273,4,FALSE)="","",VLOOKUP(A67,'Données de base - Grunddaten'!$A$2:$M$273,4,FALSE))</f>
        <v>Aare</v>
      </c>
      <c r="E67" s="271">
        <v>-1.3636363636363635</v>
      </c>
      <c r="F67" s="271">
        <v>0</v>
      </c>
      <c r="G67" s="271">
        <v>1.3636363636363635</v>
      </c>
      <c r="H67" s="272" t="s">
        <v>1061</v>
      </c>
      <c r="I67" s="273"/>
      <c r="J67" s="273" t="s">
        <v>1059</v>
      </c>
      <c r="K67" s="274"/>
      <c r="L67" s="275"/>
      <c r="M67" s="1151" t="s">
        <v>752</v>
      </c>
      <c r="N67" s="1152" t="s">
        <v>43</v>
      </c>
      <c r="O67" s="1148" t="str">
        <f>VLOOKUP(A67,Strat_Plan_Revit!$A$10:$S$321,11,FALSE)</f>
        <v>gross</v>
      </c>
      <c r="P67" s="977" t="str">
        <f>VLOOKUP(A67,Strat_Plan_Revit!$A$10:$S$321,12,FALSE)</f>
        <v>gross</v>
      </c>
      <c r="Q67" s="277" t="str">
        <f>VLOOKUP(A67,Strat_Plan_Revit!$A$10:$S$321,13,FALSE)</f>
        <v>-</v>
      </c>
      <c r="R67" s="1162" t="s">
        <v>737</v>
      </c>
      <c r="S67" s="1180" t="s">
        <v>737</v>
      </c>
      <c r="T67" s="278" t="s">
        <v>110</v>
      </c>
      <c r="U67" s="1174"/>
      <c r="V67" s="1053" t="s">
        <v>126</v>
      </c>
      <c r="W67" s="1140"/>
      <c r="X67" s="1190" t="s">
        <v>1114</v>
      </c>
      <c r="Y67" s="1265" t="s">
        <v>723</v>
      </c>
      <c r="Z67" s="1260" t="s">
        <v>368</v>
      </c>
      <c r="AA67" s="1266" t="str">
        <f t="shared" si="0"/>
        <v>b</v>
      </c>
      <c r="AB67" s="1198"/>
      <c r="AC67" s="572"/>
      <c r="AD67" s="572"/>
      <c r="AE67" s="572"/>
    </row>
    <row r="68" spans="1:31" ht="40.5" customHeight="1" x14ac:dyDescent="0.25">
      <c r="A68" s="926">
        <v>84</v>
      </c>
      <c r="B68" s="270" t="str">
        <f>IF(VLOOKUP(A68,'Données de base - Grunddaten'!$A$2:$M$273,5,FALSE)="","",VLOOKUP(A68,'Données de base - Grunddaten'!$A$2:$M$273,5,FALSE))</f>
        <v>BE</v>
      </c>
      <c r="C68" s="41" t="str">
        <f>IF(VLOOKUP(A68,'Données de base - Grunddaten'!$A$2:$M$273,3,FALSE)="","",VLOOKUP(A68,'Données de base - Grunddaten'!$A$2:$M$273,3,FALSE))</f>
        <v>Sytenwald</v>
      </c>
      <c r="D68" s="41" t="str">
        <f>IF(VLOOKUP(A68,'Données de base - Grunddaten'!$A$2:$M$273,4,FALSE)="","",VLOOKUP(A68,'Données de base - Grunddaten'!$A$2:$M$273,4,FALSE))</f>
        <v>Aare</v>
      </c>
      <c r="E68" s="271">
        <v>12.909090909090908</v>
      </c>
      <c r="F68" s="271">
        <v>22.017850042394038</v>
      </c>
      <c r="G68" s="271">
        <v>9.0909090909090917</v>
      </c>
      <c r="H68" s="272" t="s">
        <v>1066</v>
      </c>
      <c r="I68" s="273"/>
      <c r="J68" s="273" t="s">
        <v>1059</v>
      </c>
      <c r="K68" s="274"/>
      <c r="L68" s="275"/>
      <c r="M68" s="1151" t="s">
        <v>738</v>
      </c>
      <c r="N68" s="1152" t="s">
        <v>72</v>
      </c>
      <c r="O68" s="1148" t="str">
        <f>VLOOKUP(A68,Strat_Plan_Revit!$A$10:$S$321,11,FALSE)</f>
        <v>mittel/gering</v>
      </c>
      <c r="P68" s="977" t="str">
        <f>VLOOKUP(A68,Strat_Plan_Revit!$A$10:$S$321,12,FALSE)</f>
        <v>gross</v>
      </c>
      <c r="Q68" s="277" t="str">
        <f>VLOOKUP(A68,Strat_Plan_Revit!$A$10:$S$321,13,FALSE)</f>
        <v>hoch / mittel</v>
      </c>
      <c r="R68" s="1162" t="s">
        <v>738</v>
      </c>
      <c r="S68" s="1173" t="s">
        <v>738</v>
      </c>
      <c r="T68" s="278" t="s">
        <v>59</v>
      </c>
      <c r="U68" s="1174"/>
      <c r="V68" s="282"/>
      <c r="W68" s="448"/>
      <c r="X68" s="1192" t="s">
        <v>1092</v>
      </c>
      <c r="Y68" s="1265" t="s">
        <v>738</v>
      </c>
      <c r="Z68" s="1258" t="s">
        <v>59</v>
      </c>
      <c r="AA68" s="1266" t="str">
        <f t="shared" si="0"/>
        <v>a</v>
      </c>
      <c r="AC68" s="572"/>
      <c r="AD68" s="572"/>
      <c r="AE68" s="572"/>
    </row>
    <row r="69" spans="1:31" ht="40.5" customHeight="1" x14ac:dyDescent="0.25">
      <c r="A69" s="926">
        <v>86</v>
      </c>
      <c r="B69" s="270" t="str">
        <f>IF(VLOOKUP(A69,'Données de base - Grunddaten'!$A$2:$M$273,5,FALSE)="","",VLOOKUP(A69,'Données de base - Grunddaten'!$A$2:$M$273,5,FALSE))</f>
        <v>BE</v>
      </c>
      <c r="C69" s="41" t="str">
        <f>IF(VLOOKUP(A69,'Données de base - Grunddaten'!$A$2:$M$273,3,FALSE)="","",VLOOKUP(A69,'Données de base - Grunddaten'!$A$2:$M$273,3,FALSE))</f>
        <v>Sandey</v>
      </c>
      <c r="D69" s="41" t="str">
        <f>IF(VLOOKUP(A69,'Données de base - Grunddaten'!$A$2:$M$273,4,FALSE)="","",VLOOKUP(A69,'Données de base - Grunddaten'!$A$2:$M$273,4,FALSE))</f>
        <v>Urbachwasser</v>
      </c>
      <c r="E69" s="271">
        <v>-11.118181818181817</v>
      </c>
      <c r="F69" s="271">
        <v>5.749152288919273</v>
      </c>
      <c r="G69" s="271">
        <v>16.818181818181817</v>
      </c>
      <c r="H69" s="272" t="s">
        <v>1066</v>
      </c>
      <c r="I69" s="273" t="s">
        <v>1071</v>
      </c>
      <c r="J69" s="273" t="s">
        <v>1068</v>
      </c>
      <c r="K69" s="274"/>
      <c r="L69" s="275"/>
      <c r="M69" s="1151" t="s">
        <v>737</v>
      </c>
      <c r="N69" s="1152" t="s">
        <v>72</v>
      </c>
      <c r="O69" s="1148" t="str">
        <f>VLOOKUP(A69,Strat_Plan_Revit!$A$10:$S$321,11,FALSE)</f>
        <v>mittel</v>
      </c>
      <c r="P69" s="977" t="str">
        <f>VLOOKUP(A69,Strat_Plan_Revit!$A$10:$S$321,12,FALSE)</f>
        <v>mittel</v>
      </c>
      <c r="Q69" s="277" t="str">
        <f>VLOOKUP(A69,Strat_Plan_Revit!$A$10:$S$321,13,FALSE)</f>
        <v>mittel</v>
      </c>
      <c r="R69" s="1162" t="s">
        <v>720</v>
      </c>
      <c r="S69" s="1173" t="s">
        <v>720</v>
      </c>
      <c r="T69" s="278" t="s">
        <v>110</v>
      </c>
      <c r="U69" s="1174"/>
      <c r="V69" s="282"/>
      <c r="W69" s="448"/>
      <c r="X69" s="1192" t="s">
        <v>1115</v>
      </c>
      <c r="Y69" s="1265" t="s">
        <v>723</v>
      </c>
      <c r="Z69" s="1260" t="s">
        <v>368</v>
      </c>
      <c r="AA69" s="1266" t="str">
        <f t="shared" ref="AA69:AA132" si="1">IF(Z69="a",Z69,IF(Z69="b",Z69,IF(Z69="c","a",IF(Z69="d","a",IF(Z69="e","b")))))</f>
        <v>b</v>
      </c>
      <c r="AC69" s="572"/>
      <c r="AD69" s="572"/>
      <c r="AE69" s="572"/>
    </row>
    <row r="70" spans="1:31" ht="40.5" customHeight="1" x14ac:dyDescent="0.25">
      <c r="A70" s="926">
        <v>87</v>
      </c>
      <c r="B70" s="270" t="str">
        <f>IF(VLOOKUP(A70,'Données de base - Grunddaten'!$A$2:$M$273,5,FALSE)="","",VLOOKUP(A70,'Données de base - Grunddaten'!$A$2:$M$273,5,FALSE))</f>
        <v>AG</v>
      </c>
      <c r="C70" s="41" t="str">
        <f>IF(VLOOKUP(A70,'Données de base - Grunddaten'!$A$2:$M$273,3,FALSE)="","",VLOOKUP(A70,'Données de base - Grunddaten'!$A$2:$M$273,3,FALSE))</f>
        <v>Rüsshalden</v>
      </c>
      <c r="D70" s="41" t="str">
        <f>IF(VLOOKUP(A70,'Données de base - Grunddaten'!$A$2:$M$273,4,FALSE)="","",VLOOKUP(A70,'Données de base - Grunddaten'!$A$2:$M$273,4,FALSE))</f>
        <v>Reuss</v>
      </c>
      <c r="E70" s="271">
        <v>-2.2727272727272729</v>
      </c>
      <c r="F70" s="271">
        <v>0</v>
      </c>
      <c r="G70" s="271">
        <v>2.2727272727272729</v>
      </c>
      <c r="H70" s="272" t="s">
        <v>1061</v>
      </c>
      <c r="I70" s="273" t="s">
        <v>1071</v>
      </c>
      <c r="J70" s="273" t="s">
        <v>1059</v>
      </c>
      <c r="K70" s="274"/>
      <c r="L70" s="275"/>
      <c r="M70" s="1151" t="s">
        <v>737</v>
      </c>
      <c r="N70" s="1152" t="s">
        <v>72</v>
      </c>
      <c r="O70" s="1148" t="str">
        <f>VLOOKUP(A70,Strat_Plan_Revit!$A$10:$S$321,11,FALSE)</f>
        <v>gross</v>
      </c>
      <c r="P70" s="977" t="str">
        <f>VLOOKUP(A70,Strat_Plan_Revit!$A$10:$S$321,12,FALSE)</f>
        <v>gering</v>
      </c>
      <c r="Q70" s="277" t="str">
        <f>VLOOKUP(A70,Strat_Plan_Revit!$A$10:$S$321,13,FALSE)</f>
        <v>-</v>
      </c>
      <c r="R70" s="1162" t="s">
        <v>752</v>
      </c>
      <c r="S70" s="1178" t="s">
        <v>752</v>
      </c>
      <c r="T70" s="278" t="s">
        <v>110</v>
      </c>
      <c r="U70" s="1174"/>
      <c r="V70" s="282"/>
      <c r="W70" s="1139"/>
      <c r="X70" s="1189" t="s">
        <v>1070</v>
      </c>
      <c r="Y70" s="1274" t="s">
        <v>752</v>
      </c>
      <c r="Z70" s="1258" t="s">
        <v>110</v>
      </c>
      <c r="AA70" s="1266" t="str">
        <f t="shared" si="1"/>
        <v>a</v>
      </c>
      <c r="AC70" s="572"/>
      <c r="AD70" s="572"/>
      <c r="AE70" s="572"/>
    </row>
    <row r="71" spans="1:31" ht="40.5" customHeight="1" x14ac:dyDescent="0.25">
      <c r="A71" s="926">
        <v>88</v>
      </c>
      <c r="B71" s="270" t="str">
        <f>IF(VLOOKUP(A71,'Données de base - Grunddaten'!$A$2:$M$273,5,FALSE)="","",VLOOKUP(A71,'Données de base - Grunddaten'!$A$2:$M$273,5,FALSE))</f>
        <v>AG</v>
      </c>
      <c r="C71" s="41" t="str">
        <f>IF(VLOOKUP(A71,'Données de base - Grunddaten'!$A$2:$M$273,3,FALSE)="","",VLOOKUP(A71,'Données de base - Grunddaten'!$A$2:$M$273,3,FALSE))</f>
        <v>Tote Reuss–Alte Reuss</v>
      </c>
      <c r="D71" s="41" t="str">
        <f>IF(VLOOKUP(A71,'Données de base - Grunddaten'!$A$2:$M$273,4,FALSE)="","",VLOOKUP(A71,'Données de base - Grunddaten'!$A$2:$M$273,4,FALSE))</f>
        <v>Reuss</v>
      </c>
      <c r="E71" s="271">
        <v>-16.481818181818181</v>
      </c>
      <c r="F71" s="271">
        <v>21.652581303106853</v>
      </c>
      <c r="G71" s="271">
        <v>38.18181818181818</v>
      </c>
      <c r="H71" s="272" t="s">
        <v>1072</v>
      </c>
      <c r="I71" s="273"/>
      <c r="J71" s="273" t="s">
        <v>1059</v>
      </c>
      <c r="K71" s="274"/>
      <c r="L71" s="275"/>
      <c r="M71" s="1151" t="s">
        <v>738</v>
      </c>
      <c r="N71" s="1152" t="s">
        <v>72</v>
      </c>
      <c r="O71" s="1148" t="str">
        <f>VLOOKUP(A71,Strat_Plan_Revit!$A$10:$S$321,11,FALSE)</f>
        <v>gross / mittel</v>
      </c>
      <c r="P71" s="977" t="str">
        <f>VLOOKUP(A71,Strat_Plan_Revit!$A$10:$S$321,12,FALSE)</f>
        <v>gross / mittel / gering</v>
      </c>
      <c r="Q71" s="277" t="str">
        <f>VLOOKUP(A71,Strat_Plan_Revit!$A$10:$S$321,13,FALSE)</f>
        <v>20 Jahre: 1. Drittel</v>
      </c>
      <c r="R71" s="1162" t="s">
        <v>738</v>
      </c>
      <c r="S71" s="1173" t="s">
        <v>738</v>
      </c>
      <c r="T71" s="278" t="s">
        <v>59</v>
      </c>
      <c r="U71" s="1174"/>
      <c r="V71" s="282"/>
      <c r="W71" s="1143"/>
      <c r="X71" s="97" t="s">
        <v>1073</v>
      </c>
      <c r="Y71" s="1265" t="s">
        <v>720</v>
      </c>
      <c r="Z71" s="1260" t="s">
        <v>368</v>
      </c>
      <c r="AA71" s="1266" t="str">
        <f t="shared" si="1"/>
        <v>b</v>
      </c>
      <c r="AC71" s="572"/>
      <c r="AD71" s="572"/>
      <c r="AE71" s="572"/>
    </row>
    <row r="72" spans="1:31" ht="40.5" customHeight="1" x14ac:dyDescent="0.25">
      <c r="A72" s="926">
        <v>91</v>
      </c>
      <c r="B72" s="270" t="str">
        <f>IF(VLOOKUP(A72,'Données de base - Grunddaten'!$A$2:$M$273,5,FALSE)="","",VLOOKUP(A72,'Données de base - Grunddaten'!$A$2:$M$273,5,FALSE))</f>
        <v>AG</v>
      </c>
      <c r="C72" s="41" t="str">
        <f>IF(VLOOKUP(A72,'Données de base - Grunddaten'!$A$2:$M$273,3,FALSE)="","",VLOOKUP(A72,'Données de base - Grunddaten'!$A$2:$M$273,3,FALSE))</f>
        <v>Rottenschwiler Moos</v>
      </c>
      <c r="D72" s="41" t="str">
        <f>IF(VLOOKUP(A72,'Données de base - Grunddaten'!$A$2:$M$273,4,FALSE)="","",VLOOKUP(A72,'Données de base - Grunddaten'!$A$2:$M$273,4,FALSE))</f>
        <v>Reuss</v>
      </c>
      <c r="E72" s="271"/>
      <c r="F72" s="271"/>
      <c r="G72" s="271"/>
      <c r="H72" s="272"/>
      <c r="I72" s="279"/>
      <c r="J72" s="279" t="s">
        <v>1068</v>
      </c>
      <c r="K72" s="280" t="s">
        <v>1057</v>
      </c>
      <c r="L72" s="281" t="s">
        <v>1074</v>
      </c>
      <c r="M72" s="1151" t="s">
        <v>737</v>
      </c>
      <c r="N72" s="1152" t="s">
        <v>43</v>
      </c>
      <c r="O72" s="1148" t="str">
        <f>VLOOKUP(A72,Strat_Plan_Revit!$A$10:$S$321,11,FALSE)</f>
        <v>gross</v>
      </c>
      <c r="P72" s="977" t="str">
        <f>VLOOKUP(A72,Strat_Plan_Revit!$A$10:$S$321,12,FALSE)</f>
        <v>gering</v>
      </c>
      <c r="Q72" s="277" t="str">
        <f>VLOOKUP(A72,Strat_Plan_Revit!$A$10:$S$321,13,FALSE)</f>
        <v>-</v>
      </c>
      <c r="R72" s="1162" t="s">
        <v>752</v>
      </c>
      <c r="S72" s="1180" t="s">
        <v>737</v>
      </c>
      <c r="T72" s="278" t="s">
        <v>43</v>
      </c>
      <c r="U72" s="1174"/>
      <c r="V72" s="1053" t="s">
        <v>126</v>
      </c>
      <c r="W72" s="1144"/>
      <c r="X72" s="1190" t="s">
        <v>1075</v>
      </c>
      <c r="Y72" s="284" t="s">
        <v>723</v>
      </c>
      <c r="Z72" s="1258" t="s">
        <v>368</v>
      </c>
      <c r="AA72" s="1266" t="str">
        <f t="shared" si="1"/>
        <v>b</v>
      </c>
      <c r="AC72" s="572"/>
      <c r="AD72" s="572"/>
      <c r="AE72" s="572"/>
    </row>
    <row r="73" spans="1:31" ht="40.5" customHeight="1" x14ac:dyDescent="0.25">
      <c r="A73" s="926">
        <v>92</v>
      </c>
      <c r="B73" s="270" t="str">
        <f>IF(VLOOKUP(A73,'Données de base - Grunddaten'!$A$2:$M$273,5,FALSE)="","",VLOOKUP(A73,'Données de base - Grunddaten'!$A$2:$M$273,5,FALSE))</f>
        <v>AG/ZH</v>
      </c>
      <c r="C73" s="41" t="str">
        <f>IF(VLOOKUP(A73,'Données de base - Grunddaten'!$A$2:$M$273,3,FALSE)="","",VLOOKUP(A73,'Données de base - Grunddaten'!$A$2:$M$273,3,FALSE))</f>
        <v>Still Rüss–Rickenbach</v>
      </c>
      <c r="D73" s="41" t="str">
        <f>IF(VLOOKUP(A73,'Données de base - Grunddaten'!$A$2:$M$273,4,FALSE)="","",VLOOKUP(A73,'Données de base - Grunddaten'!$A$2:$M$273,4,FALSE))</f>
        <v>Reuss</v>
      </c>
      <c r="E73" s="271">
        <v>-38.9</v>
      </c>
      <c r="F73" s="271">
        <v>61.103380492596223</v>
      </c>
      <c r="G73" s="271">
        <v>100</v>
      </c>
      <c r="H73" s="272" t="s">
        <v>1078</v>
      </c>
      <c r="I73" s="273" t="s">
        <v>1058</v>
      </c>
      <c r="J73" s="273" t="s">
        <v>1068</v>
      </c>
      <c r="K73" s="274"/>
      <c r="L73" s="275"/>
      <c r="M73" s="1151" t="s">
        <v>737</v>
      </c>
      <c r="N73" s="1152" t="s">
        <v>72</v>
      </c>
      <c r="O73" s="1148" t="s">
        <v>1876</v>
      </c>
      <c r="P73" s="977" t="s">
        <v>1877</v>
      </c>
      <c r="Q73" s="277" t="s">
        <v>1878</v>
      </c>
      <c r="R73" s="1162" t="s">
        <v>737</v>
      </c>
      <c r="S73" s="1173" t="s">
        <v>737</v>
      </c>
      <c r="T73" s="278" t="s">
        <v>59</v>
      </c>
      <c r="U73" s="1174"/>
      <c r="V73" s="282"/>
      <c r="W73" s="1144"/>
      <c r="X73" s="1192" t="s">
        <v>1083</v>
      </c>
      <c r="Y73" s="284" t="s">
        <v>723</v>
      </c>
      <c r="Z73" s="1258" t="s">
        <v>368</v>
      </c>
      <c r="AA73" s="1266" t="str">
        <f t="shared" si="1"/>
        <v>b</v>
      </c>
      <c r="AC73" s="572"/>
      <c r="AD73" s="572"/>
      <c r="AE73" s="572"/>
    </row>
    <row r="74" spans="1:31" ht="40.5" customHeight="1" x14ac:dyDescent="0.25">
      <c r="A74" s="926">
        <v>95</v>
      </c>
      <c r="B74" s="270" t="str">
        <f>IF(VLOOKUP(A74,'Données de base - Grunddaten'!$A$2:$M$273,5,FALSE)="","",VLOOKUP(A74,'Données de base - Grunddaten'!$A$2:$M$273,5,FALSE))</f>
        <v>AG/ZG/ZH</v>
      </c>
      <c r="C74" s="41" t="str">
        <f>IF(VLOOKUP(A74,'Données de base - Grunddaten'!$A$2:$M$273,3,FALSE)="","",VLOOKUP(A74,'Données de base - Grunddaten'!$A$2:$M$273,3,FALSE))</f>
        <v>Ober Schachen–Rüssspitz</v>
      </c>
      <c r="D74" s="41" t="str">
        <f>IF(VLOOKUP(A74,'Données de base - Grunddaten'!$A$2:$M$273,4,FALSE)="","",VLOOKUP(A74,'Données de base - Grunddaten'!$A$2:$M$273,4,FALSE))</f>
        <v>Reuss</v>
      </c>
      <c r="E74" s="271">
        <v>36.654545454545456</v>
      </c>
      <c r="F74" s="271">
        <v>66.193881847284004</v>
      </c>
      <c r="G74" s="271">
        <v>29.545454545454547</v>
      </c>
      <c r="H74" s="272" t="s">
        <v>1078</v>
      </c>
      <c r="I74" s="273"/>
      <c r="J74" s="273" t="s">
        <v>1068</v>
      </c>
      <c r="K74" s="274"/>
      <c r="L74" s="275"/>
      <c r="M74" s="1151" t="s">
        <v>737</v>
      </c>
      <c r="N74" s="1152" t="s">
        <v>72</v>
      </c>
      <c r="O74" s="1148" t="s">
        <v>1879</v>
      </c>
      <c r="P74" s="977" t="s">
        <v>1880</v>
      </c>
      <c r="Q74" s="277" t="s">
        <v>1881</v>
      </c>
      <c r="R74" s="1162" t="s">
        <v>737</v>
      </c>
      <c r="S74" s="1173" t="s">
        <v>737</v>
      </c>
      <c r="T74" s="278" t="s">
        <v>59</v>
      </c>
      <c r="U74" s="1174"/>
      <c r="V74" s="282"/>
      <c r="W74" s="1144"/>
      <c r="X74" s="1186" t="s">
        <v>1081</v>
      </c>
      <c r="Y74" s="284" t="s">
        <v>723</v>
      </c>
      <c r="Z74" s="1258" t="s">
        <v>368</v>
      </c>
      <c r="AA74" s="1266" t="str">
        <f t="shared" si="1"/>
        <v>b</v>
      </c>
      <c r="AC74" s="572"/>
      <c r="AD74" s="572"/>
      <c r="AE74" s="572"/>
    </row>
    <row r="75" spans="1:31" ht="40.5" customHeight="1" x14ac:dyDescent="0.25">
      <c r="A75" s="926">
        <v>97</v>
      </c>
      <c r="B75" s="270" t="str">
        <f>IF(VLOOKUP(A75,'Données de base - Grunddaten'!$A$2:$M$273,5,FALSE)="","",VLOOKUP(A75,'Données de base - Grunddaten'!$A$2:$M$273,5,FALSE))</f>
        <v>ZG</v>
      </c>
      <c r="C75" s="41" t="str">
        <f>IF(VLOOKUP(A75,'Données de base - Grunddaten'!$A$2:$M$273,3,FALSE)="","",VLOOKUP(A75,'Données de base - Grunddaten'!$A$2:$M$273,3,FALSE))</f>
        <v>Frauental</v>
      </c>
      <c r="D75" s="41" t="str">
        <f>IF(VLOOKUP(A75,'Données de base - Grunddaten'!$A$2:$M$273,4,FALSE)="","",VLOOKUP(A75,'Données de base - Grunddaten'!$A$2:$M$273,4,FALSE))</f>
        <v>Lorze</v>
      </c>
      <c r="E75" s="271">
        <v>-10</v>
      </c>
      <c r="F75" s="271">
        <v>0</v>
      </c>
      <c r="G75" s="271">
        <v>10</v>
      </c>
      <c r="H75" s="272" t="s">
        <v>1061</v>
      </c>
      <c r="I75" s="273" t="s">
        <v>1071</v>
      </c>
      <c r="J75" s="273" t="s">
        <v>1059</v>
      </c>
      <c r="K75" s="274"/>
      <c r="L75" s="275"/>
      <c r="M75" s="1151" t="s">
        <v>752</v>
      </c>
      <c r="N75" s="1152" t="s">
        <v>43</v>
      </c>
      <c r="O75" s="1148" t="str">
        <f>VLOOKUP(A75,Strat_Plan_Revit!$A$10:$S$321,11,FALSE)</f>
        <v>keine Angaben</v>
      </c>
      <c r="P75" s="977" t="str">
        <f>VLOOKUP(A75,Strat_Plan_Revit!$A$10:$S$321,12,FALSE)</f>
        <v>keine Angaben</v>
      </c>
      <c r="Q75" s="277" t="str">
        <f>VLOOKUP(A75,Strat_Plan_Revit!$A$10:$S$321,13,FALSE)</f>
        <v>-</v>
      </c>
      <c r="R75" s="1169"/>
      <c r="S75" s="1173" t="s">
        <v>752</v>
      </c>
      <c r="T75" s="289" t="s">
        <v>43</v>
      </c>
      <c r="U75" s="1174"/>
      <c r="V75" s="282"/>
      <c r="W75" s="448"/>
      <c r="X75" s="97" t="s">
        <v>1204</v>
      </c>
      <c r="Y75" s="1265" t="s">
        <v>752</v>
      </c>
      <c r="Z75" s="1261" t="s">
        <v>43</v>
      </c>
      <c r="AA75" s="1266" t="str">
        <f t="shared" si="1"/>
        <v>a</v>
      </c>
      <c r="AC75" s="572"/>
      <c r="AD75" s="572"/>
      <c r="AE75" s="572"/>
    </row>
    <row r="76" spans="1:31" ht="40.5" customHeight="1" x14ac:dyDescent="0.25">
      <c r="A76" s="926">
        <v>98</v>
      </c>
      <c r="B76" s="270" t="str">
        <f>IF(VLOOKUP(A76,'Données de base - Grunddaten'!$A$2:$M$273,5,FALSE)="","",VLOOKUP(A76,'Données de base - Grunddaten'!$A$2:$M$273,5,FALSE))</f>
        <v>LU</v>
      </c>
      <c r="C76" s="41" t="str">
        <f>IF(VLOOKUP(A76,'Données de base - Grunddaten'!$A$2:$M$273,3,FALSE)="","",VLOOKUP(A76,'Données de base - Grunddaten'!$A$2:$M$273,3,FALSE))</f>
        <v>Ämmenmatt</v>
      </c>
      <c r="D76" s="41" t="str">
        <f>IF(VLOOKUP(A76,'Données de base - Grunddaten'!$A$2:$M$273,4,FALSE)="","",VLOOKUP(A76,'Données de base - Grunddaten'!$A$2:$M$273,4,FALSE))</f>
        <v>Kleine Emme</v>
      </c>
      <c r="E76" s="271">
        <v>15.327272727272728</v>
      </c>
      <c r="F76" s="271">
        <v>27.582262022236563</v>
      </c>
      <c r="G76" s="271">
        <v>12.272727272727273</v>
      </c>
      <c r="H76" s="272" t="s">
        <v>1066</v>
      </c>
      <c r="I76" s="273" t="s">
        <v>1147</v>
      </c>
      <c r="J76" s="273" t="s">
        <v>1059</v>
      </c>
      <c r="K76" s="274"/>
      <c r="L76" s="275"/>
      <c r="M76" s="1151" t="s">
        <v>720</v>
      </c>
      <c r="N76" s="1152" t="s">
        <v>43</v>
      </c>
      <c r="O76" s="1148" t="str">
        <f>VLOOKUP(A76,Strat_Plan_Revit!$A$10:$S$321,11,FALSE)</f>
        <v>gross</v>
      </c>
      <c r="P76" s="977" t="str">
        <f>VLOOKUP(A76,Strat_Plan_Revit!$A$10:$S$321,12,FALSE)</f>
        <v>mittel/gering</v>
      </c>
      <c r="Q76" s="277" t="str">
        <f>VLOOKUP(A76,Strat_Plan_Revit!$A$10:$S$321,13,FALSE)</f>
        <v>keine</v>
      </c>
      <c r="R76" s="1162" t="s">
        <v>720</v>
      </c>
      <c r="S76" s="1173" t="s">
        <v>720</v>
      </c>
      <c r="T76" s="278" t="s">
        <v>59</v>
      </c>
      <c r="U76" s="1174"/>
      <c r="V76" s="282"/>
      <c r="W76" s="287" t="s">
        <v>720</v>
      </c>
      <c r="X76" s="1191"/>
      <c r="Y76" s="1265" t="s">
        <v>720</v>
      </c>
      <c r="Z76" s="1258" t="s">
        <v>59</v>
      </c>
      <c r="AA76" s="1266" t="str">
        <f t="shared" si="1"/>
        <v>a</v>
      </c>
      <c r="AC76" s="572"/>
      <c r="AD76" s="572"/>
      <c r="AE76" s="572"/>
    </row>
    <row r="77" spans="1:31" ht="40.5" customHeight="1" x14ac:dyDescent="0.25">
      <c r="A77" s="926">
        <v>99</v>
      </c>
      <c r="B77" s="270" t="str">
        <f>IF(VLOOKUP(A77,'Données de base - Grunddaten'!$A$2:$M$273,5,FALSE)="","",VLOOKUP(A77,'Données de base - Grunddaten'!$A$2:$M$273,5,FALSE))</f>
        <v>OW</v>
      </c>
      <c r="C77" s="41" t="str">
        <f>IF(VLOOKUP(A77,'Données de base - Grunddaten'!$A$2:$M$273,3,FALSE)="","",VLOOKUP(A77,'Données de base - Grunddaten'!$A$2:$M$273,3,FALSE))</f>
        <v>Schlierenrüti</v>
      </c>
      <c r="D77" s="41" t="str">
        <f>IF(VLOOKUP(A77,'Données de base - Grunddaten'!$A$2:$M$273,4,FALSE)="","",VLOOKUP(A77,'Données de base - Grunddaten'!$A$2:$M$273,4,FALSE))</f>
        <v>Grosse Schliere</v>
      </c>
      <c r="E77" s="271">
        <v>20.163636363636364</v>
      </c>
      <c r="F77" s="271">
        <v>23.811915841405245</v>
      </c>
      <c r="G77" s="271">
        <v>3.6363636363636362</v>
      </c>
      <c r="H77" s="272" t="s">
        <v>1066</v>
      </c>
      <c r="I77" s="273"/>
      <c r="J77" s="273" t="s">
        <v>1068</v>
      </c>
      <c r="K77" s="274"/>
      <c r="L77" s="275"/>
      <c r="M77" s="1151" t="s">
        <v>720</v>
      </c>
      <c r="N77" s="1152" t="s">
        <v>43</v>
      </c>
      <c r="O77" s="1148" t="str">
        <f>VLOOKUP(A77,Strat_Plan_Revit!$A$10:$S$321,11,FALSE)</f>
        <v>gross</v>
      </c>
      <c r="P77" s="977" t="str">
        <f>VLOOKUP(A77,Strat_Plan_Revit!$A$10:$S$321,12,FALSE)</f>
        <v>mittel</v>
      </c>
      <c r="Q77" s="277" t="str">
        <f>VLOOKUP(A77,Strat_Plan_Revit!$A$10:$S$321,13,FALSE)</f>
        <v>keine</v>
      </c>
      <c r="R77" s="1162" t="s">
        <v>720</v>
      </c>
      <c r="S77" s="1173" t="s">
        <v>720</v>
      </c>
      <c r="T77" s="278" t="s">
        <v>59</v>
      </c>
      <c r="U77" s="1174"/>
      <c r="V77" s="282"/>
      <c r="W77" s="287" t="s">
        <v>723</v>
      </c>
      <c r="X77" s="1191"/>
      <c r="Y77" s="1265" t="s">
        <v>723</v>
      </c>
      <c r="Z77" s="1258" t="s">
        <v>59</v>
      </c>
      <c r="AA77" s="1266" t="str">
        <f t="shared" si="1"/>
        <v>a</v>
      </c>
      <c r="AB77" s="1074" t="s">
        <v>1138</v>
      </c>
      <c r="AC77" s="572"/>
      <c r="AD77" s="572"/>
      <c r="AE77" s="572"/>
    </row>
    <row r="78" spans="1:31" ht="40.5" customHeight="1" x14ac:dyDescent="0.25">
      <c r="A78" s="926">
        <v>100</v>
      </c>
      <c r="B78" s="270" t="str">
        <f>IF(VLOOKUP(A78,'Données de base - Grunddaten'!$A$2:$M$273,5,FALSE)="","",VLOOKUP(A78,'Données de base - Grunddaten'!$A$2:$M$273,5,FALSE))</f>
        <v>OW</v>
      </c>
      <c r="C78" s="41" t="str">
        <f>IF(VLOOKUP(A78,'Données de base - Grunddaten'!$A$2:$M$273,3,FALSE)="","",VLOOKUP(A78,'Données de base - Grunddaten'!$A$2:$M$273,3,FALSE))</f>
        <v>Städerried</v>
      </c>
      <c r="D78" s="41" t="str">
        <f>IF(VLOOKUP(A78,'Données de base - Grunddaten'!$A$2:$M$273,4,FALSE)="","",VLOOKUP(A78,'Données de base - Grunddaten'!$A$2:$M$273,4,FALSE))</f>
        <v>Alpnachersee, Chli Schliere, Sarner Aa</v>
      </c>
      <c r="E78" s="271"/>
      <c r="F78" s="271"/>
      <c r="G78" s="271"/>
      <c r="H78" s="272"/>
      <c r="I78" s="279"/>
      <c r="J78" s="286" t="s">
        <v>1064</v>
      </c>
      <c r="K78" s="280" t="s">
        <v>1057</v>
      </c>
      <c r="L78" s="281" t="s">
        <v>1163</v>
      </c>
      <c r="M78" s="1151" t="s">
        <v>737</v>
      </c>
      <c r="N78" s="1152" t="s">
        <v>72</v>
      </c>
      <c r="O78" s="1148" t="str">
        <f>VLOOKUP(A78,Strat_Plan_Revit!$A$10:$S$321,11,FALSE)</f>
        <v>gross</v>
      </c>
      <c r="P78" s="977" t="str">
        <f>VLOOKUP(A78,Strat_Plan_Revit!$A$10:$S$321,12,FALSE)</f>
        <v>gross/mittel</v>
      </c>
      <c r="Q78" s="277" t="str">
        <f>VLOOKUP(A78,Strat_Plan_Revit!$A$10:$S$321,13,FALSE)</f>
        <v>Priorität 2 (2024 - 2033)</v>
      </c>
      <c r="R78" s="1162" t="s">
        <v>737</v>
      </c>
      <c r="S78" s="1173" t="s">
        <v>737</v>
      </c>
      <c r="T78" s="278" t="s">
        <v>59</v>
      </c>
      <c r="U78" s="1174"/>
      <c r="V78" s="282"/>
      <c r="W78" s="287" t="s">
        <v>738</v>
      </c>
      <c r="X78" s="1191"/>
      <c r="Y78" s="1265" t="s">
        <v>738</v>
      </c>
      <c r="Z78" s="1258" t="s">
        <v>368</v>
      </c>
      <c r="AA78" s="1266" t="str">
        <f t="shared" si="1"/>
        <v>b</v>
      </c>
      <c r="AC78" s="572"/>
      <c r="AD78" s="572"/>
      <c r="AE78" s="572"/>
    </row>
    <row r="79" spans="1:31" ht="40.5" customHeight="1" x14ac:dyDescent="0.25">
      <c r="A79" s="926">
        <v>101</v>
      </c>
      <c r="B79" s="270" t="str">
        <f>IF(VLOOKUP(A79,'Données de base - Grunddaten'!$A$2:$M$273,5,FALSE)="","",VLOOKUP(A79,'Données de base - Grunddaten'!$A$2:$M$273,5,FALSE))</f>
        <v>OW</v>
      </c>
      <c r="C79" s="41" t="str">
        <f>IF(VLOOKUP(A79,'Données de base - Grunddaten'!$A$2:$M$273,3,FALSE)="","",VLOOKUP(A79,'Données de base - Grunddaten'!$A$2:$M$273,3,FALSE))</f>
        <v>Laui</v>
      </c>
      <c r="D79" s="41" t="str">
        <f>IF(VLOOKUP(A79,'Données de base - Grunddaten'!$A$2:$M$273,4,FALSE)="","",VLOOKUP(A79,'Données de base - Grunddaten'!$A$2:$M$273,4,FALSE))</f>
        <v>Gross Laui</v>
      </c>
      <c r="E79" s="271">
        <v>45.381818181818183</v>
      </c>
      <c r="F79" s="271">
        <v>47.174194938110894</v>
      </c>
      <c r="G79" s="271">
        <v>1.8181818181818181</v>
      </c>
      <c r="H79" s="272" t="s">
        <v>1057</v>
      </c>
      <c r="I79" s="273"/>
      <c r="J79" s="273" t="s">
        <v>1068</v>
      </c>
      <c r="K79" s="274"/>
      <c r="L79" s="275"/>
      <c r="M79" s="1151" t="s">
        <v>738</v>
      </c>
      <c r="N79" s="1152" t="s">
        <v>72</v>
      </c>
      <c r="O79" s="1148" t="str">
        <f>VLOOKUP(A79,Strat_Plan_Revit!$A$10:$S$321,11,FALSE)</f>
        <v>gross</v>
      </c>
      <c r="P79" s="977" t="str">
        <f>VLOOKUP(A79,Strat_Plan_Revit!$A$10:$S$321,12,FALSE)</f>
        <v>mittel</v>
      </c>
      <c r="Q79" s="277" t="str">
        <f>VLOOKUP(A79,Strat_Plan_Revit!$A$10:$S$321,13,FALSE)</f>
        <v>keine</v>
      </c>
      <c r="R79" s="1162" t="s">
        <v>723</v>
      </c>
      <c r="S79" s="1173" t="s">
        <v>723</v>
      </c>
      <c r="T79" s="278" t="s">
        <v>110</v>
      </c>
      <c r="U79" s="1174"/>
      <c r="V79" s="282"/>
      <c r="W79" s="287" t="s">
        <v>723</v>
      </c>
      <c r="X79" s="1191"/>
      <c r="Y79" s="1265" t="s">
        <v>723</v>
      </c>
      <c r="Z79" s="1258" t="s">
        <v>110</v>
      </c>
      <c r="AA79" s="1266" t="str">
        <f t="shared" si="1"/>
        <v>a</v>
      </c>
      <c r="AC79" s="572"/>
      <c r="AD79" s="572"/>
      <c r="AE79" s="572"/>
    </row>
    <row r="80" spans="1:31" ht="40.5" customHeight="1" x14ac:dyDescent="0.25">
      <c r="A80" s="926">
        <v>102</v>
      </c>
      <c r="B80" s="270" t="str">
        <f>IF(VLOOKUP(A80,'Données de base - Grunddaten'!$A$2:$M$273,5,FALSE)="","",VLOOKUP(A80,'Données de base - Grunddaten'!$A$2:$M$273,5,FALSE))</f>
        <v>OW</v>
      </c>
      <c r="C80" s="41" t="str">
        <f>IF(VLOOKUP(A80,'Données de base - Grunddaten'!$A$2:$M$273,3,FALSE)="","",VLOOKUP(A80,'Données de base - Grunddaten'!$A$2:$M$273,3,FALSE))</f>
        <v>Steinibach</v>
      </c>
      <c r="D80" s="41" t="str">
        <f>IF(VLOOKUP(A80,'Données de base - Grunddaten'!$A$2:$M$273,4,FALSE)="","",VLOOKUP(A80,'Données de base - Grunddaten'!$A$2:$M$273,4,FALSE))</f>
        <v>Gerisbach, Sarnersee, Steinibach</v>
      </c>
      <c r="E80" s="271">
        <v>-6.3636363636363633</v>
      </c>
      <c r="F80" s="271">
        <v>0</v>
      </c>
      <c r="G80" s="271">
        <v>6.3636363636363633</v>
      </c>
      <c r="H80" s="272" t="s">
        <v>1061</v>
      </c>
      <c r="I80" s="273"/>
      <c r="J80" s="273" t="s">
        <v>1068</v>
      </c>
      <c r="K80" s="274"/>
      <c r="L80" s="275"/>
      <c r="M80" s="1151" t="s">
        <v>738</v>
      </c>
      <c r="N80" s="1152" t="s">
        <v>72</v>
      </c>
      <c r="O80" s="1148" t="str">
        <f>VLOOKUP(A80,Strat_Plan_Revit!$A$10:$S$321,11,FALSE)</f>
        <v>gross</v>
      </c>
      <c r="P80" s="977" t="str">
        <f>VLOOKUP(A80,Strat_Plan_Revit!$A$10:$S$321,12,FALSE)</f>
        <v>gering</v>
      </c>
      <c r="Q80" s="277" t="str">
        <f>VLOOKUP(A80,Strat_Plan_Revit!$A$10:$S$321,13,FALSE)</f>
        <v>keine</v>
      </c>
      <c r="R80" s="1162" t="s">
        <v>752</v>
      </c>
      <c r="S80" s="1178" t="s">
        <v>752</v>
      </c>
      <c r="T80" s="278" t="s">
        <v>110</v>
      </c>
      <c r="U80" s="1174"/>
      <c r="V80" s="282"/>
      <c r="W80" s="1138" t="s">
        <v>752</v>
      </c>
      <c r="X80" s="1191"/>
      <c r="Y80" s="1274" t="s">
        <v>752</v>
      </c>
      <c r="Z80" s="1258" t="s">
        <v>110</v>
      </c>
      <c r="AA80" s="1266" t="str">
        <f t="shared" si="1"/>
        <v>a</v>
      </c>
      <c r="AC80" s="572"/>
      <c r="AD80" s="572"/>
      <c r="AE80" s="572"/>
    </row>
    <row r="81" spans="1:31" ht="40.5" customHeight="1" x14ac:dyDescent="0.25">
      <c r="A81" s="926">
        <v>104</v>
      </c>
      <c r="B81" s="270" t="str">
        <f>IF(VLOOKUP(A81,'Données de base - Grunddaten'!$A$2:$M$273,5,FALSE)="","",VLOOKUP(A81,'Données de base - Grunddaten'!$A$2:$M$273,5,FALSE))</f>
        <v>SZ</v>
      </c>
      <c r="C81" s="41" t="str">
        <f>IF(VLOOKUP(A81,'Données de base - Grunddaten'!$A$2:$M$273,3,FALSE)="","",VLOOKUP(A81,'Données de base - Grunddaten'!$A$2:$M$273,3,FALSE))</f>
        <v>Tristel</v>
      </c>
      <c r="D81" s="41" t="str">
        <f>IF(VLOOKUP(A81,'Données de base - Grunddaten'!$A$2:$M$273,4,FALSE)="","",VLOOKUP(A81,'Données de base - Grunddaten'!$A$2:$M$273,4,FALSE))</f>
        <v>Muota</v>
      </c>
      <c r="E81" s="271">
        <v>65.527272727272731</v>
      </c>
      <c r="F81" s="271">
        <v>67.843592376666649</v>
      </c>
      <c r="G81" s="271">
        <v>2.2727272727272729</v>
      </c>
      <c r="H81" s="272" t="s">
        <v>1057</v>
      </c>
      <c r="I81" s="273"/>
      <c r="J81" s="273" t="s">
        <v>1064</v>
      </c>
      <c r="K81" s="274"/>
      <c r="L81" s="275"/>
      <c r="M81" s="1151" t="s">
        <v>752</v>
      </c>
      <c r="N81" s="1152" t="s">
        <v>72</v>
      </c>
      <c r="O81" s="1148" t="str">
        <f>VLOOKUP(A81,Strat_Plan_Revit!$A$10:$S$321,11,FALSE)</f>
        <v>gross</v>
      </c>
      <c r="P81" s="977" t="str">
        <f>VLOOKUP(A81,Strat_Plan_Revit!$A$10:$S$321,12,FALSE)</f>
        <v>gross</v>
      </c>
      <c r="Q81" s="277" t="str">
        <f>VLOOKUP(A81,Strat_Plan_Revit!$A$10:$S$321,13,FALSE)</f>
        <v>Umsetzung in den nächsten 20 Jahren</v>
      </c>
      <c r="R81" s="1162" t="s">
        <v>737</v>
      </c>
      <c r="S81" s="1178" t="s">
        <v>737</v>
      </c>
      <c r="T81" s="278" t="s">
        <v>110</v>
      </c>
      <c r="U81" s="1174"/>
      <c r="V81" s="282"/>
      <c r="W81" s="448"/>
      <c r="X81" s="97" t="s">
        <v>1172</v>
      </c>
      <c r="Y81" s="1265" t="s">
        <v>737</v>
      </c>
      <c r="Z81" s="1258" t="s">
        <v>110</v>
      </c>
      <c r="AA81" s="1266" t="str">
        <f t="shared" si="1"/>
        <v>a</v>
      </c>
      <c r="AC81" s="572"/>
      <c r="AD81" s="572"/>
      <c r="AE81" s="572"/>
    </row>
    <row r="82" spans="1:31" ht="40.5" customHeight="1" x14ac:dyDescent="0.25">
      <c r="A82" s="927">
        <v>105.1</v>
      </c>
      <c r="B82" s="270" t="str">
        <f>IF(VLOOKUP(A82,'Données de base - Grunddaten'!$A$2:$M$273,5,FALSE)="","",VLOOKUP(A82,'Données de base - Grunddaten'!$A$2:$M$273,5,FALSE))</f>
        <v>UR</v>
      </c>
      <c r="C82" s="41" t="str">
        <f>IF(VLOOKUP(A82,'Données de base - Grunddaten'!$A$2:$M$273,3,FALSE)="","",VLOOKUP(A82,'Données de base - Grunddaten'!$A$2:$M$273,3,FALSE))</f>
        <v>Reussdelta</v>
      </c>
      <c r="D82" s="41" t="str">
        <f>IF(VLOOKUP(A82,'Données de base - Grunddaten'!$A$2:$M$273,4,FALSE)="","",VLOOKUP(A82,'Données de base - Grunddaten'!$A$2:$M$273,4,FALSE))</f>
        <v>Reuss, Urnersee</v>
      </c>
      <c r="E82" s="271"/>
      <c r="F82" s="271"/>
      <c r="G82" s="271"/>
      <c r="H82" s="272"/>
      <c r="I82" s="279" t="s">
        <v>1058</v>
      </c>
      <c r="J82" s="279" t="s">
        <v>1068</v>
      </c>
      <c r="K82" s="280" t="s">
        <v>1191</v>
      </c>
      <c r="L82" s="281" t="s">
        <v>1192</v>
      </c>
      <c r="M82" s="1151" t="s">
        <v>752</v>
      </c>
      <c r="N82" s="1152" t="s">
        <v>72</v>
      </c>
      <c r="O82" s="1148" t="str">
        <f>VLOOKUP(A82,Strat_Plan_Revit!$A$10:$S$321,11,FALSE)</f>
        <v>klein (Gräben)</v>
      </c>
      <c r="P82" s="977" t="str">
        <f>VLOOKUP(A82,Strat_Plan_Revit!$A$10:$S$321,12,FALSE)</f>
        <v>klein (Gräben)</v>
      </c>
      <c r="Q82" s="277" t="str">
        <f>VLOOKUP(A82,Strat_Plan_Revit!$A$10:$S$321,13,FALSE)</f>
        <v>hoch (Gräben)</v>
      </c>
      <c r="R82" s="1169"/>
      <c r="S82" s="1173" t="s">
        <v>752</v>
      </c>
      <c r="T82" s="278" t="s">
        <v>72</v>
      </c>
      <c r="U82" s="1174"/>
      <c r="V82" s="282"/>
      <c r="W82" s="1142"/>
      <c r="X82" s="1192"/>
      <c r="Y82" s="1265" t="s">
        <v>752</v>
      </c>
      <c r="Z82" s="1258" t="s">
        <v>72</v>
      </c>
      <c r="AA82" s="1266" t="str">
        <f t="shared" si="1"/>
        <v>b</v>
      </c>
      <c r="AC82" s="572"/>
      <c r="AD82" s="572"/>
      <c r="AE82" s="572"/>
    </row>
    <row r="83" spans="1:31" ht="40.5" customHeight="1" x14ac:dyDescent="0.25">
      <c r="A83" s="927">
        <v>105.2</v>
      </c>
      <c r="B83" s="270" t="str">
        <f>IF(VLOOKUP(A83,'Données de base - Grunddaten'!$A$2:$M$273,5,FALSE)="","",VLOOKUP(A83,'Données de base - Grunddaten'!$A$2:$M$273,5,FALSE))</f>
        <v>UR</v>
      </c>
      <c r="C83" s="41" t="str">
        <f>IF(VLOOKUP(A83,'Données de base - Grunddaten'!$A$2:$M$273,3,FALSE)="","",VLOOKUP(A83,'Données de base - Grunddaten'!$A$2:$M$273,3,FALSE))</f>
        <v>Reussdelta</v>
      </c>
      <c r="D83" s="41" t="str">
        <f>IF(VLOOKUP(A83,'Données de base - Grunddaten'!$A$2:$M$273,4,FALSE)="","",VLOOKUP(A83,'Données de base - Grunddaten'!$A$2:$M$273,4,FALSE))</f>
        <v>Reuss, Urnersee</v>
      </c>
      <c r="E83" s="271"/>
      <c r="F83" s="271"/>
      <c r="G83" s="271"/>
      <c r="H83" s="272"/>
      <c r="I83" s="279" t="s">
        <v>1058</v>
      </c>
      <c r="J83" s="279" t="s">
        <v>1064</v>
      </c>
      <c r="K83" s="280" t="s">
        <v>1057</v>
      </c>
      <c r="L83" s="275"/>
      <c r="M83" s="1151" t="s">
        <v>752</v>
      </c>
      <c r="N83" s="1152" t="s">
        <v>72</v>
      </c>
      <c r="O83" s="1148">
        <f>VLOOKUP(A83,Strat_Plan_Revit!$A$10:$S$321,11,FALSE)</f>
        <v>0</v>
      </c>
      <c r="P83" s="977">
        <f>VLOOKUP(A83,Strat_Plan_Revit!$A$10:$S$321,12,FALSE)</f>
        <v>0</v>
      </c>
      <c r="Q83" s="277">
        <f>VLOOKUP(A83,Strat_Plan_Revit!$A$10:$S$321,13,FALSE)</f>
        <v>0</v>
      </c>
      <c r="R83" s="1162" t="s">
        <v>752</v>
      </c>
      <c r="S83" s="1173" t="s">
        <v>752</v>
      </c>
      <c r="T83" s="278" t="s">
        <v>59</v>
      </c>
      <c r="U83" s="1174"/>
      <c r="V83" s="282"/>
      <c r="W83" s="1142"/>
      <c r="X83" s="1192"/>
      <c r="Y83" s="1265" t="s">
        <v>752</v>
      </c>
      <c r="Z83" s="1258" t="s">
        <v>59</v>
      </c>
      <c r="AA83" s="1266" t="str">
        <f t="shared" si="1"/>
        <v>a</v>
      </c>
      <c r="AC83" s="572"/>
      <c r="AD83" s="572"/>
      <c r="AE83" s="572"/>
    </row>
    <row r="84" spans="1:31" ht="40.5" customHeight="1" x14ac:dyDescent="0.25">
      <c r="A84" s="926">
        <v>107</v>
      </c>
      <c r="B84" s="270" t="str">
        <f>IF(VLOOKUP(A84,'Données de base - Grunddaten'!$A$2:$M$273,5,FALSE)="","",VLOOKUP(A84,'Données de base - Grunddaten'!$A$2:$M$273,5,FALSE))</f>
        <v>UR</v>
      </c>
      <c r="C84" s="41" t="str">
        <f>IF(VLOOKUP(A84,'Données de base - Grunddaten'!$A$2:$M$273,3,FALSE)="","",VLOOKUP(A84,'Données de base - Grunddaten'!$A$2:$M$273,3,FALSE))</f>
        <v>Stössi</v>
      </c>
      <c r="D84" s="41" t="str">
        <f>IF(VLOOKUP(A84,'Données de base - Grunddaten'!$A$2:$M$273,4,FALSE)="","",VLOOKUP(A84,'Données de base - Grunddaten'!$A$2:$M$273,4,FALSE))</f>
        <v>Chärstelenbach</v>
      </c>
      <c r="E84" s="271">
        <v>-18.636363636363637</v>
      </c>
      <c r="F84" s="271">
        <v>0</v>
      </c>
      <c r="G84" s="271">
        <v>18.636363636363637</v>
      </c>
      <c r="H84" s="272" t="s">
        <v>1061</v>
      </c>
      <c r="I84" s="273"/>
      <c r="J84" s="273" t="s">
        <v>1059</v>
      </c>
      <c r="K84" s="274"/>
      <c r="L84" s="275"/>
      <c r="M84" s="1151" t="s">
        <v>752</v>
      </c>
      <c r="N84" s="1152" t="s">
        <v>43</v>
      </c>
      <c r="O84" s="1148" t="str">
        <f>VLOOKUP(A84,Strat_Plan_Revit!$A$10:$S$321,11,FALSE)</f>
        <v>keine Angaben</v>
      </c>
      <c r="P84" s="977" t="str">
        <f>VLOOKUP(A84,Strat_Plan_Revit!$A$10:$S$321,12,FALSE)</f>
        <v>keine Angaben</v>
      </c>
      <c r="Q84" s="277" t="str">
        <f>VLOOKUP(A84,Strat_Plan_Revit!$A$10:$S$321,13,FALSE)</f>
        <v>-</v>
      </c>
      <c r="R84" s="1169"/>
      <c r="S84" s="1173" t="s">
        <v>752</v>
      </c>
      <c r="T84" s="278" t="s">
        <v>43</v>
      </c>
      <c r="U84" s="1174"/>
      <c r="V84" s="282"/>
      <c r="W84" s="1142"/>
      <c r="X84" s="1192"/>
      <c r="Y84" s="1265" t="s">
        <v>752</v>
      </c>
      <c r="Z84" s="1258" t="s">
        <v>43</v>
      </c>
      <c r="AA84" s="1266" t="str">
        <f t="shared" si="1"/>
        <v>a</v>
      </c>
      <c r="AC84" s="572"/>
      <c r="AD84" s="572"/>
      <c r="AE84" s="572"/>
    </row>
    <row r="85" spans="1:31" ht="40.5" customHeight="1" x14ac:dyDescent="0.25">
      <c r="A85" s="926">
        <v>108</v>
      </c>
      <c r="B85" s="270" t="str">
        <f>IF(VLOOKUP(A85,'Données de base - Grunddaten'!$A$2:$M$273,5,FALSE)="","",VLOOKUP(A85,'Données de base - Grunddaten'!$A$2:$M$273,5,FALSE))</f>
        <v>UR</v>
      </c>
      <c r="C85" s="41" t="str">
        <f>IF(VLOOKUP(A85,'Données de base - Grunddaten'!$A$2:$M$273,3,FALSE)="","",VLOOKUP(A85,'Données de base - Grunddaten'!$A$2:$M$273,3,FALSE))</f>
        <v>Widen bei Realp</v>
      </c>
      <c r="D85" s="41" t="str">
        <f>IF(VLOOKUP(A85,'Données de base - Grunddaten'!$A$2:$M$273,4,FALSE)="","",VLOOKUP(A85,'Données de base - Grunddaten'!$A$2:$M$273,4,FALSE))</f>
        <v>Furkareuss</v>
      </c>
      <c r="E85" s="271">
        <v>19.145454545454548</v>
      </c>
      <c r="F85" s="271">
        <v>49.597700864648665</v>
      </c>
      <c r="G85" s="271">
        <v>30.454545454545453</v>
      </c>
      <c r="H85" s="272" t="s">
        <v>1078</v>
      </c>
      <c r="I85" s="273" t="s">
        <v>1071</v>
      </c>
      <c r="J85" s="273" t="s">
        <v>1068</v>
      </c>
      <c r="K85" s="274"/>
      <c r="L85" s="275"/>
      <c r="M85" s="1151" t="s">
        <v>737</v>
      </c>
      <c r="N85" s="1152" t="s">
        <v>72</v>
      </c>
      <c r="O85" s="1148" t="str">
        <f>VLOOKUP(A85,Strat_Plan_Revit!$A$10:$S$321,11,FALSE)</f>
        <v>gross</v>
      </c>
      <c r="P85" s="977" t="str">
        <f>VLOOKUP(A85,Strat_Plan_Revit!$A$10:$S$321,12,FALSE)</f>
        <v>gross</v>
      </c>
      <c r="Q85" s="277" t="str">
        <f>VLOOKUP(A85,Strat_Plan_Revit!$A$10:$S$321,13,FALSE)</f>
        <v>hoch</v>
      </c>
      <c r="R85" s="1162" t="s">
        <v>737</v>
      </c>
      <c r="S85" s="1173" t="s">
        <v>737</v>
      </c>
      <c r="T85" s="278" t="s">
        <v>59</v>
      </c>
      <c r="U85" s="1174"/>
      <c r="V85" s="282"/>
      <c r="W85" s="1142"/>
      <c r="X85" s="1192"/>
      <c r="Y85" s="1265" t="s">
        <v>737</v>
      </c>
      <c r="Z85" s="1258" t="s">
        <v>59</v>
      </c>
      <c r="AA85" s="1266" t="str">
        <f t="shared" si="1"/>
        <v>a</v>
      </c>
      <c r="AC85" s="572"/>
      <c r="AD85" s="572"/>
      <c r="AE85" s="572"/>
    </row>
    <row r="86" spans="1:31" ht="40.5" customHeight="1" x14ac:dyDescent="0.25">
      <c r="A86" s="927">
        <v>109.1</v>
      </c>
      <c r="B86" s="270" t="str">
        <f>IF(VLOOKUP(A86,'Données de base - Grunddaten'!$A$2:$M$273,5,FALSE)="","",VLOOKUP(A86,'Données de base - Grunddaten'!$A$2:$M$273,5,FALSE))</f>
        <v>GL</v>
      </c>
      <c r="C86" s="41" t="str">
        <f>IF(VLOOKUP(A86,'Données de base - Grunddaten'!$A$2:$M$273,3,FALSE)="","",VLOOKUP(A86,'Données de base - Grunddaten'!$A$2:$M$273,3,FALSE))</f>
        <v>Hinter Klöntal</v>
      </c>
      <c r="D86" s="41" t="str">
        <f>IF(VLOOKUP(A86,'Données de base - Grunddaten'!$A$2:$M$273,4,FALSE)="","",VLOOKUP(A86,'Données de base - Grunddaten'!$A$2:$M$273,4,FALSE))</f>
        <v>Chlü, Klöntalersee, Sulzbach</v>
      </c>
      <c r="E86" s="271"/>
      <c r="F86" s="271"/>
      <c r="G86" s="271"/>
      <c r="H86" s="272"/>
      <c r="I86" s="279"/>
      <c r="J86" s="279" t="s">
        <v>1059</v>
      </c>
      <c r="K86" s="280" t="s">
        <v>1061</v>
      </c>
      <c r="L86" s="281"/>
      <c r="M86" s="1151" t="s">
        <v>752</v>
      </c>
      <c r="N86" s="1152" t="s">
        <v>43</v>
      </c>
      <c r="O86" s="1148" t="str">
        <f>VLOOKUP(A86,Strat_Plan_Revit!$A$10:$S$321,11,FALSE)</f>
        <v>gross</v>
      </c>
      <c r="P86" s="977" t="str">
        <f>VLOOKUP(A86,Strat_Plan_Revit!$A$10:$S$321,12,FALSE)</f>
        <v>mittel</v>
      </c>
      <c r="Q86" s="277" t="str">
        <f>VLOOKUP(A86,Strat_Plan_Revit!$A$10:$S$321,13,FALSE)</f>
        <v>gering</v>
      </c>
      <c r="R86" s="1169"/>
      <c r="S86" s="1173" t="s">
        <v>752</v>
      </c>
      <c r="T86" s="278" t="s">
        <v>43</v>
      </c>
      <c r="U86" s="1174"/>
      <c r="V86" s="282"/>
      <c r="W86" s="341"/>
      <c r="X86" s="97"/>
      <c r="Y86" s="1265" t="s">
        <v>752</v>
      </c>
      <c r="Z86" s="1258" t="s">
        <v>43</v>
      </c>
      <c r="AA86" s="1266" t="str">
        <f t="shared" si="1"/>
        <v>a</v>
      </c>
      <c r="AC86" s="572"/>
      <c r="AD86" s="572"/>
      <c r="AE86" s="572"/>
    </row>
    <row r="87" spans="1:31" ht="40.5" customHeight="1" x14ac:dyDescent="0.25">
      <c r="A87" s="927">
        <v>109.2</v>
      </c>
      <c r="B87" s="270" t="str">
        <f>IF(VLOOKUP(A87,'Données de base - Grunddaten'!$A$2:$M$273,5,FALSE)="","",VLOOKUP(A87,'Données de base - Grunddaten'!$A$2:$M$273,5,FALSE))</f>
        <v>GL</v>
      </c>
      <c r="C87" s="41" t="str">
        <f>IF(VLOOKUP(A87,'Données de base - Grunddaten'!$A$2:$M$273,3,FALSE)="","",VLOOKUP(A87,'Données de base - Grunddaten'!$A$2:$M$273,3,FALSE))</f>
        <v>Hinter Klöntal</v>
      </c>
      <c r="D87" s="41" t="str">
        <f>IF(VLOOKUP(A87,'Données de base - Grunddaten'!$A$2:$M$273,4,FALSE)="","",VLOOKUP(A87,'Données de base - Grunddaten'!$A$2:$M$273,4,FALSE))</f>
        <v>Chlü, Klöntalersee, Sulzbach</v>
      </c>
      <c r="E87" s="271">
        <v>-10</v>
      </c>
      <c r="F87" s="271">
        <v>0</v>
      </c>
      <c r="G87" s="271">
        <v>10</v>
      </c>
      <c r="H87" s="272" t="s">
        <v>1061</v>
      </c>
      <c r="I87" s="279"/>
      <c r="J87" s="279" t="s">
        <v>1059</v>
      </c>
      <c r="K87" s="280" t="s">
        <v>1143</v>
      </c>
      <c r="L87" s="281" t="s">
        <v>1144</v>
      </c>
      <c r="M87" s="1151" t="s">
        <v>720</v>
      </c>
      <c r="N87" s="1152" t="s">
        <v>72</v>
      </c>
      <c r="O87" s="1148">
        <f>VLOOKUP(A87,Strat_Plan_Revit!$A$10:$S$321,11,FALSE)</f>
        <v>0</v>
      </c>
      <c r="P87" s="977">
        <f>VLOOKUP(A87,Strat_Plan_Revit!$A$10:$S$321,12,FALSE)</f>
        <v>0</v>
      </c>
      <c r="Q87" s="277" t="str">
        <f>VLOOKUP(A87,Strat_Plan_Revit!$A$10:$S$321,13,FALSE)</f>
        <v>-</v>
      </c>
      <c r="R87" s="1162" t="s">
        <v>720</v>
      </c>
      <c r="S87" s="1173" t="s">
        <v>720</v>
      </c>
      <c r="T87" s="278" t="s">
        <v>59</v>
      </c>
      <c r="U87" s="1174"/>
      <c r="V87" s="282"/>
      <c r="W87" s="341"/>
      <c r="X87" s="97"/>
      <c r="Y87" s="1265" t="s">
        <v>720</v>
      </c>
      <c r="Z87" s="1258" t="s">
        <v>59</v>
      </c>
      <c r="AA87" s="1266" t="str">
        <f t="shared" si="1"/>
        <v>a</v>
      </c>
      <c r="AC87" s="572"/>
      <c r="AD87" s="572"/>
      <c r="AE87" s="572"/>
    </row>
    <row r="88" spans="1:31" ht="40.5" customHeight="1" x14ac:dyDescent="0.25">
      <c r="A88" s="926">
        <v>110</v>
      </c>
      <c r="B88" s="270" t="str">
        <f>IF(VLOOKUP(A88,'Données de base - Grunddaten'!$A$2:$M$273,5,FALSE)="","",VLOOKUP(A88,'Données de base - Grunddaten'!$A$2:$M$273,5,FALSE))</f>
        <v>SZ/ZG</v>
      </c>
      <c r="C88" s="41" t="str">
        <f>IF(VLOOKUP(A88,'Données de base - Grunddaten'!$A$2:$M$273,3,FALSE)="","",VLOOKUP(A88,'Données de base - Grunddaten'!$A$2:$M$273,3,FALSE))</f>
        <v>Biber im Ägeriried</v>
      </c>
      <c r="D88" s="41" t="str">
        <f>IF(VLOOKUP(A88,'Données de base - Grunddaten'!$A$2:$M$273,4,FALSE)="","",VLOOKUP(A88,'Données de base - Grunddaten'!$A$2:$M$273,4,FALSE))</f>
        <v>Biber</v>
      </c>
      <c r="E88" s="271">
        <v>-12.727272727272727</v>
      </c>
      <c r="F88" s="271">
        <v>0</v>
      </c>
      <c r="G88" s="271">
        <v>12.727272727272727</v>
      </c>
      <c r="H88" s="272" t="s">
        <v>1061</v>
      </c>
      <c r="I88" s="273"/>
      <c r="J88" s="273" t="s">
        <v>1068</v>
      </c>
      <c r="K88" s="274"/>
      <c r="L88" s="275"/>
      <c r="M88" s="1151" t="s">
        <v>752</v>
      </c>
      <c r="N88" s="1152" t="s">
        <v>43</v>
      </c>
      <c r="O88" s="1148" t="s">
        <v>1882</v>
      </c>
      <c r="P88" s="977" t="s">
        <v>1883</v>
      </c>
      <c r="Q88" s="555" t="s">
        <v>1850</v>
      </c>
      <c r="R88" s="1162" t="s">
        <v>752</v>
      </c>
      <c r="S88" s="1173" t="s">
        <v>752</v>
      </c>
      <c r="T88" s="278" t="s">
        <v>59</v>
      </c>
      <c r="U88" s="1174" t="s">
        <v>1174</v>
      </c>
      <c r="V88" s="282"/>
      <c r="W88" s="448"/>
      <c r="X88" s="97" t="s">
        <v>1175</v>
      </c>
      <c r="Y88" s="1265" t="s">
        <v>752</v>
      </c>
      <c r="Z88" s="1258" t="s">
        <v>59</v>
      </c>
      <c r="AA88" s="1266" t="str">
        <f t="shared" si="1"/>
        <v>a</v>
      </c>
      <c r="AC88" s="572"/>
      <c r="AD88" s="572"/>
      <c r="AE88" s="572"/>
    </row>
    <row r="89" spans="1:31" ht="40.5" customHeight="1" x14ac:dyDescent="0.25">
      <c r="A89" s="926">
        <v>112</v>
      </c>
      <c r="B89" s="270" t="str">
        <f>IF(VLOOKUP(A89,'Données de base - Grunddaten'!$A$2:$M$273,5,FALSE)="","",VLOOKUP(A89,'Données de base - Grunddaten'!$A$2:$M$273,5,FALSE))</f>
        <v>GE</v>
      </c>
      <c r="C89" s="41" t="str">
        <f>IF(VLOOKUP(A89,'Données de base - Grunddaten'!$A$2:$M$273,3,FALSE)="","",VLOOKUP(A89,'Données de base - Grunddaten'!$A$2:$M$273,3,FALSE))</f>
        <v>Vallon de la Laire</v>
      </c>
      <c r="D89" s="41" t="str">
        <f>IF(VLOOKUP(A89,'Données de base - Grunddaten'!$A$2:$M$273,4,FALSE)="","",VLOOKUP(A89,'Données de base - Grunddaten'!$A$2:$M$273,4,FALSE))</f>
        <v>La Laire</v>
      </c>
      <c r="E89" s="271">
        <v>5.672727272727272</v>
      </c>
      <c r="F89" s="271">
        <v>18.426841375604447</v>
      </c>
      <c r="G89" s="271">
        <v>12.727272727272727</v>
      </c>
      <c r="H89" s="272" t="s">
        <v>1066</v>
      </c>
      <c r="I89" s="273"/>
      <c r="J89" s="273" t="s">
        <v>1059</v>
      </c>
      <c r="K89" s="274"/>
      <c r="L89" s="275"/>
      <c r="M89" s="1151" t="s">
        <v>737</v>
      </c>
      <c r="N89" s="1152" t="s">
        <v>72</v>
      </c>
      <c r="O89" s="1148" t="str">
        <f>VLOOKUP(A89,Strat_Plan_Revit!$A$10:$S$321,11,FALSE)</f>
        <v>important</v>
      </c>
      <c r="P89" s="977" t="str">
        <f>VLOOKUP(A89,Strat_Plan_Revit!$A$10:$S$321,12,FALSE)</f>
        <v>faible et moyen</v>
      </c>
      <c r="Q89" s="277" t="str">
        <f>VLOOKUP(A89,Strat_Plan_Revit!$A$10:$S$321,13,FALSE)</f>
        <v>élevée et faible</v>
      </c>
      <c r="R89" s="1162" t="s">
        <v>720</v>
      </c>
      <c r="S89" s="1173" t="s">
        <v>720</v>
      </c>
      <c r="T89" s="278" t="s">
        <v>110</v>
      </c>
      <c r="U89" s="1174"/>
      <c r="V89" s="282"/>
      <c r="W89" s="341"/>
      <c r="X89" s="97"/>
      <c r="Y89" s="1265" t="s">
        <v>720</v>
      </c>
      <c r="Z89" s="1258" t="s">
        <v>110</v>
      </c>
      <c r="AA89" s="1266" t="str">
        <f t="shared" si="1"/>
        <v>a</v>
      </c>
      <c r="AC89" s="572"/>
      <c r="AD89" s="572"/>
      <c r="AE89" s="572"/>
    </row>
    <row r="90" spans="1:31" ht="40.5" customHeight="1" x14ac:dyDescent="0.25">
      <c r="A90" s="926">
        <v>113</v>
      </c>
      <c r="B90" s="270" t="str">
        <f>IF(VLOOKUP(A90,'Données de base - Grunddaten'!$A$2:$M$273,5,FALSE)="","",VLOOKUP(A90,'Données de base - Grunddaten'!$A$2:$M$273,5,FALSE))</f>
        <v>GE</v>
      </c>
      <c r="C90" s="41" t="str">
        <f>IF(VLOOKUP(A90,'Données de base - Grunddaten'!$A$2:$M$273,3,FALSE)="","",VLOOKUP(A90,'Données de base - Grunddaten'!$A$2:$M$273,3,FALSE))</f>
        <v>Vallon de l'Allondon</v>
      </c>
      <c r="D90" s="41" t="str">
        <f>IF(VLOOKUP(A90,'Données de base - Grunddaten'!$A$2:$M$273,4,FALSE)="","",VLOOKUP(A90,'Données de base - Grunddaten'!$A$2:$M$273,4,FALSE))</f>
        <v>L'Allondon</v>
      </c>
      <c r="E90" s="271">
        <v>8.1999999999999993</v>
      </c>
      <c r="F90" s="271">
        <v>28.210240483935781</v>
      </c>
      <c r="G90" s="271">
        <v>20</v>
      </c>
      <c r="H90" s="272" t="s">
        <v>1066</v>
      </c>
      <c r="I90" s="273"/>
      <c r="J90" s="273" t="s">
        <v>1064</v>
      </c>
      <c r="K90" s="274"/>
      <c r="L90" s="275"/>
      <c r="M90" s="1151" t="s">
        <v>752</v>
      </c>
      <c r="N90" s="1152" t="s">
        <v>72</v>
      </c>
      <c r="O90" s="1148" t="str">
        <f>VLOOKUP(A90,Strat_Plan_Revit!$A$10:$S$321,11,FALSE)</f>
        <v>important</v>
      </c>
      <c r="P90" s="977" t="str">
        <f>VLOOKUP(A90,Strat_Plan_Revit!$A$10:$S$321,12,FALSE)</f>
        <v>faible</v>
      </c>
      <c r="Q90" s="277" t="str">
        <f>VLOOKUP(A90,Strat_Plan_Revit!$A$10:$S$321,13,FALSE)</f>
        <v>élevée et nulle</v>
      </c>
      <c r="R90" s="1162" t="s">
        <v>752</v>
      </c>
      <c r="S90" s="1173" t="s">
        <v>752</v>
      </c>
      <c r="T90" s="278" t="s">
        <v>59</v>
      </c>
      <c r="U90" s="1174"/>
      <c r="V90" s="282"/>
      <c r="W90" s="341"/>
      <c r="X90" s="97"/>
      <c r="Y90" s="1265" t="s">
        <v>752</v>
      </c>
      <c r="Z90" s="1258" t="s">
        <v>59</v>
      </c>
      <c r="AA90" s="1266" t="str">
        <f t="shared" si="1"/>
        <v>a</v>
      </c>
      <c r="AC90" s="572"/>
      <c r="AD90" s="572"/>
      <c r="AE90" s="572"/>
    </row>
    <row r="91" spans="1:31" ht="40.5" customHeight="1" x14ac:dyDescent="0.25">
      <c r="A91" s="926">
        <v>114</v>
      </c>
      <c r="B91" s="270" t="str">
        <f>IF(VLOOKUP(A91,'Données de base - Grunddaten'!$A$2:$M$273,5,FALSE)="","",VLOOKUP(A91,'Données de base - Grunddaten'!$A$2:$M$273,5,FALSE))</f>
        <v>GE</v>
      </c>
      <c r="C91" s="41" t="str">
        <f>IF(VLOOKUP(A91,'Données de base - Grunddaten'!$A$2:$M$273,3,FALSE)="","",VLOOKUP(A91,'Données de base - Grunddaten'!$A$2:$M$273,3,FALSE))</f>
        <v>Moulin de Vert</v>
      </c>
      <c r="D91" s="41" t="str">
        <f>IF(VLOOKUP(A91,'Données de base - Grunddaten'!$A$2:$M$273,4,FALSE)="","",VLOOKUP(A91,'Données de base - Grunddaten'!$A$2:$M$273,4,FALSE))</f>
        <v>Le Rhône</v>
      </c>
      <c r="E91" s="271">
        <v>3.7909090909090901</v>
      </c>
      <c r="F91" s="271">
        <v>9.6774940055343617</v>
      </c>
      <c r="G91" s="271">
        <v>5.9090909090909092</v>
      </c>
      <c r="H91" s="272" t="s">
        <v>1066</v>
      </c>
      <c r="I91" s="273"/>
      <c r="J91" s="273" t="s">
        <v>1059</v>
      </c>
      <c r="K91" s="274"/>
      <c r="L91" s="275"/>
      <c r="M91" s="1151" t="s">
        <v>723</v>
      </c>
      <c r="N91" s="1152" t="s">
        <v>72</v>
      </c>
      <c r="O91" s="1148" t="str">
        <f>VLOOKUP(A91,Strat_Plan_Revit!$A$10:$S$321,11,FALSE)</f>
        <v>important</v>
      </c>
      <c r="P91" s="977" t="str">
        <f>VLOOKUP(A91,Strat_Plan_Revit!$A$10:$S$321,12,FALSE)</f>
        <v>faible</v>
      </c>
      <c r="Q91" s="277" t="str">
        <f>VLOOKUP(A91,Strat_Plan_Revit!$A$10:$S$321,13,FALSE)</f>
        <v>faible et nulle</v>
      </c>
      <c r="R91" s="1162" t="s">
        <v>752</v>
      </c>
      <c r="S91" s="1173" t="s">
        <v>752</v>
      </c>
      <c r="T91" s="278" t="s">
        <v>110</v>
      </c>
      <c r="U91" s="1174"/>
      <c r="V91" s="282"/>
      <c r="W91" s="341"/>
      <c r="X91" s="97"/>
      <c r="Y91" s="1265" t="s">
        <v>752</v>
      </c>
      <c r="Z91" s="1258" t="s">
        <v>110</v>
      </c>
      <c r="AA91" s="1266" t="str">
        <f t="shared" si="1"/>
        <v>a</v>
      </c>
      <c r="AC91" s="572"/>
      <c r="AD91" s="572"/>
      <c r="AE91" s="572"/>
    </row>
    <row r="92" spans="1:31" ht="40.5" customHeight="1" x14ac:dyDescent="0.25">
      <c r="A92" s="926">
        <v>115</v>
      </c>
      <c r="B92" s="270" t="str">
        <f>IF(VLOOKUP(A92,'Données de base - Grunddaten'!$A$2:$M$273,5,FALSE)="","",VLOOKUP(A92,'Données de base - Grunddaten'!$A$2:$M$273,5,FALSE))</f>
        <v>GE</v>
      </c>
      <c r="C92" s="41" t="str">
        <f>IF(VLOOKUP(A92,'Données de base - Grunddaten'!$A$2:$M$273,3,FALSE)="","",VLOOKUP(A92,'Données de base - Grunddaten'!$A$2:$M$273,3,FALSE))</f>
        <v>Les Gravines</v>
      </c>
      <c r="D92" s="41" t="str">
        <f>IF(VLOOKUP(A92,'Données de base - Grunddaten'!$A$2:$M$273,4,FALSE)="","",VLOOKUP(A92,'Données de base - Grunddaten'!$A$2:$M$273,4,FALSE))</f>
        <v>La Versoix</v>
      </c>
      <c r="E92" s="271">
        <v>21.172727272727272</v>
      </c>
      <c r="F92" s="271">
        <v>38.884293039295464</v>
      </c>
      <c r="G92" s="271">
        <v>17.727272727272727</v>
      </c>
      <c r="H92" s="272" t="s">
        <v>1066</v>
      </c>
      <c r="I92" s="273"/>
      <c r="J92" s="273" t="s">
        <v>1064</v>
      </c>
      <c r="K92" s="274"/>
      <c r="L92" s="275"/>
      <c r="M92" s="1151" t="s">
        <v>737</v>
      </c>
      <c r="N92" s="1152" t="s">
        <v>72</v>
      </c>
      <c r="O92" s="1148" t="str">
        <f>VLOOKUP(A92,Strat_Plan_Revit!$A$10:$S$321,11,FALSE)</f>
        <v>élevé</v>
      </c>
      <c r="P92" s="977" t="str">
        <f>VLOOKUP(A92,Strat_Plan_Revit!$A$10:$S$321,12,FALSE)</f>
        <v>élevé et faible</v>
      </c>
      <c r="Q92" s="277" t="str">
        <f>VLOOKUP(A92,Strat_Plan_Revit!$A$10:$S$321,13,FALSE)</f>
        <v>élevé, moyen, faible et nul</v>
      </c>
      <c r="R92" s="1162" t="s">
        <v>737</v>
      </c>
      <c r="S92" s="1173" t="s">
        <v>737</v>
      </c>
      <c r="T92" s="278" t="s">
        <v>59</v>
      </c>
      <c r="U92" s="1174"/>
      <c r="V92" s="282"/>
      <c r="W92" s="341"/>
      <c r="X92" s="97"/>
      <c r="Y92" s="1265" t="s">
        <v>737</v>
      </c>
      <c r="Z92" s="1258" t="s">
        <v>59</v>
      </c>
      <c r="AA92" s="1266" t="str">
        <f t="shared" si="1"/>
        <v>a</v>
      </c>
      <c r="AC92" s="572"/>
      <c r="AD92" s="572"/>
      <c r="AE92" s="572"/>
    </row>
    <row r="93" spans="1:31" ht="40.5" customHeight="1" x14ac:dyDescent="0.25">
      <c r="A93" s="926">
        <v>118</v>
      </c>
      <c r="B93" s="270" t="str">
        <f>IF(VLOOKUP(A93,'Données de base - Grunddaten'!$A$2:$M$273,5,FALSE)="","",VLOOKUP(A93,'Données de base - Grunddaten'!$A$2:$M$273,5,FALSE))</f>
        <v>VD</v>
      </c>
      <c r="C93" s="41" t="str">
        <f>IF(VLOOKUP(A93,'Données de base - Grunddaten'!$A$2:$M$273,3,FALSE)="","",VLOOKUP(A93,'Données de base - Grunddaten'!$A$2:$M$273,3,FALSE))</f>
        <v>Grand Bataillard</v>
      </c>
      <c r="D93" s="41" t="str">
        <f>IF(VLOOKUP(A93,'Données de base - Grunddaten'!$A$2:$M$273,4,FALSE)="","",VLOOKUP(A93,'Données de base - Grunddaten'!$A$2:$M$273,4,FALSE))</f>
        <v>La Versoix</v>
      </c>
      <c r="E93" s="271">
        <v>-5</v>
      </c>
      <c r="F93" s="271">
        <v>0</v>
      </c>
      <c r="G93" s="271">
        <v>5</v>
      </c>
      <c r="H93" s="272" t="s">
        <v>1061</v>
      </c>
      <c r="I93" s="273"/>
      <c r="J93" s="273" t="s">
        <v>1068</v>
      </c>
      <c r="K93" s="274"/>
      <c r="L93" s="275"/>
      <c r="M93" s="1151" t="s">
        <v>752</v>
      </c>
      <c r="N93" s="1152" t="s">
        <v>43</v>
      </c>
      <c r="O93" s="1148" t="str">
        <f>VLOOKUP(A93,Strat_Plan_Revit!$A$10:$S$321,11,FALSE)</f>
        <v>élevé</v>
      </c>
      <c r="P93" s="977" t="str">
        <f>VLOOKUP(A93,Strat_Plan_Revit!$A$10:$S$321,12,FALSE)</f>
        <v>faible</v>
      </c>
      <c r="Q93" s="277" t="str">
        <f>VLOOKUP(A93,Strat_Plan_Revit!$A$10:$S$321,13,FALSE)</f>
        <v>nulle</v>
      </c>
      <c r="R93" s="1162" t="s">
        <v>752</v>
      </c>
      <c r="S93" s="1173" t="s">
        <v>752</v>
      </c>
      <c r="T93" s="278" t="s">
        <v>59</v>
      </c>
      <c r="U93" s="1174"/>
      <c r="V93" s="282"/>
      <c r="W93" s="341"/>
      <c r="X93" s="97"/>
      <c r="Y93" s="1265" t="s">
        <v>752</v>
      </c>
      <c r="Z93" s="1258" t="s">
        <v>59</v>
      </c>
      <c r="AA93" s="1266" t="str">
        <f t="shared" si="1"/>
        <v>a</v>
      </c>
      <c r="AC93" s="572"/>
      <c r="AD93" s="572"/>
      <c r="AE93" s="572"/>
    </row>
    <row r="94" spans="1:31" ht="40.5" customHeight="1" x14ac:dyDescent="0.25">
      <c r="A94" s="927">
        <v>119.1</v>
      </c>
      <c r="B94" s="270" t="str">
        <f>IF(VLOOKUP(A94,'Données de base - Grunddaten'!$A$2:$M$273,5,FALSE)="","",VLOOKUP(A94,'Données de base - Grunddaten'!$A$2:$M$273,5,FALSE))</f>
        <v>VD</v>
      </c>
      <c r="C94" s="41" t="str">
        <f>IF(VLOOKUP(A94,'Données de base - Grunddaten'!$A$2:$M$273,3,FALSE)="","",VLOOKUP(A94,'Données de base - Grunddaten'!$A$2:$M$273,3,FALSE))</f>
        <v>Embouchure de l'Aubonne</v>
      </c>
      <c r="D94" s="41" t="str">
        <f>IF(VLOOKUP(A94,'Données de base - Grunddaten'!$A$2:$M$273,4,FALSE)="","",VLOOKUP(A94,'Données de base - Grunddaten'!$A$2:$M$273,4,FALSE))</f>
        <v>L'Aubonne</v>
      </c>
      <c r="E94" s="271"/>
      <c r="F94" s="271"/>
      <c r="G94" s="271"/>
      <c r="H94" s="272"/>
      <c r="I94" s="279"/>
      <c r="J94" s="279" t="s">
        <v>1059</v>
      </c>
      <c r="K94" s="280" t="s">
        <v>1057</v>
      </c>
      <c r="L94" s="281" t="s">
        <v>1194</v>
      </c>
      <c r="M94" s="1151" t="s">
        <v>737</v>
      </c>
      <c r="N94" s="1152" t="s">
        <v>43</v>
      </c>
      <c r="O94" s="1148">
        <f>VLOOKUP(A94,Strat_Plan_Revit!$A$10:$S$321,11,FALSE)</f>
        <v>0</v>
      </c>
      <c r="P94" s="977">
        <f>VLOOKUP(A94,Strat_Plan_Revit!$A$10:$S$321,12,FALSE)</f>
        <v>0</v>
      </c>
      <c r="Q94" s="277">
        <f>VLOOKUP(A94,Strat_Plan_Revit!$A$10:$S$321,13,FALSE)</f>
        <v>0</v>
      </c>
      <c r="R94" s="1169"/>
      <c r="S94" s="1173" t="s">
        <v>737</v>
      </c>
      <c r="T94" s="278" t="s">
        <v>43</v>
      </c>
      <c r="U94" s="1174"/>
      <c r="V94" s="282"/>
      <c r="W94" s="341"/>
      <c r="X94" s="97"/>
      <c r="Y94" s="1265" t="s">
        <v>737</v>
      </c>
      <c r="Z94" s="1258" t="s">
        <v>43</v>
      </c>
      <c r="AA94" s="1266" t="str">
        <f t="shared" si="1"/>
        <v>a</v>
      </c>
      <c r="AC94" s="572"/>
      <c r="AD94" s="572"/>
      <c r="AE94" s="572"/>
    </row>
    <row r="95" spans="1:31" ht="40.5" customHeight="1" x14ac:dyDescent="0.25">
      <c r="A95" s="927">
        <v>119.2</v>
      </c>
      <c r="B95" s="270" t="str">
        <f>IF(VLOOKUP(A95,'Données de base - Grunddaten'!$A$2:$M$273,5,FALSE)="","",VLOOKUP(A95,'Données de base - Grunddaten'!$A$2:$M$273,5,FALSE))</f>
        <v>VD</v>
      </c>
      <c r="C95" s="41" t="str">
        <f>IF(VLOOKUP(A95,'Données de base - Grunddaten'!$A$2:$M$273,3,FALSE)="","",VLOOKUP(A95,'Données de base - Grunddaten'!$A$2:$M$273,3,FALSE))</f>
        <v>Embouchure de l'Aubonne</v>
      </c>
      <c r="D95" s="41" t="str">
        <f>IF(VLOOKUP(A95,'Données de base - Grunddaten'!$A$2:$M$273,4,FALSE)="","",VLOOKUP(A95,'Données de base - Grunddaten'!$A$2:$M$273,4,FALSE))</f>
        <v>L'Aubonne</v>
      </c>
      <c r="E95" s="271">
        <v>3.9454545454545462</v>
      </c>
      <c r="F95" s="271">
        <v>9.0601031016124178</v>
      </c>
      <c r="G95" s="271">
        <v>5.4545454545454541</v>
      </c>
      <c r="H95" s="272" t="s">
        <v>1066</v>
      </c>
      <c r="I95" s="273"/>
      <c r="J95" s="273" t="s">
        <v>1059</v>
      </c>
      <c r="K95" s="274"/>
      <c r="L95" s="275"/>
      <c r="M95" s="1151" t="s">
        <v>720</v>
      </c>
      <c r="N95" s="1152" t="s">
        <v>43</v>
      </c>
      <c r="O95" s="1148" t="str">
        <f>VLOOKUP(A95,Strat_Plan_Revit!$A$10:$S$321,11,FALSE)</f>
        <v>élevé</v>
      </c>
      <c r="P95" s="977" t="str">
        <f>VLOOKUP(A95,Strat_Plan_Revit!$A$10:$S$321,12,FALSE)</f>
        <v>élevé et faible</v>
      </c>
      <c r="Q95" s="277" t="str">
        <f>VLOOKUP(A95,Strat_Plan_Revit!$A$10:$S$321,13,FALSE)</f>
        <v>moyen et nulle</v>
      </c>
      <c r="R95" s="1162" t="s">
        <v>737</v>
      </c>
      <c r="S95" s="1173" t="s">
        <v>737</v>
      </c>
      <c r="T95" s="278" t="s">
        <v>110</v>
      </c>
      <c r="U95" s="1174"/>
      <c r="V95" s="282"/>
      <c r="W95" s="341"/>
      <c r="X95" s="97"/>
      <c r="Y95" s="1265" t="s">
        <v>737</v>
      </c>
      <c r="Z95" s="1258" t="s">
        <v>110</v>
      </c>
      <c r="AA95" s="1266" t="str">
        <f t="shared" si="1"/>
        <v>a</v>
      </c>
      <c r="AC95" s="572"/>
      <c r="AD95" s="572"/>
      <c r="AE95" s="572"/>
    </row>
    <row r="96" spans="1:31" ht="40.5" customHeight="1" x14ac:dyDescent="0.25">
      <c r="A96" s="927">
        <v>119.3</v>
      </c>
      <c r="B96" s="270" t="str">
        <f>IF(VLOOKUP(A96,'Données de base - Grunddaten'!$A$2:$M$273,5,FALSE)="","",VLOOKUP(A96,'Données de base - Grunddaten'!$A$2:$M$273,5,FALSE))</f>
        <v>VD</v>
      </c>
      <c r="C96" s="41" t="str">
        <f>IF(VLOOKUP(A96,'Données de base - Grunddaten'!$A$2:$M$273,3,FALSE)="","",VLOOKUP(A96,'Données de base - Grunddaten'!$A$2:$M$273,3,FALSE))</f>
        <v>Embouchure de l'Aubonne</v>
      </c>
      <c r="D96" s="41" t="str">
        <f>IF(VLOOKUP(A96,'Données de base - Grunddaten'!$A$2:$M$273,4,FALSE)="","",VLOOKUP(A96,'Données de base - Grunddaten'!$A$2:$M$273,4,FALSE))</f>
        <v>L'Aubonne</v>
      </c>
      <c r="E96" s="271"/>
      <c r="F96" s="271"/>
      <c r="G96" s="271"/>
      <c r="H96" s="272"/>
      <c r="I96" s="279"/>
      <c r="J96" s="279" t="s">
        <v>1059</v>
      </c>
      <c r="K96" s="280" t="s">
        <v>1066</v>
      </c>
      <c r="L96" s="281"/>
      <c r="M96" s="1151" t="s">
        <v>752</v>
      </c>
      <c r="N96" s="1152" t="s">
        <v>72</v>
      </c>
      <c r="O96" s="1148">
        <f>VLOOKUP(A96,Strat_Plan_Revit!$A$10:$S$321,11,FALSE)</f>
        <v>0</v>
      </c>
      <c r="P96" s="977">
        <f>VLOOKUP(A96,Strat_Plan_Revit!$A$10:$S$321,12,FALSE)</f>
        <v>0</v>
      </c>
      <c r="Q96" s="277">
        <f>VLOOKUP(A96,Strat_Plan_Revit!$A$10:$S$321,13,FALSE)</f>
        <v>0</v>
      </c>
      <c r="R96" s="1169"/>
      <c r="S96" s="1173" t="s">
        <v>752</v>
      </c>
      <c r="T96" s="278" t="s">
        <v>72</v>
      </c>
      <c r="U96" s="1174"/>
      <c r="V96" s="282"/>
      <c r="W96" s="341"/>
      <c r="X96" s="97"/>
      <c r="Y96" s="1265" t="s">
        <v>752</v>
      </c>
      <c r="Z96" s="1258" t="s">
        <v>72</v>
      </c>
      <c r="AA96" s="1266" t="str">
        <f t="shared" si="1"/>
        <v>b</v>
      </c>
      <c r="AC96" s="572"/>
      <c r="AD96" s="572"/>
      <c r="AE96" s="572"/>
    </row>
    <row r="97" spans="1:31" ht="40.5" customHeight="1" x14ac:dyDescent="0.25">
      <c r="A97" s="926">
        <v>120</v>
      </c>
      <c r="B97" s="270" t="str">
        <f>IF(VLOOKUP(A97,'Données de base - Grunddaten'!$A$2:$M$273,5,FALSE)="","",VLOOKUP(A97,'Données de base - Grunddaten'!$A$2:$M$273,5,FALSE))</f>
        <v>VD</v>
      </c>
      <c r="C97" s="41" t="str">
        <f>IF(VLOOKUP(A97,'Données de base - Grunddaten'!$A$2:$M$273,3,FALSE)="","",VLOOKUP(A97,'Données de base - Grunddaten'!$A$2:$M$273,3,FALSE))</f>
        <v>Les Iles de Bussigny</v>
      </c>
      <c r="D97" s="41" t="str">
        <f>IF(VLOOKUP(A97,'Données de base - Grunddaten'!$A$2:$M$273,4,FALSE)="","",VLOOKUP(A97,'Données de base - Grunddaten'!$A$2:$M$273,4,FALSE))</f>
        <v>La Venoge</v>
      </c>
      <c r="E97" s="271">
        <v>-12.727272727272727</v>
      </c>
      <c r="F97" s="271">
        <v>0</v>
      </c>
      <c r="G97" s="271">
        <v>12.727272727272727</v>
      </c>
      <c r="H97" s="272" t="s">
        <v>1061</v>
      </c>
      <c r="I97" s="273"/>
      <c r="J97" s="273" t="s">
        <v>1059</v>
      </c>
      <c r="K97" s="274"/>
      <c r="L97" s="275"/>
      <c r="M97" s="1151" t="s">
        <v>752</v>
      </c>
      <c r="N97" s="1152" t="s">
        <v>43</v>
      </c>
      <c r="O97" s="1148" t="str">
        <f>VLOOKUP(A97,Strat_Plan_Revit!$A$10:$S$321,11,FALSE)</f>
        <v>élevé</v>
      </c>
      <c r="P97" s="977" t="str">
        <f>VLOOKUP(A97,Strat_Plan_Revit!$A$10:$S$321,12,FALSE)</f>
        <v>moyen (tronçon aval) et faible</v>
      </c>
      <c r="Q97" s="277" t="str">
        <f>VLOOKUP(A97,Strat_Plan_Revit!$A$10:$S$321,13,FALSE)</f>
        <v>élevé (partie aval) et nulle</v>
      </c>
      <c r="R97" s="1162" t="s">
        <v>720</v>
      </c>
      <c r="S97" s="1173" t="s">
        <v>720</v>
      </c>
      <c r="T97" s="278" t="s">
        <v>110</v>
      </c>
      <c r="U97" s="1174"/>
      <c r="V97" s="282"/>
      <c r="W97" s="341"/>
      <c r="X97" s="97"/>
      <c r="Y97" s="1265" t="s">
        <v>720</v>
      </c>
      <c r="Z97" s="1258" t="s">
        <v>110</v>
      </c>
      <c r="AA97" s="1266" t="str">
        <f t="shared" si="1"/>
        <v>a</v>
      </c>
      <c r="AC97" s="572"/>
      <c r="AD97" s="572"/>
      <c r="AE97" s="572"/>
    </row>
    <row r="98" spans="1:31" ht="40.5" customHeight="1" x14ac:dyDescent="0.25">
      <c r="A98" s="926">
        <v>121</v>
      </c>
      <c r="B98" s="270" t="str">
        <f>IF(VLOOKUP(A98,'Données de base - Grunddaten'!$A$2:$M$273,5,FALSE)="","",VLOOKUP(A98,'Données de base - Grunddaten'!$A$2:$M$273,5,FALSE))</f>
        <v>VD</v>
      </c>
      <c r="C98" s="41" t="str">
        <f>IF(VLOOKUP(A98,'Données de base - Grunddaten'!$A$2:$M$273,3,FALSE)="","",VLOOKUP(A98,'Données de base - Grunddaten'!$A$2:$M$273,3,FALSE))</f>
        <v>La Roujarde</v>
      </c>
      <c r="D98" s="41" t="str">
        <f>IF(VLOOKUP(A98,'Données de base - Grunddaten'!$A$2:$M$273,4,FALSE)="","",VLOOKUP(A98,'Données de base - Grunddaten'!$A$2:$M$273,4,FALSE))</f>
        <v>La Venoge</v>
      </c>
      <c r="E98" s="271">
        <v>-2.7272727272727271</v>
      </c>
      <c r="F98" s="271">
        <v>0</v>
      </c>
      <c r="G98" s="271">
        <v>2.7272727272727271</v>
      </c>
      <c r="H98" s="272" t="s">
        <v>1061</v>
      </c>
      <c r="I98" s="273"/>
      <c r="J98" s="273" t="s">
        <v>1059</v>
      </c>
      <c r="K98" s="274"/>
      <c r="L98" s="275"/>
      <c r="M98" s="1151" t="s">
        <v>720</v>
      </c>
      <c r="N98" s="1152" t="s">
        <v>72</v>
      </c>
      <c r="O98" s="1148" t="str">
        <f>VLOOKUP(A98,Strat_Plan_Revit!$A$10:$S$321,11,FALSE)</f>
        <v>élevé</v>
      </c>
      <c r="P98" s="977" t="str">
        <f>VLOOKUP(A98,Strat_Plan_Revit!$A$10:$S$321,12,FALSE)</f>
        <v>élevé (affluent faible)</v>
      </c>
      <c r="Q98" s="277" t="str">
        <f>VLOOKUP(A98,Strat_Plan_Revit!$A$10:$S$321,13,FALSE)</f>
        <v>moyen (affluent nulle)</v>
      </c>
      <c r="R98" s="1162" t="s">
        <v>737</v>
      </c>
      <c r="S98" s="1173" t="s">
        <v>737</v>
      </c>
      <c r="T98" s="278" t="s">
        <v>110</v>
      </c>
      <c r="U98" s="1174"/>
      <c r="V98" s="282"/>
      <c r="W98" s="341"/>
      <c r="X98" s="97"/>
      <c r="Y98" s="1265" t="s">
        <v>723</v>
      </c>
      <c r="Z98" s="1258" t="s">
        <v>368</v>
      </c>
      <c r="AA98" s="1266" t="str">
        <f t="shared" si="1"/>
        <v>b</v>
      </c>
      <c r="AC98" s="572"/>
      <c r="AD98" s="572"/>
      <c r="AE98" s="572"/>
    </row>
    <row r="99" spans="1:31" ht="40.5" customHeight="1" x14ac:dyDescent="0.25">
      <c r="A99" s="926">
        <v>122</v>
      </c>
      <c r="B99" s="270" t="str">
        <f>IF(VLOOKUP(A99,'Données de base - Grunddaten'!$A$2:$M$273,5,FALSE)="","",VLOOKUP(A99,'Données de base - Grunddaten'!$A$2:$M$273,5,FALSE))</f>
        <v>VD</v>
      </c>
      <c r="C99" s="41" t="str">
        <f>IF(VLOOKUP(A99,'Données de base - Grunddaten'!$A$2:$M$273,3,FALSE)="","",VLOOKUP(A99,'Données de base - Grunddaten'!$A$2:$M$273,3,FALSE))</f>
        <v>Bois de Vaux</v>
      </c>
      <c r="D99" s="41" t="str">
        <f>IF(VLOOKUP(A99,'Données de base - Grunddaten'!$A$2:$M$273,4,FALSE)="","",VLOOKUP(A99,'Données de base - Grunddaten'!$A$2:$M$273,4,FALSE))</f>
        <v>La Venoge</v>
      </c>
      <c r="E99" s="271">
        <v>-5.9090909090909092</v>
      </c>
      <c r="F99" s="271">
        <v>0</v>
      </c>
      <c r="G99" s="271">
        <v>5.9090909090909092</v>
      </c>
      <c r="H99" s="272" t="s">
        <v>1061</v>
      </c>
      <c r="I99" s="273"/>
      <c r="J99" s="273" t="s">
        <v>1059</v>
      </c>
      <c r="K99" s="274"/>
      <c r="L99" s="275"/>
      <c r="M99" s="1151" t="s">
        <v>737</v>
      </c>
      <c r="N99" s="1152" t="s">
        <v>72</v>
      </c>
      <c r="O99" s="1148" t="str">
        <f>VLOOKUP(A99,Strat_Plan_Revit!$A$10:$S$321,11,FALSE)</f>
        <v>élevé</v>
      </c>
      <c r="P99" s="977" t="str">
        <f>VLOOKUP(A99,Strat_Plan_Revit!$A$10:$S$321,12,FALSE)</f>
        <v>élevé</v>
      </c>
      <c r="Q99" s="277" t="str">
        <f>VLOOKUP(A99,Strat_Plan_Revit!$A$10:$S$321,13,FALSE)</f>
        <v>élevé</v>
      </c>
      <c r="R99" s="1162" t="s">
        <v>737</v>
      </c>
      <c r="S99" s="1173" t="s">
        <v>737</v>
      </c>
      <c r="T99" s="278" t="s">
        <v>59</v>
      </c>
      <c r="U99" s="1174"/>
      <c r="V99" s="282"/>
      <c r="W99" s="341"/>
      <c r="X99" s="97"/>
      <c r="Y99" s="1265" t="s">
        <v>737</v>
      </c>
      <c r="Z99" s="1258" t="s">
        <v>59</v>
      </c>
      <c r="AA99" s="1266" t="str">
        <f t="shared" si="1"/>
        <v>a</v>
      </c>
      <c r="AC99" s="572"/>
      <c r="AD99" s="572"/>
      <c r="AE99" s="572"/>
    </row>
    <row r="100" spans="1:31" ht="40.5" customHeight="1" x14ac:dyDescent="0.25">
      <c r="A100" s="927">
        <v>123.1</v>
      </c>
      <c r="B100" s="270" t="str">
        <f>IF(VLOOKUP(A100,'Données de base - Grunddaten'!$A$2:$M$273,5,FALSE)="","",VLOOKUP(A100,'Données de base - Grunddaten'!$A$2:$M$273,5,FALSE))</f>
        <v>VD</v>
      </c>
      <c r="C100" s="41" t="str">
        <f>IF(VLOOKUP(A100,'Données de base - Grunddaten'!$A$2:$M$273,3,FALSE)="","",VLOOKUP(A100,'Données de base - Grunddaten'!$A$2:$M$273,3,FALSE))</f>
        <v>Les Grangettes</v>
      </c>
      <c r="D100" s="41" t="str">
        <f>IF(VLOOKUP(A100,'Données de base - Grunddaten'!$A$2:$M$273,4,FALSE)="","",VLOOKUP(A100,'Données de base - Grunddaten'!$A$2:$M$273,4,FALSE))</f>
        <v>Le Rhône, Grand Canal, Lac Léman</v>
      </c>
      <c r="E100" s="271"/>
      <c r="F100" s="271"/>
      <c r="G100" s="271"/>
      <c r="H100" s="272"/>
      <c r="I100" s="279"/>
      <c r="J100" s="286" t="s">
        <v>1059</v>
      </c>
      <c r="K100" s="280" t="s">
        <v>1057</v>
      </c>
      <c r="L100" s="281" t="s">
        <v>1092</v>
      </c>
      <c r="M100" s="1151" t="s">
        <v>737</v>
      </c>
      <c r="N100" s="1152" t="s">
        <v>43</v>
      </c>
      <c r="O100" s="1148" t="str">
        <f>VLOOKUP(A100,Strat_Plan_Revit!$A$10:$S$321,11,FALSE)</f>
        <v>élevé (tous les affluents au lac, y c. le Rhône)</v>
      </c>
      <c r="P100" s="977" t="str">
        <f>VLOOKUP(A100,Strat_Plan_Revit!$A$10:$S$321,12,FALSE)</f>
        <v>Rhône: moyen amont; élevé aval. Grand Canal: élevé. Vieux Rhône: faible. Autres affluents: moyen.</v>
      </c>
      <c r="Q100" s="277" t="str">
        <f>VLOOKUP(A100,Strat_Plan_Revit!$A$10:$S$321,13,FALSE)</f>
        <v>Rhône: moyen amont; élevé embouchure. Vieux Rhône: nulle. Grand Canal: élevé. Autres affluents: moyen.</v>
      </c>
      <c r="R100" s="1169"/>
      <c r="S100" s="1173" t="s">
        <v>737</v>
      </c>
      <c r="T100" s="278" t="s">
        <v>43</v>
      </c>
      <c r="U100" s="1174"/>
      <c r="V100" s="282"/>
      <c r="W100" s="341"/>
      <c r="X100" s="97"/>
      <c r="Y100" s="1265" t="s">
        <v>737</v>
      </c>
      <c r="Z100" s="1258" t="s">
        <v>43</v>
      </c>
      <c r="AA100" s="1266" t="str">
        <f t="shared" si="1"/>
        <v>a</v>
      </c>
      <c r="AC100" s="572"/>
      <c r="AD100" s="572"/>
      <c r="AE100" s="572"/>
    </row>
    <row r="101" spans="1:31" ht="40.5" customHeight="1" x14ac:dyDescent="0.25">
      <c r="A101" s="927">
        <v>123.2</v>
      </c>
      <c r="B101" s="270" t="str">
        <f>IF(VLOOKUP(A101,'Données de base - Grunddaten'!$A$2:$M$273,5,FALSE)="","",VLOOKUP(A101,'Données de base - Grunddaten'!$A$2:$M$273,5,FALSE))</f>
        <v>VD</v>
      </c>
      <c r="C101" s="41" t="str">
        <f>IF(VLOOKUP(A101,'Données de base - Grunddaten'!$A$2:$M$273,3,FALSE)="","",VLOOKUP(A101,'Données de base - Grunddaten'!$A$2:$M$273,3,FALSE))</f>
        <v>Les Grangettes</v>
      </c>
      <c r="D101" s="41" t="str">
        <f>IF(VLOOKUP(A101,'Données de base - Grunddaten'!$A$2:$M$273,4,FALSE)="","",VLOOKUP(A101,'Données de base - Grunddaten'!$A$2:$M$273,4,FALSE))</f>
        <v>Le Rhône, Grand Canal, Lac Léman</v>
      </c>
      <c r="E101" s="271">
        <v>-3.1818181818181817</v>
      </c>
      <c r="F101" s="271">
        <v>0</v>
      </c>
      <c r="G101" s="271">
        <v>3.1818181818181817</v>
      </c>
      <c r="H101" s="272" t="s">
        <v>1061</v>
      </c>
      <c r="I101" s="279"/>
      <c r="J101" s="279" t="s">
        <v>1059</v>
      </c>
      <c r="K101" s="280" t="s">
        <v>1057</v>
      </c>
      <c r="L101" s="281" t="s">
        <v>1196</v>
      </c>
      <c r="M101" s="1151" t="s">
        <v>737</v>
      </c>
      <c r="N101" s="1152" t="s">
        <v>43</v>
      </c>
      <c r="O101" s="1148">
        <f>VLOOKUP(A101,Strat_Plan_Revit!$A$10:$S$321,11,FALSE)</f>
        <v>0</v>
      </c>
      <c r="P101" s="977">
        <f>VLOOKUP(A101,Strat_Plan_Revit!$A$10:$S$321,12,FALSE)</f>
        <v>0</v>
      </c>
      <c r="Q101" s="277">
        <f>VLOOKUP(A101,Strat_Plan_Revit!$A$10:$S$321,13,FALSE)</f>
        <v>0</v>
      </c>
      <c r="R101" s="1162" t="s">
        <v>737</v>
      </c>
      <c r="S101" s="1173" t="s">
        <v>737</v>
      </c>
      <c r="T101" s="278" t="s">
        <v>59</v>
      </c>
      <c r="U101" s="1174"/>
      <c r="V101" s="282"/>
      <c r="W101" s="341"/>
      <c r="X101" s="97"/>
      <c r="Y101" s="1265" t="s">
        <v>737</v>
      </c>
      <c r="Z101" s="1258" t="s">
        <v>59</v>
      </c>
      <c r="AA101" s="1266" t="str">
        <f t="shared" si="1"/>
        <v>a</v>
      </c>
      <c r="AC101" s="572"/>
      <c r="AD101" s="572"/>
      <c r="AE101" s="572"/>
    </row>
    <row r="102" spans="1:31" ht="40.5" customHeight="1" x14ac:dyDescent="0.25">
      <c r="A102" s="927">
        <v>123.3</v>
      </c>
      <c r="B102" s="270" t="str">
        <f>IF(VLOOKUP(A102,'Données de base - Grunddaten'!$A$2:$M$273,5,FALSE)="","",VLOOKUP(A102,'Données de base - Grunddaten'!$A$2:$M$273,5,FALSE))</f>
        <v>VD</v>
      </c>
      <c r="C102" s="41" t="str">
        <f>IF(VLOOKUP(A102,'Données de base - Grunddaten'!$A$2:$M$273,3,FALSE)="","",VLOOKUP(A102,'Données de base - Grunddaten'!$A$2:$M$273,3,FALSE))</f>
        <v>Les Grangettes</v>
      </c>
      <c r="D102" s="41" t="str">
        <f>IF(VLOOKUP(A102,'Données de base - Grunddaten'!$A$2:$M$273,4,FALSE)="","",VLOOKUP(A102,'Données de base - Grunddaten'!$A$2:$M$273,4,FALSE))</f>
        <v>Le Rhône, Grand Canal, Lac Léman</v>
      </c>
      <c r="E102" s="271"/>
      <c r="F102" s="271"/>
      <c r="G102" s="271"/>
      <c r="H102" s="272"/>
      <c r="I102" s="279"/>
      <c r="J102" s="279" t="s">
        <v>1068</v>
      </c>
      <c r="K102" s="280" t="s">
        <v>1061</v>
      </c>
      <c r="L102" s="281" t="s">
        <v>1092</v>
      </c>
      <c r="M102" s="1151" t="s">
        <v>752</v>
      </c>
      <c r="N102" s="1152" t="s">
        <v>43</v>
      </c>
      <c r="O102" s="1148">
        <f>VLOOKUP(A102,Strat_Plan_Revit!$A$10:$S$321,11,FALSE)</f>
        <v>0</v>
      </c>
      <c r="P102" s="977">
        <f>VLOOKUP(A102,Strat_Plan_Revit!$A$10:$S$321,12,FALSE)</f>
        <v>0</v>
      </c>
      <c r="Q102" s="277">
        <f>VLOOKUP(A102,Strat_Plan_Revit!$A$10:$S$321,13,FALSE)</f>
        <v>0</v>
      </c>
      <c r="R102" s="1169"/>
      <c r="S102" s="1173" t="s">
        <v>752</v>
      </c>
      <c r="T102" s="278" t="s">
        <v>43</v>
      </c>
      <c r="U102" s="1174"/>
      <c r="V102" s="282"/>
      <c r="W102" s="341"/>
      <c r="X102" s="97"/>
      <c r="Y102" s="1265" t="s">
        <v>752</v>
      </c>
      <c r="Z102" s="1258" t="s">
        <v>43</v>
      </c>
      <c r="AA102" s="1266" t="str">
        <f t="shared" si="1"/>
        <v>a</v>
      </c>
      <c r="AC102" s="572"/>
      <c r="AD102" s="572"/>
      <c r="AE102" s="572"/>
    </row>
    <row r="103" spans="1:31" ht="40.5" customHeight="1" x14ac:dyDescent="0.25">
      <c r="A103" s="926">
        <v>124</v>
      </c>
      <c r="B103" s="270" t="str">
        <f>IF(VLOOKUP(A103,'Données de base - Grunddaten'!$A$2:$M$273,5,FALSE)="","",VLOOKUP(A103,'Données de base - Grunddaten'!$A$2:$M$273,5,FALSE))</f>
        <v>VD</v>
      </c>
      <c r="C103" s="41" t="str">
        <f>IF(VLOOKUP(A103,'Données de base - Grunddaten'!$A$2:$M$273,3,FALSE)="","",VLOOKUP(A103,'Données de base - Grunddaten'!$A$2:$M$273,3,FALSE))</f>
        <v>Iles des Clous</v>
      </c>
      <c r="D103" s="41" t="str">
        <f>IF(VLOOKUP(A103,'Données de base - Grunddaten'!$A$2:$M$273,4,FALSE)="","",VLOOKUP(A103,'Données de base - Grunddaten'!$A$2:$M$273,4,FALSE))</f>
        <v>Le Rhône, Grand Canal</v>
      </c>
      <c r="E103" s="271">
        <v>77.927272727272737</v>
      </c>
      <c r="F103" s="271">
        <v>85.202136174721915</v>
      </c>
      <c r="G103" s="271">
        <v>7.2727272727272725</v>
      </c>
      <c r="H103" s="272" t="s">
        <v>1057</v>
      </c>
      <c r="I103" s="273"/>
      <c r="J103" s="273" t="s">
        <v>1064</v>
      </c>
      <c r="K103" s="274"/>
      <c r="L103" s="275"/>
      <c r="M103" s="1151" t="s">
        <v>737</v>
      </c>
      <c r="N103" s="1152" t="s">
        <v>43</v>
      </c>
      <c r="O103" s="1148" t="str">
        <f>VLOOKUP(A103,Strat_Plan_Revit!$A$10:$S$321,11,FALSE)</f>
        <v>élevé</v>
      </c>
      <c r="P103" s="977" t="str">
        <f>VLOOKUP(A103,Strat_Plan_Revit!$A$10:$S$321,12,FALSE)</f>
        <v>élevé</v>
      </c>
      <c r="Q103" s="277" t="str">
        <f>VLOOKUP(A103,Strat_Plan_Revit!$A$10:$S$321,13,FALSE)</f>
        <v>élevé</v>
      </c>
      <c r="R103" s="1162" t="s">
        <v>737</v>
      </c>
      <c r="S103" s="1173" t="s">
        <v>737</v>
      </c>
      <c r="T103" s="278" t="s">
        <v>59</v>
      </c>
      <c r="U103" s="1174"/>
      <c r="V103" s="282"/>
      <c r="W103" s="341"/>
      <c r="X103" s="97"/>
      <c r="Y103" s="1265" t="s">
        <v>737</v>
      </c>
      <c r="Z103" s="1258" t="s">
        <v>59</v>
      </c>
      <c r="AA103" s="1266" t="str">
        <f t="shared" si="1"/>
        <v>a</v>
      </c>
      <c r="AC103" s="572"/>
      <c r="AD103" s="572"/>
      <c r="AE103" s="572"/>
    </row>
    <row r="104" spans="1:31" ht="40.5" customHeight="1" x14ac:dyDescent="0.25">
      <c r="A104" s="926">
        <v>125</v>
      </c>
      <c r="B104" s="270" t="str">
        <f>IF(VLOOKUP(A104,'Données de base - Grunddaten'!$A$2:$M$273,5,FALSE)="","",VLOOKUP(A104,'Données de base - Grunddaten'!$A$2:$M$273,5,FALSE))</f>
        <v>VS</v>
      </c>
      <c r="C104" s="41" t="str">
        <f>IF(VLOOKUP(A104,'Données de base - Grunddaten'!$A$2:$M$273,3,FALSE)="","",VLOOKUP(A104,'Données de base - Grunddaten'!$A$2:$M$273,3,FALSE))</f>
        <v>Source du Trient</v>
      </c>
      <c r="D104" s="41" t="str">
        <f>IF(VLOOKUP(A104,'Données de base - Grunddaten'!$A$2:$M$273,4,FALSE)="","",VLOOKUP(A104,'Données de base - Grunddaten'!$A$2:$M$273,4,FALSE))</f>
        <v>Le Trient</v>
      </c>
      <c r="E104" s="271">
        <v>0</v>
      </c>
      <c r="F104" s="271">
        <v>0</v>
      </c>
      <c r="G104" s="271">
        <v>0</v>
      </c>
      <c r="H104" s="272" t="s">
        <v>1061</v>
      </c>
      <c r="I104" s="273"/>
      <c r="J104" s="273" t="s">
        <v>1059</v>
      </c>
      <c r="K104" s="274"/>
      <c r="L104" s="275"/>
      <c r="M104" s="1151" t="s">
        <v>752</v>
      </c>
      <c r="N104" s="1152" t="s">
        <v>72</v>
      </c>
      <c r="O104" s="1148" t="str">
        <f>VLOOKUP(A104,Strat_Plan_Revit!$A$10:$S$321,11,FALSE)</f>
        <v>non évalué</v>
      </c>
      <c r="P104" s="977" t="str">
        <f>VLOOKUP(A104,Strat_Plan_Revit!$A$10:$S$321,12,FALSE)</f>
        <v>non évalué</v>
      </c>
      <c r="Q104" s="277" t="str">
        <f>VLOOKUP(A104,Strat_Plan_Revit!$A$10:$S$321,13,FALSE)</f>
        <v>pas de mesure</v>
      </c>
      <c r="R104" s="1169"/>
      <c r="S104" s="1173" t="s">
        <v>752</v>
      </c>
      <c r="T104" s="278" t="s">
        <v>59</v>
      </c>
      <c r="U104" s="1174"/>
      <c r="V104" s="282"/>
      <c r="W104" s="341"/>
      <c r="X104" s="97"/>
      <c r="Y104" s="1265" t="s">
        <v>752</v>
      </c>
      <c r="Z104" s="1258" t="s">
        <v>59</v>
      </c>
      <c r="AA104" s="1266" t="str">
        <f t="shared" si="1"/>
        <v>a</v>
      </c>
      <c r="AC104" s="572"/>
      <c r="AD104" s="572"/>
      <c r="AE104" s="572"/>
    </row>
    <row r="105" spans="1:31" ht="40.5" customHeight="1" x14ac:dyDescent="0.25">
      <c r="A105" s="926">
        <v>127</v>
      </c>
      <c r="B105" s="270" t="str">
        <f>IF(VLOOKUP(A105,'Données de base - Grunddaten'!$A$2:$M$273,5,FALSE)="","",VLOOKUP(A105,'Données de base - Grunddaten'!$A$2:$M$273,5,FALSE))</f>
        <v>VS</v>
      </c>
      <c r="C105" s="41" t="str">
        <f>IF(VLOOKUP(A105,'Données de base - Grunddaten'!$A$2:$M$273,3,FALSE)="","",VLOOKUP(A105,'Données de base - Grunddaten'!$A$2:$M$273,3,FALSE))</f>
        <v>Lotrey</v>
      </c>
      <c r="D105" s="41" t="str">
        <f>IF(VLOOKUP(A105,'Données de base - Grunddaten'!$A$2:$M$273,4,FALSE)="","",VLOOKUP(A105,'Données de base - Grunddaten'!$A$2:$M$273,4,FALSE))</f>
        <v>La Borgne</v>
      </c>
      <c r="E105" s="271">
        <v>51.11818181818181</v>
      </c>
      <c r="F105" s="271">
        <v>69.305388481939133</v>
      </c>
      <c r="G105" s="271">
        <v>18.181818181818183</v>
      </c>
      <c r="H105" s="272" t="s">
        <v>1057</v>
      </c>
      <c r="I105" s="273"/>
      <c r="J105" s="273" t="s">
        <v>1068</v>
      </c>
      <c r="K105" s="274"/>
      <c r="L105" s="275"/>
      <c r="M105" s="1151" t="s">
        <v>737</v>
      </c>
      <c r="N105" s="1152" t="s">
        <v>43</v>
      </c>
      <c r="O105" s="1148" t="str">
        <f>VLOOKUP(A105,Strat_Plan_Revit!$A$10:$S$321,11,FALSE)</f>
        <v>élevé</v>
      </c>
      <c r="P105" s="977" t="str">
        <f>VLOOKUP(A105,Strat_Plan_Revit!$A$10:$S$321,12,FALSE)</f>
        <v>moyen</v>
      </c>
      <c r="Q105" s="277" t="str">
        <f>VLOOKUP(A105,Strat_Plan_Revit!$A$10:$S$321,13,FALSE)</f>
        <v>mesure</v>
      </c>
      <c r="R105" s="1162" t="s">
        <v>737</v>
      </c>
      <c r="S105" s="1173" t="s">
        <v>737</v>
      </c>
      <c r="T105" s="278" t="s">
        <v>59</v>
      </c>
      <c r="U105" s="1174"/>
      <c r="V105" s="282"/>
      <c r="W105" s="341"/>
      <c r="X105" s="97"/>
      <c r="Y105" s="1265" t="s">
        <v>737</v>
      </c>
      <c r="Z105" s="1258" t="s">
        <v>59</v>
      </c>
      <c r="AA105" s="1266" t="str">
        <f t="shared" si="1"/>
        <v>a</v>
      </c>
      <c r="AC105" s="572"/>
      <c r="AD105" s="572"/>
      <c r="AE105" s="572"/>
    </row>
    <row r="106" spans="1:31" ht="40.5" customHeight="1" x14ac:dyDescent="0.25">
      <c r="A106" s="926">
        <v>128</v>
      </c>
      <c r="B106" s="270" t="str">
        <f>IF(VLOOKUP(A106,'Données de base - Grunddaten'!$A$2:$M$273,5,FALSE)="","",VLOOKUP(A106,'Données de base - Grunddaten'!$A$2:$M$273,5,FALSE))</f>
        <v>VS</v>
      </c>
      <c r="C106" s="41" t="str">
        <f>IF(VLOOKUP(A106,'Données de base - Grunddaten'!$A$2:$M$273,3,FALSE)="","",VLOOKUP(A106,'Données de base - Grunddaten'!$A$2:$M$273,3,FALSE))</f>
        <v>Pramousse–Satarma</v>
      </c>
      <c r="D106" s="41" t="str">
        <f>IF(VLOOKUP(A106,'Données de base - Grunddaten'!$A$2:$M$273,4,FALSE)="","",VLOOKUP(A106,'Données de base - Grunddaten'!$A$2:$M$273,4,FALSE))</f>
        <v>La Borgne d'Arolla</v>
      </c>
      <c r="E106" s="271">
        <v>-4.5454545454545459</v>
      </c>
      <c r="F106" s="271">
        <v>0</v>
      </c>
      <c r="G106" s="271">
        <v>4.5454545454545459</v>
      </c>
      <c r="H106" s="272" t="s">
        <v>1061</v>
      </c>
      <c r="I106" s="273"/>
      <c r="J106" s="273" t="s">
        <v>1068</v>
      </c>
      <c r="K106" s="274"/>
      <c r="L106" s="275"/>
      <c r="M106" s="1151" t="s">
        <v>752</v>
      </c>
      <c r="N106" s="1152" t="s">
        <v>43</v>
      </c>
      <c r="O106" s="1148" t="str">
        <f>VLOOKUP(A106,Strat_Plan_Revit!$A$10:$S$321,11,FALSE)</f>
        <v>moyen à élevé</v>
      </c>
      <c r="P106" s="977" t="str">
        <f>VLOOKUP(A106,Strat_Plan_Revit!$A$10:$S$321,12,FALSE)</f>
        <v>moyen à élevé</v>
      </c>
      <c r="Q106" s="277" t="str">
        <f>VLOOKUP(A106,Strat_Plan_Revit!$A$10:$S$321,13,FALSE)</f>
        <v>mesure</v>
      </c>
      <c r="R106" s="1162" t="s">
        <v>737</v>
      </c>
      <c r="S106" s="1180" t="s">
        <v>752</v>
      </c>
      <c r="T106" s="278" t="s">
        <v>43</v>
      </c>
      <c r="U106" s="1174" t="s">
        <v>1199</v>
      </c>
      <c r="V106" s="1053" t="s">
        <v>126</v>
      </c>
      <c r="W106" s="1141"/>
      <c r="X106" s="1190"/>
      <c r="Y106" s="1273" t="s">
        <v>752</v>
      </c>
      <c r="Z106" s="1258" t="s">
        <v>43</v>
      </c>
      <c r="AA106" s="1266" t="str">
        <f t="shared" si="1"/>
        <v>a</v>
      </c>
      <c r="AC106" s="572"/>
      <c r="AD106" s="572"/>
      <c r="AE106" s="572"/>
    </row>
    <row r="107" spans="1:31" ht="40.5" customHeight="1" x14ac:dyDescent="0.25">
      <c r="A107" s="926">
        <v>129</v>
      </c>
      <c r="B107" s="270" t="str">
        <f>IF(VLOOKUP(A107,'Données de base - Grunddaten'!$A$2:$M$273,5,FALSE)="","",VLOOKUP(A107,'Données de base - Grunddaten'!$A$2:$M$273,5,FALSE))</f>
        <v>VS</v>
      </c>
      <c r="C107" s="41" t="str">
        <f>IF(VLOOKUP(A107,'Données de base - Grunddaten'!$A$2:$M$273,3,FALSE)="","",VLOOKUP(A107,'Données de base - Grunddaten'!$A$2:$M$273,3,FALSE))</f>
        <v>La Borgne en amont d'Arolla</v>
      </c>
      <c r="D107" s="41" t="str">
        <f>IF(VLOOKUP(A107,'Données de base - Grunddaten'!$A$2:$M$273,4,FALSE)="","",VLOOKUP(A107,'Données de base - Grunddaten'!$A$2:$M$273,4,FALSE))</f>
        <v>La Borgne d'Arolla</v>
      </c>
      <c r="E107" s="271">
        <v>-2.2727272727272729</v>
      </c>
      <c r="F107" s="271">
        <v>0</v>
      </c>
      <c r="G107" s="271">
        <v>2.2727272727272729</v>
      </c>
      <c r="H107" s="272" t="s">
        <v>1061</v>
      </c>
      <c r="I107" s="273"/>
      <c r="J107" s="273" t="s">
        <v>1064</v>
      </c>
      <c r="K107" s="274"/>
      <c r="L107" s="275"/>
      <c r="M107" s="1151" t="s">
        <v>752</v>
      </c>
      <c r="N107" s="1152" t="s">
        <v>72</v>
      </c>
      <c r="O107" s="1148" t="str">
        <f>VLOOKUP(A107,Strat_Plan_Revit!$A$10:$S$321,11,FALSE)</f>
        <v>élevé</v>
      </c>
      <c r="P107" s="977" t="str">
        <f>VLOOKUP(A107,Strat_Plan_Revit!$A$10:$S$321,12,FALSE)</f>
        <v>moyen</v>
      </c>
      <c r="Q107" s="277" t="str">
        <f>VLOOKUP(A107,Strat_Plan_Revit!$A$10:$S$321,13,FALSE)</f>
        <v>pas de mesure</v>
      </c>
      <c r="R107" s="1162" t="s">
        <v>720</v>
      </c>
      <c r="S107" s="1173" t="s">
        <v>720</v>
      </c>
      <c r="T107" s="278" t="s">
        <v>110</v>
      </c>
      <c r="U107" s="1174"/>
      <c r="V107" s="282"/>
      <c r="W107" s="341"/>
      <c r="X107" s="97"/>
      <c r="Y107" s="1265" t="s">
        <v>720</v>
      </c>
      <c r="Z107" s="1258" t="s">
        <v>110</v>
      </c>
      <c r="AA107" s="1266" t="str">
        <f t="shared" si="1"/>
        <v>a</v>
      </c>
      <c r="AC107" s="572"/>
      <c r="AD107" s="572"/>
      <c r="AE107" s="572"/>
    </row>
    <row r="108" spans="1:31" ht="40.5" customHeight="1" x14ac:dyDescent="0.25">
      <c r="A108" s="926">
        <v>130</v>
      </c>
      <c r="B108" s="270" t="str">
        <f>IF(VLOOKUP(A108,'Données de base - Grunddaten'!$A$2:$M$273,5,FALSE)="","",VLOOKUP(A108,'Données de base - Grunddaten'!$A$2:$M$273,5,FALSE))</f>
        <v>VS</v>
      </c>
      <c r="C108" s="41" t="str">
        <f>IF(VLOOKUP(A108,'Données de base - Grunddaten'!$A$2:$M$273,3,FALSE)="","",VLOOKUP(A108,'Données de base - Grunddaten'!$A$2:$M$273,3,FALSE))</f>
        <v>Salay</v>
      </c>
      <c r="D108" s="41" t="str">
        <f>IF(VLOOKUP(A108,'Données de base - Grunddaten'!$A$2:$M$273,4,FALSE)="","",VLOOKUP(A108,'Données de base - Grunddaten'!$A$2:$M$273,4,FALSE))</f>
        <v>La Borgne de Ferpècle</v>
      </c>
      <c r="E108" s="271">
        <v>-5.4545454545454541</v>
      </c>
      <c r="F108" s="271">
        <v>0</v>
      </c>
      <c r="G108" s="271">
        <v>5.4545454545454541</v>
      </c>
      <c r="H108" s="272" t="s">
        <v>1061</v>
      </c>
      <c r="I108" s="273"/>
      <c r="J108" s="273" t="s">
        <v>1068</v>
      </c>
      <c r="K108" s="274"/>
      <c r="L108" s="275"/>
      <c r="M108" s="1151" t="s">
        <v>752</v>
      </c>
      <c r="N108" s="1152" t="s">
        <v>72</v>
      </c>
      <c r="O108" s="1148" t="str">
        <f>VLOOKUP(A108,Strat_Plan_Revit!$A$10:$S$321,11,FALSE)</f>
        <v>élevé</v>
      </c>
      <c r="P108" s="977" t="str">
        <f>VLOOKUP(A108,Strat_Plan_Revit!$A$10:$S$321,12,FALSE)</f>
        <v>moyen</v>
      </c>
      <c r="Q108" s="277" t="str">
        <f>VLOOKUP(A108,Strat_Plan_Revit!$A$10:$S$321,13,FALSE)</f>
        <v>pas de mesure</v>
      </c>
      <c r="R108" s="1162" t="s">
        <v>720</v>
      </c>
      <c r="S108" s="1173" t="s">
        <v>720</v>
      </c>
      <c r="T108" s="278" t="s">
        <v>110</v>
      </c>
      <c r="U108" s="1174"/>
      <c r="V108" s="282"/>
      <c r="W108" s="341"/>
      <c r="X108" s="97"/>
      <c r="Y108" s="1265" t="s">
        <v>720</v>
      </c>
      <c r="Z108" s="1258" t="s">
        <v>110</v>
      </c>
      <c r="AA108" s="1266" t="str">
        <f t="shared" si="1"/>
        <v>a</v>
      </c>
      <c r="AC108" s="572"/>
      <c r="AD108" s="572"/>
      <c r="AE108" s="572"/>
    </row>
    <row r="109" spans="1:31" ht="40.5" customHeight="1" x14ac:dyDescent="0.25">
      <c r="A109" s="926">
        <v>131</v>
      </c>
      <c r="B109" s="270" t="str">
        <f>IF(VLOOKUP(A109,'Données de base - Grunddaten'!$A$2:$M$273,5,FALSE)="","",VLOOKUP(A109,'Données de base - Grunddaten'!$A$2:$M$273,5,FALSE))</f>
        <v>VS</v>
      </c>
      <c r="C109" s="41" t="str">
        <f>IF(VLOOKUP(A109,'Données de base - Grunddaten'!$A$2:$M$273,3,FALSE)="","",VLOOKUP(A109,'Données de base - Grunddaten'!$A$2:$M$273,3,FALSE))</f>
        <v>Ferpècle</v>
      </c>
      <c r="D109" s="41" t="str">
        <f>IF(VLOOKUP(A109,'Données de base - Grunddaten'!$A$2:$M$273,4,FALSE)="","",VLOOKUP(A109,'Données de base - Grunddaten'!$A$2:$M$273,4,FALSE))</f>
        <v>La Borgne de Ferpècle</v>
      </c>
      <c r="E109" s="271">
        <v>-1.3636363636363635</v>
      </c>
      <c r="F109" s="271">
        <v>0</v>
      </c>
      <c r="G109" s="271">
        <v>1.3636363636363635</v>
      </c>
      <c r="H109" s="272" t="s">
        <v>1061</v>
      </c>
      <c r="I109" s="273"/>
      <c r="J109" s="273" t="s">
        <v>1068</v>
      </c>
      <c r="K109" s="274"/>
      <c r="L109" s="275"/>
      <c r="M109" s="1151" t="s">
        <v>752</v>
      </c>
      <c r="N109" s="1152" t="s">
        <v>72</v>
      </c>
      <c r="O109" s="1148" t="str">
        <f>VLOOKUP(A109,Strat_Plan_Revit!$A$10:$S$321,11,FALSE)</f>
        <v>élevé</v>
      </c>
      <c r="P109" s="977" t="str">
        <f>VLOOKUP(A109,Strat_Plan_Revit!$A$10:$S$321,12,FALSE)</f>
        <v>moyen</v>
      </c>
      <c r="Q109" s="277" t="str">
        <f>VLOOKUP(A109,Strat_Plan_Revit!$A$10:$S$321,13,FALSE)</f>
        <v>pas de mesure</v>
      </c>
      <c r="R109" s="1162" t="s">
        <v>720</v>
      </c>
      <c r="S109" s="1173" t="s">
        <v>720</v>
      </c>
      <c r="T109" s="278" t="s">
        <v>110</v>
      </c>
      <c r="U109" s="1174" t="s">
        <v>1200</v>
      </c>
      <c r="V109" s="282"/>
      <c r="W109" s="341"/>
      <c r="X109" s="97"/>
      <c r="Y109" s="1265" t="s">
        <v>720</v>
      </c>
      <c r="Z109" s="1258" t="s">
        <v>110</v>
      </c>
      <c r="AA109" s="1266" t="str">
        <f t="shared" si="1"/>
        <v>a</v>
      </c>
      <c r="AC109" s="572"/>
      <c r="AD109" s="572"/>
      <c r="AE109" s="572"/>
    </row>
    <row r="110" spans="1:31" ht="40.5" customHeight="1" x14ac:dyDescent="0.25">
      <c r="A110" s="926">
        <v>132</v>
      </c>
      <c r="B110" s="270" t="str">
        <f>IF(VLOOKUP(A110,'Données de base - Grunddaten'!$A$2:$M$273,5,FALSE)="","",VLOOKUP(A110,'Données de base - Grunddaten'!$A$2:$M$273,5,FALSE))</f>
        <v>VS</v>
      </c>
      <c r="C110" s="41" t="str">
        <f>IF(VLOOKUP(A110,'Données de base - Grunddaten'!$A$2:$M$273,3,FALSE)="","",VLOOKUP(A110,'Données de base - Grunddaten'!$A$2:$M$273,3,FALSE))</f>
        <v>Derborence</v>
      </c>
      <c r="D110" s="41" t="str">
        <f>IF(VLOOKUP(A110,'Données de base - Grunddaten'!$A$2:$M$273,4,FALSE)="","",VLOOKUP(A110,'Données de base - Grunddaten'!$A$2:$M$273,4,FALSE))</f>
        <v>La Lizerne, Lac de Derborence</v>
      </c>
      <c r="E110" s="271">
        <v>0</v>
      </c>
      <c r="F110" s="271">
        <v>0</v>
      </c>
      <c r="G110" s="271">
        <v>0</v>
      </c>
      <c r="H110" s="272" t="s">
        <v>1061</v>
      </c>
      <c r="I110" s="273"/>
      <c r="J110" s="273" t="s">
        <v>1059</v>
      </c>
      <c r="K110" s="274"/>
      <c r="L110" s="275"/>
      <c r="M110" s="1151" t="s">
        <v>752</v>
      </c>
      <c r="N110" s="1152" t="s">
        <v>43</v>
      </c>
      <c r="O110" s="1148" t="str">
        <f>VLOOKUP(A110,Strat_Plan_Revit!$A$10:$S$321,11,FALSE)</f>
        <v>élevé</v>
      </c>
      <c r="P110" s="977" t="str">
        <f>VLOOKUP(A110,Strat_Plan_Revit!$A$10:$S$321,12,FALSE)</f>
        <v>moyen</v>
      </c>
      <c r="Q110" s="277" t="str">
        <f>VLOOKUP(A110,Strat_Plan_Revit!$A$10:$S$321,13,FALSE)</f>
        <v>pas de mesure</v>
      </c>
      <c r="R110" s="1162" t="s">
        <v>720</v>
      </c>
      <c r="S110" s="1173" t="s">
        <v>720</v>
      </c>
      <c r="T110" s="278" t="s">
        <v>110</v>
      </c>
      <c r="U110" s="1174"/>
      <c r="V110" s="282"/>
      <c r="W110" s="341"/>
      <c r="X110" s="97"/>
      <c r="Y110" s="1265" t="s">
        <v>720</v>
      </c>
      <c r="Z110" s="1258" t="s">
        <v>110</v>
      </c>
      <c r="AA110" s="1266" t="str">
        <f t="shared" si="1"/>
        <v>a</v>
      </c>
      <c r="AC110" s="572"/>
      <c r="AD110" s="572"/>
      <c r="AE110" s="572"/>
    </row>
    <row r="111" spans="1:31" ht="40.5" customHeight="1" x14ac:dyDescent="0.25">
      <c r="A111" s="926">
        <v>133</v>
      </c>
      <c r="B111" s="270" t="str">
        <f>IF(VLOOKUP(A111,'Données de base - Grunddaten'!$A$2:$M$273,5,FALSE)="","",VLOOKUP(A111,'Données de base - Grunddaten'!$A$2:$M$273,5,FALSE))</f>
        <v>VS</v>
      </c>
      <c r="C111" s="41" t="str">
        <f>IF(VLOOKUP(A111,'Données de base - Grunddaten'!$A$2:$M$273,3,FALSE)="","",VLOOKUP(A111,'Données de base - Grunddaten'!$A$2:$M$273,3,FALSE))</f>
        <v>Pfynwald</v>
      </c>
      <c r="D111" s="41" t="str">
        <f>IF(VLOOKUP(A111,'Données de base - Grunddaten'!$A$2:$M$273,4,FALSE)="","",VLOOKUP(A111,'Données de base - Grunddaten'!$A$2:$M$273,4,FALSE))</f>
        <v>Rhone</v>
      </c>
      <c r="E111" s="271">
        <v>35.13636363636364</v>
      </c>
      <c r="F111" s="271">
        <v>61.520549326850279</v>
      </c>
      <c r="G111" s="271">
        <v>26.363636363636363</v>
      </c>
      <c r="H111" s="272" t="s">
        <v>1078</v>
      </c>
      <c r="I111" s="273"/>
      <c r="J111" s="273" t="s">
        <v>1068</v>
      </c>
      <c r="K111" s="274"/>
      <c r="L111" s="275"/>
      <c r="M111" s="1151" t="s">
        <v>737</v>
      </c>
      <c r="N111" s="1152" t="s">
        <v>72</v>
      </c>
      <c r="O111" s="1148" t="str">
        <f>VLOOKUP(A111,Strat_Plan_Revit!$A$10:$S$321,11,FALSE)</f>
        <v xml:space="preserve">élevé </v>
      </c>
      <c r="P111" s="977" t="str">
        <f>VLOOKUP(A111,Strat_Plan_Revit!$A$10:$S$321,12,FALSE)</f>
        <v>moyen à élevé</v>
      </c>
      <c r="Q111" s="277" t="str">
        <f>VLOOKUP(A111,Strat_Plan_Revit!$A$10:$S$321,13,FALSE)</f>
        <v>mesure</v>
      </c>
      <c r="R111" s="1162" t="s">
        <v>737</v>
      </c>
      <c r="S111" s="1173" t="s">
        <v>737</v>
      </c>
      <c r="T111" s="278" t="s">
        <v>59</v>
      </c>
      <c r="U111" s="1174"/>
      <c r="V111" s="282"/>
      <c r="W111" s="341"/>
      <c r="X111" s="97"/>
      <c r="Y111" s="1265" t="s">
        <v>737</v>
      </c>
      <c r="Z111" s="1258" t="s">
        <v>59</v>
      </c>
      <c r="AA111" s="1266" t="str">
        <f t="shared" si="1"/>
        <v>a</v>
      </c>
      <c r="AC111" s="572"/>
      <c r="AD111" s="572"/>
      <c r="AE111" s="572"/>
    </row>
    <row r="112" spans="1:31" ht="40.5" customHeight="1" x14ac:dyDescent="0.25">
      <c r="A112" s="926">
        <v>134</v>
      </c>
      <c r="B112" s="270" t="str">
        <f>IF(VLOOKUP(A112,'Données de base - Grunddaten'!$A$2:$M$273,5,FALSE)="","",VLOOKUP(A112,'Données de base - Grunddaten'!$A$2:$M$273,5,FALSE))</f>
        <v>VS</v>
      </c>
      <c r="C112" s="41" t="str">
        <f>IF(VLOOKUP(A112,'Données de base - Grunddaten'!$A$2:$M$273,3,FALSE)="","",VLOOKUP(A112,'Données de base - Grunddaten'!$A$2:$M$273,3,FALSE))</f>
        <v>Tännmattu</v>
      </c>
      <c r="D112" s="41" t="str">
        <f>IF(VLOOKUP(A112,'Données de base - Grunddaten'!$A$2:$M$273,4,FALSE)="","",VLOOKUP(A112,'Données de base - Grunddaten'!$A$2:$M$273,4,FALSE))</f>
        <v>Lonza</v>
      </c>
      <c r="E112" s="271">
        <v>8.5909090909090917</v>
      </c>
      <c r="F112" s="271">
        <v>24.484485250240869</v>
      </c>
      <c r="G112" s="271">
        <v>15.909090909090908</v>
      </c>
      <c r="H112" s="272" t="s">
        <v>1066</v>
      </c>
      <c r="I112" s="273"/>
      <c r="J112" s="273" t="s">
        <v>1059</v>
      </c>
      <c r="K112" s="274"/>
      <c r="L112" s="275"/>
      <c r="M112" s="1151" t="s">
        <v>737</v>
      </c>
      <c r="N112" s="1152" t="s">
        <v>72</v>
      </c>
      <c r="O112" s="1148" t="str">
        <f>VLOOKUP(A112,Strat_Plan_Revit!$A$10:$S$321,11,FALSE)</f>
        <v>élevé</v>
      </c>
      <c r="P112" s="977" t="str">
        <f>VLOOKUP(A112,Strat_Plan_Revit!$A$10:$S$321,12,FALSE)</f>
        <v>élevé</v>
      </c>
      <c r="Q112" s="277" t="str">
        <f>VLOOKUP(A112,Strat_Plan_Revit!$A$10:$S$321,13,FALSE)</f>
        <v>mesure</v>
      </c>
      <c r="R112" s="1162" t="s">
        <v>737</v>
      </c>
      <c r="S112" s="1173" t="s">
        <v>737</v>
      </c>
      <c r="T112" s="278" t="s">
        <v>59</v>
      </c>
      <c r="U112" s="1174"/>
      <c r="V112" s="282"/>
      <c r="W112" s="341"/>
      <c r="X112" s="97"/>
      <c r="Y112" s="1265" t="s">
        <v>737</v>
      </c>
      <c r="Z112" s="1258" t="s">
        <v>59</v>
      </c>
      <c r="AA112" s="1266" t="str">
        <f t="shared" si="1"/>
        <v>a</v>
      </c>
      <c r="AC112" s="572"/>
      <c r="AD112" s="572"/>
      <c r="AE112" s="572"/>
    </row>
    <row r="113" spans="1:31" ht="40.5" customHeight="1" x14ac:dyDescent="0.25">
      <c r="A113" s="926">
        <v>135</v>
      </c>
      <c r="B113" s="270" t="str">
        <f>IF(VLOOKUP(A113,'Données de base - Grunddaten'!$A$2:$M$273,5,FALSE)="","",VLOOKUP(A113,'Données de base - Grunddaten'!$A$2:$M$273,5,FALSE))</f>
        <v>VS</v>
      </c>
      <c r="C113" s="41" t="str">
        <f>IF(VLOOKUP(A113,'Données de base - Grunddaten'!$A$2:$M$273,3,FALSE)="","",VLOOKUP(A113,'Données de base - Grunddaten'!$A$2:$M$273,3,FALSE))</f>
        <v>Chiemadmatte</v>
      </c>
      <c r="D113" s="41" t="str">
        <f>IF(VLOOKUP(A113,'Données de base - Grunddaten'!$A$2:$M$273,4,FALSE)="","",VLOOKUP(A113,'Données de base - Grunddaten'!$A$2:$M$273,4,FALSE))</f>
        <v>Lonza</v>
      </c>
      <c r="E113" s="271">
        <v>8.7090909090909108</v>
      </c>
      <c r="F113" s="271">
        <v>12.843881312856194</v>
      </c>
      <c r="G113" s="271">
        <v>4.0909090909090908</v>
      </c>
      <c r="H113" s="272" t="s">
        <v>1066</v>
      </c>
      <c r="I113" s="273"/>
      <c r="J113" s="273" t="s">
        <v>1059</v>
      </c>
      <c r="K113" s="274"/>
      <c r="L113" s="275"/>
      <c r="M113" s="1151" t="s">
        <v>720</v>
      </c>
      <c r="N113" s="1152" t="s">
        <v>43</v>
      </c>
      <c r="O113" s="1148" t="str">
        <f>VLOOKUP(A113,Strat_Plan_Revit!$A$10:$S$321,11,FALSE)</f>
        <v>élevé</v>
      </c>
      <c r="P113" s="977" t="str">
        <f>VLOOKUP(A113,Strat_Plan_Revit!$A$10:$S$321,12,FALSE)</f>
        <v>moyen à élevé</v>
      </c>
      <c r="Q113" s="277" t="str">
        <f>VLOOKUP(A113,Strat_Plan_Revit!$A$10:$S$321,13,FALSE)</f>
        <v>pas de mesure</v>
      </c>
      <c r="R113" s="1162" t="s">
        <v>720</v>
      </c>
      <c r="S113" s="1173" t="s">
        <v>720</v>
      </c>
      <c r="T113" s="278" t="s">
        <v>59</v>
      </c>
      <c r="U113" s="1174"/>
      <c r="V113" s="282"/>
      <c r="W113" s="341"/>
      <c r="X113" s="97"/>
      <c r="Y113" s="1265" t="s">
        <v>720</v>
      </c>
      <c r="Z113" s="1258" t="s">
        <v>59</v>
      </c>
      <c r="AA113" s="1266" t="str">
        <f t="shared" si="1"/>
        <v>a</v>
      </c>
      <c r="AC113" s="572"/>
      <c r="AD113" s="572"/>
      <c r="AE113" s="572"/>
    </row>
    <row r="114" spans="1:31" ht="40.5" customHeight="1" x14ac:dyDescent="0.25">
      <c r="A114" s="926">
        <v>138</v>
      </c>
      <c r="B114" s="270" t="str">
        <f>IF(VLOOKUP(A114,'Données de base - Grunddaten'!$A$2:$M$273,5,FALSE)="","",VLOOKUP(A114,'Données de base - Grunddaten'!$A$2:$M$273,5,FALSE))</f>
        <v>VS</v>
      </c>
      <c r="C114" s="41" t="str">
        <f>IF(VLOOKUP(A114,'Données de base - Grunddaten'!$A$2:$M$273,3,FALSE)="","",VLOOKUP(A114,'Données de base - Grunddaten'!$A$2:$M$273,3,FALSE))</f>
        <v>Grund</v>
      </c>
      <c r="D114" s="41" t="str">
        <f>IF(VLOOKUP(A114,'Données de base - Grunddaten'!$A$2:$M$273,4,FALSE)="","",VLOOKUP(A114,'Données de base - Grunddaten'!$A$2:$M$273,4,FALSE))</f>
        <v>Ganterbach, Nesselbach, Saltina, Taferna</v>
      </c>
      <c r="E114" s="271">
        <v>-2.7272727272727271</v>
      </c>
      <c r="F114" s="271">
        <v>0</v>
      </c>
      <c r="G114" s="271">
        <v>2.7272727272727271</v>
      </c>
      <c r="H114" s="272" t="s">
        <v>1061</v>
      </c>
      <c r="I114" s="273"/>
      <c r="J114" s="273" t="s">
        <v>1064</v>
      </c>
      <c r="K114" s="274"/>
      <c r="L114" s="275"/>
      <c r="M114" s="1151" t="s">
        <v>752</v>
      </c>
      <c r="N114" s="1152" t="s">
        <v>43</v>
      </c>
      <c r="O114" s="1148" t="str">
        <f>VLOOKUP(A114,Strat_Plan_Revit!$A$10:$S$321,11,FALSE)</f>
        <v>élevé</v>
      </c>
      <c r="P114" s="977" t="str">
        <f>VLOOKUP(A114,Strat_Plan_Revit!$A$10:$S$321,12,FALSE)</f>
        <v>élevé</v>
      </c>
      <c r="Q114" s="277" t="str">
        <f>VLOOKUP(A114,Strat_Plan_Revit!$A$10:$S$321,13,FALSE)</f>
        <v>mesure</v>
      </c>
      <c r="R114" s="1162" t="s">
        <v>737</v>
      </c>
      <c r="S114" s="1173" t="s">
        <v>737</v>
      </c>
      <c r="T114" s="278" t="s">
        <v>110</v>
      </c>
      <c r="U114" s="1174" t="s">
        <v>1201</v>
      </c>
      <c r="V114" s="282"/>
      <c r="W114" s="341"/>
      <c r="X114" s="97"/>
      <c r="Y114" s="1265" t="s">
        <v>737</v>
      </c>
      <c r="Z114" s="1258" t="s">
        <v>110</v>
      </c>
      <c r="AA114" s="1266" t="str">
        <f t="shared" si="1"/>
        <v>a</v>
      </c>
      <c r="AC114" s="572"/>
      <c r="AD114" s="572"/>
      <c r="AE114" s="572"/>
    </row>
    <row r="115" spans="1:31" ht="40.5" customHeight="1" x14ac:dyDescent="0.25">
      <c r="A115" s="926">
        <v>139</v>
      </c>
      <c r="B115" s="270" t="str">
        <f>IF(VLOOKUP(A115,'Données de base - Grunddaten'!$A$2:$M$273,5,FALSE)="","",VLOOKUP(A115,'Données de base - Grunddaten'!$A$2:$M$273,5,FALSE))</f>
        <v>VS</v>
      </c>
      <c r="C115" s="41" t="str">
        <f>IF(VLOOKUP(A115,'Données de base - Grunddaten'!$A$2:$M$273,3,FALSE)="","",VLOOKUP(A115,'Données de base - Grunddaten'!$A$2:$M$273,3,FALSE))</f>
        <v>Bilderne</v>
      </c>
      <c r="D115" s="41" t="str">
        <f>IF(VLOOKUP(A115,'Données de base - Grunddaten'!$A$2:$M$273,4,FALSE)="","",VLOOKUP(A115,'Données de base - Grunddaten'!$A$2:$M$273,4,FALSE))</f>
        <v>Rotten</v>
      </c>
      <c r="E115" s="271">
        <v>-1.3636363636363635</v>
      </c>
      <c r="F115" s="271">
        <v>0</v>
      </c>
      <c r="G115" s="271">
        <v>1.3636363636363635</v>
      </c>
      <c r="H115" s="272" t="s">
        <v>1061</v>
      </c>
      <c r="I115" s="273"/>
      <c r="J115" s="273" t="s">
        <v>1059</v>
      </c>
      <c r="K115" s="274"/>
      <c r="L115" s="275"/>
      <c r="M115" s="1151" t="s">
        <v>738</v>
      </c>
      <c r="N115" s="1152" t="s">
        <v>72</v>
      </c>
      <c r="O115" s="1148" t="str">
        <f>VLOOKUP(A115,Strat_Plan_Revit!$A$10:$S$321,11,FALSE)</f>
        <v>élevé</v>
      </c>
      <c r="P115" s="977" t="str">
        <f>VLOOKUP(A115,Strat_Plan_Revit!$A$10:$S$321,12,FALSE)</f>
        <v>élevé</v>
      </c>
      <c r="Q115" s="277" t="str">
        <f>VLOOKUP(A115,Strat_Plan_Revit!$A$10:$S$321,13,FALSE)</f>
        <v>pas de mesure</v>
      </c>
      <c r="R115" s="1162" t="s">
        <v>738</v>
      </c>
      <c r="S115" s="1173" t="s">
        <v>738</v>
      </c>
      <c r="T115" s="278" t="s">
        <v>59</v>
      </c>
      <c r="U115" s="1174"/>
      <c r="V115" s="282"/>
      <c r="W115" s="341"/>
      <c r="X115" s="97"/>
      <c r="Y115" s="1265" t="s">
        <v>738</v>
      </c>
      <c r="Z115" s="1258" t="s">
        <v>59</v>
      </c>
      <c r="AA115" s="1266" t="str">
        <f t="shared" si="1"/>
        <v>a</v>
      </c>
      <c r="AC115" s="572"/>
      <c r="AD115" s="572"/>
      <c r="AE115" s="572"/>
    </row>
    <row r="116" spans="1:31" ht="40.5" customHeight="1" x14ac:dyDescent="0.25">
      <c r="A116" s="926">
        <v>140</v>
      </c>
      <c r="B116" s="270" t="str">
        <f>IF(VLOOKUP(A116,'Données de base - Grunddaten'!$A$2:$M$273,5,FALSE)="","",VLOOKUP(A116,'Données de base - Grunddaten'!$A$2:$M$273,5,FALSE))</f>
        <v>VS</v>
      </c>
      <c r="C116" s="41" t="str">
        <f>IF(VLOOKUP(A116,'Données de base - Grunddaten'!$A$2:$M$273,3,FALSE)="","",VLOOKUP(A116,'Données de base - Grunddaten'!$A$2:$M$273,3,FALSE))</f>
        <v>Zeiterbode</v>
      </c>
      <c r="D116" s="41" t="str">
        <f>IF(VLOOKUP(A116,'Données de base - Grunddaten'!$A$2:$M$273,4,FALSE)="","",VLOOKUP(A116,'Données de base - Grunddaten'!$A$2:$M$273,4,FALSE))</f>
        <v>Rotten</v>
      </c>
      <c r="E116" s="271">
        <v>4.3818181818181809</v>
      </c>
      <c r="F116" s="271">
        <v>16.243395292840432</v>
      </c>
      <c r="G116" s="271">
        <v>11.818181818181818</v>
      </c>
      <c r="H116" s="272" t="s">
        <v>1066</v>
      </c>
      <c r="I116" s="273"/>
      <c r="J116" s="273" t="s">
        <v>1068</v>
      </c>
      <c r="K116" s="274"/>
      <c r="L116" s="275"/>
      <c r="M116" s="1151" t="s">
        <v>737</v>
      </c>
      <c r="N116" s="1152" t="s">
        <v>72</v>
      </c>
      <c r="O116" s="1148" t="str">
        <f>VLOOKUP(A116,Strat_Plan_Revit!$A$10:$S$321,11,FALSE)</f>
        <v>élevé</v>
      </c>
      <c r="P116" s="977" t="str">
        <f>VLOOKUP(A116,Strat_Plan_Revit!$A$10:$S$321,12,FALSE)</f>
        <v>élevé</v>
      </c>
      <c r="Q116" s="277" t="str">
        <f>VLOOKUP(A116,Strat_Plan_Revit!$A$10:$S$321,13,FALSE)</f>
        <v>pas de mesure; mesure R3</v>
      </c>
      <c r="R116" s="1162" t="s">
        <v>737</v>
      </c>
      <c r="S116" s="1173" t="s">
        <v>737</v>
      </c>
      <c r="T116" s="278" t="s">
        <v>59</v>
      </c>
      <c r="U116" s="1174"/>
      <c r="V116" s="282"/>
      <c r="W116" s="341"/>
      <c r="X116" s="97"/>
      <c r="Y116" s="1265" t="s">
        <v>737</v>
      </c>
      <c r="Z116" s="1258" t="s">
        <v>59</v>
      </c>
      <c r="AA116" s="1266" t="str">
        <f t="shared" si="1"/>
        <v>a</v>
      </c>
      <c r="AC116" s="572"/>
      <c r="AD116" s="572"/>
      <c r="AE116" s="572"/>
    </row>
    <row r="117" spans="1:31" ht="40.5" customHeight="1" x14ac:dyDescent="0.25">
      <c r="A117" s="926">
        <v>141</v>
      </c>
      <c r="B117" s="270" t="str">
        <f>IF(VLOOKUP(A117,'Données de base - Grunddaten'!$A$2:$M$273,5,FALSE)="","",VLOOKUP(A117,'Données de base - Grunddaten'!$A$2:$M$273,5,FALSE))</f>
        <v>VS</v>
      </c>
      <c r="C117" s="41" t="str">
        <f>IF(VLOOKUP(A117,'Données de base - Grunddaten'!$A$2:$M$273,3,FALSE)="","",VLOOKUP(A117,'Données de base - Grunddaten'!$A$2:$M$273,3,FALSE))</f>
        <v>Matte</v>
      </c>
      <c r="D117" s="41" t="str">
        <f>IF(VLOOKUP(A117,'Données de base - Grunddaten'!$A$2:$M$273,4,FALSE)="","",VLOOKUP(A117,'Données de base - Grunddaten'!$A$2:$M$273,4,FALSE))</f>
        <v>Rotten</v>
      </c>
      <c r="E117" s="271">
        <v>51.518181818181823</v>
      </c>
      <c r="F117" s="271">
        <v>59.675980161666672</v>
      </c>
      <c r="G117" s="271">
        <v>8.1818181818181817</v>
      </c>
      <c r="H117" s="272" t="s">
        <v>1057</v>
      </c>
      <c r="I117" s="273"/>
      <c r="J117" s="273" t="s">
        <v>1068</v>
      </c>
      <c r="K117" s="274"/>
      <c r="L117" s="275"/>
      <c r="M117" s="1151" t="s">
        <v>737</v>
      </c>
      <c r="N117" s="1152" t="s">
        <v>43</v>
      </c>
      <c r="O117" s="1148" t="str">
        <f>VLOOKUP(A117,Strat_Plan_Revit!$A$10:$S$321,11,FALSE)</f>
        <v>élevé</v>
      </c>
      <c r="P117" s="977" t="str">
        <f>VLOOKUP(A117,Strat_Plan_Revit!$A$10:$S$321,12,FALSE)</f>
        <v>élevé</v>
      </c>
      <c r="Q117" s="277" t="str">
        <f>VLOOKUP(A117,Strat_Plan_Revit!$A$10:$S$321,13,FALSE)</f>
        <v>mesure; mesure R3</v>
      </c>
      <c r="R117" s="1162" t="s">
        <v>737</v>
      </c>
      <c r="S117" s="1173" t="s">
        <v>737</v>
      </c>
      <c r="T117" s="278" t="s">
        <v>59</v>
      </c>
      <c r="U117" s="1174"/>
      <c r="V117" s="282"/>
      <c r="W117" s="341"/>
      <c r="X117" s="97"/>
      <c r="Y117" s="1265" t="s">
        <v>737</v>
      </c>
      <c r="Z117" s="1258" t="s">
        <v>59</v>
      </c>
      <c r="AA117" s="1266" t="str">
        <f t="shared" si="1"/>
        <v>a</v>
      </c>
      <c r="AC117" s="572"/>
      <c r="AD117" s="572"/>
      <c r="AE117" s="572"/>
    </row>
    <row r="118" spans="1:31" ht="40.5" customHeight="1" x14ac:dyDescent="0.25">
      <c r="A118" s="926">
        <v>142</v>
      </c>
      <c r="B118" s="270" t="str">
        <f>IF(VLOOKUP(A118,'Données de base - Grunddaten'!$A$2:$M$273,5,FALSE)="","",VLOOKUP(A118,'Données de base - Grunddaten'!$A$2:$M$273,5,FALSE))</f>
        <v>VS</v>
      </c>
      <c r="C118" s="41" t="str">
        <f>IF(VLOOKUP(A118,'Données de base - Grunddaten'!$A$2:$M$273,3,FALSE)="","",VLOOKUP(A118,'Données de base - Grunddaten'!$A$2:$M$273,3,FALSE))</f>
        <v>Sand</v>
      </c>
      <c r="D118" s="41" t="str">
        <f>IF(VLOOKUP(A118,'Données de base - Grunddaten'!$A$2:$M$273,4,FALSE)="","",VLOOKUP(A118,'Données de base - Grunddaten'!$A$2:$M$273,4,FALSE))</f>
        <v>Goneri, Lengesbach, Rotten</v>
      </c>
      <c r="E118" s="271">
        <v>16.899999999999999</v>
      </c>
      <c r="F118" s="271">
        <v>21.862533634240975</v>
      </c>
      <c r="G118" s="271">
        <v>5</v>
      </c>
      <c r="H118" s="272" t="s">
        <v>1066</v>
      </c>
      <c r="I118" s="273"/>
      <c r="J118" s="273" t="s">
        <v>1059</v>
      </c>
      <c r="K118" s="274"/>
      <c r="L118" s="275"/>
      <c r="M118" s="1151" t="s">
        <v>738</v>
      </c>
      <c r="N118" s="1152" t="s">
        <v>72</v>
      </c>
      <c r="O118" s="1148" t="str">
        <f>VLOOKUP(A118,Strat_Plan_Revit!$A$10:$S$321,11,FALSE)</f>
        <v>élevé (Goneri moyen)</v>
      </c>
      <c r="P118" s="977" t="str">
        <f>VLOOKUP(A118,Strat_Plan_Revit!$A$10:$S$321,12,FALSE)</f>
        <v>élevé (Goneri moyen)</v>
      </c>
      <c r="Q118" s="277" t="str">
        <f>VLOOKUP(A118,Strat_Plan_Revit!$A$10:$S$321,13,FALSE)</f>
        <v>mesure</v>
      </c>
      <c r="R118" s="1162" t="s">
        <v>738</v>
      </c>
      <c r="S118" s="1173" t="s">
        <v>738</v>
      </c>
      <c r="T118" s="278" t="s">
        <v>59</v>
      </c>
      <c r="U118" s="1174"/>
      <c r="V118" s="282"/>
      <c r="W118" s="341"/>
      <c r="X118" s="97"/>
      <c r="Y118" s="1265" t="s">
        <v>738</v>
      </c>
      <c r="Z118" s="1258" t="s">
        <v>59</v>
      </c>
      <c r="AA118" s="1266" t="str">
        <f t="shared" si="1"/>
        <v>a</v>
      </c>
      <c r="AC118" s="572"/>
      <c r="AD118" s="572"/>
      <c r="AE118" s="572"/>
    </row>
    <row r="119" spans="1:31" ht="40.5" customHeight="1" x14ac:dyDescent="0.25">
      <c r="A119" s="926">
        <v>144</v>
      </c>
      <c r="B119" s="270" t="str">
        <f>IF(VLOOKUP(A119,'Données de base - Grunddaten'!$A$2:$M$273,5,FALSE)="","",VLOOKUP(A119,'Données de base - Grunddaten'!$A$2:$M$273,5,FALSE))</f>
        <v>JU</v>
      </c>
      <c r="C119" s="41" t="str">
        <f>IF(VLOOKUP(A119,'Données de base - Grunddaten'!$A$2:$M$273,3,FALSE)="","",VLOOKUP(A119,'Données de base - Grunddaten'!$A$2:$M$273,3,FALSE))</f>
        <v>La Réchesse</v>
      </c>
      <c r="D119" s="41" t="str">
        <f>IF(VLOOKUP(A119,'Données de base - Grunddaten'!$A$2:$M$273,4,FALSE)="","",VLOOKUP(A119,'Données de base - Grunddaten'!$A$2:$M$273,4,FALSE))</f>
        <v>Le Doubs</v>
      </c>
      <c r="E119" s="271">
        <v>-2.836363636363636</v>
      </c>
      <c r="F119" s="271">
        <v>0.83300494775987477</v>
      </c>
      <c r="G119" s="271">
        <v>3.6363636363636362</v>
      </c>
      <c r="H119" s="272" t="s">
        <v>1066</v>
      </c>
      <c r="I119" s="273"/>
      <c r="J119" s="273" t="s">
        <v>1059</v>
      </c>
      <c r="K119" s="274"/>
      <c r="L119" s="275"/>
      <c r="M119" s="1151" t="s">
        <v>720</v>
      </c>
      <c r="N119" s="1152" t="s">
        <v>43</v>
      </c>
      <c r="O119" s="1148" t="str">
        <f>VLOOKUP(A119,Strat_Plan_Revit!$A$10:$S$321,11,FALSE)</f>
        <v>important</v>
      </c>
      <c r="P119" s="977" t="str">
        <f>VLOOKUP(A119,Strat_Plan_Revit!$A$10:$S$321,12,FALSE)</f>
        <v>faible</v>
      </c>
      <c r="Q119" s="277" t="str">
        <f>VLOOKUP(A119,Strat_Plan_Revit!$A$10:$S$321,13,FALSE)</f>
        <v>nulle</v>
      </c>
      <c r="R119" s="1162" t="s">
        <v>752</v>
      </c>
      <c r="S119" s="1173" t="s">
        <v>752</v>
      </c>
      <c r="T119" s="278" t="s">
        <v>110</v>
      </c>
      <c r="U119" s="1174"/>
      <c r="V119" s="282"/>
      <c r="W119" s="341" t="s">
        <v>1157</v>
      </c>
      <c r="X119" s="97" t="s">
        <v>1158</v>
      </c>
      <c r="Y119" s="284" t="s">
        <v>720</v>
      </c>
      <c r="Z119" s="1260" t="s">
        <v>368</v>
      </c>
      <c r="AA119" s="1266" t="s">
        <v>43</v>
      </c>
      <c r="AC119" s="572"/>
      <c r="AD119" s="572"/>
      <c r="AE119" s="572"/>
    </row>
    <row r="120" spans="1:31" ht="40.5" customHeight="1" x14ac:dyDescent="0.25">
      <c r="A120" s="926">
        <v>145</v>
      </c>
      <c r="B120" s="270" t="str">
        <f>IF(VLOOKUP(A120,'Données de base - Grunddaten'!$A$2:$M$273,5,FALSE)="","",VLOOKUP(A120,'Données de base - Grunddaten'!$A$2:$M$273,5,FALSE))</f>
        <v>JU</v>
      </c>
      <c r="C120" s="41" t="str">
        <f>IF(VLOOKUP(A120,'Données de base - Grunddaten'!$A$2:$M$273,3,FALSE)="","",VLOOKUP(A120,'Données de base - Grunddaten'!$A$2:$M$273,3,FALSE))</f>
        <v>La Lomenne</v>
      </c>
      <c r="D120" s="41" t="str">
        <f>IF(VLOOKUP(A120,'Données de base - Grunddaten'!$A$2:$M$273,4,FALSE)="","",VLOOKUP(A120,'Données de base - Grunddaten'!$A$2:$M$273,4,FALSE))</f>
        <v>Le Doubs</v>
      </c>
      <c r="E120" s="271">
        <v>-12.272727272727273</v>
      </c>
      <c r="F120" s="271">
        <v>0</v>
      </c>
      <c r="G120" s="271">
        <v>12.272727272727273</v>
      </c>
      <c r="H120" s="272" t="s">
        <v>1061</v>
      </c>
      <c r="I120" s="273"/>
      <c r="J120" s="273" t="s">
        <v>1064</v>
      </c>
      <c r="K120" s="274"/>
      <c r="L120" s="275"/>
      <c r="M120" s="1151" t="s">
        <v>752</v>
      </c>
      <c r="N120" s="1152" t="s">
        <v>43</v>
      </c>
      <c r="O120" s="1148" t="str">
        <f>VLOOKUP(A120,Strat_Plan_Revit!$A$10:$S$321,11,FALSE)</f>
        <v>important</v>
      </c>
      <c r="P120" s="977" t="str">
        <f>VLOOKUP(A120,Strat_Plan_Revit!$A$10:$S$321,12,FALSE)</f>
        <v>faible</v>
      </c>
      <c r="Q120" s="277" t="str">
        <f>VLOOKUP(A120,Strat_Plan_Revit!$A$10:$S$321,13,FALSE)</f>
        <v>nulle</v>
      </c>
      <c r="R120" s="1162" t="s">
        <v>752</v>
      </c>
      <c r="S120" s="1173" t="s">
        <v>752</v>
      </c>
      <c r="T120" s="278" t="s">
        <v>59</v>
      </c>
      <c r="U120" s="1174"/>
      <c r="V120" s="282"/>
      <c r="W120" s="341" t="s">
        <v>1159</v>
      </c>
      <c r="X120" s="97" t="s">
        <v>1160</v>
      </c>
      <c r="Y120" s="284" t="s">
        <v>720</v>
      </c>
      <c r="Z120" s="1260" t="s">
        <v>368</v>
      </c>
      <c r="AA120" s="1266" t="str">
        <f t="shared" si="1"/>
        <v>b</v>
      </c>
      <c r="AC120" s="572"/>
      <c r="AD120" s="572"/>
      <c r="AE120" s="572"/>
    </row>
    <row r="121" spans="1:31" ht="40.5" customHeight="1" x14ac:dyDescent="0.25">
      <c r="A121" s="926">
        <v>146</v>
      </c>
      <c r="B121" s="270" t="str">
        <f>IF(VLOOKUP(A121,'Données de base - Grunddaten'!$A$2:$M$273,5,FALSE)="","",VLOOKUP(A121,'Données de base - Grunddaten'!$A$2:$M$273,5,FALSE))</f>
        <v>TI</v>
      </c>
      <c r="C121" s="41" t="str">
        <f>IF(VLOOKUP(A121,'Données de base - Grunddaten'!$A$2:$M$273,3,FALSE)="","",VLOOKUP(A121,'Données de base - Grunddaten'!$A$2:$M$273,3,FALSE))</f>
        <v>Bosco dei Valloni</v>
      </c>
      <c r="D121" s="41" t="str">
        <f>IF(VLOOKUP(A121,'Données de base - Grunddaten'!$A$2:$M$273,4,FALSE)="","",VLOOKUP(A121,'Données de base - Grunddaten'!$A$2:$M$273,4,FALSE))</f>
        <v>Ticino</v>
      </c>
      <c r="E121" s="271">
        <v>48.927272727272729</v>
      </c>
      <c r="F121" s="271">
        <v>76.242494301416301</v>
      </c>
      <c r="G121" s="271">
        <v>27.272727272727273</v>
      </c>
      <c r="H121" s="272" t="s">
        <v>1078</v>
      </c>
      <c r="I121" s="273"/>
      <c r="J121" s="273" t="s">
        <v>1068</v>
      </c>
      <c r="K121" s="274"/>
      <c r="L121" s="275"/>
      <c r="M121" s="1151" t="s">
        <v>738</v>
      </c>
      <c r="N121" s="1152" t="s">
        <v>43</v>
      </c>
      <c r="O121" s="1148" t="str">
        <f>VLOOKUP(A121,Strat_Plan_Revit!$A$10:$S$321,11,FALSE)</f>
        <v>faible et moyen</v>
      </c>
      <c r="P121" s="977" t="str">
        <f>VLOOKUP(A121,Strat_Plan_Revit!$A$10:$S$321,12,FALSE)</f>
        <v>faible</v>
      </c>
      <c r="Q121" s="277" t="str">
        <f>VLOOKUP(A121,Strat_Plan_Revit!$A$10:$S$321,13,FALSE)</f>
        <v>nulle</v>
      </c>
      <c r="R121" s="1162" t="s">
        <v>752</v>
      </c>
      <c r="S121" s="1173" t="s">
        <v>723</v>
      </c>
      <c r="T121" s="278" t="s">
        <v>368</v>
      </c>
      <c r="U121" s="1181" t="s">
        <v>943</v>
      </c>
      <c r="V121" s="1171"/>
      <c r="W121" s="448"/>
      <c r="X121" s="1191"/>
      <c r="Y121" s="1265" t="s">
        <v>723</v>
      </c>
      <c r="Z121" s="1260" t="s">
        <v>368</v>
      </c>
      <c r="AA121" s="1266" t="str">
        <f t="shared" si="1"/>
        <v>b</v>
      </c>
      <c r="AC121" s="572"/>
      <c r="AD121" s="572"/>
      <c r="AE121" s="572"/>
    </row>
    <row r="122" spans="1:31" ht="40.5" customHeight="1" x14ac:dyDescent="0.25">
      <c r="A122" s="926">
        <v>147</v>
      </c>
      <c r="B122" s="270" t="str">
        <f>IF(VLOOKUP(A122,'Données de base - Grunddaten'!$A$2:$M$273,5,FALSE)="","",VLOOKUP(A122,'Données de base - Grunddaten'!$A$2:$M$273,5,FALSE))</f>
        <v>TI</v>
      </c>
      <c r="C122" s="41" t="str">
        <f>IF(VLOOKUP(A122,'Données de base - Grunddaten'!$A$2:$M$273,3,FALSE)="","",VLOOKUP(A122,'Données de base - Grunddaten'!$A$2:$M$273,3,FALSE))</f>
        <v>Soria</v>
      </c>
      <c r="D122" s="41" t="str">
        <f>IF(VLOOKUP(A122,'Données de base - Grunddaten'!$A$2:$M$273,4,FALSE)="","",VLOOKUP(A122,'Données de base - Grunddaten'!$A$2:$M$273,4,FALSE))</f>
        <v>Ticino</v>
      </c>
      <c r="E122" s="271">
        <v>-20.90909090909091</v>
      </c>
      <c r="F122" s="271">
        <v>0</v>
      </c>
      <c r="G122" s="271">
        <v>20.90909090909091</v>
      </c>
      <c r="H122" s="272" t="s">
        <v>1061</v>
      </c>
      <c r="I122" s="273"/>
      <c r="J122" s="273" t="s">
        <v>1064</v>
      </c>
      <c r="K122" s="274"/>
      <c r="L122" s="275"/>
      <c r="M122" s="1151" t="s">
        <v>752</v>
      </c>
      <c r="N122" s="1152" t="s">
        <v>43</v>
      </c>
      <c r="O122" s="1148" t="str">
        <f>VLOOKUP(A122,Strat_Plan_Revit!$A$10:$S$321,11,FALSE)</f>
        <v>moyen</v>
      </c>
      <c r="P122" s="977" t="str">
        <f>VLOOKUP(A122,Strat_Plan_Revit!$A$10:$S$321,12,FALSE)</f>
        <v>faible</v>
      </c>
      <c r="Q122" s="277" t="str">
        <f>VLOOKUP(A122,Strat_Plan_Revit!$A$10:$S$321,13,FALSE)</f>
        <v>nulle</v>
      </c>
      <c r="R122" s="1162" t="s">
        <v>752</v>
      </c>
      <c r="S122" s="1173" t="s">
        <v>752</v>
      </c>
      <c r="T122" s="278" t="s">
        <v>59</v>
      </c>
      <c r="U122" s="1174"/>
      <c r="V122" s="282"/>
      <c r="W122" s="448"/>
      <c r="X122" s="1191"/>
      <c r="Y122" s="1265" t="s">
        <v>752</v>
      </c>
      <c r="Z122" s="1260" t="s">
        <v>59</v>
      </c>
      <c r="AA122" s="1266" t="str">
        <f t="shared" si="1"/>
        <v>a</v>
      </c>
      <c r="AC122" s="572"/>
      <c r="AD122" s="572"/>
      <c r="AE122" s="572"/>
    </row>
    <row r="123" spans="1:31" ht="40.5" customHeight="1" x14ac:dyDescent="0.25">
      <c r="A123" s="926">
        <v>148</v>
      </c>
      <c r="B123" s="270" t="str">
        <f>IF(VLOOKUP(A123,'Données de base - Grunddaten'!$A$2:$M$273,5,FALSE)="","",VLOOKUP(A123,'Données de base - Grunddaten'!$A$2:$M$273,5,FALSE))</f>
        <v>TI</v>
      </c>
      <c r="C123" s="41" t="str">
        <f>IF(VLOOKUP(A123,'Données de base - Grunddaten'!$A$2:$M$273,3,FALSE)="","",VLOOKUP(A123,'Données de base - Grunddaten'!$A$2:$M$273,3,FALSE))</f>
        <v>Geròra</v>
      </c>
      <c r="D123" s="41" t="str">
        <f>IF(VLOOKUP(A123,'Données de base - Grunddaten'!$A$2:$M$273,4,FALSE)="","",VLOOKUP(A123,'Données de base - Grunddaten'!$A$2:$M$273,4,FALSE))</f>
        <v>Ticino</v>
      </c>
      <c r="E123" s="271">
        <v>61.645454545454541</v>
      </c>
      <c r="F123" s="271">
        <v>72.133461936155285</v>
      </c>
      <c r="G123" s="271">
        <v>10.454545454545455</v>
      </c>
      <c r="H123" s="272" t="s">
        <v>1057</v>
      </c>
      <c r="I123" s="273" t="s">
        <v>1079</v>
      </c>
      <c r="J123" s="273" t="s">
        <v>1064</v>
      </c>
      <c r="K123" s="274"/>
      <c r="L123" s="275"/>
      <c r="M123" s="1151" t="s">
        <v>737</v>
      </c>
      <c r="N123" s="1152" t="s">
        <v>43</v>
      </c>
      <c r="O123" s="1148" t="str">
        <f>VLOOKUP(A123,Strat_Plan_Revit!$A$10:$S$321,11,FALSE)</f>
        <v>moyen et faible</v>
      </c>
      <c r="P123" s="977" t="str">
        <f>VLOOKUP(A123,Strat_Plan_Revit!$A$10:$S$321,12,FALSE)</f>
        <v>faible</v>
      </c>
      <c r="Q123" s="277" t="str">
        <f>VLOOKUP(A123,Strat_Plan_Revit!$A$10:$S$321,13,FALSE)</f>
        <v>nulle</v>
      </c>
      <c r="R123" s="1162" t="s">
        <v>752</v>
      </c>
      <c r="S123" s="1173" t="s">
        <v>738</v>
      </c>
      <c r="T123" s="278" t="s">
        <v>368</v>
      </c>
      <c r="U123" s="1181" t="s">
        <v>946</v>
      </c>
      <c r="V123" s="1171"/>
      <c r="W123" s="448"/>
      <c r="X123" s="1191"/>
      <c r="Y123" s="1265" t="s">
        <v>738</v>
      </c>
      <c r="Z123" s="1260" t="s">
        <v>368</v>
      </c>
      <c r="AA123" s="1266" t="s">
        <v>43</v>
      </c>
      <c r="AC123" s="572"/>
      <c r="AD123" s="572"/>
      <c r="AE123" s="572"/>
    </row>
    <row r="124" spans="1:31" ht="40.5" customHeight="1" x14ac:dyDescent="0.25">
      <c r="A124" s="926">
        <v>149</v>
      </c>
      <c r="B124" s="270" t="str">
        <f>IF(VLOOKUP(A124,'Données de base - Grunddaten'!$A$2:$M$273,5,FALSE)="","",VLOOKUP(A124,'Données de base - Grunddaten'!$A$2:$M$273,5,FALSE))</f>
        <v>TI</v>
      </c>
      <c r="C124" s="41" t="str">
        <f>IF(VLOOKUP(A124,'Données de base - Grunddaten'!$A$2:$M$273,3,FALSE)="","",VLOOKUP(A124,'Données de base - Grunddaten'!$A$2:$M$273,3,FALSE))</f>
        <v>Albinasca</v>
      </c>
      <c r="D124" s="41" t="str">
        <f>IF(VLOOKUP(A124,'Données de base - Grunddaten'!$A$2:$M$273,4,FALSE)="","",VLOOKUP(A124,'Données de base - Grunddaten'!$A$2:$M$273,4,FALSE))</f>
        <v>Ticino</v>
      </c>
      <c r="E124" s="271">
        <v>0</v>
      </c>
      <c r="F124" s="271">
        <v>0</v>
      </c>
      <c r="G124" s="271">
        <v>0</v>
      </c>
      <c r="H124" s="272" t="s">
        <v>1061</v>
      </c>
      <c r="I124" s="273"/>
      <c r="J124" s="273" t="s">
        <v>1059</v>
      </c>
      <c r="K124" s="274"/>
      <c r="L124" s="275"/>
      <c r="M124" s="1151" t="s">
        <v>752</v>
      </c>
      <c r="N124" s="1152" t="s">
        <v>43</v>
      </c>
      <c r="O124" s="1148" t="str">
        <f>VLOOKUP(A124,Strat_Plan_Revit!$A$10:$S$321,11,FALSE)</f>
        <v>moyen</v>
      </c>
      <c r="P124" s="977" t="str">
        <f>VLOOKUP(A124,Strat_Plan_Revit!$A$10:$S$321,12,FALSE)</f>
        <v>faible</v>
      </c>
      <c r="Q124" s="277" t="str">
        <f>VLOOKUP(A124,Strat_Plan_Revit!$A$10:$S$321,13,FALSE)</f>
        <v>nulle</v>
      </c>
      <c r="R124" s="1162" t="s">
        <v>752</v>
      </c>
      <c r="S124" s="1173" t="s">
        <v>752</v>
      </c>
      <c r="T124" s="278" t="s">
        <v>59</v>
      </c>
      <c r="U124" s="1174"/>
      <c r="V124" s="282"/>
      <c r="W124" s="448"/>
      <c r="X124" s="1191"/>
      <c r="Y124" s="1265" t="s">
        <v>752</v>
      </c>
      <c r="Z124" s="1260" t="s">
        <v>59</v>
      </c>
      <c r="AA124" s="1266" t="str">
        <f t="shared" si="1"/>
        <v>a</v>
      </c>
      <c r="AC124" s="572"/>
      <c r="AD124" s="572"/>
      <c r="AE124" s="572"/>
    </row>
    <row r="125" spans="1:31" ht="40.5" customHeight="1" x14ac:dyDescent="0.25">
      <c r="A125" s="927">
        <v>150.1</v>
      </c>
      <c r="B125" s="270" t="str">
        <f>IF(VLOOKUP(A125,'Données de base - Grunddaten'!$A$2:$M$273,5,FALSE)="","",VLOOKUP(A125,'Données de base - Grunddaten'!$A$2:$M$273,5,FALSE))</f>
        <v>TI</v>
      </c>
      <c r="C125" s="41" t="str">
        <f>IF(VLOOKUP(A125,'Données de base - Grunddaten'!$A$2:$M$273,3,FALSE)="","",VLOOKUP(A125,'Données de base - Grunddaten'!$A$2:$M$273,3,FALSE))</f>
        <v>Bolla di Loderio</v>
      </c>
      <c r="D125" s="41" t="str">
        <f>IF(VLOOKUP(A125,'Données de base - Grunddaten'!$A$2:$M$273,4,FALSE)="","",VLOOKUP(A125,'Données de base - Grunddaten'!$A$2:$M$273,4,FALSE))</f>
        <v>Brenno</v>
      </c>
      <c r="E125" s="271">
        <v>67.190909090909088</v>
      </c>
      <c r="F125" s="271">
        <v>73.089218156712832</v>
      </c>
      <c r="G125" s="271">
        <v>5.9090909090909092</v>
      </c>
      <c r="H125" s="272" t="s">
        <v>1057</v>
      </c>
      <c r="I125" s="273"/>
      <c r="J125" s="273" t="s">
        <v>1068</v>
      </c>
      <c r="K125" s="274"/>
      <c r="L125" s="275"/>
      <c r="M125" s="1151" t="s">
        <v>737</v>
      </c>
      <c r="N125" s="1152" t="s">
        <v>43</v>
      </c>
      <c r="O125" s="1148" t="str">
        <f>VLOOKUP(A125,Strat_Plan_Revit!$A$10:$S$321,11,FALSE)</f>
        <v>important</v>
      </c>
      <c r="P125" s="977" t="str">
        <f>VLOOKUP(A125,Strat_Plan_Revit!$A$10:$S$321,12,FALSE)</f>
        <v>important et faible</v>
      </c>
      <c r="Q125" s="277" t="str">
        <f>VLOOKUP(A125,Strat_Plan_Revit!$A$10:$S$321,13,FALSE)</f>
        <v>important et faible</v>
      </c>
      <c r="R125" s="1169"/>
      <c r="S125" s="1173" t="s">
        <v>737</v>
      </c>
      <c r="T125" s="278" t="s">
        <v>43</v>
      </c>
      <c r="U125" s="1174"/>
      <c r="V125" s="282"/>
      <c r="W125" s="448"/>
      <c r="X125" s="1191"/>
      <c r="Y125" s="1265" t="s">
        <v>737</v>
      </c>
      <c r="Z125" s="1260" t="s">
        <v>43</v>
      </c>
      <c r="AA125" s="1266" t="str">
        <f t="shared" si="1"/>
        <v>a</v>
      </c>
      <c r="AC125" s="572"/>
      <c r="AD125" s="572"/>
      <c r="AE125" s="572"/>
    </row>
    <row r="126" spans="1:31" ht="40.5" customHeight="1" x14ac:dyDescent="0.25">
      <c r="A126" s="927">
        <v>150.19999999999999</v>
      </c>
      <c r="B126" s="270" t="str">
        <f>IF(VLOOKUP(A126,'Données de base - Grunddaten'!$A$2:$M$273,5,FALSE)="","",VLOOKUP(A126,'Données de base - Grunddaten'!$A$2:$M$273,5,FALSE))</f>
        <v>TI</v>
      </c>
      <c r="C126" s="41" t="str">
        <f>IF(VLOOKUP(A126,'Données de base - Grunddaten'!$A$2:$M$273,3,FALSE)="","",VLOOKUP(A126,'Données de base - Grunddaten'!$A$2:$M$273,3,FALSE))</f>
        <v>Bolla di Loderio</v>
      </c>
      <c r="D126" s="41" t="str">
        <f>IF(VLOOKUP(A126,'Données de base - Grunddaten'!$A$2:$M$273,4,FALSE)="","",VLOOKUP(A126,'Données de base - Grunddaten'!$A$2:$M$273,4,FALSE))</f>
        <v>Brenno</v>
      </c>
      <c r="E126" s="271"/>
      <c r="F126" s="271"/>
      <c r="G126" s="271"/>
      <c r="H126" s="272"/>
      <c r="I126" s="279"/>
      <c r="J126" s="279"/>
      <c r="K126" s="280" t="s">
        <v>1146</v>
      </c>
      <c r="L126" s="281" t="s">
        <v>1180</v>
      </c>
      <c r="M126" s="1151" t="s">
        <v>720</v>
      </c>
      <c r="N126" s="1152" t="s">
        <v>43</v>
      </c>
      <c r="O126" s="1148">
        <f>VLOOKUP(A126,Strat_Plan_Revit!$A$10:$S$321,11,FALSE)</f>
        <v>0</v>
      </c>
      <c r="P126" s="977">
        <f>VLOOKUP(A126,Strat_Plan_Revit!$A$10:$S$321,12,FALSE)</f>
        <v>0</v>
      </c>
      <c r="Q126" s="277">
        <f>VLOOKUP(A126,Strat_Plan_Revit!$A$10:$S$321,13,FALSE)</f>
        <v>0</v>
      </c>
      <c r="R126" s="1162" t="s">
        <v>720</v>
      </c>
      <c r="S126" s="1173" t="s">
        <v>720</v>
      </c>
      <c r="T126" s="278" t="s">
        <v>59</v>
      </c>
      <c r="U126" s="1174"/>
      <c r="V126" s="282"/>
      <c r="W126" s="448"/>
      <c r="X126" s="1191"/>
      <c r="Y126" s="1265" t="s">
        <v>720</v>
      </c>
      <c r="Z126" s="1260" t="s">
        <v>59</v>
      </c>
      <c r="AA126" s="1266" t="str">
        <f t="shared" si="1"/>
        <v>a</v>
      </c>
      <c r="AC126" s="572"/>
      <c r="AD126" s="572"/>
      <c r="AE126" s="572"/>
    </row>
    <row r="127" spans="1:31" ht="40.5" customHeight="1" x14ac:dyDescent="0.25">
      <c r="A127" s="928">
        <v>151</v>
      </c>
      <c r="B127" s="270" t="str">
        <f>IF(VLOOKUP(A127,'Données de base - Grunddaten'!$A$2:$M$273,5,FALSE)="","",VLOOKUP(A127,'Données de base - Grunddaten'!$A$2:$M$273,5,FALSE))</f>
        <v>TI</v>
      </c>
      <c r="C127" s="41" t="str">
        <f>IF(VLOOKUP(A127,'Données de base - Grunddaten'!$A$2:$M$273,3,FALSE)="","",VLOOKUP(A127,'Données de base - Grunddaten'!$A$2:$M$273,3,FALSE))</f>
        <v>Brenno di Blenio</v>
      </c>
      <c r="D127" s="41" t="str">
        <f>IF(VLOOKUP(A127,'Données de base - Grunddaten'!$A$2:$M$273,4,FALSE)="","",VLOOKUP(A127,'Données de base - Grunddaten'!$A$2:$M$273,4,FALSE))</f>
        <v>Brenno</v>
      </c>
      <c r="E127" s="271">
        <v>-39.127272727272725</v>
      </c>
      <c r="F127" s="271">
        <v>8.6037445780744779</v>
      </c>
      <c r="G127" s="271">
        <v>47.727272727272727</v>
      </c>
      <c r="H127" s="272" t="s">
        <v>1072</v>
      </c>
      <c r="I127" s="273"/>
      <c r="J127" s="273" t="s">
        <v>1068</v>
      </c>
      <c r="K127" s="274"/>
      <c r="L127" s="275"/>
      <c r="M127" s="1151" t="s">
        <v>723</v>
      </c>
      <c r="N127" s="1152" t="s">
        <v>43</v>
      </c>
      <c r="O127" s="1148" t="str">
        <f>VLOOKUP(A127,Strat_Plan_Revit!$A$10:$S$321,11,FALSE)</f>
        <v>moyen et important</v>
      </c>
      <c r="P127" s="977" t="str">
        <f>VLOOKUP(A127,Strat_Plan_Revit!$A$10:$S$321,12,FALSE)</f>
        <v>faible et important</v>
      </c>
      <c r="Q127" s="277" t="str">
        <f>VLOOKUP(A127,Strat_Plan_Revit!$A$10:$S$321,13,FALSE)</f>
        <v>nulle et important</v>
      </c>
      <c r="R127" s="1162" t="s">
        <v>723</v>
      </c>
      <c r="S127" s="1173" t="s">
        <v>723</v>
      </c>
      <c r="T127" s="278" t="s">
        <v>59</v>
      </c>
      <c r="U127" s="1174"/>
      <c r="V127" s="282"/>
      <c r="W127" s="448"/>
      <c r="X127" s="1191"/>
      <c r="Y127" s="1265" t="s">
        <v>723</v>
      </c>
      <c r="Z127" s="1260" t="s">
        <v>59</v>
      </c>
      <c r="AA127" s="1266" t="str">
        <f t="shared" si="1"/>
        <v>a</v>
      </c>
      <c r="AC127" s="572"/>
      <c r="AD127" s="572"/>
      <c r="AE127" s="572"/>
    </row>
    <row r="128" spans="1:31" ht="40.5" customHeight="1" x14ac:dyDescent="0.25">
      <c r="A128" s="926">
        <v>155</v>
      </c>
      <c r="B128" s="270" t="str">
        <f>IF(VLOOKUP(A128,'Données de base - Grunddaten'!$A$2:$M$273,5,FALSE)="","",VLOOKUP(A128,'Données de base - Grunddaten'!$A$2:$M$273,5,FALSE))</f>
        <v>TI</v>
      </c>
      <c r="C128" s="41" t="str">
        <f>IF(VLOOKUP(A128,'Données de base - Grunddaten'!$A$2:$M$273,3,FALSE)="","",VLOOKUP(A128,'Données de base - Grunddaten'!$A$2:$M$273,3,FALSE))</f>
        <v>Campall</v>
      </c>
      <c r="D128" s="41" t="str">
        <f>IF(VLOOKUP(A128,'Données de base - Grunddaten'!$A$2:$M$273,4,FALSE)="","",VLOOKUP(A128,'Données de base - Grunddaten'!$A$2:$M$273,4,FALSE))</f>
        <v>Brenno del Lucomagno</v>
      </c>
      <c r="E128" s="271">
        <v>-18.636363636363637</v>
      </c>
      <c r="F128" s="271">
        <v>0</v>
      </c>
      <c r="G128" s="271">
        <v>18.636363636363637</v>
      </c>
      <c r="H128" s="272" t="s">
        <v>1061</v>
      </c>
      <c r="I128" s="273"/>
      <c r="J128" s="273" t="s">
        <v>1068</v>
      </c>
      <c r="K128" s="274"/>
      <c r="L128" s="275"/>
      <c r="M128" s="1151" t="s">
        <v>752</v>
      </c>
      <c r="N128" s="1152" t="s">
        <v>43</v>
      </c>
      <c r="O128" s="1148" t="str">
        <f>VLOOKUP(A128,Strat_Plan_Revit!$A$10:$S$321,11,FALSE)</f>
        <v>important</v>
      </c>
      <c r="P128" s="977" t="str">
        <f>VLOOKUP(A128,Strat_Plan_Revit!$A$10:$S$321,12,FALSE)</f>
        <v>moyen</v>
      </c>
      <c r="Q128" s="277" t="str">
        <f>VLOOKUP(A128,Strat_Plan_Revit!$A$10:$S$321,13,FALSE)</f>
        <v>nulle</v>
      </c>
      <c r="R128" s="1162" t="s">
        <v>720</v>
      </c>
      <c r="S128" s="1173" t="s">
        <v>720</v>
      </c>
      <c r="T128" s="278" t="s">
        <v>110</v>
      </c>
      <c r="U128" s="1174"/>
      <c r="V128" s="282"/>
      <c r="W128" s="448"/>
      <c r="X128" s="1191"/>
      <c r="Y128" s="1265" t="s">
        <v>720</v>
      </c>
      <c r="Z128" s="1260" t="s">
        <v>110</v>
      </c>
      <c r="AA128" s="1266" t="str">
        <f t="shared" si="1"/>
        <v>a</v>
      </c>
      <c r="AC128" s="572"/>
      <c r="AD128" s="572"/>
      <c r="AE128" s="572"/>
    </row>
    <row r="129" spans="1:31" ht="40.5" customHeight="1" x14ac:dyDescent="0.25">
      <c r="A129" s="926">
        <v>156</v>
      </c>
      <c r="B129" s="270" t="str">
        <f>IF(VLOOKUP(A129,'Données de base - Grunddaten'!$A$2:$M$273,5,FALSE)="","",VLOOKUP(A129,'Données de base - Grunddaten'!$A$2:$M$273,5,FALSE))</f>
        <v>TI</v>
      </c>
      <c r="C129" s="41" t="str">
        <f>IF(VLOOKUP(A129,'Données de base - Grunddaten'!$A$2:$M$273,3,FALSE)="","",VLOOKUP(A129,'Données de base - Grunddaten'!$A$2:$M$273,3,FALSE))</f>
        <v>Bassa</v>
      </c>
      <c r="D129" s="41" t="str">
        <f>IF(VLOOKUP(A129,'Données de base - Grunddaten'!$A$2:$M$273,4,FALSE)="","",VLOOKUP(A129,'Données de base - Grunddaten'!$A$2:$M$273,4,FALSE))</f>
        <v>Moesa</v>
      </c>
      <c r="E129" s="271">
        <v>0</v>
      </c>
      <c r="F129" s="271">
        <v>0</v>
      </c>
      <c r="G129" s="271">
        <v>0</v>
      </c>
      <c r="H129" s="272" t="s">
        <v>1061</v>
      </c>
      <c r="I129" s="273"/>
      <c r="J129" s="273" t="s">
        <v>1059</v>
      </c>
      <c r="K129" s="274"/>
      <c r="L129" s="275"/>
      <c r="M129" s="1151" t="s">
        <v>737</v>
      </c>
      <c r="N129" s="1152" t="s">
        <v>72</v>
      </c>
      <c r="O129" s="1148" t="str">
        <f>VLOOKUP(A129,Strat_Plan_Revit!$A$10:$S$321,11,FALSE)</f>
        <v>moyen</v>
      </c>
      <c r="P129" s="977" t="str">
        <f>VLOOKUP(A129,Strat_Plan_Revit!$A$10:$S$321,12,FALSE)</f>
        <v>moyen</v>
      </c>
      <c r="Q129" s="277" t="str">
        <f>VLOOKUP(A129,Strat_Plan_Revit!$A$10:$S$321,13,FALSE)</f>
        <v>nulle</v>
      </c>
      <c r="R129" s="1162" t="s">
        <v>720</v>
      </c>
      <c r="S129" s="1173" t="s">
        <v>738</v>
      </c>
      <c r="T129" s="278" t="s">
        <v>368</v>
      </c>
      <c r="U129" s="1182" t="s">
        <v>1181</v>
      </c>
      <c r="V129" s="1172"/>
      <c r="W129" s="448"/>
      <c r="X129" s="1191"/>
      <c r="Y129" s="1265" t="s">
        <v>738</v>
      </c>
      <c r="Z129" s="1260" t="s">
        <v>368</v>
      </c>
      <c r="AA129" s="1266" t="str">
        <f t="shared" si="1"/>
        <v>b</v>
      </c>
      <c r="AC129" s="572"/>
      <c r="AD129" s="572"/>
      <c r="AE129" s="572"/>
    </row>
    <row r="130" spans="1:31" ht="40.5" customHeight="1" x14ac:dyDescent="0.25">
      <c r="A130" s="926">
        <v>157</v>
      </c>
      <c r="B130" s="270" t="str">
        <f>IF(VLOOKUP(A130,'Données de base - Grunddaten'!$A$2:$M$273,5,FALSE)="","",VLOOKUP(A130,'Données de base - Grunddaten'!$A$2:$M$273,5,FALSE))</f>
        <v>GR/TI</v>
      </c>
      <c r="C130" s="41" t="str">
        <f>IF(VLOOKUP(A130,'Données de base - Grunddaten'!$A$2:$M$273,3,FALSE)="","",VLOOKUP(A130,'Données de base - Grunddaten'!$A$2:$M$273,3,FALSE))</f>
        <v>Isola</v>
      </c>
      <c r="D130" s="41" t="str">
        <f>IF(VLOOKUP(A130,'Données de base - Grunddaten'!$A$2:$M$273,4,FALSE)="","",VLOOKUP(A130,'Données de base - Grunddaten'!$A$2:$M$273,4,FALSE))</f>
        <v>Moesa</v>
      </c>
      <c r="E130" s="271">
        <v>-4.5454545454545459</v>
      </c>
      <c r="F130" s="271">
        <v>0</v>
      </c>
      <c r="G130" s="271">
        <v>4.5454545454545459</v>
      </c>
      <c r="H130" s="272" t="s">
        <v>1061</v>
      </c>
      <c r="I130" s="273"/>
      <c r="J130" s="273" t="s">
        <v>1059</v>
      </c>
      <c r="K130" s="274"/>
      <c r="L130" s="275"/>
      <c r="M130" s="1151" t="s">
        <v>738</v>
      </c>
      <c r="N130" s="1152" t="s">
        <v>72</v>
      </c>
      <c r="O130" s="1148" t="s">
        <v>1884</v>
      </c>
      <c r="P130" s="977" t="s">
        <v>1885</v>
      </c>
      <c r="Q130" s="277" t="s">
        <v>1886</v>
      </c>
      <c r="R130" s="1162" t="s">
        <v>723</v>
      </c>
      <c r="S130" s="1173" t="s">
        <v>738</v>
      </c>
      <c r="T130" s="278" t="s">
        <v>72</v>
      </c>
      <c r="U130" s="1174"/>
      <c r="V130" s="282"/>
      <c r="W130" s="341"/>
      <c r="X130" s="97"/>
      <c r="Y130" s="1265" t="s">
        <v>738</v>
      </c>
      <c r="Z130" s="1258" t="s">
        <v>72</v>
      </c>
      <c r="AA130" s="1266" t="str">
        <f t="shared" si="1"/>
        <v>b</v>
      </c>
      <c r="AC130" s="572"/>
      <c r="AD130" s="572"/>
      <c r="AE130" s="572"/>
    </row>
    <row r="131" spans="1:31" ht="40.5" customHeight="1" x14ac:dyDescent="0.25">
      <c r="A131" s="926">
        <v>158</v>
      </c>
      <c r="B131" s="270" t="str">
        <f>IF(VLOOKUP(A131,'Données de base - Grunddaten'!$A$2:$M$273,5,FALSE)="","",VLOOKUP(A131,'Données de base - Grunddaten'!$A$2:$M$273,5,FALSE))</f>
        <v>GR</v>
      </c>
      <c r="C131" s="41" t="str">
        <f>IF(VLOOKUP(A131,'Données de base - Grunddaten'!$A$2:$M$273,3,FALSE)="","",VLOOKUP(A131,'Données de base - Grunddaten'!$A$2:$M$273,3,FALSE))</f>
        <v>Ai Fornas</v>
      </c>
      <c r="D131" s="41" t="str">
        <f>IF(VLOOKUP(A131,'Données de base - Grunddaten'!$A$2:$M$273,4,FALSE)="","",VLOOKUP(A131,'Données de base - Grunddaten'!$A$2:$M$273,4,FALSE))</f>
        <v>Moesa</v>
      </c>
      <c r="E131" s="271">
        <v>23.354545454545452</v>
      </c>
      <c r="F131" s="271">
        <v>47.928530978313518</v>
      </c>
      <c r="G131" s="271">
        <v>24.545454545454547</v>
      </c>
      <c r="H131" s="272" t="s">
        <v>1078</v>
      </c>
      <c r="I131" s="273"/>
      <c r="J131" s="273" t="s">
        <v>1064</v>
      </c>
      <c r="K131" s="274"/>
      <c r="L131" s="275"/>
      <c r="M131" s="1151" t="s">
        <v>737</v>
      </c>
      <c r="N131" s="1152" t="s">
        <v>72</v>
      </c>
      <c r="O131" s="1148" t="str">
        <f>VLOOKUP(A131,Strat_Plan_Revit!$A$10:$S$321,11,FALSE)</f>
        <v>gross</v>
      </c>
      <c r="P131" s="977" t="str">
        <f>VLOOKUP(A131,Strat_Plan_Revit!$A$10:$S$321,12,FALSE)</f>
        <v>minim</v>
      </c>
      <c r="Q131" s="277" t="str">
        <f>VLOOKUP(A131,Strat_Plan_Revit!$A$10:$S$321,13,FALSE)</f>
        <v>hoch/gering</v>
      </c>
      <c r="R131" s="1162" t="s">
        <v>752</v>
      </c>
      <c r="S131" s="1180" t="s">
        <v>720</v>
      </c>
      <c r="T131" s="278" t="s">
        <v>368</v>
      </c>
      <c r="U131" s="1174"/>
      <c r="V131" s="1053" t="s">
        <v>126</v>
      </c>
      <c r="W131" s="1141"/>
      <c r="X131" s="1190"/>
      <c r="Y131" s="1273" t="s">
        <v>720</v>
      </c>
      <c r="Z131" s="1258" t="s">
        <v>368</v>
      </c>
      <c r="AA131" s="1266" t="str">
        <f t="shared" si="1"/>
        <v>b</v>
      </c>
      <c r="AC131" s="572"/>
      <c r="AD131" s="572"/>
      <c r="AE131" s="572"/>
    </row>
    <row r="132" spans="1:31" ht="40.5" customHeight="1" x14ac:dyDescent="0.25">
      <c r="A132" s="926">
        <v>160</v>
      </c>
      <c r="B132" s="270" t="str">
        <f>IF(VLOOKUP(A132,'Données de base - Grunddaten'!$A$2:$M$273,5,FALSE)="","",VLOOKUP(A132,'Données de base - Grunddaten'!$A$2:$M$273,5,FALSE))</f>
        <v>GR</v>
      </c>
      <c r="C132" s="41" t="str">
        <f>IF(VLOOKUP(A132,'Données de base - Grunddaten'!$A$2:$M$273,3,FALSE)="","",VLOOKUP(A132,'Données de base - Grunddaten'!$A$2:$M$273,3,FALSE))</f>
        <v>Pascoletto</v>
      </c>
      <c r="D132" s="41" t="str">
        <f>IF(VLOOKUP(A132,'Données de base - Grunddaten'!$A$2:$M$273,4,FALSE)="","",VLOOKUP(A132,'Données de base - Grunddaten'!$A$2:$M$273,4,FALSE))</f>
        <v>Moesa</v>
      </c>
      <c r="E132" s="271">
        <v>72.390909090909091</v>
      </c>
      <c r="F132" s="271">
        <v>78.253399547907819</v>
      </c>
      <c r="G132" s="271">
        <v>5.9090909090909092</v>
      </c>
      <c r="H132" s="272" t="s">
        <v>1057</v>
      </c>
      <c r="I132" s="273"/>
      <c r="J132" s="273" t="s">
        <v>1068</v>
      </c>
      <c r="K132" s="274"/>
      <c r="L132" s="275"/>
      <c r="M132" s="1151" t="s">
        <v>752</v>
      </c>
      <c r="N132" s="1152" t="s">
        <v>72</v>
      </c>
      <c r="O132" s="1148" t="str">
        <f>VLOOKUP(A132,Strat_Plan_Revit!$A$10:$S$321,11,FALSE)</f>
        <v>gross</v>
      </c>
      <c r="P132" s="977" t="str">
        <f>VLOOKUP(A132,Strat_Plan_Revit!$A$10:$S$321,12,FALSE)</f>
        <v>gross/mittel/kein/nicht best.</v>
      </c>
      <c r="Q132" s="277" t="str">
        <f>VLOOKUP(A132,Strat_Plan_Revit!$A$10:$S$321,13,FALSE)</f>
        <v>mittel</v>
      </c>
      <c r="R132" s="1162" t="s">
        <v>720</v>
      </c>
      <c r="S132" s="1178" t="s">
        <v>720</v>
      </c>
      <c r="T132" s="278" t="s">
        <v>110</v>
      </c>
      <c r="U132" s="1174"/>
      <c r="V132" s="282"/>
      <c r="W132" s="341"/>
      <c r="X132" s="97"/>
      <c r="Y132" s="1274" t="s">
        <v>720</v>
      </c>
      <c r="Z132" s="1258" t="s">
        <v>110</v>
      </c>
      <c r="AA132" s="1266" t="str">
        <f t="shared" si="1"/>
        <v>a</v>
      </c>
      <c r="AC132" s="572"/>
      <c r="AD132" s="572"/>
      <c r="AE132" s="572"/>
    </row>
    <row r="133" spans="1:31" ht="40.5" customHeight="1" x14ac:dyDescent="0.25">
      <c r="A133" s="926">
        <v>161</v>
      </c>
      <c r="B133" s="270" t="str">
        <f>IF(VLOOKUP(A133,'Données de base - Grunddaten'!$A$2:$M$273,5,FALSE)="","",VLOOKUP(A133,'Données de base - Grunddaten'!$A$2:$M$273,5,FALSE))</f>
        <v>GR</v>
      </c>
      <c r="C133" s="41" t="str">
        <f>IF(VLOOKUP(A133,'Données de base - Grunddaten'!$A$2:$M$273,3,FALSE)="","",VLOOKUP(A133,'Données de base - Grunddaten'!$A$2:$M$273,3,FALSE))</f>
        <v>Rosera</v>
      </c>
      <c r="D133" s="41" t="str">
        <f>IF(VLOOKUP(A133,'Données de base - Grunddaten'!$A$2:$M$273,4,FALSE)="","",VLOOKUP(A133,'Données de base - Grunddaten'!$A$2:$M$273,4,FALSE))</f>
        <v>Moesa</v>
      </c>
      <c r="E133" s="271">
        <v>32.718181818181826</v>
      </c>
      <c r="F133" s="271">
        <v>70.896101296666671</v>
      </c>
      <c r="G133" s="271">
        <v>38.18181818181818</v>
      </c>
      <c r="H133" s="272" t="s">
        <v>1078</v>
      </c>
      <c r="I133" s="273"/>
      <c r="J133" s="273" t="s">
        <v>1068</v>
      </c>
      <c r="K133" s="274"/>
      <c r="L133" s="275"/>
      <c r="M133" s="1151" t="s">
        <v>737</v>
      </c>
      <c r="N133" s="1152" t="s">
        <v>72</v>
      </c>
      <c r="O133" s="1148" t="str">
        <f>VLOOKUP(A133,Strat_Plan_Revit!$A$10:$S$321,11,FALSE)</f>
        <v>gross</v>
      </c>
      <c r="P133" s="977" t="str">
        <f>VLOOKUP(A133,Strat_Plan_Revit!$A$10:$S$321,12,FALSE)</f>
        <v>gross/mittel/minim/kein/nicht best.</v>
      </c>
      <c r="Q133" s="277" t="str">
        <f>VLOOKUP(A133,Strat_Plan_Revit!$A$10:$S$321,13,FALSE)</f>
        <v>hoch/mittel</v>
      </c>
      <c r="R133" s="1162" t="s">
        <v>737</v>
      </c>
      <c r="S133" s="1173" t="s">
        <v>737</v>
      </c>
      <c r="T133" s="278" t="s">
        <v>59</v>
      </c>
      <c r="U133" s="1174"/>
      <c r="V133" s="282"/>
      <c r="W133" s="341"/>
      <c r="X133" s="97"/>
      <c r="Y133" s="1265" t="s">
        <v>737</v>
      </c>
      <c r="Z133" s="1258" t="s">
        <v>59</v>
      </c>
      <c r="AA133" s="1266" t="str">
        <f t="shared" ref="AA133:AA196" si="2">IF(Z133="a",Z133,IF(Z133="b",Z133,IF(Z133="c","a",IF(Z133="d","a",IF(Z133="e","b")))))</f>
        <v>a</v>
      </c>
      <c r="AC133" s="572"/>
      <c r="AD133" s="572"/>
      <c r="AE133" s="572"/>
    </row>
    <row r="134" spans="1:31" ht="40.5" customHeight="1" x14ac:dyDescent="0.25">
      <c r="A134" s="926">
        <v>162</v>
      </c>
      <c r="B134" s="270" t="str">
        <f>IF(VLOOKUP(A134,'Données de base - Grunddaten'!$A$2:$M$273,5,FALSE)="","",VLOOKUP(A134,'Données de base - Grunddaten'!$A$2:$M$273,5,FALSE))</f>
        <v>GR</v>
      </c>
      <c r="C134" s="41" t="str">
        <f>IF(VLOOKUP(A134,'Données de base - Grunddaten'!$A$2:$M$273,3,FALSE)="","",VLOOKUP(A134,'Données de base - Grunddaten'!$A$2:$M$273,3,FALSE))</f>
        <v>Pomareda</v>
      </c>
      <c r="D134" s="41" t="str">
        <f>IF(VLOOKUP(A134,'Données de base - Grunddaten'!$A$2:$M$273,4,FALSE)="","",VLOOKUP(A134,'Données de base - Grunddaten'!$A$2:$M$273,4,FALSE))</f>
        <v>Moesa</v>
      </c>
      <c r="E134" s="271">
        <v>15.390909090909091</v>
      </c>
      <c r="F134" s="271">
        <v>71.296420526540018</v>
      </c>
      <c r="G134" s="271">
        <v>55.909090909090907</v>
      </c>
      <c r="H134" s="272" t="s">
        <v>1078</v>
      </c>
      <c r="I134" s="273" t="s">
        <v>1058</v>
      </c>
      <c r="J134" s="273"/>
      <c r="K134" s="274"/>
      <c r="L134" s="275"/>
      <c r="M134" s="1151" t="s">
        <v>737</v>
      </c>
      <c r="N134" s="1152" t="s">
        <v>72</v>
      </c>
      <c r="O134" s="1148" t="str">
        <f>VLOOKUP(A134,Strat_Plan_Revit!$A$10:$S$321,11,FALSE)</f>
        <v>gross</v>
      </c>
      <c r="P134" s="977" t="str">
        <f>VLOOKUP(A134,Strat_Plan_Revit!$A$10:$S$321,12,FALSE)</f>
        <v>gross/mittel/minim/kein/nicht best.</v>
      </c>
      <c r="Q134" s="277" t="str">
        <f>VLOOKUP(A134,Strat_Plan_Revit!$A$10:$S$321,13,FALSE)</f>
        <v>hoch/mittel</v>
      </c>
      <c r="R134" s="1162" t="s">
        <v>737</v>
      </c>
      <c r="S134" s="1173" t="s">
        <v>737</v>
      </c>
      <c r="T134" s="278" t="s">
        <v>59</v>
      </c>
      <c r="U134" s="1174"/>
      <c r="V134" s="282"/>
      <c r="W134" s="341"/>
      <c r="X134" s="97"/>
      <c r="Y134" s="1265" t="s">
        <v>737</v>
      </c>
      <c r="Z134" s="1258" t="s">
        <v>59</v>
      </c>
      <c r="AA134" s="1266" t="str">
        <f t="shared" si="2"/>
        <v>a</v>
      </c>
      <c r="AC134" s="572"/>
      <c r="AD134" s="572"/>
      <c r="AE134" s="572"/>
    </row>
    <row r="135" spans="1:31" ht="40.5" customHeight="1" x14ac:dyDescent="0.25">
      <c r="A135" s="926">
        <v>164</v>
      </c>
      <c r="B135" s="270" t="str">
        <f>IF(VLOOKUP(A135,'Données de base - Grunddaten'!$A$2:$M$273,5,FALSE)="","",VLOOKUP(A135,'Données de base - Grunddaten'!$A$2:$M$273,5,FALSE))</f>
        <v>GR</v>
      </c>
      <c r="C135" s="41" t="str">
        <f>IF(VLOOKUP(A135,'Données de base - Grunddaten'!$A$2:$M$273,3,FALSE)="","",VLOOKUP(A135,'Données de base - Grunddaten'!$A$2:$M$273,3,FALSE))</f>
        <v>Canton</v>
      </c>
      <c r="D135" s="41" t="str">
        <f>IF(VLOOKUP(A135,'Données de base - Grunddaten'!$A$2:$M$273,4,FALSE)="","",VLOOKUP(A135,'Données de base - Grunddaten'!$A$2:$M$273,4,FALSE))</f>
        <v>Moesa</v>
      </c>
      <c r="E135" s="271">
        <v>-3.1818181818181817</v>
      </c>
      <c r="F135" s="271">
        <v>0</v>
      </c>
      <c r="G135" s="271">
        <v>3.1818181818181817</v>
      </c>
      <c r="H135" s="272" t="s">
        <v>1061</v>
      </c>
      <c r="I135" s="273"/>
      <c r="J135" s="273" t="s">
        <v>1059</v>
      </c>
      <c r="K135" s="274"/>
      <c r="L135" s="275"/>
      <c r="M135" s="1151" t="s">
        <v>752</v>
      </c>
      <c r="N135" s="1152" t="s">
        <v>43</v>
      </c>
      <c r="O135" s="1148" t="str">
        <f>VLOOKUP(A135,Strat_Plan_Revit!$A$10:$S$321,11,FALSE)</f>
        <v>gross</v>
      </c>
      <c r="P135" s="977" t="str">
        <f>VLOOKUP(A135,Strat_Plan_Revit!$A$10:$S$321,12,FALSE)</f>
        <v>kein/nicht best.</v>
      </c>
      <c r="Q135" s="277" t="str">
        <f>VLOOKUP(A135,Strat_Plan_Revit!$A$10:$S$321,13,FALSE)</f>
        <v>gering</v>
      </c>
      <c r="R135" s="1162" t="s">
        <v>752</v>
      </c>
      <c r="S135" s="1173" t="s">
        <v>752</v>
      </c>
      <c r="T135" s="278" t="s">
        <v>59</v>
      </c>
      <c r="U135" s="1174"/>
      <c r="V135" s="282"/>
      <c r="W135" s="341"/>
      <c r="X135" s="97"/>
      <c r="Y135" s="1265" t="s">
        <v>752</v>
      </c>
      <c r="Z135" s="1258" t="s">
        <v>59</v>
      </c>
      <c r="AA135" s="1266" t="str">
        <f t="shared" si="2"/>
        <v>a</v>
      </c>
      <c r="AC135" s="572"/>
      <c r="AD135" s="572"/>
      <c r="AE135" s="572"/>
    </row>
    <row r="136" spans="1:31" ht="40.5" customHeight="1" x14ac:dyDescent="0.25">
      <c r="A136" s="926">
        <v>166</v>
      </c>
      <c r="B136" s="270" t="str">
        <f>IF(VLOOKUP(A136,'Données de base - Grunddaten'!$A$2:$M$273,5,FALSE)="","",VLOOKUP(A136,'Données de base - Grunddaten'!$A$2:$M$273,5,FALSE))</f>
        <v>GR</v>
      </c>
      <c r="C136" s="41" t="str">
        <f>IF(VLOOKUP(A136,'Données de base - Grunddaten'!$A$2:$M$273,3,FALSE)="","",VLOOKUP(A136,'Données de base - Grunddaten'!$A$2:$M$273,3,FALSE))</f>
        <v>Pian di Alne</v>
      </c>
      <c r="D136" s="41" t="str">
        <f>IF(VLOOKUP(A136,'Données de base - Grunddaten'!$A$2:$M$273,4,FALSE)="","",VLOOKUP(A136,'Données de base - Grunddaten'!$A$2:$M$273,4,FALSE))</f>
        <v>Calancasca</v>
      </c>
      <c r="E136" s="271">
        <v>42.86363636363636</v>
      </c>
      <c r="F136" s="271">
        <v>66.533809601658845</v>
      </c>
      <c r="G136" s="271">
        <v>23.636363636363637</v>
      </c>
      <c r="H136" s="272" t="s">
        <v>1078</v>
      </c>
      <c r="I136" s="273"/>
      <c r="J136" s="273" t="s">
        <v>1068</v>
      </c>
      <c r="K136" s="274"/>
      <c r="L136" s="275"/>
      <c r="M136" s="1151" t="s">
        <v>738</v>
      </c>
      <c r="N136" s="1152" t="s">
        <v>43</v>
      </c>
      <c r="O136" s="1148" t="str">
        <f>VLOOKUP(A136,Strat_Plan_Revit!$A$10:$S$321,11,FALSE)</f>
        <v>gross</v>
      </c>
      <c r="P136" s="977" t="str">
        <f>VLOOKUP(A136,Strat_Plan_Revit!$A$10:$S$321,12,FALSE)</f>
        <v>gering</v>
      </c>
      <c r="Q136" s="277" t="str">
        <f>VLOOKUP(A136,Strat_Plan_Revit!$A$10:$S$321,13,FALSE)</f>
        <v>gering</v>
      </c>
      <c r="R136" s="1162" t="s">
        <v>752</v>
      </c>
      <c r="S136" s="1180" t="s">
        <v>738</v>
      </c>
      <c r="T136" s="278" t="s">
        <v>368</v>
      </c>
      <c r="U136" s="1174"/>
      <c r="V136" s="1053" t="s">
        <v>126</v>
      </c>
      <c r="W136" s="1141"/>
      <c r="X136" s="1190"/>
      <c r="Y136" s="1273" t="s">
        <v>738</v>
      </c>
      <c r="Z136" s="1258" t="s">
        <v>368</v>
      </c>
      <c r="AA136" s="1266" t="s">
        <v>43</v>
      </c>
      <c r="AC136" s="572"/>
      <c r="AD136" s="572"/>
      <c r="AE136" s="572"/>
    </row>
    <row r="137" spans="1:31" ht="40.5" customHeight="1" x14ac:dyDescent="0.25">
      <c r="A137" s="926">
        <v>167</v>
      </c>
      <c r="B137" s="270" t="str">
        <f>IF(VLOOKUP(A137,'Données de base - Grunddaten'!$A$2:$M$273,5,FALSE)="","",VLOOKUP(A137,'Données de base - Grunddaten'!$A$2:$M$273,5,FALSE))</f>
        <v>TI</v>
      </c>
      <c r="C137" s="41" t="str">
        <f>IF(VLOOKUP(A137,'Données de base - Grunddaten'!$A$2:$M$273,3,FALSE)="","",VLOOKUP(A137,'Données de base - Grunddaten'!$A$2:$M$273,3,FALSE))</f>
        <v>Boschetti</v>
      </c>
      <c r="D137" s="41" t="str">
        <f>IF(VLOOKUP(A137,'Données de base - Grunddaten'!$A$2:$M$273,4,FALSE)="","",VLOOKUP(A137,'Données de base - Grunddaten'!$A$2:$M$273,4,FALSE))</f>
        <v>Ticino</v>
      </c>
      <c r="E137" s="271">
        <v>63.545454545454547</v>
      </c>
      <c r="F137" s="271">
        <v>69.042643133976128</v>
      </c>
      <c r="G137" s="271">
        <v>5.4545454545454541</v>
      </c>
      <c r="H137" s="272" t="s">
        <v>1057</v>
      </c>
      <c r="I137" s="273"/>
      <c r="J137" s="273" t="s">
        <v>1068</v>
      </c>
      <c r="K137" s="274"/>
      <c r="L137" s="275"/>
      <c r="M137" s="1151" t="s">
        <v>737</v>
      </c>
      <c r="N137" s="1152" t="s">
        <v>43</v>
      </c>
      <c r="O137" s="1148" t="str">
        <f>VLOOKUP(A137,Strat_Plan_Revit!$A$10:$S$321,11,FALSE)</f>
        <v>important</v>
      </c>
      <c r="P137" s="977" t="str">
        <f>VLOOKUP(A137,Strat_Plan_Revit!$A$10:$S$321,12,FALSE)</f>
        <v>important</v>
      </c>
      <c r="Q137" s="277" t="str">
        <f>VLOOKUP(A137,Strat_Plan_Revit!$A$10:$S$321,13,FALSE)</f>
        <v>important</v>
      </c>
      <c r="R137" s="1162" t="s">
        <v>737</v>
      </c>
      <c r="S137" s="1173" t="s">
        <v>737</v>
      </c>
      <c r="T137" s="278" t="s">
        <v>59</v>
      </c>
      <c r="U137" s="1174"/>
      <c r="V137" s="282"/>
      <c r="W137" s="448"/>
      <c r="X137" s="1191"/>
      <c r="Y137" s="1265" t="s">
        <v>737</v>
      </c>
      <c r="Z137" s="1260" t="s">
        <v>59</v>
      </c>
      <c r="AA137" s="1266" t="str">
        <f t="shared" si="2"/>
        <v>a</v>
      </c>
      <c r="AC137" s="572"/>
      <c r="AD137" s="572"/>
      <c r="AE137" s="572"/>
    </row>
    <row r="138" spans="1:31" ht="40.5" customHeight="1" x14ac:dyDescent="0.25">
      <c r="A138" s="926">
        <v>168</v>
      </c>
      <c r="B138" s="270" t="str">
        <f>IF(VLOOKUP(A138,'Données de base - Grunddaten'!$A$2:$M$273,5,FALSE)="","",VLOOKUP(A138,'Données de base - Grunddaten'!$A$2:$M$273,5,FALSE))</f>
        <v>TI</v>
      </c>
      <c r="C138" s="41" t="str">
        <f>IF(VLOOKUP(A138,'Données de base - Grunddaten'!$A$2:$M$273,3,FALSE)="","",VLOOKUP(A138,'Données de base - Grunddaten'!$A$2:$M$273,3,FALSE))</f>
        <v>Ciossa Antognini</v>
      </c>
      <c r="D138" s="41" t="str">
        <f>IF(VLOOKUP(A138,'Données de base - Grunddaten'!$A$2:$M$273,4,FALSE)="","",VLOOKUP(A138,'Données de base - Grunddaten'!$A$2:$M$273,4,FALSE))</f>
        <v>Ticino</v>
      </c>
      <c r="E138" s="271">
        <v>72.627272727272739</v>
      </c>
      <c r="F138" s="271">
        <v>74.882039901105045</v>
      </c>
      <c r="G138" s="271">
        <v>2.2727272727272729</v>
      </c>
      <c r="H138" s="272" t="s">
        <v>1057</v>
      </c>
      <c r="I138" s="273"/>
      <c r="J138" s="273" t="s">
        <v>1068</v>
      </c>
      <c r="K138" s="274"/>
      <c r="L138" s="275"/>
      <c r="M138" s="1151" t="s">
        <v>737</v>
      </c>
      <c r="N138" s="1152" t="s">
        <v>43</v>
      </c>
      <c r="O138" s="1148" t="str">
        <f>VLOOKUP(A138,Strat_Plan_Revit!$A$10:$S$321,11,FALSE)</f>
        <v>important</v>
      </c>
      <c r="P138" s="977" t="str">
        <f>VLOOKUP(A138,Strat_Plan_Revit!$A$10:$S$321,12,FALSE)</f>
        <v>important</v>
      </c>
      <c r="Q138" s="277" t="str">
        <f>VLOOKUP(A138,Strat_Plan_Revit!$A$10:$S$321,13,FALSE)</f>
        <v>moyen et important</v>
      </c>
      <c r="R138" s="1162" t="s">
        <v>737</v>
      </c>
      <c r="S138" s="1173" t="s">
        <v>737</v>
      </c>
      <c r="T138" s="278" t="s">
        <v>59</v>
      </c>
      <c r="U138" s="1174"/>
      <c r="V138" s="282"/>
      <c r="W138" s="448"/>
      <c r="X138" s="1191"/>
      <c r="Y138" s="1265" t="s">
        <v>737</v>
      </c>
      <c r="Z138" s="1260" t="s">
        <v>59</v>
      </c>
      <c r="AA138" s="1266" t="str">
        <f t="shared" si="2"/>
        <v>a</v>
      </c>
      <c r="AC138" s="572"/>
      <c r="AD138" s="572"/>
      <c r="AE138" s="572"/>
    </row>
    <row r="139" spans="1:31" ht="40.5" customHeight="1" x14ac:dyDescent="0.25">
      <c r="A139" s="927">
        <v>169.1</v>
      </c>
      <c r="B139" s="270" t="str">
        <f>IF(VLOOKUP(A139,'Données de base - Grunddaten'!$A$2:$M$273,5,FALSE)="","",VLOOKUP(A139,'Données de base - Grunddaten'!$A$2:$M$273,5,FALSE))</f>
        <v>TI</v>
      </c>
      <c r="C139" s="41" t="str">
        <f>IF(VLOOKUP(A139,'Données de base - Grunddaten'!$A$2:$M$273,3,FALSE)="","",VLOOKUP(A139,'Données de base - Grunddaten'!$A$2:$M$273,3,FALSE))</f>
        <v>Bolle di Magadino</v>
      </c>
      <c r="D139" s="41" t="str">
        <f>IF(VLOOKUP(A139,'Données de base - Grunddaten'!$A$2:$M$273,4,FALSE)="","",VLOOKUP(A139,'Données de base - Grunddaten'!$A$2:$M$273,4,FALSE))</f>
        <v>Lago Maggiore, Ticino, Verzasca</v>
      </c>
      <c r="E139" s="271"/>
      <c r="F139" s="271"/>
      <c r="G139" s="271"/>
      <c r="H139" s="272"/>
      <c r="I139" s="279"/>
      <c r="J139" s="279" t="s">
        <v>1064</v>
      </c>
      <c r="K139" s="280" t="s">
        <v>1061</v>
      </c>
      <c r="L139" s="281" t="s">
        <v>1182</v>
      </c>
      <c r="M139" s="1151" t="s">
        <v>752</v>
      </c>
      <c r="N139" s="1152" t="s">
        <v>43</v>
      </c>
      <c r="O139" s="1148" t="str">
        <f>VLOOKUP(A139,Strat_Plan_Revit!$A$10:$S$321,11,FALSE)</f>
        <v>important</v>
      </c>
      <c r="P139" s="977" t="str">
        <f>VLOOKUP(A139,Strat_Plan_Revit!$A$10:$S$321,12,FALSE)</f>
        <v>important</v>
      </c>
      <c r="Q139" s="277" t="str">
        <f>VLOOKUP(A139,Strat_Plan_Revit!$A$10:$S$321,13,FALSE)</f>
        <v>important</v>
      </c>
      <c r="R139" s="1169"/>
      <c r="S139" s="1173" t="s">
        <v>752</v>
      </c>
      <c r="T139" s="278" t="s">
        <v>43</v>
      </c>
      <c r="U139" s="1174"/>
      <c r="V139" s="282"/>
      <c r="W139" s="448"/>
      <c r="X139" s="1191"/>
      <c r="Y139" s="1265" t="s">
        <v>752</v>
      </c>
      <c r="Z139" s="1260" t="s">
        <v>43</v>
      </c>
      <c r="AA139" s="1266" t="str">
        <f t="shared" si="2"/>
        <v>a</v>
      </c>
      <c r="AC139" s="572"/>
      <c r="AD139" s="572"/>
      <c r="AE139" s="572"/>
    </row>
    <row r="140" spans="1:31" ht="40.5" customHeight="1" x14ac:dyDescent="0.25">
      <c r="A140" s="927">
        <v>169.2</v>
      </c>
      <c r="B140" s="270" t="str">
        <f>IF(VLOOKUP(A140,'Données de base - Grunddaten'!$A$2:$M$273,5,FALSE)="","",VLOOKUP(A140,'Données de base - Grunddaten'!$A$2:$M$273,5,FALSE))</f>
        <v>TI</v>
      </c>
      <c r="C140" s="41" t="str">
        <f>IF(VLOOKUP(A140,'Données de base - Grunddaten'!$A$2:$M$273,3,FALSE)="","",VLOOKUP(A140,'Données de base - Grunddaten'!$A$2:$M$273,3,FALSE))</f>
        <v>Bolle di Magadino</v>
      </c>
      <c r="D140" s="41" t="str">
        <f>IF(VLOOKUP(A140,'Données de base - Grunddaten'!$A$2:$M$273,4,FALSE)="","",VLOOKUP(A140,'Données de base - Grunddaten'!$A$2:$M$273,4,FALSE))</f>
        <v>Lago Maggiore, Ticino, Verzasca</v>
      </c>
      <c r="E140" s="271">
        <v>55.6</v>
      </c>
      <c r="F140" s="271">
        <v>2.9373864398786451</v>
      </c>
      <c r="G140" s="271">
        <v>10</v>
      </c>
      <c r="H140" s="272" t="s">
        <v>1066</v>
      </c>
      <c r="I140" s="273"/>
      <c r="J140" s="273" t="s">
        <v>1068</v>
      </c>
      <c r="K140" s="274"/>
      <c r="L140" s="275"/>
      <c r="M140" s="1151" t="s">
        <v>737</v>
      </c>
      <c r="N140" s="1152" t="s">
        <v>72</v>
      </c>
      <c r="O140" s="1148">
        <f>VLOOKUP(A140,Strat_Plan_Revit!$A$10:$S$321,11,FALSE)</f>
        <v>0</v>
      </c>
      <c r="P140" s="977" t="str">
        <f>VLOOKUP(A140,Strat_Plan_Revit!$A$10:$S$321,12,FALSE)</f>
        <v>faible</v>
      </c>
      <c r="Q140" s="277" t="str">
        <f>VLOOKUP(A140,Strat_Plan_Revit!$A$10:$S$321,13,FALSE)</f>
        <v>nulle</v>
      </c>
      <c r="R140" s="1162" t="s">
        <v>737</v>
      </c>
      <c r="S140" s="1173" t="s">
        <v>737</v>
      </c>
      <c r="T140" s="278" t="s">
        <v>59</v>
      </c>
      <c r="U140" s="1174"/>
      <c r="V140" s="282"/>
      <c r="W140" s="448"/>
      <c r="X140" s="1191"/>
      <c r="Y140" s="1265" t="s">
        <v>737</v>
      </c>
      <c r="Z140" s="1260" t="s">
        <v>59</v>
      </c>
      <c r="AA140" s="1266" t="str">
        <f t="shared" si="2"/>
        <v>a</v>
      </c>
      <c r="AC140" s="572"/>
      <c r="AD140" s="572"/>
      <c r="AE140" s="572"/>
    </row>
    <row r="141" spans="1:31" ht="40.5" customHeight="1" x14ac:dyDescent="0.25">
      <c r="A141" s="926">
        <v>170</v>
      </c>
      <c r="B141" s="270" t="str">
        <f>IF(VLOOKUP(A141,'Données de base - Grunddaten'!$A$2:$M$273,5,FALSE)="","",VLOOKUP(A141,'Données de base - Grunddaten'!$A$2:$M$273,5,FALSE))</f>
        <v>TI</v>
      </c>
      <c r="C141" s="41" t="str">
        <f>IF(VLOOKUP(A141,'Données de base - Grunddaten'!$A$2:$M$273,3,FALSE)="","",VLOOKUP(A141,'Données de base - Grunddaten'!$A$2:$M$273,3,FALSE))</f>
        <v>Saleggio</v>
      </c>
      <c r="D141" s="41" t="str">
        <f>IF(VLOOKUP(A141,'Données de base - Grunddaten'!$A$2:$M$273,4,FALSE)="","",VLOOKUP(A141,'Données de base - Grunddaten'!$A$2:$M$273,4,FALSE))</f>
        <v>Maggia</v>
      </c>
      <c r="E141" s="271">
        <v>24.154545454545456</v>
      </c>
      <c r="F141" s="271">
        <v>63.66860766019466</v>
      </c>
      <c r="G141" s="271">
        <v>39.545454545454547</v>
      </c>
      <c r="H141" s="272" t="s">
        <v>1078</v>
      </c>
      <c r="I141" s="273" t="s">
        <v>1071</v>
      </c>
      <c r="J141" s="273" t="s">
        <v>1068</v>
      </c>
      <c r="K141" s="274"/>
      <c r="L141" s="275"/>
      <c r="M141" s="1151" t="s">
        <v>737</v>
      </c>
      <c r="N141" s="1152" t="s">
        <v>72</v>
      </c>
      <c r="O141" s="1148" t="str">
        <f>VLOOKUP(A141,Strat_Plan_Revit!$A$10:$S$321,11,FALSE)</f>
        <v>moyen</v>
      </c>
      <c r="P141" s="977" t="str">
        <f>VLOOKUP(A141,Strat_Plan_Revit!$A$10:$S$321,12,FALSE)</f>
        <v>important et faible</v>
      </c>
      <c r="Q141" s="277" t="str">
        <f>VLOOKUP(A141,Strat_Plan_Revit!$A$10:$S$321,13,FALSE)</f>
        <v>faible et nulle</v>
      </c>
      <c r="R141" s="1162" t="s">
        <v>737</v>
      </c>
      <c r="S141" s="1173" t="s">
        <v>737</v>
      </c>
      <c r="T141" s="278" t="s">
        <v>59</v>
      </c>
      <c r="U141" s="1174"/>
      <c r="V141" s="282"/>
      <c r="W141" s="448"/>
      <c r="X141" s="1191"/>
      <c r="Y141" s="1265" t="s">
        <v>737</v>
      </c>
      <c r="Z141" s="1260" t="s">
        <v>59</v>
      </c>
      <c r="AA141" s="1266" t="str">
        <f t="shared" si="2"/>
        <v>a</v>
      </c>
      <c r="AC141" s="572"/>
      <c r="AD141" s="572"/>
      <c r="AE141" s="572"/>
    </row>
    <row r="142" spans="1:31" ht="40.5" customHeight="1" x14ac:dyDescent="0.25">
      <c r="A142" s="928">
        <v>171</v>
      </c>
      <c r="B142" s="270" t="str">
        <f>IF(VLOOKUP(A142,'Données de base - Grunddaten'!$A$2:$M$273,5,FALSE)="","",VLOOKUP(A142,'Données de base - Grunddaten'!$A$2:$M$273,5,FALSE))</f>
        <v>TI</v>
      </c>
      <c r="C142" s="41" t="str">
        <f>IF(VLOOKUP(A142,'Données de base - Grunddaten'!$A$2:$M$273,3,FALSE)="","",VLOOKUP(A142,'Données de base - Grunddaten'!$A$2:$M$273,3,FALSE))</f>
        <v>Maggia</v>
      </c>
      <c r="D142" s="41" t="str">
        <f>IF(VLOOKUP(A142,'Données de base - Grunddaten'!$A$2:$M$273,4,FALSE)="","",VLOOKUP(A142,'Données de base - Grunddaten'!$A$2:$M$273,4,FALSE))</f>
        <v>Maggia</v>
      </c>
      <c r="E142" s="271">
        <v>-35.309090909090905</v>
      </c>
      <c r="F142" s="271">
        <v>10.628506108160048</v>
      </c>
      <c r="G142" s="271">
        <v>45.909090909090907</v>
      </c>
      <c r="H142" s="272" t="s">
        <v>1072</v>
      </c>
      <c r="I142" s="273"/>
      <c r="J142" s="273" t="s">
        <v>1064</v>
      </c>
      <c r="K142" s="274"/>
      <c r="L142" s="275"/>
      <c r="M142" s="1151" t="s">
        <v>723</v>
      </c>
      <c r="N142" s="1152" t="s">
        <v>43</v>
      </c>
      <c r="O142" s="1148" t="str">
        <f>VLOOKUP(A142,Strat_Plan_Revit!$A$10:$S$321,11,FALSE)</f>
        <v>important et moyen</v>
      </c>
      <c r="P142" s="977" t="str">
        <f>VLOOKUP(A142,Strat_Plan_Revit!$A$10:$S$321,12,FALSE)</f>
        <v>important et faible</v>
      </c>
      <c r="Q142" s="277" t="str">
        <f>VLOOKUP(A142,Strat_Plan_Revit!$A$10:$S$321,13,FALSE)</f>
        <v>moyen et nulle</v>
      </c>
      <c r="R142" s="1162" t="s">
        <v>723</v>
      </c>
      <c r="S142" s="1173" t="s">
        <v>723</v>
      </c>
      <c r="T142" s="278" t="s">
        <v>59</v>
      </c>
      <c r="U142" s="1174"/>
      <c r="V142" s="282"/>
      <c r="W142" s="448"/>
      <c r="X142" s="1191"/>
      <c r="Y142" s="1265" t="s">
        <v>723</v>
      </c>
      <c r="Z142" s="1260" t="s">
        <v>59</v>
      </c>
      <c r="AA142" s="1266" t="str">
        <f t="shared" si="2"/>
        <v>a</v>
      </c>
      <c r="AC142" s="572"/>
      <c r="AD142" s="572"/>
      <c r="AE142" s="572"/>
    </row>
    <row r="143" spans="1:31" ht="40.5" customHeight="1" x14ac:dyDescent="0.25">
      <c r="A143" s="926">
        <v>172</v>
      </c>
      <c r="B143" s="270" t="str">
        <f>IF(VLOOKUP(A143,'Données de base - Grunddaten'!$A$2:$M$273,5,FALSE)="","",VLOOKUP(A143,'Données de base - Grunddaten'!$A$2:$M$273,5,FALSE))</f>
        <v>TI</v>
      </c>
      <c r="C143" s="41" t="str">
        <f>IF(VLOOKUP(A143,'Données de base - Grunddaten'!$A$2:$M$273,3,FALSE)="","",VLOOKUP(A143,'Données de base - Grunddaten'!$A$2:$M$273,3,FALSE))</f>
        <v>Somprei–Lovalt</v>
      </c>
      <c r="D143" s="41" t="str">
        <f>IF(VLOOKUP(A143,'Données de base - Grunddaten'!$A$2:$M$273,4,FALSE)="","",VLOOKUP(A143,'Données de base - Grunddaten'!$A$2:$M$273,4,FALSE))</f>
        <v>Maggia</v>
      </c>
      <c r="E143" s="271">
        <v>-12.872727272727273</v>
      </c>
      <c r="F143" s="271">
        <v>4.3546647013972084</v>
      </c>
      <c r="G143" s="271">
        <v>17.272727272727273</v>
      </c>
      <c r="H143" s="272" t="s">
        <v>1066</v>
      </c>
      <c r="I143" s="273" t="s">
        <v>1071</v>
      </c>
      <c r="J143" s="273" t="s">
        <v>1064</v>
      </c>
      <c r="K143" s="274"/>
      <c r="L143" s="275"/>
      <c r="M143" s="1151" t="s">
        <v>720</v>
      </c>
      <c r="N143" s="1152" t="s">
        <v>43</v>
      </c>
      <c r="O143" s="1148" t="str">
        <f>VLOOKUP(A143,Strat_Plan_Revit!$A$10:$S$321,11,FALSE)</f>
        <v>moyen</v>
      </c>
      <c r="P143" s="977" t="str">
        <f>VLOOKUP(A143,Strat_Plan_Revit!$A$10:$S$321,12,FALSE)</f>
        <v>faible</v>
      </c>
      <c r="Q143" s="277" t="str">
        <f>VLOOKUP(A143,Strat_Plan_Revit!$A$10:$S$321,13,FALSE)</f>
        <v>nulle</v>
      </c>
      <c r="R143" s="1162" t="s">
        <v>752</v>
      </c>
      <c r="S143" s="1173" t="s">
        <v>752</v>
      </c>
      <c r="T143" s="278" t="s">
        <v>110</v>
      </c>
      <c r="U143" s="1174"/>
      <c r="V143" s="282"/>
      <c r="W143" s="448"/>
      <c r="X143" s="1191"/>
      <c r="Y143" s="1265" t="s">
        <v>752</v>
      </c>
      <c r="Z143" s="1260" t="s">
        <v>110</v>
      </c>
      <c r="AA143" s="1266" t="str">
        <f t="shared" si="2"/>
        <v>a</v>
      </c>
      <c r="AC143" s="572"/>
      <c r="AD143" s="572"/>
      <c r="AE143" s="572"/>
    </row>
    <row r="144" spans="1:31" ht="40.5" customHeight="1" x14ac:dyDescent="0.25">
      <c r="A144" s="926">
        <v>174</v>
      </c>
      <c r="B144" s="270" t="str">
        <f>IF(VLOOKUP(A144,'Données de base - Grunddaten'!$A$2:$M$273,5,FALSE)="","",VLOOKUP(A144,'Données de base - Grunddaten'!$A$2:$M$273,5,FALSE))</f>
        <v>GR</v>
      </c>
      <c r="C144" s="41" t="str">
        <f>IF(VLOOKUP(A144,'Données de base - Grunddaten'!$A$2:$M$273,3,FALSE)="","",VLOOKUP(A144,'Données de base - Grunddaten'!$A$2:$M$273,3,FALSE))</f>
        <v>Strada</v>
      </c>
      <c r="D144" s="41" t="str">
        <f>IF(VLOOKUP(A144,'Données de base - Grunddaten'!$A$2:$M$273,4,FALSE)="","",VLOOKUP(A144,'Données de base - Grunddaten'!$A$2:$M$273,4,FALSE))</f>
        <v>Inn</v>
      </c>
      <c r="E144" s="271">
        <v>1.8909090909090907</v>
      </c>
      <c r="F144" s="271">
        <v>7.8152810729948916</v>
      </c>
      <c r="G144" s="271">
        <v>5.9090909090909092</v>
      </c>
      <c r="H144" s="272" t="s">
        <v>1066</v>
      </c>
      <c r="I144" s="273"/>
      <c r="J144" s="273" t="s">
        <v>1068</v>
      </c>
      <c r="K144" s="274"/>
      <c r="L144" s="275" t="s">
        <v>1152</v>
      </c>
      <c r="M144" s="1151" t="s">
        <v>752</v>
      </c>
      <c r="N144" s="1152" t="s">
        <v>72</v>
      </c>
      <c r="O144" s="1148" t="str">
        <f>VLOOKUP(A144,Strat_Plan_Revit!$A$10:$S$321,11,FALSE)</f>
        <v>gross</v>
      </c>
      <c r="P144" s="977" t="str">
        <f>VLOOKUP(A144,Strat_Plan_Revit!$A$10:$S$321,12,FALSE)</f>
        <v>mittel/kein/nicht best.</v>
      </c>
      <c r="Q144" s="277" t="str">
        <f>VLOOKUP(A144,Strat_Plan_Revit!$A$10:$S$321,13,FALSE)</f>
        <v>hoch</v>
      </c>
      <c r="R144" s="1162" t="s">
        <v>720</v>
      </c>
      <c r="S144" s="1173" t="s">
        <v>720</v>
      </c>
      <c r="T144" s="278" t="s">
        <v>110</v>
      </c>
      <c r="U144" s="1174"/>
      <c r="V144" s="282"/>
      <c r="W144" s="341"/>
      <c r="X144" s="97"/>
      <c r="Y144" s="1265" t="s">
        <v>720</v>
      </c>
      <c r="Z144" s="1258" t="s">
        <v>110</v>
      </c>
      <c r="AA144" s="1266" t="str">
        <f t="shared" si="2"/>
        <v>a</v>
      </c>
      <c r="AC144" s="572"/>
      <c r="AD144" s="572"/>
      <c r="AE144" s="572"/>
    </row>
    <row r="145" spans="1:31" ht="40.5" customHeight="1" x14ac:dyDescent="0.25">
      <c r="A145" s="926">
        <v>176</v>
      </c>
      <c r="B145" s="270" t="str">
        <f>IF(VLOOKUP(A145,'Données de base - Grunddaten'!$A$2:$M$273,5,FALSE)="","",VLOOKUP(A145,'Données de base - Grunddaten'!$A$2:$M$273,5,FALSE))</f>
        <v>GR</v>
      </c>
      <c r="C145" s="41" t="str">
        <f>IF(VLOOKUP(A145,'Données de base - Grunddaten'!$A$2:$M$273,3,FALSE)="","",VLOOKUP(A145,'Données de base - Grunddaten'!$A$2:$M$273,3,FALSE))</f>
        <v>Plan-Sot</v>
      </c>
      <c r="D145" s="41" t="str">
        <f>IF(VLOOKUP(A145,'Données de base - Grunddaten'!$A$2:$M$273,4,FALSE)="","",VLOOKUP(A145,'Données de base - Grunddaten'!$A$2:$M$273,4,FALSE))</f>
        <v>Inn</v>
      </c>
      <c r="E145" s="271">
        <v>-6.3636363636363633</v>
      </c>
      <c r="F145" s="271">
        <v>0</v>
      </c>
      <c r="G145" s="271">
        <v>6.3636363636363633</v>
      </c>
      <c r="H145" s="272" t="s">
        <v>1061</v>
      </c>
      <c r="I145" s="273"/>
      <c r="J145" s="273" t="s">
        <v>1068</v>
      </c>
      <c r="K145" s="274"/>
      <c r="L145" s="275"/>
      <c r="M145" s="1151" t="s">
        <v>752</v>
      </c>
      <c r="N145" s="1152" t="s">
        <v>43</v>
      </c>
      <c r="O145" s="1148" t="str">
        <f>VLOOKUP(A145,Strat_Plan_Revit!$A$10:$S$321,11,FALSE)</f>
        <v>gross</v>
      </c>
      <c r="P145" s="977" t="str">
        <f>VLOOKUP(A145,Strat_Plan_Revit!$A$10:$S$321,12,FALSE)</f>
        <v>gering</v>
      </c>
      <c r="Q145" s="277" t="str">
        <f>VLOOKUP(A145,Strat_Plan_Revit!$A$10:$S$321,13,FALSE)</f>
        <v>gering</v>
      </c>
      <c r="R145" s="1162" t="s">
        <v>752</v>
      </c>
      <c r="S145" s="1173" t="s">
        <v>752</v>
      </c>
      <c r="T145" s="278" t="s">
        <v>59</v>
      </c>
      <c r="U145" s="1174"/>
      <c r="V145" s="282"/>
      <c r="W145" s="341"/>
      <c r="X145" s="97"/>
      <c r="Y145" s="1265" t="s">
        <v>752</v>
      </c>
      <c r="Z145" s="1258" t="s">
        <v>59</v>
      </c>
      <c r="AA145" s="1266" t="str">
        <f t="shared" si="2"/>
        <v>a</v>
      </c>
      <c r="AC145" s="572"/>
      <c r="AD145" s="572"/>
      <c r="AE145" s="572"/>
    </row>
    <row r="146" spans="1:31" ht="40.5" customHeight="1" x14ac:dyDescent="0.25">
      <c r="A146" s="926">
        <v>177</v>
      </c>
      <c r="B146" s="270" t="str">
        <f>IF(VLOOKUP(A146,'Données de base - Grunddaten'!$A$2:$M$273,5,FALSE)="","",VLOOKUP(A146,'Données de base - Grunddaten'!$A$2:$M$273,5,FALSE))</f>
        <v>GR</v>
      </c>
      <c r="C146" s="41" t="str">
        <f>IF(VLOOKUP(A146,'Données de base - Grunddaten'!$A$2:$M$273,3,FALSE)="","",VLOOKUP(A146,'Données de base - Grunddaten'!$A$2:$M$273,3,FALSE))</f>
        <v>Panas-ch–Resgia</v>
      </c>
      <c r="D146" s="41" t="str">
        <f>IF(VLOOKUP(A146,'Données de base - Grunddaten'!$A$2:$M$273,4,FALSE)="","",VLOOKUP(A146,'Données de base - Grunddaten'!$A$2:$M$273,4,FALSE))</f>
        <v>Inn</v>
      </c>
      <c r="E146" s="271">
        <v>-6.8181818181818183</v>
      </c>
      <c r="F146" s="271">
        <v>0</v>
      </c>
      <c r="G146" s="271">
        <v>6.8181818181818183</v>
      </c>
      <c r="H146" s="272" t="s">
        <v>1061</v>
      </c>
      <c r="I146" s="273"/>
      <c r="J146" s="273" t="s">
        <v>1064</v>
      </c>
      <c r="K146" s="274"/>
      <c r="L146" s="275"/>
      <c r="M146" s="1151" t="s">
        <v>752</v>
      </c>
      <c r="N146" s="1152" t="s">
        <v>43</v>
      </c>
      <c r="O146" s="1148" t="str">
        <f>VLOOKUP(A146,Strat_Plan_Revit!$A$10:$S$321,11,FALSE)</f>
        <v>gross</v>
      </c>
      <c r="P146" s="977" t="str">
        <f>VLOOKUP(A146,Strat_Plan_Revit!$A$10:$S$321,12,FALSE)</f>
        <v>gross/kein/nicht best.</v>
      </c>
      <c r="Q146" s="277" t="str">
        <f>VLOOKUP(A146,Strat_Plan_Revit!$A$10:$S$321,13,FALSE)</f>
        <v>hoch/gering</v>
      </c>
      <c r="R146" s="1162" t="s">
        <v>720</v>
      </c>
      <c r="S146" s="1173" t="s">
        <v>720</v>
      </c>
      <c r="T146" s="278" t="s">
        <v>110</v>
      </c>
      <c r="U146" s="1174"/>
      <c r="V146" s="282"/>
      <c r="W146" s="341"/>
      <c r="X146" s="97"/>
      <c r="Y146" s="1265" t="s">
        <v>720</v>
      </c>
      <c r="Z146" s="1258" t="s">
        <v>110</v>
      </c>
      <c r="AA146" s="1266" t="str">
        <f t="shared" si="2"/>
        <v>a</v>
      </c>
      <c r="AC146" s="572"/>
      <c r="AD146" s="572"/>
      <c r="AE146" s="572"/>
    </row>
    <row r="147" spans="1:31" ht="40.5" customHeight="1" x14ac:dyDescent="0.25">
      <c r="A147" s="926">
        <v>181</v>
      </c>
      <c r="B147" s="270" t="str">
        <f>IF(VLOOKUP(A147,'Données de base - Grunddaten'!$A$2:$M$273,5,FALSE)="","",VLOOKUP(A147,'Données de base - Grunddaten'!$A$2:$M$273,5,FALSE))</f>
        <v>GR</v>
      </c>
      <c r="C147" s="41" t="str">
        <f>IF(VLOOKUP(A147,'Données de base - Grunddaten'!$A$2:$M$273,3,FALSE)="","",VLOOKUP(A147,'Données de base - Grunddaten'!$A$2:$M$273,3,FALSE))</f>
        <v>Lischana–Suronnas</v>
      </c>
      <c r="D147" s="41" t="str">
        <f>IF(VLOOKUP(A147,'Données de base - Grunddaten'!$A$2:$M$273,4,FALSE)="","",VLOOKUP(A147,'Données de base - Grunddaten'!$A$2:$M$273,4,FALSE))</f>
        <v>Inn</v>
      </c>
      <c r="E147" s="271">
        <v>0</v>
      </c>
      <c r="F147" s="271">
        <v>0</v>
      </c>
      <c r="G147" s="271">
        <v>0</v>
      </c>
      <c r="H147" s="272" t="s">
        <v>1061</v>
      </c>
      <c r="I147" s="273"/>
      <c r="J147" s="273" t="s">
        <v>1064</v>
      </c>
      <c r="K147" s="274"/>
      <c r="L147" s="275"/>
      <c r="M147" s="1151" t="s">
        <v>752</v>
      </c>
      <c r="N147" s="1152" t="s">
        <v>43</v>
      </c>
      <c r="O147" s="1148" t="str">
        <f>VLOOKUP(A147,Strat_Plan_Revit!$A$10:$S$321,11,FALSE)</f>
        <v>gross</v>
      </c>
      <c r="P147" s="977" t="str">
        <f>VLOOKUP(A147,Strat_Plan_Revit!$A$10:$S$321,12,FALSE)</f>
        <v>kein/nicht best.</v>
      </c>
      <c r="Q147" s="277" t="str">
        <f>VLOOKUP(A147,Strat_Plan_Revit!$A$10:$S$321,13,FALSE)</f>
        <v>gering</v>
      </c>
      <c r="R147" s="1162" t="s">
        <v>752</v>
      </c>
      <c r="S147" s="1173" t="s">
        <v>752</v>
      </c>
      <c r="T147" s="278" t="s">
        <v>59</v>
      </c>
      <c r="U147" s="1174"/>
      <c r="V147" s="282"/>
      <c r="W147" s="341"/>
      <c r="X147" s="97"/>
      <c r="Y147" s="1265" t="s">
        <v>752</v>
      </c>
      <c r="Z147" s="1258" t="s">
        <v>59</v>
      </c>
      <c r="AA147" s="1266" t="str">
        <f t="shared" si="2"/>
        <v>a</v>
      </c>
      <c r="AC147" s="572"/>
      <c r="AD147" s="572"/>
      <c r="AE147" s="572"/>
    </row>
    <row r="148" spans="1:31" ht="40.5" customHeight="1" x14ac:dyDescent="0.25">
      <c r="A148" s="926">
        <v>185</v>
      </c>
      <c r="B148" s="270" t="str">
        <f>IF(VLOOKUP(A148,'Données de base - Grunddaten'!$A$2:$M$273,5,FALSE)="","",VLOOKUP(A148,'Données de base - Grunddaten'!$A$2:$M$273,5,FALSE))</f>
        <v>GR</v>
      </c>
      <c r="C148" s="41" t="str">
        <f>IF(VLOOKUP(A148,'Données de base - Grunddaten'!$A$2:$M$273,3,FALSE)="","",VLOOKUP(A148,'Données de base - Grunddaten'!$A$2:$M$273,3,FALSE))</f>
        <v>Sotruinas</v>
      </c>
      <c r="D148" s="41" t="str">
        <f>IF(VLOOKUP(A148,'Données de base - Grunddaten'!$A$2:$M$273,4,FALSE)="","",VLOOKUP(A148,'Données de base - Grunddaten'!$A$2:$M$273,4,FALSE))</f>
        <v>Inn</v>
      </c>
      <c r="E148" s="271">
        <v>-1.8181818181818181</v>
      </c>
      <c r="F148" s="271">
        <v>0</v>
      </c>
      <c r="G148" s="271">
        <v>1.8181818181818181</v>
      </c>
      <c r="H148" s="272" t="s">
        <v>1061</v>
      </c>
      <c r="I148" s="273"/>
      <c r="J148" s="273" t="s">
        <v>1059</v>
      </c>
      <c r="K148" s="274"/>
      <c r="L148" s="275"/>
      <c r="M148" s="1151" t="s">
        <v>752</v>
      </c>
      <c r="N148" s="1152" t="s">
        <v>43</v>
      </c>
      <c r="O148" s="1148" t="str">
        <f>VLOOKUP(A148,Strat_Plan_Revit!$A$10:$S$321,11,FALSE)</f>
        <v>gross</v>
      </c>
      <c r="P148" s="977" t="str">
        <f>VLOOKUP(A148,Strat_Plan_Revit!$A$10:$S$321,12,FALSE)</f>
        <v>mittel/kein/nicht best.</v>
      </c>
      <c r="Q148" s="277" t="str">
        <f>VLOOKUP(A148,Strat_Plan_Revit!$A$10:$S$321,13,FALSE)</f>
        <v>gering</v>
      </c>
      <c r="R148" s="1162" t="s">
        <v>752</v>
      </c>
      <c r="S148" s="1173" t="s">
        <v>752</v>
      </c>
      <c r="T148" s="278" t="s">
        <v>59</v>
      </c>
      <c r="U148" s="1174"/>
      <c r="V148" s="282"/>
      <c r="W148" s="341"/>
      <c r="X148" s="97"/>
      <c r="Y148" s="1265" t="s">
        <v>752</v>
      </c>
      <c r="Z148" s="1258" t="s">
        <v>59</v>
      </c>
      <c r="AA148" s="1266" t="str">
        <f t="shared" si="2"/>
        <v>a</v>
      </c>
      <c r="AC148" s="572"/>
      <c r="AD148" s="572"/>
      <c r="AE148" s="572"/>
    </row>
    <row r="149" spans="1:31" ht="40.5" customHeight="1" x14ac:dyDescent="0.25">
      <c r="A149" s="926">
        <v>187</v>
      </c>
      <c r="B149" s="270" t="str">
        <f>IF(VLOOKUP(A149,'Données de base - Grunddaten'!$A$2:$M$273,5,FALSE)="","",VLOOKUP(A149,'Données de base - Grunddaten'!$A$2:$M$273,5,FALSE))</f>
        <v>GR</v>
      </c>
      <c r="C149" s="41" t="str">
        <f>IF(VLOOKUP(A149,'Données de base - Grunddaten'!$A$2:$M$273,3,FALSE)="","",VLOOKUP(A149,'Données de base - Grunddaten'!$A$2:$M$273,3,FALSE))</f>
        <v>Blaisch dal Piz dal Ras</v>
      </c>
      <c r="D149" s="41" t="str">
        <f>IF(VLOOKUP(A149,'Données de base - Grunddaten'!$A$2:$M$273,4,FALSE)="","",VLOOKUP(A149,'Données de base - Grunddaten'!$A$2:$M$273,4,FALSE))</f>
        <v>Susasca</v>
      </c>
      <c r="E149" s="271">
        <v>2.6363636363636367</v>
      </c>
      <c r="F149" s="271">
        <v>3.9867601784881157</v>
      </c>
      <c r="G149" s="271">
        <v>1.3636363636363635</v>
      </c>
      <c r="H149" s="272" t="s">
        <v>1066</v>
      </c>
      <c r="I149" s="273"/>
      <c r="J149" s="273" t="s">
        <v>1059</v>
      </c>
      <c r="K149" s="274"/>
      <c r="L149" s="275"/>
      <c r="M149" s="1151" t="s">
        <v>720</v>
      </c>
      <c r="N149" s="1152" t="s">
        <v>43</v>
      </c>
      <c r="O149" s="1148" t="str">
        <f>VLOOKUP(A149,Strat_Plan_Revit!$A$10:$S$321,11,FALSE)</f>
        <v>gross</v>
      </c>
      <c r="P149" s="977" t="str">
        <f>VLOOKUP(A149,Strat_Plan_Revit!$A$10:$S$321,12,FALSE)</f>
        <v>kein/nicht best.</v>
      </c>
      <c r="Q149" s="277" t="str">
        <f>VLOOKUP(A149,Strat_Plan_Revit!$A$10:$S$321,13,FALSE)</f>
        <v>gering</v>
      </c>
      <c r="R149" s="1162" t="s">
        <v>752</v>
      </c>
      <c r="S149" s="1173" t="s">
        <v>752</v>
      </c>
      <c r="T149" s="278" t="s">
        <v>110</v>
      </c>
      <c r="U149" s="1174"/>
      <c r="V149" s="282"/>
      <c r="W149" s="341"/>
      <c r="X149" s="97"/>
      <c r="Y149" s="1265" t="s">
        <v>752</v>
      </c>
      <c r="Z149" s="1258" t="s">
        <v>110</v>
      </c>
      <c r="AA149" s="1266" t="str">
        <f t="shared" si="2"/>
        <v>a</v>
      </c>
      <c r="AC149" s="572"/>
      <c r="AD149" s="572"/>
      <c r="AE149" s="572"/>
    </row>
    <row r="150" spans="1:31" ht="40.5" customHeight="1" x14ac:dyDescent="0.25">
      <c r="A150" s="926">
        <v>188</v>
      </c>
      <c r="B150" s="270" t="str">
        <f>IF(VLOOKUP(A150,'Données de base - Grunddaten'!$A$2:$M$273,5,FALSE)="","",VLOOKUP(A150,'Données de base - Grunddaten'!$A$2:$M$273,5,FALSE))</f>
        <v>GR</v>
      </c>
      <c r="C150" s="41" t="str">
        <f>IF(VLOOKUP(A150,'Données de base - Grunddaten'!$A$2:$M$273,3,FALSE)="","",VLOOKUP(A150,'Données de base - Grunddaten'!$A$2:$M$273,3,FALSE))</f>
        <v>San Batrumieu</v>
      </c>
      <c r="D150" s="41" t="str">
        <f>IF(VLOOKUP(A150,'Données de base - Grunddaten'!$A$2:$M$273,4,FALSE)="","",VLOOKUP(A150,'Données de base - Grunddaten'!$A$2:$M$273,4,FALSE))</f>
        <v>Inn</v>
      </c>
      <c r="E150" s="271">
        <v>48.218181818181819</v>
      </c>
      <c r="F150" s="271">
        <v>56.441124848438768</v>
      </c>
      <c r="G150" s="271">
        <v>8.1818181818181817</v>
      </c>
      <c r="H150" s="272" t="s">
        <v>1057</v>
      </c>
      <c r="I150" s="273"/>
      <c r="J150" s="273" t="s">
        <v>1068</v>
      </c>
      <c r="K150" s="274"/>
      <c r="L150" s="275" t="s">
        <v>1153</v>
      </c>
      <c r="M150" s="1151" t="s">
        <v>752</v>
      </c>
      <c r="N150" s="1152" t="s">
        <v>72</v>
      </c>
      <c r="O150" s="1148" t="str">
        <f>VLOOKUP(A150,Strat_Plan_Revit!$A$10:$S$321,11,FALSE)</f>
        <v>gross</v>
      </c>
      <c r="P150" s="977" t="str">
        <f>VLOOKUP(A150,Strat_Plan_Revit!$A$10:$S$321,12,FALSE)</f>
        <v>gross/mittel/gering</v>
      </c>
      <c r="Q150" s="277" t="str">
        <f>VLOOKUP(A150,Strat_Plan_Revit!$A$10:$S$321,13,FALSE)</f>
        <v>hoch/gering</v>
      </c>
      <c r="R150" s="1162" t="s">
        <v>720</v>
      </c>
      <c r="S150" s="1173" t="s">
        <v>720</v>
      </c>
      <c r="T150" s="278" t="s">
        <v>110</v>
      </c>
      <c r="U150" s="1174"/>
      <c r="V150" s="282"/>
      <c r="W150" s="341"/>
      <c r="X150" s="97"/>
      <c r="Y150" s="1265" t="s">
        <v>720</v>
      </c>
      <c r="Z150" s="1258" t="s">
        <v>110</v>
      </c>
      <c r="AA150" s="1266" t="str">
        <f t="shared" si="2"/>
        <v>a</v>
      </c>
      <c r="AC150" s="572"/>
      <c r="AD150" s="572"/>
      <c r="AE150" s="572"/>
    </row>
    <row r="151" spans="1:31" ht="40.5" customHeight="1" x14ac:dyDescent="0.25">
      <c r="A151" s="926">
        <v>190</v>
      </c>
      <c r="B151" s="270" t="str">
        <f>IF(VLOOKUP(A151,'Données de base - Grunddaten'!$A$2:$M$273,5,FALSE)="","",VLOOKUP(A151,'Données de base - Grunddaten'!$A$2:$M$273,5,FALSE))</f>
        <v>GR</v>
      </c>
      <c r="C151" s="41" t="str">
        <f>IF(VLOOKUP(A151,'Données de base - Grunddaten'!$A$2:$M$273,3,FALSE)="","",VLOOKUP(A151,'Données de base - Grunddaten'!$A$2:$M$273,3,FALSE))</f>
        <v>Isla Glischa–Arvins–Seglias</v>
      </c>
      <c r="D151" s="41" t="str">
        <f>IF(VLOOKUP(A151,'Données de base - Grunddaten'!$A$2:$M$273,4,FALSE)="","",VLOOKUP(A151,'Données de base - Grunddaten'!$A$2:$M$273,4,FALSE))</f>
        <v>Inn, Chamuera</v>
      </c>
      <c r="E151" s="271">
        <v>19.627272727272725</v>
      </c>
      <c r="F151" s="271">
        <v>46.905144047345082</v>
      </c>
      <c r="G151" s="271">
        <v>27.272727272727273</v>
      </c>
      <c r="H151" s="272" t="s">
        <v>1078</v>
      </c>
      <c r="I151" s="273"/>
      <c r="J151" s="273" t="s">
        <v>1068</v>
      </c>
      <c r="K151" s="274"/>
      <c r="L151" s="275"/>
      <c r="M151" s="1151" t="s">
        <v>737</v>
      </c>
      <c r="N151" s="1152" t="s">
        <v>72</v>
      </c>
      <c r="O151" s="1148" t="str">
        <f>VLOOKUP(A151,Strat_Plan_Revit!$A$10:$S$321,11,FALSE)</f>
        <v>gross</v>
      </c>
      <c r="P151" s="977" t="str">
        <f>VLOOKUP(A151,Strat_Plan_Revit!$A$10:$S$321,12,FALSE)</f>
        <v>gross/mittel/gering</v>
      </c>
      <c r="Q151" s="277" t="str">
        <f>VLOOKUP(A151,Strat_Plan_Revit!$A$10:$S$321,13,FALSE)</f>
        <v>hoch/gering</v>
      </c>
      <c r="R151" s="1162" t="s">
        <v>737</v>
      </c>
      <c r="S151" s="1173" t="s">
        <v>737</v>
      </c>
      <c r="T151" s="278" t="s">
        <v>59</v>
      </c>
      <c r="U151" s="1174"/>
      <c r="V151" s="282"/>
      <c r="W151" s="341"/>
      <c r="X151" s="97"/>
      <c r="Y151" s="1265" t="s">
        <v>737</v>
      </c>
      <c r="Z151" s="1258" t="s">
        <v>59</v>
      </c>
      <c r="AA151" s="1266" t="str">
        <f t="shared" si="2"/>
        <v>a</v>
      </c>
      <c r="AC151" s="572"/>
      <c r="AD151" s="572"/>
      <c r="AE151" s="572"/>
    </row>
    <row r="152" spans="1:31" ht="40.5" customHeight="1" x14ac:dyDescent="0.25">
      <c r="A152" s="926">
        <v>194</v>
      </c>
      <c r="B152" s="270" t="str">
        <f>IF(VLOOKUP(A152,'Données de base - Grunddaten'!$A$2:$M$273,5,FALSE)="","",VLOOKUP(A152,'Données de base - Grunddaten'!$A$2:$M$273,5,FALSE))</f>
        <v>GR</v>
      </c>
      <c r="C152" s="41" t="str">
        <f>IF(VLOOKUP(A152,'Données de base - Grunddaten'!$A$2:$M$273,3,FALSE)="","",VLOOKUP(A152,'Données de base - Grunddaten'!$A$2:$M$273,3,FALSE))</f>
        <v>Flaz</v>
      </c>
      <c r="D152" s="41" t="str">
        <f>IF(VLOOKUP(A152,'Données de base - Grunddaten'!$A$2:$M$273,4,FALSE)="","",VLOOKUP(A152,'Données de base - Grunddaten'!$A$2:$M$273,4,FALSE))</f>
        <v>Flaz, Inn</v>
      </c>
      <c r="E152" s="271">
        <v>42.8</v>
      </c>
      <c r="F152" s="271">
        <v>42.809272955856216</v>
      </c>
      <c r="G152" s="271">
        <v>0</v>
      </c>
      <c r="H152" s="272" t="s">
        <v>1057</v>
      </c>
      <c r="I152" s="273"/>
      <c r="J152" s="273" t="s">
        <v>1068</v>
      </c>
      <c r="K152" s="274"/>
      <c r="L152" s="275"/>
      <c r="M152" s="1151" t="s">
        <v>737</v>
      </c>
      <c r="N152" s="1152" t="s">
        <v>43</v>
      </c>
      <c r="O152" s="1148" t="str">
        <f>VLOOKUP(A152,Strat_Plan_Revit!$A$10:$S$321,11,FALSE)</f>
        <v>gross</v>
      </c>
      <c r="P152" s="977" t="str">
        <f>VLOOKUP(A152,Strat_Plan_Revit!$A$10:$S$321,12,FALSE)</f>
        <v>gross/mittel</v>
      </c>
      <c r="Q152" s="277" t="str">
        <f>VLOOKUP(A152,Strat_Plan_Revit!$A$10:$S$321,13,FALSE)</f>
        <v>hoch/gering</v>
      </c>
      <c r="R152" s="1162" t="s">
        <v>737</v>
      </c>
      <c r="S152" s="1173" t="s">
        <v>737</v>
      </c>
      <c r="T152" s="278" t="s">
        <v>59</v>
      </c>
      <c r="U152" s="1174"/>
      <c r="V152" s="282"/>
      <c r="W152" s="341"/>
      <c r="X152" s="97"/>
      <c r="Y152" s="1265" t="s">
        <v>737</v>
      </c>
      <c r="Z152" s="1258" t="s">
        <v>59</v>
      </c>
      <c r="AA152" s="1266" t="str">
        <f t="shared" si="2"/>
        <v>a</v>
      </c>
      <c r="AC152" s="572"/>
      <c r="AD152" s="572"/>
      <c r="AE152" s="572"/>
    </row>
    <row r="153" spans="1:31" ht="40.5" customHeight="1" x14ac:dyDescent="0.25">
      <c r="A153" s="926">
        <v>195</v>
      </c>
      <c r="B153" s="270" t="str">
        <f>IF(VLOOKUP(A153,'Données de base - Grunddaten'!$A$2:$M$273,5,FALSE)="","",VLOOKUP(A153,'Données de base - Grunddaten'!$A$2:$M$273,5,FALSE))</f>
        <v>GR</v>
      </c>
      <c r="C153" s="41" t="str">
        <f>IF(VLOOKUP(A153,'Données de base - Grunddaten'!$A$2:$M$273,3,FALSE)="","",VLOOKUP(A153,'Données de base - Grunddaten'!$A$2:$M$273,3,FALSE))</f>
        <v>II Rom Valchava-Graveras (Müstair)</v>
      </c>
      <c r="D153" s="41" t="str">
        <f>IF(VLOOKUP(A153,'Données de base - Grunddaten'!$A$2:$M$273,4,FALSE)="","",VLOOKUP(A153,'Données de base - Grunddaten'!$A$2:$M$273,4,FALSE))</f>
        <v>II Rom</v>
      </c>
      <c r="E153" s="271">
        <v>10.718181818181819</v>
      </c>
      <c r="F153" s="271">
        <v>48.865708096104626</v>
      </c>
      <c r="G153" s="271">
        <v>38.18181818181818</v>
      </c>
      <c r="H153" s="272" t="s">
        <v>1078</v>
      </c>
      <c r="I153" s="273"/>
      <c r="J153" s="273" t="s">
        <v>1068</v>
      </c>
      <c r="K153" s="274"/>
      <c r="L153" s="275"/>
      <c r="M153" s="1151" t="s">
        <v>738</v>
      </c>
      <c r="N153" s="1152" t="s">
        <v>43</v>
      </c>
      <c r="O153" s="1148" t="str">
        <f>VLOOKUP(A153,Strat_Plan_Revit!$A$10:$S$321,11,FALSE)</f>
        <v>gross</v>
      </c>
      <c r="P153" s="977" t="str">
        <f>VLOOKUP(A153,Strat_Plan_Revit!$A$10:$S$321,12,FALSE)</f>
        <v>mittel/gering/kein/nicht best.</v>
      </c>
      <c r="Q153" s="277" t="str">
        <f>VLOOKUP(A153,Strat_Plan_Revit!$A$10:$S$321,13,FALSE)</f>
        <v>gering</v>
      </c>
      <c r="R153" s="1162" t="s">
        <v>723</v>
      </c>
      <c r="S153" s="1173" t="s">
        <v>723</v>
      </c>
      <c r="T153" s="278" t="s">
        <v>110</v>
      </c>
      <c r="U153" s="1174"/>
      <c r="V153" s="282"/>
      <c r="W153" s="341"/>
      <c r="X153" s="97"/>
      <c r="Y153" s="1265" t="s">
        <v>723</v>
      </c>
      <c r="Z153" s="1258" t="s">
        <v>110</v>
      </c>
      <c r="AA153" s="1266" t="str">
        <f t="shared" si="2"/>
        <v>a</v>
      </c>
      <c r="AC153" s="572"/>
      <c r="AD153" s="572"/>
      <c r="AE153" s="572"/>
    </row>
    <row r="154" spans="1:31" ht="40.5" customHeight="1" x14ac:dyDescent="0.25">
      <c r="A154" s="926">
        <v>198</v>
      </c>
      <c r="B154" s="270" t="str">
        <f>IF(VLOOKUP(A154,'Données de base - Grunddaten'!$A$2:$M$273,5,FALSE)="","",VLOOKUP(A154,'Données de base - Grunddaten'!$A$2:$M$273,5,FALSE))</f>
        <v>VD</v>
      </c>
      <c r="C154" s="41" t="str">
        <f>IF(VLOOKUP(A154,'Données de base - Grunddaten'!$A$2:$M$273,3,FALSE)="","",VLOOKUP(A154,'Données de base - Grunddaten'!$A$2:$M$273,3,FALSE))</f>
        <v>Les Grèves de Concise</v>
      </c>
      <c r="D154" s="41" t="str">
        <f>IF(VLOOKUP(A154,'Données de base - Grunddaten'!$A$2:$M$273,4,FALSE)="","",VLOOKUP(A154,'Données de base - Grunddaten'!$A$2:$M$273,4,FALSE))</f>
        <v>Lac de Neuchâtel</v>
      </c>
      <c r="E154" s="271"/>
      <c r="F154" s="271"/>
      <c r="G154" s="271"/>
      <c r="H154" s="272" t="s">
        <v>51</v>
      </c>
      <c r="I154" s="273"/>
      <c r="J154" s="273" t="s">
        <v>1059</v>
      </c>
      <c r="K154" s="274"/>
      <c r="L154" s="275"/>
      <c r="M154" s="1151" t="s">
        <v>53</v>
      </c>
      <c r="N154" s="1152" t="s">
        <v>43</v>
      </c>
      <c r="O154" s="1148">
        <f>VLOOKUP(A154,Strat_Plan_Revit!$A$10:$S$321,11,FALSE)</f>
        <v>0</v>
      </c>
      <c r="P154" s="977">
        <f>VLOOKUP(A154,Strat_Plan_Revit!$A$10:$S$321,12,FALSE)</f>
        <v>0</v>
      </c>
      <c r="Q154" s="277">
        <f>VLOOKUP(A154,Strat_Plan_Revit!$A$10:$S$321,13,FALSE)</f>
        <v>0</v>
      </c>
      <c r="R154" s="1169"/>
      <c r="S154" s="1173" t="s">
        <v>53</v>
      </c>
      <c r="T154" s="278" t="s">
        <v>43</v>
      </c>
      <c r="U154" s="1174"/>
      <c r="V154" s="282"/>
      <c r="W154" s="341"/>
      <c r="X154" s="97"/>
      <c r="Y154" s="1265" t="s">
        <v>53</v>
      </c>
      <c r="Z154" s="1258" t="s">
        <v>43</v>
      </c>
      <c r="AA154" s="1266" t="str">
        <f t="shared" si="2"/>
        <v>a</v>
      </c>
      <c r="AC154" s="572"/>
      <c r="AD154" s="572"/>
      <c r="AE154" s="572"/>
    </row>
    <row r="155" spans="1:31" ht="40.5" customHeight="1" x14ac:dyDescent="0.25">
      <c r="A155" s="926">
        <v>200</v>
      </c>
      <c r="B155" s="270" t="str">
        <f>IF(VLOOKUP(A155,'Données de base - Grunddaten'!$A$2:$M$273,5,FALSE)="","",VLOOKUP(A155,'Données de base - Grunddaten'!$A$2:$M$273,5,FALSE))</f>
        <v>VD</v>
      </c>
      <c r="C155" s="41" t="str">
        <f>IF(VLOOKUP(A155,'Données de base - Grunddaten'!$A$2:$M$273,3,FALSE)="","",VLOOKUP(A155,'Données de base - Grunddaten'!$A$2:$M$273,3,FALSE))</f>
        <v>Les Grèves de Grandson–Bonvillars–Onnens</v>
      </c>
      <c r="D155" s="41" t="str">
        <f>IF(VLOOKUP(A155,'Données de base - Grunddaten'!$A$2:$M$273,4,FALSE)="","",VLOOKUP(A155,'Données de base - Grunddaten'!$A$2:$M$273,4,FALSE))</f>
        <v>Lac de Neuchâtel</v>
      </c>
      <c r="E155" s="271"/>
      <c r="F155" s="271"/>
      <c r="G155" s="271"/>
      <c r="H155" s="272" t="s">
        <v>51</v>
      </c>
      <c r="I155" s="279"/>
      <c r="J155" s="279" t="s">
        <v>1059</v>
      </c>
      <c r="K155" s="280"/>
      <c r="L155" s="281" t="s">
        <v>1197</v>
      </c>
      <c r="M155" s="1151" t="s">
        <v>53</v>
      </c>
      <c r="N155" s="1152" t="s">
        <v>43</v>
      </c>
      <c r="O155" s="1148">
        <f>VLOOKUP(A155,Strat_Plan_Revit!$A$10:$S$321,11,FALSE)</f>
        <v>0</v>
      </c>
      <c r="P155" s="977">
        <f>VLOOKUP(A155,Strat_Plan_Revit!$A$10:$S$321,12,FALSE)</f>
        <v>0</v>
      </c>
      <c r="Q155" s="277">
        <f>VLOOKUP(A155,Strat_Plan_Revit!$A$10:$S$321,13,FALSE)</f>
        <v>0</v>
      </c>
      <c r="R155" s="1169"/>
      <c r="S155" s="1173" t="s">
        <v>53</v>
      </c>
      <c r="T155" s="278" t="s">
        <v>43</v>
      </c>
      <c r="U155" s="1174"/>
      <c r="V155" s="282"/>
      <c r="W155" s="341"/>
      <c r="X155" s="97"/>
      <c r="Y155" s="1265" t="s">
        <v>53</v>
      </c>
      <c r="Z155" s="1258" t="s">
        <v>43</v>
      </c>
      <c r="AA155" s="1266" t="str">
        <f t="shared" si="2"/>
        <v>a</v>
      </c>
      <c r="AC155" s="572"/>
      <c r="AD155" s="572"/>
      <c r="AE155" s="572"/>
    </row>
    <row r="156" spans="1:31" ht="40.5" customHeight="1" x14ac:dyDescent="0.25">
      <c r="A156" s="926">
        <v>201</v>
      </c>
      <c r="B156" s="270" t="str">
        <f>IF(VLOOKUP(A156,'Données de base - Grunddaten'!$A$2:$M$273,5,FALSE)="","",VLOOKUP(A156,'Données de base - Grunddaten'!$A$2:$M$273,5,FALSE))</f>
        <v>VD</v>
      </c>
      <c r="C156" s="41" t="str">
        <f>IF(VLOOKUP(A156,'Données de base - Grunddaten'!$A$2:$M$273,3,FALSE)="","",VLOOKUP(A156,'Données de base - Grunddaten'!$A$2:$M$273,3,FALSE))</f>
        <v>Les Grèves d'Yverdon–des Tuileries</v>
      </c>
      <c r="D156" s="41" t="str">
        <f>IF(VLOOKUP(A156,'Données de base - Grunddaten'!$A$2:$M$273,4,FALSE)="","",VLOOKUP(A156,'Données de base - Grunddaten'!$A$2:$M$273,4,FALSE))</f>
        <v>Lac de Neuchâtel</v>
      </c>
      <c r="E156" s="271"/>
      <c r="F156" s="271"/>
      <c r="G156" s="271"/>
      <c r="H156" s="272" t="s">
        <v>51</v>
      </c>
      <c r="I156" s="273"/>
      <c r="J156" s="273" t="s">
        <v>1059</v>
      </c>
      <c r="K156" s="274"/>
      <c r="L156" s="275"/>
      <c r="M156" s="1151" t="s">
        <v>53</v>
      </c>
      <c r="N156" s="1152" t="s">
        <v>43</v>
      </c>
      <c r="O156" s="1148">
        <f>VLOOKUP(A156,Strat_Plan_Revit!$A$10:$S$321,11,FALSE)</f>
        <v>0</v>
      </c>
      <c r="P156" s="977">
        <f>VLOOKUP(A156,Strat_Plan_Revit!$A$10:$S$321,12,FALSE)</f>
        <v>0</v>
      </c>
      <c r="Q156" s="277">
        <f>VLOOKUP(A156,Strat_Plan_Revit!$A$10:$S$321,13,FALSE)</f>
        <v>0</v>
      </c>
      <c r="R156" s="1169"/>
      <c r="S156" s="1173" t="s">
        <v>53</v>
      </c>
      <c r="T156" s="278" t="s">
        <v>43</v>
      </c>
      <c r="U156" s="1174"/>
      <c r="V156" s="282"/>
      <c r="W156" s="341"/>
      <c r="X156" s="97"/>
      <c r="Y156" s="1265" t="s">
        <v>53</v>
      </c>
      <c r="Z156" s="1258" t="s">
        <v>43</v>
      </c>
      <c r="AA156" s="1266" t="str">
        <f t="shared" si="2"/>
        <v>a</v>
      </c>
      <c r="AC156" s="572"/>
      <c r="AD156" s="572"/>
      <c r="AE156" s="572"/>
    </row>
    <row r="157" spans="1:31" ht="40.5" customHeight="1" x14ac:dyDescent="0.25">
      <c r="A157" s="926">
        <v>202</v>
      </c>
      <c r="B157" s="270" t="str">
        <f>IF(VLOOKUP(A157,'Données de base - Grunddaten'!$A$2:$M$273,5,FALSE)="","",VLOOKUP(A157,'Données de base - Grunddaten'!$A$2:$M$273,5,FALSE))</f>
        <v>VD</v>
      </c>
      <c r="C157" s="41" t="str">
        <f>IF(VLOOKUP(A157,'Données de base - Grunddaten'!$A$2:$M$273,3,FALSE)="","",VLOOKUP(A157,'Données de base - Grunddaten'!$A$2:$M$273,3,FALSE))</f>
        <v>Les Grèves d'Yverdon–Yvonand</v>
      </c>
      <c r="D157" s="41" t="str">
        <f>IF(VLOOKUP(A157,'Données de base - Grunddaten'!$A$2:$M$273,4,FALSE)="","",VLOOKUP(A157,'Données de base - Grunddaten'!$A$2:$M$273,4,FALSE))</f>
        <v>Lac de Neuchâtel</v>
      </c>
      <c r="E157" s="271"/>
      <c r="F157" s="271"/>
      <c r="G157" s="271"/>
      <c r="H157" s="272" t="s">
        <v>51</v>
      </c>
      <c r="I157" s="273"/>
      <c r="J157" s="273" t="s">
        <v>1064</v>
      </c>
      <c r="K157" s="274"/>
      <c r="L157" s="275"/>
      <c r="M157" s="1151" t="s">
        <v>53</v>
      </c>
      <c r="N157" s="1152" t="s">
        <v>43</v>
      </c>
      <c r="O157" s="1148">
        <f>VLOOKUP(A157,Strat_Plan_Revit!$A$10:$S$321,11,FALSE)</f>
        <v>0</v>
      </c>
      <c r="P157" s="977">
        <f>VLOOKUP(A157,Strat_Plan_Revit!$A$10:$S$321,12,FALSE)</f>
        <v>0</v>
      </c>
      <c r="Q157" s="277">
        <f>VLOOKUP(A157,Strat_Plan_Revit!$A$10:$S$321,13,FALSE)</f>
        <v>0</v>
      </c>
      <c r="R157" s="1169"/>
      <c r="S157" s="1173" t="s">
        <v>53</v>
      </c>
      <c r="T157" s="278" t="s">
        <v>43</v>
      </c>
      <c r="U157" s="1174"/>
      <c r="V157" s="282"/>
      <c r="W157" s="341"/>
      <c r="X157" s="97"/>
      <c r="Y157" s="1265" t="s">
        <v>53</v>
      </c>
      <c r="Z157" s="1258" t="s">
        <v>43</v>
      </c>
      <c r="AA157" s="1266" t="str">
        <f t="shared" si="2"/>
        <v>a</v>
      </c>
      <c r="AB157" s="1073" t="s">
        <v>1166</v>
      </c>
      <c r="AC157" s="572"/>
      <c r="AD157" s="572"/>
      <c r="AE157" s="572"/>
    </row>
    <row r="158" spans="1:31" ht="40.5" customHeight="1" x14ac:dyDescent="0.25">
      <c r="A158" s="926">
        <v>203</v>
      </c>
      <c r="B158" s="270" t="str">
        <f>IF(VLOOKUP(A158,'Données de base - Grunddaten'!$A$2:$M$273,5,FALSE)="","",VLOOKUP(A158,'Données de base - Grunddaten'!$A$2:$M$273,5,FALSE))</f>
        <v>FR/VD</v>
      </c>
      <c r="C158" s="41" t="str">
        <f>IF(VLOOKUP(A158,'Données de base - Grunddaten'!$A$2:$M$273,3,FALSE)="","",VLOOKUP(A158,'Données de base - Grunddaten'!$A$2:$M$273,3,FALSE))</f>
        <v>Les Grèves d'Yvonand–Cheyres</v>
      </c>
      <c r="D158" s="41" t="str">
        <f>IF(VLOOKUP(A158,'Données de base - Grunddaten'!$A$2:$M$273,4,FALSE)="","",VLOOKUP(A158,'Données de base - Grunddaten'!$A$2:$M$273,4,FALSE))</f>
        <v>Lac de Neuchâtel</v>
      </c>
      <c r="E158" s="271"/>
      <c r="F158" s="271"/>
      <c r="G158" s="271"/>
      <c r="H158" s="272" t="s">
        <v>51</v>
      </c>
      <c r="I158" s="279"/>
      <c r="J158" s="279" t="s">
        <v>1064</v>
      </c>
      <c r="K158" s="280"/>
      <c r="L158" s="281" t="s">
        <v>1142</v>
      </c>
      <c r="M158" s="1151" t="s">
        <v>53</v>
      </c>
      <c r="N158" s="1152" t="s">
        <v>43</v>
      </c>
      <c r="O158" s="1150" t="s">
        <v>1850</v>
      </c>
      <c r="P158" s="979" t="s">
        <v>1850</v>
      </c>
      <c r="Q158" s="555" t="s">
        <v>1850</v>
      </c>
      <c r="R158" s="1169"/>
      <c r="S158" s="1173" t="s">
        <v>53</v>
      </c>
      <c r="T158" s="278" t="s">
        <v>43</v>
      </c>
      <c r="U158" s="1174"/>
      <c r="V158" s="282"/>
      <c r="W158" s="448"/>
      <c r="X158" s="1191"/>
      <c r="Y158" s="1265" t="s">
        <v>53</v>
      </c>
      <c r="Z158" s="1258" t="s">
        <v>43</v>
      </c>
      <c r="AA158" s="1266" t="str">
        <f t="shared" si="2"/>
        <v>a</v>
      </c>
      <c r="AC158" s="572"/>
      <c r="AD158" s="572"/>
      <c r="AE158" s="572"/>
    </row>
    <row r="159" spans="1:31" ht="40.5" customHeight="1" x14ac:dyDescent="0.25">
      <c r="A159" s="926">
        <v>204</v>
      </c>
      <c r="B159" s="270" t="str">
        <f>IF(VLOOKUP(A159,'Données de base - Grunddaten'!$A$2:$M$273,5,FALSE)="","",VLOOKUP(A159,'Données de base - Grunddaten'!$A$2:$M$273,5,FALSE))</f>
        <v>FR</v>
      </c>
      <c r="C159" s="41" t="str">
        <f>IF(VLOOKUP(A159,'Données de base - Grunddaten'!$A$2:$M$273,3,FALSE)="","",VLOOKUP(A159,'Données de base - Grunddaten'!$A$2:$M$273,3,FALSE))</f>
        <v>Les Grèves de Cheyres–Font</v>
      </c>
      <c r="D159" s="41" t="str">
        <f>IF(VLOOKUP(A159,'Données de base - Grunddaten'!$A$2:$M$273,4,FALSE)="","",VLOOKUP(A159,'Données de base - Grunddaten'!$A$2:$M$273,4,FALSE))</f>
        <v>Lac de Neuchâtel</v>
      </c>
      <c r="E159" s="271"/>
      <c r="F159" s="271"/>
      <c r="G159" s="271"/>
      <c r="H159" s="272" t="s">
        <v>51</v>
      </c>
      <c r="I159" s="273"/>
      <c r="J159" s="273" t="s">
        <v>1064</v>
      </c>
      <c r="K159" s="274"/>
      <c r="L159" s="275"/>
      <c r="M159" s="1151" t="s">
        <v>53</v>
      </c>
      <c r="N159" s="1152" t="s">
        <v>43</v>
      </c>
      <c r="O159" s="1148">
        <f>VLOOKUP(A159,Strat_Plan_Revit!$A$10:$S$321,11,FALSE)</f>
        <v>0</v>
      </c>
      <c r="P159" s="977" t="s">
        <v>48</v>
      </c>
      <c r="Q159" s="277" t="s">
        <v>48</v>
      </c>
      <c r="R159" s="1169"/>
      <c r="S159" s="1173" t="s">
        <v>53</v>
      </c>
      <c r="T159" s="278" t="s">
        <v>43</v>
      </c>
      <c r="U159" s="1174"/>
      <c r="V159" s="282"/>
      <c r="W159" s="448"/>
      <c r="X159" s="1191"/>
      <c r="Y159" s="1265" t="s">
        <v>53</v>
      </c>
      <c r="Z159" s="1258" t="s">
        <v>43</v>
      </c>
      <c r="AA159" s="1266" t="str">
        <f t="shared" si="2"/>
        <v>a</v>
      </c>
      <c r="AC159" s="572"/>
      <c r="AD159" s="572"/>
      <c r="AE159" s="572"/>
    </row>
    <row r="160" spans="1:31" ht="40.5" customHeight="1" x14ac:dyDescent="0.25">
      <c r="A160" s="926">
        <v>205</v>
      </c>
      <c r="B160" s="270" t="str">
        <f>IF(VLOOKUP(A160,'Données de base - Grunddaten'!$A$2:$M$273,5,FALSE)="","",VLOOKUP(A160,'Données de base - Grunddaten'!$A$2:$M$273,5,FALSE))</f>
        <v>FR/VD</v>
      </c>
      <c r="C160" s="41" t="str">
        <f>IF(VLOOKUP(A160,'Données de base - Grunddaten'!$A$2:$M$273,3,FALSE)="","",VLOOKUP(A160,'Données de base - Grunddaten'!$A$2:$M$273,3,FALSE))</f>
        <v>Les Grèves d'Estavayer-le-Lac–Chevroux</v>
      </c>
      <c r="D160" s="41" t="str">
        <f>IF(VLOOKUP(A160,'Données de base - Grunddaten'!$A$2:$M$273,4,FALSE)="","",VLOOKUP(A160,'Données de base - Grunddaten'!$A$2:$M$273,4,FALSE))</f>
        <v>Lac de Neuchâtel</v>
      </c>
      <c r="E160" s="271"/>
      <c r="F160" s="271"/>
      <c r="G160" s="271"/>
      <c r="H160" s="272" t="s">
        <v>51</v>
      </c>
      <c r="I160" s="273"/>
      <c r="J160" s="273" t="s">
        <v>1059</v>
      </c>
      <c r="K160" s="274"/>
      <c r="L160" s="275"/>
      <c r="M160" s="1151" t="s">
        <v>53</v>
      </c>
      <c r="N160" s="1152" t="s">
        <v>43</v>
      </c>
      <c r="O160" s="1150" t="s">
        <v>1850</v>
      </c>
      <c r="P160" s="979" t="s">
        <v>1850</v>
      </c>
      <c r="Q160" s="555" t="s">
        <v>1850</v>
      </c>
      <c r="R160" s="1169"/>
      <c r="S160" s="1173" t="s">
        <v>53</v>
      </c>
      <c r="T160" s="278" t="s">
        <v>43</v>
      </c>
      <c r="U160" s="1174"/>
      <c r="V160" s="282"/>
      <c r="W160" s="448"/>
      <c r="X160" s="1191"/>
      <c r="Y160" s="1265" t="s">
        <v>53</v>
      </c>
      <c r="Z160" s="1258" t="s">
        <v>43</v>
      </c>
      <c r="AA160" s="1266" t="str">
        <f t="shared" si="2"/>
        <v>a</v>
      </c>
      <c r="AC160" s="572"/>
      <c r="AD160" s="572"/>
      <c r="AE160" s="572"/>
    </row>
    <row r="161" spans="1:31" ht="40.5" customHeight="1" x14ac:dyDescent="0.25">
      <c r="A161" s="926">
        <v>206</v>
      </c>
      <c r="B161" s="270" t="str">
        <f>IF(VLOOKUP(A161,'Données de base - Grunddaten'!$A$2:$M$273,5,FALSE)="","",VLOOKUP(A161,'Données de base - Grunddaten'!$A$2:$M$273,5,FALSE))</f>
        <v>FR/VD</v>
      </c>
      <c r="C161" s="41" t="str">
        <f>IF(VLOOKUP(A161,'Données de base - Grunddaten'!$A$2:$M$273,3,FALSE)="","",VLOOKUP(A161,'Données de base - Grunddaten'!$A$2:$M$273,3,FALSE))</f>
        <v>Les Grèves de Chevroux–Portalban</v>
      </c>
      <c r="D161" s="41" t="str">
        <f>IF(VLOOKUP(A161,'Données de base - Grunddaten'!$A$2:$M$273,4,FALSE)="","",VLOOKUP(A161,'Données de base - Grunddaten'!$A$2:$M$273,4,FALSE))</f>
        <v>Lac de Neuchâtel</v>
      </c>
      <c r="E161" s="271"/>
      <c r="F161" s="271"/>
      <c r="G161" s="271"/>
      <c r="H161" s="272" t="s">
        <v>51</v>
      </c>
      <c r="I161" s="273"/>
      <c r="J161" s="273" t="s">
        <v>1068</v>
      </c>
      <c r="K161" s="274"/>
      <c r="L161" s="275"/>
      <c r="M161" s="1151" t="s">
        <v>53</v>
      </c>
      <c r="N161" s="1152" t="s">
        <v>43</v>
      </c>
      <c r="O161" s="1150" t="s">
        <v>1850</v>
      </c>
      <c r="P161" s="979" t="s">
        <v>1850</v>
      </c>
      <c r="Q161" s="555" t="s">
        <v>1850</v>
      </c>
      <c r="R161" s="1169"/>
      <c r="S161" s="1173" t="s">
        <v>53</v>
      </c>
      <c r="T161" s="278" t="s">
        <v>43</v>
      </c>
      <c r="U161" s="1174"/>
      <c r="V161" s="282"/>
      <c r="W161" s="448"/>
      <c r="X161" s="1191"/>
      <c r="Y161" s="1265" t="s">
        <v>53</v>
      </c>
      <c r="Z161" s="1258" t="s">
        <v>43</v>
      </c>
      <c r="AA161" s="1266" t="str">
        <f t="shared" si="2"/>
        <v>a</v>
      </c>
      <c r="AC161" s="572"/>
      <c r="AD161" s="572"/>
      <c r="AE161" s="572"/>
    </row>
    <row r="162" spans="1:31" ht="40.5" customHeight="1" x14ac:dyDescent="0.25">
      <c r="A162" s="926">
        <v>207</v>
      </c>
      <c r="B162" s="270" t="str">
        <f>IF(VLOOKUP(A162,'Données de base - Grunddaten'!$A$2:$M$273,5,FALSE)="","",VLOOKUP(A162,'Données de base - Grunddaten'!$A$2:$M$273,5,FALSE))</f>
        <v>FR/VD</v>
      </c>
      <c r="C162" s="41" t="str">
        <f>IF(VLOOKUP(A162,'Données de base - Grunddaten'!$A$2:$M$273,3,FALSE)="","",VLOOKUP(A162,'Données de base - Grunddaten'!$A$2:$M$273,3,FALSE))</f>
        <v>Les Grèves de Portalban–Cudrefin</v>
      </c>
      <c r="D162" s="41" t="str">
        <f>IF(VLOOKUP(A162,'Données de base - Grunddaten'!$A$2:$M$273,4,FALSE)="","",VLOOKUP(A162,'Données de base - Grunddaten'!$A$2:$M$273,4,FALSE))</f>
        <v>Lac de Neuchâtel</v>
      </c>
      <c r="E162" s="271"/>
      <c r="F162" s="271"/>
      <c r="G162" s="271"/>
      <c r="H162" s="272" t="s">
        <v>51</v>
      </c>
      <c r="I162" s="273"/>
      <c r="J162" s="273" t="s">
        <v>1068</v>
      </c>
      <c r="K162" s="274"/>
      <c r="L162" s="275"/>
      <c r="M162" s="1151" t="s">
        <v>53</v>
      </c>
      <c r="N162" s="1152" t="s">
        <v>43</v>
      </c>
      <c r="O162" s="1150" t="s">
        <v>1850</v>
      </c>
      <c r="P162" s="979" t="s">
        <v>1850</v>
      </c>
      <c r="Q162" s="555" t="s">
        <v>1850</v>
      </c>
      <c r="R162" s="1169"/>
      <c r="S162" s="1173" t="s">
        <v>53</v>
      </c>
      <c r="T162" s="278" t="s">
        <v>43</v>
      </c>
      <c r="U162" s="1174"/>
      <c r="V162" s="282"/>
      <c r="W162" s="448"/>
      <c r="X162" s="1191"/>
      <c r="Y162" s="1265" t="s">
        <v>53</v>
      </c>
      <c r="Z162" s="1258" t="s">
        <v>43</v>
      </c>
      <c r="AA162" s="1266" t="str">
        <f t="shared" si="2"/>
        <v>a</v>
      </c>
      <c r="AC162" s="572"/>
      <c r="AD162" s="572"/>
      <c r="AE162" s="572"/>
    </row>
    <row r="163" spans="1:31" ht="40.5" customHeight="1" x14ac:dyDescent="0.25">
      <c r="A163" s="926">
        <v>208</v>
      </c>
      <c r="B163" s="270" t="str">
        <f>IF(VLOOKUP(A163,'Données de base - Grunddaten'!$A$2:$M$273,5,FALSE)="","",VLOOKUP(A163,'Données de base - Grunddaten'!$A$2:$M$273,5,FALSE))</f>
        <v>VD</v>
      </c>
      <c r="C163" s="41" t="str">
        <f>IF(VLOOKUP(A163,'Données de base - Grunddaten'!$A$2:$M$273,3,FALSE)="","",VLOOKUP(A163,'Données de base - Grunddaten'!$A$2:$M$273,3,FALSE))</f>
        <v>Les Grèves du Chablais de Cudrefin</v>
      </c>
      <c r="D163" s="41" t="str">
        <f>IF(VLOOKUP(A163,'Données de base - Grunddaten'!$A$2:$M$273,4,FALSE)="","",VLOOKUP(A163,'Données de base - Grunddaten'!$A$2:$M$273,4,FALSE))</f>
        <v>Lac de Neuchâtel, La Broye</v>
      </c>
      <c r="E163" s="271"/>
      <c r="F163" s="271"/>
      <c r="G163" s="271"/>
      <c r="H163" s="272" t="s">
        <v>51</v>
      </c>
      <c r="I163" s="273"/>
      <c r="J163" s="273" t="s">
        <v>1068</v>
      </c>
      <c r="K163" s="274"/>
      <c r="L163" s="275"/>
      <c r="M163" s="1151" t="s">
        <v>53</v>
      </c>
      <c r="N163" s="1152" t="s">
        <v>43</v>
      </c>
      <c r="O163" s="1148" t="s">
        <v>48</v>
      </c>
      <c r="P163" s="977" t="s">
        <v>48</v>
      </c>
      <c r="Q163" s="277" t="s">
        <v>48</v>
      </c>
      <c r="R163" s="1169"/>
      <c r="S163" s="1173" t="s">
        <v>53</v>
      </c>
      <c r="T163" s="278" t="s">
        <v>43</v>
      </c>
      <c r="U163" s="1174"/>
      <c r="V163" s="282"/>
      <c r="W163" s="341"/>
      <c r="X163" s="97"/>
      <c r="Y163" s="1265" t="s">
        <v>53</v>
      </c>
      <c r="Z163" s="1258" t="s">
        <v>43</v>
      </c>
      <c r="AA163" s="1266" t="str">
        <f t="shared" si="2"/>
        <v>a</v>
      </c>
      <c r="AC163" s="572"/>
      <c r="AD163" s="572"/>
      <c r="AE163" s="572"/>
    </row>
    <row r="164" spans="1:31" ht="40.5" customHeight="1" x14ac:dyDescent="0.25">
      <c r="A164" s="926">
        <v>209</v>
      </c>
      <c r="B164" s="270" t="str">
        <f>IF(VLOOKUP(A164,'Données de base - Grunddaten'!$A$2:$M$273,5,FALSE)="","",VLOOKUP(A164,'Données de base - Grunddaten'!$A$2:$M$273,5,FALSE))</f>
        <v>BE/NE</v>
      </c>
      <c r="C164" s="41" t="str">
        <f>IF(VLOOKUP(A164,'Données de base - Grunddaten'!$A$2:$M$273,3,FALSE)="","",VLOOKUP(A164,'Données de base - Grunddaten'!$A$2:$M$273,3,FALSE))</f>
        <v>Seewald–Fanel</v>
      </c>
      <c r="D164" s="41" t="str">
        <f>IF(VLOOKUP(A164,'Données de base - Grunddaten'!$A$2:$M$273,4,FALSE)="","",VLOOKUP(A164,'Données de base - Grunddaten'!$A$2:$M$273,4,FALSE))</f>
        <v>Canal de la Thielle, Lac de Neuchâtel</v>
      </c>
      <c r="E164" s="271"/>
      <c r="F164" s="271"/>
      <c r="G164" s="271"/>
      <c r="H164" s="272" t="s">
        <v>51</v>
      </c>
      <c r="I164" s="273"/>
      <c r="J164" s="273" t="s">
        <v>1064</v>
      </c>
      <c r="K164" s="274"/>
      <c r="L164" s="275"/>
      <c r="M164" s="1151" t="s">
        <v>53</v>
      </c>
      <c r="N164" s="1152" t="s">
        <v>43</v>
      </c>
      <c r="O164" s="1150" t="s">
        <v>1850</v>
      </c>
      <c r="P164" s="979" t="s">
        <v>1850</v>
      </c>
      <c r="Q164" s="555" t="s">
        <v>1850</v>
      </c>
      <c r="R164" s="1169"/>
      <c r="S164" s="1173" t="s">
        <v>53</v>
      </c>
      <c r="T164" s="278" t="s">
        <v>43</v>
      </c>
      <c r="U164" s="1174"/>
      <c r="V164" s="282"/>
      <c r="W164" s="448"/>
      <c r="X164" s="1191"/>
      <c r="Y164" s="1265" t="s">
        <v>53</v>
      </c>
      <c r="Z164" s="1258" t="s">
        <v>43</v>
      </c>
      <c r="AA164" s="1266" t="str">
        <f t="shared" si="2"/>
        <v>a</v>
      </c>
      <c r="AC164" s="572"/>
      <c r="AD164" s="572"/>
      <c r="AE164" s="572"/>
    </row>
    <row r="165" spans="1:31" ht="40.5" customHeight="1" x14ac:dyDescent="0.25">
      <c r="A165" s="926">
        <v>211</v>
      </c>
      <c r="B165" s="270" t="str">
        <f>IF(VLOOKUP(A165,'Données de base - Grunddaten'!$A$2:$M$273,5,FALSE)="","",VLOOKUP(A165,'Données de base - Grunddaten'!$A$2:$M$273,5,FALSE))</f>
        <v>VD</v>
      </c>
      <c r="C165" s="41" t="str">
        <f>IF(VLOOKUP(A165,'Données de base - Grunddaten'!$A$2:$M$273,3,FALSE)="","",VLOOKUP(A165,'Données de base - Grunddaten'!$A$2:$M$273,3,FALSE))</f>
        <v>Les Monod</v>
      </c>
      <c r="D165" s="41" t="str">
        <f>IF(VLOOKUP(A165,'Données de base - Grunddaten'!$A$2:$M$273,4,FALSE)="","",VLOOKUP(A165,'Données de base - Grunddaten'!$A$2:$M$273,4,FALSE))</f>
        <v>Le Veyron</v>
      </c>
      <c r="E165" s="271">
        <v>-11.818181818181818</v>
      </c>
      <c r="F165" s="271">
        <v>0</v>
      </c>
      <c r="G165" s="271">
        <v>11.818181818181818</v>
      </c>
      <c r="H165" s="272" t="s">
        <v>1061</v>
      </c>
      <c r="I165" s="273"/>
      <c r="J165" s="273" t="s">
        <v>1068</v>
      </c>
      <c r="K165" s="274"/>
      <c r="L165" s="275"/>
      <c r="M165" s="1151" t="s">
        <v>752</v>
      </c>
      <c r="N165" s="1152" t="s">
        <v>43</v>
      </c>
      <c r="O165" s="1148" t="s">
        <v>48</v>
      </c>
      <c r="P165" s="977" t="s">
        <v>48</v>
      </c>
      <c r="Q165" s="277" t="s">
        <v>48</v>
      </c>
      <c r="R165" s="1162" t="s">
        <v>752</v>
      </c>
      <c r="S165" s="1173" t="s">
        <v>752</v>
      </c>
      <c r="T165" s="278" t="s">
        <v>59</v>
      </c>
      <c r="U165" s="1174"/>
      <c r="V165" s="282"/>
      <c r="W165" s="341"/>
      <c r="X165" s="97"/>
      <c r="Y165" s="1265" t="s">
        <v>752</v>
      </c>
      <c r="Z165" s="1258" t="s">
        <v>59</v>
      </c>
      <c r="AA165" s="1266" t="str">
        <f t="shared" si="2"/>
        <v>a</v>
      </c>
      <c r="AC165" s="572"/>
      <c r="AD165" s="572"/>
      <c r="AE165" s="572"/>
    </row>
    <row r="166" spans="1:31" ht="40.5" customHeight="1" x14ac:dyDescent="0.25">
      <c r="A166" s="926">
        <v>216</v>
      </c>
      <c r="B166" s="270" t="str">
        <f>IF(VLOOKUP(A166,'Données de base - Grunddaten'!$A$2:$M$273,5,FALSE)="","",VLOOKUP(A166,'Données de base - Grunddaten'!$A$2:$M$273,5,FALSE))</f>
        <v>GL</v>
      </c>
      <c r="C166" s="41" t="str">
        <f>IF(VLOOKUP(A166,'Données de base - Grunddaten'!$A$2:$M$273,3,FALSE)="","",VLOOKUP(A166,'Données de base - Grunddaten'!$A$2:$M$273,3,FALSE))</f>
        <v>Chrauchbach: Haris</v>
      </c>
      <c r="D166" s="41" t="str">
        <f>IF(VLOOKUP(A166,'Données de base - Grunddaten'!$A$2:$M$273,4,FALSE)="","",VLOOKUP(A166,'Données de base - Grunddaten'!$A$2:$M$273,4,FALSE))</f>
        <v>Chrauchbach</v>
      </c>
      <c r="E166" s="271">
        <v>-10.909090909090908</v>
      </c>
      <c r="F166" s="271">
        <v>0</v>
      </c>
      <c r="G166" s="271">
        <v>10.909090909090908</v>
      </c>
      <c r="H166" s="272" t="s">
        <v>1061</v>
      </c>
      <c r="I166" s="273" t="s">
        <v>1079</v>
      </c>
      <c r="J166" s="273" t="s">
        <v>1064</v>
      </c>
      <c r="K166" s="274"/>
      <c r="L166" s="275"/>
      <c r="M166" s="1151" t="s">
        <v>752</v>
      </c>
      <c r="N166" s="1152" t="s">
        <v>72</v>
      </c>
      <c r="O166" s="1148" t="str">
        <f>VLOOKUP(A166,Strat_Plan_Revit!$A$10:$S$321,11,FALSE)</f>
        <v>-</v>
      </c>
      <c r="P166" s="977" t="str">
        <f>VLOOKUP(A166,Strat_Plan_Revit!$A$10:$S$321,12,FALSE)</f>
        <v>-</v>
      </c>
      <c r="Q166" s="277" t="str">
        <f>VLOOKUP(A166,Strat_Plan_Revit!$A$10:$S$321,13,FALSE)</f>
        <v>-</v>
      </c>
      <c r="R166" s="1169"/>
      <c r="S166" s="1173" t="s">
        <v>752</v>
      </c>
      <c r="T166" s="278" t="s">
        <v>72</v>
      </c>
      <c r="U166" s="1174" t="s">
        <v>1145</v>
      </c>
      <c r="V166" s="282"/>
      <c r="W166" s="341"/>
      <c r="X166" s="97"/>
      <c r="Y166" s="1265" t="s">
        <v>752</v>
      </c>
      <c r="Z166" s="1258" t="s">
        <v>72</v>
      </c>
      <c r="AA166" s="1266" t="str">
        <f t="shared" si="2"/>
        <v>b</v>
      </c>
      <c r="AC166" s="572"/>
      <c r="AD166" s="572"/>
      <c r="AE166" s="572"/>
    </row>
    <row r="167" spans="1:31" ht="40.5" customHeight="1" x14ac:dyDescent="0.25">
      <c r="A167" s="926">
        <v>217</v>
      </c>
      <c r="B167" s="270" t="str">
        <f>IF(VLOOKUP(A167,'Données de base - Grunddaten'!$A$2:$M$273,5,FALSE)="","",VLOOKUP(A167,'Données de base - Grunddaten'!$A$2:$M$273,5,FALSE))</f>
        <v>FR</v>
      </c>
      <c r="C167" s="41" t="str">
        <f>IF(VLOOKUP(A167,'Données de base - Grunddaten'!$A$2:$M$273,3,FALSE)="","",VLOOKUP(A167,'Données de base - Grunddaten'!$A$2:$M$273,3,FALSE))</f>
        <v>La Neirigue et la Glâne</v>
      </c>
      <c r="D167" s="41" t="str">
        <f>IF(VLOOKUP(A167,'Données de base - Grunddaten'!$A$2:$M$273,4,FALSE)="","",VLOOKUP(A167,'Données de base - Grunddaten'!$A$2:$M$273,4,FALSE))</f>
        <v>La Neirigue, La Glâne</v>
      </c>
      <c r="E167" s="271">
        <v>-20</v>
      </c>
      <c r="F167" s="271">
        <v>0</v>
      </c>
      <c r="G167" s="271">
        <v>20</v>
      </c>
      <c r="H167" s="272" t="s">
        <v>1061</v>
      </c>
      <c r="I167" s="273"/>
      <c r="J167" s="273" t="s">
        <v>1059</v>
      </c>
      <c r="K167" s="274"/>
      <c r="L167" s="275"/>
      <c r="M167" s="1151" t="s">
        <v>752</v>
      </c>
      <c r="N167" s="1152" t="s">
        <v>43</v>
      </c>
      <c r="O167" s="1148" t="str">
        <f>VLOOKUP(A167,Strat_Plan_Revit!$A$10:$S$321,11,FALSE)</f>
        <v>gross</v>
      </c>
      <c r="P167" s="977" t="str">
        <f>VLOOKUP(A167,Strat_Plan_Revit!$A$10:$S$321,12,FALSE)</f>
        <v>natürlich</v>
      </c>
      <c r="Q167" s="277" t="str">
        <f>VLOOKUP(A167,Strat_Plan_Revit!$A$10:$S$321,13,FALSE)</f>
        <v>tief</v>
      </c>
      <c r="R167" s="1162" t="s">
        <v>752</v>
      </c>
      <c r="S167" s="1173" t="s">
        <v>752</v>
      </c>
      <c r="T167" s="278" t="s">
        <v>59</v>
      </c>
      <c r="U167" s="1174"/>
      <c r="V167" s="282"/>
      <c r="W167" s="448"/>
      <c r="X167" s="1192" t="s">
        <v>1136</v>
      </c>
      <c r="Y167" s="284" t="s">
        <v>720</v>
      </c>
      <c r="Z167" s="1258" t="s">
        <v>368</v>
      </c>
      <c r="AA167" s="1266" t="str">
        <f t="shared" si="2"/>
        <v>b</v>
      </c>
      <c r="AB167" s="1198"/>
      <c r="AC167" s="572"/>
      <c r="AD167" s="572"/>
      <c r="AE167" s="572"/>
    </row>
    <row r="168" spans="1:31" ht="40.5" customHeight="1" x14ac:dyDescent="0.25">
      <c r="A168" s="926">
        <v>218</v>
      </c>
      <c r="B168" s="270" t="str">
        <f>IF(VLOOKUP(A168,'Données de base - Grunddaten'!$A$2:$M$273,5,FALSE)="","",VLOOKUP(A168,'Données de base - Grunddaten'!$A$2:$M$273,5,FALSE))</f>
        <v>GE</v>
      </c>
      <c r="C168" s="41" t="str">
        <f>IF(VLOOKUP(A168,'Données de base - Grunddaten'!$A$2:$M$273,3,FALSE)="","",VLOOKUP(A168,'Données de base - Grunddaten'!$A$2:$M$273,3,FALSE))</f>
        <v>Vers Vaux</v>
      </c>
      <c r="D168" s="41" t="str">
        <f>IF(VLOOKUP(A168,'Données de base - Grunddaten'!$A$2:$M$273,4,FALSE)="","",VLOOKUP(A168,'Données de base - Grunddaten'!$A$2:$M$273,4,FALSE))</f>
        <v>Le Rhône</v>
      </c>
      <c r="E168" s="271">
        <v>-2.7272727272727271</v>
      </c>
      <c r="F168" s="271">
        <v>0</v>
      </c>
      <c r="G168" s="271">
        <v>2.7272727272727271</v>
      </c>
      <c r="H168" s="272" t="s">
        <v>1061</v>
      </c>
      <c r="I168" s="273"/>
      <c r="J168" s="273" t="s">
        <v>1059</v>
      </c>
      <c r="K168" s="274"/>
      <c r="L168" s="275"/>
      <c r="M168" s="1151" t="s">
        <v>737</v>
      </c>
      <c r="N168" s="1152" t="s">
        <v>72</v>
      </c>
      <c r="O168" s="1148" t="str">
        <f>VLOOKUP(A168,Strat_Plan_Revit!$A$10:$S$321,11,FALSE)</f>
        <v>important</v>
      </c>
      <c r="P168" s="977" t="str">
        <f>VLOOKUP(A168,Strat_Plan_Revit!$A$10:$S$321,12,FALSE)</f>
        <v>faible et moyen</v>
      </c>
      <c r="Q168" s="277" t="str">
        <f>VLOOKUP(A168,Strat_Plan_Revit!$A$10:$S$321,13,FALSE)</f>
        <v>moyenne</v>
      </c>
      <c r="R168" s="1162" t="s">
        <v>720</v>
      </c>
      <c r="S168" s="1173" t="s">
        <v>720</v>
      </c>
      <c r="T168" s="278" t="s">
        <v>110</v>
      </c>
      <c r="U168" s="1174"/>
      <c r="V168" s="282"/>
      <c r="W168" s="341"/>
      <c r="X168" s="97"/>
      <c r="Y168" s="1265" t="s">
        <v>720</v>
      </c>
      <c r="Z168" s="1258" t="s">
        <v>110</v>
      </c>
      <c r="AA168" s="1266" t="str">
        <f t="shared" si="2"/>
        <v>a</v>
      </c>
      <c r="AC168" s="572"/>
      <c r="AD168" s="572"/>
      <c r="AE168" s="572"/>
    </row>
    <row r="169" spans="1:31" ht="40.5" customHeight="1" x14ac:dyDescent="0.25">
      <c r="A169" s="926">
        <v>219</v>
      </c>
      <c r="B169" s="270" t="str">
        <f>IF(VLOOKUP(A169,'Données de base - Grunddaten'!$A$2:$M$273,5,FALSE)="","",VLOOKUP(A169,'Données de base - Grunddaten'!$A$2:$M$273,5,FALSE))</f>
        <v>SG</v>
      </c>
      <c r="C169" s="41" t="str">
        <f>IF(VLOOKUP(A169,'Données de base - Grunddaten'!$A$2:$M$273,3,FALSE)="","",VLOOKUP(A169,'Données de base - Grunddaten'!$A$2:$M$273,3,FALSE))</f>
        <v>Altenrhein</v>
      </c>
      <c r="D169" s="41" t="str">
        <f>IF(VLOOKUP(A169,'Données de base - Grunddaten'!$A$2:$M$273,4,FALSE)="","",VLOOKUP(A169,'Données de base - Grunddaten'!$A$2:$M$273,4,FALSE))</f>
        <v>Bodensee</v>
      </c>
      <c r="E169" s="271">
        <v>42.18181818181818</v>
      </c>
      <c r="F169" s="271">
        <v>44.014858459370792</v>
      </c>
      <c r="G169" s="271">
        <v>1.8181818181818181</v>
      </c>
      <c r="H169" s="272" t="s">
        <v>1057</v>
      </c>
      <c r="I169" s="273"/>
      <c r="J169" s="273" t="s">
        <v>1068</v>
      </c>
      <c r="K169" s="274"/>
      <c r="L169" s="275"/>
      <c r="M169" s="1151" t="s">
        <v>752</v>
      </c>
      <c r="N169" s="1152" t="s">
        <v>72</v>
      </c>
      <c r="O169" s="1148" t="str">
        <f>VLOOKUP(A169,Strat_Plan_Revit!$A$10:$S$321,11,FALSE)</f>
        <v>moyen</v>
      </c>
      <c r="P169" s="977" t="str">
        <f>VLOOKUP(A169,Strat_Plan_Revit!$A$10:$S$321,12,FALSE)</f>
        <v>moyen</v>
      </c>
      <c r="Q169" s="277" t="str">
        <f>VLOOKUP(A169,Strat_Plan_Revit!$A$10:$S$321,13,FALSE)</f>
        <v>kein</v>
      </c>
      <c r="R169" s="1162" t="s">
        <v>720</v>
      </c>
      <c r="S169" s="1173" t="s">
        <v>720</v>
      </c>
      <c r="T169" s="278" t="s">
        <v>110</v>
      </c>
      <c r="U169" s="1174"/>
      <c r="V169" s="282"/>
      <c r="W169" s="448"/>
      <c r="X169" s="1191"/>
      <c r="Y169" s="1265" t="s">
        <v>720</v>
      </c>
      <c r="Z169" s="1258" t="s">
        <v>110</v>
      </c>
      <c r="AA169" s="1266" t="str">
        <f t="shared" si="2"/>
        <v>a</v>
      </c>
      <c r="AC169" s="572"/>
      <c r="AD169" s="572"/>
      <c r="AE169" s="572"/>
    </row>
    <row r="170" spans="1:31" ht="40.5" customHeight="1" x14ac:dyDescent="0.25">
      <c r="A170" s="926">
        <v>220</v>
      </c>
      <c r="B170" s="270" t="str">
        <f>IF(VLOOKUP(A170,'Données de base - Grunddaten'!$A$2:$M$273,5,FALSE)="","",VLOOKUP(A170,'Données de base - Grunddaten'!$A$2:$M$273,5,FALSE))</f>
        <v>AG</v>
      </c>
      <c r="C170" s="41" t="str">
        <f>IF(VLOOKUP(A170,'Données de base - Grunddaten'!$A$2:$M$273,3,FALSE)="","",VLOOKUP(A170,'Données de base - Grunddaten'!$A$2:$M$273,3,FALSE))</f>
        <v>Rossgarten</v>
      </c>
      <c r="D170" s="41" t="str">
        <f>IF(VLOOKUP(A170,'Données de base - Grunddaten'!$A$2:$M$273,4,FALSE)="","",VLOOKUP(A170,'Données de base - Grunddaten'!$A$2:$M$273,4,FALSE))</f>
        <v>Rhein</v>
      </c>
      <c r="E170" s="271">
        <v>43.290909090909096</v>
      </c>
      <c r="F170" s="271">
        <v>44.169296445415547</v>
      </c>
      <c r="G170" s="271">
        <v>0.90909090909090906</v>
      </c>
      <c r="H170" s="272" t="s">
        <v>1057</v>
      </c>
      <c r="I170" s="273"/>
      <c r="J170" s="273" t="s">
        <v>1068</v>
      </c>
      <c r="K170" s="274"/>
      <c r="L170" s="275"/>
      <c r="M170" s="1151" t="s">
        <v>737</v>
      </c>
      <c r="N170" s="1152" t="s">
        <v>43</v>
      </c>
      <c r="O170" s="1148" t="str">
        <f>VLOOKUP(A170,Strat_Plan_Revit!$A$10:$S$321,11,FALSE)</f>
        <v>gross</v>
      </c>
      <c r="P170" s="977" t="str">
        <f>VLOOKUP(A170,Strat_Plan_Revit!$A$10:$S$321,12,FALSE)</f>
        <v>gross</v>
      </c>
      <c r="Q170" s="277" t="str">
        <f>VLOOKUP(A170,Strat_Plan_Revit!$A$10:$S$321,13,FALSE)</f>
        <v>langfristig (80 Jahre)</v>
      </c>
      <c r="R170" s="1162" t="s">
        <v>737</v>
      </c>
      <c r="S170" s="1173" t="s">
        <v>737</v>
      </c>
      <c r="T170" s="278" t="s">
        <v>59</v>
      </c>
      <c r="U170" s="1174"/>
      <c r="V170" s="282"/>
      <c r="W170" s="447"/>
      <c r="X170" s="97" t="s">
        <v>1076</v>
      </c>
      <c r="Y170" s="1265" t="s">
        <v>720</v>
      </c>
      <c r="Z170" s="1258" t="s">
        <v>368</v>
      </c>
      <c r="AA170" s="1266" t="str">
        <f t="shared" si="2"/>
        <v>b</v>
      </c>
      <c r="AB170" s="1199" t="s">
        <v>1170</v>
      </c>
      <c r="AC170" s="572"/>
      <c r="AD170" s="572"/>
      <c r="AE170" s="572"/>
    </row>
    <row r="171" spans="1:31" ht="40.5" customHeight="1" x14ac:dyDescent="0.25">
      <c r="A171" s="928">
        <v>221</v>
      </c>
      <c r="B171" s="270" t="str">
        <f>IF(VLOOKUP(A171,'Données de base - Grunddaten'!$A$2:$M$273,5,FALSE)="","",VLOOKUP(A171,'Données de base - Grunddaten'!$A$2:$M$273,5,FALSE))</f>
        <v>BE/SO</v>
      </c>
      <c r="C171" s="41" t="str">
        <f>IF(VLOOKUP(A171,'Données de base - Grunddaten'!$A$2:$M$273,3,FALSE)="","",VLOOKUP(A171,'Données de base - Grunddaten'!$A$2:$M$273,3,FALSE))</f>
        <v>Aare bei Altreu</v>
      </c>
      <c r="D171" s="41" t="str">
        <f>IF(VLOOKUP(A171,'Données de base - Grunddaten'!$A$2:$M$273,4,FALSE)="","",VLOOKUP(A171,'Données de base - Grunddaten'!$A$2:$M$273,4,FALSE))</f>
        <v>Aare</v>
      </c>
      <c r="E171" s="271">
        <v>-7.2727272727272725</v>
      </c>
      <c r="F171" s="271">
        <v>0</v>
      </c>
      <c r="G171" s="271">
        <v>7.2727272727272725</v>
      </c>
      <c r="H171" s="272" t="s">
        <v>1061</v>
      </c>
      <c r="I171" s="273"/>
      <c r="J171" s="273" t="s">
        <v>1059</v>
      </c>
      <c r="K171" s="274"/>
      <c r="L171" s="275"/>
      <c r="M171" s="1151" t="s">
        <v>738</v>
      </c>
      <c r="N171" s="1152" t="s">
        <v>72</v>
      </c>
      <c r="O171" s="1148" t="s">
        <v>1887</v>
      </c>
      <c r="P171" s="977" t="s">
        <v>1888</v>
      </c>
      <c r="Q171" s="277" t="s">
        <v>1889</v>
      </c>
      <c r="R171" s="1162" t="s">
        <v>720</v>
      </c>
      <c r="S171" s="1173" t="s">
        <v>720</v>
      </c>
      <c r="T171" s="278" t="s">
        <v>110</v>
      </c>
      <c r="U171" s="1174"/>
      <c r="V171" s="282"/>
      <c r="W171" s="448"/>
      <c r="X171" s="1192" t="s">
        <v>1129</v>
      </c>
      <c r="Y171" s="1265" t="s">
        <v>720</v>
      </c>
      <c r="Z171" s="1258" t="s">
        <v>110</v>
      </c>
      <c r="AA171" s="1266" t="str">
        <f t="shared" si="2"/>
        <v>a</v>
      </c>
      <c r="AC171" s="572"/>
      <c r="AD171" s="572"/>
      <c r="AE171" s="572"/>
    </row>
    <row r="172" spans="1:31" ht="40.5" customHeight="1" x14ac:dyDescent="0.25">
      <c r="A172" s="926">
        <v>222</v>
      </c>
      <c r="B172" s="270" t="str">
        <f>IF(VLOOKUP(A172,'Données de base - Grunddaten'!$A$2:$M$273,5,FALSE)="","",VLOOKUP(A172,'Données de base - Grunddaten'!$A$2:$M$273,5,FALSE))</f>
        <v>BE</v>
      </c>
      <c r="C172" s="41" t="str">
        <f>IF(VLOOKUP(A172,'Données de base - Grunddaten'!$A$2:$M$273,3,FALSE)="","",VLOOKUP(A172,'Données de base - Grunddaten'!$A$2:$M$273,3,FALSE))</f>
        <v>Heidenweg/St. Petersinsel</v>
      </c>
      <c r="D172" s="41" t="str">
        <f>IF(VLOOKUP(A172,'Données de base - Grunddaten'!$A$2:$M$273,4,FALSE)="","",VLOOKUP(A172,'Données de base - Grunddaten'!$A$2:$M$273,4,FALSE))</f>
        <v>Bielersee</v>
      </c>
      <c r="E172" s="271"/>
      <c r="F172" s="271"/>
      <c r="G172" s="271"/>
      <c r="H172" s="272" t="s">
        <v>51</v>
      </c>
      <c r="I172" s="273" t="s">
        <v>1058</v>
      </c>
      <c r="J172" s="273" t="s">
        <v>1068</v>
      </c>
      <c r="K172" s="274"/>
      <c r="L172" s="275"/>
      <c r="M172" s="1151" t="s">
        <v>53</v>
      </c>
      <c r="N172" s="1152" t="s">
        <v>43</v>
      </c>
      <c r="O172" s="1148">
        <f>VLOOKUP(A172,Strat_Plan_Revit!$A$10:$S$321,11,FALSE)</f>
        <v>0</v>
      </c>
      <c r="P172" s="977">
        <f>VLOOKUP(A172,Strat_Plan_Revit!$A$10:$S$321,12,FALSE)</f>
        <v>0</v>
      </c>
      <c r="Q172" s="277">
        <f>VLOOKUP(A172,Strat_Plan_Revit!$A$10:$S$321,13,FALSE)</f>
        <v>0</v>
      </c>
      <c r="R172" s="1169"/>
      <c r="S172" s="1173" t="s">
        <v>53</v>
      </c>
      <c r="T172" s="278" t="s">
        <v>43</v>
      </c>
      <c r="U172" s="1174"/>
      <c r="V172" s="282"/>
      <c r="W172" s="448"/>
      <c r="X172" s="1191"/>
      <c r="Y172" s="1265" t="s">
        <v>53</v>
      </c>
      <c r="Z172" s="1258" t="s">
        <v>43</v>
      </c>
      <c r="AA172" s="1266" t="str">
        <f t="shared" si="2"/>
        <v>a</v>
      </c>
      <c r="AC172" s="572"/>
      <c r="AD172" s="572"/>
      <c r="AE172" s="572"/>
    </row>
    <row r="173" spans="1:31" ht="40.5" customHeight="1" x14ac:dyDescent="0.25">
      <c r="A173" s="927">
        <v>223.1</v>
      </c>
      <c r="B173" s="270" t="str">
        <f>IF(VLOOKUP(A173,'Données de base - Grunddaten'!$A$2:$M$273,5,FALSE)="","",VLOOKUP(A173,'Données de base - Grunddaten'!$A$2:$M$273,5,FALSE))</f>
        <v>BE</v>
      </c>
      <c r="C173" s="41" t="str">
        <f>IF(VLOOKUP(A173,'Données de base - Grunddaten'!$A$2:$M$273,3,FALSE)="","",VLOOKUP(A173,'Données de base - Grunddaten'!$A$2:$M$273,3,FALSE))</f>
        <v>Hagneckdelta</v>
      </c>
      <c r="D173" s="41" t="str">
        <f>IF(VLOOKUP(A173,'Données de base - Grunddaten'!$A$2:$M$273,4,FALSE)="","",VLOOKUP(A173,'Données de base - Grunddaten'!$A$2:$M$273,4,FALSE))</f>
        <v>Aare-Hagneck-Kanal, Bielersee</v>
      </c>
      <c r="E173" s="271"/>
      <c r="F173" s="271"/>
      <c r="G173" s="271"/>
      <c r="H173" s="272"/>
      <c r="I173" s="279"/>
      <c r="J173" s="279" t="s">
        <v>1068</v>
      </c>
      <c r="K173" s="280" t="s">
        <v>1061</v>
      </c>
      <c r="L173" s="281" t="s">
        <v>1116</v>
      </c>
      <c r="M173" s="1151" t="s">
        <v>752</v>
      </c>
      <c r="N173" s="1152" t="s">
        <v>43</v>
      </c>
      <c r="O173" s="1148" t="str">
        <f>VLOOKUP(A173,Strat_Plan_Revit!$A$10:$S$321,11,FALSE)</f>
        <v>gross</v>
      </c>
      <c r="P173" s="977" t="str">
        <f>VLOOKUP(A173,Strat_Plan_Revit!$A$10:$S$321,12,FALSE)</f>
        <v>gross</v>
      </c>
      <c r="Q173" s="277" t="str">
        <f>VLOOKUP(A173,Strat_Plan_Revit!$A$10:$S$321,13,FALSE)</f>
        <v>-</v>
      </c>
      <c r="R173" s="1169"/>
      <c r="S173" s="1173" t="s">
        <v>752</v>
      </c>
      <c r="T173" s="278" t="s">
        <v>43</v>
      </c>
      <c r="U173" s="1174"/>
      <c r="V173" s="282"/>
      <c r="W173" s="448"/>
      <c r="X173" s="1192" t="s">
        <v>1117</v>
      </c>
      <c r="Y173" s="1265" t="s">
        <v>752</v>
      </c>
      <c r="Z173" s="1258" t="s">
        <v>43</v>
      </c>
      <c r="AA173" s="1266" t="str">
        <f t="shared" si="2"/>
        <v>a</v>
      </c>
      <c r="AC173" s="572"/>
      <c r="AD173" s="572"/>
      <c r="AE173" s="572"/>
    </row>
    <row r="174" spans="1:31" ht="40.5" customHeight="1" x14ac:dyDescent="0.25">
      <c r="A174" s="927">
        <v>223.2</v>
      </c>
      <c r="B174" s="270" t="str">
        <f>IF(VLOOKUP(A174,'Données de base - Grunddaten'!$A$2:$M$273,5,FALSE)="","",VLOOKUP(A174,'Données de base - Grunddaten'!$A$2:$M$273,5,FALSE))</f>
        <v>BE</v>
      </c>
      <c r="C174" s="41" t="str">
        <f>IF(VLOOKUP(A174,'Données de base - Grunddaten'!$A$2:$M$273,3,FALSE)="","",VLOOKUP(A174,'Données de base - Grunddaten'!$A$2:$M$273,3,FALSE))</f>
        <v>Hagneckdelta</v>
      </c>
      <c r="D174" s="41" t="str">
        <f>IF(VLOOKUP(A174,'Données de base - Grunddaten'!$A$2:$M$273,4,FALSE)="","",VLOOKUP(A174,'Données de base - Grunddaten'!$A$2:$M$273,4,FALSE))</f>
        <v>Aare-Hagneck-Kanal, Bielersee</v>
      </c>
      <c r="E174" s="271"/>
      <c r="F174" s="271"/>
      <c r="G174" s="271"/>
      <c r="H174" s="272" t="s">
        <v>51</v>
      </c>
      <c r="I174" s="273"/>
      <c r="J174" s="273" t="s">
        <v>1068</v>
      </c>
      <c r="K174" s="274"/>
      <c r="L174" s="275"/>
      <c r="M174" s="1151" t="s">
        <v>53</v>
      </c>
      <c r="N174" s="1152" t="s">
        <v>43</v>
      </c>
      <c r="O174" s="1148">
        <f>VLOOKUP(A174,Strat_Plan_Revit!$A$10:$S$321,11,FALSE)</f>
        <v>0</v>
      </c>
      <c r="P174" s="977">
        <f>VLOOKUP(A174,Strat_Plan_Revit!$A$10:$S$321,12,FALSE)</f>
        <v>0</v>
      </c>
      <c r="Q174" s="277">
        <f>VLOOKUP(A174,Strat_Plan_Revit!$A$10:$S$321,13,FALSE)</f>
        <v>0</v>
      </c>
      <c r="R174" s="1162" t="s">
        <v>737</v>
      </c>
      <c r="S174" s="1173" t="s">
        <v>53</v>
      </c>
      <c r="T174" s="278" t="s">
        <v>43</v>
      </c>
      <c r="U174" s="1174"/>
      <c r="V174" s="282"/>
      <c r="W174" s="1142" t="s">
        <v>1110</v>
      </c>
      <c r="X174" s="1192" t="s">
        <v>1118</v>
      </c>
      <c r="Y174" s="1265" t="s">
        <v>53</v>
      </c>
      <c r="Z174" s="1258" t="s">
        <v>43</v>
      </c>
      <c r="AA174" s="1266" t="str">
        <f t="shared" si="2"/>
        <v>a</v>
      </c>
      <c r="AC174" s="572"/>
      <c r="AD174" s="572"/>
      <c r="AE174" s="572"/>
    </row>
    <row r="175" spans="1:31" ht="40.5" customHeight="1" x14ac:dyDescent="0.25">
      <c r="A175" s="926">
        <v>224</v>
      </c>
      <c r="B175" s="270" t="str">
        <f>IF(VLOOKUP(A175,'Données de base - Grunddaten'!$A$2:$M$273,5,FALSE)="","",VLOOKUP(A175,'Données de base - Grunddaten'!$A$2:$M$273,5,FALSE))</f>
        <v>BE</v>
      </c>
      <c r="C175" s="41" t="str">
        <f>IF(VLOOKUP(A175,'Données de base - Grunddaten'!$A$2:$M$273,3,FALSE)="","",VLOOKUP(A175,'Données de base - Grunddaten'!$A$2:$M$273,3,FALSE))</f>
        <v>Rohr–Oey</v>
      </c>
      <c r="D175" s="41" t="str">
        <f>IF(VLOOKUP(A175,'Données de base - Grunddaten'!$A$2:$M$273,4,FALSE)="","",VLOOKUP(A175,'Données de base - Grunddaten'!$A$2:$M$273,4,FALSE))</f>
        <v>Louibach</v>
      </c>
      <c r="E175" s="271">
        <v>31.7</v>
      </c>
      <c r="F175" s="271">
        <v>46.69601138637303</v>
      </c>
      <c r="G175" s="271">
        <v>15</v>
      </c>
      <c r="H175" s="272" t="s">
        <v>1057</v>
      </c>
      <c r="I175" s="273"/>
      <c r="J175" s="273" t="s">
        <v>1068</v>
      </c>
      <c r="K175" s="274"/>
      <c r="L175" s="275"/>
      <c r="M175" s="1151" t="s">
        <v>737</v>
      </c>
      <c r="N175" s="1152" t="s">
        <v>43</v>
      </c>
      <c r="O175" s="1148" t="str">
        <f>VLOOKUP(A175,Strat_Plan_Revit!$A$10:$S$321,11,FALSE)</f>
        <v>gross</v>
      </c>
      <c r="P175" s="977" t="str">
        <f>VLOOKUP(A175,Strat_Plan_Revit!$A$10:$S$321,12,FALSE)</f>
        <v>gering</v>
      </c>
      <c r="Q175" s="277" t="str">
        <f>VLOOKUP(A175,Strat_Plan_Revit!$A$10:$S$321,13,FALSE)</f>
        <v>-</v>
      </c>
      <c r="R175" s="1162" t="s">
        <v>752</v>
      </c>
      <c r="S175" s="1173" t="s">
        <v>720</v>
      </c>
      <c r="T175" s="278" t="s">
        <v>368</v>
      </c>
      <c r="U175" s="1174"/>
      <c r="V175" s="1053" t="s">
        <v>126</v>
      </c>
      <c r="W175" s="1141" t="s">
        <v>1119</v>
      </c>
      <c r="X175" s="1190" t="s">
        <v>1120</v>
      </c>
      <c r="Y175" s="1265" t="s">
        <v>720</v>
      </c>
      <c r="Z175" s="1260" t="s">
        <v>368</v>
      </c>
      <c r="AA175" s="1266" t="str">
        <f t="shared" si="2"/>
        <v>b</v>
      </c>
      <c r="AC175" s="572"/>
      <c r="AD175" s="572"/>
      <c r="AE175" s="572"/>
    </row>
    <row r="176" spans="1:31" ht="40.5" customHeight="1" x14ac:dyDescent="0.25">
      <c r="A176" s="926">
        <v>225</v>
      </c>
      <c r="B176" s="270" t="str">
        <f>IF(VLOOKUP(A176,'Données de base - Grunddaten'!$A$2:$M$273,5,FALSE)="","",VLOOKUP(A176,'Données de base - Grunddaten'!$A$2:$M$273,5,FALSE))</f>
        <v>SZ</v>
      </c>
      <c r="C176" s="41" t="str">
        <f>IF(VLOOKUP(A176,'Données de base - Grunddaten'!$A$2:$M$273,3,FALSE)="","",VLOOKUP(A176,'Données de base - Grunddaten'!$A$2:$M$273,3,FALSE))</f>
        <v>Aahorn</v>
      </c>
      <c r="D176" s="41" t="str">
        <f>IF(VLOOKUP(A176,'Données de base - Grunddaten'!$A$2:$M$273,4,FALSE)="","",VLOOKUP(A176,'Données de base - Grunddaten'!$A$2:$M$273,4,FALSE))</f>
        <v>Obersee, Wägitaler-Aa</v>
      </c>
      <c r="E176" s="271"/>
      <c r="F176" s="271"/>
      <c r="G176" s="271"/>
      <c r="H176" s="272" t="s">
        <v>1078</v>
      </c>
      <c r="I176" s="273"/>
      <c r="J176" s="273" t="s">
        <v>1064</v>
      </c>
      <c r="K176" s="274"/>
      <c r="L176" s="275"/>
      <c r="M176" s="1151" t="s">
        <v>737</v>
      </c>
      <c r="N176" s="1152" t="s">
        <v>72</v>
      </c>
      <c r="O176" s="1148" t="str">
        <f>VLOOKUP(A176,Strat_Plan_Revit!$A$10:$S$321,11,FALSE)</f>
        <v>gross</v>
      </c>
      <c r="P176" s="977" t="str">
        <f>VLOOKUP(A176,Strat_Plan_Revit!$A$10:$S$321,12,FALSE)</f>
        <v>gross</v>
      </c>
      <c r="Q176" s="277" t="str">
        <f>VLOOKUP(A176,Strat_Plan_Revit!$A$10:$S$321,13,FALSE)</f>
        <v>Umsetzung in den nächsten 20 Jahren</v>
      </c>
      <c r="R176" s="1162" t="s">
        <v>737</v>
      </c>
      <c r="S176" s="1173" t="s">
        <v>737</v>
      </c>
      <c r="T176" s="278" t="s">
        <v>59</v>
      </c>
      <c r="U176" s="1174"/>
      <c r="V176" s="282"/>
      <c r="W176" s="448"/>
      <c r="X176" s="97" t="s">
        <v>1173</v>
      </c>
      <c r="Y176" s="1265" t="s">
        <v>737</v>
      </c>
      <c r="Z176" s="1258" t="s">
        <v>59</v>
      </c>
      <c r="AA176" s="1266" t="str">
        <f t="shared" si="2"/>
        <v>a</v>
      </c>
      <c r="AB176" s="1198"/>
      <c r="AC176" s="572"/>
      <c r="AD176" s="572"/>
      <c r="AE176" s="572"/>
    </row>
    <row r="177" spans="1:31" ht="40.5" customHeight="1" x14ac:dyDescent="0.25">
      <c r="A177" s="926">
        <v>226</v>
      </c>
      <c r="B177" s="270" t="str">
        <f>IF(VLOOKUP(A177,'Données de base - Grunddaten'!$A$2:$M$273,5,FALSE)="","",VLOOKUP(A177,'Données de base - Grunddaten'!$A$2:$M$273,5,FALSE))</f>
        <v>VD</v>
      </c>
      <c r="C177" s="41" t="str">
        <f>IF(VLOOKUP(A177,'Données de base - Grunddaten'!$A$2:$M$273,3,FALSE)="","",VLOOKUP(A177,'Données de base - Grunddaten'!$A$2:$M$273,3,FALSE))</f>
        <v>La Torneresse à l'Etivaz</v>
      </c>
      <c r="D177" s="41" t="str">
        <f>IF(VLOOKUP(A177,'Données de base - Grunddaten'!$A$2:$M$273,4,FALSE)="","",VLOOKUP(A177,'Données de base - Grunddaten'!$A$2:$M$273,4,FALSE))</f>
        <v>La Torneresse</v>
      </c>
      <c r="E177" s="271">
        <v>8.9909090909090921</v>
      </c>
      <c r="F177" s="271">
        <v>14.948581282380239</v>
      </c>
      <c r="G177" s="271">
        <v>5.9090909090909092</v>
      </c>
      <c r="H177" s="272" t="s">
        <v>1066</v>
      </c>
      <c r="I177" s="273"/>
      <c r="J177" s="273" t="s">
        <v>1064</v>
      </c>
      <c r="K177" s="274"/>
      <c r="L177" s="275"/>
      <c r="M177" s="1151" t="s">
        <v>737</v>
      </c>
      <c r="N177" s="1152" t="s">
        <v>72</v>
      </c>
      <c r="O177" s="1148" t="str">
        <f>VLOOKUP(A177,Strat_Plan_Revit!$A$10:$S$321,11,FALSE)</f>
        <v>élevé</v>
      </c>
      <c r="P177" s="977" t="str">
        <f>VLOOKUP(A177,Strat_Plan_Revit!$A$10:$S$321,12,FALSE)</f>
        <v>faible</v>
      </c>
      <c r="Q177" s="277" t="str">
        <f>VLOOKUP(A177,Strat_Plan_Revit!$A$10:$S$321,13,FALSE)</f>
        <v>nulle</v>
      </c>
      <c r="R177" s="1162" t="s">
        <v>752</v>
      </c>
      <c r="S177" s="1180" t="s">
        <v>720</v>
      </c>
      <c r="T177" s="278" t="s">
        <v>368</v>
      </c>
      <c r="U177" s="1174"/>
      <c r="V177" s="1053" t="s">
        <v>126</v>
      </c>
      <c r="W177" s="1141"/>
      <c r="X177" s="1190"/>
      <c r="Y177" s="1273" t="s">
        <v>720</v>
      </c>
      <c r="Z177" s="1258" t="s">
        <v>368</v>
      </c>
      <c r="AA177" s="1266" t="str">
        <f t="shared" si="2"/>
        <v>b</v>
      </c>
      <c r="AB177" s="1198"/>
      <c r="AC177" s="572"/>
      <c r="AD177" s="572"/>
      <c r="AE177" s="572"/>
    </row>
    <row r="178" spans="1:31" ht="40.5" customHeight="1" x14ac:dyDescent="0.25">
      <c r="A178" s="926">
        <v>227</v>
      </c>
      <c r="B178" s="270" t="str">
        <f>IF(VLOOKUP(A178,'Données de base - Grunddaten'!$A$2:$M$273,5,FALSE)="","",VLOOKUP(A178,'Données de base - Grunddaten'!$A$2:$M$273,5,FALSE))</f>
        <v>TI</v>
      </c>
      <c r="C178" s="41" t="str">
        <f>IF(VLOOKUP(A178,'Données de base - Grunddaten'!$A$2:$M$273,3,FALSE)="","",VLOOKUP(A178,'Données de base - Grunddaten'!$A$2:$M$273,3,FALSE))</f>
        <v>Sonlèrt–Sabbione</v>
      </c>
      <c r="D178" s="41" t="str">
        <f>IF(VLOOKUP(A178,'Données de base - Grunddaten'!$A$2:$M$273,4,FALSE)="","",VLOOKUP(A178,'Données de base - Grunddaten'!$A$2:$M$273,4,FALSE))</f>
        <v>Bavona</v>
      </c>
      <c r="E178" s="271">
        <v>0</v>
      </c>
      <c r="F178" s="271">
        <v>0</v>
      </c>
      <c r="G178" s="271">
        <v>0</v>
      </c>
      <c r="H178" s="272" t="s">
        <v>1061</v>
      </c>
      <c r="I178" s="273"/>
      <c r="J178" s="273" t="s">
        <v>1064</v>
      </c>
      <c r="K178" s="274"/>
      <c r="L178" s="275"/>
      <c r="M178" s="1151" t="s">
        <v>752</v>
      </c>
      <c r="N178" s="1152" t="s">
        <v>43</v>
      </c>
      <c r="O178" s="1148" t="str">
        <f>VLOOKUP(A178,Strat_Plan_Revit!$A$10:$S$321,11,FALSE)</f>
        <v>moyen</v>
      </c>
      <c r="P178" s="977" t="str">
        <f>VLOOKUP(A178,Strat_Plan_Revit!$A$10:$S$321,12,FALSE)</f>
        <v>faible et important</v>
      </c>
      <c r="Q178" s="277" t="str">
        <f>VLOOKUP(A178,Strat_Plan_Revit!$A$10:$S$321,13,FALSE)</f>
        <v>faible et nulle</v>
      </c>
      <c r="R178" s="1162" t="s">
        <v>720</v>
      </c>
      <c r="S178" s="1173" t="s">
        <v>720</v>
      </c>
      <c r="T178" s="278" t="s">
        <v>110</v>
      </c>
      <c r="U178" s="1174" t="s">
        <v>1183</v>
      </c>
      <c r="V178" s="282"/>
      <c r="W178" s="448"/>
      <c r="X178" s="1191"/>
      <c r="Y178" s="1265" t="s">
        <v>720</v>
      </c>
      <c r="Z178" s="1260" t="s">
        <v>110</v>
      </c>
      <c r="AA178" s="1266" t="str">
        <f t="shared" si="2"/>
        <v>a</v>
      </c>
      <c r="AB178" s="1198"/>
      <c r="AC178" s="572"/>
      <c r="AD178" s="572"/>
      <c r="AE178" s="572"/>
    </row>
    <row r="179" spans="1:31" ht="40.5" customHeight="1" x14ac:dyDescent="0.25">
      <c r="A179" s="926">
        <v>228</v>
      </c>
      <c r="B179" s="270" t="str">
        <f>IF(VLOOKUP(A179,'Données de base - Grunddaten'!$A$2:$M$273,5,FALSE)="","",VLOOKUP(A179,'Données de base - Grunddaten'!$A$2:$M$273,5,FALSE))</f>
        <v>TI</v>
      </c>
      <c r="C179" s="41" t="str">
        <f>IF(VLOOKUP(A179,'Données de base - Grunddaten'!$A$2:$M$273,3,FALSE)="","",VLOOKUP(A179,'Données de base - Grunddaten'!$A$2:$M$273,3,FALSE))</f>
        <v>Foce della Maggia</v>
      </c>
      <c r="D179" s="41" t="str">
        <f>IF(VLOOKUP(A179,'Données de base - Grunddaten'!$A$2:$M$273,4,FALSE)="","",VLOOKUP(A179,'Données de base - Grunddaten'!$A$2:$M$273,4,FALSE))</f>
        <v>Lago Maggiore, Maggia</v>
      </c>
      <c r="E179" s="271"/>
      <c r="F179" s="271"/>
      <c r="G179" s="271"/>
      <c r="H179" s="272"/>
      <c r="I179" s="279"/>
      <c r="J179" s="279" t="s">
        <v>1068</v>
      </c>
      <c r="K179" s="280" t="s">
        <v>1066</v>
      </c>
      <c r="L179" s="281" t="s">
        <v>1184</v>
      </c>
      <c r="M179" s="1151" t="s">
        <v>737</v>
      </c>
      <c r="N179" s="1152" t="s">
        <v>72</v>
      </c>
      <c r="O179" s="1148" t="str">
        <f>VLOOKUP(A179,Strat_Plan_Revit!$A$10:$S$321,11,FALSE)</f>
        <v>moyen et important</v>
      </c>
      <c r="P179" s="977" t="str">
        <f>VLOOKUP(A179,Strat_Plan_Revit!$A$10:$S$321,12,FALSE)</f>
        <v>moyen</v>
      </c>
      <c r="Q179" s="277" t="str">
        <f>VLOOKUP(A179,Strat_Plan_Revit!$A$10:$S$321,13,FALSE)</f>
        <v>nulle</v>
      </c>
      <c r="R179" s="1162" t="s">
        <v>720</v>
      </c>
      <c r="S179" s="1173" t="s">
        <v>720</v>
      </c>
      <c r="T179" s="278" t="s">
        <v>110</v>
      </c>
      <c r="U179" s="1174"/>
      <c r="V179" s="282"/>
      <c r="W179" s="448"/>
      <c r="X179" s="1191"/>
      <c r="Y179" s="1265" t="s">
        <v>720</v>
      </c>
      <c r="Z179" s="1260" t="s">
        <v>110</v>
      </c>
      <c r="AA179" s="1266" t="str">
        <f t="shared" si="2"/>
        <v>a</v>
      </c>
      <c r="AB179" s="1198"/>
      <c r="AC179" s="572"/>
      <c r="AD179" s="572"/>
      <c r="AE179" s="572"/>
    </row>
    <row r="180" spans="1:31" ht="40.5" customHeight="1" x14ac:dyDescent="0.25">
      <c r="A180" s="928">
        <v>229</v>
      </c>
      <c r="B180" s="270" t="str">
        <f>IF(VLOOKUP(A180,'Données de base - Grunddaten'!$A$2:$M$273,5,FALSE)="","",VLOOKUP(A180,'Données de base - Grunddaten'!$A$2:$M$273,5,FALSE))</f>
        <v>TI</v>
      </c>
      <c r="C180" s="41" t="str">
        <f>IF(VLOOKUP(A180,'Données de base - Grunddaten'!$A$2:$M$273,3,FALSE)="","",VLOOKUP(A180,'Données de base - Grunddaten'!$A$2:$M$273,3,FALSE))</f>
        <v>Madonna del Piano</v>
      </c>
      <c r="D180" s="41" t="str">
        <f>IF(VLOOKUP(A180,'Données de base - Grunddaten'!$A$2:$M$273,4,FALSE)="","",VLOOKUP(A180,'Données de base - Grunddaten'!$A$2:$M$273,4,FALSE))</f>
        <v>Tresa</v>
      </c>
      <c r="E180" s="271">
        <v>-3.6363636363636362</v>
      </c>
      <c r="F180" s="271">
        <v>0</v>
      </c>
      <c r="G180" s="271">
        <v>3.6363636363636362</v>
      </c>
      <c r="H180" s="272" t="s">
        <v>1061</v>
      </c>
      <c r="I180" s="273"/>
      <c r="J180" s="273" t="s">
        <v>1059</v>
      </c>
      <c r="K180" s="274"/>
      <c r="L180" s="275"/>
      <c r="M180" s="1151" t="s">
        <v>752</v>
      </c>
      <c r="N180" s="1152" t="s">
        <v>43</v>
      </c>
      <c r="O180" s="1148" t="str">
        <f>VLOOKUP(A180,Strat_Plan_Revit!$A$10:$S$321,11,FALSE)</f>
        <v>important</v>
      </c>
      <c r="P180" s="977" t="str">
        <f>VLOOKUP(A180,Strat_Plan_Revit!$A$10:$S$321,12,FALSE)</f>
        <v>moyen et faible</v>
      </c>
      <c r="Q180" s="277" t="str">
        <f>VLOOKUP(A180,Strat_Plan_Revit!$A$10:$S$321,13,FALSE)</f>
        <v>nulle (2 affluents prio 3)</v>
      </c>
      <c r="R180" s="1162" t="s">
        <v>752</v>
      </c>
      <c r="S180" s="1173" t="s">
        <v>752</v>
      </c>
      <c r="T180" s="278" t="s">
        <v>59</v>
      </c>
      <c r="U180" s="1174" t="s">
        <v>1185</v>
      </c>
      <c r="V180" s="282"/>
      <c r="W180" s="448"/>
      <c r="X180" s="1191"/>
      <c r="Y180" s="1265" t="s">
        <v>752</v>
      </c>
      <c r="Z180" s="1260" t="s">
        <v>59</v>
      </c>
      <c r="AA180" s="1266" t="str">
        <f t="shared" si="2"/>
        <v>a</v>
      </c>
      <c r="AB180" s="1198"/>
      <c r="AC180" s="572"/>
      <c r="AD180" s="572"/>
      <c r="AE180" s="572"/>
    </row>
    <row r="181" spans="1:31" ht="40.5" customHeight="1" x14ac:dyDescent="0.25">
      <c r="A181" s="928">
        <v>301</v>
      </c>
      <c r="B181" s="270" t="str">
        <f>IF(VLOOKUP(A181,'Données de base - Grunddaten'!$A$2:$M$273,5,FALSE)="","",VLOOKUP(A181,'Données de base - Grunddaten'!$A$2:$M$273,5,FALSE))</f>
        <v>VD</v>
      </c>
      <c r="C181" s="41" t="str">
        <f>IF(VLOOKUP(A181,'Données de base - Grunddaten'!$A$2:$M$273,3,FALSE)="","",VLOOKUP(A181,'Données de base - Grunddaten'!$A$2:$M$273,3,FALSE))</f>
        <v>Les Iles de Bogis</v>
      </c>
      <c r="D181" s="41" t="str">
        <f>IF(VLOOKUP(A181,'Données de base - Grunddaten'!$A$2:$M$273,4,FALSE)="","",VLOOKUP(A181,'Données de base - Grunddaten'!$A$2:$M$273,4,FALSE))</f>
        <v>La Versoix</v>
      </c>
      <c r="E181" s="271">
        <v>-0.45454545454545453</v>
      </c>
      <c r="F181" s="271">
        <v>0</v>
      </c>
      <c r="G181" s="271">
        <v>0.45454545454545453</v>
      </c>
      <c r="H181" s="272" t="s">
        <v>1061</v>
      </c>
      <c r="I181" s="273" t="s">
        <v>1079</v>
      </c>
      <c r="J181" s="273" t="s">
        <v>1068</v>
      </c>
      <c r="K181" s="274"/>
      <c r="L181" s="275"/>
      <c r="M181" s="1151" t="s">
        <v>752</v>
      </c>
      <c r="N181" s="1152" t="s">
        <v>43</v>
      </c>
      <c r="O181" s="1148" t="str">
        <f>VLOOKUP(A181,Strat_Plan_Revit!$A$10:$S$321,11,FALSE)</f>
        <v>élevé</v>
      </c>
      <c r="P181" s="977" t="str">
        <f>VLOOKUP(A181,Strat_Plan_Revit!$A$10:$S$321,12,FALSE)</f>
        <v>faible</v>
      </c>
      <c r="Q181" s="277" t="str">
        <f>VLOOKUP(A181,Strat_Plan_Revit!$A$10:$S$321,13,FALSE)</f>
        <v>nulle</v>
      </c>
      <c r="R181" s="1162" t="s">
        <v>752</v>
      </c>
      <c r="S181" s="1173" t="s">
        <v>752</v>
      </c>
      <c r="T181" s="278" t="s">
        <v>59</v>
      </c>
      <c r="U181" s="1174"/>
      <c r="V181" s="282"/>
      <c r="W181" s="341"/>
      <c r="X181" s="97"/>
      <c r="Y181" s="1265" t="s">
        <v>752</v>
      </c>
      <c r="Z181" s="1258" t="s">
        <v>59</v>
      </c>
      <c r="AA181" s="1266" t="str">
        <f t="shared" si="2"/>
        <v>a</v>
      </c>
      <c r="AC181" s="572"/>
      <c r="AD181" s="572"/>
      <c r="AE181" s="572"/>
    </row>
    <row r="182" spans="1:31" ht="40.5" customHeight="1" x14ac:dyDescent="0.25">
      <c r="A182" s="1233">
        <v>302</v>
      </c>
      <c r="B182" s="270" t="str">
        <f>IF(VLOOKUP(A182,'Données de base - Grunddaten'!$A$2:$M$273,5,FALSE)="","",VLOOKUP(A182,'Données de base - Grunddaten'!$A$2:$M$273,5,FALSE))</f>
        <v>VD</v>
      </c>
      <c r="C182" s="41" t="str">
        <f>IF(VLOOKUP(A182,'Données de base - Grunddaten'!$A$2:$M$273,3,FALSE)="","",VLOOKUP(A182,'Données de base - Grunddaten'!$A$2:$M$273,3,FALSE))</f>
        <v>La Lovataire - La Venoge</v>
      </c>
      <c r="D182" s="41" t="str">
        <f>IF(VLOOKUP(A182,'Données de base - Grunddaten'!$A$2:$M$273,4,FALSE)="","",VLOOKUP(A182,'Données de base - Grunddaten'!$A$2:$M$273,4,FALSE))</f>
        <v>La Venoge</v>
      </c>
      <c r="E182" s="271"/>
      <c r="F182" s="271"/>
      <c r="G182" s="271"/>
      <c r="H182" s="272" t="s">
        <v>1066</v>
      </c>
      <c r="I182" s="273" t="s">
        <v>1071</v>
      </c>
      <c r="J182" s="273"/>
      <c r="K182" s="274"/>
      <c r="L182" s="275"/>
      <c r="M182" s="1151" t="s">
        <v>720</v>
      </c>
      <c r="N182" s="1152" t="s">
        <v>43</v>
      </c>
      <c r="O182" s="1148" t="str">
        <f>VLOOKUP(A182,Strat_Plan_Revit!$A$10:$S$321,11,FALSE)</f>
        <v>élevé (Venoge et "canal")</v>
      </c>
      <c r="P182" s="977" t="str">
        <f>VLOOKUP(A182,Strat_Plan_Revit!$A$10:$S$321,12,FALSE)</f>
        <v>moyen (Venoge) et faible ("canal")</v>
      </c>
      <c r="Q182" s="277" t="str">
        <f>VLOOKUP(A182,Strat_Plan_Revit!$A$10:$S$321,13,FALSE)</f>
        <v>moyen (Venoge) et faible ("canal")</v>
      </c>
      <c r="R182" s="1162" t="s">
        <v>720</v>
      </c>
      <c r="S182" s="1173" t="s">
        <v>720</v>
      </c>
      <c r="T182" s="278" t="s">
        <v>59</v>
      </c>
      <c r="U182" s="1174"/>
      <c r="V182" s="282"/>
      <c r="W182" s="341"/>
      <c r="X182" s="97"/>
      <c r="Y182" s="1265" t="s">
        <v>720</v>
      </c>
      <c r="Z182" s="1258" t="s">
        <v>59</v>
      </c>
      <c r="AA182" s="1266" t="str">
        <f t="shared" si="2"/>
        <v>a</v>
      </c>
      <c r="AC182" s="572"/>
      <c r="AD182" s="572"/>
      <c r="AE182" s="572"/>
    </row>
    <row r="183" spans="1:31" ht="40.5" customHeight="1" x14ac:dyDescent="0.25">
      <c r="A183" s="928">
        <v>303</v>
      </c>
      <c r="B183" s="270" t="str">
        <f>IF(VLOOKUP(A183,'Données de base - Grunddaten'!$A$2:$M$273,5,FALSE)="","",VLOOKUP(A183,'Données de base - Grunddaten'!$A$2:$M$273,5,FALSE))</f>
        <v>VD</v>
      </c>
      <c r="C183" s="41" t="str">
        <f>IF(VLOOKUP(A183,'Données de base - Grunddaten'!$A$2:$M$273,3,FALSE)="","",VLOOKUP(A183,'Données de base - Grunddaten'!$A$2:$M$273,3,FALSE))</f>
        <v>Solalex</v>
      </c>
      <c r="D183" s="41" t="str">
        <f>IF(VLOOKUP(A183,'Données de base - Grunddaten'!$A$2:$M$273,4,FALSE)="","",VLOOKUP(A183,'Données de base - Grunddaten'!$A$2:$M$273,4,FALSE))</f>
        <v>L'Avançon d'Anzeindaz</v>
      </c>
      <c r="E183" s="271">
        <v>-1.572727272727273</v>
      </c>
      <c r="F183" s="271">
        <v>0.73257003098814533</v>
      </c>
      <c r="G183" s="271">
        <v>2.2727272727272729</v>
      </c>
      <c r="H183" s="272" t="s">
        <v>1066</v>
      </c>
      <c r="I183" s="273" t="s">
        <v>1079</v>
      </c>
      <c r="J183" s="273" t="s">
        <v>1064</v>
      </c>
      <c r="K183" s="274"/>
      <c r="L183" s="275"/>
      <c r="M183" s="1151" t="s">
        <v>737</v>
      </c>
      <c r="N183" s="1152" t="s">
        <v>72</v>
      </c>
      <c r="O183" s="1148" t="str">
        <f>VLOOKUP(A183,Strat_Plan_Revit!$A$10:$S$321,11,FALSE)</f>
        <v>moyen</v>
      </c>
      <c r="P183" s="977" t="str">
        <f>VLOOKUP(A183,Strat_Plan_Revit!$A$10:$S$321,12,FALSE)</f>
        <v>élevé et faible (1/5 amont)</v>
      </c>
      <c r="Q183" s="277" t="str">
        <f>VLOOKUP(A183,Strat_Plan_Revit!$A$10:$S$321,13,FALSE)</f>
        <v>élevé et nulle (1/5 amont)</v>
      </c>
      <c r="R183" s="1162" t="s">
        <v>737</v>
      </c>
      <c r="S183" s="1173" t="s">
        <v>737</v>
      </c>
      <c r="T183" s="278" t="s">
        <v>59</v>
      </c>
      <c r="U183" s="1174"/>
      <c r="V183" s="282"/>
      <c r="W183" s="341"/>
      <c r="X183" s="97"/>
      <c r="Y183" s="1265" t="s">
        <v>737</v>
      </c>
      <c r="Z183" s="1258" t="s">
        <v>59</v>
      </c>
      <c r="AA183" s="1266" t="str">
        <f t="shared" si="2"/>
        <v>a</v>
      </c>
      <c r="AC183" s="572"/>
      <c r="AD183" s="572"/>
      <c r="AE183" s="572"/>
    </row>
    <row r="184" spans="1:31" ht="40.5" customHeight="1" x14ac:dyDescent="0.25">
      <c r="A184" s="928">
        <v>304</v>
      </c>
      <c r="B184" s="270" t="str">
        <f>IF(VLOOKUP(A184,'Données de base - Grunddaten'!$A$2:$M$273,5,FALSE)="","",VLOOKUP(A184,'Données de base - Grunddaten'!$A$2:$M$273,5,FALSE))</f>
        <v>VD</v>
      </c>
      <c r="C184" s="41" t="str">
        <f>IF(VLOOKUP(A184,'Données de base - Grunddaten'!$A$2:$M$273,3,FALSE)="","",VLOOKUP(A184,'Données de base - Grunddaten'!$A$2:$M$273,3,FALSE))</f>
        <v>Embouchure de la Broye</v>
      </c>
      <c r="D184" s="41" t="str">
        <f>IF(VLOOKUP(A184,'Données de base - Grunddaten'!$A$2:$M$273,4,FALSE)="","",VLOOKUP(A184,'Données de base - Grunddaten'!$A$2:$M$273,4,FALSE))</f>
        <v>La Broye, Lac de Morat</v>
      </c>
      <c r="E184" s="271"/>
      <c r="F184" s="271"/>
      <c r="G184" s="271"/>
      <c r="H184" s="272"/>
      <c r="I184" s="279" t="s">
        <v>1058</v>
      </c>
      <c r="J184" s="279" t="s">
        <v>1068</v>
      </c>
      <c r="K184" s="280" t="s">
        <v>1057</v>
      </c>
      <c r="L184" s="281" t="s">
        <v>1198</v>
      </c>
      <c r="M184" s="1151" t="s">
        <v>737</v>
      </c>
      <c r="N184" s="1152" t="s">
        <v>43</v>
      </c>
      <c r="O184" s="1148" t="str">
        <f>VLOOKUP(A184,Strat_Plan_Revit!$A$10:$S$321,11,FALSE)</f>
        <v>élevé</v>
      </c>
      <c r="P184" s="977" t="str">
        <f>VLOOKUP(A184,Strat_Plan_Revit!$A$10:$S$321,12,FALSE)</f>
        <v>élevé</v>
      </c>
      <c r="Q184" s="277" t="str">
        <f>VLOOKUP(A184,Strat_Plan_Revit!$A$10:$S$321,13,FALSE)</f>
        <v>élevé</v>
      </c>
      <c r="R184" s="1162" t="s">
        <v>737</v>
      </c>
      <c r="S184" s="1173" t="s">
        <v>737</v>
      </c>
      <c r="T184" s="278" t="s">
        <v>59</v>
      </c>
      <c r="U184" s="1174"/>
      <c r="V184" s="282"/>
      <c r="W184" s="341"/>
      <c r="X184" s="97"/>
      <c r="Y184" s="1265" t="s">
        <v>737</v>
      </c>
      <c r="Z184" s="1258" t="s">
        <v>59</v>
      </c>
      <c r="AA184" s="1266" t="str">
        <f t="shared" si="2"/>
        <v>a</v>
      </c>
      <c r="AC184" s="572"/>
      <c r="AD184" s="572"/>
      <c r="AE184" s="572"/>
    </row>
    <row r="185" spans="1:31" ht="40.5" customHeight="1" x14ac:dyDescent="0.25">
      <c r="A185" s="928">
        <v>305</v>
      </c>
      <c r="B185" s="270" t="str">
        <f>IF(VLOOKUP(A185,'Données de base - Grunddaten'!$A$2:$M$273,5,FALSE)="","",VLOOKUP(A185,'Données de base - Grunddaten'!$A$2:$M$273,5,FALSE))</f>
        <v>VD</v>
      </c>
      <c r="C185" s="41" t="str">
        <f>IF(VLOOKUP(A185,'Données de base - Grunddaten'!$A$2:$M$273,3,FALSE)="","",VLOOKUP(A185,'Données de base - Grunddaten'!$A$2:$M$273,3,FALSE))</f>
        <v>Embouchure du Chandon</v>
      </c>
      <c r="D185" s="41" t="str">
        <f>IF(VLOOKUP(A185,'Données de base - Grunddaten'!$A$2:$M$273,4,FALSE)="","",VLOOKUP(A185,'Données de base - Grunddaten'!$A$2:$M$273,4,FALSE))</f>
        <v>Le Chandon, Lac de Morat</v>
      </c>
      <c r="E185" s="271"/>
      <c r="F185" s="271"/>
      <c r="G185" s="271"/>
      <c r="H185" s="272" t="s">
        <v>1057</v>
      </c>
      <c r="I185" s="273" t="s">
        <v>1071</v>
      </c>
      <c r="J185" s="273" t="s">
        <v>1059</v>
      </c>
      <c r="K185" s="274"/>
      <c r="L185" s="275"/>
      <c r="M185" s="1151" t="s">
        <v>752</v>
      </c>
      <c r="N185" s="1152" t="s">
        <v>72</v>
      </c>
      <c r="O185" s="1148" t="str">
        <f>VLOOKUP(A185,Strat_Plan_Revit!$A$10:$S$321,11,FALSE)</f>
        <v>élevé</v>
      </c>
      <c r="P185" s="977" t="str">
        <f>VLOOKUP(A185,Strat_Plan_Revit!$A$10:$S$321,12,FALSE)</f>
        <v>faible</v>
      </c>
      <c r="Q185" s="277" t="str">
        <f>VLOOKUP(A185,Strat_Plan_Revit!$A$10:$S$321,13,FALSE)</f>
        <v>nulle</v>
      </c>
      <c r="R185" s="1162" t="s">
        <v>752</v>
      </c>
      <c r="S185" s="1173" t="s">
        <v>752</v>
      </c>
      <c r="T185" s="278" t="s">
        <v>59</v>
      </c>
      <c r="U185" s="1174"/>
      <c r="V185" s="282"/>
      <c r="W185" s="341"/>
      <c r="X185" s="97"/>
      <c r="Y185" s="1265" t="s">
        <v>752</v>
      </c>
      <c r="Z185" s="1258" t="s">
        <v>59</v>
      </c>
      <c r="AA185" s="1266" t="str">
        <f t="shared" si="2"/>
        <v>a</v>
      </c>
      <c r="AC185" s="572"/>
      <c r="AD185" s="572"/>
      <c r="AE185" s="572"/>
    </row>
    <row r="186" spans="1:31" ht="40.5" customHeight="1" x14ac:dyDescent="0.25">
      <c r="A186" s="1233">
        <v>306</v>
      </c>
      <c r="B186" s="270" t="str">
        <f>IF(VLOOKUP(A186,'Données de base - Grunddaten'!$A$2:$M$273,5,FALSE)="","",VLOOKUP(A186,'Données de base - Grunddaten'!$A$2:$M$273,5,FALSE))</f>
        <v>NE</v>
      </c>
      <c r="C186" s="41" t="str">
        <f>IF(VLOOKUP(A186,'Données de base - Grunddaten'!$A$2:$M$273,3,FALSE)="","",VLOOKUP(A186,'Données de base - Grunddaten'!$A$2:$M$273,3,FALSE))</f>
        <v>La Ramée-Préfargier</v>
      </c>
      <c r="D186" s="41" t="str">
        <f>IF(VLOOKUP(A186,'Données de base - Grunddaten'!$A$2:$M$273,4,FALSE)="","",VLOOKUP(A186,'Données de base - Grunddaten'!$A$2:$M$273,4,FALSE))</f>
        <v>Lac de Neuchâtel</v>
      </c>
      <c r="E186" s="271"/>
      <c r="F186" s="271"/>
      <c r="G186" s="271"/>
      <c r="H186" s="272" t="s">
        <v>51</v>
      </c>
      <c r="I186" s="273" t="s">
        <v>1147</v>
      </c>
      <c r="J186" s="273"/>
      <c r="K186" s="274"/>
      <c r="L186" s="275"/>
      <c r="M186" s="1151" t="s">
        <v>53</v>
      </c>
      <c r="N186" s="1152" t="s">
        <v>43</v>
      </c>
      <c r="O186" s="1148">
        <f>VLOOKUP(A186,Strat_Plan_Revit!$A$10:$S$321,11,FALSE)</f>
        <v>0</v>
      </c>
      <c r="P186" s="977">
        <f>VLOOKUP(A186,Strat_Plan_Revit!$A$10:$S$321,12,FALSE)</f>
        <v>0</v>
      </c>
      <c r="Q186" s="277">
        <f>VLOOKUP(A186,Strat_Plan_Revit!$A$10:$S$321,13,FALSE)</f>
        <v>0</v>
      </c>
      <c r="R186" s="1169"/>
      <c r="S186" s="1173" t="s">
        <v>53</v>
      </c>
      <c r="T186" s="278" t="s">
        <v>43</v>
      </c>
      <c r="U186" s="1174"/>
      <c r="V186" s="282"/>
      <c r="W186" s="341"/>
      <c r="X186" s="97"/>
      <c r="Y186" s="1265" t="s">
        <v>53</v>
      </c>
      <c r="Z186" s="1258" t="s">
        <v>43</v>
      </c>
      <c r="AA186" s="1266" t="str">
        <f t="shared" si="2"/>
        <v>a</v>
      </c>
      <c r="AC186" s="572"/>
      <c r="AD186" s="572"/>
      <c r="AE186" s="572"/>
    </row>
    <row r="187" spans="1:31" ht="40.5" customHeight="1" x14ac:dyDescent="0.25">
      <c r="A187" s="928">
        <v>307</v>
      </c>
      <c r="B187" s="270" t="str">
        <f>IF(VLOOKUP(A187,'Données de base - Grunddaten'!$A$2:$M$273,5,FALSE)="","",VLOOKUP(A187,'Données de base - Grunddaten'!$A$2:$M$273,5,FALSE))</f>
        <v>FR</v>
      </c>
      <c r="C187" s="41" t="str">
        <f>IF(VLOOKUP(A187,'Données de base - Grunddaten'!$A$2:$M$273,3,FALSE)="","",VLOOKUP(A187,'Données de base - Grunddaten'!$A$2:$M$273,3,FALSE))</f>
        <v>Le Chablais</v>
      </c>
      <c r="D187" s="41" t="str">
        <f>IF(VLOOKUP(A187,'Données de base - Grunddaten'!$A$2:$M$273,4,FALSE)="","",VLOOKUP(A187,'Données de base - Grunddaten'!$A$2:$M$273,4,FALSE))</f>
        <v>Lac de Morat</v>
      </c>
      <c r="E187" s="271"/>
      <c r="F187" s="271"/>
      <c r="G187" s="271"/>
      <c r="H187" s="272" t="s">
        <v>1061</v>
      </c>
      <c r="I187" s="273" t="s">
        <v>1079</v>
      </c>
      <c r="J187" s="273" t="s">
        <v>1059</v>
      </c>
      <c r="K187" s="274"/>
      <c r="L187" s="275"/>
      <c r="M187" s="1151" t="s">
        <v>752</v>
      </c>
      <c r="N187" s="1152" t="s">
        <v>43</v>
      </c>
      <c r="O187" s="1148">
        <f>VLOOKUP(A187,Strat_Plan_Revit!$A$10:$S$321,11,FALSE)</f>
        <v>0</v>
      </c>
      <c r="P187" s="977">
        <f>VLOOKUP(A187,Strat_Plan_Revit!$A$10:$S$321,12,FALSE)</f>
        <v>0</v>
      </c>
      <c r="Q187" s="277">
        <f>VLOOKUP(A187,Strat_Plan_Revit!$A$10:$S$321,13,FALSE)</f>
        <v>0</v>
      </c>
      <c r="R187" s="1169"/>
      <c r="S187" s="1173" t="s">
        <v>752</v>
      </c>
      <c r="T187" s="278" t="s">
        <v>43</v>
      </c>
      <c r="U187" s="1174"/>
      <c r="V187" s="282"/>
      <c r="W187" s="448"/>
      <c r="X187" s="1191"/>
      <c r="Y187" s="1265" t="s">
        <v>752</v>
      </c>
      <c r="Z187" s="1258" t="s">
        <v>43</v>
      </c>
      <c r="AA187" s="1266" t="str">
        <f t="shared" si="2"/>
        <v>a</v>
      </c>
      <c r="AC187" s="572"/>
      <c r="AD187" s="572"/>
      <c r="AE187" s="572"/>
    </row>
    <row r="188" spans="1:31" ht="40.5" customHeight="1" x14ac:dyDescent="0.25">
      <c r="A188" s="928">
        <v>310</v>
      </c>
      <c r="B188" s="270" t="str">
        <f>IF(VLOOKUP(A188,'Données de base - Grunddaten'!$A$2:$M$273,5,FALSE)="","",VLOOKUP(A188,'Données de base - Grunddaten'!$A$2:$M$273,5,FALSE))</f>
        <v>FR</v>
      </c>
      <c r="C188" s="41" t="str">
        <f>IF(VLOOKUP(A188,'Données de base - Grunddaten'!$A$2:$M$273,3,FALSE)="","",VLOOKUP(A188,'Données de base - Grunddaten'!$A$2:$M$273,3,FALSE))</f>
        <v>Lac de Montsalvens</v>
      </c>
      <c r="D188" s="41" t="str">
        <f>IF(VLOOKUP(A188,'Données de base - Grunddaten'!$A$2:$M$273,4,FALSE)="","",VLOOKUP(A188,'Données de base - Grunddaten'!$A$2:$M$273,4,FALSE))</f>
        <v>La Jogne, Lac de Montsalvens</v>
      </c>
      <c r="E188" s="271"/>
      <c r="F188" s="271"/>
      <c r="G188" s="271"/>
      <c r="H188" s="272" t="s">
        <v>1061</v>
      </c>
      <c r="I188" s="273" t="s">
        <v>1079</v>
      </c>
      <c r="J188" s="273" t="s">
        <v>1068</v>
      </c>
      <c r="K188" s="274"/>
      <c r="L188" s="275"/>
      <c r="M188" s="1151" t="s">
        <v>738</v>
      </c>
      <c r="N188" s="1152" t="s">
        <v>72</v>
      </c>
      <c r="O188" s="1148" t="str">
        <f>VLOOKUP(A188,Strat_Plan_Revit!$A$10:$S$321,11,FALSE)</f>
        <v>gross</v>
      </c>
      <c r="P188" s="977" t="str">
        <f>VLOOKUP(A188,Strat_Plan_Revit!$A$10:$S$321,12,FALSE)</f>
        <v>natürlich</v>
      </c>
      <c r="Q188" s="277" t="str">
        <f>VLOOKUP(A188,Strat_Plan_Revit!$A$10:$S$321,13,FALSE)</f>
        <v>tief</v>
      </c>
      <c r="R188" s="1162" t="s">
        <v>752</v>
      </c>
      <c r="S188" s="1178" t="s">
        <v>752</v>
      </c>
      <c r="T188" s="278" t="s">
        <v>110</v>
      </c>
      <c r="U188" s="1174"/>
      <c r="V188" s="282"/>
      <c r="W188" s="448"/>
      <c r="X188" s="1192" t="s">
        <v>1137</v>
      </c>
      <c r="Y188" s="1274" t="s">
        <v>752</v>
      </c>
      <c r="Z188" s="1258" t="s">
        <v>110</v>
      </c>
      <c r="AA188" s="1266" t="str">
        <f t="shared" si="2"/>
        <v>a</v>
      </c>
      <c r="AC188" s="572"/>
      <c r="AD188" s="572"/>
      <c r="AE188" s="572"/>
    </row>
    <row r="189" spans="1:31" ht="40.5" customHeight="1" x14ac:dyDescent="0.25">
      <c r="A189" s="1233">
        <v>311</v>
      </c>
      <c r="B189" s="270" t="str">
        <f>IF(VLOOKUP(A189,'Données de base - Grunddaten'!$A$2:$M$273,5,FALSE)="","",VLOOKUP(A189,'Données de base - Grunddaten'!$A$2:$M$273,5,FALSE))</f>
        <v>FR</v>
      </c>
      <c r="C189" s="41" t="str">
        <f>IF(VLOOKUP(A189,'Données de base - Grunddaten'!$A$2:$M$273,3,FALSE)="","",VLOOKUP(A189,'Données de base - Grunddaten'!$A$2:$M$273,3,FALSE))</f>
        <v>Cerniat-La Valsainte</v>
      </c>
      <c r="D189" s="41" t="str">
        <f>IF(VLOOKUP(A189,'Données de base - Grunddaten'!$A$2:$M$273,4,FALSE)="","",VLOOKUP(A189,'Données de base - Grunddaten'!$A$2:$M$273,4,FALSE))</f>
        <v>Le Javro</v>
      </c>
      <c r="E189" s="271"/>
      <c r="F189" s="271"/>
      <c r="G189" s="271"/>
      <c r="H189" s="272" t="s">
        <v>1061</v>
      </c>
      <c r="I189" s="273" t="s">
        <v>1079</v>
      </c>
      <c r="J189" s="273"/>
      <c r="K189" s="274"/>
      <c r="L189" s="275"/>
      <c r="M189" s="1151" t="s">
        <v>752</v>
      </c>
      <c r="N189" s="1152" t="s">
        <v>43</v>
      </c>
      <c r="O189" s="1148" t="str">
        <f>VLOOKUP(A189,Strat_Plan_Revit!$A$10:$S$321,11,FALSE)</f>
        <v>gross</v>
      </c>
      <c r="P189" s="977" t="str">
        <f>VLOOKUP(A189,Strat_Plan_Revit!$A$10:$S$321,12,FALSE)</f>
        <v>natürlich</v>
      </c>
      <c r="Q189" s="277" t="str">
        <f>VLOOKUP(A189,Strat_Plan_Revit!$A$10:$S$321,13,FALSE)</f>
        <v>tief</v>
      </c>
      <c r="R189" s="1162" t="s">
        <v>752</v>
      </c>
      <c r="S189" s="1173" t="s">
        <v>752</v>
      </c>
      <c r="T189" s="278" t="s">
        <v>59</v>
      </c>
      <c r="U189" s="1174"/>
      <c r="V189" s="282"/>
      <c r="W189" s="448"/>
      <c r="X189" s="1192" t="s">
        <v>1139</v>
      </c>
      <c r="Y189" s="1265" t="s">
        <v>752</v>
      </c>
      <c r="Z189" s="1258" t="s">
        <v>59</v>
      </c>
      <c r="AA189" s="1266" t="str">
        <f t="shared" si="2"/>
        <v>a</v>
      </c>
      <c r="AC189" s="572"/>
      <c r="AD189" s="572"/>
      <c r="AE189" s="572"/>
    </row>
    <row r="190" spans="1:31" ht="40.5" customHeight="1" x14ac:dyDescent="0.25">
      <c r="A190" s="1233">
        <v>312</v>
      </c>
      <c r="B190" s="270" t="str">
        <f>IF(VLOOKUP(A190,'Données de base - Grunddaten'!$A$2:$M$273,5,FALSE)="","",VLOOKUP(A190,'Données de base - Grunddaten'!$A$2:$M$273,5,FALSE))</f>
        <v>FR</v>
      </c>
      <c r="C190" s="41" t="str">
        <f>IF(VLOOKUP(A190,'Données de base - Grunddaten'!$A$2:$M$273,3,FALSE)="","",VLOOKUP(A190,'Données de base - Grunddaten'!$A$2:$M$273,3,FALSE))</f>
        <v>Plasselb</v>
      </c>
      <c r="D190" s="41" t="str">
        <f>IF(VLOOKUP(A190,'Données de base - Grunddaten'!$A$2:$M$273,4,FALSE)="","",VLOOKUP(A190,'Données de base - Grunddaten'!$A$2:$M$273,4,FALSE))</f>
        <v>Ärgera</v>
      </c>
      <c r="E190" s="271"/>
      <c r="F190" s="271"/>
      <c r="G190" s="271"/>
      <c r="H190" s="272" t="s">
        <v>1061</v>
      </c>
      <c r="I190" s="273" t="s">
        <v>1079</v>
      </c>
      <c r="J190" s="273"/>
      <c r="K190" s="274"/>
      <c r="L190" s="275"/>
      <c r="M190" s="1151" t="s">
        <v>752</v>
      </c>
      <c r="N190" s="1152" t="s">
        <v>43</v>
      </c>
      <c r="O190" s="1148" t="str">
        <f>VLOOKUP(A190,Strat_Plan_Revit!$A$10:$S$321,11,FALSE)</f>
        <v>gross</v>
      </c>
      <c r="P190" s="977" t="str">
        <f>VLOOKUP(A190,Strat_Plan_Revit!$A$10:$S$321,12,FALSE)</f>
        <v>natürlich</v>
      </c>
      <c r="Q190" s="277" t="str">
        <f>VLOOKUP(A190,Strat_Plan_Revit!$A$10:$S$321,13,FALSE)</f>
        <v>tief</v>
      </c>
      <c r="R190" s="1162" t="s">
        <v>752</v>
      </c>
      <c r="S190" s="1173" t="s">
        <v>752</v>
      </c>
      <c r="T190" s="278" t="s">
        <v>59</v>
      </c>
      <c r="U190" s="1174"/>
      <c r="V190" s="282"/>
      <c r="W190" s="448"/>
      <c r="X190" s="1192" t="s">
        <v>1140</v>
      </c>
      <c r="Y190" s="1265" t="s">
        <v>752</v>
      </c>
      <c r="Z190" s="1258" t="s">
        <v>59</v>
      </c>
      <c r="AA190" s="1266" t="str">
        <f t="shared" si="2"/>
        <v>a</v>
      </c>
      <c r="AC190" s="572"/>
      <c r="AD190" s="572"/>
      <c r="AE190" s="572"/>
    </row>
    <row r="191" spans="1:31" ht="40.5" customHeight="1" x14ac:dyDescent="0.25">
      <c r="A191" s="928">
        <v>313</v>
      </c>
      <c r="B191" s="270" t="str">
        <f>IF(VLOOKUP(A191,'Données de base - Grunddaten'!$A$2:$M$273,5,FALSE)="","",VLOOKUP(A191,'Données de base - Grunddaten'!$A$2:$M$273,5,FALSE))</f>
        <v>FR</v>
      </c>
      <c r="C191" s="41" t="str">
        <f>IF(VLOOKUP(A191,'Données de base - Grunddaten'!$A$2:$M$273,3,FALSE)="","",VLOOKUP(A191,'Données de base - Grunddaten'!$A$2:$M$273,3,FALSE))</f>
        <v>Muscherensense</v>
      </c>
      <c r="D191" s="41" t="str">
        <f>IF(VLOOKUP(A191,'Données de base - Grunddaten'!$A$2:$M$273,4,FALSE)="","",VLOOKUP(A191,'Données de base - Grunddaten'!$A$2:$M$273,4,FALSE))</f>
        <v>Muscherensense</v>
      </c>
      <c r="E191" s="271">
        <v>-3.1818181818181817</v>
      </c>
      <c r="F191" s="271">
        <v>0</v>
      </c>
      <c r="G191" s="271">
        <v>3.1818181818181817</v>
      </c>
      <c r="H191" s="272" t="s">
        <v>1061</v>
      </c>
      <c r="I191" s="273" t="s">
        <v>1079</v>
      </c>
      <c r="J191" s="273" t="s">
        <v>1059</v>
      </c>
      <c r="K191" s="274"/>
      <c r="L191" s="275"/>
      <c r="M191" s="1151" t="s">
        <v>752</v>
      </c>
      <c r="N191" s="1152" t="s">
        <v>43</v>
      </c>
      <c r="O191" s="1148" t="str">
        <f>VLOOKUP(A191,Strat_Plan_Revit!$A$10:$S$321,11,FALSE)</f>
        <v>gross</v>
      </c>
      <c r="P191" s="977" t="str">
        <f>VLOOKUP(A191,Strat_Plan_Revit!$A$10:$S$321,12,FALSE)</f>
        <v>natürlich</v>
      </c>
      <c r="Q191" s="277" t="str">
        <f>VLOOKUP(A191,Strat_Plan_Revit!$A$10:$S$321,13,FALSE)</f>
        <v>tief</v>
      </c>
      <c r="R191" s="1162" t="s">
        <v>752</v>
      </c>
      <c r="S191" s="1173" t="s">
        <v>752</v>
      </c>
      <c r="T191" s="278" t="s">
        <v>59</v>
      </c>
      <c r="U191" s="1174"/>
      <c r="V191" s="282"/>
      <c r="W191" s="448"/>
      <c r="X191" s="1192" t="s">
        <v>1140</v>
      </c>
      <c r="Y191" s="1265" t="s">
        <v>752</v>
      </c>
      <c r="Z191" s="1258" t="s">
        <v>59</v>
      </c>
      <c r="AA191" s="1266" t="str">
        <f t="shared" si="2"/>
        <v>a</v>
      </c>
      <c r="AC191" s="572"/>
      <c r="AD191" s="572"/>
      <c r="AE191" s="572"/>
    </row>
    <row r="192" spans="1:31" ht="40.5" customHeight="1" x14ac:dyDescent="0.25">
      <c r="A192" s="928">
        <v>314</v>
      </c>
      <c r="B192" s="270" t="str">
        <f>IF(VLOOKUP(A192,'Données de base - Grunddaten'!$A$2:$M$273,5,FALSE)="","",VLOOKUP(A192,'Données de base - Grunddaten'!$A$2:$M$273,5,FALSE))</f>
        <v>BE/FR</v>
      </c>
      <c r="C192" s="41" t="str">
        <f>IF(VLOOKUP(A192,'Données de base - Grunddaten'!$A$2:$M$273,3,FALSE)="","",VLOOKUP(A192,'Données de base - Grunddaten'!$A$2:$M$273,3,FALSE))</f>
        <v>Kalte Sense</v>
      </c>
      <c r="D192" s="41" t="str">
        <f>IF(VLOOKUP(A192,'Données de base - Grunddaten'!$A$2:$M$273,4,FALSE)="","",VLOOKUP(A192,'Données de base - Grunddaten'!$A$2:$M$273,4,FALSE))</f>
        <v>Kalte Sense</v>
      </c>
      <c r="E192" s="271">
        <v>6.0090909090909097</v>
      </c>
      <c r="F192" s="271">
        <v>20.133256872098443</v>
      </c>
      <c r="G192" s="271">
        <v>14.090909090909092</v>
      </c>
      <c r="H192" s="272" t="s">
        <v>1066</v>
      </c>
      <c r="I192" s="273" t="s">
        <v>1079</v>
      </c>
      <c r="J192" s="273" t="s">
        <v>1059</v>
      </c>
      <c r="K192" s="274"/>
      <c r="L192" s="275"/>
      <c r="M192" s="1151" t="s">
        <v>720</v>
      </c>
      <c r="N192" s="1152" t="s">
        <v>43</v>
      </c>
      <c r="O192" s="1148" t="s">
        <v>1890</v>
      </c>
      <c r="P192" s="977" t="s">
        <v>1891</v>
      </c>
      <c r="Q192" s="555" t="s">
        <v>1892</v>
      </c>
      <c r="R192" s="1162" t="s">
        <v>752</v>
      </c>
      <c r="S192" s="1173" t="s">
        <v>752</v>
      </c>
      <c r="T192" s="278" t="s">
        <v>110</v>
      </c>
      <c r="U192" s="1174" t="s">
        <v>1127</v>
      </c>
      <c r="V192" s="282"/>
      <c r="W192" s="448"/>
      <c r="X192" s="1192" t="s">
        <v>1128</v>
      </c>
      <c r="Y192" s="1265" t="s">
        <v>752</v>
      </c>
      <c r="Z192" s="1258" t="s">
        <v>110</v>
      </c>
      <c r="AA192" s="1266" t="str">
        <f t="shared" si="2"/>
        <v>a</v>
      </c>
      <c r="AC192" s="572"/>
      <c r="AD192" s="572"/>
      <c r="AE192" s="572"/>
    </row>
    <row r="193" spans="1:31" ht="40.5" customHeight="1" x14ac:dyDescent="0.25">
      <c r="A193" s="928">
        <v>315</v>
      </c>
      <c r="B193" s="270" t="str">
        <f>IF(VLOOKUP(A193,'Données de base - Grunddaten'!$A$2:$M$273,5,FALSE)="","",VLOOKUP(A193,'Données de base - Grunddaten'!$A$2:$M$273,5,FALSE))</f>
        <v>BE</v>
      </c>
      <c r="C193" s="41" t="str">
        <f>IF(VLOOKUP(A193,'Données de base - Grunddaten'!$A$2:$M$273,3,FALSE)="","",VLOOKUP(A193,'Données de base - Grunddaten'!$A$2:$M$273,3,FALSE))</f>
        <v>Rotenbach</v>
      </c>
      <c r="D193" s="41" t="str">
        <f>IF(VLOOKUP(A193,'Données de base - Grunddaten'!$A$2:$M$273,4,FALSE)="","",VLOOKUP(A193,'Données de base - Grunddaten'!$A$2:$M$273,4,FALSE))</f>
        <v>Kalte Sense</v>
      </c>
      <c r="E193" s="271">
        <v>-9.0545454545454547</v>
      </c>
      <c r="F193" s="271">
        <v>6.4038757871058438</v>
      </c>
      <c r="G193" s="271">
        <v>15.454545454545455</v>
      </c>
      <c r="H193" s="272" t="s">
        <v>1066</v>
      </c>
      <c r="I193" s="273" t="s">
        <v>1079</v>
      </c>
      <c r="J193" s="273" t="s">
        <v>1064</v>
      </c>
      <c r="K193" s="274"/>
      <c r="L193" s="275"/>
      <c r="M193" s="1151" t="s">
        <v>720</v>
      </c>
      <c r="N193" s="1152" t="s">
        <v>43</v>
      </c>
      <c r="O193" s="1148" t="str">
        <f>VLOOKUP(A193,Strat_Plan_Revit!$A$10:$S$321,11,FALSE)</f>
        <v>gross</v>
      </c>
      <c r="P193" s="977" t="str">
        <f>VLOOKUP(A193,Strat_Plan_Revit!$A$10:$S$321,12,FALSE)</f>
        <v>gering</v>
      </c>
      <c r="Q193" s="277" t="str">
        <f>VLOOKUP(A193,Strat_Plan_Revit!$A$10:$S$321,13,FALSE)</f>
        <v>-</v>
      </c>
      <c r="R193" s="1162" t="s">
        <v>752</v>
      </c>
      <c r="S193" s="1173" t="s">
        <v>752</v>
      </c>
      <c r="T193" s="278" t="s">
        <v>110</v>
      </c>
      <c r="U193" s="1174"/>
      <c r="V193" s="282"/>
      <c r="W193" s="448"/>
      <c r="X193" s="1192" t="s">
        <v>1079</v>
      </c>
      <c r="Y193" s="1265" t="s">
        <v>752</v>
      </c>
      <c r="Z193" s="1258" t="s">
        <v>110</v>
      </c>
      <c r="AA193" s="1266" t="str">
        <f t="shared" si="2"/>
        <v>a</v>
      </c>
      <c r="AC193" s="572"/>
      <c r="AD193" s="572"/>
      <c r="AE193" s="572"/>
    </row>
    <row r="194" spans="1:31" ht="40.5" customHeight="1" x14ac:dyDescent="0.25">
      <c r="A194" s="1233">
        <v>316</v>
      </c>
      <c r="B194" s="270" t="str">
        <f>IF(VLOOKUP(A194,'Données de base - Grunddaten'!$A$2:$M$273,5,FALSE)="","",VLOOKUP(A194,'Données de base - Grunddaten'!$A$2:$M$273,5,FALSE))</f>
        <v>BE</v>
      </c>
      <c r="C194" s="41" t="str">
        <f>IF(VLOOKUP(A194,'Données de base - Grunddaten'!$A$2:$M$273,3,FALSE)="","",VLOOKUP(A194,'Données de base - Grunddaten'!$A$2:$M$273,3,FALSE))</f>
        <v>Heubach</v>
      </c>
      <c r="D194" s="41" t="str">
        <f>IF(VLOOKUP(A194,'Données de base - Grunddaten'!$A$2:$M$273,4,FALSE)="","",VLOOKUP(A194,'Données de base - Grunddaten'!$A$2:$M$273,4,FALSE))</f>
        <v>Schwarzwasser</v>
      </c>
      <c r="E194" s="271"/>
      <c r="F194" s="271"/>
      <c r="G194" s="271"/>
      <c r="H194" s="283"/>
      <c r="I194" s="279"/>
      <c r="J194" s="279"/>
      <c r="K194" s="280" t="s">
        <v>1066</v>
      </c>
      <c r="L194" s="281" t="s">
        <v>1121</v>
      </c>
      <c r="M194" s="1151" t="s">
        <v>752</v>
      </c>
      <c r="N194" s="1152" t="s">
        <v>72</v>
      </c>
      <c r="O194" s="1148" t="str">
        <f>VLOOKUP(A194,Strat_Plan_Revit!$A$10:$S$321,11,FALSE)</f>
        <v>gross/mittel</v>
      </c>
      <c r="P194" s="977" t="str">
        <f>VLOOKUP(A194,Strat_Plan_Revit!$A$10:$S$321,12,FALSE)</f>
        <v>mittel/gering</v>
      </c>
      <c r="Q194" s="277" t="str">
        <f>VLOOKUP(A194,Strat_Plan_Revit!$A$10:$S$321,13,FALSE)</f>
        <v>-</v>
      </c>
      <c r="R194" s="1162" t="s">
        <v>752</v>
      </c>
      <c r="S194" s="1173" t="s">
        <v>752</v>
      </c>
      <c r="T194" s="278" t="s">
        <v>59</v>
      </c>
      <c r="U194" s="1174"/>
      <c r="V194" s="282"/>
      <c r="W194" s="448"/>
      <c r="X194" s="1192" t="s">
        <v>1079</v>
      </c>
      <c r="Y194" s="1265" t="s">
        <v>752</v>
      </c>
      <c r="Z194" s="1258" t="s">
        <v>59</v>
      </c>
      <c r="AA194" s="1266" t="str">
        <f t="shared" si="2"/>
        <v>a</v>
      </c>
      <c r="AC194" s="572"/>
      <c r="AD194" s="572"/>
      <c r="AE194" s="572"/>
    </row>
    <row r="195" spans="1:31" ht="40.5" customHeight="1" x14ac:dyDescent="0.25">
      <c r="A195" s="1233">
        <v>317</v>
      </c>
      <c r="B195" s="270" t="str">
        <f>IF(VLOOKUP(A195,'Données de base - Grunddaten'!$A$2:$M$273,5,FALSE)="","",VLOOKUP(A195,'Données de base - Grunddaten'!$A$2:$M$273,5,FALSE))</f>
        <v>BE</v>
      </c>
      <c r="C195" s="41" t="str">
        <f>IF(VLOOKUP(A195,'Données de base - Grunddaten'!$A$2:$M$273,3,FALSE)="","",VLOOKUP(A195,'Données de base - Grunddaten'!$A$2:$M$273,3,FALSE))</f>
        <v>Seligraben</v>
      </c>
      <c r="D195" s="41" t="str">
        <f>IF(VLOOKUP(A195,'Données de base - Grunddaten'!$A$2:$M$273,4,FALSE)="","",VLOOKUP(A195,'Données de base - Grunddaten'!$A$2:$M$273,4,FALSE))</f>
        <v>Seligrabenbach</v>
      </c>
      <c r="E195" s="271"/>
      <c r="F195" s="271"/>
      <c r="G195" s="271"/>
      <c r="H195" s="283"/>
      <c r="I195" s="273" t="s">
        <v>1079</v>
      </c>
      <c r="J195" s="273"/>
      <c r="K195" s="274" t="s">
        <v>1061</v>
      </c>
      <c r="L195" s="275"/>
      <c r="M195" s="1151" t="s">
        <v>752</v>
      </c>
      <c r="N195" s="1152" t="s">
        <v>43</v>
      </c>
      <c r="O195" s="1148" t="str">
        <f>VLOOKUP(A195,Strat_Plan_Revit!$A$10:$S$321,11,FALSE)</f>
        <v>gross/mittel</v>
      </c>
      <c r="P195" s="977" t="str">
        <f>VLOOKUP(A195,Strat_Plan_Revit!$A$10:$S$321,12,FALSE)</f>
        <v>gross/gering</v>
      </c>
      <c r="Q195" s="277" t="str">
        <f>VLOOKUP(A195,Strat_Plan_Revit!$A$10:$S$321,13,FALSE)</f>
        <v>-</v>
      </c>
      <c r="R195" s="1162" t="s">
        <v>752</v>
      </c>
      <c r="S195" s="1173" t="s">
        <v>752</v>
      </c>
      <c r="T195" s="278" t="s">
        <v>59</v>
      </c>
      <c r="U195" s="1174"/>
      <c r="V195" s="282"/>
      <c r="W195" s="448"/>
      <c r="X195" s="1192" t="s">
        <v>1079</v>
      </c>
      <c r="Y195" s="1265" t="s">
        <v>752</v>
      </c>
      <c r="Z195" s="1258" t="s">
        <v>59</v>
      </c>
      <c r="AA195" s="1266" t="str">
        <f t="shared" si="2"/>
        <v>a</v>
      </c>
      <c r="AC195" s="572"/>
      <c r="AD195" s="572"/>
      <c r="AE195" s="572"/>
    </row>
    <row r="196" spans="1:31" ht="40.5" customHeight="1" x14ac:dyDescent="0.25">
      <c r="A196" s="1233">
        <v>318</v>
      </c>
      <c r="B196" s="270" t="str">
        <f>IF(VLOOKUP(A196,'Données de base - Grunddaten'!$A$2:$M$273,5,FALSE)="","",VLOOKUP(A196,'Données de base - Grunddaten'!$A$2:$M$273,5,FALSE))</f>
        <v>BE</v>
      </c>
      <c r="C196" s="41" t="str">
        <f>IF(VLOOKUP(A196,'Données de base - Grunddaten'!$A$2:$M$273,3,FALSE)="","",VLOOKUP(A196,'Données de base - Grunddaten'!$A$2:$M$273,3,FALSE))</f>
        <v>Eymatt</v>
      </c>
      <c r="D196" s="41" t="str">
        <f>IF(VLOOKUP(A196,'Données de base - Grunddaten'!$A$2:$M$273,4,FALSE)="","",VLOOKUP(A196,'Données de base - Grunddaten'!$A$2:$M$273,4,FALSE))</f>
        <v>Gäbelbach</v>
      </c>
      <c r="E196" s="271"/>
      <c r="F196" s="271"/>
      <c r="G196" s="271"/>
      <c r="H196" s="283"/>
      <c r="I196" s="273" t="s">
        <v>1079</v>
      </c>
      <c r="J196" s="273"/>
      <c r="K196" s="274" t="s">
        <v>1061</v>
      </c>
      <c r="L196" s="275"/>
      <c r="M196" s="1151" t="s">
        <v>752</v>
      </c>
      <c r="N196" s="1152" t="s">
        <v>43</v>
      </c>
      <c r="O196" s="1148" t="e">
        <f>VLOOKUP(A196,Strat_Plan_Revit!$A$10:$S$321,11,FALSE)</f>
        <v>#N/A</v>
      </c>
      <c r="P196" s="977" t="e">
        <f>VLOOKUP(A196,Strat_Plan_Revit!$A$10:$S$321,12,FALSE)</f>
        <v>#N/A</v>
      </c>
      <c r="Q196" s="277" t="e">
        <f>VLOOKUP(A196,Strat_Plan_Revit!$A$10:$S$321,13,FALSE)</f>
        <v>#N/A</v>
      </c>
      <c r="R196" s="1169"/>
      <c r="S196" s="1173" t="s">
        <v>752</v>
      </c>
      <c r="T196" s="278" t="s">
        <v>43</v>
      </c>
      <c r="U196" s="1174"/>
      <c r="V196" s="282"/>
      <c r="W196" s="448"/>
      <c r="X196" s="1192" t="s">
        <v>1079</v>
      </c>
      <c r="Y196" s="1265" t="s">
        <v>752</v>
      </c>
      <c r="Z196" s="1258" t="s">
        <v>43</v>
      </c>
      <c r="AA196" s="1266" t="str">
        <f t="shared" si="2"/>
        <v>a</v>
      </c>
      <c r="AC196" s="572"/>
      <c r="AD196" s="572"/>
      <c r="AE196" s="572"/>
    </row>
    <row r="197" spans="1:31" ht="40.5" customHeight="1" x14ac:dyDescent="0.25">
      <c r="A197" s="928">
        <v>319</v>
      </c>
      <c r="B197" s="270" t="str">
        <f>IF(VLOOKUP(A197,'Données de base - Grunddaten'!$A$2:$M$273,5,FALSE)="","",VLOOKUP(A197,'Données de base - Grunddaten'!$A$2:$M$273,5,FALSE))</f>
        <v>BE</v>
      </c>
      <c r="C197" s="41" t="str">
        <f>IF(VLOOKUP(A197,'Données de base - Grunddaten'!$A$2:$M$273,3,FALSE)="","",VLOOKUP(A197,'Données de base - Grunddaten'!$A$2:$M$273,3,FALSE))</f>
        <v>Emmeschlucht</v>
      </c>
      <c r="D197" s="41" t="str">
        <f>IF(VLOOKUP(A197,'Données de base - Grunddaten'!$A$2:$M$273,4,FALSE)="","",VLOOKUP(A197,'Données de base - Grunddaten'!$A$2:$M$273,4,FALSE))</f>
        <v>Emme</v>
      </c>
      <c r="E197" s="271">
        <v>-11.818181818181818</v>
      </c>
      <c r="F197" s="271">
        <v>0</v>
      </c>
      <c r="G197" s="271">
        <v>11.818181818181818</v>
      </c>
      <c r="H197" s="272" t="s">
        <v>1061</v>
      </c>
      <c r="I197" s="273"/>
      <c r="J197" s="273" t="s">
        <v>1064</v>
      </c>
      <c r="K197" s="274"/>
      <c r="L197" s="275"/>
      <c r="M197" s="1151" t="s">
        <v>752</v>
      </c>
      <c r="N197" s="1152" t="s">
        <v>43</v>
      </c>
      <c r="O197" s="1148" t="str">
        <f>VLOOKUP(A197,Strat_Plan_Revit!$A$10:$S$321,11,FALSE)</f>
        <v>gross</v>
      </c>
      <c r="P197" s="977" t="str">
        <f>VLOOKUP(A197,Strat_Plan_Revit!$A$10:$S$321,12,FALSE)</f>
        <v>gering</v>
      </c>
      <c r="Q197" s="277" t="str">
        <f>VLOOKUP(A197,Strat_Plan_Revit!$A$10:$S$321,13,FALSE)</f>
        <v>-</v>
      </c>
      <c r="R197" s="1162" t="s">
        <v>752</v>
      </c>
      <c r="S197" s="1173" t="s">
        <v>752</v>
      </c>
      <c r="T197" s="278" t="s">
        <v>59</v>
      </c>
      <c r="U197" s="1174"/>
      <c r="V197" s="282"/>
      <c r="W197" s="448"/>
      <c r="X197" s="1192" t="s">
        <v>1079</v>
      </c>
      <c r="Y197" s="1265" t="s">
        <v>752</v>
      </c>
      <c r="Z197" s="1258" t="s">
        <v>59</v>
      </c>
      <c r="AA197" s="1266" t="str">
        <f t="shared" ref="AA197:AA260" si="3">IF(Z197="a",Z197,IF(Z197="b",Z197,IF(Z197="c","a",IF(Z197="d","a",IF(Z197="e","b")))))</f>
        <v>a</v>
      </c>
      <c r="AC197" s="572"/>
      <c r="AD197" s="572"/>
      <c r="AE197" s="572"/>
    </row>
    <row r="198" spans="1:31" ht="40.5" customHeight="1" x14ac:dyDescent="0.25">
      <c r="A198" s="1233">
        <v>320</v>
      </c>
      <c r="B198" s="270" t="str">
        <f>IF(VLOOKUP(A198,'Données de base - Grunddaten'!$A$2:$M$273,5,FALSE)="","",VLOOKUP(A198,'Données de base - Grunddaten'!$A$2:$M$273,5,FALSE))</f>
        <v>BE</v>
      </c>
      <c r="C198" s="41" t="str">
        <f>IF(VLOOKUP(A198,'Données de base - Grunddaten'!$A$2:$M$273,3,FALSE)="","",VLOOKUP(A198,'Données de base - Grunddaten'!$A$2:$M$273,3,FALSE))</f>
        <v>Innereriz Zulg</v>
      </c>
      <c r="D198" s="41" t="str">
        <f>IF(VLOOKUP(A198,'Données de base - Grunddaten'!$A$2:$M$273,4,FALSE)="","",VLOOKUP(A198,'Données de base - Grunddaten'!$A$2:$M$273,4,FALSE))</f>
        <v>Zulg</v>
      </c>
      <c r="E198" s="271"/>
      <c r="F198" s="271"/>
      <c r="G198" s="271"/>
      <c r="H198" s="283"/>
      <c r="I198" s="273" t="s">
        <v>1079</v>
      </c>
      <c r="J198" s="273"/>
      <c r="K198" s="274" t="s">
        <v>1061</v>
      </c>
      <c r="L198" s="275"/>
      <c r="M198" s="1151" t="s">
        <v>752</v>
      </c>
      <c r="N198" s="1152" t="s">
        <v>43</v>
      </c>
      <c r="O198" s="1148" t="str">
        <f>VLOOKUP(A198,Strat_Plan_Revit!$A$10:$S$321,11,FALSE)</f>
        <v>gross/mittel</v>
      </c>
      <c r="P198" s="977" t="str">
        <f>VLOOKUP(A198,Strat_Plan_Revit!$A$10:$S$321,12,FALSE)</f>
        <v>gering</v>
      </c>
      <c r="Q198" s="277" t="str">
        <f>VLOOKUP(A198,Strat_Plan_Revit!$A$10:$S$321,13,FALSE)</f>
        <v>-</v>
      </c>
      <c r="R198" s="1162" t="s">
        <v>752</v>
      </c>
      <c r="S198" s="1173" t="s">
        <v>752</v>
      </c>
      <c r="T198" s="278" t="s">
        <v>59</v>
      </c>
      <c r="U198" s="1174"/>
      <c r="V198" s="282"/>
      <c r="W198" s="448"/>
      <c r="X198" s="1192" t="s">
        <v>1079</v>
      </c>
      <c r="Y198" s="1265" t="s">
        <v>752</v>
      </c>
      <c r="Z198" s="1258" t="s">
        <v>59</v>
      </c>
      <c r="AA198" s="1266" t="str">
        <f t="shared" si="3"/>
        <v>a</v>
      </c>
      <c r="AC198" s="572"/>
      <c r="AD198" s="572"/>
      <c r="AE198" s="572"/>
    </row>
    <row r="199" spans="1:31" ht="40.5" customHeight="1" x14ac:dyDescent="0.25">
      <c r="A199" s="928">
        <v>321</v>
      </c>
      <c r="B199" s="270" t="str">
        <f>IF(VLOOKUP(A199,'Données de base - Grunddaten'!$A$2:$M$273,5,FALSE)="","",VLOOKUP(A199,'Données de base - Grunddaten'!$A$2:$M$273,5,FALSE))</f>
        <v>BE</v>
      </c>
      <c r="C199" s="41" t="str">
        <f>IF(VLOOKUP(A199,'Données de base - Grunddaten'!$A$2:$M$273,3,FALSE)="","",VLOOKUP(A199,'Données de base - Grunddaten'!$A$2:$M$273,3,FALSE))</f>
        <v>Harzisboden</v>
      </c>
      <c r="D199" s="41" t="str">
        <f>IF(VLOOKUP(A199,'Données de base - Grunddaten'!$A$2:$M$273,4,FALSE)="","",VLOOKUP(A199,'Données de base - Grunddaten'!$A$2:$M$273,4,FALSE))</f>
        <v>Emme</v>
      </c>
      <c r="E199" s="271">
        <v>-8.1818181818181817</v>
      </c>
      <c r="F199" s="271">
        <v>0</v>
      </c>
      <c r="G199" s="271">
        <v>8.1818181818181817</v>
      </c>
      <c r="H199" s="272" t="s">
        <v>1061</v>
      </c>
      <c r="I199" s="273" t="s">
        <v>1079</v>
      </c>
      <c r="J199" s="273" t="s">
        <v>1064</v>
      </c>
      <c r="K199" s="274"/>
      <c r="L199" s="275"/>
      <c r="M199" s="1151" t="s">
        <v>752</v>
      </c>
      <c r="N199" s="1152" t="s">
        <v>43</v>
      </c>
      <c r="O199" s="1148" t="str">
        <f>VLOOKUP(A199,Strat_Plan_Revit!$A$10:$S$321,11,FALSE)</f>
        <v>gross</v>
      </c>
      <c r="P199" s="977" t="str">
        <f>VLOOKUP(A199,Strat_Plan_Revit!$A$10:$S$321,12,FALSE)</f>
        <v>gering</v>
      </c>
      <c r="Q199" s="277" t="str">
        <f>VLOOKUP(A199,Strat_Plan_Revit!$A$10:$S$321,13,FALSE)</f>
        <v>-</v>
      </c>
      <c r="R199" s="1162" t="s">
        <v>752</v>
      </c>
      <c r="S199" s="1173" t="s">
        <v>752</v>
      </c>
      <c r="T199" s="278" t="s">
        <v>59</v>
      </c>
      <c r="U199" s="1174"/>
      <c r="V199" s="282"/>
      <c r="W199" s="448"/>
      <c r="X199" s="1192" t="s">
        <v>1079</v>
      </c>
      <c r="Y199" s="1265" t="s">
        <v>752</v>
      </c>
      <c r="Z199" s="1258" t="s">
        <v>59</v>
      </c>
      <c r="AA199" s="1266" t="str">
        <f t="shared" si="3"/>
        <v>a</v>
      </c>
      <c r="AC199" s="572"/>
      <c r="AD199" s="572"/>
      <c r="AE199" s="572"/>
    </row>
    <row r="200" spans="1:31" ht="40.5" customHeight="1" x14ac:dyDescent="0.25">
      <c r="A200" s="928">
        <v>322</v>
      </c>
      <c r="B200" s="270" t="str">
        <f>IF(VLOOKUP(A200,'Données de base - Grunddaten'!$A$2:$M$273,5,FALSE)="","",VLOOKUP(A200,'Données de base - Grunddaten'!$A$2:$M$273,5,FALSE))</f>
        <v>BE</v>
      </c>
      <c r="C200" s="41" t="str">
        <f>IF(VLOOKUP(A200,'Données de base - Grunddaten'!$A$2:$M$273,3,FALSE)="","",VLOOKUP(A200,'Données de base - Grunddaten'!$A$2:$M$273,3,FALSE))</f>
        <v>Rezliberg</v>
      </c>
      <c r="D200" s="41" t="str">
        <f>IF(VLOOKUP(A200,'Données de base - Grunddaten'!$A$2:$M$273,4,FALSE)="","",VLOOKUP(A200,'Données de base - Grunddaten'!$A$2:$M$273,4,FALSE))</f>
        <v>Trüebbach</v>
      </c>
      <c r="E200" s="271">
        <v>4.4000000000000004</v>
      </c>
      <c r="F200" s="271">
        <v>9.4454042173273454</v>
      </c>
      <c r="G200" s="271">
        <v>5</v>
      </c>
      <c r="H200" s="272" t="s">
        <v>1066</v>
      </c>
      <c r="I200" s="273"/>
      <c r="J200" s="273" t="s">
        <v>1059</v>
      </c>
      <c r="K200" s="274"/>
      <c r="L200" s="275"/>
      <c r="M200" s="1151" t="s">
        <v>752</v>
      </c>
      <c r="N200" s="1152" t="s">
        <v>72</v>
      </c>
      <c r="O200" s="1148" t="str">
        <f>VLOOKUP(A200,Strat_Plan_Revit!$A$10:$S$321,11,FALSE)</f>
        <v>gross</v>
      </c>
      <c r="P200" s="977" t="str">
        <f>VLOOKUP(A200,Strat_Plan_Revit!$A$10:$S$321,12,FALSE)</f>
        <v>gering</v>
      </c>
      <c r="Q200" s="277" t="str">
        <f>VLOOKUP(A200,Strat_Plan_Revit!$A$10:$S$321,13,FALSE)</f>
        <v>-</v>
      </c>
      <c r="R200" s="1162" t="s">
        <v>752</v>
      </c>
      <c r="S200" s="1173" t="s">
        <v>752</v>
      </c>
      <c r="T200" s="278" t="s">
        <v>59</v>
      </c>
      <c r="U200" s="1174"/>
      <c r="V200" s="282"/>
      <c r="W200" s="448"/>
      <c r="X200" s="1192" t="s">
        <v>1079</v>
      </c>
      <c r="Y200" s="1265" t="s">
        <v>752</v>
      </c>
      <c r="Z200" s="1258" t="s">
        <v>59</v>
      </c>
      <c r="AA200" s="1266" t="str">
        <f t="shared" si="3"/>
        <v>a</v>
      </c>
      <c r="AB200" s="1073" t="s">
        <v>1187</v>
      </c>
      <c r="AC200" s="572"/>
      <c r="AD200" s="572"/>
      <c r="AE200" s="572"/>
    </row>
    <row r="201" spans="1:31" ht="40.5" customHeight="1" x14ac:dyDescent="0.25">
      <c r="A201" s="928">
        <v>323</v>
      </c>
      <c r="B201" s="270" t="str">
        <f>IF(VLOOKUP(A201,'Données de base - Grunddaten'!$A$2:$M$273,5,FALSE)="","",VLOOKUP(A201,'Données de base - Grunddaten'!$A$2:$M$273,5,FALSE))</f>
        <v>BE</v>
      </c>
      <c r="C201" s="41" t="str">
        <f>IF(VLOOKUP(A201,'Données de base - Grunddaten'!$A$2:$M$273,3,FALSE)="","",VLOOKUP(A201,'Données de base - Grunddaten'!$A$2:$M$273,3,FALSE))</f>
        <v>Hornbrügg</v>
      </c>
      <c r="D201" s="41" t="str">
        <f>IF(VLOOKUP(A201,'Données de base - Grunddaten'!$A$2:$M$273,4,FALSE)="","",VLOOKUP(A201,'Données de base - Grunddaten'!$A$2:$M$273,4,FALSE))</f>
        <v>Allebach, Rossbach</v>
      </c>
      <c r="E201" s="271">
        <v>-5.6545454545454552</v>
      </c>
      <c r="F201" s="271">
        <v>4.8015603797416491</v>
      </c>
      <c r="G201" s="271">
        <v>10.454545454545455</v>
      </c>
      <c r="H201" s="272" t="s">
        <v>1066</v>
      </c>
      <c r="I201" s="273" t="s">
        <v>1079</v>
      </c>
      <c r="J201" s="273" t="s">
        <v>1059</v>
      </c>
      <c r="K201" s="274"/>
      <c r="L201" s="275"/>
      <c r="M201" s="1151" t="s">
        <v>720</v>
      </c>
      <c r="N201" s="1152" t="s">
        <v>43</v>
      </c>
      <c r="O201" s="1148" t="str">
        <f>VLOOKUP(A201,Strat_Plan_Revit!$A$10:$S$321,11,FALSE)</f>
        <v>gross</v>
      </c>
      <c r="P201" s="977" t="str">
        <f>VLOOKUP(A201,Strat_Plan_Revit!$A$10:$S$321,12,FALSE)</f>
        <v>gross</v>
      </c>
      <c r="Q201" s="277" t="str">
        <f>VLOOKUP(A201,Strat_Plan_Revit!$A$10:$S$321,13,FALSE)</f>
        <v>-</v>
      </c>
      <c r="R201" s="1162" t="s">
        <v>737</v>
      </c>
      <c r="S201" s="1173" t="s">
        <v>737</v>
      </c>
      <c r="T201" s="278" t="s">
        <v>110</v>
      </c>
      <c r="U201" s="1174"/>
      <c r="V201" s="282"/>
      <c r="W201" s="448"/>
      <c r="X201" s="1192" t="s">
        <v>1119</v>
      </c>
      <c r="Y201" s="284" t="s">
        <v>720</v>
      </c>
      <c r="Z201" s="1258" t="s">
        <v>368</v>
      </c>
      <c r="AA201" s="1266" t="s">
        <v>43</v>
      </c>
      <c r="AC201" s="572"/>
      <c r="AD201" s="572"/>
      <c r="AE201" s="572"/>
    </row>
    <row r="202" spans="1:31" ht="40.5" customHeight="1" x14ac:dyDescent="0.25">
      <c r="A202" s="928">
        <v>324</v>
      </c>
      <c r="B202" s="270" t="str">
        <f>IF(VLOOKUP(A202,'Données de base - Grunddaten'!$A$2:$M$273,5,FALSE)="","",VLOOKUP(A202,'Données de base - Grunddaten'!$A$2:$M$273,5,FALSE))</f>
        <v>BE</v>
      </c>
      <c r="C202" s="41" t="str">
        <f>IF(VLOOKUP(A202,'Données de base - Grunddaten'!$A$2:$M$273,3,FALSE)="","",VLOOKUP(A202,'Données de base - Grunddaten'!$A$2:$M$273,3,FALSE))</f>
        <v>Lochweid</v>
      </c>
      <c r="D202" s="41" t="str">
        <f>IF(VLOOKUP(A202,'Données de base - Grunddaten'!$A$2:$M$273,4,FALSE)="","",VLOOKUP(A202,'Données de base - Grunddaten'!$A$2:$M$273,4,FALSE))</f>
        <v>Tschentbach</v>
      </c>
      <c r="E202" s="271">
        <v>12.709090909090909</v>
      </c>
      <c r="F202" s="271">
        <v>21.771994111698021</v>
      </c>
      <c r="G202" s="271">
        <v>9.0909090909090917</v>
      </c>
      <c r="H202" s="272" t="s">
        <v>1066</v>
      </c>
      <c r="I202" s="273" t="s">
        <v>1079</v>
      </c>
      <c r="J202" s="273" t="s">
        <v>1059</v>
      </c>
      <c r="K202" s="274"/>
      <c r="L202" s="275"/>
      <c r="M202" s="1151" t="s">
        <v>720</v>
      </c>
      <c r="N202" s="1152" t="s">
        <v>43</v>
      </c>
      <c r="O202" s="1148" t="str">
        <f>VLOOKUP(A202,Strat_Plan_Revit!$A$10:$S$321,11,FALSE)</f>
        <v xml:space="preserve">mittel </v>
      </c>
      <c r="P202" s="977" t="str">
        <f>VLOOKUP(A202,Strat_Plan_Revit!$A$10:$S$321,12,FALSE)</f>
        <v>gering</v>
      </c>
      <c r="Q202" s="277" t="str">
        <f>VLOOKUP(A202,Strat_Plan_Revit!$A$10:$S$321,13,FALSE)</f>
        <v>-</v>
      </c>
      <c r="R202" s="1162" t="s">
        <v>752</v>
      </c>
      <c r="S202" s="1179" t="s">
        <v>720</v>
      </c>
      <c r="T202" s="278" t="s">
        <v>368</v>
      </c>
      <c r="U202" s="1174"/>
      <c r="V202" s="1053" t="s">
        <v>126</v>
      </c>
      <c r="W202" s="1140"/>
      <c r="X202" s="1190" t="s">
        <v>1079</v>
      </c>
      <c r="Y202" s="1265" t="s">
        <v>752</v>
      </c>
      <c r="Z202" s="1258" t="s">
        <v>110</v>
      </c>
      <c r="AA202" s="1266" t="str">
        <f t="shared" si="3"/>
        <v>a</v>
      </c>
      <c r="AC202" s="572"/>
      <c r="AD202" s="572"/>
      <c r="AE202" s="572"/>
    </row>
    <row r="203" spans="1:31" ht="40.5" customHeight="1" x14ac:dyDescent="0.25">
      <c r="A203" s="928">
        <v>325</v>
      </c>
      <c r="B203" s="270" t="str">
        <f>IF(VLOOKUP(A203,'Données de base - Grunddaten'!$A$2:$M$273,5,FALSE)="","",VLOOKUP(A203,'Données de base - Grunddaten'!$A$2:$M$273,5,FALSE))</f>
        <v>BE</v>
      </c>
      <c r="C203" s="41" t="str">
        <f>IF(VLOOKUP(A203,'Données de base - Grunddaten'!$A$2:$M$273,3,FALSE)="","",VLOOKUP(A203,'Données de base - Grunddaten'!$A$2:$M$273,3,FALSE))</f>
        <v>Gastere bei Selden</v>
      </c>
      <c r="D203" s="41" t="str">
        <f>IF(VLOOKUP(A203,'Données de base - Grunddaten'!$A$2:$M$273,4,FALSE)="","",VLOOKUP(A203,'Données de base - Grunddaten'!$A$2:$M$273,4,FALSE))</f>
        <v>Kander</v>
      </c>
      <c r="E203" s="271">
        <v>1.8272727272727263</v>
      </c>
      <c r="F203" s="271">
        <v>14.147848864901247</v>
      </c>
      <c r="G203" s="271">
        <v>12.272727272727273</v>
      </c>
      <c r="H203" s="272" t="s">
        <v>1066</v>
      </c>
      <c r="I203" s="273" t="s">
        <v>1079</v>
      </c>
      <c r="J203" s="273" t="s">
        <v>1064</v>
      </c>
      <c r="K203" s="274"/>
      <c r="L203" s="275"/>
      <c r="M203" s="1151" t="s">
        <v>752</v>
      </c>
      <c r="N203" s="1152" t="s">
        <v>72</v>
      </c>
      <c r="O203" s="1148" t="str">
        <f>VLOOKUP(A203,Strat_Plan_Revit!$A$10:$S$321,11,FALSE)</f>
        <v xml:space="preserve">mittel </v>
      </c>
      <c r="P203" s="977" t="str">
        <f>VLOOKUP(A203,Strat_Plan_Revit!$A$10:$S$321,12,FALSE)</f>
        <v>gering</v>
      </c>
      <c r="Q203" s="277" t="str">
        <f>VLOOKUP(A203,Strat_Plan_Revit!$A$10:$S$321,13,FALSE)</f>
        <v>-</v>
      </c>
      <c r="R203" s="1162" t="s">
        <v>752</v>
      </c>
      <c r="S203" s="1173" t="s">
        <v>752</v>
      </c>
      <c r="T203" s="278" t="s">
        <v>59</v>
      </c>
      <c r="U203" s="1174"/>
      <c r="V203" s="282"/>
      <c r="W203" s="448"/>
      <c r="X203" s="1192" t="s">
        <v>1079</v>
      </c>
      <c r="Y203" s="1265" t="s">
        <v>752</v>
      </c>
      <c r="Z203" s="1258" t="s">
        <v>59</v>
      </c>
      <c r="AA203" s="1266" t="str">
        <f t="shared" si="3"/>
        <v>a</v>
      </c>
      <c r="AC203" s="572"/>
      <c r="AD203" s="572"/>
      <c r="AE203" s="572"/>
    </row>
    <row r="204" spans="1:31" ht="40.5" customHeight="1" x14ac:dyDescent="0.25">
      <c r="A204" s="927">
        <v>326.10000000000002</v>
      </c>
      <c r="B204" s="270" t="str">
        <f>IF(VLOOKUP(A204,'Données de base - Grunddaten'!$A$2:$M$273,5,FALSE)="","",VLOOKUP(A204,'Données de base - Grunddaten'!$A$2:$M$273,5,FALSE))</f>
        <v>BE</v>
      </c>
      <c r="C204" s="41" t="str">
        <f>IF(VLOOKUP(A204,'Données de base - Grunddaten'!$A$2:$M$273,3,FALSE)="","",VLOOKUP(A204,'Données de base - Grunddaten'!$A$2:$M$273,3,FALSE))</f>
        <v>Tschingel</v>
      </c>
      <c r="D204" s="41" t="str">
        <f>IF(VLOOKUP(A204,'Données de base - Grunddaten'!$A$2:$M$273,4,FALSE)="","",VLOOKUP(A204,'Données de base - Grunddaten'!$A$2:$M$273,4,FALSE))</f>
        <v>Gamchibach, Gornerewasser, Tschingelsee</v>
      </c>
      <c r="E204" s="271"/>
      <c r="F204" s="271"/>
      <c r="G204" s="271"/>
      <c r="H204" s="272" t="s">
        <v>1061</v>
      </c>
      <c r="I204" s="273" t="s">
        <v>1079</v>
      </c>
      <c r="J204" s="273" t="s">
        <v>1064</v>
      </c>
      <c r="K204" s="274"/>
      <c r="L204" s="275"/>
      <c r="M204" s="1151" t="s">
        <v>752</v>
      </c>
      <c r="N204" s="1152" t="s">
        <v>72</v>
      </c>
      <c r="O204" s="1148" t="str">
        <f>VLOOKUP(A204,Strat_Plan_Revit!$A$10:$S$321,11,FALSE)</f>
        <v>gross</v>
      </c>
      <c r="P204" s="977" t="str">
        <f>VLOOKUP(A204,Strat_Plan_Revit!$A$10:$S$321,12,FALSE)</f>
        <v>gering</v>
      </c>
      <c r="Q204" s="277" t="str">
        <f>VLOOKUP(A204,Strat_Plan_Revit!$A$10:$S$321,13,FALSE)</f>
        <v>-</v>
      </c>
      <c r="R204" s="1169"/>
      <c r="S204" s="1173" t="s">
        <v>752</v>
      </c>
      <c r="T204" s="278" t="s">
        <v>72</v>
      </c>
      <c r="U204" s="1174"/>
      <c r="V204" s="282"/>
      <c r="W204" s="448"/>
      <c r="X204" s="1192" t="s">
        <v>1124</v>
      </c>
      <c r="Y204" s="1265" t="s">
        <v>752</v>
      </c>
      <c r="Z204" s="1258" t="s">
        <v>72</v>
      </c>
      <c r="AA204" s="1266" t="str">
        <f t="shared" si="3"/>
        <v>b</v>
      </c>
      <c r="AC204" s="572"/>
      <c r="AD204" s="572"/>
      <c r="AE204" s="572"/>
    </row>
    <row r="205" spans="1:31" ht="40.5" customHeight="1" x14ac:dyDescent="0.25">
      <c r="A205" s="927">
        <v>326.2</v>
      </c>
      <c r="B205" s="270" t="str">
        <f>IF(VLOOKUP(A205,'Données de base - Grunddaten'!$A$2:$M$273,5,FALSE)="","",VLOOKUP(A205,'Données de base - Grunddaten'!$A$2:$M$273,5,FALSE))</f>
        <v>BE</v>
      </c>
      <c r="C205" s="41" t="str">
        <f>IF(VLOOKUP(A205,'Données de base - Grunddaten'!$A$2:$M$273,3,FALSE)="","",VLOOKUP(A205,'Données de base - Grunddaten'!$A$2:$M$273,3,FALSE))</f>
        <v>Tschingel</v>
      </c>
      <c r="D205" s="41" t="str">
        <f>IF(VLOOKUP(A205,'Données de base - Grunddaten'!$A$2:$M$273,4,FALSE)="","",VLOOKUP(A205,'Données de base - Grunddaten'!$A$2:$M$273,4,FALSE))</f>
        <v>Gamchibach, Gornerewasser, Tschingelsee</v>
      </c>
      <c r="E205" s="271">
        <v>71.981818181818184</v>
      </c>
      <c r="F205" s="271">
        <v>0</v>
      </c>
      <c r="G205" s="271">
        <v>1.8181818181818181</v>
      </c>
      <c r="H205" s="272" t="s">
        <v>1061</v>
      </c>
      <c r="I205" s="273" t="s">
        <v>1079</v>
      </c>
      <c r="J205" s="273" t="s">
        <v>1064</v>
      </c>
      <c r="K205" s="274"/>
      <c r="L205" s="275"/>
      <c r="M205" s="1151" t="s">
        <v>752</v>
      </c>
      <c r="N205" s="1152" t="s">
        <v>43</v>
      </c>
      <c r="O205" s="1148">
        <f>VLOOKUP(A205,Strat_Plan_Revit!$A$10:$S$321,11,FALSE)</f>
        <v>0</v>
      </c>
      <c r="P205" s="977">
        <f>VLOOKUP(A205,Strat_Plan_Revit!$A$10:$S$321,12,FALSE)</f>
        <v>0</v>
      </c>
      <c r="Q205" s="277">
        <f>VLOOKUP(A205,Strat_Plan_Revit!$A$10:$S$321,13,FALSE)</f>
        <v>0</v>
      </c>
      <c r="R205" s="1162" t="s">
        <v>752</v>
      </c>
      <c r="S205" s="1173" t="s">
        <v>752</v>
      </c>
      <c r="T205" s="278" t="s">
        <v>59</v>
      </c>
      <c r="U205" s="1174"/>
      <c r="V205" s="282"/>
      <c r="W205" s="448"/>
      <c r="X205" s="1192" t="s">
        <v>1124</v>
      </c>
      <c r="Y205" s="1265" t="s">
        <v>752</v>
      </c>
      <c r="Z205" s="1258" t="s">
        <v>59</v>
      </c>
      <c r="AA205" s="1266" t="str">
        <f t="shared" si="3"/>
        <v>a</v>
      </c>
      <c r="AC205" s="572"/>
      <c r="AD205" s="572"/>
      <c r="AE205" s="572"/>
    </row>
    <row r="206" spans="1:31" ht="40.5" customHeight="1" x14ac:dyDescent="0.25">
      <c r="A206" s="928">
        <v>327</v>
      </c>
      <c r="B206" s="270" t="str">
        <f>IF(VLOOKUP(A206,'Données de base - Grunddaten'!$A$2:$M$273,5,FALSE)="","",VLOOKUP(A206,'Données de base - Grunddaten'!$A$2:$M$273,5,FALSE))</f>
        <v>BE</v>
      </c>
      <c r="C206" s="41" t="str">
        <f>IF(VLOOKUP(A206,'Données de base - Grunddaten'!$A$2:$M$273,3,FALSE)="","",VLOOKUP(A206,'Données de base - Grunddaten'!$A$2:$M$273,3,FALSE))</f>
        <v>Ganzenlouwina</v>
      </c>
      <c r="D206" s="41" t="str">
        <f>IF(VLOOKUP(A206,'Données de base - Grunddaten'!$A$2:$M$273,4,FALSE)="","",VLOOKUP(A206,'Données de base - Grunddaten'!$A$2:$M$273,4,FALSE))</f>
        <v>Rychenbach</v>
      </c>
      <c r="E206" s="271">
        <v>-7.2727272727272725</v>
      </c>
      <c r="F206" s="271">
        <v>0</v>
      </c>
      <c r="G206" s="271">
        <v>7.2727272727272725</v>
      </c>
      <c r="H206" s="272" t="s">
        <v>1061</v>
      </c>
      <c r="I206" s="273" t="s">
        <v>1079</v>
      </c>
      <c r="J206" s="273" t="s">
        <v>1059</v>
      </c>
      <c r="K206" s="274"/>
      <c r="L206" s="275"/>
      <c r="M206" s="1151" t="s">
        <v>752</v>
      </c>
      <c r="N206" s="1152" t="s">
        <v>43</v>
      </c>
      <c r="O206" s="1148" t="str">
        <f>VLOOKUP(A206,Strat_Plan_Revit!$A$10:$S$321,11,FALSE)</f>
        <v>gross</v>
      </c>
      <c r="P206" s="977" t="str">
        <f>VLOOKUP(A206,Strat_Plan_Revit!$A$10:$S$321,12,FALSE)</f>
        <v>mittel</v>
      </c>
      <c r="Q206" s="277" t="str">
        <f>VLOOKUP(A206,Strat_Plan_Revit!$A$10:$S$321,13,FALSE)</f>
        <v>mittel</v>
      </c>
      <c r="R206" s="1162" t="s">
        <v>720</v>
      </c>
      <c r="S206" s="1173" t="s">
        <v>720</v>
      </c>
      <c r="T206" s="278" t="s">
        <v>110</v>
      </c>
      <c r="U206" s="1174"/>
      <c r="V206" s="282"/>
      <c r="W206" s="448"/>
      <c r="X206" s="1192" t="s">
        <v>1079</v>
      </c>
      <c r="Y206" s="1265" t="s">
        <v>752</v>
      </c>
      <c r="Z206" s="1258" t="s">
        <v>368</v>
      </c>
      <c r="AA206" s="1266" t="str">
        <f t="shared" si="3"/>
        <v>b</v>
      </c>
      <c r="AC206" s="572"/>
      <c r="AD206" s="572"/>
      <c r="AE206" s="572"/>
    </row>
    <row r="207" spans="1:31" ht="40.5" customHeight="1" x14ac:dyDescent="0.25">
      <c r="A207" s="1233">
        <v>328</v>
      </c>
      <c r="B207" s="270" t="str">
        <f>IF(VLOOKUP(A207,'Données de base - Grunddaten'!$A$2:$M$273,5,FALSE)="","",VLOOKUP(A207,'Données de base - Grunddaten'!$A$2:$M$273,5,FALSE))</f>
        <v>BE</v>
      </c>
      <c r="C207" s="41" t="str">
        <f>IF(VLOOKUP(A207,'Données de base - Grunddaten'!$A$2:$M$273,3,FALSE)="","",VLOOKUP(A207,'Données de base - Grunddaten'!$A$2:$M$273,3,FALSE))</f>
        <v>Engstlenalp</v>
      </c>
      <c r="D207" s="41" t="str">
        <f>IF(VLOOKUP(A207,'Données de base - Grunddaten'!$A$2:$M$273,4,FALSE)="","",VLOOKUP(A207,'Données de base - Grunddaten'!$A$2:$M$273,4,FALSE))</f>
        <v>Gentalwasser, Engstlensee</v>
      </c>
      <c r="E207" s="271"/>
      <c r="F207" s="271"/>
      <c r="G207" s="271"/>
      <c r="H207" s="272" t="s">
        <v>1061</v>
      </c>
      <c r="I207" s="273" t="s">
        <v>1079</v>
      </c>
      <c r="J207" s="273"/>
      <c r="K207" s="274"/>
      <c r="L207" s="275"/>
      <c r="M207" s="1151" t="s">
        <v>752</v>
      </c>
      <c r="N207" s="1152" t="s">
        <v>43</v>
      </c>
      <c r="O207" s="1148" t="str">
        <f>VLOOKUP(A207,Strat_Plan_Revit!$A$10:$S$321,11,FALSE)</f>
        <v xml:space="preserve">mittel </v>
      </c>
      <c r="P207" s="977" t="str">
        <f>VLOOKUP(A207,Strat_Plan_Revit!$A$10:$S$321,12,FALSE)</f>
        <v>gering</v>
      </c>
      <c r="Q207" s="277" t="str">
        <f>VLOOKUP(A207,Strat_Plan_Revit!$A$10:$S$321,13,FALSE)</f>
        <v>-</v>
      </c>
      <c r="R207" s="1162" t="s">
        <v>752</v>
      </c>
      <c r="S207" s="1173" t="s">
        <v>752</v>
      </c>
      <c r="T207" s="278" t="s">
        <v>59</v>
      </c>
      <c r="U207" s="1174"/>
      <c r="V207" s="282"/>
      <c r="W207" s="448"/>
      <c r="X207" s="1192" t="s">
        <v>1079</v>
      </c>
      <c r="Y207" s="1265" t="s">
        <v>752</v>
      </c>
      <c r="Z207" s="1258" t="s">
        <v>59</v>
      </c>
      <c r="AA207" s="1266" t="str">
        <f t="shared" si="3"/>
        <v>a</v>
      </c>
      <c r="AB207" s="1073" t="s">
        <v>1187</v>
      </c>
      <c r="AC207" s="572"/>
      <c r="AD207" s="572"/>
      <c r="AE207" s="572"/>
    </row>
    <row r="208" spans="1:31" ht="40.5" customHeight="1" x14ac:dyDescent="0.25">
      <c r="A208" s="929">
        <v>329</v>
      </c>
      <c r="B208" s="270" t="str">
        <f>IF(VLOOKUP(A208,'Données de base - Grunddaten'!$A$2:$M$273,5,FALSE)="","",VLOOKUP(A208,'Données de base - Grunddaten'!$A$2:$M$273,5,FALSE))</f>
        <v>VS</v>
      </c>
      <c r="C208" s="41" t="str">
        <f>IF(VLOOKUP(A208,'Données de base - Grunddaten'!$A$2:$M$273,3,FALSE)="","",VLOOKUP(A208,'Données de base - Grunddaten'!$A$2:$M$273,3,FALSE))</f>
        <v>Godey-Derborence</v>
      </c>
      <c r="D208" s="41" t="str">
        <f>IF(VLOOKUP(A208,'Données de base - Grunddaten'!$A$2:$M$273,4,FALSE)="","",VLOOKUP(A208,'Données de base - Grunddaten'!$A$2:$M$273,4,FALSE))</f>
        <v>La Lizerne</v>
      </c>
      <c r="E208" s="271"/>
      <c r="F208" s="271"/>
      <c r="G208" s="271"/>
      <c r="H208" s="272" t="s">
        <v>1061</v>
      </c>
      <c r="I208" s="273" t="s">
        <v>1079</v>
      </c>
      <c r="J208" s="273"/>
      <c r="K208" s="274"/>
      <c r="L208" s="275"/>
      <c r="M208" s="1151" t="s">
        <v>752</v>
      </c>
      <c r="N208" s="1152" t="s">
        <v>43</v>
      </c>
      <c r="O208" s="1148" t="str">
        <f>VLOOKUP(A208,Strat_Plan_Revit!$A$10:$S$321,11,FALSE)</f>
        <v>faible</v>
      </c>
      <c r="P208" s="977" t="str">
        <f>VLOOKUP(A208,Strat_Plan_Revit!$A$10:$S$321,12,FALSE)</f>
        <v>faible</v>
      </c>
      <c r="Q208" s="277" t="str">
        <f>VLOOKUP(A208,Strat_Plan_Revit!$A$10:$S$321,13,FALSE)</f>
        <v>pas de mesure</v>
      </c>
      <c r="R208" s="1162" t="s">
        <v>752</v>
      </c>
      <c r="S208" s="1173" t="s">
        <v>752</v>
      </c>
      <c r="T208" s="278" t="s">
        <v>59</v>
      </c>
      <c r="U208" s="1174"/>
      <c r="V208" s="282"/>
      <c r="W208" s="341"/>
      <c r="X208" s="97"/>
      <c r="Y208" s="1265" t="s">
        <v>752</v>
      </c>
      <c r="Z208" s="1258" t="s">
        <v>59</v>
      </c>
      <c r="AA208" s="1266" t="str">
        <f t="shared" si="3"/>
        <v>a</v>
      </c>
      <c r="AC208" s="572"/>
      <c r="AD208" s="572"/>
      <c r="AE208" s="572"/>
    </row>
    <row r="209" spans="1:31" ht="40.5" customHeight="1" x14ac:dyDescent="0.25">
      <c r="A209" s="1233">
        <v>330</v>
      </c>
      <c r="B209" s="270" t="str">
        <f>IF(VLOOKUP(A209,'Données de base - Grunddaten'!$A$2:$M$273,5,FALSE)="","",VLOOKUP(A209,'Données de base - Grunddaten'!$A$2:$M$273,5,FALSE))</f>
        <v>VS</v>
      </c>
      <c r="C209" s="41" t="str">
        <f>IF(VLOOKUP(A209,'Données de base - Grunddaten'!$A$2:$M$273,3,FALSE)="","",VLOOKUP(A209,'Données de base - Grunddaten'!$A$2:$M$273,3,FALSE))</f>
        <v>Jegisand</v>
      </c>
      <c r="D209" s="41" t="str">
        <f>IF(VLOOKUP(A209,'Données de base - Grunddaten'!$A$2:$M$273,4,FALSE)="","",VLOOKUP(A209,'Données de base - Grunddaten'!$A$2:$M$273,4,FALSE))</f>
        <v>Bietschbach</v>
      </c>
      <c r="E209" s="271"/>
      <c r="F209" s="271"/>
      <c r="G209" s="271"/>
      <c r="H209" s="272" t="s">
        <v>1061</v>
      </c>
      <c r="I209" s="273" t="s">
        <v>1079</v>
      </c>
      <c r="J209" s="273"/>
      <c r="K209" s="274"/>
      <c r="L209" s="275"/>
      <c r="M209" s="1151" t="s">
        <v>752</v>
      </c>
      <c r="N209" s="1152" t="s">
        <v>43</v>
      </c>
      <c r="O209" s="1148" t="str">
        <f>VLOOKUP(A209,Strat_Plan_Revit!$A$10:$S$321,11,FALSE)</f>
        <v>moyen</v>
      </c>
      <c r="P209" s="977" t="str">
        <f>VLOOKUP(A209,Strat_Plan_Revit!$A$10:$S$321,12,FALSE)</f>
        <v>faible</v>
      </c>
      <c r="Q209" s="277" t="str">
        <f>VLOOKUP(A209,Strat_Plan_Revit!$A$10:$S$321,13,FALSE)</f>
        <v>pas de mesure</v>
      </c>
      <c r="R209" s="1162" t="s">
        <v>752</v>
      </c>
      <c r="S209" s="1173" t="s">
        <v>752</v>
      </c>
      <c r="T209" s="278" t="s">
        <v>59</v>
      </c>
      <c r="U209" s="1174"/>
      <c r="V209" s="282"/>
      <c r="W209" s="341"/>
      <c r="X209" s="97"/>
      <c r="Y209" s="1265" t="s">
        <v>752</v>
      </c>
      <c r="Z209" s="1258" t="s">
        <v>59</v>
      </c>
      <c r="AA209" s="1266" t="str">
        <f t="shared" si="3"/>
        <v>a</v>
      </c>
      <c r="AC209" s="572"/>
      <c r="AD209" s="572"/>
      <c r="AE209" s="572"/>
    </row>
    <row r="210" spans="1:31" ht="40.5" customHeight="1" x14ac:dyDescent="0.25">
      <c r="A210" s="1233">
        <v>331</v>
      </c>
      <c r="B210" s="270" t="str">
        <f>IF(VLOOKUP(A210,'Données de base - Grunddaten'!$A$2:$M$273,5,FALSE)="","",VLOOKUP(A210,'Données de base - Grunddaten'!$A$2:$M$273,5,FALSE))</f>
        <v>VS</v>
      </c>
      <c r="C210" s="41" t="str">
        <f>IF(VLOOKUP(A210,'Données de base - Grunddaten'!$A$2:$M$273,3,FALSE)="","",VLOOKUP(A210,'Données de base - Grunddaten'!$A$2:$M$273,3,FALSE))</f>
        <v>Schweif</v>
      </c>
      <c r="D210" s="41" t="str">
        <f>IF(VLOOKUP(A210,'Données de base - Grunddaten'!$A$2:$M$273,4,FALSE)="","",VLOOKUP(A210,'Données de base - Grunddaten'!$A$2:$M$273,4,FALSE))</f>
        <v>Gerewasser</v>
      </c>
      <c r="E210" s="271"/>
      <c r="F210" s="271"/>
      <c r="G210" s="271"/>
      <c r="H210" s="272" t="s">
        <v>1061</v>
      </c>
      <c r="I210" s="273" t="s">
        <v>1079</v>
      </c>
      <c r="J210" s="273"/>
      <c r="K210" s="274"/>
      <c r="L210" s="275"/>
      <c r="M210" s="1151" t="s">
        <v>752</v>
      </c>
      <c r="N210" s="1152" t="s">
        <v>43</v>
      </c>
      <c r="O210" s="1148" t="str">
        <f>VLOOKUP(A210,Strat_Plan_Revit!$A$10:$S$321,11,FALSE)</f>
        <v>moyen</v>
      </c>
      <c r="P210" s="977" t="str">
        <f>VLOOKUP(A210,Strat_Plan_Revit!$A$10:$S$321,12,FALSE)</f>
        <v>faible</v>
      </c>
      <c r="Q210" s="277" t="str">
        <f>VLOOKUP(A210,Strat_Plan_Revit!$A$10:$S$321,13,FALSE)</f>
        <v>pas de mesure</v>
      </c>
      <c r="R210" s="1162" t="s">
        <v>752</v>
      </c>
      <c r="S210" s="1173" t="s">
        <v>752</v>
      </c>
      <c r="T210" s="278" t="s">
        <v>59</v>
      </c>
      <c r="U210" s="1174"/>
      <c r="V210" s="282"/>
      <c r="W210" s="341"/>
      <c r="X210" s="97"/>
      <c r="Y210" s="1265" t="s">
        <v>752</v>
      </c>
      <c r="Z210" s="1258" t="s">
        <v>59</v>
      </c>
      <c r="AA210" s="1266" t="str">
        <f t="shared" si="3"/>
        <v>a</v>
      </c>
      <c r="AC210" s="572"/>
      <c r="AD210" s="572"/>
      <c r="AE210" s="572"/>
    </row>
    <row r="211" spans="1:31" ht="40.5" customHeight="1" x14ac:dyDescent="0.25">
      <c r="A211" s="1233">
        <v>332</v>
      </c>
      <c r="B211" s="270" t="str">
        <f>IF(VLOOKUP(A211,'Données de base - Grunddaten'!$A$2:$M$273,5,FALSE)="","",VLOOKUP(A211,'Données de base - Grunddaten'!$A$2:$M$273,5,FALSE))</f>
        <v>VS</v>
      </c>
      <c r="C211" s="41" t="str">
        <f>IF(VLOOKUP(A211,'Données de base - Grunddaten'!$A$2:$M$273,3,FALSE)="","",VLOOKUP(A211,'Données de base - Grunddaten'!$A$2:$M$273,3,FALSE))</f>
        <v>Prayon</v>
      </c>
      <c r="D211" s="41" t="str">
        <f>IF(VLOOKUP(A211,'Données de base - Grunddaten'!$A$2:$M$273,4,FALSE)="","",VLOOKUP(A211,'Données de base - Grunddaten'!$A$2:$M$273,4,FALSE))</f>
        <v>La Dranse de Ferret</v>
      </c>
      <c r="E211" s="271"/>
      <c r="F211" s="271"/>
      <c r="G211" s="271"/>
      <c r="H211" s="272" t="s">
        <v>1061</v>
      </c>
      <c r="I211" s="273" t="s">
        <v>1079</v>
      </c>
      <c r="J211" s="273"/>
      <c r="K211" s="274"/>
      <c r="L211" s="275"/>
      <c r="M211" s="1151" t="s">
        <v>737</v>
      </c>
      <c r="N211" s="1152" t="s">
        <v>72</v>
      </c>
      <c r="O211" s="1148" t="str">
        <f>VLOOKUP(A211,Strat_Plan_Revit!$A$10:$S$321,11,FALSE)</f>
        <v>élevé à moyen</v>
      </c>
      <c r="P211" s="977" t="str">
        <f>VLOOKUP(A211,Strat_Plan_Revit!$A$10:$S$321,12,FALSE)</f>
        <v>faible</v>
      </c>
      <c r="Q211" s="277" t="str">
        <f>VLOOKUP(A211,Strat_Plan_Revit!$A$10:$S$321,13,FALSE)</f>
        <v>mesure (affluent uniquement)</v>
      </c>
      <c r="R211" s="1162" t="s">
        <v>752</v>
      </c>
      <c r="S211" s="1173" t="s">
        <v>737</v>
      </c>
      <c r="T211" s="278" t="s">
        <v>72</v>
      </c>
      <c r="U211" s="1174" t="s">
        <v>1202</v>
      </c>
      <c r="V211" s="282"/>
      <c r="W211" s="341"/>
      <c r="X211" s="97"/>
      <c r="Y211" s="1265" t="s">
        <v>737</v>
      </c>
      <c r="Z211" s="1258" t="s">
        <v>72</v>
      </c>
      <c r="AA211" s="1266" t="str">
        <f t="shared" si="3"/>
        <v>b</v>
      </c>
      <c r="AC211" s="572"/>
      <c r="AD211" s="572"/>
      <c r="AE211" s="572"/>
    </row>
    <row r="212" spans="1:31" ht="40.5" customHeight="1" x14ac:dyDescent="0.25">
      <c r="A212" s="1233">
        <v>333</v>
      </c>
      <c r="B212" s="270" t="str">
        <f>IF(VLOOKUP(A212,'Données de base - Grunddaten'!$A$2:$M$273,5,FALSE)="","",VLOOKUP(A212,'Données de base - Grunddaten'!$A$2:$M$273,5,FALSE))</f>
        <v>VS</v>
      </c>
      <c r="C212" s="41" t="str">
        <f>IF(VLOOKUP(A212,'Données de base - Grunddaten'!$A$2:$M$273,3,FALSE)="","",VLOOKUP(A212,'Données de base - Grunddaten'!$A$2:$M$273,3,FALSE))</f>
        <v>Praz de Fort</v>
      </c>
      <c r="D212" s="41" t="str">
        <f>IF(VLOOKUP(A212,'Données de base - Grunddaten'!$A$2:$M$273,4,FALSE)="","",VLOOKUP(A212,'Données de base - Grunddaten'!$A$2:$M$273,4,FALSE))</f>
        <v>La Dranse de Ferret</v>
      </c>
      <c r="E212" s="271"/>
      <c r="F212" s="271"/>
      <c r="G212" s="271"/>
      <c r="H212" s="272" t="s">
        <v>1061</v>
      </c>
      <c r="I212" s="273" t="s">
        <v>1079</v>
      </c>
      <c r="J212" s="273"/>
      <c r="K212" s="274"/>
      <c r="L212" s="275"/>
      <c r="M212" s="1151" t="s">
        <v>737</v>
      </c>
      <c r="N212" s="1152" t="s">
        <v>72</v>
      </c>
      <c r="O212" s="1148" t="str">
        <f>VLOOKUP(A212,Strat_Plan_Revit!$A$10:$S$321,11,FALSE)</f>
        <v>élevé</v>
      </c>
      <c r="P212" s="977" t="str">
        <f>VLOOKUP(A212,Strat_Plan_Revit!$A$10:$S$321,12,FALSE)</f>
        <v>élevé</v>
      </c>
      <c r="Q212" s="277" t="str">
        <f>VLOOKUP(A212,Strat_Plan_Revit!$A$10:$S$321,13,FALSE)</f>
        <v>mesure (partie aval uniquement)</v>
      </c>
      <c r="R212" s="1162" t="s">
        <v>737</v>
      </c>
      <c r="S212" s="1173" t="s">
        <v>737</v>
      </c>
      <c r="T212" s="278" t="s">
        <v>59</v>
      </c>
      <c r="U212" s="1174"/>
      <c r="V212" s="282"/>
      <c r="W212" s="341"/>
      <c r="X212" s="97"/>
      <c r="Y212" s="1265" t="s">
        <v>737</v>
      </c>
      <c r="Z212" s="1258" t="s">
        <v>59</v>
      </c>
      <c r="AA212" s="1266" t="str">
        <f t="shared" si="3"/>
        <v>a</v>
      </c>
      <c r="AC212" s="572"/>
      <c r="AD212" s="572"/>
      <c r="AE212" s="572"/>
    </row>
    <row r="213" spans="1:31" ht="40.5" customHeight="1" x14ac:dyDescent="0.25">
      <c r="A213" s="1233">
        <v>334</v>
      </c>
      <c r="B213" s="270" t="str">
        <f>IF(VLOOKUP(A213,'Données de base - Grunddaten'!$A$2:$M$273,5,FALSE)="","",VLOOKUP(A213,'Données de base - Grunddaten'!$A$2:$M$273,5,FALSE))</f>
        <v>VS</v>
      </c>
      <c r="C213" s="41" t="str">
        <f>IF(VLOOKUP(A213,'Données de base - Grunddaten'!$A$2:$M$273,3,FALSE)="","",VLOOKUP(A213,'Données de base - Grunddaten'!$A$2:$M$273,3,FALSE))</f>
        <v>Plat de la Lé</v>
      </c>
      <c r="D213" s="41" t="str">
        <f>IF(VLOOKUP(A213,'Données de base - Grunddaten'!$A$2:$M$273,4,FALSE)="","",VLOOKUP(A213,'Données de base - Grunddaten'!$A$2:$M$273,4,FALSE))</f>
        <v>La Navisence</v>
      </c>
      <c r="E213" s="271"/>
      <c r="F213" s="271"/>
      <c r="G213" s="271"/>
      <c r="H213" s="272"/>
      <c r="I213" s="279" t="s">
        <v>1071</v>
      </c>
      <c r="J213" s="279"/>
      <c r="K213" s="280" t="s">
        <v>1057</v>
      </c>
      <c r="L213" s="281" t="s">
        <v>1203</v>
      </c>
      <c r="M213" s="1151" t="s">
        <v>737</v>
      </c>
      <c r="N213" s="1152" t="s">
        <v>43</v>
      </c>
      <c r="O213" s="1148" t="str">
        <f>VLOOKUP(A213,Strat_Plan_Revit!$A$10:$S$321,11,FALSE)</f>
        <v>élevé</v>
      </c>
      <c r="P213" s="977" t="str">
        <f>VLOOKUP(A213,Strat_Plan_Revit!$A$10:$S$321,12,FALSE)</f>
        <v>élevé</v>
      </c>
      <c r="Q213" s="277" t="str">
        <f>VLOOKUP(A213,Strat_Plan_Revit!$A$10:$S$321,13,FALSE)</f>
        <v>mesure (partie aval uniquement)</v>
      </c>
      <c r="R213" s="1162" t="s">
        <v>737</v>
      </c>
      <c r="S213" s="1173" t="s">
        <v>737</v>
      </c>
      <c r="T213" s="278" t="s">
        <v>59</v>
      </c>
      <c r="U213" s="1174"/>
      <c r="V213" s="282"/>
      <c r="W213" s="341"/>
      <c r="X213" s="97"/>
      <c r="Y213" s="1265" t="s">
        <v>737</v>
      </c>
      <c r="Z213" s="1258" t="s">
        <v>59</v>
      </c>
      <c r="AA213" s="1266" t="str">
        <f t="shared" si="3"/>
        <v>a</v>
      </c>
      <c r="AC213" s="572"/>
      <c r="AD213" s="572"/>
      <c r="AE213" s="572"/>
    </row>
    <row r="214" spans="1:31" ht="40.5" customHeight="1" x14ac:dyDescent="0.25">
      <c r="A214" s="1233">
        <v>335</v>
      </c>
      <c r="B214" s="270" t="str">
        <f>IF(VLOOKUP(A214,'Données de base - Grunddaten'!$A$2:$M$273,5,FALSE)="","",VLOOKUP(A214,'Données de base - Grunddaten'!$A$2:$M$273,5,FALSE))</f>
        <v>VS</v>
      </c>
      <c r="C214" s="41" t="str">
        <f>IF(VLOOKUP(A214,'Données de base - Grunddaten'!$A$2:$M$273,3,FALSE)="","",VLOOKUP(A214,'Données de base - Grunddaten'!$A$2:$M$273,3,FALSE))</f>
        <v>Taschalpen</v>
      </c>
      <c r="D214" s="41" t="str">
        <f>IF(VLOOKUP(A214,'Données de base - Grunddaten'!$A$2:$M$273,4,FALSE)="","",VLOOKUP(A214,'Données de base - Grunddaten'!$A$2:$M$273,4,FALSE))</f>
        <v>Mellichbach, Täschbach</v>
      </c>
      <c r="E214" s="271"/>
      <c r="F214" s="271"/>
      <c r="G214" s="271"/>
      <c r="H214" s="283"/>
      <c r="I214" s="279" t="s">
        <v>1079</v>
      </c>
      <c r="J214" s="279"/>
      <c r="K214" s="280" t="s">
        <v>1061</v>
      </c>
      <c r="L214" s="281"/>
      <c r="M214" s="1151" t="s">
        <v>752</v>
      </c>
      <c r="N214" s="1152" t="s">
        <v>43</v>
      </c>
      <c r="O214" s="1148" t="str">
        <f>VLOOKUP(A214,Strat_Plan_Revit!$A$10:$S$321,11,FALSE)</f>
        <v>élevé</v>
      </c>
      <c r="P214" s="977" t="str">
        <f>VLOOKUP(A214,Strat_Plan_Revit!$A$10:$S$321,12,FALSE)</f>
        <v>moyen</v>
      </c>
      <c r="Q214" s="277" t="str">
        <f>VLOOKUP(A214,Strat_Plan_Revit!$A$10:$S$321,13,FALSE)</f>
        <v>pas de mesure</v>
      </c>
      <c r="R214" s="1162" t="s">
        <v>720</v>
      </c>
      <c r="S214" s="1173" t="s">
        <v>720</v>
      </c>
      <c r="T214" s="278" t="s">
        <v>110</v>
      </c>
      <c r="U214" s="1174"/>
      <c r="V214" s="282"/>
      <c r="W214" s="341"/>
      <c r="X214" s="97"/>
      <c r="Y214" s="1265" t="s">
        <v>720</v>
      </c>
      <c r="Z214" s="1258" t="s">
        <v>110</v>
      </c>
      <c r="AA214" s="1266" t="str">
        <f t="shared" si="3"/>
        <v>a</v>
      </c>
      <c r="AC214" s="572"/>
      <c r="AD214" s="572"/>
      <c r="AE214" s="572"/>
    </row>
    <row r="215" spans="1:31" ht="40.5" customHeight="1" x14ac:dyDescent="0.25">
      <c r="A215" s="929">
        <v>336</v>
      </c>
      <c r="B215" s="270" t="str">
        <f>IF(VLOOKUP(A215,'Données de base - Grunddaten'!$A$2:$M$273,5,FALSE)="","",VLOOKUP(A215,'Données de base - Grunddaten'!$A$2:$M$273,5,FALSE))</f>
        <v>VS</v>
      </c>
      <c r="C215" s="41" t="str">
        <f>IF(VLOOKUP(A215,'Données de base - Grunddaten'!$A$2:$M$273,3,FALSE)="","",VLOOKUP(A215,'Données de base - Grunddaten'!$A$2:$M$273,3,FALSE))</f>
        <v>Zwischenberg</v>
      </c>
      <c r="D215" s="41" t="str">
        <f>IF(VLOOKUP(A215,'Données de base - Grunddaten'!$A$2:$M$273,4,FALSE)="","",VLOOKUP(A215,'Données de base - Grunddaten'!$A$2:$M$273,4,FALSE))</f>
        <v>Zwischbergenbach</v>
      </c>
      <c r="E215" s="271"/>
      <c r="F215" s="271"/>
      <c r="G215" s="271"/>
      <c r="H215" s="283"/>
      <c r="I215" s="279" t="s">
        <v>1079</v>
      </c>
      <c r="J215" s="279"/>
      <c r="K215" s="280" t="s">
        <v>1061</v>
      </c>
      <c r="L215" s="281"/>
      <c r="M215" s="1151" t="s">
        <v>720</v>
      </c>
      <c r="N215" s="1152" t="s">
        <v>72</v>
      </c>
      <c r="O215" s="1148" t="str">
        <f>VLOOKUP(A215,Strat_Plan_Revit!$A$10:$S$321,11,FALSE)</f>
        <v>élevé</v>
      </c>
      <c r="P215" s="977" t="str">
        <f>VLOOKUP(A215,Strat_Plan_Revit!$A$10:$S$321,12,FALSE)</f>
        <v>élevé</v>
      </c>
      <c r="Q215" s="277" t="str">
        <f>VLOOKUP(A215,Strat_Plan_Revit!$A$10:$S$321,13,FALSE)</f>
        <v>pas de mesure</v>
      </c>
      <c r="R215" s="1162" t="s">
        <v>737</v>
      </c>
      <c r="S215" s="1173" t="s">
        <v>720</v>
      </c>
      <c r="T215" s="278" t="s">
        <v>110</v>
      </c>
      <c r="U215" s="1174"/>
      <c r="V215" s="282"/>
      <c r="W215" s="341"/>
      <c r="X215" s="97"/>
      <c r="Y215" s="1265" t="s">
        <v>720</v>
      </c>
      <c r="Z215" s="1258" t="s">
        <v>110</v>
      </c>
      <c r="AA215" s="1266" t="str">
        <f t="shared" si="3"/>
        <v>a</v>
      </c>
      <c r="AC215" s="572"/>
      <c r="AD215" s="572"/>
      <c r="AE215" s="572"/>
    </row>
    <row r="216" spans="1:31" ht="40.5" customHeight="1" x14ac:dyDescent="0.25">
      <c r="A216" s="926">
        <v>337</v>
      </c>
      <c r="B216" s="270" t="str">
        <f>IF(VLOOKUP(A216,'Données de base - Grunddaten'!$A$2:$M$273,5,FALSE)="","",VLOOKUP(A216,'Données de base - Grunddaten'!$A$2:$M$273,5,FALSE))</f>
        <v>AG</v>
      </c>
      <c r="C216" s="41" t="str">
        <f>IF(VLOOKUP(A216,'Données de base - Grunddaten'!$A$2:$M$273,3,FALSE)="","",VLOOKUP(A216,'Données de base - Grunddaten'!$A$2:$M$273,3,FALSE))</f>
        <v>Möriken–Wildegg</v>
      </c>
      <c r="D216" s="41" t="str">
        <f>IF(VLOOKUP(A216,'Données de base - Grunddaten'!$A$2:$M$273,4,FALSE)="","",VLOOKUP(A216,'Données de base - Grunddaten'!$A$2:$M$273,4,FALSE))</f>
        <v>Bünz</v>
      </c>
      <c r="E216" s="271">
        <v>21.890909090909091</v>
      </c>
      <c r="F216" s="271">
        <v>72.768903914006444</v>
      </c>
      <c r="G216" s="271">
        <v>50.909090909090907</v>
      </c>
      <c r="H216" s="272" t="s">
        <v>1078</v>
      </c>
      <c r="I216" s="273" t="s">
        <v>1079</v>
      </c>
      <c r="J216" s="273" t="s">
        <v>1064</v>
      </c>
      <c r="K216" s="274"/>
      <c r="L216" s="275"/>
      <c r="M216" s="1151" t="s">
        <v>738</v>
      </c>
      <c r="N216" s="1152" t="s">
        <v>43</v>
      </c>
      <c r="O216" s="1148" t="str">
        <f>VLOOKUP(A216,Strat_Plan_Revit!$A$10:$S$321,11,FALSE)</f>
        <v>gross / mittel</v>
      </c>
      <c r="P216" s="977" t="str">
        <f>VLOOKUP(A216,Strat_Plan_Revit!$A$10:$S$321,12,FALSE)</f>
        <v>gross / gering</v>
      </c>
      <c r="Q216" s="277" t="str">
        <f>VLOOKUP(A216,Strat_Plan_Revit!$A$10:$S$321,13,FALSE)</f>
        <v>20 Jahre: 1. Drittel</v>
      </c>
      <c r="R216" s="1162" t="s">
        <v>738</v>
      </c>
      <c r="S216" s="1173" t="s">
        <v>738</v>
      </c>
      <c r="T216" s="278" t="s">
        <v>59</v>
      </c>
      <c r="U216" s="1174"/>
      <c r="V216" s="282"/>
      <c r="W216" s="447"/>
      <c r="X216" s="97" t="s">
        <v>1080</v>
      </c>
      <c r="Y216" s="1265" t="s">
        <v>720</v>
      </c>
      <c r="Z216" s="1258" t="s">
        <v>368</v>
      </c>
      <c r="AA216" s="1266" t="str">
        <f t="shared" si="3"/>
        <v>b</v>
      </c>
      <c r="AC216" s="572"/>
      <c r="AD216" s="572"/>
      <c r="AE216" s="572"/>
    </row>
    <row r="217" spans="1:31" ht="40.5" customHeight="1" x14ac:dyDescent="0.25">
      <c r="A217" s="926">
        <v>338</v>
      </c>
      <c r="B217" s="270" t="str">
        <f>IF(VLOOKUP(A217,'Données de base - Grunddaten'!$A$2:$M$273,5,FALSE)="","",VLOOKUP(A217,'Données de base - Grunddaten'!$A$2:$M$273,5,FALSE))</f>
        <v>LU</v>
      </c>
      <c r="C217" s="41" t="str">
        <f>IF(VLOOKUP(A217,'Données de base - Grunddaten'!$A$2:$M$273,3,FALSE)="","",VLOOKUP(A217,'Données de base - Grunddaten'!$A$2:$M$273,3,FALSE))</f>
        <v>Unterer Schiltwald</v>
      </c>
      <c r="D217" s="41" t="str">
        <f>IF(VLOOKUP(A217,'Données de base - Grunddaten'!$A$2:$M$273,4,FALSE)="","",VLOOKUP(A217,'Données de base - Grunddaten'!$A$2:$M$273,4,FALSE))</f>
        <v>Rotbach</v>
      </c>
      <c r="E217" s="271">
        <v>-3.6363636363636362</v>
      </c>
      <c r="F217" s="271">
        <v>0</v>
      </c>
      <c r="G217" s="271">
        <v>3.6363636363636362</v>
      </c>
      <c r="H217" s="272" t="s">
        <v>1061</v>
      </c>
      <c r="I217" s="273" t="s">
        <v>1058</v>
      </c>
      <c r="J217" s="273" t="s">
        <v>1059</v>
      </c>
      <c r="K217" s="274"/>
      <c r="L217" s="275"/>
      <c r="M217" s="1151" t="s">
        <v>737</v>
      </c>
      <c r="N217" s="1152" t="s">
        <v>72</v>
      </c>
      <c r="O217" s="1148" t="str">
        <f>VLOOKUP(A217,Strat_Plan_Revit!$A$10:$S$321,11,FALSE)</f>
        <v>gross</v>
      </c>
      <c r="P217" s="977" t="str">
        <f>VLOOKUP(A217,Strat_Plan_Revit!$A$10:$S$321,12,FALSE)</f>
        <v>gross/gering</v>
      </c>
      <c r="Q217" s="277" t="str">
        <f>VLOOKUP(A217,Strat_Plan_Revit!$A$10:$S$321,13,FALSE)</f>
        <v>1. Priorität</v>
      </c>
      <c r="R217" s="1162" t="s">
        <v>737</v>
      </c>
      <c r="S217" s="1173" t="s">
        <v>737</v>
      </c>
      <c r="T217" s="278" t="s">
        <v>59</v>
      </c>
      <c r="U217" s="1174"/>
      <c r="V217" s="282"/>
      <c r="W217" s="287" t="s">
        <v>737</v>
      </c>
      <c r="X217" s="1191"/>
      <c r="Y217" s="1265" t="s">
        <v>737</v>
      </c>
      <c r="Z217" s="1258" t="s">
        <v>59</v>
      </c>
      <c r="AA217" s="1266" t="str">
        <f t="shared" si="3"/>
        <v>a</v>
      </c>
      <c r="AC217" s="572"/>
      <c r="AD217" s="572"/>
      <c r="AE217" s="572"/>
    </row>
    <row r="218" spans="1:31" ht="40.5" customHeight="1" x14ac:dyDescent="0.25">
      <c r="A218" s="926">
        <v>339</v>
      </c>
      <c r="B218" s="270" t="str">
        <f>IF(VLOOKUP(A218,'Données de base - Grunddaten'!$A$2:$M$273,5,FALSE)="","",VLOOKUP(A218,'Données de base - Grunddaten'!$A$2:$M$273,5,FALSE))</f>
        <v>LU</v>
      </c>
      <c r="C218" s="41" t="str">
        <f>IF(VLOOKUP(A218,'Données de base - Grunddaten'!$A$2:$M$273,3,FALSE)="","",VLOOKUP(A218,'Données de base - Grunddaten'!$A$2:$M$273,3,FALSE))</f>
        <v>Badhus–Graben</v>
      </c>
      <c r="D218" s="41" t="str">
        <f>IF(VLOOKUP(A218,'Données de base - Grunddaten'!$A$2:$M$273,4,FALSE)="","",VLOOKUP(A218,'Données de base - Grunddaten'!$A$2:$M$273,4,FALSE))</f>
        <v>Grosse Fontannen</v>
      </c>
      <c r="E218" s="271">
        <v>-14.545454545454545</v>
      </c>
      <c r="F218" s="271">
        <v>0</v>
      </c>
      <c r="G218" s="271">
        <v>14.545454545454545</v>
      </c>
      <c r="H218" s="272" t="s">
        <v>1061</v>
      </c>
      <c r="I218" s="273" t="s">
        <v>1079</v>
      </c>
      <c r="J218" s="273" t="s">
        <v>1059</v>
      </c>
      <c r="K218" s="274"/>
      <c r="L218" s="275"/>
      <c r="M218" s="1151" t="s">
        <v>720</v>
      </c>
      <c r="N218" s="1152" t="s">
        <v>72</v>
      </c>
      <c r="O218" s="1148" t="str">
        <f>VLOOKUP(A218,Strat_Plan_Revit!$A$10:$S$321,11,FALSE)</f>
        <v>gross</v>
      </c>
      <c r="P218" s="977" t="str">
        <f>VLOOKUP(A218,Strat_Plan_Revit!$A$10:$S$321,12,FALSE)</f>
        <v>gering</v>
      </c>
      <c r="Q218" s="277" t="str">
        <f>VLOOKUP(A218,Strat_Plan_Revit!$A$10:$S$321,13,FALSE)</f>
        <v>keine</v>
      </c>
      <c r="R218" s="1162" t="s">
        <v>752</v>
      </c>
      <c r="S218" s="1173" t="s">
        <v>752</v>
      </c>
      <c r="T218" s="278" t="s">
        <v>110</v>
      </c>
      <c r="U218" s="1174"/>
      <c r="V218" s="282"/>
      <c r="W218" s="1138" t="s">
        <v>752</v>
      </c>
      <c r="X218" s="1191"/>
      <c r="Y218" s="1265" t="s">
        <v>752</v>
      </c>
      <c r="Z218" s="1258" t="s">
        <v>110</v>
      </c>
      <c r="AA218" s="1266" t="str">
        <f t="shared" si="3"/>
        <v>a</v>
      </c>
      <c r="AC218" s="572"/>
      <c r="AD218" s="572"/>
      <c r="AE218" s="572"/>
    </row>
    <row r="219" spans="1:31" ht="40.5" customHeight="1" x14ac:dyDescent="0.25">
      <c r="A219" s="926">
        <v>340</v>
      </c>
      <c r="B219" s="270" t="str">
        <f>IF(VLOOKUP(A219,'Données de base - Grunddaten'!$A$2:$M$273,5,FALSE)="","",VLOOKUP(A219,'Données de base - Grunddaten'!$A$2:$M$273,5,FALSE))</f>
        <v>LU</v>
      </c>
      <c r="C219" s="41" t="str">
        <f>IF(VLOOKUP(A219,'Données de base - Grunddaten'!$A$2:$M$273,3,FALSE)="","",VLOOKUP(A219,'Données de base - Grunddaten'!$A$2:$M$273,3,FALSE))</f>
        <v>Entlental</v>
      </c>
      <c r="D219" s="41" t="str">
        <f>IF(VLOOKUP(A219,'Données de base - Grunddaten'!$A$2:$M$273,4,FALSE)="","",VLOOKUP(A219,'Données de base - Grunddaten'!$A$2:$M$273,4,FALSE))</f>
        <v>Entlen</v>
      </c>
      <c r="E219" s="271">
        <v>-47.272727272727273</v>
      </c>
      <c r="F219" s="271">
        <v>0</v>
      </c>
      <c r="G219" s="271">
        <v>47.272727272727273</v>
      </c>
      <c r="H219" s="272" t="s">
        <v>1061</v>
      </c>
      <c r="I219" s="273" t="s">
        <v>1079</v>
      </c>
      <c r="J219" s="273" t="s">
        <v>1059</v>
      </c>
      <c r="K219" s="274"/>
      <c r="L219" s="275"/>
      <c r="M219" s="1151" t="s">
        <v>752</v>
      </c>
      <c r="N219" s="1152" t="s">
        <v>43</v>
      </c>
      <c r="O219" s="1148" t="str">
        <f>VLOOKUP(A219,Strat_Plan_Revit!$A$10:$S$321,11,FALSE)</f>
        <v>gross</v>
      </c>
      <c r="P219" s="977" t="str">
        <f>VLOOKUP(A219,Strat_Plan_Revit!$A$10:$S$321,12,FALSE)</f>
        <v>gering</v>
      </c>
      <c r="Q219" s="277" t="str">
        <f>VLOOKUP(A219,Strat_Plan_Revit!$A$10:$S$321,13,FALSE)</f>
        <v>keine</v>
      </c>
      <c r="R219" s="1162" t="s">
        <v>752</v>
      </c>
      <c r="S219" s="1173" t="s">
        <v>752</v>
      </c>
      <c r="T219" s="278" t="s">
        <v>59</v>
      </c>
      <c r="U219" s="1174"/>
      <c r="V219" s="282"/>
      <c r="W219" s="1138" t="s">
        <v>752</v>
      </c>
      <c r="X219" s="1191"/>
      <c r="Y219" s="1265" t="s">
        <v>752</v>
      </c>
      <c r="Z219" s="1258" t="s">
        <v>59</v>
      </c>
      <c r="AA219" s="1266" t="str">
        <f t="shared" si="3"/>
        <v>a</v>
      </c>
      <c r="AC219" s="572"/>
      <c r="AD219" s="572"/>
      <c r="AE219" s="572"/>
    </row>
    <row r="220" spans="1:31" ht="40.5" customHeight="1" x14ac:dyDescent="0.25">
      <c r="A220" s="926">
        <v>341</v>
      </c>
      <c r="B220" s="270" t="str">
        <f>IF(VLOOKUP(A220,'Données de base - Grunddaten'!$A$2:$M$273,5,FALSE)="","",VLOOKUP(A220,'Données de base - Grunddaten'!$A$2:$M$273,5,FALSE))</f>
        <v>LU</v>
      </c>
      <c r="C220" s="41" t="str">
        <f>IF(VLOOKUP(A220,'Données de base - Grunddaten'!$A$2:$M$273,3,FALSE)="","",VLOOKUP(A220,'Données de base - Grunddaten'!$A$2:$M$273,3,FALSE))</f>
        <v>Flühli</v>
      </c>
      <c r="D220" s="41" t="str">
        <f>IF(VLOOKUP(A220,'Données de base - Grunddaten'!$A$2:$M$273,4,FALSE)="","",VLOOKUP(A220,'Données de base - Grunddaten'!$A$2:$M$273,4,FALSE))</f>
        <v>Hohwäldlibach, Rotbach, Waldemme</v>
      </c>
      <c r="E220" s="271">
        <v>-20.863636363636367</v>
      </c>
      <c r="F220" s="271">
        <v>40.455035412396953</v>
      </c>
      <c r="G220" s="271">
        <v>61.363636363636367</v>
      </c>
      <c r="H220" s="272" t="s">
        <v>1078</v>
      </c>
      <c r="I220" s="273" t="s">
        <v>1058</v>
      </c>
      <c r="J220" s="273" t="s">
        <v>1059</v>
      </c>
      <c r="K220" s="274"/>
      <c r="L220" s="275"/>
      <c r="M220" s="1151" t="s">
        <v>738</v>
      </c>
      <c r="N220" s="1152" t="s">
        <v>43</v>
      </c>
      <c r="O220" s="1148" t="str">
        <f>VLOOKUP(A220,Strat_Plan_Revit!$A$10:$S$321,11,FALSE)</f>
        <v>gross</v>
      </c>
      <c r="P220" s="977" t="str">
        <f>VLOOKUP(A220,Strat_Plan_Revit!$A$10:$S$321,12,FALSE)</f>
        <v>mittel/gering</v>
      </c>
      <c r="Q220" s="277" t="str">
        <f>VLOOKUP(A220,Strat_Plan_Revit!$A$10:$S$321,13,FALSE)</f>
        <v>keine</v>
      </c>
      <c r="R220" s="1162" t="s">
        <v>723</v>
      </c>
      <c r="S220" s="1173" t="s">
        <v>723</v>
      </c>
      <c r="T220" s="278" t="s">
        <v>110</v>
      </c>
      <c r="U220" s="1174"/>
      <c r="V220" s="282"/>
      <c r="W220" s="287" t="s">
        <v>723</v>
      </c>
      <c r="X220" s="1191"/>
      <c r="Y220" s="1265" t="s">
        <v>723</v>
      </c>
      <c r="Z220" s="1258" t="s">
        <v>110</v>
      </c>
      <c r="AA220" s="1266" t="str">
        <f t="shared" si="3"/>
        <v>a</v>
      </c>
      <c r="AC220" s="572"/>
      <c r="AD220" s="572"/>
      <c r="AE220" s="572"/>
    </row>
    <row r="221" spans="1:31" ht="40.5" customHeight="1" x14ac:dyDescent="0.25">
      <c r="A221" s="926">
        <v>342</v>
      </c>
      <c r="B221" s="270" t="str">
        <f>IF(VLOOKUP(A221,'Données de base - Grunddaten'!$A$2:$M$273,5,FALSE)="","",VLOOKUP(A221,'Données de base - Grunddaten'!$A$2:$M$273,5,FALSE))</f>
        <v>SH</v>
      </c>
      <c r="C221" s="41" t="str">
        <f>IF(VLOOKUP(A221,'Données de base - Grunddaten'!$A$2:$M$273,3,FALSE)="","",VLOOKUP(A221,'Données de base - Grunddaten'!$A$2:$M$273,3,FALSE))</f>
        <v>Bibermüli</v>
      </c>
      <c r="D221" s="41" t="str">
        <f>IF(VLOOKUP(A221,'Données de base - Grunddaten'!$A$2:$M$273,4,FALSE)="","",VLOOKUP(A221,'Données de base - Grunddaten'!$A$2:$M$273,4,FALSE))</f>
        <v>Biber</v>
      </c>
      <c r="E221" s="271">
        <v>-1.9454545454545453</v>
      </c>
      <c r="F221" s="271">
        <v>7.568457653392735</v>
      </c>
      <c r="G221" s="271">
        <v>9.545454545454545</v>
      </c>
      <c r="H221" s="272" t="s">
        <v>1066</v>
      </c>
      <c r="I221" s="273" t="s">
        <v>1079</v>
      </c>
      <c r="J221" s="273" t="s">
        <v>1068</v>
      </c>
      <c r="K221" s="274"/>
      <c r="L221" s="275"/>
      <c r="M221" s="1151" t="s">
        <v>720</v>
      </c>
      <c r="N221" s="1152" t="s">
        <v>43</v>
      </c>
      <c r="O221" s="1148" t="str">
        <f>VLOOKUP(A221,Strat_Plan_Revit!$A$10:$S$321,11,FALSE)</f>
        <v>gross</v>
      </c>
      <c r="P221" s="977" t="str">
        <f>VLOOKUP(A221,Strat_Plan_Revit!$A$10:$S$321,12,FALSE)</f>
        <v>gross</v>
      </c>
      <c r="Q221" s="277" t="str">
        <f>VLOOKUP(A221,Strat_Plan_Revit!$A$10:$S$321,13,FALSE)</f>
        <v>Priorität 1 (2018)</v>
      </c>
      <c r="R221" s="1162" t="s">
        <v>737</v>
      </c>
      <c r="S221" s="1173" t="s">
        <v>737</v>
      </c>
      <c r="T221" s="278" t="s">
        <v>110</v>
      </c>
      <c r="U221" s="1174"/>
      <c r="V221" s="282"/>
      <c r="W221" s="448"/>
      <c r="X221" s="1186" t="s">
        <v>447</v>
      </c>
      <c r="Y221" s="1265" t="s">
        <v>737</v>
      </c>
      <c r="Z221" s="1258" t="s">
        <v>110</v>
      </c>
      <c r="AA221" s="1266" t="str">
        <f t="shared" si="3"/>
        <v>a</v>
      </c>
      <c r="AC221" s="572"/>
      <c r="AD221" s="572"/>
      <c r="AE221" s="572"/>
    </row>
    <row r="222" spans="1:31" ht="40.5" customHeight="1" x14ac:dyDescent="0.25">
      <c r="A222" s="926">
        <v>343</v>
      </c>
      <c r="B222" s="270" t="str">
        <f>IF(VLOOKUP(A222,'Données de base - Grunddaten'!$A$2:$M$273,5,FALSE)="","",VLOOKUP(A222,'Données de base - Grunddaten'!$A$2:$M$273,5,FALSE))</f>
        <v>ZH</v>
      </c>
      <c r="C222" s="41" t="str">
        <f>IF(VLOOKUP(A222,'Données de base - Grunddaten'!$A$2:$M$273,3,FALSE)="","",VLOOKUP(A222,'Données de base - Grunddaten'!$A$2:$M$273,3,FALSE))</f>
        <v>Freienstein–Tössegg</v>
      </c>
      <c r="D222" s="41" t="str">
        <f>IF(VLOOKUP(A222,'Données de base - Grunddaten'!$A$2:$M$273,4,FALSE)="","",VLOOKUP(A222,'Données de base - Grunddaten'!$A$2:$M$273,4,FALSE))</f>
        <v>Töss</v>
      </c>
      <c r="E222" s="271">
        <v>-4.0636363636363635</v>
      </c>
      <c r="F222" s="271">
        <v>7.3329410523176879</v>
      </c>
      <c r="G222" s="271">
        <v>11.363636363636363</v>
      </c>
      <c r="H222" s="272" t="s">
        <v>1066</v>
      </c>
      <c r="I222" s="273" t="s">
        <v>1079</v>
      </c>
      <c r="J222" s="273" t="s">
        <v>1064</v>
      </c>
      <c r="K222" s="274"/>
      <c r="L222" s="275"/>
      <c r="M222" s="1151" t="s">
        <v>720</v>
      </c>
      <c r="N222" s="1152" t="s">
        <v>43</v>
      </c>
      <c r="O222" s="1148" t="str">
        <f>VLOOKUP(A222,Strat_Plan_Revit!$A$10:$S$321,11,FALSE)</f>
        <v>gross/mittel</v>
      </c>
      <c r="P222" s="977" t="str">
        <f>VLOOKUP(A222,Strat_Plan_Revit!$A$10:$S$321,12,FALSE)</f>
        <v>gering</v>
      </c>
      <c r="Q222" s="277">
        <f>VLOOKUP(A222,Strat_Plan_Revit!$A$10:$S$321,13,FALSE)</f>
        <v>3</v>
      </c>
      <c r="R222" s="1162" t="s">
        <v>752</v>
      </c>
      <c r="S222" s="1178" t="s">
        <v>752</v>
      </c>
      <c r="T222" s="278" t="s">
        <v>110</v>
      </c>
      <c r="U222" s="1174"/>
      <c r="V222" s="282"/>
      <c r="W222" s="1145" t="s">
        <v>1205</v>
      </c>
      <c r="X222" s="97" t="s">
        <v>1206</v>
      </c>
      <c r="Y222" s="1274" t="s">
        <v>752</v>
      </c>
      <c r="Z222" s="1258" t="s">
        <v>110</v>
      </c>
      <c r="AA222" s="1266" t="str">
        <f t="shared" si="3"/>
        <v>a</v>
      </c>
      <c r="AC222" s="572"/>
      <c r="AD222" s="572"/>
      <c r="AE222" s="572"/>
    </row>
    <row r="223" spans="1:31" ht="40.5" customHeight="1" x14ac:dyDescent="0.25">
      <c r="A223" s="926">
        <v>344</v>
      </c>
      <c r="B223" s="270" t="str">
        <f>IF(VLOOKUP(A223,'Données de base - Grunddaten'!$A$2:$M$273,5,FALSE)="","",VLOOKUP(A223,'Données de base - Grunddaten'!$A$2:$M$273,5,FALSE))</f>
        <v>ZH</v>
      </c>
      <c r="C223" s="41" t="str">
        <f>IF(VLOOKUP(A223,'Données de base - Grunddaten'!$A$2:$M$273,3,FALSE)="","",VLOOKUP(A223,'Données de base - Grunddaten'!$A$2:$M$273,3,FALSE))</f>
        <v>Dättlikon–Freienstein</v>
      </c>
      <c r="D223" s="41" t="str">
        <f>IF(VLOOKUP(A223,'Données de base - Grunddaten'!$A$2:$M$273,4,FALSE)="","",VLOOKUP(A223,'Données de base - Grunddaten'!$A$2:$M$273,4,FALSE))</f>
        <v>Töss</v>
      </c>
      <c r="E223" s="271">
        <v>-17.272727272727273</v>
      </c>
      <c r="F223" s="271">
        <v>0</v>
      </c>
      <c r="G223" s="271">
        <v>17.272727272727273</v>
      </c>
      <c r="H223" s="272" t="s">
        <v>1061</v>
      </c>
      <c r="I223" s="273" t="s">
        <v>1079</v>
      </c>
      <c r="J223" s="273" t="s">
        <v>1059</v>
      </c>
      <c r="K223" s="274"/>
      <c r="L223" s="275"/>
      <c r="M223" s="1151" t="s">
        <v>752</v>
      </c>
      <c r="N223" s="1152" t="s">
        <v>43</v>
      </c>
      <c r="O223" s="1148" t="str">
        <f>VLOOKUP(A223,Strat_Plan_Revit!$A$10:$S$321,11,FALSE)</f>
        <v>gross</v>
      </c>
      <c r="P223" s="977" t="str">
        <f>VLOOKUP(A223,Strat_Plan_Revit!$A$10:$S$321,12,FALSE)</f>
        <v>mittel/gering</v>
      </c>
      <c r="Q223" s="277">
        <f>VLOOKUP(A223,Strat_Plan_Revit!$A$10:$S$321,13,FALSE)</f>
        <v>3</v>
      </c>
      <c r="R223" s="1162" t="s">
        <v>752</v>
      </c>
      <c r="S223" s="1173" t="s">
        <v>752</v>
      </c>
      <c r="T223" s="278" t="s">
        <v>59</v>
      </c>
      <c r="U223" s="1174"/>
      <c r="V223" s="282"/>
      <c r="W223" s="1145" t="s">
        <v>1205</v>
      </c>
      <c r="X223" s="97" t="s">
        <v>1206</v>
      </c>
      <c r="Y223" s="1265" t="s">
        <v>752</v>
      </c>
      <c r="Z223" s="1258" t="s">
        <v>59</v>
      </c>
      <c r="AA223" s="1266" t="str">
        <f t="shared" si="3"/>
        <v>a</v>
      </c>
      <c r="AC223" s="572"/>
      <c r="AD223" s="572"/>
      <c r="AE223" s="572"/>
    </row>
    <row r="224" spans="1:31" ht="40.5" customHeight="1" x14ac:dyDescent="0.25">
      <c r="A224" s="926">
        <v>345</v>
      </c>
      <c r="B224" s="270" t="str">
        <f>IF(VLOOKUP(A224,'Données de base - Grunddaten'!$A$2:$M$273,5,FALSE)="","",VLOOKUP(A224,'Données de base - Grunddaten'!$A$2:$M$273,5,FALSE))</f>
        <v>ZH</v>
      </c>
      <c r="C224" s="41" t="str">
        <f>IF(VLOOKUP(A224,'Données de base - Grunddaten'!$A$2:$M$273,3,FALSE)="","",VLOOKUP(A224,'Données de base - Grunddaten'!$A$2:$M$273,3,FALSE))</f>
        <v>Oberglatt</v>
      </c>
      <c r="D224" s="41" t="str">
        <f>IF(VLOOKUP(A224,'Données de base - Grunddaten'!$A$2:$M$273,4,FALSE)="","",VLOOKUP(A224,'Données de base - Grunddaten'!$A$2:$M$273,4,FALSE))</f>
        <v>Glatt</v>
      </c>
      <c r="E224" s="271">
        <v>59.727272727272727</v>
      </c>
      <c r="F224" s="271">
        <v>77.038106275097633</v>
      </c>
      <c r="G224" s="271">
        <v>17.272727272727273</v>
      </c>
      <c r="H224" s="272" t="s">
        <v>1057</v>
      </c>
      <c r="I224" s="273" t="s">
        <v>1147</v>
      </c>
      <c r="J224" s="273" t="s">
        <v>1068</v>
      </c>
      <c r="K224" s="274"/>
      <c r="L224" s="275"/>
      <c r="M224" s="1151" t="s">
        <v>738</v>
      </c>
      <c r="N224" s="1152" t="s">
        <v>72</v>
      </c>
      <c r="O224" s="1148" t="str">
        <f>VLOOKUP(A224,Strat_Plan_Revit!$A$10:$S$321,11,FALSE)</f>
        <v>gross</v>
      </c>
      <c r="P224" s="977" t="str">
        <f>VLOOKUP(A224,Strat_Plan_Revit!$A$10:$S$321,12,FALSE)</f>
        <v>gross</v>
      </c>
      <c r="Q224" s="277">
        <f>VLOOKUP(A224,Strat_Plan_Revit!$A$10:$S$321,13,FALSE)</f>
        <v>1</v>
      </c>
      <c r="R224" s="1162" t="s">
        <v>738</v>
      </c>
      <c r="S224" s="1173" t="s">
        <v>738</v>
      </c>
      <c r="T224" s="278" t="s">
        <v>59</v>
      </c>
      <c r="U224" s="1174"/>
      <c r="V224" s="282"/>
      <c r="W224" s="1145" t="s">
        <v>1205</v>
      </c>
      <c r="X224" s="97" t="s">
        <v>1206</v>
      </c>
      <c r="Y224" s="1265" t="s">
        <v>738</v>
      </c>
      <c r="Z224" s="1258" t="s">
        <v>59</v>
      </c>
      <c r="AA224" s="1266" t="str">
        <f t="shared" si="3"/>
        <v>a</v>
      </c>
      <c r="AC224" s="572"/>
      <c r="AD224" s="572"/>
      <c r="AE224" s="572"/>
    </row>
    <row r="225" spans="1:31" ht="40.5" customHeight="1" x14ac:dyDescent="0.25">
      <c r="A225" s="930">
        <v>346</v>
      </c>
      <c r="B225" s="270" t="str">
        <f>IF(VLOOKUP(A225,'Données de base - Grunddaten'!$A$2:$M$273,5,FALSE)="","",VLOOKUP(A225,'Données de base - Grunddaten'!$A$2:$M$273,5,FALSE))</f>
        <v>SZ</v>
      </c>
      <c r="C225" s="41" t="str">
        <f>IF(VLOOKUP(A225,'Données de base - Grunddaten'!$A$2:$M$273,3,FALSE)="","",VLOOKUP(A225,'Données de base - Grunddaten'!$A$2:$M$273,3,FALSE))</f>
        <v>Muotathal</v>
      </c>
      <c r="D225" s="41" t="str">
        <f>IF(VLOOKUP(A225,'Données de base - Grunddaten'!$A$2:$M$273,4,FALSE)="","",VLOOKUP(A225,'Données de base - Grunddaten'!$A$2:$M$273,4,FALSE))</f>
        <v>Muota</v>
      </c>
      <c r="E225" s="271"/>
      <c r="F225" s="271"/>
      <c r="G225" s="271"/>
      <c r="H225" s="283"/>
      <c r="I225" s="279" t="s">
        <v>1079</v>
      </c>
      <c r="J225" s="279"/>
      <c r="K225" s="280" t="s">
        <v>1061</v>
      </c>
      <c r="L225" s="275"/>
      <c r="M225" s="1151" t="s">
        <v>738</v>
      </c>
      <c r="N225" s="1152" t="s">
        <v>72</v>
      </c>
      <c r="O225" s="1148" t="str">
        <f>VLOOKUP(A225,Strat_Plan_Revit!$A$10:$S$321,11,FALSE)</f>
        <v>gross</v>
      </c>
      <c r="P225" s="977" t="str">
        <f>VLOOKUP(A225,Strat_Plan_Revit!$A$10:$S$321,12,FALSE)</f>
        <v>mittel/gering</v>
      </c>
      <c r="Q225" s="277" t="str">
        <f>VLOOKUP(A225,Strat_Plan_Revit!$A$10:$S$321,13,FALSE)</f>
        <v>-</v>
      </c>
      <c r="R225" s="1162" t="s">
        <v>723</v>
      </c>
      <c r="S225" s="1173" t="s">
        <v>723</v>
      </c>
      <c r="T225" s="278" t="s">
        <v>110</v>
      </c>
      <c r="U225" s="1174"/>
      <c r="V225" s="282"/>
      <c r="W225" s="448"/>
      <c r="X225" s="97" t="s">
        <v>469</v>
      </c>
      <c r="Y225" s="1265" t="s">
        <v>723</v>
      </c>
      <c r="Z225" s="1258" t="s">
        <v>110</v>
      </c>
      <c r="AA225" s="1266" t="str">
        <f t="shared" si="3"/>
        <v>a</v>
      </c>
      <c r="AC225" s="572"/>
      <c r="AD225" s="572"/>
      <c r="AE225" s="572"/>
    </row>
    <row r="226" spans="1:31" ht="40.5" customHeight="1" x14ac:dyDescent="0.25">
      <c r="A226" s="931">
        <v>347</v>
      </c>
      <c r="B226" s="270" t="str">
        <f>IF(VLOOKUP(A226,'Données de base - Grunddaten'!$A$2:$M$273,5,FALSE)="","",VLOOKUP(A226,'Données de base - Grunddaten'!$A$2:$M$273,5,FALSE))</f>
        <v>GL/SZ</v>
      </c>
      <c r="C226" s="41" t="str">
        <f>IF(VLOOKUP(A226,'Données de base - Grunddaten'!$A$2:$M$273,3,FALSE)="","",VLOOKUP(A226,'Données de base - Grunddaten'!$A$2:$M$273,3,FALSE))</f>
        <v>Gampeleggen–Richisau</v>
      </c>
      <c r="D226" s="41" t="str">
        <f>IF(VLOOKUP(A226,'Données de base - Grunddaten'!$A$2:$M$273,4,FALSE)="","",VLOOKUP(A226,'Données de base - Grunddaten'!$A$2:$M$273,4,FALSE))</f>
        <v>Chlü, Chlön</v>
      </c>
      <c r="E226" s="271"/>
      <c r="F226" s="271"/>
      <c r="G226" s="271"/>
      <c r="H226" s="283"/>
      <c r="I226" s="279" t="s">
        <v>1071</v>
      </c>
      <c r="J226" s="279"/>
      <c r="K226" s="280" t="s">
        <v>1146</v>
      </c>
      <c r="L226" s="275"/>
      <c r="M226" s="1151" t="s">
        <v>752</v>
      </c>
      <c r="N226" s="1152" t="s">
        <v>72</v>
      </c>
      <c r="O226" s="1150" t="s">
        <v>1894</v>
      </c>
      <c r="P226" s="979" t="s">
        <v>1894</v>
      </c>
      <c r="Q226" s="555" t="s">
        <v>1850</v>
      </c>
      <c r="R226" s="1169"/>
      <c r="S226" s="1173" t="s">
        <v>752</v>
      </c>
      <c r="T226" s="278" t="s">
        <v>72</v>
      </c>
      <c r="U226" s="1174" t="s">
        <v>1145</v>
      </c>
      <c r="V226" s="282"/>
      <c r="W226" s="341"/>
      <c r="X226" s="97"/>
      <c r="Y226" s="1265" t="s">
        <v>752</v>
      </c>
      <c r="Z226" s="1258" t="s">
        <v>72</v>
      </c>
      <c r="AA226" s="1266" t="str">
        <f t="shared" si="3"/>
        <v>b</v>
      </c>
      <c r="AC226" s="572"/>
      <c r="AD226" s="572"/>
      <c r="AE226" s="572"/>
    </row>
    <row r="227" spans="1:31" ht="40.5" customHeight="1" x14ac:dyDescent="0.25">
      <c r="A227" s="1233">
        <v>348</v>
      </c>
      <c r="B227" s="270" t="str">
        <f>IF(VLOOKUP(A227,'Données de base - Grunddaten'!$A$2:$M$273,5,FALSE)="","",VLOOKUP(A227,'Données de base - Grunddaten'!$A$2:$M$273,5,FALSE))</f>
        <v>GL</v>
      </c>
      <c r="C227" s="41" t="str">
        <f>IF(VLOOKUP(A227,'Données de base - Grunddaten'!$A$2:$M$273,3,FALSE)="","",VLOOKUP(A227,'Données de base - Grunddaten'!$A$2:$M$273,3,FALSE))</f>
        <v>Linth Delta</v>
      </c>
      <c r="D227" s="41" t="str">
        <f>IF(VLOOKUP(A227,'Données de base - Grunddaten'!$A$2:$M$273,4,FALSE)="","",VLOOKUP(A227,'Données de base - Grunddaten'!$A$2:$M$273,4,FALSE))</f>
        <v>Linth, Walensee</v>
      </c>
      <c r="E227" s="271"/>
      <c r="F227" s="271"/>
      <c r="G227" s="271"/>
      <c r="H227" s="283"/>
      <c r="I227" s="279" t="s">
        <v>1147</v>
      </c>
      <c r="J227" s="279"/>
      <c r="K227" s="280" t="s">
        <v>1078</v>
      </c>
      <c r="L227" s="281" t="s">
        <v>1148</v>
      </c>
      <c r="M227" s="1151" t="s">
        <v>738</v>
      </c>
      <c r="N227" s="1152" t="s">
        <v>43</v>
      </c>
      <c r="O227" s="1148" t="str">
        <f>VLOOKUP(A227,Strat_Plan_Revit!$A$10:$S$321,11,FALSE)</f>
        <v>-</v>
      </c>
      <c r="P227" s="977" t="str">
        <f>VLOOKUP(A227,Strat_Plan_Revit!$A$10:$S$321,12,FALSE)</f>
        <v>-</v>
      </c>
      <c r="Q227" s="277" t="str">
        <f>VLOOKUP(A227,Strat_Plan_Revit!$A$10:$S$321,13,FALSE)</f>
        <v>-</v>
      </c>
      <c r="R227" s="1169"/>
      <c r="S227" s="1173" t="s">
        <v>738</v>
      </c>
      <c r="T227" s="278" t="s">
        <v>43</v>
      </c>
      <c r="U227" s="1174" t="s">
        <v>1145</v>
      </c>
      <c r="V227" s="282"/>
      <c r="W227" s="341"/>
      <c r="X227" s="97"/>
      <c r="Y227" s="1265" t="s">
        <v>738</v>
      </c>
      <c r="Z227" s="1258" t="s">
        <v>43</v>
      </c>
      <c r="AA227" s="1266" t="str">
        <f t="shared" si="3"/>
        <v>a</v>
      </c>
      <c r="AC227" s="572"/>
      <c r="AD227" s="572"/>
      <c r="AE227" s="572"/>
    </row>
    <row r="228" spans="1:31" ht="40.5" customHeight="1" x14ac:dyDescent="0.25">
      <c r="A228" s="926">
        <v>349</v>
      </c>
      <c r="B228" s="270" t="str">
        <f>IF(VLOOKUP(A228,'Données de base - Grunddaten'!$A$2:$M$273,5,FALSE)="","",VLOOKUP(A228,'Données de base - Grunddaten'!$A$2:$M$273,5,FALSE))</f>
        <v>UR</v>
      </c>
      <c r="C228" s="41" t="str">
        <f>IF(VLOOKUP(A228,'Données de base - Grunddaten'!$A$2:$M$273,3,FALSE)="","",VLOOKUP(A228,'Données de base - Grunddaten'!$A$2:$M$273,3,FALSE))</f>
        <v>Grosstal</v>
      </c>
      <c r="D228" s="41" t="str">
        <f>IF(VLOOKUP(A228,'Données de base - Grunddaten'!$A$2:$M$273,4,FALSE)="","",VLOOKUP(A228,'Données de base - Grunddaten'!$A$2:$M$273,4,FALSE))</f>
        <v>Isitaler Bach</v>
      </c>
      <c r="E228" s="271">
        <v>-13.1</v>
      </c>
      <c r="F228" s="271">
        <v>1.9158168122952595</v>
      </c>
      <c r="G228" s="271">
        <v>15</v>
      </c>
      <c r="H228" s="272" t="s">
        <v>1066</v>
      </c>
      <c r="I228" s="279" t="s">
        <v>1071</v>
      </c>
      <c r="J228" s="279" t="s">
        <v>1059</v>
      </c>
      <c r="K228" s="274"/>
      <c r="L228" s="288"/>
      <c r="M228" s="1151" t="s">
        <v>720</v>
      </c>
      <c r="N228" s="1152" t="s">
        <v>43</v>
      </c>
      <c r="O228" s="1148" t="str">
        <f>VLOOKUP(A228,Strat_Plan_Revit!$A$10:$S$321,11,FALSE)</f>
        <v>keine Angaben</v>
      </c>
      <c r="P228" s="977" t="str">
        <f>VLOOKUP(A228,Strat_Plan_Revit!$A$10:$S$321,12,FALSE)</f>
        <v>keine Angaben</v>
      </c>
      <c r="Q228" s="277" t="str">
        <f>VLOOKUP(A228,Strat_Plan_Revit!$A$10:$S$321,13,FALSE)</f>
        <v>-</v>
      </c>
      <c r="R228" s="1169"/>
      <c r="S228" s="1173" t="s">
        <v>720</v>
      </c>
      <c r="T228" s="278" t="s">
        <v>43</v>
      </c>
      <c r="U228" s="1174"/>
      <c r="V228" s="282"/>
      <c r="W228" s="1142"/>
      <c r="X228" s="1192"/>
      <c r="Y228" s="1265" t="s">
        <v>720</v>
      </c>
      <c r="Z228" s="1258" t="s">
        <v>43</v>
      </c>
      <c r="AA228" s="1266" t="str">
        <f t="shared" si="3"/>
        <v>a</v>
      </c>
      <c r="AC228" s="572"/>
      <c r="AD228" s="572"/>
      <c r="AE228" s="572"/>
    </row>
    <row r="229" spans="1:31" ht="40.5" customHeight="1" x14ac:dyDescent="0.25">
      <c r="A229" s="929">
        <v>350</v>
      </c>
      <c r="B229" s="270" t="str">
        <f>IF(VLOOKUP(A229,'Données de base - Grunddaten'!$A$2:$M$273,5,FALSE)="","",VLOOKUP(A229,'Données de base - Grunddaten'!$A$2:$M$273,5,FALSE))</f>
        <v>UR</v>
      </c>
      <c r="C229" s="41" t="str">
        <f>IF(VLOOKUP(A229,'Données de base - Grunddaten'!$A$2:$M$273,3,FALSE)="","",VLOOKUP(A229,'Données de base - Grunddaten'!$A$2:$M$273,3,FALSE))</f>
        <v>LangHütte</v>
      </c>
      <c r="D229" s="41" t="str">
        <f>IF(VLOOKUP(A229,'Données de base - Grunddaten'!$A$2:$M$273,4,FALSE)="","",VLOOKUP(A229,'Données de base - Grunddaten'!$A$2:$M$273,4,FALSE))</f>
        <v>Bocki Bach</v>
      </c>
      <c r="E229" s="271"/>
      <c r="F229" s="271"/>
      <c r="G229" s="271"/>
      <c r="H229" s="272" t="s">
        <v>1057</v>
      </c>
      <c r="I229" s="279" t="s">
        <v>1071</v>
      </c>
      <c r="J229" s="279"/>
      <c r="K229" s="280"/>
      <c r="L229" s="281" t="s">
        <v>1193</v>
      </c>
      <c r="M229" s="1151" t="s">
        <v>737</v>
      </c>
      <c r="N229" s="1152" t="s">
        <v>43</v>
      </c>
      <c r="O229" s="1148" t="str">
        <f>VLOOKUP(A229,Strat_Plan_Revit!$A$10:$S$321,11,FALSE)</f>
        <v>mittel</v>
      </c>
      <c r="P229" s="977" t="str">
        <f>VLOOKUP(A229,Strat_Plan_Revit!$A$10:$S$321,12,FALSE)</f>
        <v>gross</v>
      </c>
      <c r="Q229" s="277" t="str">
        <f>VLOOKUP(A229,Strat_Plan_Revit!$A$10:$S$321,13,FALSE)</f>
        <v>mittel</v>
      </c>
      <c r="R229" s="1162" t="s">
        <v>737</v>
      </c>
      <c r="S229" s="1173" t="s">
        <v>737</v>
      </c>
      <c r="T229" s="278" t="s">
        <v>59</v>
      </c>
      <c r="U229" s="1174"/>
      <c r="V229" s="282"/>
      <c r="W229" s="1142"/>
      <c r="X229" s="1192"/>
      <c r="Y229" s="1265" t="s">
        <v>737</v>
      </c>
      <c r="Z229" s="1258" t="s">
        <v>59</v>
      </c>
      <c r="AA229" s="1266" t="str">
        <f t="shared" si="3"/>
        <v>a</v>
      </c>
      <c r="AC229" s="572"/>
      <c r="AD229" s="572"/>
      <c r="AE229" s="572"/>
    </row>
    <row r="230" spans="1:31" ht="40.5" customHeight="1" x14ac:dyDescent="0.25">
      <c r="A230" s="926">
        <v>351</v>
      </c>
      <c r="B230" s="270" t="str">
        <f>IF(VLOOKUP(A230,'Données de base - Grunddaten'!$A$2:$M$273,5,FALSE)="","",VLOOKUP(A230,'Données de base - Grunddaten'!$A$2:$M$273,5,FALSE))</f>
        <v>UR</v>
      </c>
      <c r="C230" s="41" t="str">
        <f>IF(VLOOKUP(A230,'Données de base - Grunddaten'!$A$2:$M$273,3,FALSE)="","",VLOOKUP(A230,'Données de base - Grunddaten'!$A$2:$M$273,3,FALSE))</f>
        <v>Unterschächen–Spiringen</v>
      </c>
      <c r="D230" s="41" t="str">
        <f>IF(VLOOKUP(A230,'Données de base - Grunddaten'!$A$2:$M$273,4,FALSE)="","",VLOOKUP(A230,'Données de base - Grunddaten'!$A$2:$M$273,4,FALSE))</f>
        <v>Schächen</v>
      </c>
      <c r="E230" s="271">
        <v>8.5454545454545467</v>
      </c>
      <c r="F230" s="271">
        <v>13.979447087152334</v>
      </c>
      <c r="G230" s="271">
        <v>5.4545454545454541</v>
      </c>
      <c r="H230" s="272" t="s">
        <v>1066</v>
      </c>
      <c r="I230" s="273" t="s">
        <v>1079</v>
      </c>
      <c r="J230" s="273" t="s">
        <v>1064</v>
      </c>
      <c r="K230" s="274"/>
      <c r="L230" s="275"/>
      <c r="M230" s="1151" t="s">
        <v>720</v>
      </c>
      <c r="N230" s="1152" t="s">
        <v>43</v>
      </c>
      <c r="O230" s="1148" t="str">
        <f>VLOOKUP(A230,Strat_Plan_Revit!$A$10:$S$321,11,FALSE)</f>
        <v>keine Angaben</v>
      </c>
      <c r="P230" s="977" t="str">
        <f>VLOOKUP(A230,Strat_Plan_Revit!$A$10:$S$321,12,FALSE)</f>
        <v>keine Angaben</v>
      </c>
      <c r="Q230" s="277" t="str">
        <f>VLOOKUP(A230,Strat_Plan_Revit!$A$10:$S$321,13,FALSE)</f>
        <v>-</v>
      </c>
      <c r="R230" s="1169"/>
      <c r="S230" s="1173" t="s">
        <v>720</v>
      </c>
      <c r="T230" s="278" t="s">
        <v>43</v>
      </c>
      <c r="U230" s="1174"/>
      <c r="V230" s="282"/>
      <c r="W230" s="1142"/>
      <c r="X230" s="1192"/>
      <c r="Y230" s="1265" t="s">
        <v>720</v>
      </c>
      <c r="Z230" s="1258" t="s">
        <v>43</v>
      </c>
      <c r="AA230" s="1266" t="str">
        <f t="shared" si="3"/>
        <v>a</v>
      </c>
      <c r="AC230" s="572"/>
      <c r="AD230" s="572"/>
      <c r="AE230" s="572"/>
    </row>
    <row r="231" spans="1:31" ht="40.5" customHeight="1" x14ac:dyDescent="0.25">
      <c r="A231" s="926">
        <v>352</v>
      </c>
      <c r="B231" s="270" t="str">
        <f>IF(VLOOKUP(A231,'Données de base - Grunddaten'!$A$2:$M$273,5,FALSE)="","",VLOOKUP(A231,'Données de base - Grunddaten'!$A$2:$M$273,5,FALSE))</f>
        <v>OW/UR</v>
      </c>
      <c r="C231" s="41" t="str">
        <f>IF(VLOOKUP(A231,'Données de base - Grunddaten'!$A$2:$M$273,3,FALSE)="","",VLOOKUP(A231,'Données de base - Grunddaten'!$A$2:$M$273,3,FALSE))</f>
        <v>Alpenrösli–Herrenrüti</v>
      </c>
      <c r="D231" s="41" t="str">
        <f>IF(VLOOKUP(A231,'Données de base - Grunddaten'!$A$2:$M$273,4,FALSE)="","",VLOOKUP(A231,'Données de base - Grunddaten'!$A$2:$M$273,4,FALSE))</f>
        <v>Engelberger Aa</v>
      </c>
      <c r="E231" s="271">
        <v>-22.754545454545454</v>
      </c>
      <c r="F231" s="271">
        <v>2.6530382540396404</v>
      </c>
      <c r="G231" s="271">
        <v>25.454545454545453</v>
      </c>
      <c r="H231" s="272" t="s">
        <v>1072</v>
      </c>
      <c r="I231" s="273"/>
      <c r="J231" s="273" t="s">
        <v>1059</v>
      </c>
      <c r="K231" s="274"/>
      <c r="L231" s="275"/>
      <c r="M231" s="1151" t="s">
        <v>720</v>
      </c>
      <c r="N231" s="1152" t="s">
        <v>72</v>
      </c>
      <c r="O231" s="1148" t="s">
        <v>1895</v>
      </c>
      <c r="P231" s="977" t="s">
        <v>1896</v>
      </c>
      <c r="Q231" s="277" t="s">
        <v>1860</v>
      </c>
      <c r="R231" s="1162" t="s">
        <v>752</v>
      </c>
      <c r="S231" s="1180" t="s">
        <v>720</v>
      </c>
      <c r="T231" s="278" t="s">
        <v>368</v>
      </c>
      <c r="U231" s="1174" t="s">
        <v>1164</v>
      </c>
      <c r="V231" s="1053" t="s">
        <v>126</v>
      </c>
      <c r="W231" s="1138" t="s">
        <v>752</v>
      </c>
      <c r="X231" s="1193" t="s">
        <v>1165</v>
      </c>
      <c r="Y231" s="1274" t="s">
        <v>752</v>
      </c>
      <c r="Z231" s="1258" t="s">
        <v>368</v>
      </c>
      <c r="AA231" s="1266" t="str">
        <f t="shared" si="3"/>
        <v>b</v>
      </c>
      <c r="AB231" s="1073" t="s">
        <v>1195</v>
      </c>
      <c r="AC231" s="572"/>
      <c r="AD231" s="572"/>
      <c r="AE231" s="572"/>
    </row>
    <row r="232" spans="1:31" ht="40.5" customHeight="1" x14ac:dyDescent="0.25">
      <c r="A232" s="926">
        <v>353</v>
      </c>
      <c r="B232" s="270" t="str">
        <f>IF(VLOOKUP(A232,'Données de base - Grunddaten'!$A$2:$M$273,5,FALSE)="","",VLOOKUP(A232,'Données de base - Grunddaten'!$A$2:$M$273,5,FALSE))</f>
        <v>UR</v>
      </c>
      <c r="C232" s="41" t="str">
        <f>IF(VLOOKUP(A232,'Données de base - Grunddaten'!$A$2:$M$273,3,FALSE)="","",VLOOKUP(A232,'Données de base - Grunddaten'!$A$2:$M$273,3,FALSE))</f>
        <v>Altboden</v>
      </c>
      <c r="D232" s="41" t="str">
        <f>IF(VLOOKUP(A232,'Données de base - Grunddaten'!$A$2:$M$273,4,FALSE)="","",VLOOKUP(A232,'Données de base - Grunddaten'!$A$2:$M$273,4,FALSE))</f>
        <v>Gorenzmettlenbach</v>
      </c>
      <c r="E232" s="271">
        <v>-5</v>
      </c>
      <c r="F232" s="271">
        <v>0</v>
      </c>
      <c r="G232" s="271">
        <v>5</v>
      </c>
      <c r="H232" s="272" t="s">
        <v>1061</v>
      </c>
      <c r="I232" s="273" t="s">
        <v>1079</v>
      </c>
      <c r="J232" s="273" t="s">
        <v>1059</v>
      </c>
      <c r="K232" s="274"/>
      <c r="L232" s="275"/>
      <c r="M232" s="1151" t="s">
        <v>752</v>
      </c>
      <c r="N232" s="1152" t="s">
        <v>43</v>
      </c>
      <c r="O232" s="1148" t="str">
        <f>VLOOKUP(A232,Strat_Plan_Revit!$A$10:$S$321,11,FALSE)</f>
        <v>keine Angaben</v>
      </c>
      <c r="P232" s="977" t="str">
        <f>VLOOKUP(A232,Strat_Plan_Revit!$A$10:$S$321,12,FALSE)</f>
        <v>keine Angaben</v>
      </c>
      <c r="Q232" s="277" t="str">
        <f>VLOOKUP(A232,Strat_Plan_Revit!$A$10:$S$321,13,FALSE)</f>
        <v>-</v>
      </c>
      <c r="R232" s="1169"/>
      <c r="S232" s="1173" t="s">
        <v>752</v>
      </c>
      <c r="T232" s="278" t="s">
        <v>43</v>
      </c>
      <c r="U232" s="1174"/>
      <c r="V232" s="282"/>
      <c r="W232" s="1142"/>
      <c r="X232" s="1192"/>
      <c r="Y232" s="1265" t="s">
        <v>752</v>
      </c>
      <c r="Z232" s="1258" t="s">
        <v>43</v>
      </c>
      <c r="AA232" s="1266" t="str">
        <f t="shared" si="3"/>
        <v>a</v>
      </c>
      <c r="AC232" s="572"/>
      <c r="AD232" s="572"/>
      <c r="AE232" s="572"/>
    </row>
    <row r="233" spans="1:31" ht="40.5" customHeight="1" x14ac:dyDescent="0.25">
      <c r="A233" s="926">
        <v>354</v>
      </c>
      <c r="B233" s="270" t="str">
        <f>IF(VLOOKUP(A233,'Données de base - Grunddaten'!$A$2:$M$273,5,FALSE)="","",VLOOKUP(A233,'Données de base - Grunddaten'!$A$2:$M$273,5,FALSE))</f>
        <v>UR</v>
      </c>
      <c r="C233" s="41" t="str">
        <f>IF(VLOOKUP(A233,'Données de base - Grunddaten'!$A$2:$M$273,3,FALSE)="","",VLOOKUP(A233,'Données de base - Grunddaten'!$A$2:$M$273,3,FALSE))</f>
        <v>Gorneren</v>
      </c>
      <c r="D233" s="41" t="str">
        <f>IF(VLOOKUP(A233,'Données de base - Grunddaten'!$A$2:$M$273,4,FALSE)="","",VLOOKUP(A233,'Données de base - Grunddaten'!$A$2:$M$273,4,FALSE))</f>
        <v>Gornerbach</v>
      </c>
      <c r="E233" s="271">
        <v>20.363636363636363</v>
      </c>
      <c r="F233" s="271">
        <v>24.008531893885095</v>
      </c>
      <c r="G233" s="271">
        <v>3.6363636363636362</v>
      </c>
      <c r="H233" s="272" t="s">
        <v>1066</v>
      </c>
      <c r="I233" s="273" t="s">
        <v>1079</v>
      </c>
      <c r="J233" s="273" t="s">
        <v>1059</v>
      </c>
      <c r="K233" s="274"/>
      <c r="L233" s="275"/>
      <c r="M233" s="1151" t="s">
        <v>720</v>
      </c>
      <c r="N233" s="1152" t="s">
        <v>43</v>
      </c>
      <c r="O233" s="1148" t="str">
        <f>VLOOKUP(A233,Strat_Plan_Revit!$A$10:$S$321,11,FALSE)</f>
        <v>keine Angaben</v>
      </c>
      <c r="P233" s="977" t="str">
        <f>VLOOKUP(A233,Strat_Plan_Revit!$A$10:$S$321,12,FALSE)</f>
        <v>keine Angaben</v>
      </c>
      <c r="Q233" s="277" t="str">
        <f>VLOOKUP(A233,Strat_Plan_Revit!$A$10:$S$321,13,FALSE)</f>
        <v>-</v>
      </c>
      <c r="R233" s="1169"/>
      <c r="S233" s="1173" t="s">
        <v>720</v>
      </c>
      <c r="T233" s="278" t="s">
        <v>43</v>
      </c>
      <c r="U233" s="1174"/>
      <c r="V233" s="282"/>
      <c r="W233" s="1142"/>
      <c r="X233" s="1192"/>
      <c r="Y233" s="1265" t="s">
        <v>720</v>
      </c>
      <c r="Z233" s="1258" t="s">
        <v>43</v>
      </c>
      <c r="AA233" s="1266" t="str">
        <f t="shared" si="3"/>
        <v>a</v>
      </c>
      <c r="AC233" s="572"/>
      <c r="AD233" s="572"/>
      <c r="AE233" s="572"/>
    </row>
    <row r="234" spans="1:31" ht="40.5" customHeight="1" x14ac:dyDescent="0.25">
      <c r="A234" s="926">
        <v>355</v>
      </c>
      <c r="B234" s="270" t="str">
        <f>IF(VLOOKUP(A234,'Données de base - Grunddaten'!$A$2:$M$273,5,FALSE)="","",VLOOKUP(A234,'Données de base - Grunddaten'!$A$2:$M$273,5,FALSE))</f>
        <v>UR</v>
      </c>
      <c r="C234" s="41" t="str">
        <f>IF(VLOOKUP(A234,'Données de base - Grunddaten'!$A$2:$M$273,3,FALSE)="","",VLOOKUP(A234,'Données de base - Grunddaten'!$A$2:$M$273,3,FALSE))</f>
        <v>Stäuberboden</v>
      </c>
      <c r="D234" s="41" t="str">
        <f>IF(VLOOKUP(A234,'Données de base - Grunddaten'!$A$2:$M$273,4,FALSE)="","",VLOOKUP(A234,'Données de base - Grunddaten'!$A$2:$M$273,4,FALSE))</f>
        <v>Chärstelenbach</v>
      </c>
      <c r="E234" s="271">
        <v>-10.909090909090908</v>
      </c>
      <c r="F234" s="271">
        <v>0</v>
      </c>
      <c r="G234" s="271">
        <v>10.909090909090908</v>
      </c>
      <c r="H234" s="272" t="s">
        <v>1061</v>
      </c>
      <c r="I234" s="273"/>
      <c r="J234" s="273" t="s">
        <v>1059</v>
      </c>
      <c r="K234" s="274"/>
      <c r="L234" s="275"/>
      <c r="M234" s="1151" t="s">
        <v>752</v>
      </c>
      <c r="N234" s="1152" t="s">
        <v>43</v>
      </c>
      <c r="O234" s="1148" t="str">
        <f>VLOOKUP(A234,Strat_Plan_Revit!$A$10:$S$321,11,FALSE)</f>
        <v>keine Angaben</v>
      </c>
      <c r="P234" s="977" t="str">
        <f>VLOOKUP(A234,Strat_Plan_Revit!$A$10:$S$321,12,FALSE)</f>
        <v>keine Angaben</v>
      </c>
      <c r="Q234" s="277" t="str">
        <f>VLOOKUP(A234,Strat_Plan_Revit!$A$10:$S$321,13,FALSE)</f>
        <v>-</v>
      </c>
      <c r="R234" s="1169"/>
      <c r="S234" s="1173" t="s">
        <v>752</v>
      </c>
      <c r="T234" s="278" t="s">
        <v>43</v>
      </c>
      <c r="U234" s="1174"/>
      <c r="V234" s="282"/>
      <c r="W234" s="1142"/>
      <c r="X234" s="1192"/>
      <c r="Y234" s="1265" t="s">
        <v>752</v>
      </c>
      <c r="Z234" s="1258" t="s">
        <v>43</v>
      </c>
      <c r="AA234" s="1266" t="str">
        <f t="shared" si="3"/>
        <v>a</v>
      </c>
      <c r="AC234" s="572"/>
      <c r="AD234" s="572"/>
      <c r="AE234" s="572"/>
    </row>
    <row r="235" spans="1:31" ht="40.5" customHeight="1" x14ac:dyDescent="0.25">
      <c r="A235" s="926">
        <v>356</v>
      </c>
      <c r="B235" s="270" t="str">
        <f>IF(VLOOKUP(A235,'Données de base - Grunddaten'!$A$2:$M$273,5,FALSE)="","",VLOOKUP(A235,'Données de base - Grunddaten'!$A$2:$M$273,5,FALSE))</f>
        <v>UR</v>
      </c>
      <c r="C235" s="41" t="str">
        <f>IF(VLOOKUP(A235,'Données de base - Grunddaten'!$A$2:$M$273,3,FALSE)="","",VLOOKUP(A235,'Données de base - Grunddaten'!$A$2:$M$273,3,FALSE))</f>
        <v>Unteralp</v>
      </c>
      <c r="D235" s="41" t="str">
        <f>IF(VLOOKUP(A235,'Données de base - Grunddaten'!$A$2:$M$273,4,FALSE)="","",VLOOKUP(A235,'Données de base - Grunddaten'!$A$2:$M$273,4,FALSE))</f>
        <v>Unteralpreuss</v>
      </c>
      <c r="E235" s="271">
        <v>57.927272727272729</v>
      </c>
      <c r="F235" s="271">
        <v>65.230296159995731</v>
      </c>
      <c r="G235" s="271">
        <v>7.2727272727272725</v>
      </c>
      <c r="H235" s="272" t="s">
        <v>1057</v>
      </c>
      <c r="I235" s="273" t="s">
        <v>1071</v>
      </c>
      <c r="J235" s="273" t="s">
        <v>1068</v>
      </c>
      <c r="K235" s="274"/>
      <c r="L235" s="275"/>
      <c r="M235" s="1151" t="s">
        <v>737</v>
      </c>
      <c r="N235" s="1152" t="s">
        <v>43</v>
      </c>
      <c r="O235" s="1148" t="str">
        <f>VLOOKUP(A235,Strat_Plan_Revit!$A$10:$S$321,11,FALSE)</f>
        <v>keine Angaben</v>
      </c>
      <c r="P235" s="977" t="str">
        <f>VLOOKUP(A235,Strat_Plan_Revit!$A$10:$S$321,12,FALSE)</f>
        <v>keine Angaben</v>
      </c>
      <c r="Q235" s="277" t="str">
        <f>VLOOKUP(A235,Strat_Plan_Revit!$A$10:$S$321,13,FALSE)</f>
        <v>-</v>
      </c>
      <c r="R235" s="1169"/>
      <c r="S235" s="1173" t="s">
        <v>737</v>
      </c>
      <c r="T235" s="278" t="s">
        <v>43</v>
      </c>
      <c r="U235" s="1174"/>
      <c r="V235" s="282"/>
      <c r="W235" s="1142"/>
      <c r="X235" s="1192"/>
      <c r="Y235" s="1265" t="s">
        <v>737</v>
      </c>
      <c r="Z235" s="1258" t="s">
        <v>43</v>
      </c>
      <c r="AA235" s="1266" t="str">
        <f t="shared" si="3"/>
        <v>a</v>
      </c>
      <c r="AC235" s="572"/>
      <c r="AD235" s="572"/>
      <c r="AE235" s="572"/>
    </row>
    <row r="236" spans="1:31" ht="40.5" customHeight="1" x14ac:dyDescent="0.25">
      <c r="A236" s="926">
        <v>357</v>
      </c>
      <c r="B236" s="270" t="str">
        <f>IF(VLOOKUP(A236,'Données de base - Grunddaten'!$A$2:$M$273,5,FALSE)="","",VLOOKUP(A236,'Données de base - Grunddaten'!$A$2:$M$273,5,FALSE))</f>
        <v>TI</v>
      </c>
      <c r="C236" s="41" t="str">
        <f>IF(VLOOKUP(A236,'Données de base - Grunddaten'!$A$2:$M$273,3,FALSE)="","",VLOOKUP(A236,'Données de base - Grunddaten'!$A$2:$M$273,3,FALSE))</f>
        <v>Ghirone</v>
      </c>
      <c r="D236" s="41" t="str">
        <f>IF(VLOOKUP(A236,'Données de base - Grunddaten'!$A$2:$M$273,4,FALSE)="","",VLOOKUP(A236,'Données de base - Grunddaten'!$A$2:$M$273,4,FALSE))</f>
        <v>Brenno della Greina</v>
      </c>
      <c r="E236" s="271">
        <v>-5.1545454545454543</v>
      </c>
      <c r="F236" s="271">
        <v>10.253477140390869</v>
      </c>
      <c r="G236" s="271">
        <v>15.454545454545455</v>
      </c>
      <c r="H236" s="272" t="s">
        <v>1066</v>
      </c>
      <c r="I236" s="273" t="s">
        <v>1071</v>
      </c>
      <c r="J236" s="273" t="s">
        <v>1068</v>
      </c>
      <c r="K236" s="274"/>
      <c r="L236" s="275"/>
      <c r="M236" s="1151" t="s">
        <v>737</v>
      </c>
      <c r="N236" s="1152" t="s">
        <v>72</v>
      </c>
      <c r="O236" s="1148" t="str">
        <f>VLOOKUP(A236,Strat_Plan_Revit!$A$10:$S$321,11,FALSE)</f>
        <v>moyen</v>
      </c>
      <c r="P236" s="977" t="str">
        <f>VLOOKUP(A236,Strat_Plan_Revit!$A$10:$S$321,12,FALSE)</f>
        <v>faible</v>
      </c>
      <c r="Q236" s="277" t="str">
        <f>VLOOKUP(A236,Strat_Plan_Revit!$A$10:$S$321,13,FALSE)</f>
        <v>nulle</v>
      </c>
      <c r="R236" s="1162" t="s">
        <v>752</v>
      </c>
      <c r="S236" s="1173" t="s">
        <v>720</v>
      </c>
      <c r="T236" s="278" t="s">
        <v>368</v>
      </c>
      <c r="U236" s="1174"/>
      <c r="V236" s="1053" t="s">
        <v>126</v>
      </c>
      <c r="W236" s="287" t="s">
        <v>752</v>
      </c>
      <c r="X236" s="1194" t="s">
        <v>1186</v>
      </c>
      <c r="Y236" s="1265" t="s">
        <v>723</v>
      </c>
      <c r="Z236" s="1260" t="s">
        <v>110</v>
      </c>
      <c r="AA236" s="1266" t="str">
        <f t="shared" si="3"/>
        <v>a</v>
      </c>
      <c r="AC236" s="572"/>
      <c r="AD236" s="572"/>
      <c r="AE236" s="572"/>
    </row>
    <row r="237" spans="1:31" ht="40.5" customHeight="1" x14ac:dyDescent="0.25">
      <c r="A237" s="926">
        <v>358</v>
      </c>
      <c r="B237" s="270" t="str">
        <f>IF(VLOOKUP(A237,'Données de base - Grunddaten'!$A$2:$M$273,5,FALSE)="","",VLOOKUP(A237,'Données de base - Grunddaten'!$A$2:$M$273,5,FALSE))</f>
        <v>TI</v>
      </c>
      <c r="C237" s="41" t="str">
        <f>IF(VLOOKUP(A237,'Données de base - Grunddaten'!$A$2:$M$273,3,FALSE)="","",VLOOKUP(A237,'Données de base - Grunddaten'!$A$2:$M$273,3,FALSE))</f>
        <v>Chiggiogna–Lavorgo</v>
      </c>
      <c r="D237" s="41" t="str">
        <f>IF(VLOOKUP(A237,'Données de base - Grunddaten'!$A$2:$M$273,4,FALSE)="","",VLOOKUP(A237,'Données de base - Grunddaten'!$A$2:$M$273,4,FALSE))</f>
        <v>Ticino</v>
      </c>
      <c r="E237" s="271">
        <v>-20.290909090909089</v>
      </c>
      <c r="F237" s="271">
        <v>8.7573534703056559</v>
      </c>
      <c r="G237" s="271">
        <v>29.09090909090909</v>
      </c>
      <c r="H237" s="272" t="s">
        <v>1072</v>
      </c>
      <c r="I237" s="273" t="s">
        <v>1071</v>
      </c>
      <c r="J237" s="273" t="s">
        <v>1068</v>
      </c>
      <c r="K237" s="274"/>
      <c r="L237" s="275"/>
      <c r="M237" s="1151" t="s">
        <v>723</v>
      </c>
      <c r="N237" s="1152" t="s">
        <v>43</v>
      </c>
      <c r="O237" s="1148" t="str">
        <f>VLOOKUP(A237,Strat_Plan_Revit!$A$10:$S$321,11,FALSE)</f>
        <v>moyen et faible</v>
      </c>
      <c r="P237" s="977" t="str">
        <f>VLOOKUP(A237,Strat_Plan_Revit!$A$10:$S$321,12,FALSE)</f>
        <v>moyen et important</v>
      </c>
      <c r="Q237" s="277" t="str">
        <f>VLOOKUP(A237,Strat_Plan_Revit!$A$10:$S$321,13,FALSE)</f>
        <v>faible et moyen et important</v>
      </c>
      <c r="R237" s="1162" t="s">
        <v>723</v>
      </c>
      <c r="S237" s="1173" t="s">
        <v>723</v>
      </c>
      <c r="T237" s="278" t="s">
        <v>59</v>
      </c>
      <c r="U237" s="1174"/>
      <c r="V237" s="282"/>
      <c r="W237" s="448"/>
      <c r="X237" s="1191"/>
      <c r="Y237" s="1265" t="s">
        <v>723</v>
      </c>
      <c r="Z237" s="1260" t="s">
        <v>59</v>
      </c>
      <c r="AA237" s="1266" t="str">
        <f t="shared" si="3"/>
        <v>a</v>
      </c>
      <c r="AC237" s="572"/>
      <c r="AD237" s="572"/>
      <c r="AE237" s="572"/>
    </row>
    <row r="238" spans="1:31" ht="40.5" customHeight="1" x14ac:dyDescent="0.25">
      <c r="A238" s="926">
        <v>359</v>
      </c>
      <c r="B238" s="270" t="str">
        <f>IF(VLOOKUP(A238,'Données de base - Grunddaten'!$A$2:$M$273,5,FALSE)="","",VLOOKUP(A238,'Données de base - Grunddaten'!$A$2:$M$273,5,FALSE))</f>
        <v>TI</v>
      </c>
      <c r="C238" s="41" t="str">
        <f>IF(VLOOKUP(A238,'Données de base - Grunddaten'!$A$2:$M$273,3,FALSE)="","",VLOOKUP(A238,'Données de base - Grunddaten'!$A$2:$M$273,3,FALSE))</f>
        <v>Biaschina–Giornico</v>
      </c>
      <c r="D238" s="41" t="str">
        <f>IF(VLOOKUP(A238,'Données de base - Grunddaten'!$A$2:$M$273,4,FALSE)="","",VLOOKUP(A238,'Données de base - Grunddaten'!$A$2:$M$273,4,FALSE))</f>
        <v>Ticino</v>
      </c>
      <c r="E238" s="271">
        <v>6.6545454545454534</v>
      </c>
      <c r="F238" s="271">
        <v>11.172351868630559</v>
      </c>
      <c r="G238" s="271">
        <v>4.5454545454545459</v>
      </c>
      <c r="H238" s="272" t="s">
        <v>1066</v>
      </c>
      <c r="I238" s="273" t="s">
        <v>1071</v>
      </c>
      <c r="J238" s="273" t="s">
        <v>1068</v>
      </c>
      <c r="K238" s="274"/>
      <c r="L238" s="275"/>
      <c r="M238" s="1151" t="s">
        <v>720</v>
      </c>
      <c r="N238" s="1152" t="s">
        <v>43</v>
      </c>
      <c r="O238" s="1148" t="str">
        <f>VLOOKUP(A238,Strat_Plan_Revit!$A$10:$S$321,11,FALSE)</f>
        <v>moyen</v>
      </c>
      <c r="P238" s="977" t="str">
        <f>VLOOKUP(A238,Strat_Plan_Revit!$A$10:$S$321,12,FALSE)</f>
        <v>moyen</v>
      </c>
      <c r="Q238" s="277" t="str">
        <f>VLOOKUP(A238,Strat_Plan_Revit!$A$10:$S$321,13,FALSE)</f>
        <v>nulle</v>
      </c>
      <c r="R238" s="1162" t="s">
        <v>720</v>
      </c>
      <c r="S238" s="1173" t="s">
        <v>720</v>
      </c>
      <c r="T238" s="278" t="s">
        <v>59</v>
      </c>
      <c r="U238" s="1174"/>
      <c r="V238" s="282"/>
      <c r="W238" s="448"/>
      <c r="X238" s="1191"/>
      <c r="Y238" s="1265" t="s">
        <v>720</v>
      </c>
      <c r="Z238" s="1260" t="s">
        <v>59</v>
      </c>
      <c r="AA238" s="1266" t="str">
        <f t="shared" si="3"/>
        <v>a</v>
      </c>
      <c r="AC238" s="572"/>
      <c r="AD238" s="572"/>
      <c r="AE238" s="572"/>
    </row>
    <row r="239" spans="1:31" ht="40.5" customHeight="1" x14ac:dyDescent="0.25">
      <c r="A239" s="926">
        <v>360</v>
      </c>
      <c r="B239" s="270" t="str">
        <f>IF(VLOOKUP(A239,'Données de base - Grunddaten'!$A$2:$M$273,5,FALSE)="","",VLOOKUP(A239,'Données de base - Grunddaten'!$A$2:$M$273,5,FALSE))</f>
        <v>TI</v>
      </c>
      <c r="C239" s="41" t="str">
        <f>IF(VLOOKUP(A239,'Données de base - Grunddaten'!$A$2:$M$273,3,FALSE)="","",VLOOKUP(A239,'Données de base - Grunddaten'!$A$2:$M$273,3,FALSE))</f>
        <v>Fontane</v>
      </c>
      <c r="D239" s="41" t="str">
        <f>IF(VLOOKUP(A239,'Données de base - Grunddaten'!$A$2:$M$273,4,FALSE)="","",VLOOKUP(A239,'Données de base - Grunddaten'!$A$2:$M$273,4,FALSE))</f>
        <v>Orino</v>
      </c>
      <c r="E239" s="271">
        <v>-3.1818181818181817</v>
      </c>
      <c r="F239" s="271">
        <v>0</v>
      </c>
      <c r="G239" s="271">
        <v>3.1818181818181817</v>
      </c>
      <c r="H239" s="272" t="s">
        <v>1061</v>
      </c>
      <c r="I239" s="273" t="s">
        <v>1079</v>
      </c>
      <c r="J239" s="273" t="s">
        <v>1059</v>
      </c>
      <c r="K239" s="274"/>
      <c r="L239" s="275"/>
      <c r="M239" s="1151" t="s">
        <v>752</v>
      </c>
      <c r="N239" s="1152" t="s">
        <v>43</v>
      </c>
      <c r="O239" s="1148" t="str">
        <f>VLOOKUP(A239,Strat_Plan_Revit!$A$10:$S$321,11,FALSE)</f>
        <v>moyen et faible</v>
      </c>
      <c r="P239" s="977" t="str">
        <f>VLOOKUP(A239,Strat_Plan_Revit!$A$10:$S$321,12,FALSE)</f>
        <v>faible</v>
      </c>
      <c r="Q239" s="277" t="str">
        <f>VLOOKUP(A239,Strat_Plan_Revit!$A$10:$S$321,13,FALSE)</f>
        <v>nulle</v>
      </c>
      <c r="R239" s="1162" t="s">
        <v>752</v>
      </c>
      <c r="S239" s="1173" t="s">
        <v>752</v>
      </c>
      <c r="T239" s="278" t="s">
        <v>59</v>
      </c>
      <c r="U239" s="1174"/>
      <c r="V239" s="282"/>
      <c r="W239" s="448"/>
      <c r="X239" s="1191"/>
      <c r="Y239" s="1265" t="s">
        <v>752</v>
      </c>
      <c r="Z239" s="1260" t="s">
        <v>59</v>
      </c>
      <c r="AA239" s="1266" t="str">
        <f t="shared" si="3"/>
        <v>a</v>
      </c>
      <c r="AC239" s="572"/>
      <c r="AD239" s="572"/>
      <c r="AE239" s="572"/>
    </row>
    <row r="240" spans="1:31" ht="40.5" customHeight="1" x14ac:dyDescent="0.25">
      <c r="A240" s="926">
        <v>361</v>
      </c>
      <c r="B240" s="270" t="str">
        <f>IF(VLOOKUP(A240,'Données de base - Grunddaten'!$A$2:$M$273,5,FALSE)="","",VLOOKUP(A240,'Données de base - Grunddaten'!$A$2:$M$273,5,FALSE))</f>
        <v>TI</v>
      </c>
      <c r="C240" s="41" t="str">
        <f>IF(VLOOKUP(A240,'Données de base - Grunddaten'!$A$2:$M$273,3,FALSE)="","",VLOOKUP(A240,'Données de base - Grunddaten'!$A$2:$M$273,3,FALSE))</f>
        <v>Madra</v>
      </c>
      <c r="D240" s="41" t="str">
        <f>IF(VLOOKUP(A240,'Données de base - Grunddaten'!$A$2:$M$273,4,FALSE)="","",VLOOKUP(A240,'Données de base - Grunddaten'!$A$2:$M$273,4,FALSE))</f>
        <v>Orino</v>
      </c>
      <c r="E240" s="271">
        <v>-1.8181818181818181</v>
      </c>
      <c r="F240" s="271">
        <v>0</v>
      </c>
      <c r="G240" s="271">
        <v>1.8181818181818181</v>
      </c>
      <c r="H240" s="272" t="s">
        <v>1061</v>
      </c>
      <c r="I240" s="273" t="s">
        <v>1079</v>
      </c>
      <c r="J240" s="273" t="s">
        <v>1059</v>
      </c>
      <c r="K240" s="274"/>
      <c r="L240" s="275"/>
      <c r="M240" s="1151" t="s">
        <v>752</v>
      </c>
      <c r="N240" s="1152" t="s">
        <v>43</v>
      </c>
      <c r="O240" s="1148" t="str">
        <f>VLOOKUP(A240,Strat_Plan_Revit!$A$10:$S$321,11,FALSE)</f>
        <v>moyen</v>
      </c>
      <c r="P240" s="977" t="str">
        <f>VLOOKUP(A240,Strat_Plan_Revit!$A$10:$S$321,12,FALSE)</f>
        <v>faible</v>
      </c>
      <c r="Q240" s="277" t="str">
        <f>VLOOKUP(A240,Strat_Plan_Revit!$A$10:$S$321,13,FALSE)</f>
        <v>nulle</v>
      </c>
      <c r="R240" s="1162" t="s">
        <v>752</v>
      </c>
      <c r="S240" s="1173" t="s">
        <v>752</v>
      </c>
      <c r="T240" s="278" t="s">
        <v>59</v>
      </c>
      <c r="U240" s="1174"/>
      <c r="V240" s="282"/>
      <c r="W240" s="448"/>
      <c r="X240" s="1191"/>
      <c r="Y240" s="1265" t="s">
        <v>752</v>
      </c>
      <c r="Z240" s="1260" t="s">
        <v>59</v>
      </c>
      <c r="AA240" s="1266" t="str">
        <f t="shared" si="3"/>
        <v>a</v>
      </c>
      <c r="AC240" s="572"/>
      <c r="AD240" s="572"/>
      <c r="AE240" s="572"/>
    </row>
    <row r="241" spans="1:31" ht="40.5" customHeight="1" x14ac:dyDescent="0.25">
      <c r="A241" s="926">
        <v>362</v>
      </c>
      <c r="B241" s="270" t="str">
        <f>IF(VLOOKUP(A241,'Données de base - Grunddaten'!$A$2:$M$273,5,FALSE)="","",VLOOKUP(A241,'Données de base - Grunddaten'!$A$2:$M$273,5,FALSE))</f>
        <v>TI</v>
      </c>
      <c r="C241" s="41" t="str">
        <f>IF(VLOOKUP(A241,'Données de base - Grunddaten'!$A$2:$M$273,3,FALSE)="","",VLOOKUP(A241,'Données de base - Grunddaten'!$A$2:$M$273,3,FALSE))</f>
        <v>Calnegia</v>
      </c>
      <c r="D241" s="41" t="str">
        <f>IF(VLOOKUP(A241,'Données de base - Grunddaten'!$A$2:$M$273,4,FALSE)="","",VLOOKUP(A241,'Données de base - Grunddaten'!$A$2:$M$273,4,FALSE))</f>
        <v>Fiume Calnegia</v>
      </c>
      <c r="E241" s="271">
        <v>0</v>
      </c>
      <c r="F241" s="271">
        <v>0</v>
      </c>
      <c r="G241" s="271">
        <v>0</v>
      </c>
      <c r="H241" s="272" t="s">
        <v>1061</v>
      </c>
      <c r="I241" s="273" t="s">
        <v>1079</v>
      </c>
      <c r="J241" s="273" t="s">
        <v>1059</v>
      </c>
      <c r="K241" s="274"/>
      <c r="L241" s="275"/>
      <c r="M241" s="1151" t="s">
        <v>752</v>
      </c>
      <c r="N241" s="1152" t="s">
        <v>43</v>
      </c>
      <c r="O241" s="1148" t="str">
        <f>VLOOKUP(A241,Strat_Plan_Revit!$A$10:$S$321,11,FALSE)</f>
        <v>moyen</v>
      </c>
      <c r="P241" s="977" t="str">
        <f>VLOOKUP(A241,Strat_Plan_Revit!$A$10:$S$321,12,FALSE)</f>
        <v>faible</v>
      </c>
      <c r="Q241" s="277" t="str">
        <f>VLOOKUP(A241,Strat_Plan_Revit!$A$10:$S$321,13,FALSE)</f>
        <v>nulle</v>
      </c>
      <c r="R241" s="1162" t="s">
        <v>752</v>
      </c>
      <c r="S241" s="1173" t="s">
        <v>752</v>
      </c>
      <c r="T241" s="278" t="s">
        <v>59</v>
      </c>
      <c r="U241" s="1174"/>
      <c r="V241" s="282"/>
      <c r="W241" s="448"/>
      <c r="X241" s="1191"/>
      <c r="Y241" s="1265" t="s">
        <v>752</v>
      </c>
      <c r="Z241" s="1260" t="s">
        <v>59</v>
      </c>
      <c r="AA241" s="1266" t="str">
        <f t="shared" si="3"/>
        <v>a</v>
      </c>
      <c r="AC241" s="572"/>
      <c r="AD241" s="572"/>
      <c r="AE241" s="572"/>
    </row>
    <row r="242" spans="1:31" ht="40.5" customHeight="1" x14ac:dyDescent="0.25">
      <c r="A242" s="926">
        <v>363</v>
      </c>
      <c r="B242" s="270" t="str">
        <f>IF(VLOOKUP(A242,'Données de base - Grunddaten'!$A$2:$M$273,5,FALSE)="","",VLOOKUP(A242,'Données de base - Grunddaten'!$A$2:$M$273,5,FALSE))</f>
        <v>TI</v>
      </c>
      <c r="C242" s="41" t="str">
        <f>IF(VLOOKUP(A242,'Données de base - Grunddaten'!$A$2:$M$273,3,FALSE)="","",VLOOKUP(A242,'Données de base - Grunddaten'!$A$2:$M$273,3,FALSE))</f>
        <v>Mött di Tirman</v>
      </c>
      <c r="D242" s="41" t="str">
        <f>IF(VLOOKUP(A242,'Données de base - Grunddaten'!$A$2:$M$273,4,FALSE)="","",VLOOKUP(A242,'Données de base - Grunddaten'!$A$2:$M$273,4,FALSE))</f>
        <v>Rio Colobiasca</v>
      </c>
      <c r="E242" s="271">
        <v>-0.13636363636363624</v>
      </c>
      <c r="F242" s="271">
        <v>3.5274053632044122</v>
      </c>
      <c r="G242" s="271">
        <v>3.6363636363636362</v>
      </c>
      <c r="H242" s="272" t="s">
        <v>1066</v>
      </c>
      <c r="I242" s="273" t="s">
        <v>1079</v>
      </c>
      <c r="J242" s="273" t="s">
        <v>1059</v>
      </c>
      <c r="K242" s="274"/>
      <c r="L242" s="275"/>
      <c r="M242" s="1151" t="s">
        <v>752</v>
      </c>
      <c r="N242" s="1152" t="s">
        <v>72</v>
      </c>
      <c r="O242" s="1148" t="str">
        <f>VLOOKUP(A242,Strat_Plan_Revit!$A$10:$S$321,11,FALSE)</f>
        <v>moyen</v>
      </c>
      <c r="P242" s="977" t="str">
        <f>VLOOKUP(A242,Strat_Plan_Revit!$A$10:$S$321,12,FALSE)</f>
        <v>faible</v>
      </c>
      <c r="Q242" s="277" t="str">
        <f>VLOOKUP(A242,Strat_Plan_Revit!$A$10:$S$321,13,FALSE)</f>
        <v>nulle</v>
      </c>
      <c r="R242" s="1162" t="s">
        <v>752</v>
      </c>
      <c r="S242" s="1173" t="s">
        <v>752</v>
      </c>
      <c r="T242" s="278" t="s">
        <v>59</v>
      </c>
      <c r="U242" s="1174"/>
      <c r="V242" s="282"/>
      <c r="W242" s="448"/>
      <c r="X242" s="1191"/>
      <c r="Y242" s="1265" t="s">
        <v>752</v>
      </c>
      <c r="Z242" s="1260" t="s">
        <v>59</v>
      </c>
      <c r="AA242" s="1266" t="str">
        <f t="shared" si="3"/>
        <v>a</v>
      </c>
      <c r="AC242" s="572"/>
      <c r="AD242" s="572"/>
      <c r="AE242" s="572"/>
    </row>
    <row r="243" spans="1:31" ht="40.5" customHeight="1" x14ac:dyDescent="0.25">
      <c r="A243" s="926">
        <v>364</v>
      </c>
      <c r="B243" s="270" t="str">
        <f>IF(VLOOKUP(A243,'Données de base - Grunddaten'!$A$2:$M$273,5,FALSE)="","",VLOOKUP(A243,'Données de base - Grunddaten'!$A$2:$M$273,5,FALSE))</f>
        <v>TI</v>
      </c>
      <c r="C243" s="41" t="str">
        <f>IF(VLOOKUP(A243,'Données de base - Grunddaten'!$A$2:$M$273,3,FALSE)="","",VLOOKUP(A243,'Données de base - Grunddaten'!$A$2:$M$273,3,FALSE))</f>
        <v>Sonogno–Brione</v>
      </c>
      <c r="D243" s="41" t="str">
        <f>IF(VLOOKUP(A243,'Données de base - Grunddaten'!$A$2:$M$273,4,FALSE)="","",VLOOKUP(A243,'Données de base - Grunddaten'!$A$2:$M$273,4,FALSE))</f>
        <v>Verzasca</v>
      </c>
      <c r="E243" s="271">
        <v>32.009090909090908</v>
      </c>
      <c r="F243" s="271">
        <v>46.122204167003282</v>
      </c>
      <c r="G243" s="271">
        <v>14.090909090909092</v>
      </c>
      <c r="H243" s="272" t="s">
        <v>1057</v>
      </c>
      <c r="I243" s="273" t="s">
        <v>1071</v>
      </c>
      <c r="J243" s="273" t="s">
        <v>1064</v>
      </c>
      <c r="K243" s="274"/>
      <c r="L243" s="275"/>
      <c r="M243" s="1151" t="s">
        <v>737</v>
      </c>
      <c r="N243" s="1152" t="s">
        <v>43</v>
      </c>
      <c r="O243" s="1148" t="str">
        <f>VLOOKUP(A243,Strat_Plan_Revit!$A$10:$S$321,11,FALSE)</f>
        <v>moyen</v>
      </c>
      <c r="P243" s="977" t="str">
        <f>VLOOKUP(A243,Strat_Plan_Revit!$A$10:$S$321,12,FALSE)</f>
        <v>faible</v>
      </c>
      <c r="Q243" s="277" t="str">
        <f>VLOOKUP(A243,Strat_Plan_Revit!$A$10:$S$321,13,FALSE)</f>
        <v>nulle</v>
      </c>
      <c r="R243" s="1162" t="s">
        <v>752</v>
      </c>
      <c r="S243" s="1151" t="s">
        <v>737</v>
      </c>
      <c r="T243" s="278" t="s">
        <v>368</v>
      </c>
      <c r="U243" s="1174"/>
      <c r="V243" s="1053" t="s">
        <v>126</v>
      </c>
      <c r="W243" s="287" t="s">
        <v>752</v>
      </c>
      <c r="X243" s="1195" t="s">
        <v>1188</v>
      </c>
      <c r="Y243" s="1265" t="s">
        <v>738</v>
      </c>
      <c r="Z243" s="1262" t="s">
        <v>110</v>
      </c>
      <c r="AA243" s="1266" t="str">
        <f t="shared" si="3"/>
        <v>a</v>
      </c>
      <c r="AC243" s="572"/>
      <c r="AD243" s="572"/>
      <c r="AE243" s="572"/>
    </row>
    <row r="244" spans="1:31" ht="40.5" customHeight="1" x14ac:dyDescent="0.25">
      <c r="A244" s="926">
        <v>365</v>
      </c>
      <c r="B244" s="270" t="str">
        <f>IF(VLOOKUP(A244,'Données de base - Grunddaten'!$A$2:$M$273,5,FALSE)="","",VLOOKUP(A244,'Données de base - Grunddaten'!$A$2:$M$273,5,FALSE))</f>
        <v>TI</v>
      </c>
      <c r="C244" s="41" t="str">
        <f>IF(VLOOKUP(A244,'Données de base - Grunddaten'!$A$2:$M$273,3,FALSE)="","",VLOOKUP(A244,'Données de base - Grunddaten'!$A$2:$M$273,3,FALSE))</f>
        <v>Ruscada</v>
      </c>
      <c r="D244" s="41" t="str">
        <f>IF(VLOOKUP(A244,'Données de base - Grunddaten'!$A$2:$M$273,4,FALSE)="","",VLOOKUP(A244,'Données de base - Grunddaten'!$A$2:$M$273,4,FALSE))</f>
        <v>Boggera</v>
      </c>
      <c r="E244" s="271">
        <v>-2.2727272727272729</v>
      </c>
      <c r="F244" s="271">
        <v>0</v>
      </c>
      <c r="G244" s="271">
        <v>2.2727272727272729</v>
      </c>
      <c r="H244" s="272" t="s">
        <v>1061</v>
      </c>
      <c r="I244" s="273" t="s">
        <v>1079</v>
      </c>
      <c r="J244" s="273" t="s">
        <v>1064</v>
      </c>
      <c r="K244" s="274"/>
      <c r="L244" s="275"/>
      <c r="M244" s="1151" t="s">
        <v>752</v>
      </c>
      <c r="N244" s="1152" t="s">
        <v>43</v>
      </c>
      <c r="O244" s="1148" t="str">
        <f>VLOOKUP(A244,Strat_Plan_Revit!$A$10:$S$321,11,FALSE)</f>
        <v>moyen et faible</v>
      </c>
      <c r="P244" s="977" t="str">
        <f>VLOOKUP(A244,Strat_Plan_Revit!$A$10:$S$321,12,FALSE)</f>
        <v>faible</v>
      </c>
      <c r="Q244" s="277" t="str">
        <f>VLOOKUP(A244,Strat_Plan_Revit!$A$10:$S$321,13,FALSE)</f>
        <v>nulle</v>
      </c>
      <c r="R244" s="1162" t="s">
        <v>752</v>
      </c>
      <c r="S244" s="1173" t="s">
        <v>752</v>
      </c>
      <c r="T244" s="278" t="s">
        <v>59</v>
      </c>
      <c r="U244" s="1174"/>
      <c r="V244" s="282"/>
      <c r="W244" s="448"/>
      <c r="X244" s="1191"/>
      <c r="Y244" s="1265" t="s">
        <v>752</v>
      </c>
      <c r="Z244" s="1260" t="s">
        <v>59</v>
      </c>
      <c r="AA244" s="1266" t="str">
        <f t="shared" si="3"/>
        <v>a</v>
      </c>
      <c r="AC244" s="572"/>
      <c r="AD244" s="572"/>
      <c r="AE244" s="572"/>
    </row>
    <row r="245" spans="1:31" ht="40.5" customHeight="1" x14ac:dyDescent="0.25">
      <c r="A245" s="926">
        <v>366</v>
      </c>
      <c r="B245" s="270" t="str">
        <f>IF(VLOOKUP(A245,'Données de base - Grunddaten'!$A$2:$M$273,5,FALSE)="","",VLOOKUP(A245,'Données de base - Grunddaten'!$A$2:$M$273,5,FALSE))</f>
        <v>TI</v>
      </c>
      <c r="C245" s="41" t="str">
        <f>IF(VLOOKUP(A245,'Données de base - Grunddaten'!$A$2:$M$273,3,FALSE)="","",VLOOKUP(A245,'Données de base - Grunddaten'!$A$2:$M$273,3,FALSE))</f>
        <v>Vezio–Aranno</v>
      </c>
      <c r="D245" s="41" t="str">
        <f>IF(VLOOKUP(A245,'Données de base - Grunddaten'!$A$2:$M$273,4,FALSE)="","",VLOOKUP(A245,'Données de base - Grunddaten'!$A$2:$M$273,4,FALSE))</f>
        <v>Magliasina</v>
      </c>
      <c r="E245" s="271">
        <v>-31.363636363636363</v>
      </c>
      <c r="F245" s="271">
        <v>0</v>
      </c>
      <c r="G245" s="271">
        <v>31.363636363636363</v>
      </c>
      <c r="H245" s="272" t="s">
        <v>1061</v>
      </c>
      <c r="I245" s="273" t="s">
        <v>1071</v>
      </c>
      <c r="J245" s="273" t="s">
        <v>1059</v>
      </c>
      <c r="K245" s="274"/>
      <c r="L245" s="275"/>
      <c r="M245" s="1151" t="s">
        <v>752</v>
      </c>
      <c r="N245" s="1152" t="s">
        <v>43</v>
      </c>
      <c r="O245" s="1148" t="str">
        <f>VLOOKUP(A245,Strat_Plan_Revit!$A$10:$S$321,11,FALSE)</f>
        <v>moyen et faible</v>
      </c>
      <c r="P245" s="977" t="str">
        <f>VLOOKUP(A245,Strat_Plan_Revit!$A$10:$S$321,12,FALSE)</f>
        <v>faible</v>
      </c>
      <c r="Q245" s="277" t="str">
        <f>VLOOKUP(A245,Strat_Plan_Revit!$A$10:$S$321,13,FALSE)</f>
        <v>nulle</v>
      </c>
      <c r="R245" s="1162" t="s">
        <v>752</v>
      </c>
      <c r="S245" s="1173" t="s">
        <v>752</v>
      </c>
      <c r="T245" s="278" t="s">
        <v>59</v>
      </c>
      <c r="U245" s="1174"/>
      <c r="V245" s="282"/>
      <c r="W245" s="448"/>
      <c r="X245" s="1191"/>
      <c r="Y245" s="1265" t="s">
        <v>752</v>
      </c>
      <c r="Z245" s="1260" t="s">
        <v>59</v>
      </c>
      <c r="AA245" s="1266" t="str">
        <f t="shared" si="3"/>
        <v>a</v>
      </c>
      <c r="AC245" s="572"/>
      <c r="AD245" s="572"/>
      <c r="AE245" s="572"/>
    </row>
    <row r="246" spans="1:31" ht="40.5" customHeight="1" x14ac:dyDescent="0.25">
      <c r="A246" s="926">
        <v>367</v>
      </c>
      <c r="B246" s="270" t="str">
        <f>IF(VLOOKUP(A246,'Données de base - Grunddaten'!$A$2:$M$273,5,FALSE)="","",VLOOKUP(A246,'Données de base - Grunddaten'!$A$2:$M$273,5,FALSE))</f>
        <v>TI</v>
      </c>
      <c r="C246" s="41" t="str">
        <f>IF(VLOOKUP(A246,'Données de base - Grunddaten'!$A$2:$M$273,3,FALSE)="","",VLOOKUP(A246,'Données de base - Grunddaten'!$A$2:$M$273,3,FALSE))</f>
        <v>Caslano</v>
      </c>
      <c r="D246" s="41" t="str">
        <f>IF(VLOOKUP(A246,'Données de base - Grunddaten'!$A$2:$M$273,4,FALSE)="","",VLOOKUP(A246,'Données de base - Grunddaten'!$A$2:$M$273,4,FALSE))</f>
        <v>Lago di Lugano, Magliasina</v>
      </c>
      <c r="E246" s="271"/>
      <c r="F246" s="271"/>
      <c r="G246" s="271"/>
      <c r="H246" s="272" t="s">
        <v>1061</v>
      </c>
      <c r="I246" s="273" t="s">
        <v>1079</v>
      </c>
      <c r="J246" s="273" t="s">
        <v>1064</v>
      </c>
      <c r="K246" s="274"/>
      <c r="L246" s="275"/>
      <c r="M246" s="1151" t="s">
        <v>737</v>
      </c>
      <c r="N246" s="1152" t="s">
        <v>72</v>
      </c>
      <c r="O246" s="1148" t="str">
        <f>VLOOKUP(A246,Strat_Plan_Revit!$A$10:$S$321,11,FALSE)</f>
        <v>moyen</v>
      </c>
      <c r="P246" s="977" t="str">
        <f>VLOOKUP(A246,Strat_Plan_Revit!$A$10:$S$321,12,FALSE)</f>
        <v>important</v>
      </c>
      <c r="Q246" s="277" t="str">
        <f>VLOOKUP(A246,Strat_Plan_Revit!$A$10:$S$321,13,FALSE)</f>
        <v>moyen</v>
      </c>
      <c r="R246" s="1162" t="s">
        <v>737</v>
      </c>
      <c r="S246" s="1173" t="s">
        <v>737</v>
      </c>
      <c r="T246" s="278" t="s">
        <v>59</v>
      </c>
      <c r="U246" s="1174"/>
      <c r="V246" s="282"/>
      <c r="W246" s="448"/>
      <c r="X246" s="1191"/>
      <c r="Y246" s="1265" t="s">
        <v>737</v>
      </c>
      <c r="Z246" s="1260" t="s">
        <v>59</v>
      </c>
      <c r="AA246" s="1266" t="str">
        <f t="shared" si="3"/>
        <v>a</v>
      </c>
      <c r="AC246" s="572"/>
      <c r="AD246" s="572"/>
      <c r="AE246" s="572"/>
    </row>
    <row r="247" spans="1:31" ht="40.5" customHeight="1" x14ac:dyDescent="0.25">
      <c r="A247" s="930">
        <v>368</v>
      </c>
      <c r="B247" s="270" t="str">
        <f>IF(VLOOKUP(A247,'Données de base - Grunddaten'!$A$2:$M$273,5,FALSE)="","",VLOOKUP(A247,'Données de base - Grunddaten'!$A$2:$M$273,5,FALSE))</f>
        <v>TI</v>
      </c>
      <c r="C247" s="41" t="str">
        <f>IF(VLOOKUP(A247,'Données de base - Grunddaten'!$A$2:$M$273,3,FALSE)="","",VLOOKUP(A247,'Données de base - Grunddaten'!$A$2:$M$273,3,FALSE))</f>
        <v>Genestrerio</v>
      </c>
      <c r="D247" s="41" t="str">
        <f>IF(VLOOKUP(A247,'Données de base - Grunddaten'!$A$2:$M$273,4,FALSE)="","",VLOOKUP(A247,'Données de base - Grunddaten'!$A$2:$M$273,4,FALSE))</f>
        <v>Laveggio</v>
      </c>
      <c r="E247" s="271"/>
      <c r="F247" s="271"/>
      <c r="G247" s="271"/>
      <c r="H247" s="272" t="s">
        <v>1057</v>
      </c>
      <c r="I247" s="279" t="s">
        <v>1071</v>
      </c>
      <c r="J247" s="279"/>
      <c r="K247" s="280" t="s">
        <v>1057</v>
      </c>
      <c r="L247" s="281" t="s">
        <v>1189</v>
      </c>
      <c r="M247" s="1151" t="s">
        <v>737</v>
      </c>
      <c r="N247" s="1152" t="s">
        <v>43</v>
      </c>
      <c r="O247" s="1148" t="e">
        <f>VLOOKUP(A247,Strat_Plan_Revit!$A$10:$S$321,11,FALSE)</f>
        <v>#N/A</v>
      </c>
      <c r="P247" s="977" t="e">
        <f>VLOOKUP(A247,Strat_Plan_Revit!$A$10:$S$321,12,FALSE)</f>
        <v>#N/A</v>
      </c>
      <c r="Q247" s="277" t="e">
        <f>VLOOKUP(A247,Strat_Plan_Revit!$A$10:$S$321,13,FALSE)</f>
        <v>#N/A</v>
      </c>
      <c r="R247" s="1169"/>
      <c r="S247" s="1173" t="s">
        <v>737</v>
      </c>
      <c r="T247" s="278" t="s">
        <v>43</v>
      </c>
      <c r="U247" s="1174"/>
      <c r="V247" s="282"/>
      <c r="W247" s="448"/>
      <c r="X247" s="1191"/>
      <c r="Y247" s="1265" t="s">
        <v>737</v>
      </c>
      <c r="Z247" s="1260" t="s">
        <v>59</v>
      </c>
      <c r="AA247" s="1266" t="str">
        <f t="shared" si="3"/>
        <v>a</v>
      </c>
      <c r="AC247" s="572"/>
      <c r="AD247" s="572"/>
      <c r="AE247" s="572"/>
    </row>
    <row r="248" spans="1:31" ht="40.5" customHeight="1" x14ac:dyDescent="0.25">
      <c r="A248" s="926">
        <v>369</v>
      </c>
      <c r="B248" s="270" t="str">
        <f>IF(VLOOKUP(A248,'Données de base - Grunddaten'!$A$2:$M$273,5,FALSE)="","",VLOOKUP(A248,'Données de base - Grunddaten'!$A$2:$M$273,5,FALSE))</f>
        <v>SG</v>
      </c>
      <c r="C248" s="41" t="str">
        <f>IF(VLOOKUP(A248,'Données de base - Grunddaten'!$A$2:$M$273,3,FALSE)="","",VLOOKUP(A248,'Données de base - Grunddaten'!$A$2:$M$273,3,FALSE))</f>
        <v>Goldachtobel</v>
      </c>
      <c r="D248" s="41" t="str">
        <f>IF(VLOOKUP(A248,'Données de base - Grunddaten'!$A$2:$M$273,4,FALSE)="","",VLOOKUP(A248,'Données de base - Grunddaten'!$A$2:$M$273,4,FALSE))</f>
        <v>Goldach</v>
      </c>
      <c r="E248" s="271">
        <v>-20.190909090909091</v>
      </c>
      <c r="F248" s="271">
        <v>74.662162162692312</v>
      </c>
      <c r="G248" s="271">
        <v>24.09090909090909</v>
      </c>
      <c r="H248" s="272" t="s">
        <v>1078</v>
      </c>
      <c r="I248" s="273" t="s">
        <v>1058</v>
      </c>
      <c r="J248" s="273" t="s">
        <v>1064</v>
      </c>
      <c r="K248" s="274"/>
      <c r="L248" s="275"/>
      <c r="M248" s="1151" t="s">
        <v>723</v>
      </c>
      <c r="N248" s="1152" t="s">
        <v>72</v>
      </c>
      <c r="O248" s="1148" t="str">
        <f>VLOOKUP(A248,Strat_Plan_Revit!$A$10:$S$321,11,FALSE)</f>
        <v>important</v>
      </c>
      <c r="P248" s="977" t="str">
        <f>VLOOKUP(A248,Strat_Plan_Revit!$A$10:$S$321,12,FALSE)</f>
        <v>moyen</v>
      </c>
      <c r="Q248" s="277" t="str">
        <f>VLOOKUP(A248,Strat_Plan_Revit!$A$10:$S$321,13,FALSE)</f>
        <v>gross</v>
      </c>
      <c r="R248" s="1162" t="s">
        <v>723</v>
      </c>
      <c r="S248" s="1173" t="s">
        <v>723</v>
      </c>
      <c r="T248" s="278" t="s">
        <v>59</v>
      </c>
      <c r="U248" s="1174"/>
      <c r="V248" s="282"/>
      <c r="W248" s="448"/>
      <c r="X248" s="1191"/>
      <c r="Y248" s="1265" t="s">
        <v>723</v>
      </c>
      <c r="Z248" s="1258" t="s">
        <v>59</v>
      </c>
      <c r="AA248" s="1266" t="str">
        <f t="shared" si="3"/>
        <v>a</v>
      </c>
      <c r="AC248" s="572"/>
      <c r="AD248" s="572"/>
      <c r="AE248" s="572"/>
    </row>
    <row r="249" spans="1:31" ht="40.5" customHeight="1" x14ac:dyDescent="0.25">
      <c r="A249" s="926">
        <v>371</v>
      </c>
      <c r="B249" s="270" t="str">
        <f>IF(VLOOKUP(A249,'Données de base - Grunddaten'!$A$2:$M$273,5,FALSE)="","",VLOOKUP(A249,'Données de base - Grunddaten'!$A$2:$M$273,5,FALSE))</f>
        <v>AR/SG</v>
      </c>
      <c r="C249" s="41" t="str">
        <f>IF(VLOOKUP(A249,'Données de base - Grunddaten'!$A$2:$M$273,3,FALSE)="","",VLOOKUP(A249,'Données de base - Grunddaten'!$A$2:$M$273,3,FALSE))</f>
        <v>Ampferenboden</v>
      </c>
      <c r="D249" s="41" t="str">
        <f>IF(VLOOKUP(A249,'Données de base - Grunddaten'!$A$2:$M$273,4,FALSE)="","",VLOOKUP(A249,'Données de base - Grunddaten'!$A$2:$M$273,4,FALSE))</f>
        <v>Necker</v>
      </c>
      <c r="E249" s="271">
        <v>-10.454545454545455</v>
      </c>
      <c r="F249" s="271">
        <v>0</v>
      </c>
      <c r="G249" s="271">
        <v>10.454545454545455</v>
      </c>
      <c r="H249" s="272" t="s">
        <v>1061</v>
      </c>
      <c r="I249" s="273" t="s">
        <v>1079</v>
      </c>
      <c r="J249" s="273" t="s">
        <v>1059</v>
      </c>
      <c r="K249" s="274"/>
      <c r="L249" s="275"/>
      <c r="M249" s="1151" t="s">
        <v>752</v>
      </c>
      <c r="N249" s="1152" t="s">
        <v>43</v>
      </c>
      <c r="O249" s="1148" t="s">
        <v>1897</v>
      </c>
      <c r="P249" s="977" t="s">
        <v>1898</v>
      </c>
      <c r="Q249" s="555" t="s">
        <v>1856</v>
      </c>
      <c r="R249" s="1162" t="s">
        <v>752</v>
      </c>
      <c r="S249" s="1173" t="s">
        <v>752</v>
      </c>
      <c r="T249" s="278" t="s">
        <v>59</v>
      </c>
      <c r="U249" s="1174"/>
      <c r="V249" s="282"/>
      <c r="W249" s="448"/>
      <c r="X249" s="1191"/>
      <c r="Y249" s="1265" t="s">
        <v>752</v>
      </c>
      <c r="Z249" s="1258" t="s">
        <v>59</v>
      </c>
      <c r="AA249" s="1266" t="str">
        <f t="shared" si="3"/>
        <v>a</v>
      </c>
      <c r="AC249" s="572"/>
      <c r="AD249" s="572"/>
      <c r="AE249" s="572"/>
    </row>
    <row r="250" spans="1:31" ht="40.5" customHeight="1" x14ac:dyDescent="0.25">
      <c r="A250" s="1233">
        <v>372</v>
      </c>
      <c r="B250" s="270" t="str">
        <f>IF(VLOOKUP(A250,'Données de base - Grunddaten'!$A$2:$M$273,5,FALSE)="","",VLOOKUP(A250,'Données de base - Grunddaten'!$A$2:$M$273,5,FALSE))</f>
        <v>AI</v>
      </c>
      <c r="C250" s="41" t="str">
        <f>IF(VLOOKUP(A250,'Données de base - Grunddaten'!$A$2:$M$273,3,FALSE)="","",VLOOKUP(A250,'Données de base - Grunddaten'!$A$2:$M$273,3,FALSE))</f>
        <v>Weissbad</v>
      </c>
      <c r="D250" s="41" t="str">
        <f>IF(VLOOKUP(A250,'Données de base - Grunddaten'!$A$2:$M$273,4,FALSE)="","",VLOOKUP(A250,'Données de base - Grunddaten'!$A$2:$M$273,4,FALSE))</f>
        <v>Wissbach</v>
      </c>
      <c r="E250" s="271"/>
      <c r="F250" s="271"/>
      <c r="G250" s="271"/>
      <c r="H250" s="272" t="s">
        <v>1061</v>
      </c>
      <c r="I250" s="273" t="s">
        <v>1079</v>
      </c>
      <c r="J250" s="273"/>
      <c r="K250" s="274"/>
      <c r="L250" s="275"/>
      <c r="M250" s="1151" t="s">
        <v>752</v>
      </c>
      <c r="N250" s="1152" t="s">
        <v>43</v>
      </c>
      <c r="O250" s="1148" t="str">
        <f>VLOOKUP(A250,Strat_Plan_Revit!$A$10:$S$321,11,FALSE)</f>
        <v>gering</v>
      </c>
      <c r="P250" s="977" t="str">
        <f>VLOOKUP(A250,Strat_Plan_Revit!$A$10:$S$321,12,FALSE)</f>
        <v>gering</v>
      </c>
      <c r="Q250" s="277" t="str">
        <f>VLOOKUP(A250,Strat_Plan_Revit!$A$10:$S$321,13,FALSE)</f>
        <v>-</v>
      </c>
      <c r="R250" s="1162" t="s">
        <v>752</v>
      </c>
      <c r="S250" s="1173" t="s">
        <v>752</v>
      </c>
      <c r="T250" s="278" t="s">
        <v>59</v>
      </c>
      <c r="U250" s="1174"/>
      <c r="V250" s="282"/>
      <c r="W250" s="448"/>
      <c r="X250" s="1191"/>
      <c r="Y250" s="1265" t="s">
        <v>752</v>
      </c>
      <c r="Z250" s="1258" t="s">
        <v>59</v>
      </c>
      <c r="AA250" s="1266" t="str">
        <f t="shared" si="3"/>
        <v>a</v>
      </c>
      <c r="AC250" s="572"/>
      <c r="AD250" s="572"/>
      <c r="AE250" s="572"/>
    </row>
    <row r="251" spans="1:31" ht="40.5" customHeight="1" x14ac:dyDescent="0.25">
      <c r="A251" s="926">
        <v>373</v>
      </c>
      <c r="B251" s="270" t="str">
        <f>IF(VLOOKUP(A251,'Données de base - Grunddaten'!$A$2:$M$273,5,FALSE)="","",VLOOKUP(A251,'Données de base - Grunddaten'!$A$2:$M$273,5,FALSE))</f>
        <v>SG</v>
      </c>
      <c r="C251" s="41" t="str">
        <f>IF(VLOOKUP(A251,'Données de base - Grunddaten'!$A$2:$M$273,3,FALSE)="","",VLOOKUP(A251,'Données de base - Grunddaten'!$A$2:$M$273,3,FALSE))</f>
        <v>Schilstal / Sand</v>
      </c>
      <c r="D251" s="41" t="str">
        <f>IF(VLOOKUP(A251,'Données de base - Grunddaten'!$A$2:$M$273,4,FALSE)="","",VLOOKUP(A251,'Données de base - Grunddaten'!$A$2:$M$273,4,FALSE))</f>
        <v>Fanbach, Furschbach, Schils</v>
      </c>
      <c r="E251" s="271">
        <v>3.8</v>
      </c>
      <c r="F251" s="271">
        <v>3.7503656439797042</v>
      </c>
      <c r="G251" s="271">
        <v>0</v>
      </c>
      <c r="H251" s="272" t="s">
        <v>1066</v>
      </c>
      <c r="I251" s="273" t="s">
        <v>1079</v>
      </c>
      <c r="J251" s="273" t="s">
        <v>1059</v>
      </c>
      <c r="K251" s="274"/>
      <c r="L251" s="275"/>
      <c r="M251" s="1151" t="s">
        <v>752</v>
      </c>
      <c r="N251" s="1152" t="s">
        <v>72</v>
      </c>
      <c r="O251" s="1148" t="str">
        <f>VLOOKUP(A251,Strat_Plan_Revit!$A$10:$S$321,11,FALSE)</f>
        <v>non det.</v>
      </c>
      <c r="P251" s="977" t="str">
        <f>VLOOKUP(A251,Strat_Plan_Revit!$A$10:$S$321,12,FALSE)</f>
        <v>non dét.</v>
      </c>
      <c r="Q251" s="277" t="str">
        <f>VLOOKUP(A251,Strat_Plan_Revit!$A$10:$S$321,13,FALSE)</f>
        <v>kein</v>
      </c>
      <c r="R251" s="1169"/>
      <c r="S251" s="1173" t="s">
        <v>752</v>
      </c>
      <c r="T251" s="278" t="s">
        <v>72</v>
      </c>
      <c r="U251" s="1174"/>
      <c r="V251" s="282"/>
      <c r="W251" s="448"/>
      <c r="X251" s="1191"/>
      <c r="Y251" s="1265" t="s">
        <v>752</v>
      </c>
      <c r="Z251" s="1258" t="s">
        <v>72</v>
      </c>
      <c r="AA251" s="1266" t="str">
        <f t="shared" si="3"/>
        <v>b</v>
      </c>
      <c r="AC251" s="572"/>
      <c r="AD251" s="572"/>
      <c r="AE251" s="572"/>
    </row>
    <row r="252" spans="1:31" ht="40.5" customHeight="1" x14ac:dyDescent="0.25">
      <c r="A252" s="926">
        <v>374</v>
      </c>
      <c r="B252" s="270" t="str">
        <f>IF(VLOOKUP(A252,'Données de base - Grunddaten'!$A$2:$M$273,5,FALSE)="","",VLOOKUP(A252,'Données de base - Grunddaten'!$A$2:$M$273,5,FALSE))</f>
        <v>SG</v>
      </c>
      <c r="C252" s="41" t="str">
        <f>IF(VLOOKUP(A252,'Données de base - Grunddaten'!$A$2:$M$273,3,FALSE)="","",VLOOKUP(A252,'Données de base - Grunddaten'!$A$2:$M$273,3,FALSE))</f>
        <v>Rheinau / Cholau</v>
      </c>
      <c r="D252" s="41" t="str">
        <f>IF(VLOOKUP(A252,'Données de base - Grunddaten'!$A$2:$M$273,4,FALSE)="","",VLOOKUP(A252,'Données de base - Grunddaten'!$A$2:$M$273,4,FALSE))</f>
        <v>Mülbach, Rhein</v>
      </c>
      <c r="E252" s="271">
        <v>-15.909090909090908</v>
      </c>
      <c r="F252" s="271">
        <v>0</v>
      </c>
      <c r="G252" s="271">
        <v>15.909090909090908</v>
      </c>
      <c r="H252" s="272" t="s">
        <v>1061</v>
      </c>
      <c r="I252" s="273" t="s">
        <v>1147</v>
      </c>
      <c r="J252" s="273" t="s">
        <v>1064</v>
      </c>
      <c r="K252" s="274"/>
      <c r="L252" s="275"/>
      <c r="M252" s="1151" t="s">
        <v>737</v>
      </c>
      <c r="N252" s="1152" t="s">
        <v>72</v>
      </c>
      <c r="O252" s="1148" t="str">
        <f>VLOOKUP(A252,Strat_Plan_Revit!$A$10:$S$321,11,FALSE)</f>
        <v>Important et moyen</v>
      </c>
      <c r="P252" s="977" t="str">
        <f>VLOOKUP(A252,Strat_Plan_Revit!$A$10:$S$321,12,FALSE)</f>
        <v>important et moyen</v>
      </c>
      <c r="Q252" s="277" t="str">
        <f>VLOOKUP(A252,Strat_Plan_Revit!$A$10:$S$321,13,FALSE)</f>
        <v>gross</v>
      </c>
      <c r="R252" s="1162" t="s">
        <v>737</v>
      </c>
      <c r="S252" s="1173" t="s">
        <v>737</v>
      </c>
      <c r="T252" s="278" t="s">
        <v>59</v>
      </c>
      <c r="U252" s="1174"/>
      <c r="V252" s="282"/>
      <c r="W252" s="448"/>
      <c r="X252" s="1191"/>
      <c r="Y252" s="1265" t="s">
        <v>737</v>
      </c>
      <c r="Z252" s="1258" t="s">
        <v>59</v>
      </c>
      <c r="AA252" s="1266" t="str">
        <f t="shared" si="3"/>
        <v>a</v>
      </c>
      <c r="AC252" s="572"/>
      <c r="AD252" s="572"/>
      <c r="AE252" s="572"/>
    </row>
    <row r="253" spans="1:31" ht="40.5" customHeight="1" x14ac:dyDescent="0.25">
      <c r="A253" s="929">
        <v>375</v>
      </c>
      <c r="B253" s="270" t="str">
        <f>IF(VLOOKUP(A253,'Données de base - Grunddaten'!$A$2:$M$273,5,FALSE)="","",VLOOKUP(A253,'Données de base - Grunddaten'!$A$2:$M$273,5,FALSE))</f>
        <v>GR</v>
      </c>
      <c r="C253" s="41" t="str">
        <f>IF(VLOOKUP(A253,'Données de base - Grunddaten'!$A$2:$M$273,3,FALSE)="","",VLOOKUP(A253,'Données de base - Grunddaten'!$A$2:$M$273,3,FALSE))</f>
        <v>Rheinau</v>
      </c>
      <c r="D253" s="41" t="str">
        <f>IF(VLOOKUP(A253,'Données de base - Grunddaten'!$A$2:$M$273,4,FALSE)="","",VLOOKUP(A253,'Données de base - Grunddaten'!$A$2:$M$273,4,FALSE))</f>
        <v>Rhein</v>
      </c>
      <c r="E253" s="271"/>
      <c r="F253" s="271"/>
      <c r="G253" s="271"/>
      <c r="H253" s="272" t="s">
        <v>1078</v>
      </c>
      <c r="I253" s="279" t="s">
        <v>1058</v>
      </c>
      <c r="J253" s="279"/>
      <c r="K253" s="280" t="s">
        <v>1057</v>
      </c>
      <c r="L253" s="281" t="s">
        <v>1154</v>
      </c>
      <c r="M253" s="1151" t="s">
        <v>737</v>
      </c>
      <c r="N253" s="1152" t="s">
        <v>43</v>
      </c>
      <c r="O253" s="1148" t="str">
        <f>VLOOKUP(A253,Strat_Plan_Revit!$A$10:$S$321,11,FALSE)</f>
        <v>gross</v>
      </c>
      <c r="P253" s="977" t="str">
        <f>VLOOKUP(A253,Strat_Plan_Revit!$A$10:$S$321,12,FALSE)</f>
        <v>gross</v>
      </c>
      <c r="Q253" s="277" t="str">
        <f>VLOOKUP(A253,Strat_Plan_Revit!$A$10:$S$321,13,FALSE)</f>
        <v>hoch</v>
      </c>
      <c r="R253" s="1162" t="s">
        <v>737</v>
      </c>
      <c r="S253" s="1173" t="s">
        <v>737</v>
      </c>
      <c r="T253" s="278" t="s">
        <v>59</v>
      </c>
      <c r="U253" s="1174"/>
      <c r="V253" s="282"/>
      <c r="W253" s="341"/>
      <c r="X253" s="97"/>
      <c r="Y253" s="1265" t="s">
        <v>737</v>
      </c>
      <c r="Z253" s="1258" t="s">
        <v>59</v>
      </c>
      <c r="AA253" s="1266" t="str">
        <f t="shared" si="3"/>
        <v>a</v>
      </c>
      <c r="AC253" s="572"/>
      <c r="AD253" s="572"/>
      <c r="AE253" s="572"/>
    </row>
    <row r="254" spans="1:31" ht="40.5" customHeight="1" x14ac:dyDescent="0.25">
      <c r="A254" s="926">
        <v>376</v>
      </c>
      <c r="B254" s="270" t="str">
        <f>IF(VLOOKUP(A254,'Données de base - Grunddaten'!$A$2:$M$273,5,FALSE)="","",VLOOKUP(A254,'Données de base - Grunddaten'!$A$2:$M$273,5,FALSE))</f>
        <v>SG</v>
      </c>
      <c r="C254" s="41" t="str">
        <f>IF(VLOOKUP(A254,'Données de base - Grunddaten'!$A$2:$M$273,3,FALSE)="","",VLOOKUP(A254,'Données de base - Grunddaten'!$A$2:$M$273,3,FALSE))</f>
        <v>Sarelli–Rosenbergli</v>
      </c>
      <c r="D254" s="41" t="str">
        <f>IF(VLOOKUP(A254,'Données de base - Grunddaten'!$A$2:$M$273,4,FALSE)="","",VLOOKUP(A254,'Données de base - Grunddaten'!$A$2:$M$273,4,FALSE))</f>
        <v>Rhein</v>
      </c>
      <c r="E254" s="271">
        <v>59.86363636363636</v>
      </c>
      <c r="F254" s="271">
        <v>73.493008821821022</v>
      </c>
      <c r="G254" s="271">
        <v>13.636363636363637</v>
      </c>
      <c r="H254" s="272" t="s">
        <v>1057</v>
      </c>
      <c r="I254" s="285" t="s">
        <v>1058</v>
      </c>
      <c r="J254" s="273" t="s">
        <v>1064</v>
      </c>
      <c r="K254" s="274"/>
      <c r="L254" s="275"/>
      <c r="M254" s="1151" t="s">
        <v>737</v>
      </c>
      <c r="N254" s="1152" t="s">
        <v>43</v>
      </c>
      <c r="O254" s="1148" t="str">
        <f>VLOOKUP(A254,Strat_Plan_Revit!$A$10:$S$321,11,FALSE)</f>
        <v>non det.</v>
      </c>
      <c r="P254" s="977" t="str">
        <f>VLOOKUP(A254,Strat_Plan_Revit!$A$10:$S$321,12,FALSE)</f>
        <v>non dét.</v>
      </c>
      <c r="Q254" s="277" t="str">
        <f>VLOOKUP(A254,Strat_Plan_Revit!$A$10:$S$321,13,FALSE)</f>
        <v>gross</v>
      </c>
      <c r="R254" s="1169"/>
      <c r="S254" s="1173" t="s">
        <v>737</v>
      </c>
      <c r="T254" s="278" t="s">
        <v>43</v>
      </c>
      <c r="U254" s="1174"/>
      <c r="V254" s="282"/>
      <c r="W254" s="448"/>
      <c r="X254" s="1191"/>
      <c r="Y254" s="1265" t="s">
        <v>737</v>
      </c>
      <c r="Z254" s="1258" t="s">
        <v>43</v>
      </c>
      <c r="AA254" s="1266" t="str">
        <f t="shared" si="3"/>
        <v>a</v>
      </c>
      <c r="AC254" s="572"/>
      <c r="AD254" s="572"/>
      <c r="AE254" s="572"/>
    </row>
    <row r="255" spans="1:31" ht="40.5" customHeight="1" x14ac:dyDescent="0.25">
      <c r="A255" s="1233">
        <v>379</v>
      </c>
      <c r="B255" s="270" t="str">
        <f>IF(VLOOKUP(A255,'Données de base - Grunddaten'!$A$2:$M$273,5,FALSE)="","",VLOOKUP(A255,'Données de base - Grunddaten'!$A$2:$M$273,5,FALSE))</f>
        <v>GR</v>
      </c>
      <c r="C255" s="41" t="str">
        <f>IF(VLOOKUP(A255,'Données de base - Grunddaten'!$A$2:$M$273,3,FALSE)="","",VLOOKUP(A255,'Données de base - Grunddaten'!$A$2:$M$273,3,FALSE))</f>
        <v>Val Cristallina</v>
      </c>
      <c r="D255" s="41" t="str">
        <f>IF(VLOOKUP(A255,'Données de base - Grunddaten'!$A$2:$M$273,4,FALSE)="","",VLOOKUP(A255,'Données de base - Grunddaten'!$A$2:$M$273,4,FALSE))</f>
        <v>Rein da Cristallina</v>
      </c>
      <c r="E255" s="271"/>
      <c r="F255" s="271"/>
      <c r="G255" s="271"/>
      <c r="H255" s="272" t="s">
        <v>1061</v>
      </c>
      <c r="I255" s="273" t="s">
        <v>1079</v>
      </c>
      <c r="J255" s="273"/>
      <c r="K255" s="274"/>
      <c r="L255" s="275"/>
      <c r="M255" s="1151" t="s">
        <v>752</v>
      </c>
      <c r="N255" s="1152" t="s">
        <v>43</v>
      </c>
      <c r="O255" s="1148" t="str">
        <f>VLOOKUP(A255,Strat_Plan_Revit!$A$10:$S$321,11,FALSE)</f>
        <v>gross</v>
      </c>
      <c r="P255" s="977" t="str">
        <f>VLOOKUP(A255,Strat_Plan_Revit!$A$10:$S$321,12,FALSE)</f>
        <v>kein/nicht best.</v>
      </c>
      <c r="Q255" s="277" t="str">
        <f>VLOOKUP(A255,Strat_Plan_Revit!$A$10:$S$321,13,FALSE)</f>
        <v>gering</v>
      </c>
      <c r="R255" s="1162" t="s">
        <v>752</v>
      </c>
      <c r="S255" s="1173" t="s">
        <v>752</v>
      </c>
      <c r="T255" s="278" t="s">
        <v>59</v>
      </c>
      <c r="U255" s="1174"/>
      <c r="V255" s="282"/>
      <c r="W255" s="341"/>
      <c r="X255" s="97"/>
      <c r="Y255" s="1265" t="s">
        <v>752</v>
      </c>
      <c r="Z255" s="1258" t="s">
        <v>59</v>
      </c>
      <c r="AA255" s="1266" t="str">
        <f t="shared" si="3"/>
        <v>a</v>
      </c>
      <c r="AC255" s="572"/>
      <c r="AD255" s="572"/>
      <c r="AE255" s="572"/>
    </row>
    <row r="256" spans="1:31" ht="40.5" customHeight="1" x14ac:dyDescent="0.25">
      <c r="A256" s="926">
        <v>380</v>
      </c>
      <c r="B256" s="270" t="str">
        <f>IF(VLOOKUP(A256,'Données de base - Grunddaten'!$A$2:$M$273,5,FALSE)="","",VLOOKUP(A256,'Données de base - Grunddaten'!$A$2:$M$273,5,FALSE))</f>
        <v>GR</v>
      </c>
      <c r="C256" s="41" t="str">
        <f>IF(VLOOKUP(A256,'Données de base - Grunddaten'!$A$2:$M$273,3,FALSE)="","",VLOOKUP(A256,'Données de base - Grunddaten'!$A$2:$M$273,3,FALSE))</f>
        <v>Alp Val Tenigia</v>
      </c>
      <c r="D256" s="41" t="str">
        <f>IF(VLOOKUP(A256,'Données de base - Grunddaten'!$A$2:$M$273,4,FALSE)="","",VLOOKUP(A256,'Données de base - Grunddaten'!$A$2:$M$273,4,FALSE))</f>
        <v>Rein da Sumvitg</v>
      </c>
      <c r="E256" s="271">
        <v>-5.4545454545454541</v>
      </c>
      <c r="F256" s="271">
        <v>0</v>
      </c>
      <c r="G256" s="271">
        <v>5.4545454545454541</v>
      </c>
      <c r="H256" s="272" t="s">
        <v>1061</v>
      </c>
      <c r="I256" s="273" t="s">
        <v>1079</v>
      </c>
      <c r="J256" s="273" t="s">
        <v>1064</v>
      </c>
      <c r="K256" s="274"/>
      <c r="L256" s="275"/>
      <c r="M256" s="1151" t="s">
        <v>752</v>
      </c>
      <c r="N256" s="1152" t="s">
        <v>43</v>
      </c>
      <c r="O256" s="1148" t="str">
        <f>VLOOKUP(A256,Strat_Plan_Revit!$A$10:$S$321,11,FALSE)</f>
        <v>gross</v>
      </c>
      <c r="P256" s="977" t="str">
        <f>VLOOKUP(A256,Strat_Plan_Revit!$A$10:$S$321,12,FALSE)</f>
        <v>kein/nicht best.</v>
      </c>
      <c r="Q256" s="277" t="str">
        <f>VLOOKUP(A256,Strat_Plan_Revit!$A$10:$S$321,13,FALSE)</f>
        <v>gering</v>
      </c>
      <c r="R256" s="1162" t="s">
        <v>752</v>
      </c>
      <c r="S256" s="1173" t="s">
        <v>752</v>
      </c>
      <c r="T256" s="278" t="s">
        <v>59</v>
      </c>
      <c r="U256" s="1174"/>
      <c r="V256" s="282"/>
      <c r="W256" s="341"/>
      <c r="X256" s="97"/>
      <c r="Y256" s="1265" t="s">
        <v>752</v>
      </c>
      <c r="Z256" s="1258" t="s">
        <v>59</v>
      </c>
      <c r="AA256" s="1266" t="str">
        <f t="shared" si="3"/>
        <v>a</v>
      </c>
      <c r="AC256" s="572"/>
      <c r="AD256" s="572"/>
      <c r="AE256" s="572"/>
    </row>
    <row r="257" spans="1:31" ht="40.5" customHeight="1" x14ac:dyDescent="0.25">
      <c r="A257" s="929">
        <v>381</v>
      </c>
      <c r="B257" s="270" t="str">
        <f>IF(VLOOKUP(A257,'Données de base - Grunddaten'!$A$2:$M$273,5,FALSE)="","",VLOOKUP(A257,'Données de base - Grunddaten'!$A$2:$M$273,5,FALSE))</f>
        <v>GR</v>
      </c>
      <c r="C257" s="41" t="str">
        <f>IF(VLOOKUP(A257,'Données de base - Grunddaten'!$A$2:$M$273,3,FALSE)="","",VLOOKUP(A257,'Données de base - Grunddaten'!$A$2:$M$273,3,FALSE))</f>
        <v>L'ogna da Trun</v>
      </c>
      <c r="D257" s="41" t="str">
        <f>IF(VLOOKUP(A257,'Données de base - Grunddaten'!$A$2:$M$273,4,FALSE)="","",VLOOKUP(A257,'Données de base - Grunddaten'!$A$2:$M$273,4,FALSE))</f>
        <v>Vorderrhein</v>
      </c>
      <c r="E257" s="271"/>
      <c r="F257" s="271"/>
      <c r="G257" s="271"/>
      <c r="H257" s="283"/>
      <c r="I257" s="279"/>
      <c r="J257" s="279"/>
      <c r="K257" s="280" t="s">
        <v>1078</v>
      </c>
      <c r="L257" s="281" t="s">
        <v>1155</v>
      </c>
      <c r="M257" s="1151" t="s">
        <v>738</v>
      </c>
      <c r="N257" s="1152" t="s">
        <v>43</v>
      </c>
      <c r="O257" s="1148" t="str">
        <f>VLOOKUP(A257,Strat_Plan_Revit!$A$10:$S$321,11,FALSE)</f>
        <v>gross</v>
      </c>
      <c r="P257" s="977" t="str">
        <f>VLOOKUP(A257,Strat_Plan_Revit!$A$10:$S$321,12,FALSE)</f>
        <v>gross/mittel</v>
      </c>
      <c r="Q257" s="277" t="str">
        <f>VLOOKUP(A257,Strat_Plan_Revit!$A$10:$S$321,13,FALSE)</f>
        <v>hoch</v>
      </c>
      <c r="R257" s="1162" t="s">
        <v>738</v>
      </c>
      <c r="S257" s="1173" t="s">
        <v>738</v>
      </c>
      <c r="T257" s="278" t="s">
        <v>59</v>
      </c>
      <c r="U257" s="1174"/>
      <c r="V257" s="282"/>
      <c r="W257" s="341"/>
      <c r="X257" s="97"/>
      <c r="Y257" s="1265" t="s">
        <v>738</v>
      </c>
      <c r="Z257" s="1258" t="s">
        <v>59</v>
      </c>
      <c r="AA257" s="1266" t="str">
        <f t="shared" si="3"/>
        <v>a</v>
      </c>
      <c r="AC257" s="572"/>
      <c r="AD257" s="572"/>
      <c r="AE257" s="572"/>
    </row>
    <row r="258" spans="1:31" ht="40.5" customHeight="1" x14ac:dyDescent="0.25">
      <c r="A258" s="929">
        <v>382</v>
      </c>
      <c r="B258" s="270" t="str">
        <f>IF(VLOOKUP(A258,'Données de base - Grunddaten'!$A$2:$M$273,5,FALSE)="","",VLOOKUP(A258,'Données de base - Grunddaten'!$A$2:$M$273,5,FALSE))</f>
        <v>GR</v>
      </c>
      <c r="C258" s="41" t="str">
        <f>IF(VLOOKUP(A258,'Données de base - Grunddaten'!$A$2:$M$273,3,FALSE)="","",VLOOKUP(A258,'Données de base - Grunddaten'!$A$2:$M$273,3,FALSE))</f>
        <v>Surin-Lumbrein</v>
      </c>
      <c r="D258" s="41" t="str">
        <f>IF(VLOOKUP(A258,'Données de base - Grunddaten'!$A$2:$M$273,4,FALSE)="","",VLOOKUP(A258,'Données de base - Grunddaten'!$A$2:$M$273,4,FALSE))</f>
        <v>Glogn Glenner</v>
      </c>
      <c r="E258" s="271"/>
      <c r="F258" s="271"/>
      <c r="G258" s="271"/>
      <c r="H258" s="272" t="s">
        <v>1061</v>
      </c>
      <c r="I258" s="273" t="s">
        <v>1079</v>
      </c>
      <c r="J258" s="273"/>
      <c r="K258" s="274"/>
      <c r="L258" s="275"/>
      <c r="M258" s="1151" t="s">
        <v>752</v>
      </c>
      <c r="N258" s="1152" t="s">
        <v>43</v>
      </c>
      <c r="O258" s="1148" t="str">
        <f>VLOOKUP(A258,Strat_Plan_Revit!$A$10:$S$321,11,FALSE)</f>
        <v>gross/mittel/minim</v>
      </c>
      <c r="P258" s="977" t="str">
        <f>VLOOKUP(A258,Strat_Plan_Revit!$A$10:$S$321,12,FALSE)</f>
        <v>-</v>
      </c>
      <c r="Q258" s="277" t="str">
        <f>VLOOKUP(A258,Strat_Plan_Revit!$A$10:$S$321,13,FALSE)</f>
        <v>gering</v>
      </c>
      <c r="R258" s="1162" t="s">
        <v>752</v>
      </c>
      <c r="S258" s="1173" t="s">
        <v>752</v>
      </c>
      <c r="T258" s="278" t="s">
        <v>59</v>
      </c>
      <c r="U258" s="1174"/>
      <c r="V258" s="282"/>
      <c r="W258" s="341"/>
      <c r="X258" s="97"/>
      <c r="Y258" s="1265" t="s">
        <v>752</v>
      </c>
      <c r="Z258" s="1258" t="s">
        <v>59</v>
      </c>
      <c r="AA258" s="1266" t="str">
        <f t="shared" si="3"/>
        <v>a</v>
      </c>
      <c r="AC258" s="572"/>
      <c r="AD258" s="572"/>
      <c r="AE258" s="572"/>
    </row>
    <row r="259" spans="1:31" ht="40.5" customHeight="1" x14ac:dyDescent="0.25">
      <c r="A259" s="929">
        <v>383</v>
      </c>
      <c r="B259" s="270" t="str">
        <f>IF(VLOOKUP(A259,'Données de base - Grunddaten'!$A$2:$M$273,5,FALSE)="","",VLOOKUP(A259,'Données de base - Grunddaten'!$A$2:$M$273,5,FALSE))</f>
        <v>GR</v>
      </c>
      <c r="C259" s="41" t="str">
        <f>IF(VLOOKUP(A259,'Données de base - Grunddaten'!$A$2:$M$273,3,FALSE)="","",VLOOKUP(A259,'Données de base - Grunddaten'!$A$2:$M$273,3,FALSE))</f>
        <v>Inslas Grogn</v>
      </c>
      <c r="D259" s="41" t="str">
        <f>IF(VLOOKUP(A259,'Données de base - Grunddaten'!$A$2:$M$273,4,FALSE)="","",VLOOKUP(A259,'Données de base - Grunddaten'!$A$2:$M$273,4,FALSE))</f>
        <v>Glogn Glenner</v>
      </c>
      <c r="E259" s="271"/>
      <c r="F259" s="271"/>
      <c r="G259" s="271"/>
      <c r="H259" s="272" t="s">
        <v>1061</v>
      </c>
      <c r="I259" s="273" t="s">
        <v>1079</v>
      </c>
      <c r="J259" s="273"/>
      <c r="K259" s="274"/>
      <c r="L259" s="275"/>
      <c r="M259" s="1151" t="s">
        <v>752</v>
      </c>
      <c r="N259" s="1152" t="s">
        <v>43</v>
      </c>
      <c r="O259" s="1148" t="str">
        <f>VLOOKUP(A259,Strat_Plan_Revit!$A$10:$S$321,11,FALSE)</f>
        <v>gross</v>
      </c>
      <c r="P259" s="977" t="str">
        <f>VLOOKUP(A259,Strat_Plan_Revit!$A$10:$S$321,12,FALSE)</f>
        <v>kein/nicht best.</v>
      </c>
      <c r="Q259" s="277" t="str">
        <f>VLOOKUP(A259,Strat_Plan_Revit!$A$10:$S$321,13,FALSE)</f>
        <v>gering</v>
      </c>
      <c r="R259" s="1162" t="s">
        <v>752</v>
      </c>
      <c r="S259" s="1173" t="s">
        <v>752</v>
      </c>
      <c r="T259" s="278" t="s">
        <v>59</v>
      </c>
      <c r="U259" s="1174"/>
      <c r="V259" s="282"/>
      <c r="W259" s="341"/>
      <c r="X259" s="97"/>
      <c r="Y259" s="1265" t="s">
        <v>752</v>
      </c>
      <c r="Z259" s="1258" t="s">
        <v>59</v>
      </c>
      <c r="AA259" s="1266" t="str">
        <f t="shared" si="3"/>
        <v>a</v>
      </c>
      <c r="AC259" s="572"/>
      <c r="AD259" s="572"/>
      <c r="AE259" s="572"/>
    </row>
    <row r="260" spans="1:31" ht="40.5" customHeight="1" x14ac:dyDescent="0.25">
      <c r="A260" s="929">
        <v>384</v>
      </c>
      <c r="B260" s="270" t="str">
        <f>IF(VLOOKUP(A260,'Données de base - Grunddaten'!$A$2:$M$273,5,FALSE)="","",VLOOKUP(A260,'Données de base - Grunddaten'!$A$2:$M$273,5,FALSE))</f>
        <v>GR</v>
      </c>
      <c r="C260" s="41" t="str">
        <f>IF(VLOOKUP(A260,'Données de base - Grunddaten'!$A$2:$M$273,3,FALSE)="","",VLOOKUP(A260,'Données de base - Grunddaten'!$A$2:$M$273,3,FALSE))</f>
        <v>Gatgs Glogn</v>
      </c>
      <c r="D260" s="41" t="str">
        <f>IF(VLOOKUP(A260,'Données de base - Grunddaten'!$A$2:$M$273,4,FALSE)="","",VLOOKUP(A260,'Données de base - Grunddaten'!$A$2:$M$273,4,FALSE))</f>
        <v>Glogn Glenner</v>
      </c>
      <c r="E260" s="271"/>
      <c r="F260" s="271"/>
      <c r="G260" s="271"/>
      <c r="H260" s="272" t="s">
        <v>1061</v>
      </c>
      <c r="I260" s="273" t="s">
        <v>1079</v>
      </c>
      <c r="J260" s="273"/>
      <c r="K260" s="274"/>
      <c r="L260" s="275"/>
      <c r="M260" s="1151" t="s">
        <v>738</v>
      </c>
      <c r="N260" s="1152" t="s">
        <v>72</v>
      </c>
      <c r="O260" s="1148" t="str">
        <f>VLOOKUP(A260,Strat_Plan_Revit!$A$10:$S$321,11,FALSE)</f>
        <v>gross</v>
      </c>
      <c r="P260" s="977" t="str">
        <f>VLOOKUP(A260,Strat_Plan_Revit!$A$10:$S$321,12,FALSE)</f>
        <v>mittel/gering/kein/nicht best.</v>
      </c>
      <c r="Q260" s="277" t="str">
        <f>VLOOKUP(A260,Strat_Plan_Revit!$A$10:$S$321,13,FALSE)</f>
        <v>hoch</v>
      </c>
      <c r="R260" s="1162" t="s">
        <v>723</v>
      </c>
      <c r="S260" s="1173" t="s">
        <v>723</v>
      </c>
      <c r="T260" s="278" t="s">
        <v>110</v>
      </c>
      <c r="U260" s="1174"/>
      <c r="V260" s="282"/>
      <c r="W260" s="341"/>
      <c r="X260" s="97"/>
      <c r="Y260" s="1265" t="s">
        <v>723</v>
      </c>
      <c r="Z260" s="1258" t="s">
        <v>110</v>
      </c>
      <c r="AA260" s="1266" t="str">
        <f t="shared" si="3"/>
        <v>a</v>
      </c>
      <c r="AC260" s="572"/>
      <c r="AD260" s="572"/>
      <c r="AE260" s="572"/>
    </row>
    <row r="261" spans="1:31" ht="40.5" customHeight="1" x14ac:dyDescent="0.25">
      <c r="A261" s="1233">
        <v>385</v>
      </c>
      <c r="B261" s="270" t="str">
        <f>IF(VLOOKUP(A261,'Données de base - Grunddaten'!$A$2:$M$273,5,FALSE)="","",VLOOKUP(A261,'Données de base - Grunddaten'!$A$2:$M$273,5,FALSE))</f>
        <v>GR</v>
      </c>
      <c r="C261" s="41" t="str">
        <f>IF(VLOOKUP(A261,'Données de base - Grunddaten'!$A$2:$M$273,3,FALSE)="","",VLOOKUP(A261,'Données de base - Grunddaten'!$A$2:$M$273,3,FALSE))</f>
        <v>Ruinaulta</v>
      </c>
      <c r="D261" s="41" t="str">
        <f>IF(VLOOKUP(A261,'Données de base - Grunddaten'!$A$2:$M$273,4,FALSE)="","",VLOOKUP(A261,'Données de base - Grunddaten'!$A$2:$M$273,4,FALSE))</f>
        <v>Rein Anteriur</v>
      </c>
      <c r="E261" s="271"/>
      <c r="F261" s="271"/>
      <c r="G261" s="271"/>
      <c r="H261" s="272" t="s">
        <v>1057</v>
      </c>
      <c r="I261" s="273"/>
      <c r="J261" s="273"/>
      <c r="K261" s="274"/>
      <c r="L261" s="275"/>
      <c r="M261" s="1151" t="s">
        <v>723</v>
      </c>
      <c r="N261" s="1152" t="s">
        <v>72</v>
      </c>
      <c r="O261" s="1148" t="str">
        <f>VLOOKUP(A261,Strat_Plan_Revit!$A$10:$S$321,11,FALSE)</f>
        <v>gross</v>
      </c>
      <c r="P261" s="977" t="str">
        <f>VLOOKUP(A261,Strat_Plan_Revit!$A$10:$S$321,12,FALSE)</f>
        <v>minim</v>
      </c>
      <c r="Q261" s="277" t="str">
        <f>VLOOKUP(A261,Strat_Plan_Revit!$A$10:$S$321,13,FALSE)</f>
        <v>gering</v>
      </c>
      <c r="R261" s="1162" t="s">
        <v>752</v>
      </c>
      <c r="S261" s="1183" t="s">
        <v>752</v>
      </c>
      <c r="T261" s="278" t="s">
        <v>110</v>
      </c>
      <c r="U261" s="1174"/>
      <c r="V261" s="282"/>
      <c r="W261" s="341"/>
      <c r="X261" s="97"/>
      <c r="Y261" s="1275" t="s">
        <v>752</v>
      </c>
      <c r="Z261" s="1258" t="s">
        <v>110</v>
      </c>
      <c r="AA261" s="1266" t="str">
        <f t="shared" ref="AA261:AA275" si="4">IF(Z261="a",Z261,IF(Z261="b",Z261,IF(Z261="c","a",IF(Z261="d","a",IF(Z261="e","b")))))</f>
        <v>a</v>
      </c>
      <c r="AC261" s="572"/>
      <c r="AD261" s="572"/>
      <c r="AE261" s="572"/>
    </row>
    <row r="262" spans="1:31" ht="40.5" customHeight="1" x14ac:dyDescent="0.25">
      <c r="A262" s="932">
        <v>386</v>
      </c>
      <c r="B262" s="270" t="str">
        <f>IF(VLOOKUP(A262,'Données de base - Grunddaten'!$A$2:$M$273,5,FALSE)="","",VLOOKUP(A262,'Données de base - Grunddaten'!$A$2:$M$273,5,FALSE))</f>
        <v>GR</v>
      </c>
      <c r="C262" s="41" t="str">
        <f>IF(VLOOKUP(A262,'Données de base - Grunddaten'!$A$2:$M$273,3,FALSE)="","",VLOOKUP(A262,'Données de base - Grunddaten'!$A$2:$M$273,3,FALSE))</f>
        <v>Wisshus</v>
      </c>
      <c r="D262" s="41" t="str">
        <f>IF(VLOOKUP(A262,'Données de base - Grunddaten'!$A$2:$M$273,4,FALSE)="","",VLOOKUP(A262,'Données de base - Grunddaten'!$A$2:$M$273,4,FALSE))</f>
        <v>Rabiusa</v>
      </c>
      <c r="E262" s="271"/>
      <c r="F262" s="271"/>
      <c r="G262" s="271"/>
      <c r="H262" s="272" t="s">
        <v>1061</v>
      </c>
      <c r="I262" s="273" t="s">
        <v>1079</v>
      </c>
      <c r="J262" s="273"/>
      <c r="K262" s="274"/>
      <c r="L262" s="275"/>
      <c r="M262" s="1151" t="s">
        <v>752</v>
      </c>
      <c r="N262" s="1152" t="s">
        <v>43</v>
      </c>
      <c r="O262" s="1148" t="e">
        <f>VLOOKUP(A262,Strat_Plan_Revit!$A$10:$S$321,11,FALSE)</f>
        <v>#N/A</v>
      </c>
      <c r="P262" s="977" t="e">
        <f>VLOOKUP(A262,Strat_Plan_Revit!$A$10:$S$321,12,FALSE)</f>
        <v>#N/A</v>
      </c>
      <c r="Q262" s="277" t="e">
        <f>VLOOKUP(A262,Strat_Plan_Revit!$A$10:$S$321,13,FALSE)</f>
        <v>#N/A</v>
      </c>
      <c r="R262" s="1169"/>
      <c r="S262" s="1183" t="s">
        <v>752</v>
      </c>
      <c r="T262" s="278" t="s">
        <v>43</v>
      </c>
      <c r="U262" s="1174"/>
      <c r="V262" s="282"/>
      <c r="W262" s="341"/>
      <c r="X262" s="97"/>
      <c r="Y262" s="1275" t="s">
        <v>752</v>
      </c>
      <c r="Z262" s="1258" t="s">
        <v>43</v>
      </c>
      <c r="AA262" s="1266" t="str">
        <f t="shared" si="4"/>
        <v>a</v>
      </c>
      <c r="AC262" s="572"/>
      <c r="AD262" s="572"/>
      <c r="AE262" s="572"/>
    </row>
    <row r="263" spans="1:31" ht="40.5" customHeight="1" x14ac:dyDescent="0.25">
      <c r="A263" s="1233">
        <v>387</v>
      </c>
      <c r="B263" s="270" t="str">
        <f>IF(VLOOKUP(A263,'Données de base - Grunddaten'!$A$2:$M$273,5,FALSE)="","",VLOOKUP(A263,'Données de base - Grunddaten'!$A$2:$M$273,5,FALSE))</f>
        <v>GR</v>
      </c>
      <c r="C263" s="41" t="str">
        <f>IF(VLOOKUP(A263,'Données de base - Grunddaten'!$A$2:$M$273,3,FALSE)="","",VLOOKUP(A263,'Données de base - Grunddaten'!$A$2:$M$273,3,FALSE))</f>
        <v>Safien-Platz</v>
      </c>
      <c r="D263" s="41" t="str">
        <f>IF(VLOOKUP(A263,'Données de base - Grunddaten'!$A$2:$M$273,4,FALSE)="","",VLOOKUP(A263,'Données de base - Grunddaten'!$A$2:$M$273,4,FALSE))</f>
        <v>Rabiusa</v>
      </c>
      <c r="E263" s="271"/>
      <c r="F263" s="271"/>
      <c r="G263" s="271"/>
      <c r="H263" s="272" t="s">
        <v>1061</v>
      </c>
      <c r="I263" s="273" t="s">
        <v>1079</v>
      </c>
      <c r="J263" s="273"/>
      <c r="K263" s="274"/>
      <c r="L263" s="275"/>
      <c r="M263" s="1151" t="s">
        <v>752</v>
      </c>
      <c r="N263" s="1152" t="s">
        <v>43</v>
      </c>
      <c r="O263" s="1148" t="str">
        <f>VLOOKUP(A263,Strat_Plan_Revit!$A$10:$S$321,11,FALSE)</f>
        <v>gross</v>
      </c>
      <c r="P263" s="977" t="str">
        <f>VLOOKUP(A263,Strat_Plan_Revit!$A$10:$S$321,12,FALSE)</f>
        <v>kein/nicht best.</v>
      </c>
      <c r="Q263" s="277" t="str">
        <f>VLOOKUP(A263,Strat_Plan_Revit!$A$10:$S$321,13,FALSE)</f>
        <v>gering</v>
      </c>
      <c r="R263" s="1162" t="s">
        <v>752</v>
      </c>
      <c r="S263" s="1173" t="s">
        <v>752</v>
      </c>
      <c r="T263" s="278" t="s">
        <v>59</v>
      </c>
      <c r="U263" s="1174"/>
      <c r="V263" s="282"/>
      <c r="W263" s="341"/>
      <c r="X263" s="97"/>
      <c r="Y263" s="1265" t="s">
        <v>752</v>
      </c>
      <c r="Z263" s="1258" t="s">
        <v>59</v>
      </c>
      <c r="AA263" s="1266" t="str">
        <f t="shared" si="4"/>
        <v>a</v>
      </c>
      <c r="AC263" s="572"/>
      <c r="AD263" s="572"/>
      <c r="AE263" s="572"/>
    </row>
    <row r="264" spans="1:31" ht="40.5" customHeight="1" x14ac:dyDescent="0.25">
      <c r="A264" s="929">
        <v>388</v>
      </c>
      <c r="B264" s="270" t="str">
        <f>IF(VLOOKUP(A264,'Données de base - Grunddaten'!$A$2:$M$273,5,FALSE)="","",VLOOKUP(A264,'Données de base - Grunddaten'!$A$2:$M$273,5,FALSE))</f>
        <v>GR</v>
      </c>
      <c r="C264" s="41" t="str">
        <f>IF(VLOOKUP(A264,'Données de base - Grunddaten'!$A$2:$M$273,3,FALSE)="","",VLOOKUP(A264,'Données de base - Grunddaten'!$A$2:$M$273,3,FALSE))</f>
        <v>Luen Plessur</v>
      </c>
      <c r="D264" s="41" t="str">
        <f>IF(VLOOKUP(A264,'Données de base - Grunddaten'!$A$2:$M$273,4,FALSE)="","",VLOOKUP(A264,'Données de base - Grunddaten'!$A$2:$M$273,4,FALSE))</f>
        <v>Plessur</v>
      </c>
      <c r="E264" s="271"/>
      <c r="F264" s="271"/>
      <c r="G264" s="271"/>
      <c r="H264" s="272" t="s">
        <v>1061</v>
      </c>
      <c r="I264" s="273" t="s">
        <v>1079</v>
      </c>
      <c r="J264" s="273"/>
      <c r="K264" s="274"/>
      <c r="L264" s="275"/>
      <c r="M264" s="1151" t="s">
        <v>752</v>
      </c>
      <c r="N264" s="1152" t="s">
        <v>43</v>
      </c>
      <c r="O264" s="1148" t="str">
        <f>VLOOKUP(A264,Strat_Plan_Revit!$A$10:$S$321,11,FALSE)</f>
        <v>gross</v>
      </c>
      <c r="P264" s="977" t="str">
        <f>VLOOKUP(A264,Strat_Plan_Revit!$A$10:$S$321,12,FALSE)</f>
        <v>kein/nicht best.</v>
      </c>
      <c r="Q264" s="277" t="str">
        <f>VLOOKUP(A264,Strat_Plan_Revit!$A$10:$S$321,13,FALSE)</f>
        <v>gering</v>
      </c>
      <c r="R264" s="1162" t="s">
        <v>752</v>
      </c>
      <c r="S264" s="1173" t="s">
        <v>752</v>
      </c>
      <c r="T264" s="278" t="s">
        <v>59</v>
      </c>
      <c r="U264" s="1174"/>
      <c r="V264" s="282"/>
      <c r="W264" s="341"/>
      <c r="X264" s="97"/>
      <c r="Y264" s="1265" t="s">
        <v>752</v>
      </c>
      <c r="Z264" s="1258" t="s">
        <v>59</v>
      </c>
      <c r="AA264" s="1266" t="str">
        <f t="shared" si="4"/>
        <v>a</v>
      </c>
      <c r="AC264" s="572"/>
      <c r="AD264" s="572"/>
      <c r="AE264" s="572"/>
    </row>
    <row r="265" spans="1:31" ht="40.5" customHeight="1" x14ac:dyDescent="0.25">
      <c r="A265" s="1233">
        <v>389</v>
      </c>
      <c r="B265" s="270" t="str">
        <f>IF(VLOOKUP(A265,'Données de base - Grunddaten'!$A$2:$M$273,5,FALSE)="","",VLOOKUP(A265,'Données de base - Grunddaten'!$A$2:$M$273,5,FALSE))</f>
        <v>GR</v>
      </c>
      <c r="C265" s="41" t="str">
        <f>IF(VLOOKUP(A265,'Données de base - Grunddaten'!$A$2:$M$273,3,FALSE)="","",VLOOKUP(A265,'Données de base - Grunddaten'!$A$2:$M$273,3,FALSE))</f>
        <v>Saas</v>
      </c>
      <c r="D265" s="41" t="str">
        <f>IF(VLOOKUP(A265,'Données de base - Grunddaten'!$A$2:$M$273,4,FALSE)="","",VLOOKUP(A265,'Données de base - Grunddaten'!$A$2:$M$273,4,FALSE))</f>
        <v>Landquart</v>
      </c>
      <c r="E265" s="271"/>
      <c r="F265" s="271"/>
      <c r="G265" s="271"/>
      <c r="H265" s="272" t="s">
        <v>1061</v>
      </c>
      <c r="I265" s="273" t="s">
        <v>1079</v>
      </c>
      <c r="J265" s="273"/>
      <c r="K265" s="274"/>
      <c r="L265" s="275"/>
      <c r="M265" s="1151" t="s">
        <v>720</v>
      </c>
      <c r="N265" s="1152" t="s">
        <v>72</v>
      </c>
      <c r="O265" s="1148" t="str">
        <f>VLOOKUP(A265,Strat_Plan_Revit!$A$10:$S$321,11,FALSE)</f>
        <v>gross</v>
      </c>
      <c r="P265" s="977" t="str">
        <f>VLOOKUP(A265,Strat_Plan_Revit!$A$10:$S$321,12,FALSE)</f>
        <v>mittel/gering/kein/nicht best.</v>
      </c>
      <c r="Q265" s="277" t="str">
        <f>VLOOKUP(A265,Strat_Plan_Revit!$A$10:$S$321,13,FALSE)</f>
        <v>mittel/gering</v>
      </c>
      <c r="R265" s="1162" t="s">
        <v>720</v>
      </c>
      <c r="S265" s="1173" t="s">
        <v>720</v>
      </c>
      <c r="T265" s="278" t="s">
        <v>59</v>
      </c>
      <c r="U265" s="1174"/>
      <c r="V265" s="282"/>
      <c r="W265" s="341"/>
      <c r="X265" s="97"/>
      <c r="Y265" s="1265" t="s">
        <v>720</v>
      </c>
      <c r="Z265" s="1258" t="s">
        <v>59</v>
      </c>
      <c r="AA265" s="1266" t="str">
        <f t="shared" si="4"/>
        <v>a</v>
      </c>
      <c r="AC265" s="572"/>
      <c r="AD265" s="572"/>
      <c r="AE265" s="572"/>
    </row>
    <row r="266" spans="1:31" ht="40.5" customHeight="1" x14ac:dyDescent="0.25">
      <c r="A266" s="1233">
        <v>390</v>
      </c>
      <c r="B266" s="270" t="str">
        <f>IF(VLOOKUP(A266,'Données de base - Grunddaten'!$A$2:$M$273,5,FALSE)="","",VLOOKUP(A266,'Données de base - Grunddaten'!$A$2:$M$273,5,FALSE))</f>
        <v>GR</v>
      </c>
      <c r="C266" s="41" t="str">
        <f>IF(VLOOKUP(A266,'Données de base - Grunddaten'!$A$2:$M$273,3,FALSE)="","",VLOOKUP(A266,'Données de base - Grunddaten'!$A$2:$M$273,3,FALSE))</f>
        <v>Sardasca</v>
      </c>
      <c r="D266" s="41" t="str">
        <f>IF(VLOOKUP(A266,'Données de base - Grunddaten'!$A$2:$M$273,4,FALSE)="","",VLOOKUP(A266,'Données de base - Grunddaten'!$A$2:$M$273,4,FALSE))</f>
        <v>Verstancla Bach</v>
      </c>
      <c r="E266" s="271"/>
      <c r="F266" s="271"/>
      <c r="G266" s="271"/>
      <c r="H266" s="272" t="s">
        <v>1061</v>
      </c>
      <c r="I266" s="273" t="s">
        <v>1079</v>
      </c>
      <c r="J266" s="273"/>
      <c r="K266" s="274"/>
      <c r="L266" s="275"/>
      <c r="M266" s="1151" t="s">
        <v>752</v>
      </c>
      <c r="N266" s="1152" t="s">
        <v>43</v>
      </c>
      <c r="O266" s="1148" t="str">
        <f>VLOOKUP(A266,Strat_Plan_Revit!$A$10:$S$321,11,FALSE)</f>
        <v>keine Angaben</v>
      </c>
      <c r="P266" s="977" t="str">
        <f>VLOOKUP(A266,Strat_Plan_Revit!$A$10:$S$321,12,FALSE)</f>
        <v>keine Angaben</v>
      </c>
      <c r="Q266" s="277" t="str">
        <f>VLOOKUP(A266,Strat_Plan_Revit!$A$10:$S$321,13,FALSE)</f>
        <v>keine Angaben</v>
      </c>
      <c r="R266" s="1169"/>
      <c r="S266" s="1173" t="s">
        <v>752</v>
      </c>
      <c r="T266" s="278" t="s">
        <v>43</v>
      </c>
      <c r="U266" s="1174"/>
      <c r="V266" s="282"/>
      <c r="W266" s="341"/>
      <c r="X266" s="97"/>
      <c r="Y266" s="1265" t="s">
        <v>752</v>
      </c>
      <c r="Z266" s="1258" t="s">
        <v>43</v>
      </c>
      <c r="AA266" s="1266" t="str">
        <f t="shared" si="4"/>
        <v>a</v>
      </c>
      <c r="AC266" s="572"/>
      <c r="AD266" s="572"/>
      <c r="AE266" s="572"/>
    </row>
    <row r="267" spans="1:31" ht="40.5" customHeight="1" x14ac:dyDescent="0.25">
      <c r="A267" s="1233">
        <v>391</v>
      </c>
      <c r="B267" s="270" t="str">
        <f>IF(VLOOKUP(A267,'Données de base - Grunddaten'!$A$2:$M$273,5,FALSE)="","",VLOOKUP(A267,'Données de base - Grunddaten'!$A$2:$M$273,5,FALSE))</f>
        <v>GR</v>
      </c>
      <c r="C267" s="41" t="str">
        <f>IF(VLOOKUP(A267,'Données de base - Grunddaten'!$A$2:$M$273,3,FALSE)="","",VLOOKUP(A267,'Données de base - Grunddaten'!$A$2:$M$273,3,FALSE))</f>
        <v>Borgnovo</v>
      </c>
      <c r="D267" s="41" t="str">
        <f>IF(VLOOKUP(A267,'Données de base - Grunddaten'!$A$2:$M$273,4,FALSE)="","",VLOOKUP(A267,'Données de base - Grunddaten'!$A$2:$M$273,4,FALSE))</f>
        <v>Maira</v>
      </c>
      <c r="E267" s="271"/>
      <c r="F267" s="271"/>
      <c r="G267" s="271"/>
      <c r="H267" s="272" t="s">
        <v>1061</v>
      </c>
      <c r="I267" s="273"/>
      <c r="J267" s="273"/>
      <c r="K267" s="274"/>
      <c r="L267" s="275"/>
      <c r="M267" s="1151" t="s">
        <v>723</v>
      </c>
      <c r="N267" s="1152" t="s">
        <v>72</v>
      </c>
      <c r="O267" s="1148" t="str">
        <f>VLOOKUP(A267,Strat_Plan_Revit!$A$10:$S$321,11,FALSE)</f>
        <v>gross</v>
      </c>
      <c r="P267" s="977" t="str">
        <f>VLOOKUP(A267,Strat_Plan_Revit!$A$10:$S$321,12,FALSE)</f>
        <v>mittel/kein/nicht best.</v>
      </c>
      <c r="Q267" s="277" t="str">
        <f>VLOOKUP(A267,Strat_Plan_Revit!$A$10:$S$321,13,FALSE)</f>
        <v>hoch/gering</v>
      </c>
      <c r="R267" s="1162" t="s">
        <v>723</v>
      </c>
      <c r="S267" s="1173" t="s">
        <v>723</v>
      </c>
      <c r="T267" s="278" t="s">
        <v>59</v>
      </c>
      <c r="U267" s="1174"/>
      <c r="V267" s="282"/>
      <c r="W267" s="341"/>
      <c r="X267" s="97"/>
      <c r="Y267" s="1265" t="s">
        <v>723</v>
      </c>
      <c r="Z267" s="1258" t="s">
        <v>59</v>
      </c>
      <c r="AA267" s="1266" t="str">
        <f t="shared" si="4"/>
        <v>a</v>
      </c>
      <c r="AC267" s="572"/>
      <c r="AD267" s="572"/>
      <c r="AE267" s="572"/>
    </row>
    <row r="268" spans="1:31" ht="40.5" customHeight="1" x14ac:dyDescent="0.25">
      <c r="A268" s="1233">
        <v>392</v>
      </c>
      <c r="B268" s="270" t="str">
        <f>IF(VLOOKUP(A268,'Données de base - Grunddaten'!$A$2:$M$273,5,FALSE)="","",VLOOKUP(A268,'Données de base - Grunddaten'!$A$2:$M$273,5,FALSE))</f>
        <v>GR</v>
      </c>
      <c r="C268" s="41" t="str">
        <f>IF(VLOOKUP(A268,'Données de base - Grunddaten'!$A$2:$M$273,3,FALSE)="","",VLOOKUP(A268,'Données de base - Grunddaten'!$A$2:$M$273,3,FALSE))</f>
        <v>Cavril</v>
      </c>
      <c r="D268" s="41" t="str">
        <f>IF(VLOOKUP(A268,'Données de base - Grunddaten'!$A$2:$M$273,4,FALSE)="","",VLOOKUP(A268,'Données de base - Grunddaten'!$A$2:$M$273,4,FALSE))</f>
        <v>Orlegna</v>
      </c>
      <c r="E268" s="271"/>
      <c r="F268" s="271"/>
      <c r="G268" s="271"/>
      <c r="H268" s="272"/>
      <c r="I268" s="279" t="s">
        <v>1058</v>
      </c>
      <c r="J268" s="279"/>
      <c r="K268" s="280" t="s">
        <v>1061</v>
      </c>
      <c r="L268" s="281" t="s">
        <v>1156</v>
      </c>
      <c r="M268" s="1151" t="s">
        <v>723</v>
      </c>
      <c r="N268" s="1152" t="s">
        <v>72</v>
      </c>
      <c r="O268" s="1148" t="str">
        <f>VLOOKUP(A268,Strat_Plan_Revit!$A$10:$S$321,11,FALSE)</f>
        <v>gross</v>
      </c>
      <c r="P268" s="977" t="str">
        <f>VLOOKUP(A268,Strat_Plan_Revit!$A$10:$S$321,12,FALSE)</f>
        <v>gering</v>
      </c>
      <c r="Q268" s="277" t="str">
        <f>VLOOKUP(A268,Strat_Plan_Revit!$A$10:$S$321,13,FALSE)</f>
        <v>hoch</v>
      </c>
      <c r="R268" s="1162" t="s">
        <v>752</v>
      </c>
      <c r="S268" s="1173" t="s">
        <v>752</v>
      </c>
      <c r="T268" s="278" t="s">
        <v>110</v>
      </c>
      <c r="U268" s="1174"/>
      <c r="V268" s="282"/>
      <c r="W268" s="341"/>
      <c r="X268" s="97"/>
      <c r="Y268" s="1265" t="s">
        <v>752</v>
      </c>
      <c r="Z268" s="1258" t="s">
        <v>110</v>
      </c>
      <c r="AA268" s="1266" t="str">
        <f t="shared" si="4"/>
        <v>a</v>
      </c>
      <c r="AC268" s="572"/>
      <c r="AD268" s="572"/>
      <c r="AE268" s="572"/>
    </row>
    <row r="269" spans="1:31" ht="40.5" customHeight="1" x14ac:dyDescent="0.25">
      <c r="A269" s="926">
        <v>393</v>
      </c>
      <c r="B269" s="270" t="str">
        <f>IF(VLOOKUP(A269,'Données de base - Grunddaten'!$A$2:$M$273,5,FALSE)="","",VLOOKUP(A269,'Données de base - Grunddaten'!$A$2:$M$273,5,FALSE))</f>
        <v>GR</v>
      </c>
      <c r="C269" s="41" t="str">
        <f>IF(VLOOKUP(A269,'Données de base - Grunddaten'!$A$2:$M$273,3,FALSE)="","",VLOOKUP(A269,'Données de base - Grunddaten'!$A$2:$M$273,3,FALSE))</f>
        <v>Isola / Plan Grand</v>
      </c>
      <c r="D269" s="41" t="str">
        <f>IF(VLOOKUP(A269,'Données de base - Grunddaten'!$A$2:$M$273,4,FALSE)="","",VLOOKUP(A269,'Données de base - Grunddaten'!$A$2:$M$273,4,FALSE))</f>
        <v>Aua da Fedoz, Lei da Segl</v>
      </c>
      <c r="E269" s="271"/>
      <c r="F269" s="271"/>
      <c r="G269" s="271"/>
      <c r="H269" s="272" t="s">
        <v>1061</v>
      </c>
      <c r="I269" s="273" t="s">
        <v>1079</v>
      </c>
      <c r="J269" s="273" t="s">
        <v>1064</v>
      </c>
      <c r="K269" s="274"/>
      <c r="L269" s="275"/>
      <c r="M269" s="1151" t="s">
        <v>752</v>
      </c>
      <c r="N269" s="1152" t="s">
        <v>43</v>
      </c>
      <c r="O269" s="1148" t="str">
        <f>VLOOKUP(A269,Strat_Plan_Revit!$A$10:$S$321,11,FALSE)</f>
        <v>gross</v>
      </c>
      <c r="P269" s="977" t="str">
        <f>VLOOKUP(A269,Strat_Plan_Revit!$A$10:$S$321,12,FALSE)</f>
        <v>kein/nicht best.</v>
      </c>
      <c r="Q269" s="277" t="str">
        <f>VLOOKUP(A269,Strat_Plan_Revit!$A$10:$S$321,13,FALSE)</f>
        <v>gering</v>
      </c>
      <c r="R269" s="1162" t="s">
        <v>752</v>
      </c>
      <c r="S269" s="1173" t="s">
        <v>752</v>
      </c>
      <c r="T269" s="278" t="s">
        <v>59</v>
      </c>
      <c r="U269" s="1174"/>
      <c r="V269" s="282"/>
      <c r="W269" s="341"/>
      <c r="X269" s="97"/>
      <c r="Y269" s="1265" t="s">
        <v>752</v>
      </c>
      <c r="Z269" s="1258" t="s">
        <v>59</v>
      </c>
      <c r="AA269" s="1266" t="str">
        <f t="shared" si="4"/>
        <v>a</v>
      </c>
      <c r="AC269" s="572"/>
      <c r="AD269" s="572"/>
      <c r="AE269" s="572"/>
    </row>
    <row r="270" spans="1:31" ht="40.5" customHeight="1" x14ac:dyDescent="0.25">
      <c r="A270" s="926">
        <v>394</v>
      </c>
      <c r="B270" s="270" t="str">
        <f>IF(VLOOKUP(A270,'Données de base - Grunddaten'!$A$2:$M$273,5,FALSE)="","",VLOOKUP(A270,'Données de base - Grunddaten'!$A$2:$M$273,5,FALSE))</f>
        <v>GR</v>
      </c>
      <c r="C270" s="41" t="str">
        <f>IF(VLOOKUP(A270,'Données de base - Grunddaten'!$A$2:$M$273,3,FALSE)="","",VLOOKUP(A270,'Données de base - Grunddaten'!$A$2:$M$273,3,FALSE))</f>
        <v>Ova da Roseg</v>
      </c>
      <c r="D270" s="41" t="str">
        <f>IF(VLOOKUP(A270,'Données de base - Grunddaten'!$A$2:$M$273,4,FALSE)="","",VLOOKUP(A270,'Données de base - Grunddaten'!$A$2:$M$273,4,FALSE))</f>
        <v>Ova da Roseg</v>
      </c>
      <c r="E270" s="271">
        <v>37.836363636363643</v>
      </c>
      <c r="F270" s="271">
        <v>49.157039121798796</v>
      </c>
      <c r="G270" s="271">
        <v>11.363636363636363</v>
      </c>
      <c r="H270" s="272" t="s">
        <v>1057</v>
      </c>
      <c r="I270" s="273" t="s">
        <v>1058</v>
      </c>
      <c r="J270" s="273" t="s">
        <v>1064</v>
      </c>
      <c r="K270" s="274"/>
      <c r="L270" s="275"/>
      <c r="M270" s="1151" t="s">
        <v>737</v>
      </c>
      <c r="N270" s="1152" t="s">
        <v>43</v>
      </c>
      <c r="O270" s="1148" t="str">
        <f>VLOOKUP(A270,Strat_Plan_Revit!$A$10:$S$321,11,FALSE)</f>
        <v>gross</v>
      </c>
      <c r="P270" s="977" t="str">
        <f>VLOOKUP(A270,Strat_Plan_Revit!$A$10:$S$321,12,FALSE)</f>
        <v>minim/kein/nicht best.</v>
      </c>
      <c r="Q270" s="277" t="str">
        <f>VLOOKUP(A270,Strat_Plan_Revit!$A$10:$S$321,13,FALSE)</f>
        <v>gering</v>
      </c>
      <c r="R270" s="1162" t="s">
        <v>720</v>
      </c>
      <c r="S270" s="1180" t="s">
        <v>738</v>
      </c>
      <c r="T270" s="278" t="s">
        <v>368</v>
      </c>
      <c r="U270" s="1174"/>
      <c r="V270" s="1053" t="s">
        <v>126</v>
      </c>
      <c r="W270" s="1141"/>
      <c r="X270" s="1190"/>
      <c r="Y270" s="1273" t="s">
        <v>738</v>
      </c>
      <c r="Z270" s="1258" t="s">
        <v>368</v>
      </c>
      <c r="AA270" s="1266" t="s">
        <v>43</v>
      </c>
      <c r="AC270" s="572"/>
      <c r="AD270" s="572"/>
      <c r="AE270" s="572"/>
    </row>
    <row r="271" spans="1:31" ht="40.5" customHeight="1" x14ac:dyDescent="0.25">
      <c r="A271" s="1233">
        <v>395</v>
      </c>
      <c r="B271" s="270" t="str">
        <f>IF(VLOOKUP(A271,'Données de base - Grunddaten'!$A$2:$M$273,5,FALSE)="","",VLOOKUP(A271,'Données de base - Grunddaten'!$A$2:$M$273,5,FALSE))</f>
        <v>GR</v>
      </c>
      <c r="C271" s="41" t="str">
        <f>IF(VLOOKUP(A271,'Données de base - Grunddaten'!$A$2:$M$273,3,FALSE)="","",VLOOKUP(A271,'Données de base - Grunddaten'!$A$2:$M$273,3,FALSE))</f>
        <v>Trupchun</v>
      </c>
      <c r="D271" s="41" t="str">
        <f>IF(VLOOKUP(A271,'Données de base - Grunddaten'!$A$2:$M$273,4,FALSE)="","",VLOOKUP(A271,'Données de base - Grunddaten'!$A$2:$M$273,4,FALSE))</f>
        <v>Ova da Varusch, Ova da Trupchun</v>
      </c>
      <c r="E271" s="271"/>
      <c r="F271" s="271"/>
      <c r="G271" s="271"/>
      <c r="H271" s="272" t="s">
        <v>1061</v>
      </c>
      <c r="I271" s="273" t="s">
        <v>1079</v>
      </c>
      <c r="J271" s="273"/>
      <c r="K271" s="274"/>
      <c r="L271" s="275"/>
      <c r="M271" s="1151" t="s">
        <v>752</v>
      </c>
      <c r="N271" s="1152" t="s">
        <v>43</v>
      </c>
      <c r="O271" s="1148" t="str">
        <f>VLOOKUP(A271,Strat_Plan_Revit!$A$10:$S$321,11,FALSE)</f>
        <v>gross</v>
      </c>
      <c r="P271" s="977" t="str">
        <f>VLOOKUP(A271,Strat_Plan_Revit!$A$10:$S$321,12,FALSE)</f>
        <v>mittel/kein/nicht best.</v>
      </c>
      <c r="Q271" s="277" t="str">
        <f>VLOOKUP(A271,Strat_Plan_Revit!$A$10:$S$321,13,FALSE)</f>
        <v>gering</v>
      </c>
      <c r="R271" s="1162" t="s">
        <v>752</v>
      </c>
      <c r="S271" s="1173" t="s">
        <v>752</v>
      </c>
      <c r="T271" s="278" t="s">
        <v>59</v>
      </c>
      <c r="U271" s="1174"/>
      <c r="V271" s="282"/>
      <c r="W271" s="341"/>
      <c r="X271" s="97"/>
      <c r="Y271" s="1265" t="s">
        <v>752</v>
      </c>
      <c r="Z271" s="1258" t="s">
        <v>59</v>
      </c>
      <c r="AA271" s="1266" t="str">
        <f t="shared" si="4"/>
        <v>a</v>
      </c>
      <c r="AC271" s="572"/>
      <c r="AD271" s="572"/>
      <c r="AE271" s="572"/>
    </row>
    <row r="272" spans="1:31" ht="40.5" customHeight="1" x14ac:dyDescent="0.25">
      <c r="A272" s="1234">
        <v>396</v>
      </c>
      <c r="B272" s="270" t="str">
        <f>IF(VLOOKUP(A272,'Données de base - Grunddaten'!$A$2:$M$273,5,FALSE)="","",VLOOKUP(A272,'Données de base - Grunddaten'!$A$2:$M$273,5,FALSE))</f>
        <v>GR</v>
      </c>
      <c r="C272" s="41" t="str">
        <f>IF(VLOOKUP(A272,'Données de base - Grunddaten'!$A$2:$M$273,3,FALSE)="","",VLOOKUP(A272,'Données de base - Grunddaten'!$A$2:$M$273,3,FALSE))</f>
        <v>Ova dal Fuorn</v>
      </c>
      <c r="D272" s="41" t="str">
        <f>IF(VLOOKUP(A272,'Données de base - Grunddaten'!$A$2:$M$273,4,FALSE)="","",VLOOKUP(A272,'Données de base - Grunddaten'!$A$2:$M$273,4,FALSE))</f>
        <v>Ova dal Fuorn</v>
      </c>
      <c r="E272" s="271">
        <v>-6.3636363636363633</v>
      </c>
      <c r="F272" s="271">
        <v>0</v>
      </c>
      <c r="G272" s="271">
        <v>6.3636363636363633</v>
      </c>
      <c r="H272" s="272" t="s">
        <v>1061</v>
      </c>
      <c r="I272" s="273" t="s">
        <v>1079</v>
      </c>
      <c r="J272" s="273" t="s">
        <v>1059</v>
      </c>
      <c r="K272" s="274"/>
      <c r="L272" s="275"/>
      <c r="M272" s="1151" t="s">
        <v>752</v>
      </c>
      <c r="N272" s="1152" t="s">
        <v>43</v>
      </c>
      <c r="O272" s="1148" t="str">
        <f>VLOOKUP(A272,Strat_Plan_Revit!$A$10:$S$321,11,FALSE)</f>
        <v>keine Angaben</v>
      </c>
      <c r="P272" s="977" t="str">
        <f>VLOOKUP(A272,Strat_Plan_Revit!$A$10:$S$321,12,FALSE)</f>
        <v>keine Angaben</v>
      </c>
      <c r="Q272" s="277" t="str">
        <f>VLOOKUP(A272,Strat_Plan_Revit!$A$10:$S$321,13,FALSE)</f>
        <v>keine Angaben</v>
      </c>
      <c r="R272" s="1169"/>
      <c r="S272" s="1173" t="s">
        <v>752</v>
      </c>
      <c r="T272" s="278" t="s">
        <v>43</v>
      </c>
      <c r="U272" s="1174"/>
      <c r="V272" s="282"/>
      <c r="W272" s="341"/>
      <c r="X272" s="97"/>
      <c r="Y272" s="1265" t="s">
        <v>752</v>
      </c>
      <c r="Z272" s="1258" t="s">
        <v>43</v>
      </c>
      <c r="AA272" s="1266" t="str">
        <f t="shared" si="4"/>
        <v>a</v>
      </c>
      <c r="AC272" s="572"/>
      <c r="AD272" s="572"/>
      <c r="AE272" s="572"/>
    </row>
    <row r="273" spans="1:31" ht="40.5" customHeight="1" x14ac:dyDescent="0.25">
      <c r="A273" s="1235">
        <v>397</v>
      </c>
      <c r="B273" s="270" t="str">
        <f>IF(VLOOKUP(A273,'Données de base - Grunddaten'!$A$2:$M$273,5,FALSE)="","",VLOOKUP(A273,'Données de base - Grunddaten'!$A$2:$M$273,5,FALSE))</f>
        <v>GR</v>
      </c>
      <c r="C273" s="41" t="str">
        <f>IF(VLOOKUP(A273,'Données de base - Grunddaten'!$A$2:$M$273,3,FALSE)="","",VLOOKUP(A273,'Données de base - Grunddaten'!$A$2:$M$273,3,FALSE))</f>
        <v>Ravitschana</v>
      </c>
      <c r="D273" s="41" t="str">
        <f>IF(VLOOKUP(A273,'Données de base - Grunddaten'!$A$2:$M$273,4,FALSE)="","",VLOOKUP(A273,'Données de base - Grunddaten'!$A$2:$M$273,4,FALSE))</f>
        <v>Clemgia</v>
      </c>
      <c r="E273" s="271"/>
      <c r="F273" s="271"/>
      <c r="G273" s="271"/>
      <c r="H273" s="272" t="s">
        <v>1066</v>
      </c>
      <c r="I273" s="273" t="s">
        <v>1071</v>
      </c>
      <c r="J273" s="285"/>
      <c r="K273" s="274"/>
      <c r="L273" s="275"/>
      <c r="M273" s="1151" t="s">
        <v>752</v>
      </c>
      <c r="N273" s="1152" t="s">
        <v>72</v>
      </c>
      <c r="O273" s="1148" t="str">
        <f>VLOOKUP(A273,Strat_Plan_Revit!$A$10:$S$321,11,FALSE)</f>
        <v>gross</v>
      </c>
      <c r="P273" s="977" t="str">
        <f>VLOOKUP(A273,Strat_Plan_Revit!$A$10:$S$321,12,FALSE)</f>
        <v>mittel</v>
      </c>
      <c r="Q273" s="277" t="str">
        <f>VLOOKUP(A273,Strat_Plan_Revit!$A$10:$S$321,13,FALSE)</f>
        <v>gering</v>
      </c>
      <c r="R273" s="1162" t="s">
        <v>720</v>
      </c>
      <c r="S273" s="1173" t="s">
        <v>752</v>
      </c>
      <c r="T273" s="278" t="s">
        <v>43</v>
      </c>
      <c r="U273" s="1174"/>
      <c r="V273" s="282"/>
      <c r="W273" s="341"/>
      <c r="X273" s="97"/>
      <c r="Y273" s="1265" t="s">
        <v>752</v>
      </c>
      <c r="Z273" s="1258" t="s">
        <v>43</v>
      </c>
      <c r="AA273" s="1266" t="str">
        <f t="shared" si="4"/>
        <v>a</v>
      </c>
      <c r="AC273" s="572"/>
      <c r="AD273" s="572"/>
      <c r="AE273" s="572"/>
    </row>
    <row r="274" spans="1:31" ht="40.5" customHeight="1" x14ac:dyDescent="0.25">
      <c r="A274" s="934">
        <v>398</v>
      </c>
      <c r="B274" s="270" t="str">
        <f>IF(VLOOKUP(A274,'Données de base - Grunddaten'!$A$2:$M$273,5,FALSE)="","",VLOOKUP(A274,'Données de base - Grunddaten'!$A$2:$M$273,5,FALSE))</f>
        <v>TI</v>
      </c>
      <c r="C274" s="41" t="str">
        <f>IF(VLOOKUP(A274,'Données de base - Grunddaten'!$A$2:$M$273,3,FALSE)="","",VLOOKUP(A274,'Données de base - Grunddaten'!$A$2:$M$273,3,FALSE))</f>
        <v>Lodrino–Iragna</v>
      </c>
      <c r="D274" s="41" t="str">
        <f>IF(VLOOKUP(A274,'Données de base - Grunddaten'!$A$2:$M$273,4,FALSE)="","",VLOOKUP(A274,'Données de base - Grunddaten'!$A$2:$M$273,4,FALSE))</f>
        <v>Ticino</v>
      </c>
      <c r="E274" s="271"/>
      <c r="F274" s="271"/>
      <c r="G274" s="271"/>
      <c r="H274" s="272" t="s">
        <v>1078</v>
      </c>
      <c r="I274" s="279" t="s">
        <v>1058</v>
      </c>
      <c r="J274" s="286"/>
      <c r="K274" s="280" t="s">
        <v>1057</v>
      </c>
      <c r="L274" s="281" t="s">
        <v>1190</v>
      </c>
      <c r="M274" s="1151" t="s">
        <v>737</v>
      </c>
      <c r="N274" s="1152" t="s">
        <v>43</v>
      </c>
      <c r="O274" s="1148" t="str">
        <f>VLOOKUP(A274,Strat_Plan_Revit!$A$10:$S$321,11,FALSE)</f>
        <v>important et moyen</v>
      </c>
      <c r="P274" s="977" t="str">
        <f>VLOOKUP(A274,Strat_Plan_Revit!$A$10:$S$321,12,FALSE)</f>
        <v>important</v>
      </c>
      <c r="Q274" s="277" t="str">
        <f>VLOOKUP(A274,Strat_Plan_Revit!$A$10:$S$321,13,FALSE)</f>
        <v>important</v>
      </c>
      <c r="R274" s="1162" t="s">
        <v>737</v>
      </c>
      <c r="S274" s="1173" t="s">
        <v>737</v>
      </c>
      <c r="T274" s="278" t="s">
        <v>59</v>
      </c>
      <c r="U274" s="1174"/>
      <c r="V274" s="282"/>
      <c r="W274" s="448"/>
      <c r="X274" s="1191"/>
      <c r="Y274" s="1265" t="s">
        <v>737</v>
      </c>
      <c r="Z274" s="1260" t="s">
        <v>59</v>
      </c>
      <c r="AA274" s="1266" t="str">
        <f t="shared" si="4"/>
        <v>a</v>
      </c>
      <c r="AC274" s="572"/>
      <c r="AD274" s="572"/>
      <c r="AE274" s="572"/>
    </row>
    <row r="275" spans="1:31" ht="91.9" customHeight="1" thickBot="1" x14ac:dyDescent="0.3">
      <c r="A275" s="933">
        <v>399</v>
      </c>
      <c r="B275" s="270" t="str">
        <f>IF(VLOOKUP(A275,'Données de base - Grunddaten'!$A$2:$M$273,5,FALSE)="","",VLOOKUP(A275,'Données de base - Grunddaten'!$A$2:$M$273,5,FALSE))</f>
        <v>JU</v>
      </c>
      <c r="C275" s="41" t="str">
        <f>IF(VLOOKUP(A275,'Données de base - Grunddaten'!$A$2:$M$273,3,FALSE)="","",VLOOKUP(A275,'Données de base - Grunddaten'!$A$2:$M$273,3,FALSE))</f>
        <v>Clairbief</v>
      </c>
      <c r="D275" s="41" t="str">
        <f>IF(VLOOKUP(A275,'Données de base - Grunddaten'!$A$2:$M$273,4,FALSE)="","",VLOOKUP(A275,'Données de base - Grunddaten'!$A$2:$M$273,4,FALSE))</f>
        <v>Le Doubs</v>
      </c>
      <c r="E275" s="271"/>
      <c r="F275" s="271"/>
      <c r="G275" s="271"/>
      <c r="H275" s="272" t="s">
        <v>1061</v>
      </c>
      <c r="I275" s="285"/>
      <c r="J275" s="285" t="s">
        <v>1161</v>
      </c>
      <c r="K275" s="274"/>
      <c r="L275" s="275"/>
      <c r="M275" s="1151" t="s">
        <v>737</v>
      </c>
      <c r="N275" s="1152" t="s">
        <v>72</v>
      </c>
      <c r="O275" s="1148" t="str">
        <f>VLOOKUP(A275,Strat_Plan_Revit!$A$10:$S$321,11,FALSE)</f>
        <v>important</v>
      </c>
      <c r="P275" s="977" t="str">
        <f>VLOOKUP(A275,Strat_Plan_Revit!$A$10:$S$321,12,FALSE)</f>
        <v>faible</v>
      </c>
      <c r="Q275" s="277" t="str">
        <f>VLOOKUP(A275,Strat_Plan_Revit!$A$10:$S$321,13,FALSE)</f>
        <v>nulle</v>
      </c>
      <c r="R275" s="1162" t="s">
        <v>752</v>
      </c>
      <c r="S275" s="1178" t="s">
        <v>737</v>
      </c>
      <c r="T275" s="278" t="s">
        <v>72</v>
      </c>
      <c r="U275" s="1174"/>
      <c r="V275" s="282"/>
      <c r="W275" s="341" t="s">
        <v>1162</v>
      </c>
      <c r="X275" s="97" t="s">
        <v>1158</v>
      </c>
      <c r="Y275" s="1276" t="s">
        <v>737</v>
      </c>
      <c r="Z275" s="1277" t="s">
        <v>72</v>
      </c>
      <c r="AA275" s="1266" t="str">
        <f t="shared" si="4"/>
        <v>b</v>
      </c>
      <c r="AC275" s="572"/>
      <c r="AD275" s="572"/>
      <c r="AE275" s="572"/>
    </row>
    <row r="276" spans="1:31" ht="40.5" customHeight="1" x14ac:dyDescent="0.25">
      <c r="Y276" s="1255"/>
      <c r="Z276" s="1256"/>
      <c r="AA276" s="1253"/>
    </row>
  </sheetData>
  <autoFilter ref="A3:AK275"/>
  <sortState ref="A3:Z274">
    <sortCondition ref="M3:M274"/>
  </sortState>
  <mergeCells count="15">
    <mergeCell ref="E1:H1"/>
    <mergeCell ref="K1:L1"/>
    <mergeCell ref="P1:R1"/>
    <mergeCell ref="V1:X1"/>
    <mergeCell ref="S1:U1"/>
    <mergeCell ref="Y1:AA1"/>
    <mergeCell ref="AC2:AC3"/>
    <mergeCell ref="AD2:AD3"/>
    <mergeCell ref="AE2:AE3"/>
    <mergeCell ref="M2:N2"/>
    <mergeCell ref="O2:R2"/>
    <mergeCell ref="V2:X2"/>
    <mergeCell ref="S2:U2"/>
    <mergeCell ref="Y2:AA2"/>
    <mergeCell ref="M1:N1"/>
  </mergeCells>
  <conditionalFormatting sqref="M4:M274">
    <cfRule type="cellIs" dxfId="6705" priority="1069" stopIfTrue="1" operator="equal">
      <formula>"non pertinent / nicht relevant"</formula>
    </cfRule>
    <cfRule type="cellIs" dxfId="6704" priority="1070" stopIfTrue="1" operator="equal">
      <formula>"Très nécessaire, difficile / unbedingt nötig, schwierig"</formula>
    </cfRule>
    <cfRule type="cellIs" dxfId="6703" priority="1071" stopIfTrue="1" operator="equal">
      <formula>"Partiellement nécessaire, facile / teilweise nötig, einfach"</formula>
    </cfRule>
    <cfRule type="cellIs" dxfId="6702" priority="1072" stopIfTrue="1" operator="equal">
      <formula>"Partiellement nécessaire, difficile / teilweise nötig, schwierig"</formula>
    </cfRule>
    <cfRule type="cellIs" dxfId="6701" priority="1073" stopIfTrue="1" operator="equal">
      <formula>"Très nécessaire, facile / unbedingt nötig, einfach"</formula>
    </cfRule>
    <cfRule type="cellIs" dxfId="6700" priority="1074" stopIfTrue="1" operator="equal">
      <formula>"Non nécessaire / nicht nötig"</formula>
    </cfRule>
  </conditionalFormatting>
  <conditionalFormatting sqref="R202 R203:S230 R243 R244:S269 R4:S15 R46:R47 R68:S71 R67 R73:S105 R72 R107:S130 R106 R132:S135 R131 R137:S174 R136 R176:S176 R175 R178:S201 R177 R232:S235 R231 R237:S242 R236 R271:S274 R270 R48:S66 R21:S27 R31:S45">
    <cfRule type="cellIs" dxfId="6699" priority="1063" operator="equal">
      <formula>"non pertinent / nicht relevant"</formula>
    </cfRule>
    <cfRule type="cellIs" dxfId="6698" priority="1064" operator="equal">
      <formula>"Très nécessaire, facile / unbedingt nötig, einfach"</formula>
    </cfRule>
    <cfRule type="cellIs" dxfId="6697" priority="1065" operator="equal">
      <formula>"Très nécessaire, difficile / unbedingt nötig, schwierig"</formula>
    </cfRule>
    <cfRule type="cellIs" dxfId="6696" priority="1066" operator="equal">
      <formula>"Partiellement nécessaire, facile / teilweise nötig, einfach"</formula>
    </cfRule>
    <cfRule type="cellIs" dxfId="6695" priority="1067" operator="equal">
      <formula>"Partiellement nécessaire, difficile / teilweise nötig, schwierig"</formula>
    </cfRule>
    <cfRule type="cellIs" dxfId="6694" priority="1068" operator="equal">
      <formula>"Non nécessaire / nicht nötig"</formula>
    </cfRule>
  </conditionalFormatting>
  <conditionalFormatting sqref="M275">
    <cfRule type="cellIs" dxfId="6693" priority="1057" stopIfTrue="1" operator="equal">
      <formula>"non pertinent / nicht relevant"</formula>
    </cfRule>
    <cfRule type="cellIs" dxfId="6692" priority="1058" stopIfTrue="1" operator="equal">
      <formula>"Très nécessaire, difficile / unbedingt nötig, schwierig"</formula>
    </cfRule>
    <cfRule type="cellIs" dxfId="6691" priority="1059" stopIfTrue="1" operator="equal">
      <formula>"Partiellement nécessaire, facile / teilweise nötig, einfach"</formula>
    </cfRule>
    <cfRule type="cellIs" dxfId="6690" priority="1060" stopIfTrue="1" operator="equal">
      <formula>"Partiellement nécessaire, difficile / teilweise nötig, schwierig"</formula>
    </cfRule>
    <cfRule type="cellIs" dxfId="6689" priority="1061" stopIfTrue="1" operator="equal">
      <formula>"Très nécessaire, facile / unbedingt nötig, einfach"</formula>
    </cfRule>
    <cfRule type="cellIs" dxfId="6688" priority="1062" stopIfTrue="1" operator="equal">
      <formula>"Non nécessaire / nicht nötig"</formula>
    </cfRule>
  </conditionalFormatting>
  <conditionalFormatting sqref="R275:S275">
    <cfRule type="cellIs" dxfId="6687" priority="1051" operator="equal">
      <formula>"non pertinent / nicht relevant"</formula>
    </cfRule>
    <cfRule type="cellIs" dxfId="6686" priority="1052" operator="equal">
      <formula>"Très nécessaire, facile / unbedingt nötig, einfach"</formula>
    </cfRule>
    <cfRule type="cellIs" dxfId="6685" priority="1053" operator="equal">
      <formula>"Très nécessaire, difficile / unbedingt nötig, schwierig"</formula>
    </cfRule>
    <cfRule type="cellIs" dxfId="6684" priority="1054" operator="equal">
      <formula>"Partiellement nécessaire, facile / teilweise nötig, einfach"</formula>
    </cfRule>
    <cfRule type="cellIs" dxfId="6683" priority="1055" operator="equal">
      <formula>"Partiellement nécessaire, difficile / teilweise nötig, schwierig"</formula>
    </cfRule>
    <cfRule type="cellIs" dxfId="6682" priority="1056" operator="equal">
      <formula>"Non nécessaire / nicht nötig"</formula>
    </cfRule>
  </conditionalFormatting>
  <conditionalFormatting sqref="W76">
    <cfRule type="cellIs" dxfId="6681" priority="1045" operator="equal">
      <formula>"non pertinent / nicht relevant"</formula>
    </cfRule>
    <cfRule type="cellIs" dxfId="6680" priority="1046" operator="equal">
      <formula>"Très nécessaire, facile / unbedingt nötig, einfach"</formula>
    </cfRule>
    <cfRule type="cellIs" dxfId="6679" priority="1047" operator="equal">
      <formula>"Très nécessaire, difficile / unbedingt nötig, schwierig"</formula>
    </cfRule>
    <cfRule type="cellIs" dxfId="6678" priority="1048" operator="equal">
      <formula>"Partiellement nécessaire, facile / teilweise nötig, einfach"</formula>
    </cfRule>
    <cfRule type="cellIs" dxfId="6677" priority="1049" operator="equal">
      <formula>"Partiellement nécessaire, difficile / teilweise nötig, schwierig"</formula>
    </cfRule>
    <cfRule type="cellIs" dxfId="6676" priority="1050" operator="equal">
      <formula>"Non nécessaire / nicht nötig"</formula>
    </cfRule>
  </conditionalFormatting>
  <conditionalFormatting sqref="W217">
    <cfRule type="cellIs" dxfId="6675" priority="1039" operator="equal">
      <formula>"non pertinent / nicht relevant"</formula>
    </cfRule>
    <cfRule type="cellIs" dxfId="6674" priority="1040" operator="equal">
      <formula>"Très nécessaire, facile / unbedingt nötig, einfach"</formula>
    </cfRule>
    <cfRule type="cellIs" dxfId="6673" priority="1041" operator="equal">
      <formula>"Très nécessaire, difficile / unbedingt nötig, schwierig"</formula>
    </cfRule>
    <cfRule type="cellIs" dxfId="6672" priority="1042" operator="equal">
      <formula>"Partiellement nécessaire, facile / teilweise nötig, einfach"</formula>
    </cfRule>
    <cfRule type="cellIs" dxfId="6671" priority="1043" operator="equal">
      <formula>"Partiellement nécessaire, difficile / teilweise nötig, schwierig"</formula>
    </cfRule>
    <cfRule type="cellIs" dxfId="6670" priority="1044" operator="equal">
      <formula>"Non nécessaire / nicht nötig"</formula>
    </cfRule>
  </conditionalFormatting>
  <conditionalFormatting sqref="W218">
    <cfRule type="cellIs" dxfId="6669" priority="1033" operator="equal">
      <formula>"non pertinent / nicht relevant"</formula>
    </cfRule>
    <cfRule type="cellIs" dxfId="6668" priority="1034" operator="equal">
      <formula>"Très nécessaire, facile / unbedingt nötig, einfach"</formula>
    </cfRule>
    <cfRule type="cellIs" dxfId="6667" priority="1035" operator="equal">
      <formula>"Très nécessaire, difficile / unbedingt nötig, schwierig"</formula>
    </cfRule>
    <cfRule type="cellIs" dxfId="6666" priority="1036" operator="equal">
      <formula>"Partiellement nécessaire, facile / teilweise nötig, einfach"</formula>
    </cfRule>
    <cfRule type="cellIs" dxfId="6665" priority="1037" operator="equal">
      <formula>"Partiellement nécessaire, difficile / teilweise nötig, schwierig"</formula>
    </cfRule>
    <cfRule type="cellIs" dxfId="6664" priority="1038" operator="equal">
      <formula>"Non nécessaire / nicht nötig"</formula>
    </cfRule>
  </conditionalFormatting>
  <conditionalFormatting sqref="W219">
    <cfRule type="cellIs" dxfId="6663" priority="1027" operator="equal">
      <formula>"non pertinent / nicht relevant"</formula>
    </cfRule>
    <cfRule type="cellIs" dxfId="6662" priority="1028" operator="equal">
      <formula>"Très nécessaire, facile / unbedingt nötig, einfach"</formula>
    </cfRule>
    <cfRule type="cellIs" dxfId="6661" priority="1029" operator="equal">
      <formula>"Très nécessaire, difficile / unbedingt nötig, schwierig"</formula>
    </cfRule>
    <cfRule type="cellIs" dxfId="6660" priority="1030" operator="equal">
      <formula>"Partiellement nécessaire, facile / teilweise nötig, einfach"</formula>
    </cfRule>
    <cfRule type="cellIs" dxfId="6659" priority="1031" operator="equal">
      <formula>"Partiellement nécessaire, difficile / teilweise nötig, schwierig"</formula>
    </cfRule>
    <cfRule type="cellIs" dxfId="6658" priority="1032" operator="equal">
      <formula>"Non nécessaire / nicht nötig"</formula>
    </cfRule>
  </conditionalFormatting>
  <conditionalFormatting sqref="W220">
    <cfRule type="cellIs" dxfId="6657" priority="1021" operator="equal">
      <formula>"non pertinent / nicht relevant"</formula>
    </cfRule>
    <cfRule type="cellIs" dxfId="6656" priority="1022" operator="equal">
      <formula>"Très nécessaire, facile / unbedingt nötig, einfach"</formula>
    </cfRule>
    <cfRule type="cellIs" dxfId="6655" priority="1023" operator="equal">
      <formula>"Très nécessaire, difficile / unbedingt nötig, schwierig"</formula>
    </cfRule>
    <cfRule type="cellIs" dxfId="6654" priority="1024" operator="equal">
      <formula>"Partiellement nécessaire, facile / teilweise nötig, einfach"</formula>
    </cfRule>
    <cfRule type="cellIs" dxfId="6653" priority="1025" operator="equal">
      <formula>"Partiellement nécessaire, difficile / teilweise nötig, schwierig"</formula>
    </cfRule>
    <cfRule type="cellIs" dxfId="6652" priority="1026" operator="equal">
      <formula>"Non nécessaire / nicht nötig"</formula>
    </cfRule>
  </conditionalFormatting>
  <conditionalFormatting sqref="W77">
    <cfRule type="cellIs" dxfId="6651" priority="1015" operator="equal">
      <formula>"non pertinent / nicht relevant"</formula>
    </cfRule>
    <cfRule type="cellIs" dxfId="6650" priority="1016" operator="equal">
      <formula>"Très nécessaire, facile / unbedingt nötig, einfach"</formula>
    </cfRule>
    <cfRule type="cellIs" dxfId="6649" priority="1017" operator="equal">
      <formula>"Très nécessaire, difficile / unbedingt nötig, schwierig"</formula>
    </cfRule>
    <cfRule type="cellIs" dxfId="6648" priority="1018" operator="equal">
      <formula>"Partiellement nécessaire, facile / teilweise nötig, einfach"</formula>
    </cfRule>
    <cfRule type="cellIs" dxfId="6647" priority="1019" operator="equal">
      <formula>"Partiellement nécessaire, difficile / teilweise nötig, schwierig"</formula>
    </cfRule>
    <cfRule type="cellIs" dxfId="6646" priority="1020" operator="equal">
      <formula>"Non nécessaire / nicht nötig"</formula>
    </cfRule>
  </conditionalFormatting>
  <conditionalFormatting sqref="W78">
    <cfRule type="cellIs" dxfId="6645" priority="1009" stopIfTrue="1" operator="equal">
      <formula>"non pertinent / nicht relevant"</formula>
    </cfRule>
    <cfRule type="cellIs" dxfId="6644" priority="1010" stopIfTrue="1" operator="equal">
      <formula>"Très nécessaire, difficile / unbedingt nötig, schwierig"</formula>
    </cfRule>
    <cfRule type="cellIs" dxfId="6643" priority="1011" stopIfTrue="1" operator="equal">
      <formula>"Partiellement nécessaire, facile / teilweise nötig, einfach"</formula>
    </cfRule>
    <cfRule type="cellIs" dxfId="6642" priority="1012" stopIfTrue="1" operator="equal">
      <formula>"Partiellement nécessaire, difficile / teilweise nötig, schwierig"</formula>
    </cfRule>
    <cfRule type="cellIs" dxfId="6641" priority="1013" stopIfTrue="1" operator="equal">
      <formula>"Très nécessaire, facile / unbedingt nötig, einfach"</formula>
    </cfRule>
    <cfRule type="cellIs" dxfId="6640" priority="1014" stopIfTrue="1" operator="equal">
      <formula>"Non nécessaire / nicht nötig"</formula>
    </cfRule>
  </conditionalFormatting>
  <conditionalFormatting sqref="W79">
    <cfRule type="cellIs" dxfId="6639" priority="1003" operator="equal">
      <formula>"non pertinent / nicht relevant"</formula>
    </cfRule>
    <cfRule type="cellIs" dxfId="6638" priority="1004" operator="equal">
      <formula>"Très nécessaire, facile / unbedingt nötig, einfach"</formula>
    </cfRule>
    <cfRule type="cellIs" dxfId="6637" priority="1005" operator="equal">
      <formula>"Très nécessaire, difficile / unbedingt nötig, schwierig"</formula>
    </cfRule>
    <cfRule type="cellIs" dxfId="6636" priority="1006" operator="equal">
      <formula>"Partiellement nécessaire, facile / teilweise nötig, einfach"</formula>
    </cfRule>
    <cfRule type="cellIs" dxfId="6635" priority="1007" operator="equal">
      <formula>"Partiellement nécessaire, difficile / teilweise nötig, schwierig"</formula>
    </cfRule>
    <cfRule type="cellIs" dxfId="6634" priority="1008" operator="equal">
      <formula>"Non nécessaire / nicht nötig"</formula>
    </cfRule>
  </conditionalFormatting>
  <conditionalFormatting sqref="W80">
    <cfRule type="cellIs" dxfId="6633" priority="997" operator="equal">
      <formula>"non pertinent / nicht relevant"</formula>
    </cfRule>
    <cfRule type="cellIs" dxfId="6632" priority="998" operator="equal">
      <formula>"Très nécessaire, facile / unbedingt nötig, einfach"</formula>
    </cfRule>
    <cfRule type="cellIs" dxfId="6631" priority="999" operator="equal">
      <formula>"Très nécessaire, difficile / unbedingt nötig, schwierig"</formula>
    </cfRule>
    <cfRule type="cellIs" dxfId="6630" priority="1000" operator="equal">
      <formula>"Partiellement nécessaire, facile / teilweise nötig, einfach"</formula>
    </cfRule>
    <cfRule type="cellIs" dxfId="6629" priority="1001" operator="equal">
      <formula>"Partiellement nécessaire, difficile / teilweise nötig, schwierig"</formula>
    </cfRule>
    <cfRule type="cellIs" dxfId="6628" priority="1002" operator="equal">
      <formula>"Non nécessaire / nicht nötig"</formula>
    </cfRule>
  </conditionalFormatting>
  <conditionalFormatting sqref="W231">
    <cfRule type="cellIs" dxfId="6627" priority="991" operator="equal">
      <formula>"non pertinent / nicht relevant"</formula>
    </cfRule>
    <cfRule type="cellIs" dxfId="6626" priority="992" operator="equal">
      <formula>"Très nécessaire, facile / unbedingt nötig, einfach"</formula>
    </cfRule>
    <cfRule type="cellIs" dxfId="6625" priority="993" operator="equal">
      <formula>"Très nécessaire, difficile / unbedingt nötig, schwierig"</formula>
    </cfRule>
    <cfRule type="cellIs" dxfId="6624" priority="994" operator="equal">
      <formula>"Partiellement nécessaire, facile / teilweise nötig, einfach"</formula>
    </cfRule>
    <cfRule type="cellIs" dxfId="6623" priority="995" operator="equal">
      <formula>"Partiellement nécessaire, difficile / teilweise nötig, schwierig"</formula>
    </cfRule>
    <cfRule type="cellIs" dxfId="6622" priority="996" operator="equal">
      <formula>"Non nécessaire / nicht nötig"</formula>
    </cfRule>
  </conditionalFormatting>
  <conditionalFormatting sqref="S67">
    <cfRule type="cellIs" dxfId="6621" priority="985" operator="equal">
      <formula>"non pertinent / nicht relevant"</formula>
    </cfRule>
    <cfRule type="cellIs" dxfId="6620" priority="986" operator="equal">
      <formula>"Très nécessaire, facile / unbedingt nötig, einfach"</formula>
    </cfRule>
    <cfRule type="cellIs" dxfId="6619" priority="987" operator="equal">
      <formula>"Très nécessaire, difficile / unbedingt nötig, schwierig"</formula>
    </cfRule>
    <cfRule type="cellIs" dxfId="6618" priority="988" operator="equal">
      <formula>"Partiellement nécessaire, facile / teilweise nötig, einfach"</formula>
    </cfRule>
    <cfRule type="cellIs" dxfId="6617" priority="989" operator="equal">
      <formula>"Partiellement nécessaire, difficile / teilweise nötig, schwierig"</formula>
    </cfRule>
    <cfRule type="cellIs" dxfId="6616" priority="990" operator="equal">
      <formula>"Non nécessaire / nicht nötig"</formula>
    </cfRule>
  </conditionalFormatting>
  <conditionalFormatting sqref="S72">
    <cfRule type="cellIs" dxfId="6615" priority="979" operator="equal">
      <formula>"non pertinent / nicht relevant"</formula>
    </cfRule>
    <cfRule type="cellIs" dxfId="6614" priority="980" operator="equal">
      <formula>"Très nécessaire, facile / unbedingt nötig, einfach"</formula>
    </cfRule>
    <cfRule type="cellIs" dxfId="6613" priority="981" operator="equal">
      <formula>"Très nécessaire, difficile / unbedingt nötig, schwierig"</formula>
    </cfRule>
    <cfRule type="cellIs" dxfId="6612" priority="982" operator="equal">
      <formula>"Partiellement nécessaire, facile / teilweise nötig, einfach"</formula>
    </cfRule>
    <cfRule type="cellIs" dxfId="6611" priority="983" operator="equal">
      <formula>"Partiellement nécessaire, difficile / teilweise nötig, schwierig"</formula>
    </cfRule>
    <cfRule type="cellIs" dxfId="6610" priority="984" operator="equal">
      <formula>"Non nécessaire / nicht nötig"</formula>
    </cfRule>
  </conditionalFormatting>
  <conditionalFormatting sqref="W156">
    <cfRule type="cellIs" dxfId="6609" priority="973" operator="equal">
      <formula>"non pertinent / nicht relevant"</formula>
    </cfRule>
    <cfRule type="cellIs" dxfId="6608" priority="974" operator="equal">
      <formula>"Très nécessaire, facile / unbedingt nötig, einfach"</formula>
    </cfRule>
    <cfRule type="cellIs" dxfId="6607" priority="975" operator="equal">
      <formula>"Très nécessaire, difficile / unbedingt nötig, schwierig"</formula>
    </cfRule>
    <cfRule type="cellIs" dxfId="6606" priority="976" operator="equal">
      <formula>"Partiellement nécessaire, facile / teilweise nötig, einfach"</formula>
    </cfRule>
    <cfRule type="cellIs" dxfId="6605" priority="977" operator="equal">
      <formula>"Partiellement nécessaire, difficile / teilweise nötig, schwierig"</formula>
    </cfRule>
    <cfRule type="cellIs" dxfId="6604" priority="978" operator="equal">
      <formula>"Non nécessaire / nicht nötig"</formula>
    </cfRule>
  </conditionalFormatting>
  <conditionalFormatting sqref="W157">
    <cfRule type="cellIs" dxfId="6603" priority="967" operator="equal">
      <formula>"non pertinent / nicht relevant"</formula>
    </cfRule>
    <cfRule type="cellIs" dxfId="6602" priority="968" operator="equal">
      <formula>"Très nécessaire, facile / unbedingt nötig, einfach"</formula>
    </cfRule>
    <cfRule type="cellIs" dxfId="6601" priority="969" operator="equal">
      <formula>"Très nécessaire, difficile / unbedingt nötig, schwierig"</formula>
    </cfRule>
    <cfRule type="cellIs" dxfId="6600" priority="970" operator="equal">
      <formula>"Partiellement nécessaire, facile / teilweise nötig, einfach"</formula>
    </cfRule>
    <cfRule type="cellIs" dxfId="6599" priority="971" operator="equal">
      <formula>"Partiellement nécessaire, difficile / teilweise nötig, schwierig"</formula>
    </cfRule>
    <cfRule type="cellIs" dxfId="6598" priority="972" operator="equal">
      <formula>"Non nécessaire / nicht nötig"</formula>
    </cfRule>
  </conditionalFormatting>
  <conditionalFormatting sqref="S175">
    <cfRule type="cellIs" dxfId="6597" priority="961" operator="equal">
      <formula>"non pertinent / nicht relevant"</formula>
    </cfRule>
    <cfRule type="cellIs" dxfId="6596" priority="962" operator="equal">
      <formula>"Très nécessaire, facile / unbedingt nötig, einfach"</formula>
    </cfRule>
    <cfRule type="cellIs" dxfId="6595" priority="963" operator="equal">
      <formula>"Très nécessaire, difficile / unbedingt nötig, schwierig"</formula>
    </cfRule>
    <cfRule type="cellIs" dxfId="6594" priority="964" operator="equal">
      <formula>"Partiellement nécessaire, facile / teilweise nötig, einfach"</formula>
    </cfRule>
    <cfRule type="cellIs" dxfId="6593" priority="965" operator="equal">
      <formula>"Partiellement nécessaire, difficile / teilweise nötig, schwierig"</formula>
    </cfRule>
    <cfRule type="cellIs" dxfId="6592" priority="966" operator="equal">
      <formula>"Non nécessaire / nicht nötig"</formula>
    </cfRule>
  </conditionalFormatting>
  <conditionalFormatting sqref="S177">
    <cfRule type="cellIs" dxfId="6591" priority="955" operator="equal">
      <formula>"non pertinent / nicht relevant"</formula>
    </cfRule>
    <cfRule type="cellIs" dxfId="6590" priority="956" operator="equal">
      <formula>"Très nécessaire, facile / unbedingt nötig, einfach"</formula>
    </cfRule>
    <cfRule type="cellIs" dxfId="6589" priority="957" operator="equal">
      <formula>"Très nécessaire, difficile / unbedingt nötig, schwierig"</formula>
    </cfRule>
    <cfRule type="cellIs" dxfId="6588" priority="958" operator="equal">
      <formula>"Partiellement nécessaire, facile / teilweise nötig, einfach"</formula>
    </cfRule>
    <cfRule type="cellIs" dxfId="6587" priority="959" operator="equal">
      <formula>"Partiellement nécessaire, difficile / teilweise nötig, schwierig"</formula>
    </cfRule>
    <cfRule type="cellIs" dxfId="6586" priority="960" operator="equal">
      <formula>"Non nécessaire / nicht nötig"</formula>
    </cfRule>
  </conditionalFormatting>
  <conditionalFormatting sqref="S47">
    <cfRule type="cellIs" dxfId="6585" priority="949" operator="equal">
      <formula>"non pertinent / nicht relevant"</formula>
    </cfRule>
    <cfRule type="cellIs" dxfId="6584" priority="950" operator="equal">
      <formula>"Très nécessaire, facile / unbedingt nötig, einfach"</formula>
    </cfRule>
    <cfRule type="cellIs" dxfId="6583" priority="951" operator="equal">
      <formula>"Très nécessaire, difficile / unbedingt nötig, schwierig"</formula>
    </cfRule>
    <cfRule type="cellIs" dxfId="6582" priority="952" operator="equal">
      <formula>"Partiellement nécessaire, facile / teilweise nötig, einfach"</formula>
    </cfRule>
    <cfRule type="cellIs" dxfId="6581" priority="953" operator="equal">
      <formula>"Partiellement nécessaire, difficile / teilweise nötig, schwierig"</formula>
    </cfRule>
    <cfRule type="cellIs" dxfId="6580" priority="954" operator="equal">
      <formula>"Non nécessaire / nicht nötig"</formula>
    </cfRule>
  </conditionalFormatting>
  <conditionalFormatting sqref="Y6">
    <cfRule type="cellIs" dxfId="6579" priority="637" operator="equal">
      <formula>"non pertinent / nicht relevant"</formula>
    </cfRule>
    <cfRule type="cellIs" dxfId="6578" priority="638" operator="equal">
      <formula>"Très nécessaire, facile / unbedingt nötig, einfach"</formula>
    </cfRule>
    <cfRule type="cellIs" dxfId="6577" priority="639" operator="equal">
      <formula>"Très nécessaire, difficile / unbedingt nötig, schwierig"</formula>
    </cfRule>
    <cfRule type="cellIs" dxfId="6576" priority="640" operator="equal">
      <formula>"Partiellement nécessaire, facile / teilweise nötig, einfach"</formula>
    </cfRule>
    <cfRule type="cellIs" dxfId="6575" priority="641" operator="equal">
      <formula>"Partiellement nécessaire, difficile / teilweise nötig, schwierig"</formula>
    </cfRule>
    <cfRule type="cellIs" dxfId="6574" priority="642" operator="equal">
      <formula>"Non nécessaire / nicht nötig"</formula>
    </cfRule>
  </conditionalFormatting>
  <conditionalFormatting sqref="Y22">
    <cfRule type="cellIs" dxfId="6573" priority="931" operator="equal">
      <formula>"non pertinent / nicht relevant"</formula>
    </cfRule>
    <cfRule type="cellIs" dxfId="6572" priority="932" operator="equal">
      <formula>"Très nécessaire, facile / unbedingt nötig, einfach"</formula>
    </cfRule>
    <cfRule type="cellIs" dxfId="6571" priority="933" operator="equal">
      <formula>"Très nécessaire, difficile / unbedingt nötig, schwierig"</formula>
    </cfRule>
    <cfRule type="cellIs" dxfId="6570" priority="934" operator="equal">
      <formula>"Partiellement nécessaire, facile / teilweise nötig, einfach"</formula>
    </cfRule>
    <cfRule type="cellIs" dxfId="6569" priority="935" operator="equal">
      <formula>"Partiellement nécessaire, difficile / teilweise nötig, schwierig"</formula>
    </cfRule>
    <cfRule type="cellIs" dxfId="6568" priority="936" operator="equal">
      <formula>"Non nécessaire / nicht nötig"</formula>
    </cfRule>
  </conditionalFormatting>
  <conditionalFormatting sqref="Y23">
    <cfRule type="cellIs" dxfId="6567" priority="925" operator="equal">
      <formula>"non pertinent / nicht relevant"</formula>
    </cfRule>
    <cfRule type="cellIs" dxfId="6566" priority="926" operator="equal">
      <formula>"Très nécessaire, facile / unbedingt nötig, einfach"</formula>
    </cfRule>
    <cfRule type="cellIs" dxfId="6565" priority="927" operator="equal">
      <formula>"Très nécessaire, difficile / unbedingt nötig, schwierig"</formula>
    </cfRule>
    <cfRule type="cellIs" dxfId="6564" priority="928" operator="equal">
      <formula>"Partiellement nécessaire, facile / teilweise nötig, einfach"</formula>
    </cfRule>
    <cfRule type="cellIs" dxfId="6563" priority="929" operator="equal">
      <formula>"Partiellement nécessaire, difficile / teilweise nötig, schwierig"</formula>
    </cfRule>
    <cfRule type="cellIs" dxfId="6562" priority="930" operator="equal">
      <formula>"Non nécessaire / nicht nötig"</formula>
    </cfRule>
  </conditionalFormatting>
  <conditionalFormatting sqref="Y26">
    <cfRule type="cellIs" dxfId="6561" priority="919" operator="equal">
      <formula>"non pertinent / nicht relevant"</formula>
    </cfRule>
    <cfRule type="cellIs" dxfId="6560" priority="920" operator="equal">
      <formula>"Très nécessaire, facile / unbedingt nötig, einfach"</formula>
    </cfRule>
    <cfRule type="cellIs" dxfId="6559" priority="921" operator="equal">
      <formula>"Très nécessaire, difficile / unbedingt nötig, schwierig"</formula>
    </cfRule>
    <cfRule type="cellIs" dxfId="6558" priority="922" operator="equal">
      <formula>"Partiellement nécessaire, facile / teilweise nötig, einfach"</formula>
    </cfRule>
    <cfRule type="cellIs" dxfId="6557" priority="923" operator="equal">
      <formula>"Partiellement nécessaire, difficile / teilweise nötig, schwierig"</formula>
    </cfRule>
    <cfRule type="cellIs" dxfId="6556" priority="924" operator="equal">
      <formula>"Non nécessaire / nicht nötig"</formula>
    </cfRule>
  </conditionalFormatting>
  <conditionalFormatting sqref="Y27">
    <cfRule type="cellIs" dxfId="6555" priority="913" operator="equal">
      <formula>"non pertinent / nicht relevant"</formula>
    </cfRule>
    <cfRule type="cellIs" dxfId="6554" priority="914" operator="equal">
      <formula>"Très nécessaire, facile / unbedingt nötig, einfach"</formula>
    </cfRule>
    <cfRule type="cellIs" dxfId="6553" priority="915" operator="equal">
      <formula>"Très nécessaire, difficile / unbedingt nötig, schwierig"</formula>
    </cfRule>
    <cfRule type="cellIs" dxfId="6552" priority="916" operator="equal">
      <formula>"Partiellement nécessaire, facile / teilweise nötig, einfach"</formula>
    </cfRule>
    <cfRule type="cellIs" dxfId="6551" priority="917" operator="equal">
      <formula>"Partiellement nécessaire, difficile / teilweise nötig, schwierig"</formula>
    </cfRule>
    <cfRule type="cellIs" dxfId="6550" priority="918" operator="equal">
      <formula>"Non nécessaire / nicht nötig"</formula>
    </cfRule>
  </conditionalFormatting>
  <conditionalFormatting sqref="Y31">
    <cfRule type="cellIs" dxfId="6549" priority="907" operator="equal">
      <formula>"non pertinent / nicht relevant"</formula>
    </cfRule>
    <cfRule type="cellIs" dxfId="6548" priority="908" operator="equal">
      <formula>"Très nécessaire, facile / unbedingt nötig, einfach"</formula>
    </cfRule>
    <cfRule type="cellIs" dxfId="6547" priority="909" operator="equal">
      <formula>"Très nécessaire, difficile / unbedingt nötig, schwierig"</formula>
    </cfRule>
    <cfRule type="cellIs" dxfId="6546" priority="910" operator="equal">
      <formula>"Partiellement nécessaire, facile / teilweise nötig, einfach"</formula>
    </cfRule>
    <cfRule type="cellIs" dxfId="6545" priority="911" operator="equal">
      <formula>"Partiellement nécessaire, difficile / teilweise nötig, schwierig"</formula>
    </cfRule>
    <cfRule type="cellIs" dxfId="6544" priority="912" operator="equal">
      <formula>"Non nécessaire / nicht nötig"</formula>
    </cfRule>
  </conditionalFormatting>
  <conditionalFormatting sqref="Y33">
    <cfRule type="cellIs" dxfId="6543" priority="901" operator="equal">
      <formula>"non pertinent / nicht relevant"</formula>
    </cfRule>
    <cfRule type="cellIs" dxfId="6542" priority="902" operator="equal">
      <formula>"Très nécessaire, facile / unbedingt nötig, einfach"</formula>
    </cfRule>
    <cfRule type="cellIs" dxfId="6541" priority="903" operator="equal">
      <formula>"Très nécessaire, difficile / unbedingt nötig, schwierig"</formula>
    </cfRule>
    <cfRule type="cellIs" dxfId="6540" priority="904" operator="equal">
      <formula>"Partiellement nécessaire, facile / teilweise nötig, einfach"</formula>
    </cfRule>
    <cfRule type="cellIs" dxfId="6539" priority="905" operator="equal">
      <formula>"Partiellement nécessaire, difficile / teilweise nötig, schwierig"</formula>
    </cfRule>
    <cfRule type="cellIs" dxfId="6538" priority="906" operator="equal">
      <formula>"Non nécessaire / nicht nötig"</formula>
    </cfRule>
  </conditionalFormatting>
  <conditionalFormatting sqref="Y34">
    <cfRule type="cellIs" dxfId="6537" priority="895" operator="equal">
      <formula>"non pertinent / nicht relevant"</formula>
    </cfRule>
    <cfRule type="cellIs" dxfId="6536" priority="896" operator="equal">
      <formula>"Très nécessaire, facile / unbedingt nötig, einfach"</formula>
    </cfRule>
    <cfRule type="cellIs" dxfId="6535" priority="897" operator="equal">
      <formula>"Très nécessaire, difficile / unbedingt nötig, schwierig"</formula>
    </cfRule>
    <cfRule type="cellIs" dxfId="6534" priority="898" operator="equal">
      <formula>"Partiellement nécessaire, facile / teilweise nötig, einfach"</formula>
    </cfRule>
    <cfRule type="cellIs" dxfId="6533" priority="899" operator="equal">
      <formula>"Partiellement nécessaire, difficile / teilweise nötig, schwierig"</formula>
    </cfRule>
    <cfRule type="cellIs" dxfId="6532" priority="900" operator="equal">
      <formula>"Non nécessaire / nicht nötig"</formula>
    </cfRule>
  </conditionalFormatting>
  <conditionalFormatting sqref="Y35">
    <cfRule type="cellIs" dxfId="6531" priority="889" operator="equal">
      <formula>"non pertinent / nicht relevant"</formula>
    </cfRule>
    <cfRule type="cellIs" dxfId="6530" priority="890" operator="equal">
      <formula>"Très nécessaire, facile / unbedingt nötig, einfach"</formula>
    </cfRule>
    <cfRule type="cellIs" dxfId="6529" priority="891" operator="equal">
      <formula>"Très nécessaire, difficile / unbedingt nötig, schwierig"</formula>
    </cfRule>
    <cfRule type="cellIs" dxfId="6528" priority="892" operator="equal">
      <formula>"Partiellement nécessaire, facile / teilweise nötig, einfach"</formula>
    </cfRule>
    <cfRule type="cellIs" dxfId="6527" priority="893" operator="equal">
      <formula>"Partiellement nécessaire, difficile / teilweise nötig, schwierig"</formula>
    </cfRule>
    <cfRule type="cellIs" dxfId="6526" priority="894" operator="equal">
      <formula>"Non nécessaire / nicht nötig"</formula>
    </cfRule>
  </conditionalFormatting>
  <conditionalFormatting sqref="Y36">
    <cfRule type="cellIs" dxfId="6525" priority="883" operator="equal">
      <formula>"non pertinent / nicht relevant"</formula>
    </cfRule>
    <cfRule type="cellIs" dxfId="6524" priority="884" operator="equal">
      <formula>"Très nécessaire, facile / unbedingt nötig, einfach"</formula>
    </cfRule>
    <cfRule type="cellIs" dxfId="6523" priority="885" operator="equal">
      <formula>"Très nécessaire, difficile / unbedingt nötig, schwierig"</formula>
    </cfRule>
    <cfRule type="cellIs" dxfId="6522" priority="886" operator="equal">
      <formula>"Partiellement nécessaire, facile / teilweise nötig, einfach"</formula>
    </cfRule>
    <cfRule type="cellIs" dxfId="6521" priority="887" operator="equal">
      <formula>"Partiellement nécessaire, difficile / teilweise nötig, schwierig"</formula>
    </cfRule>
    <cfRule type="cellIs" dxfId="6520" priority="888" operator="equal">
      <formula>"Non nécessaire / nicht nötig"</formula>
    </cfRule>
  </conditionalFormatting>
  <conditionalFormatting sqref="Y45">
    <cfRule type="cellIs" dxfId="6519" priority="877" operator="equal">
      <formula>"non pertinent / nicht relevant"</formula>
    </cfRule>
    <cfRule type="cellIs" dxfId="6518" priority="878" operator="equal">
      <formula>"Très nécessaire, facile / unbedingt nötig, einfach"</formula>
    </cfRule>
    <cfRule type="cellIs" dxfId="6517" priority="879" operator="equal">
      <formula>"Très nécessaire, difficile / unbedingt nötig, schwierig"</formula>
    </cfRule>
    <cfRule type="cellIs" dxfId="6516" priority="880" operator="equal">
      <formula>"Partiellement nécessaire, facile / teilweise nötig, einfach"</formula>
    </cfRule>
    <cfRule type="cellIs" dxfId="6515" priority="881" operator="equal">
      <formula>"Partiellement nécessaire, difficile / teilweise nötig, schwierig"</formula>
    </cfRule>
    <cfRule type="cellIs" dxfId="6514" priority="882" operator="equal">
      <formula>"Non nécessaire / nicht nötig"</formula>
    </cfRule>
  </conditionalFormatting>
  <conditionalFormatting sqref="Y44">
    <cfRule type="cellIs" dxfId="6513" priority="871" operator="equal">
      <formula>"non pertinent / nicht relevant"</formula>
    </cfRule>
    <cfRule type="cellIs" dxfId="6512" priority="872" operator="equal">
      <formula>"Très nécessaire, facile / unbedingt nötig, einfach"</formula>
    </cfRule>
    <cfRule type="cellIs" dxfId="6511" priority="873" operator="equal">
      <formula>"Très nécessaire, difficile / unbedingt nötig, schwierig"</formula>
    </cfRule>
    <cfRule type="cellIs" dxfId="6510" priority="874" operator="equal">
      <formula>"Partiellement nécessaire, facile / teilweise nötig, einfach"</formula>
    </cfRule>
    <cfRule type="cellIs" dxfId="6509" priority="875" operator="equal">
      <formula>"Partiellement nécessaire, difficile / teilweise nötig, schwierig"</formula>
    </cfRule>
    <cfRule type="cellIs" dxfId="6508" priority="876" operator="equal">
      <formula>"Non nécessaire / nicht nötig"</formula>
    </cfRule>
  </conditionalFormatting>
  <conditionalFormatting sqref="Y48:Y55">
    <cfRule type="cellIs" dxfId="6507" priority="865" operator="equal">
      <formula>"non pertinent / nicht relevant"</formula>
    </cfRule>
    <cfRule type="cellIs" dxfId="6506" priority="866" operator="equal">
      <formula>"Très nécessaire, facile / unbedingt nötig, einfach"</formula>
    </cfRule>
    <cfRule type="cellIs" dxfId="6505" priority="867" operator="equal">
      <formula>"Très nécessaire, difficile / unbedingt nötig, schwierig"</formula>
    </cfRule>
    <cfRule type="cellIs" dxfId="6504" priority="868" operator="equal">
      <formula>"Partiellement nécessaire, facile / teilweise nötig, einfach"</formula>
    </cfRule>
    <cfRule type="cellIs" dxfId="6503" priority="869" operator="equal">
      <formula>"Partiellement nécessaire, difficile / teilweise nötig, schwierig"</formula>
    </cfRule>
    <cfRule type="cellIs" dxfId="6502" priority="870" operator="equal">
      <formula>"Non nécessaire / nicht nötig"</formula>
    </cfRule>
  </conditionalFormatting>
  <conditionalFormatting sqref="Y58">
    <cfRule type="cellIs" dxfId="6501" priority="859" operator="equal">
      <formula>"non pertinent / nicht relevant"</formula>
    </cfRule>
    <cfRule type="cellIs" dxfId="6500" priority="860" operator="equal">
      <formula>"Très nécessaire, facile / unbedingt nötig, einfach"</formula>
    </cfRule>
    <cfRule type="cellIs" dxfId="6499" priority="861" operator="equal">
      <formula>"Très nécessaire, difficile / unbedingt nötig, schwierig"</formula>
    </cfRule>
    <cfRule type="cellIs" dxfId="6498" priority="862" operator="equal">
      <formula>"Partiellement nécessaire, facile / teilweise nötig, einfach"</formula>
    </cfRule>
    <cfRule type="cellIs" dxfId="6497" priority="863" operator="equal">
      <formula>"Partiellement nécessaire, difficile / teilweise nötig, schwierig"</formula>
    </cfRule>
    <cfRule type="cellIs" dxfId="6496" priority="864" operator="equal">
      <formula>"Non nécessaire / nicht nötig"</formula>
    </cfRule>
  </conditionalFormatting>
  <conditionalFormatting sqref="Y59">
    <cfRule type="cellIs" dxfId="6495" priority="853" operator="equal">
      <formula>"non pertinent / nicht relevant"</formula>
    </cfRule>
    <cfRule type="cellIs" dxfId="6494" priority="854" operator="equal">
      <formula>"Très nécessaire, facile / unbedingt nötig, einfach"</formula>
    </cfRule>
    <cfRule type="cellIs" dxfId="6493" priority="855" operator="equal">
      <formula>"Très nécessaire, difficile / unbedingt nötig, schwierig"</formula>
    </cfRule>
    <cfRule type="cellIs" dxfId="6492" priority="856" operator="equal">
      <formula>"Partiellement nécessaire, facile / teilweise nötig, einfach"</formula>
    </cfRule>
    <cfRule type="cellIs" dxfId="6491" priority="857" operator="equal">
      <formula>"Partiellement nécessaire, difficile / teilweise nötig, schwierig"</formula>
    </cfRule>
    <cfRule type="cellIs" dxfId="6490" priority="858" operator="equal">
      <formula>"Non nécessaire / nicht nötig"</formula>
    </cfRule>
  </conditionalFormatting>
  <conditionalFormatting sqref="Y60">
    <cfRule type="cellIs" dxfId="6489" priority="847" operator="equal">
      <formula>"non pertinent / nicht relevant"</formula>
    </cfRule>
    <cfRule type="cellIs" dxfId="6488" priority="848" operator="equal">
      <formula>"Très nécessaire, facile / unbedingt nötig, einfach"</formula>
    </cfRule>
    <cfRule type="cellIs" dxfId="6487" priority="849" operator="equal">
      <formula>"Très nécessaire, difficile / unbedingt nötig, schwierig"</formula>
    </cfRule>
    <cfRule type="cellIs" dxfId="6486" priority="850" operator="equal">
      <formula>"Partiellement nécessaire, facile / teilweise nötig, einfach"</formula>
    </cfRule>
    <cfRule type="cellIs" dxfId="6485" priority="851" operator="equal">
      <formula>"Partiellement nécessaire, difficile / teilweise nötig, schwierig"</formula>
    </cfRule>
    <cfRule type="cellIs" dxfId="6484" priority="852" operator="equal">
      <formula>"Non nécessaire / nicht nötig"</formula>
    </cfRule>
  </conditionalFormatting>
  <conditionalFormatting sqref="Y62">
    <cfRule type="cellIs" dxfId="6483" priority="841" operator="equal">
      <formula>"non pertinent / nicht relevant"</formula>
    </cfRule>
    <cfRule type="cellIs" dxfId="6482" priority="842" operator="equal">
      <formula>"Très nécessaire, facile / unbedingt nötig, einfach"</formula>
    </cfRule>
    <cfRule type="cellIs" dxfId="6481" priority="843" operator="equal">
      <formula>"Très nécessaire, difficile / unbedingt nötig, schwierig"</formula>
    </cfRule>
    <cfRule type="cellIs" dxfId="6480" priority="844" operator="equal">
      <formula>"Partiellement nécessaire, facile / teilweise nötig, einfach"</formula>
    </cfRule>
    <cfRule type="cellIs" dxfId="6479" priority="845" operator="equal">
      <formula>"Partiellement nécessaire, difficile / teilweise nötig, schwierig"</formula>
    </cfRule>
    <cfRule type="cellIs" dxfId="6478" priority="846" operator="equal">
      <formula>"Non nécessaire / nicht nötig"</formula>
    </cfRule>
  </conditionalFormatting>
  <conditionalFormatting sqref="Y63">
    <cfRule type="cellIs" dxfId="6477" priority="835" operator="equal">
      <formula>"non pertinent / nicht relevant"</formula>
    </cfRule>
    <cfRule type="cellIs" dxfId="6476" priority="836" operator="equal">
      <formula>"Très nécessaire, facile / unbedingt nötig, einfach"</formula>
    </cfRule>
    <cfRule type="cellIs" dxfId="6475" priority="837" operator="equal">
      <formula>"Très nécessaire, difficile / unbedingt nötig, schwierig"</formula>
    </cfRule>
    <cfRule type="cellIs" dxfId="6474" priority="838" operator="equal">
      <formula>"Partiellement nécessaire, facile / teilweise nötig, einfach"</formula>
    </cfRule>
    <cfRule type="cellIs" dxfId="6473" priority="839" operator="equal">
      <formula>"Partiellement nécessaire, difficile / teilweise nötig, schwierig"</formula>
    </cfRule>
    <cfRule type="cellIs" dxfId="6472" priority="840" operator="equal">
      <formula>"Non nécessaire / nicht nötig"</formula>
    </cfRule>
  </conditionalFormatting>
  <conditionalFormatting sqref="Y64">
    <cfRule type="cellIs" dxfId="6471" priority="829" operator="equal">
      <formula>"non pertinent / nicht relevant"</formula>
    </cfRule>
    <cfRule type="cellIs" dxfId="6470" priority="830" operator="equal">
      <formula>"Très nécessaire, facile / unbedingt nötig, einfach"</formula>
    </cfRule>
    <cfRule type="cellIs" dxfId="6469" priority="831" operator="equal">
      <formula>"Très nécessaire, difficile / unbedingt nötig, schwierig"</formula>
    </cfRule>
    <cfRule type="cellIs" dxfId="6468" priority="832" operator="equal">
      <formula>"Partiellement nécessaire, facile / teilweise nötig, einfach"</formula>
    </cfRule>
    <cfRule type="cellIs" dxfId="6467" priority="833" operator="equal">
      <formula>"Partiellement nécessaire, difficile / teilweise nötig, schwierig"</formula>
    </cfRule>
    <cfRule type="cellIs" dxfId="6466" priority="834" operator="equal">
      <formula>"Non nécessaire / nicht nötig"</formula>
    </cfRule>
  </conditionalFormatting>
  <conditionalFormatting sqref="Y66">
    <cfRule type="cellIs" dxfId="6465" priority="823" operator="equal">
      <formula>"non pertinent / nicht relevant"</formula>
    </cfRule>
    <cfRule type="cellIs" dxfId="6464" priority="824" operator="equal">
      <formula>"Très nécessaire, facile / unbedingt nötig, einfach"</formula>
    </cfRule>
    <cfRule type="cellIs" dxfId="6463" priority="825" operator="equal">
      <formula>"Très nécessaire, difficile / unbedingt nötig, schwierig"</formula>
    </cfRule>
    <cfRule type="cellIs" dxfId="6462" priority="826" operator="equal">
      <formula>"Partiellement nécessaire, facile / teilweise nötig, einfach"</formula>
    </cfRule>
    <cfRule type="cellIs" dxfId="6461" priority="827" operator="equal">
      <formula>"Partiellement nécessaire, difficile / teilweise nötig, schwierig"</formula>
    </cfRule>
    <cfRule type="cellIs" dxfId="6460" priority="828" operator="equal">
      <formula>"Non nécessaire / nicht nötig"</formula>
    </cfRule>
  </conditionalFormatting>
  <conditionalFormatting sqref="Y71">
    <cfRule type="cellIs" dxfId="6459" priority="817" operator="equal">
      <formula>"non pertinent / nicht relevant"</formula>
    </cfRule>
    <cfRule type="cellIs" dxfId="6458" priority="818" operator="equal">
      <formula>"Très nécessaire, facile / unbedingt nötig, einfach"</formula>
    </cfRule>
    <cfRule type="cellIs" dxfId="6457" priority="819" operator="equal">
      <formula>"Très nécessaire, difficile / unbedingt nötig, schwierig"</formula>
    </cfRule>
    <cfRule type="cellIs" dxfId="6456" priority="820" operator="equal">
      <formula>"Partiellement nécessaire, facile / teilweise nötig, einfach"</formula>
    </cfRule>
    <cfRule type="cellIs" dxfId="6455" priority="821" operator="equal">
      <formula>"Partiellement nécessaire, difficile / teilweise nötig, schwierig"</formula>
    </cfRule>
    <cfRule type="cellIs" dxfId="6454" priority="822" operator="equal">
      <formula>"Non nécessaire / nicht nötig"</formula>
    </cfRule>
  </conditionalFormatting>
  <conditionalFormatting sqref="Y74">
    <cfRule type="cellIs" dxfId="6453" priority="811" operator="equal">
      <formula>"non pertinent / nicht relevant"</formula>
    </cfRule>
    <cfRule type="cellIs" dxfId="6452" priority="812" operator="equal">
      <formula>"Très nécessaire, facile / unbedingt nötig, einfach"</formula>
    </cfRule>
    <cfRule type="cellIs" dxfId="6451" priority="813" operator="equal">
      <formula>"Très nécessaire, difficile / unbedingt nötig, schwierig"</formula>
    </cfRule>
    <cfRule type="cellIs" dxfId="6450" priority="814" operator="equal">
      <formula>"Partiellement nécessaire, facile / teilweise nötig, einfach"</formula>
    </cfRule>
    <cfRule type="cellIs" dxfId="6449" priority="815" operator="equal">
      <formula>"Partiellement nécessaire, difficile / teilweise nötig, schwierig"</formula>
    </cfRule>
    <cfRule type="cellIs" dxfId="6448" priority="816" operator="equal">
      <formula>"Non nécessaire / nicht nötig"</formula>
    </cfRule>
  </conditionalFormatting>
  <conditionalFormatting sqref="Y76:Y80">
    <cfRule type="cellIs" dxfId="6447" priority="805" operator="equal">
      <formula>"non pertinent / nicht relevant"</formula>
    </cfRule>
    <cfRule type="cellIs" dxfId="6446" priority="806" operator="equal">
      <formula>"Très nécessaire, facile / unbedingt nötig, einfach"</formula>
    </cfRule>
    <cfRule type="cellIs" dxfId="6445" priority="807" operator="equal">
      <formula>"Très nécessaire, difficile / unbedingt nötig, schwierig"</formula>
    </cfRule>
    <cfRule type="cellIs" dxfId="6444" priority="808" operator="equal">
      <formula>"Partiellement nécessaire, facile / teilweise nötig, einfach"</formula>
    </cfRule>
    <cfRule type="cellIs" dxfId="6443" priority="809" operator="equal">
      <formula>"Partiellement nécessaire, difficile / teilweise nötig, schwierig"</formula>
    </cfRule>
    <cfRule type="cellIs" dxfId="6442" priority="810" operator="equal">
      <formula>"Non nécessaire / nicht nötig"</formula>
    </cfRule>
  </conditionalFormatting>
  <conditionalFormatting sqref="Y82:Y85">
    <cfRule type="cellIs" dxfId="6441" priority="799" operator="equal">
      <formula>"non pertinent / nicht relevant"</formula>
    </cfRule>
    <cfRule type="cellIs" dxfId="6440" priority="800" operator="equal">
      <formula>"Très nécessaire, facile / unbedingt nötig, einfach"</formula>
    </cfRule>
    <cfRule type="cellIs" dxfId="6439" priority="801" operator="equal">
      <formula>"Très nécessaire, difficile / unbedingt nötig, schwierig"</formula>
    </cfRule>
    <cfRule type="cellIs" dxfId="6438" priority="802" operator="equal">
      <formula>"Partiellement nécessaire, facile / teilweise nötig, einfach"</formula>
    </cfRule>
    <cfRule type="cellIs" dxfId="6437" priority="803" operator="equal">
      <formula>"Partiellement nécessaire, difficile / teilweise nötig, schwierig"</formula>
    </cfRule>
    <cfRule type="cellIs" dxfId="6436" priority="804" operator="equal">
      <formula>"Non nécessaire / nicht nötig"</formula>
    </cfRule>
  </conditionalFormatting>
  <conditionalFormatting sqref="Y146">
    <cfRule type="cellIs" dxfId="6435" priority="793" operator="equal">
      <formula>"non pertinent / nicht relevant"</formula>
    </cfRule>
    <cfRule type="cellIs" dxfId="6434" priority="794" operator="equal">
      <formula>"Très nécessaire, facile / unbedingt nötig, einfach"</formula>
    </cfRule>
    <cfRule type="cellIs" dxfId="6433" priority="795" operator="equal">
      <formula>"Très nécessaire, difficile / unbedingt nötig, schwierig"</formula>
    </cfRule>
    <cfRule type="cellIs" dxfId="6432" priority="796" operator="equal">
      <formula>"Partiellement nécessaire, facile / teilweise nötig, einfach"</formula>
    </cfRule>
    <cfRule type="cellIs" dxfId="6431" priority="797" operator="equal">
      <formula>"Partiellement nécessaire, difficile / teilweise nötig, schwierig"</formula>
    </cfRule>
    <cfRule type="cellIs" dxfId="6430" priority="798" operator="equal">
      <formula>"Non nécessaire / nicht nötig"</formula>
    </cfRule>
  </conditionalFormatting>
  <conditionalFormatting sqref="Y147">
    <cfRule type="cellIs" dxfId="6429" priority="787" operator="equal">
      <formula>"non pertinent / nicht relevant"</formula>
    </cfRule>
    <cfRule type="cellIs" dxfId="6428" priority="788" operator="equal">
      <formula>"Très nécessaire, facile / unbedingt nötig, einfach"</formula>
    </cfRule>
    <cfRule type="cellIs" dxfId="6427" priority="789" operator="equal">
      <formula>"Très nécessaire, difficile / unbedingt nötig, schwierig"</formula>
    </cfRule>
    <cfRule type="cellIs" dxfId="6426" priority="790" operator="equal">
      <formula>"Partiellement nécessaire, facile / teilweise nötig, einfach"</formula>
    </cfRule>
    <cfRule type="cellIs" dxfId="6425" priority="791" operator="equal">
      <formula>"Partiellement nécessaire, difficile / teilweise nötig, schwierig"</formula>
    </cfRule>
    <cfRule type="cellIs" dxfId="6424" priority="792" operator="equal">
      <formula>"Non nécessaire / nicht nötig"</formula>
    </cfRule>
  </conditionalFormatting>
  <conditionalFormatting sqref="Y148:Y151">
    <cfRule type="cellIs" dxfId="6423" priority="781" operator="equal">
      <formula>"non pertinent / nicht relevant"</formula>
    </cfRule>
    <cfRule type="cellIs" dxfId="6422" priority="782" operator="equal">
      <formula>"Très nécessaire, facile / unbedingt nötig, einfach"</formula>
    </cfRule>
    <cfRule type="cellIs" dxfId="6421" priority="783" operator="equal">
      <formula>"Très nécessaire, difficile / unbedingt nötig, schwierig"</formula>
    </cfRule>
    <cfRule type="cellIs" dxfId="6420" priority="784" operator="equal">
      <formula>"Partiellement nécessaire, facile / teilweise nötig, einfach"</formula>
    </cfRule>
    <cfRule type="cellIs" dxfId="6419" priority="785" operator="equal">
      <formula>"Partiellement nécessaire, difficile / teilweise nötig, schwierig"</formula>
    </cfRule>
    <cfRule type="cellIs" dxfId="6418" priority="786" operator="equal">
      <formula>"Non nécessaire / nicht nötig"</formula>
    </cfRule>
  </conditionalFormatting>
  <conditionalFormatting sqref="Y154">
    <cfRule type="cellIs" dxfId="6417" priority="775" operator="equal">
      <formula>"non pertinent / nicht relevant"</formula>
    </cfRule>
    <cfRule type="cellIs" dxfId="6416" priority="776" operator="equal">
      <formula>"Très nécessaire, facile / unbedingt nötig, einfach"</formula>
    </cfRule>
    <cfRule type="cellIs" dxfId="6415" priority="777" operator="equal">
      <formula>"Très nécessaire, difficile / unbedingt nötig, schwierig"</formula>
    </cfRule>
    <cfRule type="cellIs" dxfId="6414" priority="778" operator="equal">
      <formula>"Partiellement nécessaire, facile / teilweise nötig, einfach"</formula>
    </cfRule>
    <cfRule type="cellIs" dxfId="6413" priority="779" operator="equal">
      <formula>"Partiellement nécessaire, difficile / teilweise nötig, schwierig"</formula>
    </cfRule>
    <cfRule type="cellIs" dxfId="6412" priority="780" operator="equal">
      <formula>"Non nécessaire / nicht nötig"</formula>
    </cfRule>
  </conditionalFormatting>
  <conditionalFormatting sqref="Y155">
    <cfRule type="cellIs" dxfId="6411" priority="769" operator="equal">
      <formula>"non pertinent / nicht relevant"</formula>
    </cfRule>
    <cfRule type="cellIs" dxfId="6410" priority="770" operator="equal">
      <formula>"Très nécessaire, facile / unbedingt nötig, einfach"</formula>
    </cfRule>
    <cfRule type="cellIs" dxfId="6409" priority="771" operator="equal">
      <formula>"Très nécessaire, difficile / unbedingt nötig, schwierig"</formula>
    </cfRule>
    <cfRule type="cellIs" dxfId="6408" priority="772" operator="equal">
      <formula>"Partiellement nécessaire, facile / teilweise nötig, einfach"</formula>
    </cfRule>
    <cfRule type="cellIs" dxfId="6407" priority="773" operator="equal">
      <formula>"Partiellement nécessaire, difficile / teilweise nötig, schwierig"</formula>
    </cfRule>
    <cfRule type="cellIs" dxfId="6406" priority="774" operator="equal">
      <formula>"Non nécessaire / nicht nötig"</formula>
    </cfRule>
  </conditionalFormatting>
  <conditionalFormatting sqref="Y156">
    <cfRule type="cellIs" dxfId="6405" priority="763" operator="equal">
      <formula>"non pertinent / nicht relevant"</formula>
    </cfRule>
    <cfRule type="cellIs" dxfId="6404" priority="764" operator="equal">
      <formula>"Très nécessaire, facile / unbedingt nötig, einfach"</formula>
    </cfRule>
    <cfRule type="cellIs" dxfId="6403" priority="765" operator="equal">
      <formula>"Très nécessaire, difficile / unbedingt nötig, schwierig"</formula>
    </cfRule>
    <cfRule type="cellIs" dxfId="6402" priority="766" operator="equal">
      <formula>"Partiellement nécessaire, facile / teilweise nötig, einfach"</formula>
    </cfRule>
    <cfRule type="cellIs" dxfId="6401" priority="767" operator="equal">
      <formula>"Partiellement nécessaire, difficile / teilweise nötig, schwierig"</formula>
    </cfRule>
    <cfRule type="cellIs" dxfId="6400" priority="768" operator="equal">
      <formula>"Non nécessaire / nicht nötig"</formula>
    </cfRule>
  </conditionalFormatting>
  <conditionalFormatting sqref="Y157">
    <cfRule type="cellIs" dxfId="6399" priority="757" operator="equal">
      <formula>"non pertinent / nicht relevant"</formula>
    </cfRule>
    <cfRule type="cellIs" dxfId="6398" priority="758" operator="equal">
      <formula>"Très nécessaire, facile / unbedingt nötig, einfach"</formula>
    </cfRule>
    <cfRule type="cellIs" dxfId="6397" priority="759" operator="equal">
      <formula>"Très nécessaire, difficile / unbedingt nötig, schwierig"</formula>
    </cfRule>
    <cfRule type="cellIs" dxfId="6396" priority="760" operator="equal">
      <formula>"Partiellement nécessaire, facile / teilweise nötig, einfach"</formula>
    </cfRule>
    <cfRule type="cellIs" dxfId="6395" priority="761" operator="equal">
      <formula>"Partiellement nécessaire, difficile / teilweise nötig, schwierig"</formula>
    </cfRule>
    <cfRule type="cellIs" dxfId="6394" priority="762" operator="equal">
      <formula>"Non nécessaire / nicht nötig"</formula>
    </cfRule>
  </conditionalFormatting>
  <conditionalFormatting sqref="Y158:Y166">
    <cfRule type="cellIs" dxfId="6393" priority="751" operator="equal">
      <formula>"non pertinent / nicht relevant"</formula>
    </cfRule>
    <cfRule type="cellIs" dxfId="6392" priority="752" operator="equal">
      <formula>"Très nécessaire, facile / unbedingt nötig, einfach"</formula>
    </cfRule>
    <cfRule type="cellIs" dxfId="6391" priority="753" operator="equal">
      <formula>"Très nécessaire, difficile / unbedingt nötig, schwierig"</formula>
    </cfRule>
    <cfRule type="cellIs" dxfId="6390" priority="754" operator="equal">
      <formula>"Partiellement nécessaire, facile / teilweise nötig, einfach"</formula>
    </cfRule>
    <cfRule type="cellIs" dxfId="6389" priority="755" operator="equal">
      <formula>"Partiellement nécessaire, difficile / teilweise nötig, schwierig"</formula>
    </cfRule>
    <cfRule type="cellIs" dxfId="6388" priority="756" operator="equal">
      <formula>"Non nécessaire / nicht nötig"</formula>
    </cfRule>
  </conditionalFormatting>
  <conditionalFormatting sqref="Y167">
    <cfRule type="cellIs" dxfId="6387" priority="745" operator="equal">
      <formula>"non pertinent / nicht relevant"</formula>
    </cfRule>
    <cfRule type="cellIs" dxfId="6386" priority="746" operator="equal">
      <formula>"Très nécessaire, facile / unbedingt nötig, einfach"</formula>
    </cfRule>
    <cfRule type="cellIs" dxfId="6385" priority="747" operator="equal">
      <formula>"Très nécessaire, difficile / unbedingt nötig, schwierig"</formula>
    </cfRule>
    <cfRule type="cellIs" dxfId="6384" priority="748" operator="equal">
      <formula>"Partiellement nécessaire, facile / teilweise nötig, einfach"</formula>
    </cfRule>
    <cfRule type="cellIs" dxfId="6383" priority="749" operator="equal">
      <formula>"Partiellement nécessaire, difficile / teilweise nötig, schwierig"</formula>
    </cfRule>
    <cfRule type="cellIs" dxfId="6382" priority="750" operator="equal">
      <formula>"Non nécessaire / nicht nötig"</formula>
    </cfRule>
  </conditionalFormatting>
  <conditionalFormatting sqref="Y170">
    <cfRule type="cellIs" dxfId="6381" priority="739" operator="equal">
      <formula>"non pertinent / nicht relevant"</formula>
    </cfRule>
    <cfRule type="cellIs" dxfId="6380" priority="740" operator="equal">
      <formula>"Très nécessaire, facile / unbedingt nötig, einfach"</formula>
    </cfRule>
    <cfRule type="cellIs" dxfId="6379" priority="741" operator="equal">
      <formula>"Très nécessaire, difficile / unbedingt nötig, schwierig"</formula>
    </cfRule>
    <cfRule type="cellIs" dxfId="6378" priority="742" operator="equal">
      <formula>"Partiellement nécessaire, facile / teilweise nötig, einfach"</formula>
    </cfRule>
    <cfRule type="cellIs" dxfId="6377" priority="743" operator="equal">
      <formula>"Partiellement nécessaire, difficile / teilweise nötig, schwierig"</formula>
    </cfRule>
    <cfRule type="cellIs" dxfId="6376" priority="744" operator="equal">
      <formula>"Non nécessaire / nicht nötig"</formula>
    </cfRule>
  </conditionalFormatting>
  <conditionalFormatting sqref="Y171:Y174">
    <cfRule type="cellIs" dxfId="6375" priority="733" operator="equal">
      <formula>"non pertinent / nicht relevant"</formula>
    </cfRule>
    <cfRule type="cellIs" dxfId="6374" priority="734" operator="equal">
      <formula>"Très nécessaire, facile / unbedingt nötig, einfach"</formula>
    </cfRule>
    <cfRule type="cellIs" dxfId="6373" priority="735" operator="equal">
      <formula>"Très nécessaire, difficile / unbedingt nötig, schwierig"</formula>
    </cfRule>
    <cfRule type="cellIs" dxfId="6372" priority="736" operator="equal">
      <formula>"Partiellement nécessaire, facile / teilweise nötig, einfach"</formula>
    </cfRule>
    <cfRule type="cellIs" dxfId="6371" priority="737" operator="equal">
      <formula>"Partiellement nécessaire, difficile / teilweise nötig, schwierig"</formula>
    </cfRule>
    <cfRule type="cellIs" dxfId="6370" priority="738" operator="equal">
      <formula>"Non nécessaire / nicht nötig"</formula>
    </cfRule>
  </conditionalFormatting>
  <conditionalFormatting sqref="Y175">
    <cfRule type="cellIs" dxfId="6369" priority="727" operator="equal">
      <formula>"non pertinent / nicht relevant"</formula>
    </cfRule>
    <cfRule type="cellIs" dxfId="6368" priority="728" operator="equal">
      <formula>"Très nécessaire, facile / unbedingt nötig, einfach"</formula>
    </cfRule>
    <cfRule type="cellIs" dxfId="6367" priority="729" operator="equal">
      <formula>"Très nécessaire, difficile / unbedingt nötig, schwierig"</formula>
    </cfRule>
    <cfRule type="cellIs" dxfId="6366" priority="730" operator="equal">
      <formula>"Partiellement nécessaire, facile / teilweise nötig, einfach"</formula>
    </cfRule>
    <cfRule type="cellIs" dxfId="6365" priority="731" operator="equal">
      <formula>"Partiellement nécessaire, difficile / teilweise nötig, schwierig"</formula>
    </cfRule>
    <cfRule type="cellIs" dxfId="6364" priority="732" operator="equal">
      <formula>"Non nécessaire / nicht nötig"</formula>
    </cfRule>
  </conditionalFormatting>
  <conditionalFormatting sqref="Y181:Y199 Y201:Y206 Y208:Y212">
    <cfRule type="cellIs" dxfId="6363" priority="721" operator="equal">
      <formula>"non pertinent / nicht relevant"</formula>
    </cfRule>
    <cfRule type="cellIs" dxfId="6362" priority="722" operator="equal">
      <formula>"Très nécessaire, facile / unbedingt nötig, einfach"</formula>
    </cfRule>
    <cfRule type="cellIs" dxfId="6361" priority="723" operator="equal">
      <formula>"Très nécessaire, difficile / unbedingt nötig, schwierig"</formula>
    </cfRule>
    <cfRule type="cellIs" dxfId="6360" priority="724" operator="equal">
      <formula>"Partiellement nécessaire, facile / teilweise nötig, einfach"</formula>
    </cfRule>
    <cfRule type="cellIs" dxfId="6359" priority="725" operator="equal">
      <formula>"Partiellement nécessaire, difficile / teilweise nötig, schwierig"</formula>
    </cfRule>
    <cfRule type="cellIs" dxfId="6358" priority="726" operator="equal">
      <formula>"Non nécessaire / nicht nötig"</formula>
    </cfRule>
  </conditionalFormatting>
  <conditionalFormatting sqref="Y177">
    <cfRule type="cellIs" dxfId="6357" priority="715" operator="equal">
      <formula>"non pertinent / nicht relevant"</formula>
    </cfRule>
    <cfRule type="cellIs" dxfId="6356" priority="716" operator="equal">
      <formula>"Très nécessaire, facile / unbedingt nötig, einfach"</formula>
    </cfRule>
    <cfRule type="cellIs" dxfId="6355" priority="717" operator="equal">
      <formula>"Très nécessaire, difficile / unbedingt nötig, schwierig"</formula>
    </cfRule>
    <cfRule type="cellIs" dxfId="6354" priority="718" operator="equal">
      <formula>"Partiellement nécessaire, facile / teilweise nötig, einfach"</formula>
    </cfRule>
    <cfRule type="cellIs" dxfId="6353" priority="719" operator="equal">
      <formula>"Partiellement nécessaire, difficile / teilweise nötig, schwierig"</formula>
    </cfRule>
    <cfRule type="cellIs" dxfId="6352" priority="720" operator="equal">
      <formula>"Non nécessaire / nicht nötig"</formula>
    </cfRule>
  </conditionalFormatting>
  <conditionalFormatting sqref="Y213:Y223">
    <cfRule type="cellIs" dxfId="6351" priority="709" operator="equal">
      <formula>"non pertinent / nicht relevant"</formula>
    </cfRule>
    <cfRule type="cellIs" dxfId="6350" priority="710" operator="equal">
      <formula>"Très nécessaire, facile / unbedingt nötig, einfach"</formula>
    </cfRule>
    <cfRule type="cellIs" dxfId="6349" priority="711" operator="equal">
      <formula>"Très nécessaire, difficile / unbedingt nötig, schwierig"</formula>
    </cfRule>
    <cfRule type="cellIs" dxfId="6348" priority="712" operator="equal">
      <formula>"Partiellement nécessaire, facile / teilweise nötig, einfach"</formula>
    </cfRule>
    <cfRule type="cellIs" dxfId="6347" priority="713" operator="equal">
      <formula>"Partiellement nécessaire, difficile / teilweise nötig, schwierig"</formula>
    </cfRule>
    <cfRule type="cellIs" dxfId="6346" priority="714" operator="equal">
      <formula>"Non nécessaire / nicht nötig"</formula>
    </cfRule>
  </conditionalFormatting>
  <conditionalFormatting sqref="Y272:Y273">
    <cfRule type="cellIs" dxfId="6345" priority="703" operator="equal">
      <formula>"non pertinent / nicht relevant"</formula>
    </cfRule>
    <cfRule type="cellIs" dxfId="6344" priority="704" operator="equal">
      <formula>"Très nécessaire, facile / unbedingt nötig, einfach"</formula>
    </cfRule>
    <cfRule type="cellIs" dxfId="6343" priority="705" operator="equal">
      <formula>"Très nécessaire, difficile / unbedingt nötig, schwierig"</formula>
    </cfRule>
    <cfRule type="cellIs" dxfId="6342" priority="706" operator="equal">
      <formula>"Partiellement nécessaire, facile / teilweise nötig, einfach"</formula>
    </cfRule>
    <cfRule type="cellIs" dxfId="6341" priority="707" operator="equal">
      <formula>"Partiellement nécessaire, difficile / teilweise nötig, schwierig"</formula>
    </cfRule>
    <cfRule type="cellIs" dxfId="6340" priority="708" operator="equal">
      <formula>"Non nécessaire / nicht nötig"</formula>
    </cfRule>
  </conditionalFormatting>
  <conditionalFormatting sqref="Y275">
    <cfRule type="cellIs" dxfId="6339" priority="697" operator="equal">
      <formula>"non pertinent / nicht relevant"</formula>
    </cfRule>
    <cfRule type="cellIs" dxfId="6338" priority="698" operator="equal">
      <formula>"Très nécessaire, facile / unbedingt nötig, einfach"</formula>
    </cfRule>
    <cfRule type="cellIs" dxfId="6337" priority="699" operator="equal">
      <formula>"Très nécessaire, difficile / unbedingt nötig, schwierig"</formula>
    </cfRule>
    <cfRule type="cellIs" dxfId="6336" priority="700" operator="equal">
      <formula>"Partiellement nécessaire, facile / teilweise nötig, einfach"</formula>
    </cfRule>
    <cfRule type="cellIs" dxfId="6335" priority="701" operator="equal">
      <formula>"Partiellement nécessaire, difficile / teilweise nötig, schwierig"</formula>
    </cfRule>
    <cfRule type="cellIs" dxfId="6334" priority="702" operator="equal">
      <formula>"Non nécessaire / nicht nötig"</formula>
    </cfRule>
  </conditionalFormatting>
  <conditionalFormatting sqref="Y32">
    <cfRule type="cellIs" dxfId="6333" priority="691" operator="equal">
      <formula>"non pertinent / nicht relevant"</formula>
    </cfRule>
    <cfRule type="cellIs" dxfId="6332" priority="692" operator="equal">
      <formula>"Très nécessaire, facile / unbedingt nötig, einfach"</formula>
    </cfRule>
    <cfRule type="cellIs" dxfId="6331" priority="693" operator="equal">
      <formula>"Très nécessaire, difficile / unbedingt nötig, schwierig"</formula>
    </cfRule>
    <cfRule type="cellIs" dxfId="6330" priority="694" operator="equal">
      <formula>"Partiellement nécessaire, facile / teilweise nötig, einfach"</formula>
    </cfRule>
    <cfRule type="cellIs" dxfId="6329" priority="695" operator="equal">
      <formula>"Partiellement nécessaire, difficile / teilweise nötig, schwierig"</formula>
    </cfRule>
    <cfRule type="cellIs" dxfId="6328" priority="696" operator="equal">
      <formula>"Non nécessaire / nicht nötig"</formula>
    </cfRule>
  </conditionalFormatting>
  <conditionalFormatting sqref="Y14">
    <cfRule type="cellIs" dxfId="6327" priority="685" operator="equal">
      <formula>"non pertinent / nicht relevant"</formula>
    </cfRule>
    <cfRule type="cellIs" dxfId="6326" priority="686" operator="equal">
      <formula>"Très nécessaire, facile / unbedingt nötig, einfach"</formula>
    </cfRule>
    <cfRule type="cellIs" dxfId="6325" priority="687" operator="equal">
      <formula>"Très nécessaire, difficile / unbedingt nötig, schwierig"</formula>
    </cfRule>
    <cfRule type="cellIs" dxfId="6324" priority="688" operator="equal">
      <formula>"Partiellement nécessaire, facile / teilweise nötig, einfach"</formula>
    </cfRule>
    <cfRule type="cellIs" dxfId="6323" priority="689" operator="equal">
      <formula>"Partiellement nécessaire, difficile / teilweise nötig, schwierig"</formula>
    </cfRule>
    <cfRule type="cellIs" dxfId="6322" priority="690" operator="equal">
      <formula>"Non nécessaire / nicht nötig"</formula>
    </cfRule>
  </conditionalFormatting>
  <conditionalFormatting sqref="Y13">
    <cfRule type="cellIs" dxfId="6321" priority="679" operator="equal">
      <formula>"non pertinent / nicht relevant"</formula>
    </cfRule>
    <cfRule type="cellIs" dxfId="6320" priority="680" operator="equal">
      <formula>"Très nécessaire, facile / unbedingt nötig, einfach"</formula>
    </cfRule>
    <cfRule type="cellIs" dxfId="6319" priority="681" operator="equal">
      <formula>"Très nécessaire, difficile / unbedingt nötig, schwierig"</formula>
    </cfRule>
    <cfRule type="cellIs" dxfId="6318" priority="682" operator="equal">
      <formula>"Partiellement nécessaire, facile / teilweise nötig, einfach"</formula>
    </cfRule>
    <cfRule type="cellIs" dxfId="6317" priority="683" operator="equal">
      <formula>"Partiellement nécessaire, difficile / teilweise nötig, schwierig"</formula>
    </cfRule>
    <cfRule type="cellIs" dxfId="6316" priority="684" operator="equal">
      <formula>"Non nécessaire / nicht nötig"</formula>
    </cfRule>
  </conditionalFormatting>
  <conditionalFormatting sqref="Y10">
    <cfRule type="cellIs" dxfId="6315" priority="673" operator="equal">
      <formula>"non pertinent / nicht relevant"</formula>
    </cfRule>
    <cfRule type="cellIs" dxfId="6314" priority="674" operator="equal">
      <formula>"Très nécessaire, facile / unbedingt nötig, einfach"</formula>
    </cfRule>
    <cfRule type="cellIs" dxfId="6313" priority="675" operator="equal">
      <formula>"Très nécessaire, difficile / unbedingt nötig, schwierig"</formula>
    </cfRule>
    <cfRule type="cellIs" dxfId="6312" priority="676" operator="equal">
      <formula>"Partiellement nécessaire, facile / teilweise nötig, einfach"</formula>
    </cfRule>
    <cfRule type="cellIs" dxfId="6311" priority="677" operator="equal">
      <formula>"Partiellement nécessaire, difficile / teilweise nötig, schwierig"</formula>
    </cfRule>
    <cfRule type="cellIs" dxfId="6310" priority="678" operator="equal">
      <formula>"Non nécessaire / nicht nötig"</formula>
    </cfRule>
  </conditionalFormatting>
  <conditionalFormatting sqref="Y9">
    <cfRule type="cellIs" dxfId="6309" priority="667" operator="equal">
      <formula>"non pertinent / nicht relevant"</formula>
    </cfRule>
    <cfRule type="cellIs" dxfId="6308" priority="668" operator="equal">
      <formula>"Très nécessaire, facile / unbedingt nötig, einfach"</formula>
    </cfRule>
    <cfRule type="cellIs" dxfId="6307" priority="669" operator="equal">
      <formula>"Très nécessaire, difficile / unbedingt nötig, schwierig"</formula>
    </cfRule>
    <cfRule type="cellIs" dxfId="6306" priority="670" operator="equal">
      <formula>"Partiellement nécessaire, facile / teilweise nötig, einfach"</formula>
    </cfRule>
    <cfRule type="cellIs" dxfId="6305" priority="671" operator="equal">
      <formula>"Partiellement nécessaire, difficile / teilweise nötig, schwierig"</formula>
    </cfRule>
    <cfRule type="cellIs" dxfId="6304" priority="672" operator="equal">
      <formula>"Non nécessaire / nicht nötig"</formula>
    </cfRule>
  </conditionalFormatting>
  <conditionalFormatting sqref="Y8">
    <cfRule type="cellIs" dxfId="6303" priority="661" operator="equal">
      <formula>"non pertinent / nicht relevant"</formula>
    </cfRule>
    <cfRule type="cellIs" dxfId="6302" priority="662" operator="equal">
      <formula>"Très nécessaire, facile / unbedingt nötig, einfach"</formula>
    </cfRule>
    <cfRule type="cellIs" dxfId="6301" priority="663" operator="equal">
      <formula>"Très nécessaire, difficile / unbedingt nötig, schwierig"</formula>
    </cfRule>
    <cfRule type="cellIs" dxfId="6300" priority="664" operator="equal">
      <formula>"Partiellement nécessaire, facile / teilweise nötig, einfach"</formula>
    </cfRule>
    <cfRule type="cellIs" dxfId="6299" priority="665" operator="equal">
      <formula>"Partiellement nécessaire, difficile / teilweise nötig, schwierig"</formula>
    </cfRule>
    <cfRule type="cellIs" dxfId="6298" priority="666" operator="equal">
      <formula>"Non nécessaire / nicht nötig"</formula>
    </cfRule>
  </conditionalFormatting>
  <conditionalFormatting sqref="Y5">
    <cfRule type="cellIs" dxfId="6297" priority="655" operator="equal">
      <formula>"non pertinent / nicht relevant"</formula>
    </cfRule>
    <cfRule type="cellIs" dxfId="6296" priority="656" operator="equal">
      <formula>"Très nécessaire, facile / unbedingt nötig, einfach"</formula>
    </cfRule>
    <cfRule type="cellIs" dxfId="6295" priority="657" operator="equal">
      <formula>"Très nécessaire, difficile / unbedingt nötig, schwierig"</formula>
    </cfRule>
    <cfRule type="cellIs" dxfId="6294" priority="658" operator="equal">
      <formula>"Partiellement nécessaire, facile / teilweise nötig, einfach"</formula>
    </cfRule>
    <cfRule type="cellIs" dxfId="6293" priority="659" operator="equal">
      <formula>"Partiellement nécessaire, difficile / teilweise nötig, schwierig"</formula>
    </cfRule>
    <cfRule type="cellIs" dxfId="6292" priority="660" operator="equal">
      <formula>"Non nécessaire / nicht nötig"</formula>
    </cfRule>
  </conditionalFormatting>
  <conditionalFormatting sqref="Y4">
    <cfRule type="cellIs" dxfId="6291" priority="649" operator="equal">
      <formula>"non pertinent / nicht relevant"</formula>
    </cfRule>
    <cfRule type="cellIs" dxfId="6290" priority="650" operator="equal">
      <formula>"Très nécessaire, facile / unbedingt nötig, einfach"</formula>
    </cfRule>
    <cfRule type="cellIs" dxfId="6289" priority="651" operator="equal">
      <formula>"Très nécessaire, difficile / unbedingt nötig, schwierig"</formula>
    </cfRule>
    <cfRule type="cellIs" dxfId="6288" priority="652" operator="equal">
      <formula>"Partiellement nécessaire, facile / teilweise nötig, einfach"</formula>
    </cfRule>
    <cfRule type="cellIs" dxfId="6287" priority="653" operator="equal">
      <formula>"Partiellement nécessaire, difficile / teilweise nötig, schwierig"</formula>
    </cfRule>
    <cfRule type="cellIs" dxfId="6286" priority="654" operator="equal">
      <formula>"Non nécessaire / nicht nötig"</formula>
    </cfRule>
  </conditionalFormatting>
  <conditionalFormatting sqref="Y65">
    <cfRule type="cellIs" dxfId="6285" priority="643" operator="equal">
      <formula>"non pertinent / nicht relevant"</formula>
    </cfRule>
    <cfRule type="cellIs" dxfId="6284" priority="644" operator="equal">
      <formula>"Très nécessaire, facile / unbedingt nötig, einfach"</formula>
    </cfRule>
    <cfRule type="cellIs" dxfId="6283" priority="645" operator="equal">
      <formula>"Très nécessaire, difficile / unbedingt nötig, schwierig"</formula>
    </cfRule>
    <cfRule type="cellIs" dxfId="6282" priority="646" operator="equal">
      <formula>"Partiellement nécessaire, facile / teilweise nötig, einfach"</formula>
    </cfRule>
    <cfRule type="cellIs" dxfId="6281" priority="647" operator="equal">
      <formula>"Partiellement nécessaire, difficile / teilweise nötig, schwierig"</formula>
    </cfRule>
    <cfRule type="cellIs" dxfId="6280" priority="648" operator="equal">
      <formula>"Non nécessaire / nicht nötig"</formula>
    </cfRule>
  </conditionalFormatting>
  <conditionalFormatting sqref="S46">
    <cfRule type="cellIs" dxfId="6279" priority="631" operator="equal">
      <formula>"non pertinent / nicht relevant"</formula>
    </cfRule>
    <cfRule type="cellIs" dxfId="6278" priority="632" operator="equal">
      <formula>"Très nécessaire, facile / unbedingt nötig, einfach"</formula>
    </cfRule>
    <cfRule type="cellIs" dxfId="6277" priority="633" operator="equal">
      <formula>"Très nécessaire, difficile / unbedingt nötig, schwierig"</formula>
    </cfRule>
    <cfRule type="cellIs" dxfId="6276" priority="634" operator="equal">
      <formula>"Partiellement nécessaire, facile / teilweise nötig, einfach"</formula>
    </cfRule>
    <cfRule type="cellIs" dxfId="6275" priority="635" operator="equal">
      <formula>"Partiellement nécessaire, difficile / teilweise nötig, schwierig"</formula>
    </cfRule>
    <cfRule type="cellIs" dxfId="6274" priority="636" operator="equal">
      <formula>"Non nécessaire / nicht nötig"</formula>
    </cfRule>
  </conditionalFormatting>
  <conditionalFormatting sqref="Y46">
    <cfRule type="cellIs" dxfId="6273" priority="625" operator="equal">
      <formula>"non pertinent / nicht relevant"</formula>
    </cfRule>
    <cfRule type="cellIs" dxfId="6272" priority="626" operator="equal">
      <formula>"Très nécessaire, facile / unbedingt nötig, einfach"</formula>
    </cfRule>
    <cfRule type="cellIs" dxfId="6271" priority="627" operator="equal">
      <formula>"Très nécessaire, difficile / unbedingt nötig, schwierig"</formula>
    </cfRule>
    <cfRule type="cellIs" dxfId="6270" priority="628" operator="equal">
      <formula>"Partiellement nécessaire, facile / teilweise nötig, einfach"</formula>
    </cfRule>
    <cfRule type="cellIs" dxfId="6269" priority="629" operator="equal">
      <formula>"Partiellement nécessaire, difficile / teilweise nötig, schwierig"</formula>
    </cfRule>
    <cfRule type="cellIs" dxfId="6268" priority="630" operator="equal">
      <formula>"Non nécessaire / nicht nötig"</formula>
    </cfRule>
  </conditionalFormatting>
  <conditionalFormatting sqref="S243">
    <cfRule type="cellIs" dxfId="6267" priority="619" stopIfTrue="1" operator="equal">
      <formula>"non pertinent / nicht relevant"</formula>
    </cfRule>
    <cfRule type="cellIs" dxfId="6266" priority="620" stopIfTrue="1" operator="equal">
      <formula>"Très nécessaire, difficile / unbedingt nötig, schwierig"</formula>
    </cfRule>
    <cfRule type="cellIs" dxfId="6265" priority="621" stopIfTrue="1" operator="equal">
      <formula>"Partiellement nécessaire, facile / teilweise nötig, einfach"</formula>
    </cfRule>
    <cfRule type="cellIs" dxfId="6264" priority="622" stopIfTrue="1" operator="equal">
      <formula>"Partiellement nécessaire, difficile / teilweise nötig, schwierig"</formula>
    </cfRule>
    <cfRule type="cellIs" dxfId="6263" priority="623" stopIfTrue="1" operator="equal">
      <formula>"Très nécessaire, facile / unbedingt nötig, einfach"</formula>
    </cfRule>
    <cfRule type="cellIs" dxfId="6262" priority="624" stopIfTrue="1" operator="equal">
      <formula>"Non nécessaire / nicht nötig"</formula>
    </cfRule>
  </conditionalFormatting>
  <conditionalFormatting sqref="S236">
    <cfRule type="cellIs" dxfId="6261" priority="613" operator="equal">
      <formula>"non pertinent / nicht relevant"</formula>
    </cfRule>
    <cfRule type="cellIs" dxfId="6260" priority="614" operator="equal">
      <formula>"Très nécessaire, facile / unbedingt nötig, einfach"</formula>
    </cfRule>
    <cfRule type="cellIs" dxfId="6259" priority="615" operator="equal">
      <formula>"Très nécessaire, difficile / unbedingt nötig, schwierig"</formula>
    </cfRule>
    <cfRule type="cellIs" dxfId="6258" priority="616" operator="equal">
      <formula>"Partiellement nécessaire, facile / teilweise nötig, einfach"</formula>
    </cfRule>
    <cfRule type="cellIs" dxfId="6257" priority="617" operator="equal">
      <formula>"Partiellement nécessaire, difficile / teilweise nötig, schwierig"</formula>
    </cfRule>
    <cfRule type="cellIs" dxfId="6256" priority="618" operator="equal">
      <formula>"Non nécessaire / nicht nötig"</formula>
    </cfRule>
  </conditionalFormatting>
  <conditionalFormatting sqref="Y274">
    <cfRule type="cellIs" dxfId="6255" priority="607" operator="equal">
      <formula>"non pertinent / nicht relevant"</formula>
    </cfRule>
    <cfRule type="cellIs" dxfId="6254" priority="608" operator="equal">
      <formula>"Très nécessaire, facile / unbedingt nötig, einfach"</formula>
    </cfRule>
    <cfRule type="cellIs" dxfId="6253" priority="609" operator="equal">
      <formula>"Très nécessaire, difficile / unbedingt nötig, schwierig"</formula>
    </cfRule>
    <cfRule type="cellIs" dxfId="6252" priority="610" operator="equal">
      <formula>"Partiellement nécessaire, facile / teilweise nötig, einfach"</formula>
    </cfRule>
    <cfRule type="cellIs" dxfId="6251" priority="611" operator="equal">
      <formula>"Partiellement nécessaire, difficile / teilweise nötig, schwierig"</formula>
    </cfRule>
    <cfRule type="cellIs" dxfId="6250" priority="612" operator="equal">
      <formula>"Non nécessaire / nicht nötig"</formula>
    </cfRule>
  </conditionalFormatting>
  <conditionalFormatting sqref="Y178:Y179">
    <cfRule type="cellIs" dxfId="6249" priority="601" operator="equal">
      <formula>"non pertinent / nicht relevant"</formula>
    </cfRule>
    <cfRule type="cellIs" dxfId="6248" priority="602" operator="equal">
      <formula>"Très nécessaire, facile / unbedingt nötig, einfach"</formula>
    </cfRule>
    <cfRule type="cellIs" dxfId="6247" priority="603" operator="equal">
      <formula>"Très nécessaire, difficile / unbedingt nötig, schwierig"</formula>
    </cfRule>
    <cfRule type="cellIs" dxfId="6246" priority="604" operator="equal">
      <formula>"Partiellement nécessaire, facile / teilweise nötig, einfach"</formula>
    </cfRule>
    <cfRule type="cellIs" dxfId="6245" priority="605" operator="equal">
      <formula>"Partiellement nécessaire, difficile / teilweise nötig, schwierig"</formula>
    </cfRule>
    <cfRule type="cellIs" dxfId="6244" priority="606" operator="equal">
      <formula>"Non nécessaire / nicht nötig"</formula>
    </cfRule>
  </conditionalFormatting>
  <conditionalFormatting sqref="W236">
    <cfRule type="cellIs" dxfId="6243" priority="595" operator="equal">
      <formula>"non pertinent / nicht relevant"</formula>
    </cfRule>
    <cfRule type="cellIs" dxfId="6242" priority="596" operator="equal">
      <formula>"Très nécessaire, facile / unbedingt nötig, einfach"</formula>
    </cfRule>
    <cfRule type="cellIs" dxfId="6241" priority="597" operator="equal">
      <formula>"Très nécessaire, difficile / unbedingt nötig, schwierig"</formula>
    </cfRule>
    <cfRule type="cellIs" dxfId="6240" priority="598" operator="equal">
      <formula>"Partiellement nécessaire, facile / teilweise nötig, einfach"</formula>
    </cfRule>
    <cfRule type="cellIs" dxfId="6239" priority="599" operator="equal">
      <formula>"Partiellement nécessaire, difficile / teilweise nötig, schwierig"</formula>
    </cfRule>
    <cfRule type="cellIs" dxfId="6238" priority="600" operator="equal">
      <formula>"Non nécessaire / nicht nötig"</formula>
    </cfRule>
  </conditionalFormatting>
  <conditionalFormatting sqref="W243">
    <cfRule type="cellIs" dxfId="6237" priority="589" operator="equal">
      <formula>"non pertinent / nicht relevant"</formula>
    </cfRule>
    <cfRule type="cellIs" dxfId="6236" priority="590" operator="equal">
      <formula>"Très nécessaire, facile / unbedingt nötig, einfach"</formula>
    </cfRule>
    <cfRule type="cellIs" dxfId="6235" priority="591" operator="equal">
      <formula>"Très nécessaire, difficile / unbedingt nötig, schwierig"</formula>
    </cfRule>
    <cfRule type="cellIs" dxfId="6234" priority="592" operator="equal">
      <formula>"Partiellement nécessaire, facile / teilweise nötig, einfach"</formula>
    </cfRule>
    <cfRule type="cellIs" dxfId="6233" priority="593" operator="equal">
      <formula>"Partiellement nécessaire, difficile / teilweise nötig, schwierig"</formula>
    </cfRule>
    <cfRule type="cellIs" dxfId="6232" priority="594" operator="equal">
      <formula>"Non nécessaire / nicht nötig"</formula>
    </cfRule>
  </conditionalFormatting>
  <conditionalFormatting sqref="S106">
    <cfRule type="cellIs" dxfId="6231" priority="583" operator="equal">
      <formula>"non pertinent / nicht relevant"</formula>
    </cfRule>
    <cfRule type="cellIs" dxfId="6230" priority="584" operator="equal">
      <formula>"Très nécessaire, facile / unbedingt nötig, einfach"</formula>
    </cfRule>
    <cfRule type="cellIs" dxfId="6229" priority="585" operator="equal">
      <formula>"Très nécessaire, difficile / unbedingt nötig, schwierig"</formula>
    </cfRule>
    <cfRule type="cellIs" dxfId="6228" priority="586" operator="equal">
      <formula>"Partiellement nécessaire, facile / teilweise nötig, einfach"</formula>
    </cfRule>
    <cfRule type="cellIs" dxfId="6227" priority="587" operator="equal">
      <formula>"Partiellement nécessaire, difficile / teilweise nötig, schwierig"</formula>
    </cfRule>
    <cfRule type="cellIs" dxfId="6226" priority="588" operator="equal">
      <formula>"Non nécessaire / nicht nötig"</formula>
    </cfRule>
  </conditionalFormatting>
  <conditionalFormatting sqref="S136">
    <cfRule type="cellIs" dxfId="6225" priority="577" operator="equal">
      <formula>"non pertinent / nicht relevant"</formula>
    </cfRule>
    <cfRule type="cellIs" dxfId="6224" priority="578" operator="equal">
      <formula>"Très nécessaire, facile / unbedingt nötig, einfach"</formula>
    </cfRule>
    <cfRule type="cellIs" dxfId="6223" priority="579" operator="equal">
      <formula>"Très nécessaire, difficile / unbedingt nötig, schwierig"</formula>
    </cfRule>
    <cfRule type="cellIs" dxfId="6222" priority="580" operator="equal">
      <formula>"Partiellement nécessaire, facile / teilweise nötig, einfach"</formula>
    </cfRule>
    <cfRule type="cellIs" dxfId="6221" priority="581" operator="equal">
      <formula>"Partiellement nécessaire, difficile / teilweise nötig, schwierig"</formula>
    </cfRule>
    <cfRule type="cellIs" dxfId="6220" priority="582" operator="equal">
      <formula>"Non nécessaire / nicht nötig"</formula>
    </cfRule>
  </conditionalFormatting>
  <conditionalFormatting sqref="S202">
    <cfRule type="cellIs" dxfId="6219" priority="571" operator="equal">
      <formula>"non pertinent / nicht relevant"</formula>
    </cfRule>
    <cfRule type="cellIs" dxfId="6218" priority="572" operator="equal">
      <formula>"Très nécessaire, facile / unbedingt nötig, einfach"</formula>
    </cfRule>
    <cfRule type="cellIs" dxfId="6217" priority="573" operator="equal">
      <formula>"Très nécessaire, difficile / unbedingt nötig, schwierig"</formula>
    </cfRule>
    <cfRule type="cellIs" dxfId="6216" priority="574" operator="equal">
      <formula>"Partiellement nécessaire, facile / teilweise nötig, einfach"</formula>
    </cfRule>
    <cfRule type="cellIs" dxfId="6215" priority="575" operator="equal">
      <formula>"Partiellement nécessaire, difficile / teilweise nötig, schwierig"</formula>
    </cfRule>
    <cfRule type="cellIs" dxfId="6214" priority="576" operator="equal">
      <formula>"Non nécessaire / nicht nötig"</formula>
    </cfRule>
  </conditionalFormatting>
  <conditionalFormatting sqref="W200">
    <cfRule type="cellIs" dxfId="6213" priority="565" operator="equal">
      <formula>"non pertinent / nicht relevant"</formula>
    </cfRule>
    <cfRule type="cellIs" dxfId="6212" priority="566" operator="equal">
      <formula>"Très nécessaire, facile / unbedingt nötig, einfach"</formula>
    </cfRule>
    <cfRule type="cellIs" dxfId="6211" priority="567" operator="equal">
      <formula>"Très nécessaire, difficile / unbedingt nötig, schwierig"</formula>
    </cfRule>
    <cfRule type="cellIs" dxfId="6210" priority="568" operator="equal">
      <formula>"Partiellement nécessaire, facile / teilweise nötig, einfach"</formula>
    </cfRule>
    <cfRule type="cellIs" dxfId="6209" priority="569" operator="equal">
      <formula>"Partiellement nécessaire, difficile / teilweise nötig, schwierig"</formula>
    </cfRule>
    <cfRule type="cellIs" dxfId="6208" priority="570" operator="equal">
      <formula>"Non nécessaire / nicht nötig"</formula>
    </cfRule>
  </conditionalFormatting>
  <conditionalFormatting sqref="W207">
    <cfRule type="cellIs" dxfId="6207" priority="559" operator="equal">
      <formula>"non pertinent / nicht relevant"</formula>
    </cfRule>
    <cfRule type="cellIs" dxfId="6206" priority="560" operator="equal">
      <formula>"Très nécessaire, facile / unbedingt nötig, einfach"</formula>
    </cfRule>
    <cfRule type="cellIs" dxfId="6205" priority="561" operator="equal">
      <formula>"Très nécessaire, difficile / unbedingt nötig, schwierig"</formula>
    </cfRule>
    <cfRule type="cellIs" dxfId="6204" priority="562" operator="equal">
      <formula>"Partiellement nécessaire, facile / teilweise nötig, einfach"</formula>
    </cfRule>
    <cfRule type="cellIs" dxfId="6203" priority="563" operator="equal">
      <formula>"Partiellement nécessaire, difficile / teilweise nötig, schwierig"</formula>
    </cfRule>
    <cfRule type="cellIs" dxfId="6202" priority="564" operator="equal">
      <formula>"Non nécessaire / nicht nötig"</formula>
    </cfRule>
  </conditionalFormatting>
  <conditionalFormatting sqref="W149:W150">
    <cfRule type="cellIs" dxfId="6201" priority="553" operator="equal">
      <formula>"non pertinent / nicht relevant"</formula>
    </cfRule>
    <cfRule type="cellIs" dxfId="6200" priority="554" operator="equal">
      <formula>"Très nécessaire, facile / unbedingt nötig, einfach"</formula>
    </cfRule>
    <cfRule type="cellIs" dxfId="6199" priority="555" operator="equal">
      <formula>"Très nécessaire, difficile / unbedingt nötig, schwierig"</formula>
    </cfRule>
    <cfRule type="cellIs" dxfId="6198" priority="556" operator="equal">
      <formula>"Partiellement nécessaire, facile / teilweise nötig, einfach"</formula>
    </cfRule>
    <cfRule type="cellIs" dxfId="6197" priority="557" operator="equal">
      <formula>"Partiellement nécessaire, difficile / teilweise nötig, schwierig"</formula>
    </cfRule>
    <cfRule type="cellIs" dxfId="6196" priority="558" operator="equal">
      <formula>"Non nécessaire / nicht nötig"</formula>
    </cfRule>
  </conditionalFormatting>
  <conditionalFormatting sqref="W151">
    <cfRule type="cellIs" dxfId="6195" priority="547" operator="equal">
      <formula>"non pertinent / nicht relevant"</formula>
    </cfRule>
    <cfRule type="cellIs" dxfId="6194" priority="548" operator="equal">
      <formula>"Très nécessaire, facile / unbedingt nötig, einfach"</formula>
    </cfRule>
    <cfRule type="cellIs" dxfId="6193" priority="549" operator="equal">
      <formula>"Très nécessaire, difficile / unbedingt nötig, schwierig"</formula>
    </cfRule>
    <cfRule type="cellIs" dxfId="6192" priority="550" operator="equal">
      <formula>"Partiellement nécessaire, facile / teilweise nötig, einfach"</formula>
    </cfRule>
    <cfRule type="cellIs" dxfId="6191" priority="551" operator="equal">
      <formula>"Partiellement nécessaire, difficile / teilweise nötig, schwierig"</formula>
    </cfRule>
    <cfRule type="cellIs" dxfId="6190" priority="552" operator="equal">
      <formula>"Non nécessaire / nicht nötig"</formula>
    </cfRule>
  </conditionalFormatting>
  <conditionalFormatting sqref="W153">
    <cfRule type="cellIs" dxfId="6189" priority="541" operator="equal">
      <formula>"non pertinent / nicht relevant"</formula>
    </cfRule>
    <cfRule type="cellIs" dxfId="6188" priority="542" operator="equal">
      <formula>"Très nécessaire, facile / unbedingt nötig, einfach"</formula>
    </cfRule>
    <cfRule type="cellIs" dxfId="6187" priority="543" operator="equal">
      <formula>"Très nécessaire, difficile / unbedingt nötig, schwierig"</formula>
    </cfRule>
    <cfRule type="cellIs" dxfId="6186" priority="544" operator="equal">
      <formula>"Partiellement nécessaire, facile / teilweise nötig, einfach"</formula>
    </cfRule>
    <cfRule type="cellIs" dxfId="6185" priority="545" operator="equal">
      <formula>"Partiellement nécessaire, difficile / teilweise nötig, schwierig"</formula>
    </cfRule>
    <cfRule type="cellIs" dxfId="6184" priority="546" operator="equal">
      <formula>"Non nécessaire / nicht nötig"</formula>
    </cfRule>
  </conditionalFormatting>
  <conditionalFormatting sqref="W154">
    <cfRule type="cellIs" dxfId="6183" priority="535" operator="equal">
      <formula>"non pertinent / nicht relevant"</formula>
    </cfRule>
    <cfRule type="cellIs" dxfId="6182" priority="536" operator="equal">
      <formula>"Très nécessaire, facile / unbedingt nötig, einfach"</formula>
    </cfRule>
    <cfRule type="cellIs" dxfId="6181" priority="537" operator="equal">
      <formula>"Très nécessaire, difficile / unbedingt nötig, schwierig"</formula>
    </cfRule>
    <cfRule type="cellIs" dxfId="6180" priority="538" operator="equal">
      <formula>"Partiellement nécessaire, facile / teilweise nötig, einfach"</formula>
    </cfRule>
    <cfRule type="cellIs" dxfId="6179" priority="539" operator="equal">
      <formula>"Partiellement nécessaire, difficile / teilweise nötig, schwierig"</formula>
    </cfRule>
    <cfRule type="cellIs" dxfId="6178" priority="540" operator="equal">
      <formula>"Non nécessaire / nicht nötig"</formula>
    </cfRule>
  </conditionalFormatting>
  <conditionalFormatting sqref="Y153">
    <cfRule type="cellIs" dxfId="6177" priority="529" operator="equal">
      <formula>"non pertinent / nicht relevant"</formula>
    </cfRule>
    <cfRule type="cellIs" dxfId="6176" priority="530" operator="equal">
      <formula>"Très nécessaire, facile / unbedingt nötig, einfach"</formula>
    </cfRule>
    <cfRule type="cellIs" dxfId="6175" priority="531" operator="equal">
      <formula>"Très nécessaire, difficile / unbedingt nötig, schwierig"</formula>
    </cfRule>
    <cfRule type="cellIs" dxfId="6174" priority="532" operator="equal">
      <formula>"Partiellement nécessaire, facile / teilweise nötig, einfach"</formula>
    </cfRule>
    <cfRule type="cellIs" dxfId="6173" priority="533" operator="equal">
      <formula>"Partiellement nécessaire, difficile / teilweise nötig, schwierig"</formula>
    </cfRule>
    <cfRule type="cellIs" dxfId="6172" priority="534" operator="equal">
      <formula>"Non nécessaire / nicht nötig"</formula>
    </cfRule>
  </conditionalFormatting>
  <conditionalFormatting sqref="W148">
    <cfRule type="cellIs" dxfId="6171" priority="523" operator="equal">
      <formula>"non pertinent / nicht relevant"</formula>
    </cfRule>
    <cfRule type="cellIs" dxfId="6170" priority="524" operator="equal">
      <formula>"Très nécessaire, facile / unbedingt nötig, einfach"</formula>
    </cfRule>
    <cfRule type="cellIs" dxfId="6169" priority="525" operator="equal">
      <formula>"Très nécessaire, difficile / unbedingt nötig, schwierig"</formula>
    </cfRule>
    <cfRule type="cellIs" dxfId="6168" priority="526" operator="equal">
      <formula>"Partiellement nécessaire, facile / teilweise nötig, einfach"</formula>
    </cfRule>
    <cfRule type="cellIs" dxfId="6167" priority="527" operator="equal">
      <formula>"Partiellement nécessaire, difficile / teilweise nötig, schwierig"</formula>
    </cfRule>
    <cfRule type="cellIs" dxfId="6166" priority="528" operator="equal">
      <formula>"Non nécessaire / nicht nötig"</formula>
    </cfRule>
  </conditionalFormatting>
  <conditionalFormatting sqref="W147">
    <cfRule type="cellIs" dxfId="6165" priority="517" operator="equal">
      <formula>"non pertinent / nicht relevant"</formula>
    </cfRule>
    <cfRule type="cellIs" dxfId="6164" priority="518" operator="equal">
      <formula>"Très nécessaire, facile / unbedingt nötig, einfach"</formula>
    </cfRule>
    <cfRule type="cellIs" dxfId="6163" priority="519" operator="equal">
      <formula>"Très nécessaire, difficile / unbedingt nötig, schwierig"</formula>
    </cfRule>
    <cfRule type="cellIs" dxfId="6162" priority="520" operator="equal">
      <formula>"Partiellement nécessaire, facile / teilweise nötig, einfach"</formula>
    </cfRule>
    <cfRule type="cellIs" dxfId="6161" priority="521" operator="equal">
      <formula>"Partiellement nécessaire, difficile / teilweise nötig, schwierig"</formula>
    </cfRule>
    <cfRule type="cellIs" dxfId="6160" priority="522" operator="equal">
      <formula>"Non nécessaire / nicht nötig"</formula>
    </cfRule>
  </conditionalFormatting>
  <conditionalFormatting sqref="W38:W39">
    <cfRule type="cellIs" dxfId="6159" priority="511" operator="equal">
      <formula>"non pertinent / nicht relevant"</formula>
    </cfRule>
    <cfRule type="cellIs" dxfId="6158" priority="512" operator="equal">
      <formula>"Très nécessaire, facile / unbedingt nötig, einfach"</formula>
    </cfRule>
    <cfRule type="cellIs" dxfId="6157" priority="513" operator="equal">
      <formula>"Très nécessaire, difficile / unbedingt nötig, schwierig"</formula>
    </cfRule>
    <cfRule type="cellIs" dxfId="6156" priority="514" operator="equal">
      <formula>"Partiellement nécessaire, facile / teilweise nötig, einfach"</formula>
    </cfRule>
    <cfRule type="cellIs" dxfId="6155" priority="515" operator="equal">
      <formula>"Partiellement nécessaire, difficile / teilweise nötig, schwierig"</formula>
    </cfRule>
    <cfRule type="cellIs" dxfId="6154" priority="516" operator="equal">
      <formula>"Non nécessaire / nicht nötig"</formula>
    </cfRule>
  </conditionalFormatting>
  <conditionalFormatting sqref="W26">
    <cfRule type="cellIs" dxfId="6153" priority="505" operator="equal">
      <formula>"non pertinent / nicht relevant"</formula>
    </cfRule>
    <cfRule type="cellIs" dxfId="6152" priority="506" operator="equal">
      <formula>"Très nécessaire, facile / unbedingt nötig, einfach"</formula>
    </cfRule>
    <cfRule type="cellIs" dxfId="6151" priority="507" operator="equal">
      <formula>"Très nécessaire, difficile / unbedingt nötig, schwierig"</formula>
    </cfRule>
    <cfRule type="cellIs" dxfId="6150" priority="508" operator="equal">
      <formula>"Partiellement nécessaire, facile / teilweise nötig, einfach"</formula>
    </cfRule>
    <cfRule type="cellIs" dxfId="6149" priority="509" operator="equal">
      <formula>"Partiellement nécessaire, difficile / teilweise nötig, schwierig"</formula>
    </cfRule>
    <cfRule type="cellIs" dxfId="6148" priority="510" operator="equal">
      <formula>"Non nécessaire / nicht nötig"</formula>
    </cfRule>
  </conditionalFormatting>
  <conditionalFormatting sqref="W8">
    <cfRule type="cellIs" dxfId="6147" priority="499" operator="equal">
      <formula>"non pertinent / nicht relevant"</formula>
    </cfRule>
    <cfRule type="cellIs" dxfId="6146" priority="500" operator="equal">
      <formula>"Très nécessaire, facile / unbedingt nötig, einfach"</formula>
    </cfRule>
    <cfRule type="cellIs" dxfId="6145" priority="501" operator="equal">
      <formula>"Très nécessaire, difficile / unbedingt nötig, schwierig"</formula>
    </cfRule>
    <cfRule type="cellIs" dxfId="6144" priority="502" operator="equal">
      <formula>"Partiellement nécessaire, facile / teilweise nötig, einfach"</formula>
    </cfRule>
    <cfRule type="cellIs" dxfId="6143" priority="503" operator="equal">
      <formula>"Partiellement nécessaire, difficile / teilweise nötig, schwierig"</formula>
    </cfRule>
    <cfRule type="cellIs" dxfId="6142" priority="504" operator="equal">
      <formula>"Non nécessaire / nicht nötig"</formula>
    </cfRule>
  </conditionalFormatting>
  <conditionalFormatting sqref="W7">
    <cfRule type="cellIs" dxfId="6141" priority="493" stopIfTrue="1" operator="equal">
      <formula>"non pertinent / nicht relevant"</formula>
    </cfRule>
    <cfRule type="cellIs" dxfId="6140" priority="494" stopIfTrue="1" operator="equal">
      <formula>"Très nécessaire, difficile / unbedingt nötig, schwierig"</formula>
    </cfRule>
    <cfRule type="cellIs" dxfId="6139" priority="495" stopIfTrue="1" operator="equal">
      <formula>"Partiellement nécessaire, facile / teilweise nötig, einfach"</formula>
    </cfRule>
    <cfRule type="cellIs" dxfId="6138" priority="496" stopIfTrue="1" operator="equal">
      <formula>"Partiellement nécessaire, difficile / teilweise nötig, schwierig"</formula>
    </cfRule>
    <cfRule type="cellIs" dxfId="6137" priority="497" stopIfTrue="1" operator="equal">
      <formula>"Très nécessaire, facile / unbedingt nötig, einfach"</formula>
    </cfRule>
    <cfRule type="cellIs" dxfId="6136" priority="498" stopIfTrue="1" operator="equal">
      <formula>"Non nécessaire / nicht nötig"</formula>
    </cfRule>
  </conditionalFormatting>
  <conditionalFormatting sqref="Y7">
    <cfRule type="cellIs" dxfId="6135" priority="487" stopIfTrue="1" operator="equal">
      <formula>"non pertinent / nicht relevant"</formula>
    </cfRule>
    <cfRule type="cellIs" dxfId="6134" priority="488" stopIfTrue="1" operator="equal">
      <formula>"Très nécessaire, difficile / unbedingt nötig, schwierig"</formula>
    </cfRule>
    <cfRule type="cellIs" dxfId="6133" priority="489" stopIfTrue="1" operator="equal">
      <formula>"Partiellement nécessaire, facile / teilweise nötig, einfach"</formula>
    </cfRule>
    <cfRule type="cellIs" dxfId="6132" priority="490" stopIfTrue="1" operator="equal">
      <formula>"Partiellement nécessaire, difficile / teilweise nötig, schwierig"</formula>
    </cfRule>
    <cfRule type="cellIs" dxfId="6131" priority="491" stopIfTrue="1" operator="equal">
      <formula>"Très nécessaire, facile / unbedingt nötig, einfach"</formula>
    </cfRule>
    <cfRule type="cellIs" dxfId="6130" priority="492" stopIfTrue="1" operator="equal">
      <formula>"Non nécessaire / nicht nötig"</formula>
    </cfRule>
  </conditionalFormatting>
  <conditionalFormatting sqref="W6">
    <cfRule type="cellIs" dxfId="6129" priority="481" operator="equal">
      <formula>"non pertinent / nicht relevant"</formula>
    </cfRule>
    <cfRule type="cellIs" dxfId="6128" priority="482" operator="equal">
      <formula>"Très nécessaire, facile / unbedingt nötig, einfach"</formula>
    </cfRule>
    <cfRule type="cellIs" dxfId="6127" priority="483" operator="equal">
      <formula>"Très nécessaire, difficile / unbedingt nötig, schwierig"</formula>
    </cfRule>
    <cfRule type="cellIs" dxfId="6126" priority="484" operator="equal">
      <formula>"Partiellement nécessaire, facile / teilweise nötig, einfach"</formula>
    </cfRule>
    <cfRule type="cellIs" dxfId="6125" priority="485" operator="equal">
      <formula>"Partiellement nécessaire, difficile / teilweise nötig, schwierig"</formula>
    </cfRule>
    <cfRule type="cellIs" dxfId="6124" priority="486" operator="equal">
      <formula>"Non nécessaire / nicht nötig"</formula>
    </cfRule>
  </conditionalFormatting>
  <conditionalFormatting sqref="W5">
    <cfRule type="cellIs" dxfId="6123" priority="475" operator="equal">
      <formula>"non pertinent / nicht relevant"</formula>
    </cfRule>
    <cfRule type="cellIs" dxfId="6122" priority="476" operator="equal">
      <formula>"Très nécessaire, facile / unbedingt nötig, einfach"</formula>
    </cfRule>
    <cfRule type="cellIs" dxfId="6121" priority="477" operator="equal">
      <formula>"Très nécessaire, difficile / unbedingt nötig, schwierig"</formula>
    </cfRule>
    <cfRule type="cellIs" dxfId="6120" priority="478" operator="equal">
      <formula>"Partiellement nécessaire, facile / teilweise nötig, einfach"</formula>
    </cfRule>
    <cfRule type="cellIs" dxfId="6119" priority="479" operator="equal">
      <formula>"Partiellement nécessaire, difficile / teilweise nötig, schwierig"</formula>
    </cfRule>
    <cfRule type="cellIs" dxfId="6118" priority="480" operator="equal">
      <formula>"Non nécessaire / nicht nötig"</formula>
    </cfRule>
  </conditionalFormatting>
  <conditionalFormatting sqref="W4">
    <cfRule type="cellIs" dxfId="6117" priority="469" operator="equal">
      <formula>"non pertinent / nicht relevant"</formula>
    </cfRule>
    <cfRule type="cellIs" dxfId="6116" priority="470" operator="equal">
      <formula>"Très nécessaire, facile / unbedingt nötig, einfach"</formula>
    </cfRule>
    <cfRule type="cellIs" dxfId="6115" priority="471" operator="equal">
      <formula>"Très nécessaire, difficile / unbedingt nötig, schwierig"</formula>
    </cfRule>
    <cfRule type="cellIs" dxfId="6114" priority="472" operator="equal">
      <formula>"Partiellement nécessaire, facile / teilweise nötig, einfach"</formula>
    </cfRule>
    <cfRule type="cellIs" dxfId="6113" priority="473" operator="equal">
      <formula>"Partiellement nécessaire, difficile / teilweise nötig, schwierig"</formula>
    </cfRule>
    <cfRule type="cellIs" dxfId="6112" priority="474" operator="equal">
      <formula>"Non nécessaire / nicht nötig"</formula>
    </cfRule>
  </conditionalFormatting>
  <conditionalFormatting sqref="S131">
    <cfRule type="cellIs" dxfId="6111" priority="463" operator="equal">
      <formula>"non pertinent / nicht relevant"</formula>
    </cfRule>
    <cfRule type="cellIs" dxfId="6110" priority="464" operator="equal">
      <formula>"Très nécessaire, facile / unbedingt nötig, einfach"</formula>
    </cfRule>
    <cfRule type="cellIs" dxfId="6109" priority="465" operator="equal">
      <formula>"Très nécessaire, difficile / unbedingt nötig, schwierig"</formula>
    </cfRule>
    <cfRule type="cellIs" dxfId="6108" priority="466" operator="equal">
      <formula>"Partiellement nécessaire, facile / teilweise nötig, einfach"</formula>
    </cfRule>
    <cfRule type="cellIs" dxfId="6107" priority="467" operator="equal">
      <formula>"Partiellement nécessaire, difficile / teilweise nötig, schwierig"</formula>
    </cfRule>
    <cfRule type="cellIs" dxfId="6106" priority="468" operator="equal">
      <formula>"Non nécessaire / nicht nötig"</formula>
    </cfRule>
  </conditionalFormatting>
  <conditionalFormatting sqref="W155">
    <cfRule type="cellIs" dxfId="6105" priority="457" operator="equal">
      <formula>"non pertinent / nicht relevant"</formula>
    </cfRule>
    <cfRule type="cellIs" dxfId="6104" priority="458" operator="equal">
      <formula>"Très nécessaire, facile / unbedingt nötig, einfach"</formula>
    </cfRule>
    <cfRule type="cellIs" dxfId="6103" priority="459" operator="equal">
      <formula>"Très nécessaire, difficile / unbedingt nötig, schwierig"</formula>
    </cfRule>
    <cfRule type="cellIs" dxfId="6102" priority="460" operator="equal">
      <formula>"Partiellement nécessaire, facile / teilweise nötig, einfach"</formula>
    </cfRule>
    <cfRule type="cellIs" dxfId="6101" priority="461" operator="equal">
      <formula>"Partiellement nécessaire, difficile / teilweise nötig, schwierig"</formula>
    </cfRule>
    <cfRule type="cellIs" dxfId="6100" priority="462" operator="equal">
      <formula>"Non nécessaire / nicht nötig"</formula>
    </cfRule>
  </conditionalFormatting>
  <conditionalFormatting sqref="Y168">
    <cfRule type="cellIs" dxfId="6099" priority="451" operator="equal">
      <formula>"non pertinent / nicht relevant"</formula>
    </cfRule>
    <cfRule type="cellIs" dxfId="6098" priority="452" operator="equal">
      <formula>"Très nécessaire, facile / unbedingt nötig, einfach"</formula>
    </cfRule>
    <cfRule type="cellIs" dxfId="6097" priority="453" operator="equal">
      <formula>"Très nécessaire, difficile / unbedingt nötig, schwierig"</formula>
    </cfRule>
    <cfRule type="cellIs" dxfId="6096" priority="454" operator="equal">
      <formula>"Partiellement nécessaire, facile / teilweise nötig, einfach"</formula>
    </cfRule>
    <cfRule type="cellIs" dxfId="6095" priority="455" operator="equal">
      <formula>"Partiellement nécessaire, difficile / teilweise nötig, schwierig"</formula>
    </cfRule>
    <cfRule type="cellIs" dxfId="6094" priority="456" operator="equal">
      <formula>"Non nécessaire / nicht nötig"</formula>
    </cfRule>
  </conditionalFormatting>
  <conditionalFormatting sqref="W168">
    <cfRule type="cellIs" dxfId="6093" priority="445" operator="equal">
      <formula>"non pertinent / nicht relevant"</formula>
    </cfRule>
    <cfRule type="cellIs" dxfId="6092" priority="446" operator="equal">
      <formula>"Très nécessaire, facile / unbedingt nötig, einfach"</formula>
    </cfRule>
    <cfRule type="cellIs" dxfId="6091" priority="447" operator="equal">
      <formula>"Très nécessaire, difficile / unbedingt nötig, schwierig"</formula>
    </cfRule>
    <cfRule type="cellIs" dxfId="6090" priority="448" operator="equal">
      <formula>"Partiellement nécessaire, facile / teilweise nötig, einfach"</formula>
    </cfRule>
    <cfRule type="cellIs" dxfId="6089" priority="449" operator="equal">
      <formula>"Partiellement nécessaire, difficile / teilweise nötig, schwierig"</formula>
    </cfRule>
    <cfRule type="cellIs" dxfId="6088" priority="450" operator="equal">
      <formula>"Non nécessaire / nicht nötig"</formula>
    </cfRule>
  </conditionalFormatting>
  <conditionalFormatting sqref="W27">
    <cfRule type="cellIs" dxfId="6087" priority="439" operator="equal">
      <formula>"non pertinent / nicht relevant"</formula>
    </cfRule>
    <cfRule type="cellIs" dxfId="6086" priority="440" operator="equal">
      <formula>"Très nécessaire, facile / unbedingt nötig, einfach"</formula>
    </cfRule>
    <cfRule type="cellIs" dxfId="6085" priority="441" operator="equal">
      <formula>"Très nécessaire, difficile / unbedingt nötig, schwierig"</formula>
    </cfRule>
    <cfRule type="cellIs" dxfId="6084" priority="442" operator="equal">
      <formula>"Partiellement nécessaire, facile / teilweise nötig, einfach"</formula>
    </cfRule>
    <cfRule type="cellIs" dxfId="6083" priority="443" operator="equal">
      <formula>"Partiellement nécessaire, difficile / teilweise nötig, schwierig"</formula>
    </cfRule>
    <cfRule type="cellIs" dxfId="6082" priority="444" operator="equal">
      <formula>"Non nécessaire / nicht nötig"</formula>
    </cfRule>
  </conditionalFormatting>
  <conditionalFormatting sqref="Y21">
    <cfRule type="cellIs" dxfId="6081" priority="427" operator="equal">
      <formula>"non pertinent / nicht relevant"</formula>
    </cfRule>
    <cfRule type="cellIs" dxfId="6080" priority="428" operator="equal">
      <formula>"Très nécessaire, facile / unbedingt nötig, einfach"</formula>
    </cfRule>
    <cfRule type="cellIs" dxfId="6079" priority="429" operator="equal">
      <formula>"Très nécessaire, difficile / unbedingt nötig, schwierig"</formula>
    </cfRule>
    <cfRule type="cellIs" dxfId="6078" priority="430" operator="equal">
      <formula>"Partiellement nécessaire, facile / teilweise nötig, einfach"</formula>
    </cfRule>
    <cfRule type="cellIs" dxfId="6077" priority="431" operator="equal">
      <formula>"Partiellement nécessaire, difficile / teilweise nötig, schwierig"</formula>
    </cfRule>
    <cfRule type="cellIs" dxfId="6076" priority="432" operator="equal">
      <formula>"Non nécessaire / nicht nötig"</formula>
    </cfRule>
  </conditionalFormatting>
  <conditionalFormatting sqref="Y24">
    <cfRule type="cellIs" dxfId="6075" priority="421" operator="equal">
      <formula>"non pertinent / nicht relevant"</formula>
    </cfRule>
    <cfRule type="cellIs" dxfId="6074" priority="422" operator="equal">
      <formula>"Très nécessaire, facile / unbedingt nötig, einfach"</formula>
    </cfRule>
    <cfRule type="cellIs" dxfId="6073" priority="423" operator="equal">
      <formula>"Très nécessaire, difficile / unbedingt nötig, schwierig"</formula>
    </cfRule>
    <cfRule type="cellIs" dxfId="6072" priority="424" operator="equal">
      <formula>"Partiellement nécessaire, facile / teilweise nötig, einfach"</formula>
    </cfRule>
    <cfRule type="cellIs" dxfId="6071" priority="425" operator="equal">
      <formula>"Partiellement nécessaire, difficile / teilweise nötig, schwierig"</formula>
    </cfRule>
    <cfRule type="cellIs" dxfId="6070" priority="426" operator="equal">
      <formula>"Non nécessaire / nicht nötig"</formula>
    </cfRule>
  </conditionalFormatting>
  <conditionalFormatting sqref="Y25">
    <cfRule type="cellIs" dxfId="6069" priority="415" operator="equal">
      <formula>"non pertinent / nicht relevant"</formula>
    </cfRule>
    <cfRule type="cellIs" dxfId="6068" priority="416" operator="equal">
      <formula>"Très nécessaire, facile / unbedingt nötig, einfach"</formula>
    </cfRule>
    <cfRule type="cellIs" dxfId="6067" priority="417" operator="equal">
      <formula>"Très nécessaire, difficile / unbedingt nötig, schwierig"</formula>
    </cfRule>
    <cfRule type="cellIs" dxfId="6066" priority="418" operator="equal">
      <formula>"Partiellement nécessaire, facile / teilweise nötig, einfach"</formula>
    </cfRule>
    <cfRule type="cellIs" dxfId="6065" priority="419" operator="equal">
      <formula>"Partiellement nécessaire, difficile / teilweise nötig, schwierig"</formula>
    </cfRule>
    <cfRule type="cellIs" dxfId="6064" priority="420" operator="equal">
      <formula>"Non nécessaire / nicht nötig"</formula>
    </cfRule>
  </conditionalFormatting>
  <conditionalFormatting sqref="Y30">
    <cfRule type="cellIs" dxfId="6063" priority="403" operator="equal">
      <formula>"non pertinent / nicht relevant"</formula>
    </cfRule>
    <cfRule type="cellIs" dxfId="6062" priority="404" operator="equal">
      <formula>"Très nécessaire, facile / unbedingt nötig, einfach"</formula>
    </cfRule>
    <cfRule type="cellIs" dxfId="6061" priority="405" operator="equal">
      <formula>"Très nécessaire, difficile / unbedingt nötig, schwierig"</formula>
    </cfRule>
    <cfRule type="cellIs" dxfId="6060" priority="406" operator="equal">
      <formula>"Partiellement nécessaire, facile / teilweise nötig, einfach"</formula>
    </cfRule>
    <cfRule type="cellIs" dxfId="6059" priority="407" operator="equal">
      <formula>"Partiellement nécessaire, difficile / teilweise nötig, schwierig"</formula>
    </cfRule>
    <cfRule type="cellIs" dxfId="6058" priority="408" operator="equal">
      <formula>"Non nécessaire / nicht nötig"</formula>
    </cfRule>
  </conditionalFormatting>
  <conditionalFormatting sqref="Y37">
    <cfRule type="cellIs" dxfId="6057" priority="397" operator="equal">
      <formula>"non pertinent / nicht relevant"</formula>
    </cfRule>
    <cfRule type="cellIs" dxfId="6056" priority="398" operator="equal">
      <formula>"Très nécessaire, facile / unbedingt nötig, einfach"</formula>
    </cfRule>
    <cfRule type="cellIs" dxfId="6055" priority="399" operator="equal">
      <formula>"Très nécessaire, difficile / unbedingt nötig, schwierig"</formula>
    </cfRule>
    <cfRule type="cellIs" dxfId="6054" priority="400" operator="equal">
      <formula>"Partiellement nécessaire, facile / teilweise nötig, einfach"</formula>
    </cfRule>
    <cfRule type="cellIs" dxfId="6053" priority="401" operator="equal">
      <formula>"Partiellement nécessaire, difficile / teilweise nötig, schwierig"</formula>
    </cfRule>
    <cfRule type="cellIs" dxfId="6052" priority="402" operator="equal">
      <formula>"Non nécessaire / nicht nötig"</formula>
    </cfRule>
  </conditionalFormatting>
  <conditionalFormatting sqref="Y39">
    <cfRule type="cellIs" dxfId="6051" priority="391" operator="equal">
      <formula>"non pertinent / nicht relevant"</formula>
    </cfRule>
    <cfRule type="cellIs" dxfId="6050" priority="392" operator="equal">
      <formula>"Très nécessaire, facile / unbedingt nötig, einfach"</formula>
    </cfRule>
    <cfRule type="cellIs" dxfId="6049" priority="393" operator="equal">
      <formula>"Très nécessaire, difficile / unbedingt nötig, schwierig"</formula>
    </cfRule>
    <cfRule type="cellIs" dxfId="6048" priority="394" operator="equal">
      <formula>"Partiellement nécessaire, facile / teilweise nötig, einfach"</formula>
    </cfRule>
    <cfRule type="cellIs" dxfId="6047" priority="395" operator="equal">
      <formula>"Partiellement nécessaire, difficile / teilweise nötig, schwierig"</formula>
    </cfRule>
    <cfRule type="cellIs" dxfId="6046" priority="396" operator="equal">
      <formula>"Non nécessaire / nicht nötig"</formula>
    </cfRule>
  </conditionalFormatting>
  <conditionalFormatting sqref="Y40">
    <cfRule type="cellIs" dxfId="6045" priority="385" operator="equal">
      <formula>"non pertinent / nicht relevant"</formula>
    </cfRule>
    <cfRule type="cellIs" dxfId="6044" priority="386" operator="equal">
      <formula>"Très nécessaire, facile / unbedingt nötig, einfach"</formula>
    </cfRule>
    <cfRule type="cellIs" dxfId="6043" priority="387" operator="equal">
      <formula>"Très nécessaire, difficile / unbedingt nötig, schwierig"</formula>
    </cfRule>
    <cfRule type="cellIs" dxfId="6042" priority="388" operator="equal">
      <formula>"Partiellement nécessaire, facile / teilweise nötig, einfach"</formula>
    </cfRule>
    <cfRule type="cellIs" dxfId="6041" priority="389" operator="equal">
      <formula>"Partiellement nécessaire, difficile / teilweise nötig, schwierig"</formula>
    </cfRule>
    <cfRule type="cellIs" dxfId="6040" priority="390" operator="equal">
      <formula>"Non nécessaire / nicht nötig"</formula>
    </cfRule>
  </conditionalFormatting>
  <conditionalFormatting sqref="Y42">
    <cfRule type="cellIs" dxfId="6039" priority="379" operator="equal">
      <formula>"non pertinent / nicht relevant"</formula>
    </cfRule>
    <cfRule type="cellIs" dxfId="6038" priority="380" operator="equal">
      <formula>"Très nécessaire, facile / unbedingt nötig, einfach"</formula>
    </cfRule>
    <cfRule type="cellIs" dxfId="6037" priority="381" operator="equal">
      <formula>"Très nécessaire, difficile / unbedingt nötig, schwierig"</formula>
    </cfRule>
    <cfRule type="cellIs" dxfId="6036" priority="382" operator="equal">
      <formula>"Partiellement nécessaire, facile / teilweise nötig, einfach"</formula>
    </cfRule>
    <cfRule type="cellIs" dxfId="6035" priority="383" operator="equal">
      <formula>"Partiellement nécessaire, difficile / teilweise nötig, schwierig"</formula>
    </cfRule>
    <cfRule type="cellIs" dxfId="6034" priority="384" operator="equal">
      <formula>"Non nécessaire / nicht nötig"</formula>
    </cfRule>
  </conditionalFormatting>
  <conditionalFormatting sqref="Y43">
    <cfRule type="cellIs" dxfId="6033" priority="373" operator="equal">
      <formula>"non pertinent / nicht relevant"</formula>
    </cfRule>
    <cfRule type="cellIs" dxfId="6032" priority="374" operator="equal">
      <formula>"Très nécessaire, facile / unbedingt nötig, einfach"</formula>
    </cfRule>
    <cfRule type="cellIs" dxfId="6031" priority="375" operator="equal">
      <formula>"Très nécessaire, difficile / unbedingt nötig, schwierig"</formula>
    </cfRule>
    <cfRule type="cellIs" dxfId="6030" priority="376" operator="equal">
      <formula>"Partiellement nécessaire, facile / teilweise nötig, einfach"</formula>
    </cfRule>
    <cfRule type="cellIs" dxfId="6029" priority="377" operator="equal">
      <formula>"Partiellement nécessaire, difficile / teilweise nötig, schwierig"</formula>
    </cfRule>
    <cfRule type="cellIs" dxfId="6028" priority="378" operator="equal">
      <formula>"Non nécessaire / nicht nötig"</formula>
    </cfRule>
  </conditionalFormatting>
  <conditionalFormatting sqref="Y47">
    <cfRule type="cellIs" dxfId="6027" priority="367" operator="equal">
      <formula>"non pertinent / nicht relevant"</formula>
    </cfRule>
    <cfRule type="cellIs" dxfId="6026" priority="368" operator="equal">
      <formula>"Très nécessaire, facile / unbedingt nötig, einfach"</formula>
    </cfRule>
    <cfRule type="cellIs" dxfId="6025" priority="369" operator="equal">
      <formula>"Très nécessaire, difficile / unbedingt nötig, schwierig"</formula>
    </cfRule>
    <cfRule type="cellIs" dxfId="6024" priority="370" operator="equal">
      <formula>"Partiellement nécessaire, facile / teilweise nötig, einfach"</formula>
    </cfRule>
    <cfRule type="cellIs" dxfId="6023" priority="371" operator="equal">
      <formula>"Partiellement nécessaire, difficile / teilweise nötig, schwierig"</formula>
    </cfRule>
    <cfRule type="cellIs" dxfId="6022" priority="372" operator="equal">
      <formula>"Non nécessaire / nicht nötig"</formula>
    </cfRule>
  </conditionalFormatting>
  <conditionalFormatting sqref="Y56">
    <cfRule type="cellIs" dxfId="6021" priority="361" stopIfTrue="1" operator="equal">
      <formula>"non pertinent / nicht relevant"</formula>
    </cfRule>
    <cfRule type="cellIs" dxfId="6020" priority="362" stopIfTrue="1" operator="equal">
      <formula>"Très nécessaire, difficile / unbedingt nötig, schwierig"</formula>
    </cfRule>
    <cfRule type="cellIs" dxfId="6019" priority="363" stopIfTrue="1" operator="equal">
      <formula>"Partiellement nécessaire, facile / teilweise nötig, einfach"</formula>
    </cfRule>
    <cfRule type="cellIs" dxfId="6018" priority="364" stopIfTrue="1" operator="equal">
      <formula>"Partiellement nécessaire, difficile / teilweise nötig, schwierig"</formula>
    </cfRule>
    <cfRule type="cellIs" dxfId="6017" priority="365" stopIfTrue="1" operator="equal">
      <formula>"Très nécessaire, facile / unbedingt nötig, einfach"</formula>
    </cfRule>
    <cfRule type="cellIs" dxfId="6016" priority="366" stopIfTrue="1" operator="equal">
      <formula>"Non nécessaire / nicht nötig"</formula>
    </cfRule>
  </conditionalFormatting>
  <conditionalFormatting sqref="Y57">
    <cfRule type="cellIs" dxfId="6015" priority="355" operator="equal">
      <formula>"non pertinent / nicht relevant"</formula>
    </cfRule>
    <cfRule type="cellIs" dxfId="6014" priority="356" operator="equal">
      <formula>"Très nécessaire, facile / unbedingt nötig, einfach"</formula>
    </cfRule>
    <cfRule type="cellIs" dxfId="6013" priority="357" operator="equal">
      <formula>"Très nécessaire, difficile / unbedingt nötig, schwierig"</formula>
    </cfRule>
    <cfRule type="cellIs" dxfId="6012" priority="358" operator="equal">
      <formula>"Partiellement nécessaire, facile / teilweise nötig, einfach"</formula>
    </cfRule>
    <cfRule type="cellIs" dxfId="6011" priority="359" operator="equal">
      <formula>"Partiellement nécessaire, difficile / teilweise nötig, schwierig"</formula>
    </cfRule>
    <cfRule type="cellIs" dxfId="6010" priority="360" operator="equal">
      <formula>"Non nécessaire / nicht nötig"</formula>
    </cfRule>
  </conditionalFormatting>
  <conditionalFormatting sqref="Y61">
    <cfRule type="cellIs" dxfId="6009" priority="349" operator="equal">
      <formula>"non pertinent / nicht relevant"</formula>
    </cfRule>
    <cfRule type="cellIs" dxfId="6008" priority="350" operator="equal">
      <formula>"Très nécessaire, facile / unbedingt nötig, einfach"</formula>
    </cfRule>
    <cfRule type="cellIs" dxfId="6007" priority="351" operator="equal">
      <formula>"Très nécessaire, difficile / unbedingt nötig, schwierig"</formula>
    </cfRule>
    <cfRule type="cellIs" dxfId="6006" priority="352" operator="equal">
      <formula>"Partiellement nécessaire, facile / teilweise nötig, einfach"</formula>
    </cfRule>
    <cfRule type="cellIs" dxfId="6005" priority="353" operator="equal">
      <formula>"Partiellement nécessaire, difficile / teilweise nötig, schwierig"</formula>
    </cfRule>
    <cfRule type="cellIs" dxfId="6004" priority="354" operator="equal">
      <formula>"Non nécessaire / nicht nötig"</formula>
    </cfRule>
  </conditionalFormatting>
  <conditionalFormatting sqref="Y81">
    <cfRule type="cellIs" dxfId="6003" priority="343" operator="equal">
      <formula>"non pertinent / nicht relevant"</formula>
    </cfRule>
    <cfRule type="cellIs" dxfId="6002" priority="344" operator="equal">
      <formula>"Très nécessaire, facile / unbedingt nötig, einfach"</formula>
    </cfRule>
    <cfRule type="cellIs" dxfId="6001" priority="345" operator="equal">
      <formula>"Très nécessaire, difficile / unbedingt nötig, schwierig"</formula>
    </cfRule>
    <cfRule type="cellIs" dxfId="6000" priority="346" operator="equal">
      <formula>"Partiellement nécessaire, facile / teilweise nötig, einfach"</formula>
    </cfRule>
    <cfRule type="cellIs" dxfId="5999" priority="347" operator="equal">
      <formula>"Partiellement nécessaire, difficile / teilweise nötig, schwierig"</formula>
    </cfRule>
    <cfRule type="cellIs" dxfId="5998" priority="348" operator="equal">
      <formula>"Non nécessaire / nicht nötig"</formula>
    </cfRule>
  </conditionalFormatting>
  <conditionalFormatting sqref="Y67">
    <cfRule type="cellIs" dxfId="5997" priority="337" operator="equal">
      <formula>"non pertinent / nicht relevant"</formula>
    </cfRule>
    <cfRule type="cellIs" dxfId="5996" priority="338" operator="equal">
      <formula>"Très nécessaire, facile / unbedingt nötig, einfach"</formula>
    </cfRule>
    <cfRule type="cellIs" dxfId="5995" priority="339" operator="equal">
      <formula>"Très nécessaire, difficile / unbedingt nötig, schwierig"</formula>
    </cfRule>
    <cfRule type="cellIs" dxfId="5994" priority="340" operator="equal">
      <formula>"Partiellement nécessaire, facile / teilweise nötig, einfach"</formula>
    </cfRule>
    <cfRule type="cellIs" dxfId="5993" priority="341" operator="equal">
      <formula>"Partiellement nécessaire, difficile / teilweise nötig, schwierig"</formula>
    </cfRule>
    <cfRule type="cellIs" dxfId="5992" priority="342" operator="equal">
      <formula>"Non nécessaire / nicht nötig"</formula>
    </cfRule>
  </conditionalFormatting>
  <conditionalFormatting sqref="Y69">
    <cfRule type="cellIs" dxfId="5991" priority="331" operator="equal">
      <formula>"non pertinent / nicht relevant"</formula>
    </cfRule>
    <cfRule type="cellIs" dxfId="5990" priority="332" operator="equal">
      <formula>"Très nécessaire, facile / unbedingt nötig, einfach"</formula>
    </cfRule>
    <cfRule type="cellIs" dxfId="5989" priority="333" operator="equal">
      <formula>"Très nécessaire, difficile / unbedingt nötig, schwierig"</formula>
    </cfRule>
    <cfRule type="cellIs" dxfId="5988" priority="334" operator="equal">
      <formula>"Partiellement nécessaire, facile / teilweise nötig, einfach"</formula>
    </cfRule>
    <cfRule type="cellIs" dxfId="5987" priority="335" operator="equal">
      <formula>"Partiellement nécessaire, difficile / teilweise nötig, schwierig"</formula>
    </cfRule>
    <cfRule type="cellIs" dxfId="5986" priority="336" operator="equal">
      <formula>"Non nécessaire / nicht nötig"</formula>
    </cfRule>
  </conditionalFormatting>
  <conditionalFormatting sqref="Y70">
    <cfRule type="cellIs" dxfId="5985" priority="325" stopIfTrue="1" operator="equal">
      <formula>"non pertinent / nicht relevant"</formula>
    </cfRule>
    <cfRule type="cellIs" dxfId="5984" priority="326" stopIfTrue="1" operator="equal">
      <formula>"Très nécessaire, difficile / unbedingt nötig, schwierig"</formula>
    </cfRule>
    <cfRule type="cellIs" dxfId="5983" priority="327" stopIfTrue="1" operator="equal">
      <formula>"Partiellement nécessaire, facile / teilweise nötig, einfach"</formula>
    </cfRule>
    <cfRule type="cellIs" dxfId="5982" priority="328" stopIfTrue="1" operator="equal">
      <formula>"Partiellement nécessaire, difficile / teilweise nötig, schwierig"</formula>
    </cfRule>
    <cfRule type="cellIs" dxfId="5981" priority="329" stopIfTrue="1" operator="equal">
      <formula>"Très nécessaire, facile / unbedingt nötig, einfach"</formula>
    </cfRule>
    <cfRule type="cellIs" dxfId="5980" priority="330" stopIfTrue="1" operator="equal">
      <formula>"Non nécessaire / nicht nötig"</formula>
    </cfRule>
  </conditionalFormatting>
  <conditionalFormatting sqref="Y72">
    <cfRule type="cellIs" dxfId="5979" priority="319" operator="equal">
      <formula>"non pertinent / nicht relevant"</formula>
    </cfRule>
    <cfRule type="cellIs" dxfId="5978" priority="320" operator="equal">
      <formula>"Très nécessaire, facile / unbedingt nötig, einfach"</formula>
    </cfRule>
    <cfRule type="cellIs" dxfId="5977" priority="321" operator="equal">
      <formula>"Très nécessaire, difficile / unbedingt nötig, schwierig"</formula>
    </cfRule>
    <cfRule type="cellIs" dxfId="5976" priority="322" operator="equal">
      <formula>"Partiellement nécessaire, facile / teilweise nötig, einfach"</formula>
    </cfRule>
    <cfRule type="cellIs" dxfId="5975" priority="323" operator="equal">
      <formula>"Partiellement nécessaire, difficile / teilweise nötig, schwierig"</formula>
    </cfRule>
    <cfRule type="cellIs" dxfId="5974" priority="324" operator="equal">
      <formula>"Non nécessaire / nicht nötig"</formula>
    </cfRule>
  </conditionalFormatting>
  <conditionalFormatting sqref="Y73">
    <cfRule type="cellIs" dxfId="5973" priority="313" operator="equal">
      <formula>"non pertinent / nicht relevant"</formula>
    </cfRule>
    <cfRule type="cellIs" dxfId="5972" priority="314" operator="equal">
      <formula>"Très nécessaire, facile / unbedingt nötig, einfach"</formula>
    </cfRule>
    <cfRule type="cellIs" dxfId="5971" priority="315" operator="equal">
      <formula>"Très nécessaire, difficile / unbedingt nötig, schwierig"</formula>
    </cfRule>
    <cfRule type="cellIs" dxfId="5970" priority="316" operator="equal">
      <formula>"Partiellement nécessaire, facile / teilweise nötig, einfach"</formula>
    </cfRule>
    <cfRule type="cellIs" dxfId="5969" priority="317" operator="equal">
      <formula>"Partiellement nécessaire, difficile / teilweise nötig, schwierig"</formula>
    </cfRule>
    <cfRule type="cellIs" dxfId="5968" priority="318" operator="equal">
      <formula>"Non nécessaire / nicht nötig"</formula>
    </cfRule>
  </conditionalFormatting>
  <conditionalFormatting sqref="Y75">
    <cfRule type="cellIs" dxfId="5967" priority="307" stopIfTrue="1" operator="equal">
      <formula>"non pertinent / nicht relevant"</formula>
    </cfRule>
    <cfRule type="cellIs" dxfId="5966" priority="308" stopIfTrue="1" operator="equal">
      <formula>"Très nécessaire, difficile / unbedingt nötig, schwierig"</formula>
    </cfRule>
    <cfRule type="cellIs" dxfId="5965" priority="309" stopIfTrue="1" operator="equal">
      <formula>"Partiellement nécessaire, facile / teilweise nötig, einfach"</formula>
    </cfRule>
    <cfRule type="cellIs" dxfId="5964" priority="310" stopIfTrue="1" operator="equal">
      <formula>"Partiellement nécessaire, difficile / teilweise nötig, schwierig"</formula>
    </cfRule>
    <cfRule type="cellIs" dxfId="5963" priority="311" stopIfTrue="1" operator="equal">
      <formula>"Très nécessaire, facile / unbedingt nötig, einfach"</formula>
    </cfRule>
    <cfRule type="cellIs" dxfId="5962" priority="312" stopIfTrue="1" operator="equal">
      <formula>"Non nécessaire / nicht nötig"</formula>
    </cfRule>
  </conditionalFormatting>
  <conditionalFormatting sqref="Y86:Y105 Y107:Y130 Y132:Y135 Y137:Y142">
    <cfRule type="cellIs" dxfId="5961" priority="301" operator="equal">
      <formula>"non pertinent / nicht relevant"</formula>
    </cfRule>
    <cfRule type="cellIs" dxfId="5960" priority="302" operator="equal">
      <formula>"Très nécessaire, facile / unbedingt nötig, einfach"</formula>
    </cfRule>
    <cfRule type="cellIs" dxfId="5959" priority="303" operator="equal">
      <formula>"Très nécessaire, difficile / unbedingt nötig, schwierig"</formula>
    </cfRule>
    <cfRule type="cellIs" dxfId="5958" priority="304" operator="equal">
      <formula>"Partiellement nécessaire, facile / teilweise nötig, einfach"</formula>
    </cfRule>
    <cfRule type="cellIs" dxfId="5957" priority="305" operator="equal">
      <formula>"Partiellement nécessaire, difficile / teilweise nötig, schwierig"</formula>
    </cfRule>
    <cfRule type="cellIs" dxfId="5956" priority="306" operator="equal">
      <formula>"Non nécessaire / nicht nötig"</formula>
    </cfRule>
  </conditionalFormatting>
  <conditionalFormatting sqref="Y106">
    <cfRule type="cellIs" dxfId="5955" priority="295" operator="equal">
      <formula>"non pertinent / nicht relevant"</formula>
    </cfRule>
    <cfRule type="cellIs" dxfId="5954" priority="296" operator="equal">
      <formula>"Très nécessaire, facile / unbedingt nötig, einfach"</formula>
    </cfRule>
    <cfRule type="cellIs" dxfId="5953" priority="297" operator="equal">
      <formula>"Très nécessaire, difficile / unbedingt nötig, schwierig"</formula>
    </cfRule>
    <cfRule type="cellIs" dxfId="5952" priority="298" operator="equal">
      <formula>"Partiellement nécessaire, facile / teilweise nötig, einfach"</formula>
    </cfRule>
    <cfRule type="cellIs" dxfId="5951" priority="299" operator="equal">
      <formula>"Partiellement nécessaire, difficile / teilweise nötig, schwierig"</formula>
    </cfRule>
    <cfRule type="cellIs" dxfId="5950" priority="300" operator="equal">
      <formula>"Non nécessaire / nicht nötig"</formula>
    </cfRule>
  </conditionalFormatting>
  <conditionalFormatting sqref="Y136">
    <cfRule type="cellIs" dxfId="5949" priority="289" operator="equal">
      <formula>"non pertinent / nicht relevant"</formula>
    </cfRule>
    <cfRule type="cellIs" dxfId="5948" priority="290" operator="equal">
      <formula>"Très nécessaire, facile / unbedingt nötig, einfach"</formula>
    </cfRule>
    <cfRule type="cellIs" dxfId="5947" priority="291" operator="equal">
      <formula>"Très nécessaire, difficile / unbedingt nötig, schwierig"</formula>
    </cfRule>
    <cfRule type="cellIs" dxfId="5946" priority="292" operator="equal">
      <formula>"Partiellement nécessaire, facile / teilweise nötig, einfach"</formula>
    </cfRule>
    <cfRule type="cellIs" dxfId="5945" priority="293" operator="equal">
      <formula>"Partiellement nécessaire, difficile / teilweise nötig, schwierig"</formula>
    </cfRule>
    <cfRule type="cellIs" dxfId="5944" priority="294" operator="equal">
      <formula>"Non nécessaire / nicht nötig"</formula>
    </cfRule>
  </conditionalFormatting>
  <conditionalFormatting sqref="Y131">
    <cfRule type="cellIs" dxfId="5943" priority="283" operator="equal">
      <formula>"non pertinent / nicht relevant"</formula>
    </cfRule>
    <cfRule type="cellIs" dxfId="5942" priority="284" operator="equal">
      <formula>"Très nécessaire, facile / unbedingt nötig, einfach"</formula>
    </cfRule>
    <cfRule type="cellIs" dxfId="5941" priority="285" operator="equal">
      <formula>"Très nécessaire, difficile / unbedingt nötig, schwierig"</formula>
    </cfRule>
    <cfRule type="cellIs" dxfId="5940" priority="286" operator="equal">
      <formula>"Partiellement nécessaire, facile / teilweise nötig, einfach"</formula>
    </cfRule>
    <cfRule type="cellIs" dxfId="5939" priority="287" operator="equal">
      <formula>"Partiellement nécessaire, difficile / teilweise nötig, schwierig"</formula>
    </cfRule>
    <cfRule type="cellIs" dxfId="5938" priority="288" operator="equal">
      <formula>"Non nécessaire / nicht nötig"</formula>
    </cfRule>
  </conditionalFormatting>
  <conditionalFormatting sqref="Y143">
    <cfRule type="cellIs" dxfId="5937" priority="277" operator="equal">
      <formula>"non pertinent / nicht relevant"</formula>
    </cfRule>
    <cfRule type="cellIs" dxfId="5936" priority="278" operator="equal">
      <formula>"Très nécessaire, facile / unbedingt nötig, einfach"</formula>
    </cfRule>
    <cfRule type="cellIs" dxfId="5935" priority="279" operator="equal">
      <formula>"Très nécessaire, difficile / unbedingt nötig, schwierig"</formula>
    </cfRule>
    <cfRule type="cellIs" dxfId="5934" priority="280" operator="equal">
      <formula>"Partiellement nécessaire, facile / teilweise nötig, einfach"</formula>
    </cfRule>
    <cfRule type="cellIs" dxfId="5933" priority="281" operator="equal">
      <formula>"Partiellement nécessaire, difficile / teilweise nötig, schwierig"</formula>
    </cfRule>
    <cfRule type="cellIs" dxfId="5932" priority="282" operator="equal">
      <formula>"Non nécessaire / nicht nötig"</formula>
    </cfRule>
  </conditionalFormatting>
  <conditionalFormatting sqref="Y144">
    <cfRule type="cellIs" dxfId="5931" priority="271" stopIfTrue="1" operator="equal">
      <formula>"non pertinent / nicht relevant"</formula>
    </cfRule>
    <cfRule type="cellIs" dxfId="5930" priority="272" stopIfTrue="1" operator="equal">
      <formula>"Très nécessaire, difficile / unbedingt nötig, schwierig"</formula>
    </cfRule>
    <cfRule type="cellIs" dxfId="5929" priority="273" stopIfTrue="1" operator="equal">
      <formula>"Partiellement nécessaire, facile / teilweise nötig, einfach"</formula>
    </cfRule>
    <cfRule type="cellIs" dxfId="5928" priority="274" stopIfTrue="1" operator="equal">
      <formula>"Partiellement nécessaire, difficile / teilweise nötig, schwierig"</formula>
    </cfRule>
    <cfRule type="cellIs" dxfId="5927" priority="275" stopIfTrue="1" operator="equal">
      <formula>"Très nécessaire, facile / unbedingt nötig, einfach"</formula>
    </cfRule>
    <cfRule type="cellIs" dxfId="5926" priority="276" stopIfTrue="1" operator="equal">
      <formula>"Non nécessaire / nicht nötig"</formula>
    </cfRule>
  </conditionalFormatting>
  <conditionalFormatting sqref="Y145">
    <cfRule type="cellIs" dxfId="5925" priority="265" stopIfTrue="1" operator="equal">
      <formula>"non pertinent / nicht relevant"</formula>
    </cfRule>
    <cfRule type="cellIs" dxfId="5924" priority="266" stopIfTrue="1" operator="equal">
      <formula>"Très nécessaire, difficile / unbedingt nötig, schwierig"</formula>
    </cfRule>
    <cfRule type="cellIs" dxfId="5923" priority="267" stopIfTrue="1" operator="equal">
      <formula>"Partiellement nécessaire, facile / teilweise nötig, einfach"</formula>
    </cfRule>
    <cfRule type="cellIs" dxfId="5922" priority="268" stopIfTrue="1" operator="equal">
      <formula>"Partiellement nécessaire, difficile / teilweise nötig, schwierig"</formula>
    </cfRule>
    <cfRule type="cellIs" dxfId="5921" priority="269" stopIfTrue="1" operator="equal">
      <formula>"Très nécessaire, facile / unbedingt nötig, einfach"</formula>
    </cfRule>
    <cfRule type="cellIs" dxfId="5920" priority="270" stopIfTrue="1" operator="equal">
      <formula>"Non nécessaire / nicht nötig"</formula>
    </cfRule>
  </conditionalFormatting>
  <conditionalFormatting sqref="Y152">
    <cfRule type="cellIs" dxfId="5919" priority="259" operator="equal">
      <formula>"non pertinent / nicht relevant"</formula>
    </cfRule>
    <cfRule type="cellIs" dxfId="5918" priority="260" operator="equal">
      <formula>"Très nécessaire, facile / unbedingt nötig, einfach"</formula>
    </cfRule>
    <cfRule type="cellIs" dxfId="5917" priority="261" operator="equal">
      <formula>"Très nécessaire, difficile / unbedingt nötig, schwierig"</formula>
    </cfRule>
    <cfRule type="cellIs" dxfId="5916" priority="262" operator="equal">
      <formula>"Partiellement nécessaire, facile / teilweise nötig, einfach"</formula>
    </cfRule>
    <cfRule type="cellIs" dxfId="5915" priority="263" operator="equal">
      <formula>"Partiellement nécessaire, difficile / teilweise nötig, schwierig"</formula>
    </cfRule>
    <cfRule type="cellIs" dxfId="5914" priority="264" operator="equal">
      <formula>"Non nécessaire / nicht nötig"</formula>
    </cfRule>
  </conditionalFormatting>
  <conditionalFormatting sqref="Y169">
    <cfRule type="cellIs" dxfId="5913" priority="253" operator="equal">
      <formula>"non pertinent / nicht relevant"</formula>
    </cfRule>
    <cfRule type="cellIs" dxfId="5912" priority="254" operator="equal">
      <formula>"Très nécessaire, facile / unbedingt nötig, einfach"</formula>
    </cfRule>
    <cfRule type="cellIs" dxfId="5911" priority="255" operator="equal">
      <formula>"Très nécessaire, difficile / unbedingt nötig, schwierig"</formula>
    </cfRule>
    <cfRule type="cellIs" dxfId="5910" priority="256" operator="equal">
      <formula>"Partiellement nécessaire, facile / teilweise nötig, einfach"</formula>
    </cfRule>
    <cfRule type="cellIs" dxfId="5909" priority="257" operator="equal">
      <formula>"Partiellement nécessaire, difficile / teilweise nötig, schwierig"</formula>
    </cfRule>
    <cfRule type="cellIs" dxfId="5908" priority="258" operator="equal">
      <formula>"Non nécessaire / nicht nötig"</formula>
    </cfRule>
  </conditionalFormatting>
  <conditionalFormatting sqref="Y180">
    <cfRule type="cellIs" dxfId="5907" priority="247" operator="equal">
      <formula>"non pertinent / nicht relevant"</formula>
    </cfRule>
    <cfRule type="cellIs" dxfId="5906" priority="248" operator="equal">
      <formula>"Très nécessaire, facile / unbedingt nötig, einfach"</formula>
    </cfRule>
    <cfRule type="cellIs" dxfId="5905" priority="249" operator="equal">
      <formula>"Très nécessaire, difficile / unbedingt nötig, schwierig"</formula>
    </cfRule>
    <cfRule type="cellIs" dxfId="5904" priority="250" operator="equal">
      <formula>"Partiellement nécessaire, facile / teilweise nötig, einfach"</formula>
    </cfRule>
    <cfRule type="cellIs" dxfId="5903" priority="251" operator="equal">
      <formula>"Partiellement nécessaire, difficile / teilweise nötig, schwierig"</formula>
    </cfRule>
    <cfRule type="cellIs" dxfId="5902" priority="252" operator="equal">
      <formula>"Non nécessaire / nicht nötig"</formula>
    </cfRule>
  </conditionalFormatting>
  <conditionalFormatting sqref="Y224:Y230 Y244:Y248 Y232:Y235 Y237:Y242">
    <cfRule type="cellIs" dxfId="5901" priority="241" operator="equal">
      <formula>"non pertinent / nicht relevant"</formula>
    </cfRule>
    <cfRule type="cellIs" dxfId="5900" priority="242" operator="equal">
      <formula>"Très nécessaire, facile / unbedingt nötig, einfach"</formula>
    </cfRule>
    <cfRule type="cellIs" dxfId="5899" priority="243" operator="equal">
      <formula>"Très nécessaire, difficile / unbedingt nötig, schwierig"</formula>
    </cfRule>
    <cfRule type="cellIs" dxfId="5898" priority="244" operator="equal">
      <formula>"Partiellement nécessaire, facile / teilweise nötig, einfach"</formula>
    </cfRule>
    <cfRule type="cellIs" dxfId="5897" priority="245" operator="equal">
      <formula>"Partiellement nécessaire, difficile / teilweise nötig, schwierig"</formula>
    </cfRule>
    <cfRule type="cellIs" dxfId="5896" priority="246" operator="equal">
      <formula>"Non nécessaire / nicht nötig"</formula>
    </cfRule>
  </conditionalFormatting>
  <conditionalFormatting sqref="Y243">
    <cfRule type="cellIs" dxfId="5895" priority="235" stopIfTrue="1" operator="equal">
      <formula>"non pertinent / nicht relevant"</formula>
    </cfRule>
    <cfRule type="cellIs" dxfId="5894" priority="236" stopIfTrue="1" operator="equal">
      <formula>"Très nécessaire, difficile / unbedingt nötig, schwierig"</formula>
    </cfRule>
    <cfRule type="cellIs" dxfId="5893" priority="237" stopIfTrue="1" operator="equal">
      <formula>"Partiellement nécessaire, facile / teilweise nötig, einfach"</formula>
    </cfRule>
    <cfRule type="cellIs" dxfId="5892" priority="238" stopIfTrue="1" operator="equal">
      <formula>"Partiellement nécessaire, difficile / teilweise nötig, schwierig"</formula>
    </cfRule>
    <cfRule type="cellIs" dxfId="5891" priority="239" stopIfTrue="1" operator="equal">
      <formula>"Très nécessaire, facile / unbedingt nötig, einfach"</formula>
    </cfRule>
    <cfRule type="cellIs" dxfId="5890" priority="240" stopIfTrue="1" operator="equal">
      <formula>"Non nécessaire / nicht nötig"</formula>
    </cfRule>
  </conditionalFormatting>
  <conditionalFormatting sqref="Y236">
    <cfRule type="cellIs" dxfId="5889" priority="229" operator="equal">
      <formula>"non pertinent / nicht relevant"</formula>
    </cfRule>
    <cfRule type="cellIs" dxfId="5888" priority="230" operator="equal">
      <formula>"Très nécessaire, facile / unbedingt nötig, einfach"</formula>
    </cfRule>
    <cfRule type="cellIs" dxfId="5887" priority="231" operator="equal">
      <formula>"Très nécessaire, difficile / unbedingt nötig, schwierig"</formula>
    </cfRule>
    <cfRule type="cellIs" dxfId="5886" priority="232" operator="equal">
      <formula>"Partiellement nécessaire, facile / teilweise nötig, einfach"</formula>
    </cfRule>
    <cfRule type="cellIs" dxfId="5885" priority="233" operator="equal">
      <formula>"Partiellement nécessaire, difficile / teilweise nötig, schwierig"</formula>
    </cfRule>
    <cfRule type="cellIs" dxfId="5884" priority="234" operator="equal">
      <formula>"Non nécessaire / nicht nötig"</formula>
    </cfRule>
  </conditionalFormatting>
  <conditionalFormatting sqref="S270">
    <cfRule type="cellIs" dxfId="5883" priority="223" operator="equal">
      <formula>"non pertinent / nicht relevant"</formula>
    </cfRule>
    <cfRule type="cellIs" dxfId="5882" priority="224" operator="equal">
      <formula>"Très nécessaire, facile / unbedingt nötig, einfach"</formula>
    </cfRule>
    <cfRule type="cellIs" dxfId="5881" priority="225" operator="equal">
      <formula>"Très nécessaire, difficile / unbedingt nötig, schwierig"</formula>
    </cfRule>
    <cfRule type="cellIs" dxfId="5880" priority="226" operator="equal">
      <formula>"Partiellement nécessaire, facile / teilweise nötig, einfach"</formula>
    </cfRule>
    <cfRule type="cellIs" dxfId="5879" priority="227" operator="equal">
      <formula>"Partiellement nécessaire, difficile / teilweise nötig, schwierig"</formula>
    </cfRule>
    <cfRule type="cellIs" dxfId="5878" priority="228" operator="equal">
      <formula>"Non nécessaire / nicht nötig"</formula>
    </cfRule>
  </conditionalFormatting>
  <conditionalFormatting sqref="Y249:Y269 Y271">
    <cfRule type="cellIs" dxfId="5877" priority="217" operator="equal">
      <formula>"non pertinent / nicht relevant"</formula>
    </cfRule>
    <cfRule type="cellIs" dxfId="5876" priority="218" operator="equal">
      <formula>"Très nécessaire, facile / unbedingt nötig, einfach"</formula>
    </cfRule>
    <cfRule type="cellIs" dxfId="5875" priority="219" operator="equal">
      <formula>"Très nécessaire, difficile / unbedingt nötig, schwierig"</formula>
    </cfRule>
    <cfRule type="cellIs" dxfId="5874" priority="220" operator="equal">
      <formula>"Partiellement nécessaire, facile / teilweise nötig, einfach"</formula>
    </cfRule>
    <cfRule type="cellIs" dxfId="5873" priority="221" operator="equal">
      <formula>"Partiellement nécessaire, difficile / teilweise nötig, schwierig"</formula>
    </cfRule>
    <cfRule type="cellIs" dxfId="5872" priority="222" operator="equal">
      <formula>"Non nécessaire / nicht nötig"</formula>
    </cfRule>
  </conditionalFormatting>
  <conditionalFormatting sqref="Y270">
    <cfRule type="cellIs" dxfId="5871" priority="211" operator="equal">
      <formula>"non pertinent / nicht relevant"</formula>
    </cfRule>
    <cfRule type="cellIs" dxfId="5870" priority="212" operator="equal">
      <formula>"Très nécessaire, facile / unbedingt nötig, einfach"</formula>
    </cfRule>
    <cfRule type="cellIs" dxfId="5869" priority="213" operator="equal">
      <formula>"Très nécessaire, difficile / unbedingt nötig, schwierig"</formula>
    </cfRule>
    <cfRule type="cellIs" dxfId="5868" priority="214" operator="equal">
      <formula>"Partiellement nécessaire, facile / teilweise nötig, einfach"</formula>
    </cfRule>
    <cfRule type="cellIs" dxfId="5867" priority="215" operator="equal">
      <formula>"Partiellement nécessaire, difficile / teilweise nötig, schwierig"</formula>
    </cfRule>
    <cfRule type="cellIs" dxfId="5866" priority="216" operator="equal">
      <formula>"Non nécessaire / nicht nötig"</formula>
    </cfRule>
  </conditionalFormatting>
  <conditionalFormatting sqref="Y12">
    <cfRule type="cellIs" dxfId="5865" priority="205" stopIfTrue="1" operator="equal">
      <formula>"non pertinent / nicht relevant"</formula>
    </cfRule>
    <cfRule type="cellIs" dxfId="5864" priority="206" stopIfTrue="1" operator="equal">
      <formula>"Très nécessaire, difficile / unbedingt nötig, schwierig"</formula>
    </cfRule>
    <cfRule type="cellIs" dxfId="5863" priority="207" stopIfTrue="1" operator="equal">
      <formula>"Partiellement nécessaire, facile / teilweise nötig, einfach"</formula>
    </cfRule>
    <cfRule type="cellIs" dxfId="5862" priority="208" stopIfTrue="1" operator="equal">
      <formula>"Partiellement nécessaire, difficile / teilweise nötig, schwierig"</formula>
    </cfRule>
    <cfRule type="cellIs" dxfId="5861" priority="209" stopIfTrue="1" operator="equal">
      <formula>"Très nécessaire, facile / unbedingt nötig, einfach"</formula>
    </cfRule>
    <cfRule type="cellIs" dxfId="5860" priority="210" stopIfTrue="1" operator="equal">
      <formula>"Non nécessaire / nicht nötig"</formula>
    </cfRule>
  </conditionalFormatting>
  <conditionalFormatting sqref="Y11">
    <cfRule type="cellIs" dxfId="5859" priority="199" operator="equal">
      <formula>"non pertinent / nicht relevant"</formula>
    </cfRule>
    <cfRule type="cellIs" dxfId="5858" priority="200" operator="equal">
      <formula>"Très nécessaire, facile / unbedingt nötig, einfach"</formula>
    </cfRule>
    <cfRule type="cellIs" dxfId="5857" priority="201" operator="equal">
      <formula>"Très nécessaire, difficile / unbedingt nötig, schwierig"</formula>
    </cfRule>
    <cfRule type="cellIs" dxfId="5856" priority="202" operator="equal">
      <formula>"Partiellement nécessaire, facile / teilweise nötig, einfach"</formula>
    </cfRule>
    <cfRule type="cellIs" dxfId="5855" priority="203" operator="equal">
      <formula>"Partiellement nécessaire, difficile / teilweise nötig, schwierig"</formula>
    </cfRule>
    <cfRule type="cellIs" dxfId="5854" priority="204" operator="equal">
      <formula>"Non nécessaire / nicht nötig"</formula>
    </cfRule>
  </conditionalFormatting>
  <conditionalFormatting sqref="Y15">
    <cfRule type="cellIs" dxfId="5853" priority="193" stopIfTrue="1" operator="equal">
      <formula>"non pertinent / nicht relevant"</formula>
    </cfRule>
    <cfRule type="cellIs" dxfId="5852" priority="194" stopIfTrue="1" operator="equal">
      <formula>"Très nécessaire, difficile / unbedingt nötig, schwierig"</formula>
    </cfRule>
    <cfRule type="cellIs" dxfId="5851" priority="195" stopIfTrue="1" operator="equal">
      <formula>"Partiellement nécessaire, facile / teilweise nötig, einfach"</formula>
    </cfRule>
    <cfRule type="cellIs" dxfId="5850" priority="196" stopIfTrue="1" operator="equal">
      <formula>"Partiellement nécessaire, difficile / teilweise nötig, schwierig"</formula>
    </cfRule>
    <cfRule type="cellIs" dxfId="5849" priority="197" stopIfTrue="1" operator="equal">
      <formula>"Très nécessaire, facile / unbedingt nötig, einfach"</formula>
    </cfRule>
    <cfRule type="cellIs" dxfId="5848" priority="198" stopIfTrue="1" operator="equal">
      <formula>"Non nécessaire / nicht nötig"</formula>
    </cfRule>
  </conditionalFormatting>
  <conditionalFormatting sqref="Y38">
    <cfRule type="cellIs" dxfId="5847" priority="181" stopIfTrue="1" operator="equal">
      <formula>"non pertinent / nicht relevant"</formula>
    </cfRule>
    <cfRule type="cellIs" dxfId="5846" priority="182" stopIfTrue="1" operator="equal">
      <formula>"Très nécessaire, difficile / unbedingt nötig, schwierig"</formula>
    </cfRule>
    <cfRule type="cellIs" dxfId="5845" priority="183" stopIfTrue="1" operator="equal">
      <formula>"Partiellement nécessaire, facile / teilweise nötig, einfach"</formula>
    </cfRule>
    <cfRule type="cellIs" dxfId="5844" priority="184" stopIfTrue="1" operator="equal">
      <formula>"Partiellement nécessaire, difficile / teilweise nötig, schwierig"</formula>
    </cfRule>
    <cfRule type="cellIs" dxfId="5843" priority="185" stopIfTrue="1" operator="equal">
      <formula>"Très nécessaire, facile / unbedingt nötig, einfach"</formula>
    </cfRule>
    <cfRule type="cellIs" dxfId="5842" priority="186" stopIfTrue="1" operator="equal">
      <formula>"Non nécessaire / nicht nötig"</formula>
    </cfRule>
  </conditionalFormatting>
  <conditionalFormatting sqref="Y41">
    <cfRule type="cellIs" dxfId="5841" priority="175" operator="equal">
      <formula>"non pertinent / nicht relevant"</formula>
    </cfRule>
    <cfRule type="cellIs" dxfId="5840" priority="176" operator="equal">
      <formula>"Très nécessaire, facile / unbedingt nötig, einfach"</formula>
    </cfRule>
    <cfRule type="cellIs" dxfId="5839" priority="177" operator="equal">
      <formula>"Très nécessaire, difficile / unbedingt nötig, schwierig"</formula>
    </cfRule>
    <cfRule type="cellIs" dxfId="5838" priority="178" operator="equal">
      <formula>"Partiellement nécessaire, facile / teilweise nötig, einfach"</formula>
    </cfRule>
    <cfRule type="cellIs" dxfId="5837" priority="179" operator="equal">
      <formula>"Partiellement nécessaire, difficile / teilweise nötig, schwierig"</formula>
    </cfRule>
    <cfRule type="cellIs" dxfId="5836" priority="180" operator="equal">
      <formula>"Non nécessaire / nicht nötig"</formula>
    </cfRule>
  </conditionalFormatting>
  <conditionalFormatting sqref="Y68">
    <cfRule type="cellIs" dxfId="5835" priority="169" operator="equal">
      <formula>"non pertinent / nicht relevant"</formula>
    </cfRule>
    <cfRule type="cellIs" dxfId="5834" priority="170" operator="equal">
      <formula>"Très nécessaire, facile / unbedingt nötig, einfach"</formula>
    </cfRule>
    <cfRule type="cellIs" dxfId="5833" priority="171" operator="equal">
      <formula>"Très nécessaire, difficile / unbedingt nötig, schwierig"</formula>
    </cfRule>
    <cfRule type="cellIs" dxfId="5832" priority="172" operator="equal">
      <formula>"Partiellement nécessaire, facile / teilweise nötig, einfach"</formula>
    </cfRule>
    <cfRule type="cellIs" dxfId="5831" priority="173" operator="equal">
      <formula>"Partiellement nécessaire, difficile / teilweise nötig, schwierig"</formula>
    </cfRule>
    <cfRule type="cellIs" dxfId="5830" priority="174" operator="equal">
      <formula>"Non nécessaire / nicht nötig"</formula>
    </cfRule>
  </conditionalFormatting>
  <conditionalFormatting sqref="Y176">
    <cfRule type="cellIs" dxfId="5829" priority="163" operator="equal">
      <formula>"non pertinent / nicht relevant"</formula>
    </cfRule>
    <cfRule type="cellIs" dxfId="5828" priority="164" operator="equal">
      <formula>"Très nécessaire, facile / unbedingt nötig, einfach"</formula>
    </cfRule>
    <cfRule type="cellIs" dxfId="5827" priority="165" operator="equal">
      <formula>"Très nécessaire, difficile / unbedingt nötig, schwierig"</formula>
    </cfRule>
    <cfRule type="cellIs" dxfId="5826" priority="166" operator="equal">
      <formula>"Partiellement nécessaire, facile / teilweise nötig, einfach"</formula>
    </cfRule>
    <cfRule type="cellIs" dxfId="5825" priority="167" operator="equal">
      <formula>"Partiellement nécessaire, difficile / teilweise nötig, schwierig"</formula>
    </cfRule>
    <cfRule type="cellIs" dxfId="5824" priority="168" operator="equal">
      <formula>"Non nécessaire / nicht nötig"</formula>
    </cfRule>
  </conditionalFormatting>
  <conditionalFormatting sqref="Y200">
    <cfRule type="cellIs" dxfId="5823" priority="157" operator="equal">
      <formula>"non pertinent / nicht relevant"</formula>
    </cfRule>
    <cfRule type="cellIs" dxfId="5822" priority="158" operator="equal">
      <formula>"Très nécessaire, facile / unbedingt nötig, einfach"</formula>
    </cfRule>
    <cfRule type="cellIs" dxfId="5821" priority="159" operator="equal">
      <formula>"Très nécessaire, difficile / unbedingt nötig, schwierig"</formula>
    </cfRule>
    <cfRule type="cellIs" dxfId="5820" priority="160" operator="equal">
      <formula>"Partiellement nécessaire, facile / teilweise nötig, einfach"</formula>
    </cfRule>
    <cfRule type="cellIs" dxfId="5819" priority="161" operator="equal">
      <formula>"Partiellement nécessaire, difficile / teilweise nötig, schwierig"</formula>
    </cfRule>
    <cfRule type="cellIs" dxfId="5818" priority="162" operator="equal">
      <formula>"Non nécessaire / nicht nötig"</formula>
    </cfRule>
  </conditionalFormatting>
  <conditionalFormatting sqref="Y207">
    <cfRule type="cellIs" dxfId="5817" priority="151" operator="equal">
      <formula>"non pertinent / nicht relevant"</formula>
    </cfRule>
    <cfRule type="cellIs" dxfId="5816" priority="152" operator="equal">
      <formula>"Très nécessaire, facile / unbedingt nötig, einfach"</formula>
    </cfRule>
    <cfRule type="cellIs" dxfId="5815" priority="153" operator="equal">
      <formula>"Très nécessaire, difficile / unbedingt nötig, schwierig"</formula>
    </cfRule>
    <cfRule type="cellIs" dxfId="5814" priority="154" operator="equal">
      <formula>"Partiellement nécessaire, facile / teilweise nötig, einfach"</formula>
    </cfRule>
    <cfRule type="cellIs" dxfId="5813" priority="155" operator="equal">
      <formula>"Partiellement nécessaire, difficile / teilweise nötig, schwierig"</formula>
    </cfRule>
    <cfRule type="cellIs" dxfId="5812" priority="156" operator="equal">
      <formula>"Non nécessaire / nicht nötig"</formula>
    </cfRule>
  </conditionalFormatting>
  <conditionalFormatting sqref="S231">
    <cfRule type="cellIs" dxfId="5811" priority="145" operator="equal">
      <formula>"non pertinent / nicht relevant"</formula>
    </cfRule>
    <cfRule type="cellIs" dxfId="5810" priority="146" operator="equal">
      <formula>"Très nécessaire, facile / unbedingt nötig, einfach"</formula>
    </cfRule>
    <cfRule type="cellIs" dxfId="5809" priority="147" operator="equal">
      <formula>"Très nécessaire, difficile / unbedingt nötig, schwierig"</formula>
    </cfRule>
    <cfRule type="cellIs" dxfId="5808" priority="148" operator="equal">
      <formula>"Partiellement nécessaire, facile / teilweise nötig, einfach"</formula>
    </cfRule>
    <cfRule type="cellIs" dxfId="5807" priority="149" operator="equal">
      <formula>"Partiellement nécessaire, difficile / teilweise nötig, schwierig"</formula>
    </cfRule>
    <cfRule type="cellIs" dxfId="5806" priority="150" operator="equal">
      <formula>"Non nécessaire / nicht nötig"</formula>
    </cfRule>
  </conditionalFormatting>
  <conditionalFormatting sqref="Y231">
    <cfRule type="cellIs" dxfId="5805" priority="139" operator="equal">
      <formula>"non pertinent / nicht relevant"</formula>
    </cfRule>
    <cfRule type="cellIs" dxfId="5804" priority="140" operator="equal">
      <formula>"Très nécessaire, facile / unbedingt nötig, einfach"</formula>
    </cfRule>
    <cfRule type="cellIs" dxfId="5803" priority="141" operator="equal">
      <formula>"Très nécessaire, difficile / unbedingt nötig, schwierig"</formula>
    </cfRule>
    <cfRule type="cellIs" dxfId="5802" priority="142" operator="equal">
      <formula>"Partiellement nécessaire, facile / teilweise nötig, einfach"</formula>
    </cfRule>
    <cfRule type="cellIs" dxfId="5801" priority="143" operator="equal">
      <formula>"Partiellement nécessaire, difficile / teilweise nötig, schwierig"</formula>
    </cfRule>
    <cfRule type="cellIs" dxfId="5800" priority="144" operator="equal">
      <formula>"Non nécessaire / nicht nötig"</formula>
    </cfRule>
  </conditionalFormatting>
  <conditionalFormatting sqref="R16">
    <cfRule type="cellIs" dxfId="5799" priority="133" stopIfTrue="1" operator="equal">
      <formula>"non pertinent / nicht relevant"</formula>
    </cfRule>
    <cfRule type="cellIs" dxfId="5798" priority="134" stopIfTrue="1" operator="equal">
      <formula>"Très nécessaire, difficile / unbedingt nötig, schwierig"</formula>
    </cfRule>
    <cfRule type="cellIs" dxfId="5797" priority="135" stopIfTrue="1" operator="equal">
      <formula>"Partiellement nécessaire, facile / teilweise nötig, einfach"</formula>
    </cfRule>
    <cfRule type="cellIs" dxfId="5796" priority="136" stopIfTrue="1" operator="equal">
      <formula>"Partiellement nécessaire, difficile / teilweise nötig, schwierig"</formula>
    </cfRule>
    <cfRule type="cellIs" dxfId="5795" priority="137" stopIfTrue="1" operator="equal">
      <formula>"Très nécessaire, facile / unbedingt nötig, einfach"</formula>
    </cfRule>
    <cfRule type="cellIs" dxfId="5794" priority="138" stopIfTrue="1" operator="equal">
      <formula>"Non nécessaire / nicht nötig"</formula>
    </cfRule>
  </conditionalFormatting>
  <conditionalFormatting sqref="S16">
    <cfRule type="cellIs" dxfId="5793" priority="127" stopIfTrue="1" operator="equal">
      <formula>"non pertinent / nicht relevant"</formula>
    </cfRule>
    <cfRule type="cellIs" dxfId="5792" priority="128" stopIfTrue="1" operator="equal">
      <formula>"Très nécessaire, difficile / unbedingt nötig, schwierig"</formula>
    </cfRule>
    <cfRule type="cellIs" dxfId="5791" priority="129" stopIfTrue="1" operator="equal">
      <formula>"Partiellement nécessaire, facile / teilweise nötig, einfach"</formula>
    </cfRule>
    <cfRule type="cellIs" dxfId="5790" priority="130" stopIfTrue="1" operator="equal">
      <formula>"Partiellement nécessaire, difficile / teilweise nötig, schwierig"</formula>
    </cfRule>
    <cfRule type="cellIs" dxfId="5789" priority="131" stopIfTrue="1" operator="equal">
      <formula>"Très nécessaire, facile / unbedingt nötig, einfach"</formula>
    </cfRule>
    <cfRule type="cellIs" dxfId="5788" priority="132" stopIfTrue="1" operator="equal">
      <formula>"Non nécessaire / nicht nötig"</formula>
    </cfRule>
  </conditionalFormatting>
  <conditionalFormatting sqref="R19">
    <cfRule type="cellIs" dxfId="5787" priority="121" stopIfTrue="1" operator="equal">
      <formula>"non pertinent / nicht relevant"</formula>
    </cfRule>
    <cfRule type="cellIs" dxfId="5786" priority="122" stopIfTrue="1" operator="equal">
      <formula>"Très nécessaire, difficile / unbedingt nötig, schwierig"</formula>
    </cfRule>
    <cfRule type="cellIs" dxfId="5785" priority="123" stopIfTrue="1" operator="equal">
      <formula>"Partiellement nécessaire, facile / teilweise nötig, einfach"</formula>
    </cfRule>
    <cfRule type="cellIs" dxfId="5784" priority="124" stopIfTrue="1" operator="equal">
      <formula>"Partiellement nécessaire, difficile / teilweise nötig, schwierig"</formula>
    </cfRule>
    <cfRule type="cellIs" dxfId="5783" priority="125" stopIfTrue="1" operator="equal">
      <formula>"Très nécessaire, facile / unbedingt nötig, einfach"</formula>
    </cfRule>
    <cfRule type="cellIs" dxfId="5782" priority="126" stopIfTrue="1" operator="equal">
      <formula>"Non nécessaire / nicht nötig"</formula>
    </cfRule>
  </conditionalFormatting>
  <conditionalFormatting sqref="S19">
    <cfRule type="cellIs" dxfId="5781" priority="115" stopIfTrue="1" operator="equal">
      <formula>"non pertinent / nicht relevant"</formula>
    </cfRule>
    <cfRule type="cellIs" dxfId="5780" priority="116" stopIfTrue="1" operator="equal">
      <formula>"Très nécessaire, difficile / unbedingt nötig, schwierig"</formula>
    </cfRule>
    <cfRule type="cellIs" dxfId="5779" priority="117" stopIfTrue="1" operator="equal">
      <formula>"Partiellement nécessaire, facile / teilweise nötig, einfach"</formula>
    </cfRule>
    <cfRule type="cellIs" dxfId="5778" priority="118" stopIfTrue="1" operator="equal">
      <formula>"Partiellement nécessaire, difficile / teilweise nötig, schwierig"</formula>
    </cfRule>
    <cfRule type="cellIs" dxfId="5777" priority="119" stopIfTrue="1" operator="equal">
      <formula>"Très nécessaire, facile / unbedingt nötig, einfach"</formula>
    </cfRule>
    <cfRule type="cellIs" dxfId="5776" priority="120" stopIfTrue="1" operator="equal">
      <formula>"Non nécessaire / nicht nötig"</formula>
    </cfRule>
  </conditionalFormatting>
  <conditionalFormatting sqref="S29">
    <cfRule type="cellIs" dxfId="5775" priority="109" stopIfTrue="1" operator="equal">
      <formula>"non pertinent / nicht relevant"</formula>
    </cfRule>
    <cfRule type="cellIs" dxfId="5774" priority="110" stopIfTrue="1" operator="equal">
      <formula>"Très nécessaire, difficile / unbedingt nötig, schwierig"</formula>
    </cfRule>
    <cfRule type="cellIs" dxfId="5773" priority="111" stopIfTrue="1" operator="equal">
      <formula>"Partiellement nécessaire, facile / teilweise nötig, einfach"</formula>
    </cfRule>
    <cfRule type="cellIs" dxfId="5772" priority="112" stopIfTrue="1" operator="equal">
      <formula>"Partiellement nécessaire, difficile / teilweise nötig, schwierig"</formula>
    </cfRule>
    <cfRule type="cellIs" dxfId="5771" priority="113" stopIfTrue="1" operator="equal">
      <formula>"Très nécessaire, facile / unbedingt nötig, einfach"</formula>
    </cfRule>
    <cfRule type="cellIs" dxfId="5770" priority="114" stopIfTrue="1" operator="equal">
      <formula>"Non nécessaire / nicht nötig"</formula>
    </cfRule>
  </conditionalFormatting>
  <conditionalFormatting sqref="R29">
    <cfRule type="cellIs" dxfId="5769" priority="103" stopIfTrue="1" operator="equal">
      <formula>"non pertinent / nicht relevant"</formula>
    </cfRule>
    <cfRule type="cellIs" dxfId="5768" priority="104" stopIfTrue="1" operator="equal">
      <formula>"Très nécessaire, difficile / unbedingt nötig, schwierig"</formula>
    </cfRule>
    <cfRule type="cellIs" dxfId="5767" priority="105" stopIfTrue="1" operator="equal">
      <formula>"Partiellement nécessaire, facile / teilweise nötig, einfach"</formula>
    </cfRule>
    <cfRule type="cellIs" dxfId="5766" priority="106" stopIfTrue="1" operator="equal">
      <formula>"Partiellement nécessaire, difficile / teilweise nötig, schwierig"</formula>
    </cfRule>
    <cfRule type="cellIs" dxfId="5765" priority="107" stopIfTrue="1" operator="equal">
      <formula>"Très nécessaire, facile / unbedingt nötig, einfach"</formula>
    </cfRule>
    <cfRule type="cellIs" dxfId="5764" priority="108" stopIfTrue="1" operator="equal">
      <formula>"Non nécessaire / nicht nötig"</formula>
    </cfRule>
  </conditionalFormatting>
  <conditionalFormatting sqref="Y16">
    <cfRule type="cellIs" dxfId="5763" priority="97" stopIfTrue="1" operator="equal">
      <formula>"non pertinent / nicht relevant"</formula>
    </cfRule>
    <cfRule type="cellIs" dxfId="5762" priority="98" stopIfTrue="1" operator="equal">
      <formula>"Très nécessaire, difficile / unbedingt nötig, schwierig"</formula>
    </cfRule>
    <cfRule type="cellIs" dxfId="5761" priority="99" stopIfTrue="1" operator="equal">
      <formula>"Partiellement nécessaire, facile / teilweise nötig, einfach"</formula>
    </cfRule>
    <cfRule type="cellIs" dxfId="5760" priority="100" stopIfTrue="1" operator="equal">
      <formula>"Partiellement nécessaire, difficile / teilweise nötig, schwierig"</formula>
    </cfRule>
    <cfRule type="cellIs" dxfId="5759" priority="101" stopIfTrue="1" operator="equal">
      <formula>"Très nécessaire, facile / unbedingt nötig, einfach"</formula>
    </cfRule>
    <cfRule type="cellIs" dxfId="5758" priority="102" stopIfTrue="1" operator="equal">
      <formula>"Non nécessaire / nicht nötig"</formula>
    </cfRule>
  </conditionalFormatting>
  <conditionalFormatting sqref="Y19">
    <cfRule type="cellIs" dxfId="5757" priority="91" stopIfTrue="1" operator="equal">
      <formula>"non pertinent / nicht relevant"</formula>
    </cfRule>
    <cfRule type="cellIs" dxfId="5756" priority="92" stopIfTrue="1" operator="equal">
      <formula>"Très nécessaire, difficile / unbedingt nötig, schwierig"</formula>
    </cfRule>
    <cfRule type="cellIs" dxfId="5755" priority="93" stopIfTrue="1" operator="equal">
      <formula>"Partiellement nécessaire, facile / teilweise nötig, einfach"</formula>
    </cfRule>
    <cfRule type="cellIs" dxfId="5754" priority="94" stopIfTrue="1" operator="equal">
      <formula>"Partiellement nécessaire, difficile / teilweise nötig, schwierig"</formula>
    </cfRule>
    <cfRule type="cellIs" dxfId="5753" priority="95" stopIfTrue="1" operator="equal">
      <formula>"Très nécessaire, facile / unbedingt nötig, einfach"</formula>
    </cfRule>
    <cfRule type="cellIs" dxfId="5752" priority="96" stopIfTrue="1" operator="equal">
      <formula>"Non nécessaire / nicht nötig"</formula>
    </cfRule>
  </conditionalFormatting>
  <conditionalFormatting sqref="R30">
    <cfRule type="cellIs" dxfId="5751" priority="85" stopIfTrue="1" operator="equal">
      <formula>"non pertinent / nicht relevant"</formula>
    </cfRule>
    <cfRule type="cellIs" dxfId="5750" priority="86" stopIfTrue="1" operator="equal">
      <formula>"Très nécessaire, difficile / unbedingt nötig, schwierig"</formula>
    </cfRule>
    <cfRule type="cellIs" dxfId="5749" priority="87" stopIfTrue="1" operator="equal">
      <formula>"Partiellement nécessaire, facile / teilweise nötig, einfach"</formula>
    </cfRule>
    <cfRule type="cellIs" dxfId="5748" priority="88" stopIfTrue="1" operator="equal">
      <formula>"Partiellement nécessaire, difficile / teilweise nötig, schwierig"</formula>
    </cfRule>
    <cfRule type="cellIs" dxfId="5747" priority="89" stopIfTrue="1" operator="equal">
      <formula>"Très nécessaire, facile / unbedingt nötig, einfach"</formula>
    </cfRule>
    <cfRule type="cellIs" dxfId="5746" priority="90" stopIfTrue="1" operator="equal">
      <formula>"Non nécessaire / nicht nötig"</formula>
    </cfRule>
  </conditionalFormatting>
  <conditionalFormatting sqref="S30">
    <cfRule type="cellIs" dxfId="5745" priority="79" stopIfTrue="1" operator="equal">
      <formula>"non pertinent / nicht relevant"</formula>
    </cfRule>
    <cfRule type="cellIs" dxfId="5744" priority="80" stopIfTrue="1" operator="equal">
      <formula>"Très nécessaire, difficile / unbedingt nötig, schwierig"</formula>
    </cfRule>
    <cfRule type="cellIs" dxfId="5743" priority="81" stopIfTrue="1" operator="equal">
      <formula>"Partiellement nécessaire, facile / teilweise nötig, einfach"</formula>
    </cfRule>
    <cfRule type="cellIs" dxfId="5742" priority="82" stopIfTrue="1" operator="equal">
      <formula>"Partiellement nécessaire, difficile / teilweise nötig, schwierig"</formula>
    </cfRule>
    <cfRule type="cellIs" dxfId="5741" priority="83" stopIfTrue="1" operator="equal">
      <formula>"Très nécessaire, facile / unbedingt nötig, einfach"</formula>
    </cfRule>
    <cfRule type="cellIs" dxfId="5740" priority="84" stopIfTrue="1" operator="equal">
      <formula>"Non nécessaire / nicht nötig"</formula>
    </cfRule>
  </conditionalFormatting>
  <conditionalFormatting sqref="R18">
    <cfRule type="cellIs" dxfId="5739" priority="73" stopIfTrue="1" operator="equal">
      <formula>"non pertinent / nicht relevant"</formula>
    </cfRule>
    <cfRule type="cellIs" dxfId="5738" priority="74" stopIfTrue="1" operator="equal">
      <formula>"Très nécessaire, difficile / unbedingt nötig, schwierig"</formula>
    </cfRule>
    <cfRule type="cellIs" dxfId="5737" priority="75" stopIfTrue="1" operator="equal">
      <formula>"Partiellement nécessaire, facile / teilweise nötig, einfach"</formula>
    </cfRule>
    <cfRule type="cellIs" dxfId="5736" priority="76" stopIfTrue="1" operator="equal">
      <formula>"Partiellement nécessaire, difficile / teilweise nötig, schwierig"</formula>
    </cfRule>
    <cfRule type="cellIs" dxfId="5735" priority="77" stopIfTrue="1" operator="equal">
      <formula>"Très nécessaire, facile / unbedingt nötig, einfach"</formula>
    </cfRule>
    <cfRule type="cellIs" dxfId="5734" priority="78" stopIfTrue="1" operator="equal">
      <formula>"Non nécessaire / nicht nötig"</formula>
    </cfRule>
  </conditionalFormatting>
  <conditionalFormatting sqref="S18">
    <cfRule type="cellIs" dxfId="5733" priority="67" stopIfTrue="1" operator="equal">
      <formula>"non pertinent / nicht relevant"</formula>
    </cfRule>
    <cfRule type="cellIs" dxfId="5732" priority="68" stopIfTrue="1" operator="equal">
      <formula>"Très nécessaire, difficile / unbedingt nötig, schwierig"</formula>
    </cfRule>
    <cfRule type="cellIs" dxfId="5731" priority="69" stopIfTrue="1" operator="equal">
      <formula>"Partiellement nécessaire, facile / teilweise nötig, einfach"</formula>
    </cfRule>
    <cfRule type="cellIs" dxfId="5730" priority="70" stopIfTrue="1" operator="equal">
      <formula>"Partiellement nécessaire, difficile / teilweise nötig, schwierig"</formula>
    </cfRule>
    <cfRule type="cellIs" dxfId="5729" priority="71" stopIfTrue="1" operator="equal">
      <formula>"Très nécessaire, facile / unbedingt nötig, einfach"</formula>
    </cfRule>
    <cfRule type="cellIs" dxfId="5728" priority="72" stopIfTrue="1" operator="equal">
      <formula>"Non nécessaire / nicht nötig"</formula>
    </cfRule>
  </conditionalFormatting>
  <conditionalFormatting sqref="S20">
    <cfRule type="cellIs" dxfId="5727" priority="61" stopIfTrue="1" operator="equal">
      <formula>"non pertinent / nicht relevant"</formula>
    </cfRule>
    <cfRule type="cellIs" dxfId="5726" priority="62" stopIfTrue="1" operator="equal">
      <formula>"Très nécessaire, difficile / unbedingt nötig, schwierig"</formula>
    </cfRule>
    <cfRule type="cellIs" dxfId="5725" priority="63" stopIfTrue="1" operator="equal">
      <formula>"Partiellement nécessaire, facile / teilweise nötig, einfach"</formula>
    </cfRule>
    <cfRule type="cellIs" dxfId="5724" priority="64" stopIfTrue="1" operator="equal">
      <formula>"Partiellement nécessaire, difficile / teilweise nötig, schwierig"</formula>
    </cfRule>
    <cfRule type="cellIs" dxfId="5723" priority="65" stopIfTrue="1" operator="equal">
      <formula>"Très nécessaire, facile / unbedingt nötig, einfach"</formula>
    </cfRule>
    <cfRule type="cellIs" dxfId="5722" priority="66" stopIfTrue="1" operator="equal">
      <formula>"Non nécessaire / nicht nötig"</formula>
    </cfRule>
  </conditionalFormatting>
  <conditionalFormatting sqref="R20">
    <cfRule type="cellIs" dxfId="5721" priority="55" stopIfTrue="1" operator="equal">
      <formula>"non pertinent / nicht relevant"</formula>
    </cfRule>
    <cfRule type="cellIs" dxfId="5720" priority="56" stopIfTrue="1" operator="equal">
      <formula>"Très nécessaire, difficile / unbedingt nötig, schwierig"</formula>
    </cfRule>
    <cfRule type="cellIs" dxfId="5719" priority="57" stopIfTrue="1" operator="equal">
      <formula>"Partiellement nécessaire, facile / teilweise nötig, einfach"</formula>
    </cfRule>
    <cfRule type="cellIs" dxfId="5718" priority="58" stopIfTrue="1" operator="equal">
      <formula>"Partiellement nécessaire, difficile / teilweise nötig, schwierig"</formula>
    </cfRule>
    <cfRule type="cellIs" dxfId="5717" priority="59" stopIfTrue="1" operator="equal">
      <formula>"Très nécessaire, facile / unbedingt nötig, einfach"</formula>
    </cfRule>
    <cfRule type="cellIs" dxfId="5716" priority="60" stopIfTrue="1" operator="equal">
      <formula>"Non nécessaire / nicht nötig"</formula>
    </cfRule>
  </conditionalFormatting>
  <conditionalFormatting sqref="Y18">
    <cfRule type="cellIs" dxfId="5715" priority="49" stopIfTrue="1" operator="equal">
      <formula>"non pertinent / nicht relevant"</formula>
    </cfRule>
    <cfRule type="cellIs" dxfId="5714" priority="50" stopIfTrue="1" operator="equal">
      <formula>"Très nécessaire, difficile / unbedingt nötig, schwierig"</formula>
    </cfRule>
    <cfRule type="cellIs" dxfId="5713" priority="51" stopIfTrue="1" operator="equal">
      <formula>"Partiellement nécessaire, facile / teilweise nötig, einfach"</formula>
    </cfRule>
    <cfRule type="cellIs" dxfId="5712" priority="52" stopIfTrue="1" operator="equal">
      <formula>"Partiellement nécessaire, difficile / teilweise nötig, schwierig"</formula>
    </cfRule>
    <cfRule type="cellIs" dxfId="5711" priority="53" stopIfTrue="1" operator="equal">
      <formula>"Très nécessaire, facile / unbedingt nötig, einfach"</formula>
    </cfRule>
    <cfRule type="cellIs" dxfId="5710" priority="54" stopIfTrue="1" operator="equal">
      <formula>"Non nécessaire / nicht nötig"</formula>
    </cfRule>
  </conditionalFormatting>
  <conditionalFormatting sqref="Y20">
    <cfRule type="cellIs" dxfId="5709" priority="43" stopIfTrue="1" operator="equal">
      <formula>"non pertinent / nicht relevant"</formula>
    </cfRule>
    <cfRule type="cellIs" dxfId="5708" priority="44" stopIfTrue="1" operator="equal">
      <formula>"Très nécessaire, difficile / unbedingt nötig, schwierig"</formula>
    </cfRule>
    <cfRule type="cellIs" dxfId="5707" priority="45" stopIfTrue="1" operator="equal">
      <formula>"Partiellement nécessaire, facile / teilweise nötig, einfach"</formula>
    </cfRule>
    <cfRule type="cellIs" dxfId="5706" priority="46" stopIfTrue="1" operator="equal">
      <formula>"Partiellement nécessaire, difficile / teilweise nötig, schwierig"</formula>
    </cfRule>
    <cfRule type="cellIs" dxfId="5705" priority="47" stopIfTrue="1" operator="equal">
      <formula>"Très nécessaire, facile / unbedingt nötig, einfach"</formula>
    </cfRule>
    <cfRule type="cellIs" dxfId="5704" priority="48" stopIfTrue="1" operator="equal">
      <formula>"Non nécessaire / nicht nötig"</formula>
    </cfRule>
  </conditionalFormatting>
  <conditionalFormatting sqref="Y29">
    <cfRule type="cellIs" dxfId="5703" priority="37" stopIfTrue="1" operator="equal">
      <formula>"non pertinent / nicht relevant"</formula>
    </cfRule>
    <cfRule type="cellIs" dxfId="5702" priority="38" stopIfTrue="1" operator="equal">
      <formula>"Très nécessaire, difficile / unbedingt nötig, schwierig"</formula>
    </cfRule>
    <cfRule type="cellIs" dxfId="5701" priority="39" stopIfTrue="1" operator="equal">
      <formula>"Partiellement nécessaire, facile / teilweise nötig, einfach"</formula>
    </cfRule>
    <cfRule type="cellIs" dxfId="5700" priority="40" stopIfTrue="1" operator="equal">
      <formula>"Partiellement nécessaire, difficile / teilweise nötig, schwierig"</formula>
    </cfRule>
    <cfRule type="cellIs" dxfId="5699" priority="41" stopIfTrue="1" operator="equal">
      <formula>"Très nécessaire, facile / unbedingt nötig, einfach"</formula>
    </cfRule>
    <cfRule type="cellIs" dxfId="5698" priority="42" stopIfTrue="1" operator="equal">
      <formula>"Non nécessaire / nicht nötig"</formula>
    </cfRule>
  </conditionalFormatting>
  <conditionalFormatting sqref="R28">
    <cfRule type="cellIs" dxfId="5697" priority="31" stopIfTrue="1" operator="equal">
      <formula>"non pertinent / nicht relevant"</formula>
    </cfRule>
    <cfRule type="cellIs" dxfId="5696" priority="32" stopIfTrue="1" operator="equal">
      <formula>"Très nécessaire, difficile / unbedingt nötig, schwierig"</formula>
    </cfRule>
    <cfRule type="cellIs" dxfId="5695" priority="33" stopIfTrue="1" operator="equal">
      <formula>"Partiellement nécessaire, facile / teilweise nötig, einfach"</formula>
    </cfRule>
    <cfRule type="cellIs" dxfId="5694" priority="34" stopIfTrue="1" operator="equal">
      <formula>"Partiellement nécessaire, difficile / teilweise nötig, schwierig"</formula>
    </cfRule>
    <cfRule type="cellIs" dxfId="5693" priority="35" stopIfTrue="1" operator="equal">
      <formula>"Très nécessaire, facile / unbedingt nötig, einfach"</formula>
    </cfRule>
    <cfRule type="cellIs" dxfId="5692" priority="36" stopIfTrue="1" operator="equal">
      <formula>"Non nécessaire / nicht nötig"</formula>
    </cfRule>
  </conditionalFormatting>
  <conditionalFormatting sqref="S28">
    <cfRule type="cellIs" dxfId="5691" priority="25" stopIfTrue="1" operator="equal">
      <formula>"non pertinent / nicht relevant"</formula>
    </cfRule>
    <cfRule type="cellIs" dxfId="5690" priority="26" stopIfTrue="1" operator="equal">
      <formula>"Très nécessaire, difficile / unbedingt nötig, schwierig"</formula>
    </cfRule>
    <cfRule type="cellIs" dxfId="5689" priority="27" stopIfTrue="1" operator="equal">
      <formula>"Partiellement nécessaire, facile / teilweise nötig, einfach"</formula>
    </cfRule>
    <cfRule type="cellIs" dxfId="5688" priority="28" stopIfTrue="1" operator="equal">
      <formula>"Partiellement nécessaire, difficile / teilweise nötig, schwierig"</formula>
    </cfRule>
    <cfRule type="cellIs" dxfId="5687" priority="29" stopIfTrue="1" operator="equal">
      <formula>"Très nécessaire, facile / unbedingt nötig, einfach"</formula>
    </cfRule>
    <cfRule type="cellIs" dxfId="5686" priority="30" stopIfTrue="1" operator="equal">
      <formula>"Non nécessaire / nicht nötig"</formula>
    </cfRule>
  </conditionalFormatting>
  <conditionalFormatting sqref="S17">
    <cfRule type="cellIs" dxfId="5685" priority="19" stopIfTrue="1" operator="equal">
      <formula>"non pertinent / nicht relevant"</formula>
    </cfRule>
    <cfRule type="cellIs" dxfId="5684" priority="20" stopIfTrue="1" operator="equal">
      <formula>"Très nécessaire, difficile / unbedingt nötig, schwierig"</formula>
    </cfRule>
    <cfRule type="cellIs" dxfId="5683" priority="21" stopIfTrue="1" operator="equal">
      <formula>"Partiellement nécessaire, facile / teilweise nötig, einfach"</formula>
    </cfRule>
    <cfRule type="cellIs" dxfId="5682" priority="22" stopIfTrue="1" operator="equal">
      <formula>"Partiellement nécessaire, difficile / teilweise nötig, schwierig"</formula>
    </cfRule>
    <cfRule type="cellIs" dxfId="5681" priority="23" stopIfTrue="1" operator="equal">
      <formula>"Très nécessaire, facile / unbedingt nötig, einfach"</formula>
    </cfRule>
    <cfRule type="cellIs" dxfId="5680" priority="24" stopIfTrue="1" operator="equal">
      <formula>"Non nécessaire / nicht nötig"</formula>
    </cfRule>
  </conditionalFormatting>
  <conditionalFormatting sqref="R17">
    <cfRule type="cellIs" dxfId="5679" priority="13" stopIfTrue="1" operator="equal">
      <formula>"non pertinent / nicht relevant"</formula>
    </cfRule>
    <cfRule type="cellIs" dxfId="5678" priority="14" stopIfTrue="1" operator="equal">
      <formula>"Très nécessaire, difficile / unbedingt nötig, schwierig"</formula>
    </cfRule>
    <cfRule type="cellIs" dxfId="5677" priority="15" stopIfTrue="1" operator="equal">
      <formula>"Partiellement nécessaire, facile / teilweise nötig, einfach"</formula>
    </cfRule>
    <cfRule type="cellIs" dxfId="5676" priority="16" stopIfTrue="1" operator="equal">
      <formula>"Partiellement nécessaire, difficile / teilweise nötig, schwierig"</formula>
    </cfRule>
    <cfRule type="cellIs" dxfId="5675" priority="17" stopIfTrue="1" operator="equal">
      <formula>"Très nécessaire, facile / unbedingt nötig, einfach"</formula>
    </cfRule>
    <cfRule type="cellIs" dxfId="5674" priority="18" stopIfTrue="1" operator="equal">
      <formula>"Non nécessaire / nicht nötig"</formula>
    </cfRule>
  </conditionalFormatting>
  <conditionalFormatting sqref="Y17">
    <cfRule type="cellIs" dxfId="5673" priority="7" stopIfTrue="1" operator="equal">
      <formula>"non pertinent / nicht relevant"</formula>
    </cfRule>
    <cfRule type="cellIs" dxfId="5672" priority="8" stopIfTrue="1" operator="equal">
      <formula>"Très nécessaire, difficile / unbedingt nötig, schwierig"</formula>
    </cfRule>
    <cfRule type="cellIs" dxfId="5671" priority="9" stopIfTrue="1" operator="equal">
      <formula>"Partiellement nécessaire, facile / teilweise nötig, einfach"</formula>
    </cfRule>
    <cfRule type="cellIs" dxfId="5670" priority="10" stopIfTrue="1" operator="equal">
      <formula>"Partiellement nécessaire, difficile / teilweise nötig, schwierig"</formula>
    </cfRule>
    <cfRule type="cellIs" dxfId="5669" priority="11" stopIfTrue="1" operator="equal">
      <formula>"Très nécessaire, facile / unbedingt nötig, einfach"</formula>
    </cfRule>
    <cfRule type="cellIs" dxfId="5668" priority="12" stopIfTrue="1" operator="equal">
      <formula>"Non nécessaire / nicht nötig"</formula>
    </cfRule>
  </conditionalFormatting>
  <conditionalFormatting sqref="Y28">
    <cfRule type="cellIs" dxfId="5667" priority="1" stopIfTrue="1" operator="equal">
      <formula>"non pertinent / nicht relevant"</formula>
    </cfRule>
    <cfRule type="cellIs" dxfId="5666" priority="2" stopIfTrue="1" operator="equal">
      <formula>"Très nécessaire, difficile / unbedingt nötig, schwierig"</formula>
    </cfRule>
    <cfRule type="cellIs" dxfId="5665" priority="3" stopIfTrue="1" operator="equal">
      <formula>"Partiellement nécessaire, facile / teilweise nötig, einfach"</formula>
    </cfRule>
    <cfRule type="cellIs" dxfId="5664" priority="4" stopIfTrue="1" operator="equal">
      <formula>"Partiellement nécessaire, difficile / teilweise nötig, schwierig"</formula>
    </cfRule>
    <cfRule type="cellIs" dxfId="5663" priority="5" stopIfTrue="1" operator="equal">
      <formula>"Très nécessaire, facile / unbedingt nötig, einfach"</formula>
    </cfRule>
    <cfRule type="cellIs" dxfId="5662" priority="6" stopIfTrue="1" operator="equal">
      <formula>"Non nécessaire / nicht nötig"</formula>
    </cfRule>
  </conditionalFormatting>
  <pageMargins left="0.7" right="0.7" top="0.75" bottom="0.75" header="0.3" footer="0.3"/>
  <pageSetup paperSize="9" scale="1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W275"/>
  <sheetViews>
    <sheetView zoomScale="40" zoomScaleNormal="40" zoomScalePageLayoutView="25" workbookViewId="0">
      <selection activeCell="B30" sqref="B30"/>
    </sheetView>
  </sheetViews>
  <sheetFormatPr baseColWidth="10" defaultColWidth="11.42578125" defaultRowHeight="15" x14ac:dyDescent="0.25"/>
  <cols>
    <col min="1" max="1" width="7.140625" style="724" customWidth="1"/>
    <col min="2" max="2" width="3.28515625" style="725" bestFit="1" customWidth="1"/>
    <col min="3" max="4" width="10.42578125" style="725" customWidth="1"/>
    <col min="5" max="5" width="3.85546875" style="725" customWidth="1"/>
    <col min="6" max="6" width="8.28515625" style="725" customWidth="1"/>
    <col min="7" max="7" width="7.7109375" style="725" customWidth="1"/>
    <col min="8" max="8" width="5.28515625" style="725" bestFit="1" customWidth="1"/>
    <col min="9" max="9" width="5.42578125" style="725" customWidth="1"/>
    <col min="10" max="10" width="3.5703125" style="725" bestFit="1" customWidth="1"/>
    <col min="11" max="11" width="13.5703125" style="725" customWidth="1"/>
    <col min="12" max="13" width="8.5703125" style="725" customWidth="1"/>
    <col min="14" max="14" width="7.85546875" style="841" customWidth="1"/>
    <col min="15" max="15" width="8" style="723" bestFit="1" customWidth="1"/>
    <col min="16" max="16" width="4.85546875" style="842" bestFit="1" customWidth="1"/>
    <col min="17" max="17" width="7.7109375" style="723" customWidth="1"/>
    <col min="18" max="18" width="4.85546875" style="842" bestFit="1" customWidth="1"/>
    <col min="19" max="19" width="11.7109375" style="723" customWidth="1"/>
    <col min="20" max="20" width="5.5703125" style="842" bestFit="1" customWidth="1"/>
    <col min="21" max="21" width="15.140625" style="723" customWidth="1"/>
    <col min="22" max="22" width="15.42578125" style="843" customWidth="1"/>
    <col min="23" max="23" width="9.28515625" style="723" customWidth="1"/>
    <col min="24" max="24" width="12.42578125" style="723" customWidth="1"/>
    <col min="25" max="25" width="9.42578125" style="723" customWidth="1"/>
    <col min="26" max="26" width="20" style="723" customWidth="1"/>
    <col min="27" max="27" width="4.42578125" style="723" customWidth="1"/>
    <col min="28" max="28" width="12" style="723" customWidth="1"/>
    <col min="29" max="29" width="16.42578125" style="723" hidden="1" customWidth="1"/>
    <col min="30" max="30" width="7.140625" style="723" customWidth="1"/>
    <col min="31" max="31" width="8.140625" style="723" hidden="1" customWidth="1"/>
    <col min="32" max="32" width="13" style="723" hidden="1" customWidth="1"/>
    <col min="33" max="33" width="37.85546875" style="723" hidden="1" customWidth="1"/>
    <col min="34" max="34" width="3.28515625" style="723" hidden="1" customWidth="1"/>
    <col min="35" max="35" width="32.42578125" style="723" hidden="1" customWidth="1"/>
    <col min="36" max="36" width="116.5703125" style="723" hidden="1" customWidth="1"/>
    <col min="37" max="37" width="12.7109375" style="723" customWidth="1"/>
    <col min="38" max="38" width="4.42578125" style="844" customWidth="1"/>
    <col min="39" max="39" width="9.28515625" style="845" customWidth="1"/>
    <col min="40" max="40" width="9.28515625" style="846" customWidth="1"/>
    <col min="41" max="41" width="8.85546875" style="846" customWidth="1"/>
    <col min="42" max="42" width="8.28515625" style="846" customWidth="1"/>
    <col min="43" max="43" width="8" style="847" customWidth="1"/>
    <col min="44" max="44" width="8.85546875" style="848" customWidth="1"/>
    <col min="45" max="45" width="5.7109375" style="846" hidden="1" customWidth="1"/>
    <col min="46" max="46" width="19.5703125" style="846" hidden="1" customWidth="1"/>
    <col min="47" max="47" width="47.42578125" style="846" hidden="1" customWidth="1"/>
    <col min="48" max="48" width="17.28515625" style="846" hidden="1" customWidth="1"/>
    <col min="49" max="49" width="23.85546875" style="846" hidden="1" customWidth="1"/>
    <col min="50" max="50" width="89.85546875" style="846" hidden="1" customWidth="1"/>
    <col min="51" max="51" width="10" style="846" customWidth="1"/>
    <col min="52" max="52" width="8.85546875" style="846" customWidth="1"/>
    <col min="53" max="53" width="15.7109375" style="849" customWidth="1"/>
    <col min="54" max="54" width="5.28515625" style="850" bestFit="1" customWidth="1"/>
    <col min="55" max="55" width="4.85546875" style="851" bestFit="1" customWidth="1"/>
    <col min="56" max="56" width="5.28515625" style="851" bestFit="1" customWidth="1"/>
    <col min="57" max="57" width="9.28515625" style="921" customWidth="1"/>
    <col min="58" max="58" width="7.7109375" style="851" customWidth="1"/>
    <col min="59" max="59" width="5.7109375" style="851" customWidth="1"/>
    <col min="60" max="60" width="9.28515625" style="852" customWidth="1"/>
    <col min="61" max="61" width="19.140625" style="851" customWidth="1"/>
    <col min="62" max="62" width="13.5703125" style="853" customWidth="1"/>
    <col min="63" max="63" width="4.42578125" style="851" customWidth="1"/>
    <col min="64" max="64" width="10.7109375" style="852" hidden="1" customWidth="1"/>
    <col min="65" max="65" width="8.5703125" style="852" customWidth="1"/>
    <col min="66" max="66" width="20.7109375" style="852" hidden="1" customWidth="1"/>
    <col min="67" max="67" width="13.5703125" style="852" customWidth="1"/>
    <col min="68" max="68" width="20.85546875" style="852" hidden="1" customWidth="1"/>
    <col min="69" max="69" width="13" style="852" hidden="1" customWidth="1"/>
    <col min="70" max="70" width="86.7109375" style="852" hidden="1" customWidth="1"/>
    <col min="71" max="71" width="3.28515625" style="852" hidden="1" customWidth="1"/>
    <col min="72" max="72" width="51.85546875" style="854" hidden="1" customWidth="1"/>
    <col min="73" max="73" width="72.140625" style="854" hidden="1" customWidth="1"/>
    <col min="74" max="74" width="13.5703125" style="854" customWidth="1"/>
    <col min="75" max="75" width="4.42578125" style="855" customWidth="1"/>
    <col min="76" max="16384" width="11.42578125" style="723"/>
  </cols>
  <sheetData>
    <row r="1" spans="1:75" ht="66" customHeight="1" thickBot="1" x14ac:dyDescent="0.3">
      <c r="A1" s="1374" t="s">
        <v>1979</v>
      </c>
      <c r="B1" s="1374"/>
      <c r="C1" s="1374"/>
      <c r="D1" s="1374"/>
      <c r="E1" s="1374"/>
      <c r="F1" s="1374"/>
      <c r="G1" s="1374"/>
      <c r="H1" s="1374"/>
      <c r="I1" s="1374"/>
      <c r="J1" s="1374"/>
      <c r="K1" s="1374"/>
      <c r="L1" s="1374"/>
      <c r="M1" s="1374"/>
      <c r="N1" s="1365" t="s">
        <v>1975</v>
      </c>
      <c r="O1" s="1366"/>
      <c r="P1" s="1366"/>
      <c r="Q1" s="1366"/>
      <c r="R1" s="1366"/>
      <c r="S1" s="1366"/>
      <c r="T1" s="1366"/>
      <c r="U1" s="1366"/>
      <c r="V1" s="1366"/>
      <c r="W1" s="1366"/>
      <c r="X1" s="1366"/>
      <c r="Y1" s="1366"/>
      <c r="Z1" s="1366"/>
      <c r="AA1" s="1366"/>
      <c r="AB1" s="1366"/>
      <c r="AC1" s="1366"/>
      <c r="AD1" s="1366"/>
      <c r="AE1" s="1366"/>
      <c r="AF1" s="1366"/>
      <c r="AG1" s="1366"/>
      <c r="AH1" s="1366"/>
      <c r="AI1" s="1366"/>
      <c r="AJ1" s="1366"/>
      <c r="AK1" s="1367"/>
      <c r="AL1" s="1368"/>
      <c r="AM1" s="1369" t="s">
        <v>1976</v>
      </c>
      <c r="AN1" s="1370"/>
      <c r="AO1" s="1370"/>
      <c r="AP1" s="1370"/>
      <c r="AQ1" s="1370"/>
      <c r="AR1" s="1370"/>
      <c r="AS1" s="1370"/>
      <c r="AT1" s="1370"/>
      <c r="AU1" s="1370"/>
      <c r="AV1" s="1370"/>
      <c r="AW1" s="1370"/>
      <c r="AX1" s="1370"/>
      <c r="AY1" s="1370"/>
      <c r="AZ1" s="721"/>
      <c r="BA1" s="722" t="s">
        <v>1977</v>
      </c>
      <c r="BB1" s="1371" t="s">
        <v>1978</v>
      </c>
      <c r="BC1" s="1372"/>
      <c r="BD1" s="1372"/>
      <c r="BE1" s="1372"/>
      <c r="BF1" s="1372"/>
      <c r="BG1" s="1372"/>
      <c r="BH1" s="1372"/>
      <c r="BI1" s="1372"/>
      <c r="BJ1" s="1372"/>
      <c r="BK1" s="1372"/>
      <c r="BL1" s="1372"/>
      <c r="BM1" s="1372"/>
      <c r="BN1" s="1372"/>
      <c r="BO1" s="1372"/>
      <c r="BP1" s="1372"/>
      <c r="BQ1" s="1372"/>
      <c r="BR1" s="1372"/>
      <c r="BS1" s="1372"/>
      <c r="BT1" s="1372"/>
      <c r="BU1" s="1372"/>
      <c r="BV1" s="1372"/>
      <c r="BW1" s="1373"/>
    </row>
    <row r="2" spans="1:75" ht="79.900000000000006" customHeight="1" thickBot="1" x14ac:dyDescent="0.3">
      <c r="N2" s="1360" t="str">
        <f>IF('Charriage - Geschiebehaushalt'!Q2="","",'Charriage - Geschiebehaushalt'!Q2)</f>
        <v>Rapport Besoins d'assainissement 2014</v>
      </c>
      <c r="O2" s="1361"/>
      <c r="P2" s="1361"/>
      <c r="Q2" s="1361"/>
      <c r="R2" s="1361"/>
      <c r="S2" s="1361"/>
      <c r="T2" s="1361"/>
      <c r="U2" s="1361"/>
      <c r="V2" s="1361"/>
      <c r="W2" s="1361"/>
      <c r="X2" s="1361"/>
      <c r="Y2" s="1361"/>
      <c r="Z2" s="1361"/>
      <c r="AA2" s="1361"/>
      <c r="AB2" s="1390" t="str">
        <f>IF('Charriage - Geschiebehaushalt'!S2="","",'Charriage - Geschiebehaushalt'!S2)</f>
        <v>Planification strategique</v>
      </c>
      <c r="AC2" s="1390"/>
      <c r="AD2" s="1391"/>
      <c r="AE2" s="1382" t="str">
        <f>IF('Charriage - Geschiebehaushalt'!V2="","",'Charriage - Geschiebehaushalt'!V2)</f>
        <v>Proposition Combinaison / 
Vorschlag Kombination</v>
      </c>
      <c r="AF2" s="1392"/>
      <c r="AG2" s="1392"/>
      <c r="AH2" s="1393"/>
      <c r="AI2" s="1375" t="str">
        <f>IF('Charriage - Geschiebehaushalt'!Z2="","",'Charriage - Geschiebehaushalt'!Z2)</f>
        <v>Validation par le canton / Überprüfung durch Kanton</v>
      </c>
      <c r="AJ2" s="1376"/>
      <c r="AK2" s="1394" t="str">
        <f>IF('Charriage - Geschiebehaushalt'!AB2="","",'Charriage - Geschiebehaushalt'!AB2)</f>
        <v>Proposition finale</v>
      </c>
      <c r="AL2" s="1395"/>
      <c r="AM2" s="1362" t="str">
        <f>'Débit - Abfluss'!H2</f>
        <v>Rapport Besoins d'assainissement 2014</v>
      </c>
      <c r="AN2" s="1362"/>
      <c r="AO2" s="1362"/>
      <c r="AP2" s="1363"/>
      <c r="AQ2" s="726" t="str">
        <f>'Débit - Abfluss'!I2</f>
        <v>Restwasserkarte EAWAG</v>
      </c>
      <c r="AR2" s="1385" t="str">
        <f>'Débit - Abfluss'!J2</f>
        <v>Proposition Combinaison</v>
      </c>
      <c r="AS2" s="1386" t="e">
        <f>'Débit - Abfluss'!#REF!</f>
        <v>#REF!</v>
      </c>
      <c r="AT2" s="1375" t="str">
        <f>'Débit - Abfluss'!K2</f>
        <v>Validation par le canton</v>
      </c>
      <c r="AU2" s="1387">
        <f>'Débit - Abfluss'!M2</f>
        <v>0</v>
      </c>
      <c r="AV2" s="1388" t="str">
        <f>'Débit - Abfluss'!N2</f>
        <v>Prise d'eau, centrale</v>
      </c>
      <c r="AW2" s="1389">
        <f>'Débit - Abfluss'!O2</f>
        <v>0</v>
      </c>
      <c r="AX2" s="727"/>
      <c r="AY2" s="728" t="str">
        <f>'Débit - Abfluss'!Q2</f>
        <v>Proposition finale</v>
      </c>
      <c r="AZ2" s="729"/>
      <c r="BA2" s="730" t="s">
        <v>1985</v>
      </c>
      <c r="BB2" s="1364" t="str">
        <f>'Revitalisation-Revitalisierung'!M2</f>
        <v>Rapport Besoins d'assainissement 2014</v>
      </c>
      <c r="BC2" s="1362"/>
      <c r="BD2" s="1362"/>
      <c r="BE2" s="1362"/>
      <c r="BF2" s="1362"/>
      <c r="BG2" s="1362"/>
      <c r="BH2" s="1362"/>
      <c r="BI2" s="1362"/>
      <c r="BJ2" s="1362"/>
      <c r="BK2" s="1363"/>
      <c r="BL2" s="1379" t="str">
        <f>'Revitalisation-Revitalisierung'!O2</f>
        <v>Planification strategique</v>
      </c>
      <c r="BM2" s="1380"/>
      <c r="BN2" s="1380"/>
      <c r="BO2" s="1381"/>
      <c r="BP2" s="1382" t="str">
        <f>'Revitalisation-Revitalisierung'!S2</f>
        <v>Proposition Combinaison</v>
      </c>
      <c r="BQ2" s="1383"/>
      <c r="BR2" s="1383"/>
      <c r="BS2" s="1384"/>
      <c r="BT2" s="1375" t="str">
        <f>'Revitalisation-Revitalisierung'!V2</f>
        <v>Validation par le canton</v>
      </c>
      <c r="BU2" s="1376"/>
      <c r="BV2" s="1377" t="str">
        <f>'Revitalisation-Revitalisierung'!Y2</f>
        <v>Résultat final</v>
      </c>
      <c r="BW2" s="1378"/>
    </row>
    <row r="3" spans="1:75" s="735" customFormat="1" ht="157.9" customHeight="1" thickBot="1" x14ac:dyDescent="0.3">
      <c r="A3" s="731" t="s">
        <v>1053</v>
      </c>
      <c r="B3" s="732" t="str">
        <f>IF('Données de base - Grunddaten'!B1="","",'Données de base - Grunddaten'!B1)</f>
        <v>Nr ss-sys</v>
      </c>
      <c r="C3" s="733" t="str">
        <f>IF('Données de base - Grunddaten'!C1="","",'Données de base - Grunddaten'!C1)</f>
        <v>Nom / Name</v>
      </c>
      <c r="D3" s="733" t="str">
        <f>IF('Données de base - Grunddaten'!D1="","",'Données de base - Grunddaten'!D1)</f>
        <v>Rivière / Gewässer</v>
      </c>
      <c r="E3" s="733" t="str">
        <f>IF('Données de base - Grunddaten'!E1="","",'Données de base - Grunddaten'!E1)</f>
        <v>Canton / Kanton</v>
      </c>
      <c r="F3" s="733" t="str">
        <f>IF('Données de base - Grunddaten'!F1="","",'Données de base - Grunddaten'!F1)</f>
        <v>Région / Region</v>
      </c>
      <c r="G3" s="733" t="str">
        <f>IF('Données de base - Grunddaten'!G1="","",'Données de base - Grunddaten'!G1)</f>
        <v>Etage / Höhenstufe</v>
      </c>
      <c r="H3" s="733" t="str">
        <f>IF('Données de base - Grunddaten'!H1="","",'Données de base - Grunddaten'!H1)</f>
        <v>Altitude / Höhe ü. M.</v>
      </c>
      <c r="I3" s="733" t="str">
        <f>IF('Données de base - Grunddaten'!I1="","",'Données de base - Grunddaten'!I1)</f>
        <v>Inscription / Aufnahme</v>
      </c>
      <c r="J3" s="733" t="str">
        <f>IF('Données de base - Grunddaten'!J1="","",'Données de base - Grunddaten'!J1)</f>
        <v>Typo</v>
      </c>
      <c r="K3" s="733" t="str">
        <f>IF('Données de base - Grunddaten'!K1="","",'Données de base - Grunddaten'!K1)</f>
        <v>Typologie</v>
      </c>
      <c r="L3" s="733" t="str">
        <f>IF('Données de base - Grunddaten'!L1="","",'Données de base - Grunddaten'!L1)</f>
        <v>Style naturel / natürlicher Stil</v>
      </c>
      <c r="M3" s="734" t="str">
        <f>IF('Données de base - Grunddaten'!M1="","",'Données de base - Grunddaten'!M1)</f>
        <v>Etat actuel / aktueller Zustand</v>
      </c>
      <c r="N3" s="720" t="str">
        <f>IF('Charriage - Geschiebehaushalt'!E3="","",'Charriage - Geschiebehaushalt'!E3)</f>
        <v>Pertinence charriage</v>
      </c>
      <c r="O3" s="714" t="str">
        <f>IF('Charriage - Geschiebehaushalt'!F3="","",'Charriage - Geschiebehaushalt'!F3)</f>
        <v>Déficit en charriage</v>
      </c>
      <c r="P3" s="714" t="str">
        <f>IF('Charriage - Geschiebehaushalt'!G3="","",'Charriage - Geschiebehaushalt'!G3)</f>
        <v>I2.f</v>
      </c>
      <c r="Q3" s="714" t="str">
        <f>IF('Charriage - Geschiebehaushalt'!H3="","",'Charriage - Geschiebehaushalt'!H3)</f>
        <v>Résultat - incision du lit</v>
      </c>
      <c r="R3" s="714" t="str">
        <f>IF('Charriage - Geschiebehaushalt'!I3="","",'Charriage - Geschiebehaushalt'!I3)</f>
        <v>I3d modif</v>
      </c>
      <c r="S3" s="714" t="str">
        <f>IF('Charriage - Geschiebehaushalt'!J3="","",'Charriage - Geschiebehaushalt'!J3)</f>
        <v>Résultat - entrave à la dynamique</v>
      </c>
      <c r="T3" s="714" t="str">
        <f>IF('Charriage - Geschiebehaushalt'!K3="","",'Charriage - Geschiebehaushalt'!K3)</f>
        <v>I.1b</v>
      </c>
      <c r="U3" s="714" t="str">
        <f>IF('Charriage - Geschiebehaushalt'!L3="","",'Charriage - Geschiebehaushalt'!L3)</f>
        <v>Résultat - représentation des formations pionnières</v>
      </c>
      <c r="V3" s="714" t="str">
        <f>IF('Charriage - Geschiebehaushalt'!M3="","",'Charriage - Geschiebehaushalt'!M3)</f>
        <v>Avis d'expert</v>
      </c>
      <c r="W3" s="714" t="str">
        <f>IF('Charriage - Geschiebehaushalt'!N3="","",'Charriage - Geschiebehaushalt'!N3)</f>
        <v>Résultat avis d'expert</v>
      </c>
      <c r="X3" s="714" t="str">
        <f>IF('Charriage - Geschiebehaushalt'!O3="","",'Charriage - Geschiebehaushalt'!O3)</f>
        <v>Examen détaillé du bassin versant</v>
      </c>
      <c r="Y3" s="715" t="str">
        <f>IF('Charriage - Geschiebehaushalt'!P3="","",'Charriage - Geschiebehaushalt'!P3)</f>
        <v>Résultat examen détaillé</v>
      </c>
      <c r="Z3" s="716" t="str">
        <f>IF('Charriage - Geschiebehaushalt'!Q3="","",'Charriage - Geschiebehaushalt'!Q3)</f>
        <v>Résultat final charriage (déficit)</v>
      </c>
      <c r="AA3" s="1291" t="str">
        <f>IF('Charriage - Geschiebehaushalt'!R3="","",'Charriage - Geschiebehaushalt'!R3)</f>
        <v>a. mesuré / b. évalué</v>
      </c>
      <c r="AB3" s="21" t="str">
        <f>IF('Charriage - Geschiebehaushalt'!S3="","",'Charriage - Geschiebehaushalt'!S3)</f>
        <v>Beeinträchtigung</v>
      </c>
      <c r="AC3" s="564" t="str">
        <f>IF('Charriage - Geschiebehaushalt'!T3="","",'Charriage - Geschiebehaushalt'!T3)</f>
        <v>Handlungsbedarf 
(Beeinträchtigung nach MN)</v>
      </c>
      <c r="AD3" s="565" t="str">
        <f>IF('Charriage - Geschiebehaushalt'!U3="","",'Charriage - Geschiebehaushalt'!U3)</f>
        <v>Résultat final charriage (déficit)</v>
      </c>
      <c r="AE3" s="665" t="str">
        <f>IF('Charriage - Geschiebehaushalt'!V3="","",'Charriage - Geschiebehaushalt'!V3)</f>
        <v>Résultat final charriage (déficit) / 
Endresultat Geschiebe (Defizit)</v>
      </c>
      <c r="AF3" s="666" t="str">
        <f>IF('Charriage - Geschiebehaushalt'!W3="","",'Charriage - Geschiebehaushalt'!W3)</f>
        <v>a. mesurée / gemessen
b. évaluée / ausgewertet
c. planification / Planung
d. Compatibilité / Kompatibel
e. Réevalué / Neu bewertet</v>
      </c>
      <c r="AG3" s="564" t="str">
        <f>IF('Charriage - Geschiebehaushalt'!X3="","",'Charriage - Geschiebehaushalt'!X3)</f>
        <v>Remarques BIOP</v>
      </c>
      <c r="AH3" s="565" t="str">
        <f>IF('Charriage - Geschiebehaushalt'!Y3="","",'Charriage - Geschiebehaushalt'!Y3)</f>
        <v>Validation par le canton</v>
      </c>
      <c r="AI3" s="566" t="str">
        <f>IF('Charriage - Geschiebehaushalt'!Z3="","",'Charriage - Geschiebehaushalt'!Z3)</f>
        <v>Nouveau diagnostic du canton / 
neues Endresultat Kanton</v>
      </c>
      <c r="AJ3" s="1281" t="str">
        <f>IF('Charriage - Geschiebehaushalt'!AA3="","",'Charriage - Geschiebehaushalt'!AA3)</f>
        <v>Remarques du canton / 
Bemerkungen des Kantons</v>
      </c>
      <c r="AK3" s="1289" t="str">
        <f>IF('Charriage - Geschiebehaushalt'!AB3="","",'Charriage - Geschiebehaushalt'!AB3)</f>
        <v>Résultat final charriage (déficit)/ Endresultat Geschiebe (Defizit)</v>
      </c>
      <c r="AL3" s="1292" t="str">
        <f>IF('Charriage - Geschiebehaushalt'!AD3="","",'Charriage - Geschiebehaushalt'!AD3)</f>
        <v>a. mesuré / b. évalué</v>
      </c>
      <c r="AM3" s="1278" t="str">
        <f>IF('Débit - Abfluss'!E3="","",'Débit - Abfluss'!E3)</f>
        <v>Atlas hydrologique (part du débit naturel)</v>
      </c>
      <c r="AN3" s="667" t="str">
        <f>IF('Débit - Abfluss'!F3="","",'Débit - Abfluss'!F3)</f>
        <v>Tronçons à Q rés</v>
      </c>
      <c r="AO3" s="668" t="str">
        <f>IF('Débit - Abfluss'!G3="","",'Débit - Abfluss'!G3)</f>
        <v>Prélèvement</v>
      </c>
      <c r="AP3" s="669" t="str">
        <f>IF('Débit - Abfluss'!H3="","",'Débit - Abfluss'!H3)</f>
        <v>Résultat final débit</v>
      </c>
      <c r="AQ3" s="670" t="str">
        <f>IF('Débit - Abfluss'!I3="","",'Débit - Abfluss'!I3)</f>
        <v xml:space="preserve">Klassierung Restwasserkarte 
EAWAG (2011) </v>
      </c>
      <c r="AR3" s="671" t="str">
        <f>IF('Débit - Abfluss'!J3="","",'Débit - Abfluss'!J3)</f>
        <v xml:space="preserve">Résultat intermédiaire débit
</v>
      </c>
      <c r="AS3" s="671" t="str">
        <f>IF('Débit - Abfluss'!K3="","",'Débit - Abfluss'!K3)</f>
        <v>Validation par le canton?</v>
      </c>
      <c r="AT3" s="672" t="str">
        <f>IF('Débit - Abfluss'!L3="","",'Débit - Abfluss'!L3)</f>
        <v>Nouveau diagnostic du canton débit</v>
      </c>
      <c r="AU3" s="673" t="str">
        <f>IF('Débit - Abfluss'!M3="","",'Débit - Abfluss'!M3)</f>
        <v>Remarque du canton</v>
      </c>
      <c r="AV3" s="667" t="str">
        <f>IF('Débit - Abfluss'!N3="","",'Débit - Abfluss'!N3)</f>
        <v>Code cantonal</v>
      </c>
      <c r="AW3" s="674" t="str">
        <f>IF('Débit - Abfluss'!O3="","",'Débit - Abfluss'!O3)</f>
        <v>Centrale</v>
      </c>
      <c r="AX3" s="675" t="str">
        <f>IF('Débit - Abfluss'!P3="","",'Débit - Abfluss'!P3)</f>
        <v>Canton: données complémentaires</v>
      </c>
      <c r="AY3" s="676" t="str">
        <f>IF('Débit - Abfluss'!Q3="","",'Débit - Abfluss'!Q3)</f>
        <v>Résultat final débit</v>
      </c>
      <c r="AZ3" s="669" t="s">
        <v>1980</v>
      </c>
      <c r="BA3" s="718" t="s">
        <v>1900</v>
      </c>
      <c r="BB3" s="719" t="str">
        <f>IF('Revitalisation-Revitalisierung'!E3="","",'Revitalisation-Revitalisierung'!E3)</f>
        <v>Priorité</v>
      </c>
      <c r="BC3" s="691" t="str">
        <f>IF('Revitalisation-Revitalisierung'!F3="","",'Revitalisation-Revitalisierung'!F3)</f>
        <v>Nécessité</v>
      </c>
      <c r="BD3" s="691" t="str">
        <f>IF('Revitalisation-Revitalisierung'!G3="","",'Revitalisation-Revitalisierung'!G3)</f>
        <v>Difficulté</v>
      </c>
      <c r="BE3" s="691" t="str">
        <f>IF('Revitalisation-Revitalisierung'!H3="","",'Revitalisation-Revitalisierung'!H3)</f>
        <v>Evaluation 1</v>
      </c>
      <c r="BF3" s="691" t="str">
        <f>IF('Revitalisation-Revitalisierung'!I3="","",'Revitalisation-Revitalisierung'!I3)</f>
        <v>Formulaire de terrain</v>
      </c>
      <c r="BG3" s="691" t="str">
        <f>IF('Revitalisation-Revitalisierung'!J3="","",'Revitalisation-Revitalisierung'!J3)</f>
        <v>Catégorie de restauration écologique</v>
      </c>
      <c r="BH3" s="691" t="str">
        <f>IF('Revitalisation-Revitalisierung'!K3="","",'Revitalisation-Revitalisierung'!K3)</f>
        <v>Evaluation 2</v>
      </c>
      <c r="BI3" s="692" t="str">
        <f>IF('Revitalisation-Revitalisierung'!L3="","",'Revitalisation-Revitalisierung'!L3)</f>
        <v>Avis d'experts</v>
      </c>
      <c r="BJ3" s="693" t="str">
        <f>IF('Revitalisation-Revitalisierung'!M3="","",'Revitalisation-Revitalisierung'!M3)</f>
        <v>Résultat final  Besoin de revitalisation</v>
      </c>
      <c r="BK3" s="693" t="str">
        <f>IF('Revitalisation-Revitalisierung'!N3="","",'Revitalisation-Revitalisierung'!N3)</f>
        <v>a. mesurée / b. évaluée</v>
      </c>
      <c r="BL3" s="694" t="str">
        <f>IF('Revitalisation-Revitalisierung'!O3="","",'Revitalisation-Revitalisierung'!O3)</f>
        <v xml:space="preserve">Potentiel écologique </v>
      </c>
      <c r="BM3" s="695" t="str">
        <f>IF('Revitalisation-Revitalisierung'!P3="","",'Revitalisation-Revitalisierung'!P3)</f>
        <v>Nutzen</v>
      </c>
      <c r="BN3" s="695" t="str">
        <f>IF('Revitalisation-Revitalisierung'!Q3="","",'Revitalisation-Revitalisierung'!Q3)</f>
        <v>Priorität</v>
      </c>
      <c r="BO3" s="696" t="str">
        <f>IF('Revitalisation-Revitalisierung'!R3="","",'Revitalisation-Revitalisierung'!R3)</f>
        <v>Résultat final  planification stratégique</v>
      </c>
      <c r="BP3" s="694" t="str">
        <f>IF('Revitalisation-Revitalisierung'!S3="","",'Revitalisation-Revitalisierung'!S3)</f>
        <v>Résultat intermédiaire</v>
      </c>
      <c r="BQ3" s="697" t="str">
        <f>IF('Revitalisation-Revitalisierung'!T3="","",'Revitalisation-Revitalisierung'!T3)</f>
        <v>a. mesurée / b. évaluée / c. planification / d. Compatibilité / e. Réevalué</v>
      </c>
      <c r="BR3" s="695" t="str">
        <f>IF('Revitalisation-Revitalisierung'!U3="","",'Revitalisation-Revitalisierung'!U3)</f>
        <v>Remarques BIOP</v>
      </c>
      <c r="BS3" s="696" t="str">
        <f>IF('Revitalisation-Revitalisierung'!V3="","",'Revitalisation-Revitalisierung'!V3)</f>
        <v>Validation par le canton</v>
      </c>
      <c r="BT3" s="694" t="str">
        <f>IF('Revitalisation-Revitalisierung'!W3="","",'Revitalisation-Revitalisierung'!W3)</f>
        <v>Nouveau diagnostic du canton</v>
      </c>
      <c r="BU3" s="696" t="str">
        <f>IF('Revitalisation-Revitalisierung'!X3="","",'Revitalisation-Revitalisierung'!X3)</f>
        <v>Remarque du canton</v>
      </c>
      <c r="BV3" s="698" t="str">
        <f>IF('Revitalisation-Revitalisierung'!Y3="","",'Revitalisation-Revitalisierung'!Y3)</f>
        <v>Résultat final</v>
      </c>
      <c r="BW3" s="1290" t="str">
        <f>IF('Revitalisation-Revitalisierung'!AA3="","",'Revitalisation-Revitalisierung'!AA3)</f>
        <v>a. mesurée / b. évaluée</v>
      </c>
    </row>
    <row r="4" spans="1:75" ht="75.599999999999994" customHeight="1" x14ac:dyDescent="0.25">
      <c r="A4" s="935">
        <v>2</v>
      </c>
      <c r="B4" s="856">
        <f>IF(VLOOKUP(A4,'Données de base - Grunddaten'!$A$2:$M$297,2,FALSE)="","",VLOOKUP(A4,'Données de base - Grunddaten'!$A$2:$M$297,2,FALSE))</f>
        <v>1</v>
      </c>
      <c r="C4" s="857" t="str">
        <f>IF(VLOOKUP(A4,'Données de base - Grunddaten'!$A$2:$M$297,3,FALSE)="","",VLOOKUP(A4,'Données de base - Grunddaten'!$A$2:$M$297,3,FALSE))</f>
        <v>Haumättli</v>
      </c>
      <c r="D4" s="857" t="str">
        <f>IF(VLOOKUP(A4,'Données de base - Grunddaten'!$A$2:$M$297,4,FALSE)="","",VLOOKUP(A4,'Données de base - Grunddaten'!$A$2:$M$297,4,FALSE))</f>
        <v>Rhein</v>
      </c>
      <c r="E4" s="857" t="str">
        <f>IF(VLOOKUP(A4,'Données de base - Grunddaten'!$A$2:$M$297,5,FALSE)="","",VLOOKUP(A4,'Données de base - Grunddaten'!$A$2:$M$297,5,FALSE))</f>
        <v>AG</v>
      </c>
      <c r="F4" s="857" t="str">
        <f>IF(VLOOKUP(A4,'Données de base - Grunddaten'!$A$2:$M$297,6,FALSE)="","",VLOOKUP(A4,'Données de base - Grunddaten'!$A$2:$M$297,6,FALSE))</f>
        <v>Bassins lémanique et rhénan</v>
      </c>
      <c r="G4" s="857" t="str">
        <f>IF(VLOOKUP(A4,'Données de base - Grunddaten'!$A$2:$M$297,7,FALSE)="","",VLOOKUP(A4,'Données de base - Grunddaten'!$A$2:$M$297,7,FALSE))</f>
        <v>Collinéen</v>
      </c>
      <c r="H4" s="857">
        <f>IF(VLOOKUP(A4,'Données de base - Grunddaten'!$A$2:$M$297,8,FALSE)="","",VLOOKUP(A4,'Données de base - Grunddaten'!$A$2:$M$297,8,FALSE))</f>
        <v>282</v>
      </c>
      <c r="I4" s="857">
        <f>IF(VLOOKUP(A4,'Données de base - Grunddaten'!$A$2:$M$297,9,FALSE)="","",VLOOKUP(A4,'Données de base - Grunddaten'!$A$2:$M$297,9,FALSE))</f>
        <v>1992</v>
      </c>
      <c r="J4" s="857">
        <f>IF(VLOOKUP(A4,'Données de base - Grunddaten'!$A$2:$M$297,10,FALSE)="","",VLOOKUP(A4,'Données de base - Grunddaten'!$A$2:$M$297,10,FALSE))</f>
        <v>51</v>
      </c>
      <c r="K4" s="857" t="str">
        <f>IF(VLOOKUP(A4,'Données de base - Grunddaten'!$A$2:$M$297,11,FALSE)="","",VLOOKUP(A4,'Données de base - Grunddaten'!$A$2:$M$297,11,FALSE))</f>
        <v>Cours d'eau naturels de l'étage collinéen du Moyen-Pays</v>
      </c>
      <c r="L4" s="857" t="str">
        <f>IF(VLOOKUP(A4,'Données de base - Grunddaten'!$A$2:$M$297,12,FALSE)="","",VLOOKUP(A4,'Données de base - Grunddaten'!$A$2:$M$297,12,FALSE))</f>
        <v>en méandres migrants</v>
      </c>
      <c r="M4" s="858" t="str">
        <f>IF(VLOOKUP(A4,'Données de base - Grunddaten'!$A$2:$M$297,13,FALSE)="","",VLOOKUP(A4,'Données de base - Grunddaten'!$A$2:$M$297,13,FALSE))</f>
        <v>en méandres migrants</v>
      </c>
      <c r="N4" s="859" t="str">
        <f>IF(VLOOKUP(A4,'Charriage - Geschiebehaushalt'!$A$4:$R$275,5,FALSE)="","",VLOOKUP(A4,'Charriage - Geschiebehaushalt'!$A$4:$R$275,5,FALSE))</f>
        <v>pertinent</v>
      </c>
      <c r="O4" s="860" t="str">
        <f>IF(VLOOKUP(A4,'Charriage - Geschiebehaushalt'!$A$4:$R$275,6,FALSE)="","",VLOOKUP(A4,'Charriage - Geschiebehaushalt'!$A$4:$R$275,6,FALSE))</f>
        <v>81 -100%</v>
      </c>
      <c r="P4" s="861" t="str">
        <f>IF(VLOOKUP(A4,'Charriage - Geschiebehaushalt'!$A$4:$R$275,7,FALSE)="","",VLOOKUP(A4,'Charriage - Geschiebehaushalt'!$A$4:$R$275,7,FALSE))</f>
        <v/>
      </c>
      <c r="Q4" s="861" t="str">
        <f>IF(VLOOKUP(A4,'Charriage - Geschiebehaushalt'!$A$4:$R$275,8,FALSE)="","",VLOOKUP(A4,'Charriage - Geschiebehaushalt'!$A$4:$R$275,8,FALSE))</f>
        <v>non documenté</v>
      </c>
      <c r="R4" s="862">
        <f>IF(VLOOKUP(A4,'Charriage - Geschiebehaushalt'!$A$4:$R$275,9,FALSE)="","",VLOOKUP(A4,'Charriage - Geschiebehaushalt'!$A$4:$R$275,9,FALSE))</f>
        <v>0.68830003493911995</v>
      </c>
      <c r="S4" s="863" t="str">
        <f>IF(VLOOKUP(A4,'Charriage - Geschiebehaushalt'!$A$4:$R$275,10,FALSE)="","",VLOOKUP(A4,'Charriage - Geschiebehaushalt'!$A$4:$R$275,10,FALSE))</f>
        <v>la remobilisation des sédiments est perturbée</v>
      </c>
      <c r="T4" s="862">
        <f>IF(VLOOKUP(A4,'Charriage - Geschiebehaushalt'!$A$4:$R$275,11,FALSE)="","",VLOOKUP(A4,'Charriage - Geschiebehaushalt'!$A$4:$R$275,11,FALSE))</f>
        <v>0.15460550774000001</v>
      </c>
      <c r="U4" s="863" t="str">
        <f>IF(VLOOKUP(A4,'Charriage - Geschiebehaushalt'!$A$4:$R$275,12,FALSE)="","",VLOOKUP(A4,'Charriage - Geschiebehaushalt'!$A$4:$R$275,12,FALSE))</f>
        <v>déficit dans les formations pionnières</v>
      </c>
      <c r="V4" s="864" t="str">
        <f>IF(VLOOKUP(A4,'Charriage - Geschiebehaushalt'!$A$4:$R$275,13,FALSE)="","",VLOOKUP(A4,'Charriage - Geschiebehaushalt'!$A$4:$R$275,13,FALSE))</f>
        <v/>
      </c>
      <c r="W4" s="864" t="str">
        <f>IF(VLOOKUP(A4,'Charriage - Geschiebehaushalt'!$A$4:$R$275,14,FALSE)="","",VLOOKUP(A4,'Charriage - Geschiebehaushalt'!$A$4:$R$275,14,FALSE))</f>
        <v/>
      </c>
      <c r="X4" s="864" t="str">
        <f>IF(VLOOKUP(A4,'Charriage - Geschiebehaushalt'!$A$4:$R$275,15,FALSE)="","",VLOOKUP(A4,'Charriage - Geschiebehaushalt'!$A$4:$R$275,15,FALSE))</f>
        <v/>
      </c>
      <c r="Y4" s="865" t="str">
        <f>IF(VLOOKUP(A4,'Charriage - Geschiebehaushalt'!$A$4:$R$275,16,FALSE)="","",VLOOKUP(A4,'Charriage - Geschiebehaushalt'!$A$4:$R$275,16,FALSE))</f>
        <v/>
      </c>
      <c r="Z4" s="736" t="str">
        <f>IF(VLOOKUP(A4,'Charriage - Geschiebehaushalt'!$A$4:$R$275,17,FALSE)="","",VLOOKUP(A4,'Charriage - Geschiebehaushalt'!$A$4:$R$275,17,FALSE))</f>
        <v>81 -100%</v>
      </c>
      <c r="AA4" s="866" t="str">
        <f>IF(VLOOKUP(A4,'Charriage - Geschiebehaushalt'!$A$4:$R$275,18,FALSE)="","",VLOOKUP(A4,'Charriage - Geschiebehaushalt'!$A$4:$R$275,18,FALSE))</f>
        <v>a</v>
      </c>
      <c r="AB4" s="737" t="str">
        <f>IF(VLOOKUP(A4,'Charriage - Geschiebehaushalt'!$A$4:$AC$275,19,FALSE)="","",VLOOKUP(A4,'Charriage - Geschiebehaushalt'!$A$4:$AC$275,19,FALSE))</f>
        <v>keine Einzelbetrachtung weil keine GIS-Daten</v>
      </c>
      <c r="AC4" s="738" t="str">
        <f>IF(VLOOKUP(A4,'Charriage - Geschiebehaushalt'!$A$4:$AC$275,20,FALSE)="","",VLOOKUP(A4,'Charriage - Geschiebehaushalt'!$A$4:$AC$275,20,FALSE))</f>
        <v>keine Einzelbetrachtung weil keine GIS-Daten</v>
      </c>
      <c r="AD4" s="739" t="str">
        <f>IF(VLOOKUP(A4,'Charriage - Geschiebehaushalt'!$A$4:$AC$275,21,FALSE)="","",VLOOKUP(A4,'Charriage - Geschiebehaushalt'!$A$4:$AC$275,21,FALSE))</f>
        <v/>
      </c>
      <c r="AE4" s="740" t="str">
        <f>IF(VLOOKUP(A4,'Charriage - Geschiebehaushalt'!$A$4:$AC$275,22,FALSE)="","",VLOOKUP(A4,'Charriage - Geschiebehaushalt'!$A$4:$AC$275,22,FALSE))</f>
        <v>81-100%</v>
      </c>
      <c r="AF4" s="867" t="str">
        <f>IF(VLOOKUP(A4,'Charriage - Geschiebehaushalt'!$A$4:$AC$275,23,FALSE)="","",VLOOKUP(A4,'Charriage - Geschiebehaushalt'!$A$4:$AC$275,23,FALSE))</f>
        <v>a</v>
      </c>
      <c r="AG4" s="738" t="str">
        <f>IF(VLOOKUP(A4,'Charriage - Geschiebehaushalt'!$A$4:$AC$275,24,FALSE)="","",VLOOKUP(A4,'Charriage - Geschiebehaushalt'!$A$4:$AC$275,24,FALSE))</f>
        <v/>
      </c>
      <c r="AH4" s="739" t="str">
        <f>IF(VLOOKUP(A4,'Charriage - Geschiebehaushalt'!$A$4:$AC$275,25,FALSE)="","",VLOOKUP(A4,'Charriage - Geschiebehaushalt'!$A$4:$AC$275,25,FALSE))</f>
        <v/>
      </c>
      <c r="AI4" s="431" t="str">
        <f>IF(VLOOKUP(A4,'Charriage - Geschiebehaushalt'!$A$4:$AC$275,26,FALSE)="","",VLOOKUP(A4,'Charriage - Geschiebehaushalt'!$A$4:$AC$275,26,FALSE))</f>
        <v/>
      </c>
      <c r="AJ4" s="464" t="str">
        <f>IF(VLOOKUP(A4,'Charriage - Geschiebehaushalt'!$A$4:$AC$275,27,FALSE)="","",VLOOKUP(A4,'Charriage - Geschiebehaushalt'!$A$4:$AC$275,27,FALSE))</f>
        <v/>
      </c>
      <c r="AK4" s="801" t="str">
        <f>IF(VLOOKUP(A4,'Charriage - Geschiebehaushalt'!$A$4:$AC$275,28,FALSE)="","",VLOOKUP(A4,'Charriage - Geschiebehaushalt'!$A$4:$AC$275,28,FALSE))</f>
        <v>81-100%</v>
      </c>
      <c r="AL4" s="1285" t="str">
        <f>IF(VLOOKUP(A4,'Charriage - Geschiebehaushalt'!$A$4:$AD$275,30,FALSE)="","",VLOOKUP(A4,'Charriage - Geschiebehaushalt'!$A$4:$AD$275,30,FALSE))</f>
        <v>a</v>
      </c>
      <c r="AM4" s="1279" t="str">
        <f>IF(VLOOKUP(A4,'Débit - Abfluss'!$A$4:$K$275,5,FALSE)="","",VLOOKUP(A4,'Débit - Abfluss'!$A$4:$M$275,5,FALSE))</f>
        <v>81-100%</v>
      </c>
      <c r="AN4" s="868" t="str">
        <f>IF(VLOOKUP(A4,'Débit - Abfluss'!$A$4:$K$275,6,FALSE)="","",VLOOKUP(A4,'Débit - Abfluss'!$A$4:$M$275,6,FALSE))</f>
        <v/>
      </c>
      <c r="AO4" s="869" t="str">
        <f>IF(VLOOKUP(A4,'Débit - Abfluss'!$A$4:$K$275,7,FALSE)="","",VLOOKUP(A4,'Débit - Abfluss'!$A$4:$M$275,7,FALSE))</f>
        <v/>
      </c>
      <c r="AP4" s="741" t="str">
        <f>IF(VLOOKUP(A4,'Débit - Abfluss'!$A$4:$K$275,8,FALSE)="","",VLOOKUP(A4,'Débit - Abfluss'!$A$4:$M$275,8,FALSE))</f>
        <v>81-100%</v>
      </c>
      <c r="AQ4" s="742" t="str">
        <f>IF(VLOOKUP(A4,'Débit - Abfluss'!$A$4:$K$275,9,FALSE)="","",VLOOKUP(A4,'Débit - Abfluss'!$A$4:$M$275,9,FALSE))</f>
        <v>-</v>
      </c>
      <c r="AR4" s="743" t="str">
        <f>IF(VLOOKUP(A4,'Débit - Abfluss'!$A$4:$K$275,10,FALSE)="","",VLOOKUP(A4,'Débit - Abfluss'!$A$4:$M$275,10,FALSE))</f>
        <v>81-100%</v>
      </c>
      <c r="AS4" s="743" t="str">
        <f>IF(VLOOKUP(A4,'Débit - Abfluss'!$A$4:$K$275,11,FALSE)="","",VLOOKUP(A4,'Débit - Abfluss'!$A$4:$M$275,11,FALSE))</f>
        <v/>
      </c>
      <c r="AT4" s="744" t="str">
        <f>IF(VLOOKUP(A4,'Débit - Abfluss'!$A$4:$Q$275,12,FALSE)="","",VLOOKUP(A4,'Débit - Abfluss'!$A$4:$Q$275,12,FALSE))</f>
        <v/>
      </c>
      <c r="AU4" s="745" t="str">
        <f>IF(VLOOKUP(A4,'Débit - Abfluss'!$A$4:$Q$275,13,FALSE)="","",VLOOKUP(A4,'Débit - Abfluss'!$A$4:$Q$275,13,FALSE))</f>
        <v/>
      </c>
      <c r="AV4" s="746" t="str">
        <f>IF(VLOOKUP(A4,'Débit - Abfluss'!$A$4:$Q$275,14,FALSE)="","",VLOOKUP(A4,'Débit - Abfluss'!$A$4:$Q$275,14,FALSE))</f>
        <v/>
      </c>
      <c r="AW4" s="747" t="str">
        <f>IF(VLOOKUP(A4,'Débit - Abfluss'!$A$4:$Q$275,15,FALSE)="","",VLOOKUP(A4,'Débit - Abfluss'!$A$4:$Q$275,15,FALSE))</f>
        <v/>
      </c>
      <c r="AX4" s="677" t="str">
        <f>IF(VLOOKUP(A4,'Débit - Abfluss'!$A$4:$Q$275,16,FALSE)="","",VLOOKUP(A4,'Débit - Abfluss'!$A$4:$Q$275,16,FALSE))</f>
        <v/>
      </c>
      <c r="AY4" s="748" t="str">
        <f>IF(VLOOKUP(A4,'Débit - Abfluss'!$A$4:$Q$275,17,FALSE)="","",VLOOKUP(A4,'Débit - Abfluss'!$A$4:$Q$275,17,FALSE))</f>
        <v>81-100%</v>
      </c>
      <c r="AZ4" s="749" t="str">
        <f>IF(VLOOKUP(A4,'Eclusée - Schwall-Sunk'!$A$2:$F$273,5,FALSE)="","",VLOOKUP(A4,'Eclusée - Schwall-Sunk'!$A$2:$F$273,5,FALSE))</f>
        <v>force hydraulique</v>
      </c>
      <c r="BA4" s="750" t="str">
        <f>IF(VLOOKUP(A4,'Eclusée - Schwall-Sunk'!$A$2:$F$273,6,FALSE)="","",VLOOKUP(A4,'Eclusée - Schwall-Sunk'!$A$2:$F$273,6,FALSE))</f>
        <v>Potentiellement affecté mais non plausible / möglicherweise betroffen aber nicht nachweisbar</v>
      </c>
      <c r="BB4" s="751">
        <f>IF(VLOOKUP(A4,'Revitalisation-Revitalisierung'!$A$4:$Z$275,5,FALSE)="","",VLOOKUP(A4,'Revitalisation-Revitalisierung'!$A$4:$Z$275,5,FALSE))</f>
        <v>59.8</v>
      </c>
      <c r="BC4" s="752">
        <f>IF(VLOOKUP(A4,'Revitalisation-Revitalisierung'!$A$4:$Z$275,6,FALSE)="","",VLOOKUP(A4,'Revitalisation-Revitalisierung'!$A$4:$Z$275,6,FALSE))</f>
        <v>59.783583994543186</v>
      </c>
      <c r="BD4" s="752">
        <f>IF(VLOOKUP(A4,'Revitalisation-Revitalisierung'!$A$4:$Z$275,7,FALSE)="","",VLOOKUP(A4,'Revitalisation-Revitalisierung'!$A$4:$Z$275,7,FALSE))</f>
        <v>0</v>
      </c>
      <c r="BE4" s="753" t="str">
        <f>IF(VLOOKUP(A4,'Revitalisation-Revitalisierung'!$A$4:$Z$275,8,FALSE)="","",VLOOKUP(A4,'Revitalisation-Revitalisierung'!$A$4:$Z$275,8,FALSE))</f>
        <v>très nécessaire, facile</v>
      </c>
      <c r="BF4" s="754" t="str">
        <f>IF(VLOOKUP(A4,'Revitalisation-Revitalisierung'!$A$4:$Z$275,9,FALSE)="","",VLOOKUP(A4,'Revitalisation-Revitalisierung'!$A$4:$Z$275,9,FALSE))</f>
        <v>schwierig</v>
      </c>
      <c r="BG4" s="754" t="str">
        <f>IF(VLOOKUP(A4,'Revitalisation-Revitalisierung'!$A$4:$Z$275,10,FALSE)="","",VLOOKUP(A4,'Revitalisation-Revitalisierung'!$A$4:$Z$275,10,FALSE))</f>
        <v>K3</v>
      </c>
      <c r="BH4" s="755" t="str">
        <f>IF(VLOOKUP(A4,'Revitalisation-Revitalisierung'!$A$4:$Z$275,11,FALSE)="","",VLOOKUP(A4,'Revitalisation-Revitalisierung'!$A$4:$Z$275,11,FALSE))</f>
        <v/>
      </c>
      <c r="BI4" s="756" t="str">
        <f>IF(VLOOKUP(A4,'Revitalisation-Revitalisierung'!$A$4:$Z$275,12,FALSE)="","",VLOOKUP(A4,'Revitalisation-Revitalisierung'!$A$4:$Z$275,12,FALSE))</f>
        <v/>
      </c>
      <c r="BJ4" s="757" t="str">
        <f>IF(VLOOKUP(A4,'Revitalisation-Revitalisierung'!$A$4:$Z$275,13,FALSE)="","",VLOOKUP(A4,'Revitalisation-Revitalisierung'!$A$4:$Z$275,13,FALSE))</f>
        <v>Partiellement nécessaire, facile / teilweise nötig, einfach</v>
      </c>
      <c r="BK4" s="870" t="str">
        <f>IF(VLOOKUP(A4,'Revitalisation-Revitalisierung'!$A$4:$Z$275,14,FALSE)="","",VLOOKUP(A4,'Revitalisation-Revitalisierung'!$A$4:$Z$275,14,FALSE))</f>
        <v>b</v>
      </c>
      <c r="BL4" s="758" t="str">
        <f>IF(VLOOKUP(A4,'Revitalisation-Revitalisierung'!$A$4:$Z$275,15,FALSE)="","",VLOOKUP(A4,'Revitalisation-Revitalisierung'!$A$4:$Z$275,15,FALSE))</f>
        <v>mittel</v>
      </c>
      <c r="BM4" s="759" t="str">
        <f>IF(VLOOKUP(A4,'Revitalisation-Revitalisierung'!$A$4:$Z$275,16,FALSE)="","",VLOOKUP(A4,'Revitalisation-Revitalisierung'!$A$4:$Z$275,16,FALSE))</f>
        <v>mittel</v>
      </c>
      <c r="BN4" s="759" t="str">
        <f>IF(VLOOKUP(A4,'Revitalisation-Revitalisierung'!$A$4:$Z$275,17,FALSE)="","",VLOOKUP(A4,'Revitalisation-Revitalisierung'!$A$4:$Z$275,17,FALSE))</f>
        <v>-</v>
      </c>
      <c r="BO4" s="760" t="str">
        <f>IF(VLOOKUP(A4,'Revitalisation-Revitalisierung'!$A$4:$Z$275,18,FALSE)="","",VLOOKUP(A4,'Revitalisation-Revitalisierung'!$A$4:$Z$275,18,FALSE))</f>
        <v>Partiellement nécessaire, facile / teilweise nötig, einfach</v>
      </c>
      <c r="BP4" s="761" t="str">
        <f>IF(VLOOKUP(A4,'Revitalisation-Revitalisierung'!$A$4:$Z$275,19,FALSE)="","",VLOOKUP(A4,'Revitalisation-Revitalisierung'!$A$4:$Z$275,19,FALSE))</f>
        <v>Partiellement nécessaire, facile / teilweise nötig, einfach</v>
      </c>
      <c r="BQ4" s="759" t="str">
        <f>IF(VLOOKUP(A4,'Revitalisation-Revitalisierung'!$A$4:$Z$275,20,FALSE)="","",VLOOKUP(A4,'Revitalisation-Revitalisierung'!$A$4:$Z$275,20,FALSE))</f>
        <v>d</v>
      </c>
      <c r="BR4" s="759" t="str">
        <f>IF(VLOOKUP(A4,'Revitalisation-Revitalisierung'!$A$4:$Z$275,21,FALSE)="","",VLOOKUP(A4,'Revitalisation-Revitalisierung'!$A$4:$Z$275,21,FALSE))</f>
        <v/>
      </c>
      <c r="BS4" s="762" t="str">
        <f>IF(VLOOKUP(A4,'Revitalisation-Revitalisierung'!$A$4:$Z$275,22,FALSE)="","",VLOOKUP(A4,'Revitalisation-Revitalisierung'!$A$4:$Z$275,22,FALSE))</f>
        <v/>
      </c>
      <c r="BT4" s="761" t="str">
        <f>IF(VLOOKUP(A4,'Revitalisation-Revitalisierung'!$A$4:$Z$275,23,FALSE)="","",VLOOKUP(A4,'Revitalisation-Revitalisierung'!$A$4:$Z$275,23,FALSE))</f>
        <v>Non nécessaire / nicht nötig</v>
      </c>
      <c r="BU4" s="699" t="str">
        <f>IF(VLOOKUP(A4,'Revitalisation-Revitalisierung'!$A$4:$Z$275,24,FALSE)="","",VLOOKUP(A4,'Revitalisation-Revitalisierung'!$A$4:$Z$275,24,FALSE))</f>
        <v xml:space="preserve">Im Rahmen der Konzessionserneuerung Ryburg-Schwörstadt wurde dieses Gebiet thematisiert und man ist zum Schluss gekommen, dass im Haumättli keine Aufwertungsmassnahmen angebracht sind. Die Beibehaltung des Status quo bringt am meisten.  Aus Sicht ASP besteht kein Handlungsbedarf. </v>
      </c>
      <c r="BV4" s="761" t="str">
        <f>IF(VLOOKUP(A4,'Revitalisation-Revitalisierung'!$A$4:$Z$275,25,FALSE)="","",VLOOKUP(A4,'Revitalisation-Revitalisierung'!$A$4:$Z$275,25,FALSE))</f>
        <v>Non nécessaire / nicht nötig</v>
      </c>
      <c r="BW4" s="871" t="str">
        <f>IF(VLOOKUP(A4,'Revitalisation-Revitalisierung'!$A$4:$AA$275,27,FALSE)="","",VLOOKUP(A4,'Revitalisation-Revitalisierung'!$A$4:$AA$275,27,FALSE))</f>
        <v>b</v>
      </c>
    </row>
    <row r="5" spans="1:75" ht="56.45" customHeight="1" x14ac:dyDescent="0.25">
      <c r="A5" s="935">
        <v>3</v>
      </c>
      <c r="B5" s="856">
        <f>IF(VLOOKUP(A5,'Données de base - Grunddaten'!$A$2:$M$297,2,FALSE)="","",VLOOKUP(A5,'Données de base - Grunddaten'!$A$2:$M$297,2,FALSE))</f>
        <v>1</v>
      </c>
      <c r="C5" s="857" t="str">
        <f>IF(VLOOKUP(A5,'Données de base - Grunddaten'!$A$2:$M$297,3,FALSE)="","",VLOOKUP(A5,'Données de base - Grunddaten'!$A$2:$M$297,3,FALSE))</f>
        <v>Koblenzer Rhein und Laufen</v>
      </c>
      <c r="D5" s="857" t="str">
        <f>IF(VLOOKUP(A5,'Données de base - Grunddaten'!$A$2:$M$297,4,FALSE)="","",VLOOKUP(A5,'Données de base - Grunddaten'!$A$2:$M$297,4,FALSE))</f>
        <v>Rhein</v>
      </c>
      <c r="E5" s="857" t="str">
        <f>IF(VLOOKUP(A5,'Données de base - Grunddaten'!$A$2:$M$297,5,FALSE)="","",VLOOKUP(A5,'Données de base - Grunddaten'!$A$2:$M$297,5,FALSE))</f>
        <v>AG</v>
      </c>
      <c r="F5" s="857" t="str">
        <f>IF(VLOOKUP(A5,'Données de base - Grunddaten'!$A$2:$M$297,6,FALSE)="","",VLOOKUP(A5,'Données de base - Grunddaten'!$A$2:$M$297,6,FALSE))</f>
        <v>Bassins lémanique et rhénan</v>
      </c>
      <c r="G5" s="857" t="str">
        <f>IF(VLOOKUP(A5,'Données de base - Grunddaten'!$A$2:$M$297,7,FALSE)="","",VLOOKUP(A5,'Données de base - Grunddaten'!$A$2:$M$297,7,FALSE))</f>
        <v>Collinéen</v>
      </c>
      <c r="H5" s="857">
        <f>IF(VLOOKUP(A5,'Données de base - Grunddaten'!$A$2:$M$297,8,FALSE)="","",VLOOKUP(A5,'Données de base - Grunddaten'!$A$2:$M$297,8,FALSE))</f>
        <v>318</v>
      </c>
      <c r="I5" s="857">
        <f>IF(VLOOKUP(A5,'Données de base - Grunddaten'!$A$2:$M$297,9,FALSE)="","",VLOOKUP(A5,'Données de base - Grunddaten'!$A$2:$M$297,9,FALSE))</f>
        <v>1992</v>
      </c>
      <c r="J5" s="857">
        <f>IF(VLOOKUP(A5,'Données de base - Grunddaten'!$A$2:$M$297,10,FALSE)="","",VLOOKUP(A5,'Données de base - Grunddaten'!$A$2:$M$297,10,FALSE))</f>
        <v>52</v>
      </c>
      <c r="K5" s="857" t="str">
        <f>IF(VLOOKUP(A5,'Données de base - Grunddaten'!$A$2:$M$297,11,FALSE)="","",VLOOKUP(A5,'Données de base - Grunddaten'!$A$2:$M$297,11,FALSE))</f>
        <v>Cours d'eau corrigés de l'étage collinéen du Moyen-Pays</v>
      </c>
      <c r="L5" s="857" t="str">
        <f>IF(VLOOKUP(A5,'Données de base - Grunddaten'!$A$2:$M$297,12,FALSE)="","",VLOOKUP(A5,'Données de base - Grunddaten'!$A$2:$M$297,12,FALSE))</f>
        <v>en méandres migrants</v>
      </c>
      <c r="M5" s="858" t="str">
        <f>IF(VLOOKUP(A5,'Données de base - Grunddaten'!$A$2:$M$297,13,FALSE)="","",VLOOKUP(A5,'Données de base - Grunddaten'!$A$2:$M$297,13,FALSE))</f>
        <v>cours rectiligne (bras mort)</v>
      </c>
      <c r="N5" s="872" t="str">
        <f>IF(VLOOKUP(A5,'Charriage - Geschiebehaushalt'!$A$4:$R$275,5,FALSE)="","",VLOOKUP(A5,'Charriage - Geschiebehaushalt'!$A$4:$R$275,5,FALSE))</f>
        <v>pertinent</v>
      </c>
      <c r="O5" s="873" t="str">
        <f>IF(VLOOKUP(A5,'Charriage - Geschiebehaushalt'!$A$4:$R$275,6,FALSE)="","",VLOOKUP(A5,'Charriage - Geschiebehaushalt'!$A$4:$R$275,6,FALSE))</f>
        <v>81 -100%</v>
      </c>
      <c r="P5" s="874" t="str">
        <f>IF(VLOOKUP(A5,'Charriage - Geschiebehaushalt'!$A$4:$R$275,7,FALSE)="","",VLOOKUP(A5,'Charriage - Geschiebehaushalt'!$A$4:$R$275,7,FALSE))</f>
        <v/>
      </c>
      <c r="Q5" s="874" t="str">
        <f>IF(VLOOKUP(A5,'Charriage - Geschiebehaushalt'!$A$4:$R$275,8,FALSE)="","",VLOOKUP(A5,'Charriage - Geschiebehaushalt'!$A$4:$R$275,8,FALSE))</f>
        <v>non documenté</v>
      </c>
      <c r="R5" s="875">
        <f>IF(VLOOKUP(A5,'Charriage - Geschiebehaushalt'!$A$4:$R$275,9,FALSE)="","",VLOOKUP(A5,'Charriage - Geschiebehaushalt'!$A$4:$R$275,9,FALSE))</f>
        <v>3.7888086047808203E-2</v>
      </c>
      <c r="S5" s="876" t="str">
        <f>IF(VLOOKUP(A5,'Charriage - Geschiebehaushalt'!$A$4:$R$275,10,FALSE)="","",VLOOKUP(A5,'Charriage - Geschiebehaushalt'!$A$4:$R$275,10,FALSE))</f>
        <v>pas ou faiblement entravé</v>
      </c>
      <c r="T5" s="875">
        <f>IF(VLOOKUP(A5,'Charriage - Geschiebehaushalt'!$A$4:$R$275,11,FALSE)="","",VLOOKUP(A5,'Charriage - Geschiebehaushalt'!$A$4:$R$275,11,FALSE))</f>
        <v>5.3551822269000002E-2</v>
      </c>
      <c r="U5" s="876" t="str">
        <f>IF(VLOOKUP(A5,'Charriage - Geschiebehaushalt'!$A$4:$R$275,12,FALSE)="","",VLOOKUP(A5,'Charriage - Geschiebehaushalt'!$A$4:$R$275,12,FALSE))</f>
        <v>déficit dans les formations pionnières</v>
      </c>
      <c r="V5" s="877" t="str">
        <f>IF(VLOOKUP(A5,'Charriage - Geschiebehaushalt'!$A$4:$R$275,13,FALSE)="","",VLOOKUP(A5,'Charriage - Geschiebehaushalt'!$A$4:$R$275,13,FALSE))</f>
        <v/>
      </c>
      <c r="W5" s="877" t="str">
        <f>IF(VLOOKUP(A5,'Charriage - Geschiebehaushalt'!$A$4:$R$275,14,FALSE)="","",VLOOKUP(A5,'Charriage - Geschiebehaushalt'!$A$4:$R$275,14,FALSE))</f>
        <v/>
      </c>
      <c r="X5" s="878" t="str">
        <f>IF(VLOOKUP(A5,'Charriage - Geschiebehaushalt'!$A$4:$R$275,15,FALSE)="","",VLOOKUP(A5,'Charriage - Geschiebehaushalt'!$A$4:$R$275,15,FALSE))</f>
        <v/>
      </c>
      <c r="Y5" s="879" t="str">
        <f>IF(VLOOKUP(A5,'Charriage - Geschiebehaushalt'!$A$4:$R$275,16,FALSE)="","",VLOOKUP(A5,'Charriage - Geschiebehaushalt'!$A$4:$R$275,16,FALSE))</f>
        <v/>
      </c>
      <c r="Z5" s="763" t="str">
        <f>IF(VLOOKUP(A5,'Charriage - Geschiebehaushalt'!$A$4:$R$275,17,FALSE)="","",VLOOKUP(A5,'Charriage - Geschiebehaushalt'!$A$4:$R$275,17,FALSE))</f>
        <v>81 -100%</v>
      </c>
      <c r="AA5" s="880" t="str">
        <f>IF(VLOOKUP(A5,'Charriage - Geschiebehaushalt'!$A$4:$R$275,18,FALSE)="","",VLOOKUP(A5,'Charriage - Geschiebehaushalt'!$A$4:$R$275,18,FALSE))</f>
        <v>a</v>
      </c>
      <c r="AB5" s="737" t="str">
        <f>IF(VLOOKUP(A5,'Charriage - Geschiebehaushalt'!$A$4:$AC$275,19,FALSE)="","",VLOOKUP(A5,'Charriage - Geschiebehaushalt'!$A$4:$AC$275,19,FALSE))</f>
        <v>-</v>
      </c>
      <c r="AC5" s="738" t="str">
        <f>IF(VLOOKUP(A5,'Charriage - Geschiebehaushalt'!$A$4:$AC$275,20,FALSE)="","",VLOOKUP(A5,'Charriage - Geschiebehaushalt'!$A$4:$AC$275,20,FALSE))</f>
        <v>-</v>
      </c>
      <c r="AD5" s="764" t="str">
        <f>IF(VLOOKUP(A5,'Charriage - Geschiebehaushalt'!$A$4:$AC$275,21,FALSE)="","",VLOOKUP(A5,'Charriage - Geschiebehaushalt'!$A$4:$AC$275,21,FALSE))</f>
        <v/>
      </c>
      <c r="AE5" s="740" t="str">
        <f>IF(VLOOKUP(A5,'Charriage - Geschiebehaushalt'!$A$4:$AC$275,22,FALSE)="","",VLOOKUP(A5,'Charriage - Geschiebehaushalt'!$A$4:$AC$275,22,FALSE))</f>
        <v>81-100%</v>
      </c>
      <c r="AF5" s="787" t="str">
        <f>IF(VLOOKUP(A5,'Charriage - Geschiebehaushalt'!$A$4:$AC$275,23,FALSE)="","",VLOOKUP(A5,'Charriage - Geschiebehaushalt'!$A$4:$AC$275,23,FALSE))</f>
        <v>a</v>
      </c>
      <c r="AG5" s="765" t="str">
        <f>IF(VLOOKUP(A5,'Charriage - Geschiebehaushalt'!$A$4:$AC$275,24,FALSE)="","",VLOOKUP(A5,'Charriage - Geschiebehaushalt'!$A$4:$AC$275,24,FALSE))</f>
        <v/>
      </c>
      <c r="AH5" s="764" t="str">
        <f>IF(VLOOKUP(A5,'Charriage - Geschiebehaushalt'!$A$4:$AC$275,25,FALSE)="","",VLOOKUP(A5,'Charriage - Geschiebehaushalt'!$A$4:$AC$275,25,FALSE))</f>
        <v/>
      </c>
      <c r="AI5" s="433" t="str">
        <f>IF(VLOOKUP(A5,'Charriage - Geschiebehaushalt'!$A$4:$AC$275,26,FALSE)="","",VLOOKUP(A5,'Charriage - Geschiebehaushalt'!$A$4:$AC$275,26,FALSE))</f>
        <v/>
      </c>
      <c r="AJ5" s="434" t="str">
        <f>IF(VLOOKUP(A5,'Charriage - Geschiebehaushalt'!$A$4:$AC$275,27,FALSE)="","",VLOOKUP(A5,'Charriage - Geschiebehaushalt'!$A$4:$AC$275,27,FALSE))</f>
        <v/>
      </c>
      <c r="AK5" s="801" t="str">
        <f>IF(VLOOKUP(A5,'Charriage - Geschiebehaushalt'!$A$4:$AC$275,28,FALSE)="","",VLOOKUP(A5,'Charriage - Geschiebehaushalt'!$A$4:$AC$275,28,FALSE))</f>
        <v>81-100%</v>
      </c>
      <c r="AL5" s="1285" t="str">
        <f>IF(VLOOKUP(A5,'Charriage - Geschiebehaushalt'!$A$4:$AD$275,30,FALSE)="","",VLOOKUP(A5,'Charriage - Geschiebehaushalt'!$A$4:$AD$275,30,FALSE))</f>
        <v>a</v>
      </c>
      <c r="AM5" s="1279" t="str">
        <f>IF(VLOOKUP(A5,'Débit - Abfluss'!$A$4:$K$275,5,FALSE)="","",VLOOKUP(A5,'Débit - Abfluss'!$A$4:$M$275,5,FALSE))</f>
        <v>81-100%</v>
      </c>
      <c r="AN5" s="868" t="str">
        <f>IF(VLOOKUP(A5,'Débit - Abfluss'!$A$4:$K$275,6,FALSE)="","",VLOOKUP(A5,'Débit - Abfluss'!$A$4:$M$275,6,FALSE))</f>
        <v/>
      </c>
      <c r="AO5" s="869" t="str">
        <f>IF(VLOOKUP(A5,'Débit - Abfluss'!$A$4:$K$275,7,FALSE)="","",VLOOKUP(A5,'Débit - Abfluss'!$A$4:$M$275,7,FALSE))</f>
        <v/>
      </c>
      <c r="AP5" s="766" t="str">
        <f>IF(VLOOKUP(A5,'Débit - Abfluss'!$A$4:$K$275,8,FALSE)="","",VLOOKUP(A5,'Débit - Abfluss'!$A$4:$M$275,8,FALSE))</f>
        <v>81-100%</v>
      </c>
      <c r="AQ5" s="742" t="str">
        <f>IF(VLOOKUP(A5,'Débit - Abfluss'!$A$4:$K$275,9,FALSE)="","",VLOOKUP(A5,'Débit - Abfluss'!$A$4:$M$275,9,FALSE))</f>
        <v>-</v>
      </c>
      <c r="AR5" s="767" t="str">
        <f>IF(VLOOKUP(A5,'Débit - Abfluss'!$A$4:$K$275,10,FALSE)="","",VLOOKUP(A5,'Débit - Abfluss'!$A$4:$M$275,10,FALSE))</f>
        <v>81-100%</v>
      </c>
      <c r="AS5" s="767" t="str">
        <f>IF(VLOOKUP(A5,'Débit - Abfluss'!$A$4:$K$275,11,FALSE)="","",VLOOKUP(A5,'Débit - Abfluss'!$A$4:$M$275,11,FALSE))</f>
        <v/>
      </c>
      <c r="AT5" s="744" t="str">
        <f>IF(VLOOKUP(A5,'Débit - Abfluss'!$A$4:$Q$275,12,FALSE)="","",VLOOKUP(A5,'Débit - Abfluss'!$A$4:$Q$275,12,FALSE))</f>
        <v/>
      </c>
      <c r="AU5" s="745" t="str">
        <f>IF(VLOOKUP(A5,'Débit - Abfluss'!$A$4:$Q$275,13,FALSE)="","",VLOOKUP(A5,'Débit - Abfluss'!$A$4:$Q$275,13,FALSE))</f>
        <v/>
      </c>
      <c r="AV5" s="746" t="str">
        <f>IF(VLOOKUP(A5,'Débit - Abfluss'!$A$4:$Q$275,14,FALSE)="","",VLOOKUP(A5,'Débit - Abfluss'!$A$4:$Q$275,14,FALSE))</f>
        <v/>
      </c>
      <c r="AW5" s="768" t="str">
        <f>IF(VLOOKUP(A5,'Débit - Abfluss'!$A$4:$Q$275,15,FALSE)="","",VLOOKUP(A5,'Débit - Abfluss'!$A$4:$Q$275,15,FALSE))</f>
        <v/>
      </c>
      <c r="AX5" s="677" t="str">
        <f>IF(VLOOKUP(A5,'Débit - Abfluss'!$A$4:$Q$275,16,FALSE)="","",VLOOKUP(A5,'Débit - Abfluss'!$A$4:$Q$275,16,FALSE))</f>
        <v/>
      </c>
      <c r="AY5" s="769" t="str">
        <f>IF(VLOOKUP(A5,'Débit - Abfluss'!$A$4:$Q$275,17,FALSE)="","",VLOOKUP(A5,'Débit - Abfluss'!$A$4:$Q$275,17,FALSE))</f>
        <v>81-100%</v>
      </c>
      <c r="AZ5" s="749" t="str">
        <f>IF(VLOOKUP(A5,'Eclusée - Schwall-Sunk'!$A$2:$F$273,5,FALSE)="","",VLOOKUP(A5,'Eclusée - Schwall-Sunk'!$A$2:$F$273,5,FALSE))</f>
        <v>force hydraulique</v>
      </c>
      <c r="BA5" s="750" t="str">
        <f>IF(VLOOKUP(A5,'Eclusée - Schwall-Sunk'!$A$2:$F$273,6,FALSE)="","",VLOOKUP(A5,'Eclusée - Schwall-Sunk'!$A$2:$F$273,6,FALSE))</f>
        <v>Non affecté / nicht betroffen</v>
      </c>
      <c r="BB5" s="751">
        <f>IF(VLOOKUP(A5,'Revitalisation-Revitalisierung'!$A$4:$Z$275,5,FALSE)="","",VLOOKUP(A5,'Revitalisation-Revitalisierung'!$A$4:$Z$275,5,FALSE))</f>
        <v>-7.2727272727272725</v>
      </c>
      <c r="BC5" s="752">
        <f>IF(VLOOKUP(A5,'Revitalisation-Revitalisierung'!$A$4:$Z$275,6,FALSE)="","",VLOOKUP(A5,'Revitalisation-Revitalisierung'!$A$4:$Z$275,6,FALSE))</f>
        <v>0</v>
      </c>
      <c r="BD5" s="752">
        <f>IF(VLOOKUP(A5,'Revitalisation-Revitalisierung'!$A$4:$Z$275,7,FALSE)="","",VLOOKUP(A5,'Revitalisation-Revitalisierung'!$A$4:$Z$275,7,FALSE))</f>
        <v>7.2727272727272725</v>
      </c>
      <c r="BE5" s="753" t="str">
        <f>IF(VLOOKUP(A5,'Revitalisation-Revitalisierung'!$A$4:$Z$275,8,FALSE)="","",VLOOKUP(A5,'Revitalisation-Revitalisierung'!$A$4:$Z$275,8,FALSE))</f>
        <v>non nécessaire</v>
      </c>
      <c r="BF5" s="754" t="str">
        <f>IF(VLOOKUP(A5,'Revitalisation-Revitalisierung'!$A$4:$Z$275,9,FALSE)="","",VLOOKUP(A5,'Revitalisation-Revitalisierung'!$A$4:$Z$275,9,FALSE))</f>
        <v/>
      </c>
      <c r="BG5" s="754" t="str">
        <f>IF(VLOOKUP(A5,'Revitalisation-Revitalisierung'!$A$4:$Z$275,10,FALSE)="","",VLOOKUP(A5,'Revitalisation-Revitalisierung'!$A$4:$Z$275,10,FALSE))</f>
        <v>K3</v>
      </c>
      <c r="BH5" s="755" t="str">
        <f>IF(VLOOKUP(A5,'Revitalisation-Revitalisierung'!$A$4:$Z$275,11,FALSE)="","",VLOOKUP(A5,'Revitalisation-Revitalisierung'!$A$4:$Z$275,11,FALSE))</f>
        <v/>
      </c>
      <c r="BI5" s="756" t="str">
        <f>IF(VLOOKUP(A5,'Revitalisation-Revitalisierung'!$A$4:$Z$275,12,FALSE)="","",VLOOKUP(A5,'Revitalisation-Revitalisierung'!$A$4:$Z$275,12,FALSE))</f>
        <v/>
      </c>
      <c r="BJ5" s="757" t="str">
        <f>IF(VLOOKUP(A5,'Revitalisation-Revitalisierung'!$A$4:$Z$275,13,FALSE)="","",VLOOKUP(A5,'Revitalisation-Revitalisierung'!$A$4:$Z$275,13,FALSE))</f>
        <v>Partiellement nécessaire, difficile / teilweise nötig, schwierig</v>
      </c>
      <c r="BK5" s="870" t="str">
        <f>IF(VLOOKUP(A5,'Revitalisation-Revitalisierung'!$A$4:$Z$275,14,FALSE)="","",VLOOKUP(A5,'Revitalisation-Revitalisierung'!$A$4:$Z$275,14,FALSE))</f>
        <v>b</v>
      </c>
      <c r="BL5" s="758" t="str">
        <f>IF(VLOOKUP(A5,'Revitalisation-Revitalisierung'!$A$4:$Z$275,15,FALSE)="","",VLOOKUP(A5,'Revitalisation-Revitalisierung'!$A$4:$Z$275,15,FALSE))</f>
        <v>gross / mittel</v>
      </c>
      <c r="BM5" s="759" t="str">
        <f>IF(VLOOKUP(A5,'Revitalisation-Revitalisierung'!$A$4:$Z$275,16,FALSE)="","",VLOOKUP(A5,'Revitalisation-Revitalisierung'!$A$4:$Z$275,16,FALSE))</f>
        <v>gross/gering</v>
      </c>
      <c r="BN5" s="759" t="str">
        <f>IF(VLOOKUP(A5,'Revitalisation-Revitalisierung'!$A$4:$Z$275,17,FALSE)="","",VLOOKUP(A5,'Revitalisation-Revitalisierung'!$A$4:$Z$275,17,FALSE))</f>
        <v>20 Jahre: 3. Drittel</v>
      </c>
      <c r="BO5" s="760" t="str">
        <f>IF(VLOOKUP(A5,'Revitalisation-Revitalisierung'!$A$4:$Z$275,18,FALSE)="","",VLOOKUP(A5,'Revitalisation-Revitalisierung'!$A$4:$Z$275,18,FALSE))</f>
        <v>Très nécessaire, difficile / unbedingt nötig, schwierig</v>
      </c>
      <c r="BP5" s="761" t="str">
        <f>IF(VLOOKUP(A5,'Revitalisation-Revitalisierung'!$A$4:$Z$275,19,FALSE)="","",VLOOKUP(A5,'Revitalisation-Revitalisierung'!$A$4:$Z$275,19,FALSE))</f>
        <v>Très nécessaire, difficile / unbedingt nötig, schwierig</v>
      </c>
      <c r="BQ5" s="759" t="str">
        <f>IF(VLOOKUP(A5,'Revitalisation-Revitalisierung'!$A$4:$Z$275,20,FALSE)="","",VLOOKUP(A5,'Revitalisation-Revitalisierung'!$A$4:$Z$275,20,FALSE))</f>
        <v>c</v>
      </c>
      <c r="BR5" s="759" t="str">
        <f>IF(VLOOKUP(A5,'Revitalisation-Revitalisierung'!$A$4:$Z$275,21,FALSE)="","",VLOOKUP(A5,'Revitalisation-Revitalisierung'!$A$4:$Z$275,21,FALSE))</f>
        <v>pour une partie de la ZA uniquement</v>
      </c>
      <c r="BS5" s="762" t="str">
        <f>IF(VLOOKUP(A5,'Revitalisation-Revitalisierung'!$A$4:$Z$275,22,FALSE)="","",VLOOKUP(A5,'Revitalisation-Revitalisierung'!$A$4:$Z$275,22,FALSE))</f>
        <v/>
      </c>
      <c r="BT5" s="761" t="str">
        <f>IF(VLOOKUP(A5,'Revitalisation-Revitalisierung'!$A$4:$Z$275,23,FALSE)="","",VLOOKUP(A5,'Revitalisation-Revitalisierung'!$A$4:$Z$275,23,FALSE))</f>
        <v>Partiellement nécessaire, difficile / teilweise nötig, schwierig</v>
      </c>
      <c r="BU5" s="699" t="str">
        <f>IF(VLOOKUP(A5,'Revitalisation-Revitalisierung'!$A$4:$Z$275,24,FALSE)="","",VLOOKUP(A5,'Revitalisation-Revitalisierung'!$A$4:$Z$275,24,FALSE))</f>
        <v>Die 1. Etappe der grossen Renaturierung Chly Rhy in Rietheim wurde 2015 abgeschlossen. Die 2. Etappe darf aus vertraglichen Gründen nicht vor 2021 begonnen werden.</v>
      </c>
      <c r="BV5" s="761" t="str">
        <f>IF(VLOOKUP(A5,'Revitalisation-Revitalisierung'!$A$4:$Z$275,25,FALSE)="","",VLOOKUP(A5,'Revitalisation-Revitalisierung'!$A$4:$Z$275,25,FALSE))</f>
        <v>Partiellement nécessaire, difficile / teilweise nötig, schwierig</v>
      </c>
      <c r="BW5" s="871" t="str">
        <f>IF(VLOOKUP(A5,'Revitalisation-Revitalisierung'!$A$4:$AA$275,27,FALSE)="","",VLOOKUP(A5,'Revitalisation-Revitalisierung'!$A$4:$AA$275,27,FALSE))</f>
        <v>b</v>
      </c>
    </row>
    <row r="6" spans="1:75" ht="70.900000000000006" customHeight="1" x14ac:dyDescent="0.25">
      <c r="A6" s="935">
        <v>4</v>
      </c>
      <c r="B6" s="856">
        <f>IF(VLOOKUP(A6,'Données de base - Grunddaten'!$A$2:$M$297,2,FALSE)="","",VLOOKUP(A6,'Données de base - Grunddaten'!$A$2:$M$297,2,FALSE))</f>
        <v>1</v>
      </c>
      <c r="C6" s="857" t="str">
        <f>IF(VLOOKUP(A6,'Données de base - Grunddaten'!$A$2:$M$297,3,FALSE)="","",VLOOKUP(A6,'Données de base - Grunddaten'!$A$2:$M$297,3,FALSE))</f>
        <v>Seldenhalde</v>
      </c>
      <c r="D6" s="857" t="str">
        <f>IF(VLOOKUP(A6,'Données de base - Grunddaten'!$A$2:$M$297,4,FALSE)="","",VLOOKUP(A6,'Données de base - Grunddaten'!$A$2:$M$297,4,FALSE))</f>
        <v>Wutach</v>
      </c>
      <c r="E6" s="857" t="str">
        <f>IF(VLOOKUP(A6,'Données de base - Grunddaten'!$A$2:$M$297,5,FALSE)="","",VLOOKUP(A6,'Données de base - Grunddaten'!$A$2:$M$297,5,FALSE))</f>
        <v>SH</v>
      </c>
      <c r="F6" s="857" t="str">
        <f>IF(VLOOKUP(A6,'Données de base - Grunddaten'!$A$2:$M$297,6,FALSE)="","",VLOOKUP(A6,'Données de base - Grunddaten'!$A$2:$M$297,6,FALSE))</f>
        <v>Jura et Randen</v>
      </c>
      <c r="G6" s="857" t="str">
        <f>IF(VLOOKUP(A6,'Données de base - Grunddaten'!$A$2:$M$297,7,FALSE)="","",VLOOKUP(A6,'Données de base - Grunddaten'!$A$2:$M$297,7,FALSE))</f>
        <v>Collinéen</v>
      </c>
      <c r="H6" s="857">
        <f>IF(VLOOKUP(A6,'Données de base - Grunddaten'!$A$2:$M$297,8,FALSE)="","",VLOOKUP(A6,'Données de base - Grunddaten'!$A$2:$M$297,8,FALSE))</f>
        <v>470</v>
      </c>
      <c r="I6" s="857">
        <f>IF(VLOOKUP(A6,'Données de base - Grunddaten'!$A$2:$M$297,9,FALSE)="","",VLOOKUP(A6,'Données de base - Grunddaten'!$A$2:$M$297,9,FALSE))</f>
        <v>1992</v>
      </c>
      <c r="J6" s="857">
        <f>IF(VLOOKUP(A6,'Données de base - Grunddaten'!$A$2:$M$297,10,FALSE)="","",VLOOKUP(A6,'Données de base - Grunddaten'!$A$2:$M$297,10,FALSE))</f>
        <v>51</v>
      </c>
      <c r="K6" s="857" t="str">
        <f>IF(VLOOKUP(A6,'Données de base - Grunddaten'!$A$2:$M$297,11,FALSE)="","",VLOOKUP(A6,'Données de base - Grunddaten'!$A$2:$M$297,11,FALSE))</f>
        <v>Cours d'eau naturels de l'étage collinéen du Moyen-Pays</v>
      </c>
      <c r="L6" s="857" t="str">
        <f>IF(VLOOKUP(A6,'Données de base - Grunddaten'!$A$2:$M$297,12,FALSE)="","",VLOOKUP(A6,'Données de base - Grunddaten'!$A$2:$M$297,12,FALSE))</f>
        <v>cours rectiligne</v>
      </c>
      <c r="M6" s="858" t="str">
        <f>IF(VLOOKUP(A6,'Données de base - Grunddaten'!$A$2:$M$297,13,FALSE)="","",VLOOKUP(A6,'Données de base - Grunddaten'!$A$2:$M$297,13,FALSE))</f>
        <v>cours rectiligne</v>
      </c>
      <c r="N6" s="872" t="str">
        <f>IF(VLOOKUP(A6,'Charriage - Geschiebehaushalt'!$A$4:$R$275,5,FALSE)="","",VLOOKUP(A6,'Charriage - Geschiebehaushalt'!$A$4:$R$275,5,FALSE))</f>
        <v>pertinent</v>
      </c>
      <c r="O6" s="881" t="str">
        <f>IF(VLOOKUP(A6,'Charriage - Geschiebehaushalt'!$A$4:$R$275,6,FALSE)="","",VLOOKUP(A6,'Charriage - Geschiebehaushalt'!$A$4:$R$275,6,FALSE))</f>
        <v>non documenté</v>
      </c>
      <c r="P6" s="874" t="str">
        <f>IF(VLOOKUP(A6,'Charriage - Geschiebehaushalt'!$A$4:$R$275,7,FALSE)="","",VLOOKUP(A6,'Charriage - Geschiebehaushalt'!$A$4:$R$275,7,FALSE))</f>
        <v/>
      </c>
      <c r="Q6" s="874" t="str">
        <f>IF(VLOOKUP(A6,'Charriage - Geschiebehaushalt'!$A$4:$R$275,8,FALSE)="","",VLOOKUP(A6,'Charriage - Geschiebehaushalt'!$A$4:$R$275,8,FALSE))</f>
        <v>non documenté</v>
      </c>
      <c r="R6" s="875">
        <f>IF(VLOOKUP(A6,'Charriage - Geschiebehaushalt'!$A$4:$R$275,9,FALSE)="","",VLOOKUP(A6,'Charriage - Geschiebehaushalt'!$A$4:$R$275,9,FALSE))</f>
        <v>0</v>
      </c>
      <c r="S6" s="876" t="str">
        <f>IF(VLOOKUP(A6,'Charriage - Geschiebehaushalt'!$A$4:$R$275,10,FALSE)="","",VLOOKUP(A6,'Charriage - Geschiebehaushalt'!$A$4:$R$275,10,FALSE))</f>
        <v>pas ou faiblement entravé</v>
      </c>
      <c r="T6" s="875">
        <f>IF(VLOOKUP(A6,'Charriage - Geschiebehaushalt'!$A$4:$R$275,11,FALSE)="","",VLOOKUP(A6,'Charriage - Geschiebehaushalt'!$A$4:$R$275,11,FALSE))</f>
        <v>0.14286229820999999</v>
      </c>
      <c r="U6" s="876" t="str">
        <f>IF(VLOOKUP(A6,'Charriage - Geschiebehaushalt'!$A$4:$R$275,12,FALSE)="","",VLOOKUP(A6,'Charriage - Geschiebehaushalt'!$A$4:$R$275,12,FALSE))</f>
        <v>déficit dans les formations pionnières</v>
      </c>
      <c r="V6" s="878" t="str">
        <f>IF(VLOOKUP(A6,'Charriage - Geschiebehaushalt'!$A$4:$R$275,13,FALSE)="","",VLOOKUP(A6,'Charriage - Geschiebehaushalt'!$A$4:$R$275,13,FALSE))</f>
        <v/>
      </c>
      <c r="W6" s="877" t="str">
        <f>IF(VLOOKUP(A6,'Charriage - Geschiebehaushalt'!$A$4:$R$275,14,FALSE)="","",VLOOKUP(A6,'Charriage - Geschiebehaushalt'!$A$4:$R$275,14,FALSE))</f>
        <v>A vérifier</v>
      </c>
      <c r="X6" s="877" t="str">
        <f>IF(VLOOKUP(A6,'Charriage - Geschiebehaushalt'!$A$4:$R$275,15,FALSE)="","",VLOOKUP(A6,'Charriage - Geschiebehaushalt'!$A$4:$R$275,15,FALSE))</f>
        <v>aucun ouvrages dans les 10 km dans la partie suisse</v>
      </c>
      <c r="Y6" s="882" t="str">
        <f>IF(VLOOKUP(A6,'Charriage - Geschiebehaushalt'!$A$4:$R$275,16,FALSE)="","",VLOOKUP(A6,'Charriage - Geschiebehaushalt'!$A$4:$R$275,16,FALSE))</f>
        <v>charriage présumé naturel</v>
      </c>
      <c r="Z6" s="763" t="str">
        <f>IF(VLOOKUP(A6,'Charriage - Geschiebehaushalt'!$A$4:$R$275,17,FALSE)="","",VLOOKUP(A6,'Charriage - Geschiebehaushalt'!$A$4:$R$275,17,FALSE))</f>
        <v>Charriage présumé naturel / Geschiebehaushalt vermutlich natürlich</v>
      </c>
      <c r="AA6" s="880" t="str">
        <f>IF(VLOOKUP(A6,'Charriage - Geschiebehaushalt'!$A$4:$R$275,18,FALSE)="","",VLOOKUP(A6,'Charriage - Geschiebehaushalt'!$A$4:$R$275,18,FALSE))</f>
        <v>b</v>
      </c>
      <c r="AB6" s="737" t="str">
        <f>IF(VLOOKUP(A6,'Charriage - Geschiebehaushalt'!$A$4:$AC$275,19,FALSE)="","",VLOOKUP(A6,'Charriage - Geschiebehaushalt'!$A$4:$AC$275,19,FALSE))</f>
        <v>nicht wesentlich</v>
      </c>
      <c r="AC6" s="738" t="str">
        <f>IF(VLOOKUP(A6,'Charriage - Geschiebehaushalt'!$A$4:$AC$275,20,FALSE)="","",VLOOKUP(A6,'Charriage - Geschiebehaushalt'!$A$4:$AC$275,20,FALSE))</f>
        <v>-</v>
      </c>
      <c r="AD6" s="764" t="str">
        <f>IF(VLOOKUP(A6,'Charriage - Geschiebehaushalt'!$A$4:$AC$275,21,FALSE)="","",VLOOKUP(A6,'Charriage - Geschiebehaushalt'!$A$4:$AC$275,21,FALSE))</f>
        <v>0-20%</v>
      </c>
      <c r="AE6" s="740" t="str">
        <f>IF(VLOOKUP(A6,'Charriage - Geschiebehaushalt'!$A$4:$AC$275,22,FALSE)="","",VLOOKUP(A6,'Charriage - Geschiebehaushalt'!$A$4:$AC$275,22,FALSE))</f>
        <v>0-20%</v>
      </c>
      <c r="AF6" s="787" t="str">
        <f>IF(VLOOKUP(A6,'Charriage - Geschiebehaushalt'!$A$4:$AC$275,23,FALSE)="","",VLOOKUP(A6,'Charriage - Geschiebehaushalt'!$A$4:$AC$275,23,FALSE))</f>
        <v>d</v>
      </c>
      <c r="AG6" s="765" t="str">
        <f>IF(VLOOKUP(A6,'Charriage - Geschiebehaushalt'!$A$4:$AC$275,24,FALSE)="","",VLOOKUP(A6,'Charriage - Geschiebehaushalt'!$A$4:$AC$275,24,FALSE))</f>
        <v/>
      </c>
      <c r="AH6" s="764" t="str">
        <f>IF(VLOOKUP(A6,'Charriage - Geschiebehaushalt'!$A$4:$AC$275,25,FALSE)="","",VLOOKUP(A6,'Charriage - Geschiebehaushalt'!$A$4:$AC$275,25,FALSE))</f>
        <v/>
      </c>
      <c r="AI6" s="433" t="str">
        <f>IF(VLOOKUP(A6,'Charriage - Geschiebehaushalt'!$A$4:$AC$275,26,FALSE)="","",VLOOKUP(A6,'Charriage - Geschiebehaushalt'!$A$4:$AC$275,26,FALSE))</f>
        <v/>
      </c>
      <c r="AJ6" s="436" t="str">
        <f>IF(VLOOKUP(A6,'Charriage - Geschiebehaushalt'!$A$4:$AC$275,27,FALSE)="","",VLOOKUP(A6,'Charriage - Geschiebehaushalt'!$A$4:$AC$275,27,FALSE))</f>
        <v>Das Objekt Nr. 4 „Seldenhalde“ ist seit vielen Jahren ein Totalreservat in dem sich die Dynamik und die natürliche Waldentwicklung frei entfalten können. . Aufwertungsmassnahmen sind hier nicht notwendig. Unterhalb des bestehenden Schutzgebietes hat der Kanton Schaffhausen in den letzten Jahren umfangreiche Aufwertungsmassnahmen durchgeführt. Im Rahmen der aktuellen Revision der Biotopinventare ist vorgesehen, den Perimeter des Auenschutzgebietes auf diese Gebiete auszudehnen.</v>
      </c>
      <c r="AK6" s="801" t="str">
        <f>IF(VLOOKUP(A6,'Charriage - Geschiebehaushalt'!$A$4:$AC$275,28,FALSE)="","",VLOOKUP(A6,'Charriage - Geschiebehaushalt'!$A$4:$AC$275,28,FALSE))</f>
        <v>0-20%</v>
      </c>
      <c r="AL6" s="1285" t="str">
        <f>IF(VLOOKUP(A6,'Charriage - Geschiebehaushalt'!$A$4:$AD$275,30,FALSE)="","",VLOOKUP(A6,'Charriage - Geschiebehaushalt'!$A$4:$AD$275,30,FALSE))</f>
        <v>a</v>
      </c>
      <c r="AM6" s="1279" t="str">
        <f>IF(VLOOKUP(A6,'Débit - Abfluss'!$A$4:$K$275,5,FALSE)="","",VLOOKUP(A6,'Débit - Abfluss'!$A$4:$M$275,5,FALSE))</f>
        <v>100%</v>
      </c>
      <c r="AN6" s="883" t="str">
        <f>IF(VLOOKUP(A6,'Débit - Abfluss'!$A$4:$K$275,6,FALSE)="","",VLOOKUP(A6,'Débit - Abfluss'!$A$4:$M$275,6,FALSE))</f>
        <v>aucune information supplémentaire</v>
      </c>
      <c r="AO6" s="884" t="str">
        <f>IF(VLOOKUP(A6,'Débit - Abfluss'!$A$4:$K$275,7,FALSE)="","",VLOOKUP(A6,'Débit - Abfluss'!$A$4:$M$275,7,FALSE))</f>
        <v>aucune information supplémentaire</v>
      </c>
      <c r="AP6" s="766" t="str">
        <f>IF(VLOOKUP(A6,'Débit - Abfluss'!$A$4:$K$275,8,FALSE)="","",VLOOKUP(A6,'Débit - Abfluss'!$A$4:$M$275,8,FALSE))</f>
        <v>100%</v>
      </c>
      <c r="AQ6" s="742" t="str">
        <f>IF(VLOOKUP(A6,'Débit - Abfluss'!$A$4:$K$275,9,FALSE)="","",VLOOKUP(A6,'Débit - Abfluss'!$A$4:$M$275,9,FALSE))</f>
        <v>-</v>
      </c>
      <c r="AR6" s="770" t="str">
        <f>IF(VLOOKUP(A6,'Débit - Abfluss'!$A$4:$K$275,10,FALSE)="","",VLOOKUP(A6,'Débit - Abfluss'!$A$4:$M$275,10,FALSE))</f>
        <v>100%</v>
      </c>
      <c r="AS6" s="767" t="str">
        <f>IF(VLOOKUP(A6,'Débit - Abfluss'!$A$4:$K$275,11,FALSE)="","",VLOOKUP(A6,'Débit - Abfluss'!$A$4:$M$275,11,FALSE))</f>
        <v/>
      </c>
      <c r="AT6" s="744" t="str">
        <f>IF(VLOOKUP(A6,'Débit - Abfluss'!$A$4:$Q$275,12,FALSE)="","",VLOOKUP(A6,'Débit - Abfluss'!$A$4:$Q$275,12,FALSE))</f>
        <v/>
      </c>
      <c r="AU6" s="745" t="str">
        <f>IF(VLOOKUP(A6,'Débit - Abfluss'!$A$4:$Q$275,13,FALSE)="","",VLOOKUP(A6,'Débit - Abfluss'!$A$4:$Q$275,13,FALSE))</f>
        <v/>
      </c>
      <c r="AV6" s="746" t="str">
        <f>IF(VLOOKUP(A6,'Débit - Abfluss'!$A$4:$Q$275,14,FALSE)="","",VLOOKUP(A6,'Débit - Abfluss'!$A$4:$Q$275,14,FALSE))</f>
        <v/>
      </c>
      <c r="AW6" s="768" t="str">
        <f>IF(VLOOKUP(A6,'Débit - Abfluss'!$A$4:$Q$275,15,FALSE)="","",VLOOKUP(A6,'Débit - Abfluss'!$A$4:$Q$275,15,FALSE))</f>
        <v/>
      </c>
      <c r="AX6" s="677" t="str">
        <f>IF(VLOOKUP(A6,'Débit - Abfluss'!$A$4:$Q$275,16,FALSE)="","",VLOOKUP(A6,'Débit - Abfluss'!$A$4:$Q$275,16,FALSE))</f>
        <v/>
      </c>
      <c r="AY6" s="769" t="str">
        <f>IF(VLOOKUP(A6,'Débit - Abfluss'!$A$4:$Q$275,17,FALSE)="","",VLOOKUP(A6,'Débit - Abfluss'!$A$4:$Q$275,17,FALSE))</f>
        <v>100%</v>
      </c>
      <c r="AZ6" s="749" t="str">
        <f>IF(VLOOKUP(A6,'Eclusée - Schwall-Sunk'!$A$2:$F$273,5,FALSE)="","",VLOOKUP(A6,'Eclusée - Schwall-Sunk'!$A$2:$F$273,5,FALSE))</f>
        <v/>
      </c>
      <c r="BA6" s="750" t="str">
        <f>IF(VLOOKUP(A6,'Eclusée - Schwall-Sunk'!$A$2:$F$273,6,FALSE)="","",VLOOKUP(A6,'Eclusée - Schwall-Sunk'!$A$2:$F$273,6,FALSE))</f>
        <v>Non affecté / nicht betroffen</v>
      </c>
      <c r="BB6" s="751">
        <f>IF(VLOOKUP(A6,'Revitalisation-Revitalisierung'!$A$4:$Z$275,5,FALSE)="","",VLOOKUP(A6,'Revitalisation-Revitalisierung'!$A$4:$Z$275,5,FALSE))</f>
        <v>-3.6363636363636362</v>
      </c>
      <c r="BC6" s="752">
        <f>IF(VLOOKUP(A6,'Revitalisation-Revitalisierung'!$A$4:$Z$275,6,FALSE)="","",VLOOKUP(A6,'Revitalisation-Revitalisierung'!$A$4:$Z$275,6,FALSE))</f>
        <v>0</v>
      </c>
      <c r="BD6" s="752">
        <f>IF(VLOOKUP(A6,'Revitalisation-Revitalisierung'!$A$4:$Z$275,7,FALSE)="","",VLOOKUP(A6,'Revitalisation-Revitalisierung'!$A$4:$Z$275,7,FALSE))</f>
        <v>3.6363636363636362</v>
      </c>
      <c r="BE6" s="753" t="str">
        <f>IF(VLOOKUP(A6,'Revitalisation-Revitalisierung'!$A$4:$Z$275,8,FALSE)="","",VLOOKUP(A6,'Revitalisation-Revitalisierung'!$A$4:$Z$275,8,FALSE))</f>
        <v>non nécessaire</v>
      </c>
      <c r="BF6" s="754" t="str">
        <f>IF(VLOOKUP(A6,'Revitalisation-Revitalisierung'!$A$4:$Z$275,9,FALSE)="","",VLOOKUP(A6,'Revitalisation-Revitalisierung'!$A$4:$Z$275,9,FALSE))</f>
        <v/>
      </c>
      <c r="BG6" s="754" t="str">
        <f>IF(VLOOKUP(A6,'Revitalisation-Revitalisierung'!$A$4:$Z$275,10,FALSE)="","",VLOOKUP(A6,'Revitalisation-Revitalisierung'!$A$4:$Z$275,10,FALSE))</f>
        <v>K3</v>
      </c>
      <c r="BH6" s="755" t="str">
        <f>IF(VLOOKUP(A6,'Revitalisation-Revitalisierung'!$A$4:$Z$275,11,FALSE)="","",VLOOKUP(A6,'Revitalisation-Revitalisierung'!$A$4:$Z$275,11,FALSE))</f>
        <v/>
      </c>
      <c r="BI6" s="756" t="str">
        <f>IF(VLOOKUP(A6,'Revitalisation-Revitalisierung'!$A$4:$Z$275,12,FALSE)="","",VLOOKUP(A6,'Revitalisation-Revitalisierung'!$A$4:$Z$275,12,FALSE))</f>
        <v/>
      </c>
      <c r="BJ6" s="757" t="str">
        <f>IF(VLOOKUP(A6,'Revitalisation-Revitalisierung'!$A$4:$Z$275,13,FALSE)="","",VLOOKUP(A6,'Revitalisation-Revitalisierung'!$A$4:$Z$275,13,FALSE))</f>
        <v>Non nécessaire / nicht nötig</v>
      </c>
      <c r="BK6" s="870" t="str">
        <f>IF(VLOOKUP(A6,'Revitalisation-Revitalisierung'!$A$4:$Z$275,14,FALSE)="","",VLOOKUP(A6,'Revitalisation-Revitalisierung'!$A$4:$Z$275,14,FALSE))</f>
        <v>a</v>
      </c>
      <c r="BL6" s="758" t="str">
        <f>IF(VLOOKUP(A6,'Revitalisation-Revitalisierung'!$A$4:$Z$275,15,FALSE)="","",VLOOKUP(A6,'Revitalisation-Revitalisierung'!$A$4:$Z$275,15,FALSE))</f>
        <v>gross</v>
      </c>
      <c r="BM6" s="759" t="str">
        <f>IF(VLOOKUP(A6,'Revitalisation-Revitalisierung'!$A$4:$Z$275,16,FALSE)="","",VLOOKUP(A6,'Revitalisation-Revitalisierung'!$A$4:$Z$275,16,FALSE))</f>
        <v>gering</v>
      </c>
      <c r="BN6" s="759" t="str">
        <f>IF(VLOOKUP(A6,'Revitalisation-Revitalisierung'!$A$4:$Z$275,17,FALSE)="","",VLOOKUP(A6,'Revitalisation-Revitalisierung'!$A$4:$Z$275,17,FALSE))</f>
        <v xml:space="preserve">keine </v>
      </c>
      <c r="BO6" s="760" t="str">
        <f>IF(VLOOKUP(A6,'Revitalisation-Revitalisierung'!$A$4:$Z$275,18,FALSE)="","",VLOOKUP(A6,'Revitalisation-Revitalisierung'!$A$4:$Z$275,18,FALSE))</f>
        <v>Non nécessaire / nicht nötig</v>
      </c>
      <c r="BP6" s="761" t="str">
        <f>IF(VLOOKUP(A6,'Revitalisation-Revitalisierung'!$A$4:$Z$275,19,FALSE)="","",VLOOKUP(A6,'Revitalisation-Revitalisierung'!$A$4:$Z$275,19,FALSE))</f>
        <v>Non nécessaire / nicht nötig</v>
      </c>
      <c r="BQ6" s="759" t="str">
        <f>IF(VLOOKUP(A6,'Revitalisation-Revitalisierung'!$A$4:$Z$275,20,FALSE)="","",VLOOKUP(A6,'Revitalisation-Revitalisierung'!$A$4:$Z$275,20,FALSE))</f>
        <v>d</v>
      </c>
      <c r="BR6" s="759" t="str">
        <f>IF(VLOOKUP(A6,'Revitalisation-Revitalisierung'!$A$4:$Z$275,21,FALSE)="","",VLOOKUP(A6,'Revitalisation-Revitalisierung'!$A$4:$Z$275,21,FALSE))</f>
        <v/>
      </c>
      <c r="BS6" s="762" t="str">
        <f>IF(VLOOKUP(A6,'Revitalisation-Revitalisierung'!$A$4:$Z$275,22,FALSE)="","",VLOOKUP(A6,'Revitalisation-Revitalisierung'!$A$4:$Z$275,22,FALSE))</f>
        <v/>
      </c>
      <c r="BT6" s="761" t="str">
        <f>IF(VLOOKUP(A6,'Revitalisation-Revitalisierung'!$A$4:$Z$275,23,FALSE)="","",VLOOKUP(A6,'Revitalisation-Revitalisierung'!$A$4:$Z$275,23,FALSE))</f>
        <v>Non nécessaire / nicht nötig</v>
      </c>
      <c r="BU6" s="699" t="str">
        <f>IF(VLOOKUP(A6,'Revitalisation-Revitalisierung'!$A$4:$Z$275,24,FALSE)="","",VLOOKUP(A6,'Revitalisation-Revitalisierung'!$A$4:$Z$275,24,FALSE))</f>
        <v>Das Objekt Nr. 4 „Seldenhalde“ ist seit vielen Jahren ein Totalreservat in dem sich die Dynamik und die natürliche Waldentwicklung frei entfalten können. . Aufwertungsmassnahmen sind hier nicht notwendig. Unterhalb des bestehenden Schutzgebietes hat der Kanton Schaffhausen in den letzten Jahren umfangreiche Aufwertungsmassnahmen durchgeführt. Im Rahmen der aktuellen Revision der Biotopinventare ist vorgesehen, den Perimeter des Auenschutzgebietes auf diese Gebiete auszudehnen.</v>
      </c>
      <c r="BV6" s="761" t="str">
        <f>IF(VLOOKUP(A6,'Revitalisation-Revitalisierung'!$A$4:$Z$275,25,FALSE)="","",VLOOKUP(A6,'Revitalisation-Revitalisierung'!$A$4:$Z$275,25,FALSE))</f>
        <v>Non nécessaire / nicht nötig</v>
      </c>
      <c r="BW6" s="871" t="str">
        <f>IF(VLOOKUP(A6,'Revitalisation-Revitalisierung'!$A$4:$AA$275,27,FALSE)="","",VLOOKUP(A6,'Revitalisation-Revitalisierung'!$A$4:$AA$275,27,FALSE))</f>
        <v>a</v>
      </c>
    </row>
    <row r="7" spans="1:75" ht="136.15" customHeight="1" x14ac:dyDescent="0.25">
      <c r="A7" s="935">
        <v>5</v>
      </c>
      <c r="B7" s="856">
        <f>IF(VLOOKUP(A7,'Données de base - Grunddaten'!$A$2:$M$297,2,FALSE)="","",VLOOKUP(A7,'Données de base - Grunddaten'!$A$2:$M$297,2,FALSE))</f>
        <v>1</v>
      </c>
      <c r="C7" s="857" t="str">
        <f>IF(VLOOKUP(A7,'Données de base - Grunddaten'!$A$2:$M$297,3,FALSE)="","",VLOOKUP(A7,'Données de base - Grunddaten'!$A$2:$M$297,3,FALSE))</f>
        <v>Eggrank–Thurspitz</v>
      </c>
      <c r="D7" s="857" t="str">
        <f>IF(VLOOKUP(A7,'Données de base - Grunddaten'!$A$2:$M$297,4,FALSE)="","",VLOOKUP(A7,'Données de base - Grunddaten'!$A$2:$M$297,4,FALSE))</f>
        <v>Rhein, Thur</v>
      </c>
      <c r="E7" s="857" t="str">
        <f>IF(VLOOKUP(A7,'Données de base - Grunddaten'!$A$2:$M$297,5,FALSE)="","",VLOOKUP(A7,'Données de base - Grunddaten'!$A$2:$M$297,5,FALSE))</f>
        <v>SH/ZH</v>
      </c>
      <c r="F7" s="857" t="str">
        <f>IF(VLOOKUP(A7,'Données de base - Grunddaten'!$A$2:$M$297,6,FALSE)="","",VLOOKUP(A7,'Données de base - Grunddaten'!$A$2:$M$297,6,FALSE))</f>
        <v>Bassins lémanique et rhénan, Plateau oriental</v>
      </c>
      <c r="G7" s="857" t="str">
        <f>IF(VLOOKUP(A7,'Données de base - Grunddaten'!$A$2:$M$297,7,FALSE)="","",VLOOKUP(A7,'Données de base - Grunddaten'!$A$2:$M$297,7,FALSE))</f>
        <v>Collinéen</v>
      </c>
      <c r="H7" s="857">
        <f>IF(VLOOKUP(A7,'Données de base - Grunddaten'!$A$2:$M$297,8,FALSE)="","",VLOOKUP(A7,'Données de base - Grunddaten'!$A$2:$M$297,8,FALSE))</f>
        <v>347</v>
      </c>
      <c r="I7" s="857">
        <f>IF(VLOOKUP(A7,'Données de base - Grunddaten'!$A$2:$M$297,9,FALSE)="","",VLOOKUP(A7,'Données de base - Grunddaten'!$A$2:$M$297,9,FALSE))</f>
        <v>1992</v>
      </c>
      <c r="J7" s="857">
        <f>IF(VLOOKUP(A7,'Données de base - Grunddaten'!$A$2:$M$297,10,FALSE)="","",VLOOKUP(A7,'Données de base - Grunddaten'!$A$2:$M$297,10,FALSE))</f>
        <v>52</v>
      </c>
      <c r="K7" s="857" t="str">
        <f>IF(VLOOKUP(A7,'Données de base - Grunddaten'!$A$2:$M$297,11,FALSE)="","",VLOOKUP(A7,'Données de base - Grunddaten'!$A$2:$M$297,11,FALSE))</f>
        <v>Cours d'eau corrigés de l'étage collinéen du Moyen-Pays</v>
      </c>
      <c r="L7" s="857" t="str">
        <f>IF(VLOOKUP(A7,'Données de base - Grunddaten'!$A$2:$M$297,12,FALSE)="","",VLOOKUP(A7,'Données de base - Grunddaten'!$A$2:$M$297,12,FALSE))</f>
        <v>en méandres migrants</v>
      </c>
      <c r="M7" s="858" t="str">
        <f>IF(VLOOKUP(A7,'Données de base - Grunddaten'!$A$2:$M$297,13,FALSE)="","",VLOOKUP(A7,'Données de base - Grunddaten'!$A$2:$M$297,13,FALSE))</f>
        <v>cours rectiligne</v>
      </c>
      <c r="N7" s="872" t="str">
        <f>IF(VLOOKUP(A7,'Charriage - Geschiebehaushalt'!$A$4:$R$275,5,FALSE)="","",VLOOKUP(A7,'Charriage - Geschiebehaushalt'!$A$4:$R$275,5,FALSE))</f>
        <v>pertinent</v>
      </c>
      <c r="O7" s="873" t="str">
        <f>IF(VLOOKUP(A7,'Charriage - Geschiebehaushalt'!$A$4:$R$275,6,FALSE)="","",VLOOKUP(A7,'Charriage - Geschiebehaushalt'!$A$4:$R$275,6,FALSE))</f>
        <v>0-20%</v>
      </c>
      <c r="P7" s="874">
        <f>IF(VLOOKUP(A7,'Charriage - Geschiebehaushalt'!$A$4:$R$275,7,FALSE)="","",VLOOKUP(A7,'Charriage - Geschiebehaushalt'!$A$4:$R$275,7,FALSE))</f>
        <v>-2.0150946356319999</v>
      </c>
      <c r="Q7" s="874" t="str">
        <f>IF(VLOOKUP(A7,'Charriage - Geschiebehaushalt'!$A$4:$R$275,8,FALSE)="","",VLOOKUP(A7,'Charriage - Geschiebehaushalt'!$A$4:$R$275,8,FALSE))</f>
        <v>problème lié à un manque de charriage ou à un manque de remobilisation des sédiments</v>
      </c>
      <c r="R7" s="875">
        <f>IF(VLOOKUP(A7,'Charriage - Geschiebehaushalt'!$A$4:$R$275,9,FALSE)="","",VLOOKUP(A7,'Charriage - Geschiebehaushalt'!$A$4:$R$275,9,FALSE))</f>
        <v>1.0261103395484601</v>
      </c>
      <c r="S7" s="876" t="str">
        <f>IF(VLOOKUP(A7,'Charriage - Geschiebehaushalt'!$A$4:$R$275,10,FALSE)="","",VLOOKUP(A7,'Charriage - Geschiebehaushalt'!$A$4:$R$275,10,FALSE))</f>
        <v>la remobilisation des sédiments est perturbée</v>
      </c>
      <c r="T7" s="875">
        <f>IF(VLOOKUP(A7,'Charriage - Geschiebehaushalt'!$A$4:$R$275,11,FALSE)="","",VLOOKUP(A7,'Charriage - Geschiebehaushalt'!$A$4:$R$275,11,FALSE))</f>
        <v>3.7461665029000002E-2</v>
      </c>
      <c r="U7" s="876" t="str">
        <f>IF(VLOOKUP(A7,'Charriage - Geschiebehaushalt'!$A$4:$R$275,12,FALSE)="","",VLOOKUP(A7,'Charriage - Geschiebehaushalt'!$A$4:$R$275,12,FALSE))</f>
        <v>déficit dans les formations pionnières</v>
      </c>
      <c r="V7" s="877" t="str">
        <f>IF(VLOOKUP(A7,'Charriage - Geschiebehaushalt'!$A$4:$R$275,13,FALSE)="","",VLOOKUP(A7,'Charriage - Geschiebehaushalt'!$A$4:$R$275,13,FALSE))</f>
        <v/>
      </c>
      <c r="W7" s="877" t="str">
        <f>IF(VLOOKUP(A7,'Charriage - Geschiebehaushalt'!$A$4:$R$275,14,FALSE)="","",VLOOKUP(A7,'Charriage - Geschiebehaushalt'!$A$4:$R$275,14,FALSE))</f>
        <v/>
      </c>
      <c r="X7" s="877" t="str">
        <f>IF(VLOOKUP(A7,'Charriage - Geschiebehaushalt'!$A$4:$R$275,15,FALSE)="","",VLOOKUP(A7,'Charriage - Geschiebehaushalt'!$A$4:$R$275,15,FALSE))</f>
        <v/>
      </c>
      <c r="Y7" s="879" t="str">
        <f>IF(VLOOKUP(A7,'Charriage - Geschiebehaushalt'!$A$4:$R$275,16,FALSE)="","",VLOOKUP(A7,'Charriage - Geschiebehaushalt'!$A$4:$R$275,16,FALSE))</f>
        <v/>
      </c>
      <c r="Z7" s="763" t="str">
        <f>IF(VLOOKUP(A7,'Charriage - Geschiebehaushalt'!$A$4:$R$275,17,FALSE)="","",VLOOKUP(A7,'Charriage - Geschiebehaushalt'!$A$4:$R$275,17,FALSE))</f>
        <v>0-20%</v>
      </c>
      <c r="AA7" s="880" t="str">
        <f>IF(VLOOKUP(A7,'Charriage - Geschiebehaushalt'!$A$4:$R$275,18,FALSE)="","",VLOOKUP(A7,'Charriage - Geschiebehaushalt'!$A$4:$R$275,18,FALSE))</f>
        <v>a</v>
      </c>
      <c r="AB7" s="737" t="str">
        <f>IF(VLOOKUP(A7,'Charriage - Geschiebehaushalt'!$A$4:$AC$275,19,FALSE)="","",VLOOKUP(A7,'Charriage - Geschiebehaushalt'!$A$4:$AC$275,19,FALSE))</f>
        <v>wesentlich /
Thur (charriage naturel), Rhein (charriage faible)</v>
      </c>
      <c r="AC7" s="738" t="str">
        <f>IF(VLOOKUP(A7,'Charriage - Geschiebehaushalt'!$A$4:$AC$275,20,FALSE)="","",VLOOKUP(A7,'Charriage - Geschiebehaushalt'!$A$4:$AC$275,20,FALSE))</f>
        <v xml:space="preserve">unverhältnismässig /
important
</v>
      </c>
      <c r="AD7" s="764" t="str">
        <f>IF(VLOOKUP(A7,'Charriage - Geschiebehaushalt'!$A$4:$AC$275,21,FALSE)="","",VLOOKUP(A7,'Charriage - Geschiebehaushalt'!$A$4:$AC$275,21,FALSE))</f>
        <v>21-50%</v>
      </c>
      <c r="AE7" s="740" t="str">
        <f>IF(VLOOKUP(A7,'Charriage - Geschiebehaushalt'!$A$4:$AC$275,22,FALSE)="","",VLOOKUP(A7,'Charriage - Geschiebehaushalt'!$A$4:$AC$275,22,FALSE))</f>
        <v>21-50%</v>
      </c>
      <c r="AF7" s="787" t="str">
        <f>IF(VLOOKUP(A7,'Charriage - Geschiebehaushalt'!$A$4:$AC$275,23,FALSE)="","",VLOOKUP(A7,'Charriage - Geschiebehaushalt'!$A$4:$AC$275,23,FALSE))</f>
        <v>c</v>
      </c>
      <c r="AG7" s="765" t="str">
        <f>IF(VLOOKUP(A7,'Charriage - Geschiebehaushalt'!$A$4:$AC$275,24,FALSE)="","",VLOOKUP(A7,'Charriage - Geschiebehaushalt'!$A$4:$AC$275,24,FALSE))</f>
        <v>Thur: naturel (ZH); Rhein: faible (ZH) ou wesentlich (SH).</v>
      </c>
      <c r="AH7" s="764" t="str">
        <f>IF(VLOOKUP(A7,'Charriage - Geschiebehaushalt'!$A$4:$AC$275,25,FALSE)="","",VLOOKUP(A7,'Charriage - Geschiebehaushalt'!$A$4:$AC$275,25,FALSE))</f>
        <v/>
      </c>
      <c r="AI7" s="433" t="str">
        <f>IF(VLOOKUP(A7,'Charriage - Geschiebehaushalt'!$A$4:$AC$275,26,FALSE)="","",VLOOKUP(A7,'Charriage - Geschiebehaushalt'!$A$4:$AC$275,26,FALSE))</f>
        <v/>
      </c>
      <c r="AJ7" s="436" t="str">
        <f>IF(VLOOKUP(A7,'Charriage - Geschiebehaushalt'!$A$4:$AC$275,27,FALSE)="","",VLOOKUP(A7,'Charriage - Geschiebehaushalt'!$A$4:$AC$275,27,FALSE))</f>
        <v>Der Schaffhauser Teil des Objekts Nr.5 „ Eggrank-Thurspitz“ ist keine natürliche Flussaue. Es handelt sich um einem künstlichen „Altlauf“, mehrere Teiche und zwei Inseln, die durch den Längsdamm, der vor mehr als 100 Jahren gebaut wurde, vom Rhein abgetrennt wird. In dem Gebiet hat sich eine sehr hohe Biodiversität entwickelt. Es ist deshalb nicht vorgesehen, den Längsdamm zu entfernen. Das wäre auch aus politischen Gründen nicht machbar. Die AXPO in den letzten Jahren im Gebiet umfangreiche Aufwertungsmassnahen realisiert. Weitere Aufwertungsmassnahmen sind nicht vorgesehen.</v>
      </c>
      <c r="AK7" s="801" t="str">
        <f>IF(VLOOKUP(A7,'Charriage - Geschiebehaushalt'!$A$4:$AC$275,28,FALSE)="","",VLOOKUP(A7,'Charriage - Geschiebehaushalt'!$A$4:$AC$275,28,FALSE))</f>
        <v>21-50%</v>
      </c>
      <c r="AL7" s="1285" t="str">
        <f>IF(VLOOKUP(A7,'Charriage - Geschiebehaushalt'!$A$4:$AD$275,30,FALSE)="","",VLOOKUP(A7,'Charriage - Geschiebehaushalt'!$A$4:$AD$275,30,FALSE))</f>
        <v>a</v>
      </c>
      <c r="AM7" s="1279" t="str">
        <f>IF(VLOOKUP(A7,'Débit - Abfluss'!$A$4:$K$275,5,FALSE)="","",VLOOKUP(A7,'Débit - Abfluss'!$A$4:$M$275,5,FALSE))</f>
        <v>81-100%</v>
      </c>
      <c r="AN7" s="868" t="str">
        <f>IF(VLOOKUP(A7,'Débit - Abfluss'!$A$4:$K$275,6,FALSE)="","",VLOOKUP(A7,'Débit - Abfluss'!$A$4:$M$275,6,FALSE))</f>
        <v/>
      </c>
      <c r="AO7" s="869" t="str">
        <f>IF(VLOOKUP(A7,'Débit - Abfluss'!$A$4:$K$275,7,FALSE)="","",VLOOKUP(A7,'Débit - Abfluss'!$A$4:$M$275,7,FALSE))</f>
        <v/>
      </c>
      <c r="AP7" s="766" t="str">
        <f>IF(VLOOKUP(A7,'Débit - Abfluss'!$A$4:$K$275,8,FALSE)="","",VLOOKUP(A7,'Débit - Abfluss'!$A$4:$M$275,8,FALSE))</f>
        <v>81-100%</v>
      </c>
      <c r="AQ7" s="742" t="str">
        <f>IF(VLOOKUP(A7,'Débit - Abfluss'!$A$4:$K$275,9,FALSE)="","",VLOOKUP(A7,'Débit - Abfluss'!$A$4:$M$275,9,FALSE))</f>
        <v>-</v>
      </c>
      <c r="AR7" s="767" t="str">
        <f>IF(VLOOKUP(A7,'Débit - Abfluss'!$A$4:$K$275,10,FALSE)="","",VLOOKUP(A7,'Débit - Abfluss'!$A$4:$M$275,10,FALSE))</f>
        <v>81-100%</v>
      </c>
      <c r="AS7" s="767" t="str">
        <f>IF(VLOOKUP(A7,'Débit - Abfluss'!$A$4:$K$275,11,FALSE)="","",VLOOKUP(A7,'Débit - Abfluss'!$A$4:$M$275,11,FALSE))</f>
        <v/>
      </c>
      <c r="AT7" s="744" t="str">
        <f>IF(VLOOKUP(A7,'Débit - Abfluss'!$A$4:$Q$275,12,FALSE)="","",VLOOKUP(A7,'Débit - Abfluss'!$A$4:$Q$275,12,FALSE))</f>
        <v/>
      </c>
      <c r="AU7" s="745" t="str">
        <f>IF(VLOOKUP(A7,'Débit - Abfluss'!$A$4:$Q$275,13,FALSE)="","",VLOOKUP(A7,'Débit - Abfluss'!$A$4:$Q$275,13,FALSE))</f>
        <v/>
      </c>
      <c r="AV7" s="746" t="str">
        <f>IF(VLOOKUP(A7,'Débit - Abfluss'!$A$4:$Q$275,14,FALSE)="","",VLOOKUP(A7,'Débit - Abfluss'!$A$4:$Q$275,14,FALSE))</f>
        <v/>
      </c>
      <c r="AW7" s="768" t="str">
        <f>IF(VLOOKUP(A7,'Débit - Abfluss'!$A$4:$Q$275,15,FALSE)="","",VLOOKUP(A7,'Débit - Abfluss'!$A$4:$Q$275,15,FALSE))</f>
        <v/>
      </c>
      <c r="AX7" s="677" t="str">
        <f>IF(VLOOKUP(A7,'Débit - Abfluss'!$A$4:$Q$275,16,FALSE)="","",VLOOKUP(A7,'Débit - Abfluss'!$A$4:$Q$275,16,FALSE))</f>
        <v/>
      </c>
      <c r="AY7" s="769" t="str">
        <f>IF(VLOOKUP(A7,'Débit - Abfluss'!$A$4:$Q$275,17,FALSE)="","",VLOOKUP(A7,'Débit - Abfluss'!$A$4:$Q$275,17,FALSE))</f>
        <v>81-100%</v>
      </c>
      <c r="AZ7" s="749" t="str">
        <f>IF(VLOOKUP(A7,'Eclusée - Schwall-Sunk'!$A$2:$F$273,5,FALSE)="","",VLOOKUP(A7,'Eclusée - Schwall-Sunk'!$A$2:$F$273,5,FALSE))</f>
        <v>force hydraulique</v>
      </c>
      <c r="BA7" s="750" t="str">
        <f>IF(VLOOKUP(A7,'Eclusée - Schwall-Sunk'!$A$2:$F$273,6,FALSE)="","",VLOOKUP(A7,'Eclusée - Schwall-Sunk'!$A$2:$F$273,6,FALSE))</f>
        <v>Potentiellement affecté mais non plausible / möglicherweise betroffen aber nicht nachweisbar</v>
      </c>
      <c r="BB7" s="751">
        <f>IF(VLOOKUP(A7,'Revitalisation-Revitalisierung'!$A$4:$Z$275,5,FALSE)="","",VLOOKUP(A7,'Revitalisation-Revitalisierung'!$A$4:$Z$275,5,FALSE))</f>
        <v>60.86363636363636</v>
      </c>
      <c r="BC7" s="752">
        <f>IF(VLOOKUP(A7,'Revitalisation-Revitalisierung'!$A$4:$Z$275,6,FALSE)="","",VLOOKUP(A7,'Revitalisation-Revitalisierung'!$A$4:$Z$275,6,FALSE))</f>
        <v>74.544402398944868</v>
      </c>
      <c r="BD7" s="752">
        <f>IF(VLOOKUP(A7,'Revitalisation-Revitalisierung'!$A$4:$Z$275,7,FALSE)="","",VLOOKUP(A7,'Revitalisation-Revitalisierung'!$A$4:$Z$275,7,FALSE))</f>
        <v>13.636363636363637</v>
      </c>
      <c r="BE7" s="753" t="str">
        <f>IF(VLOOKUP(A7,'Revitalisation-Revitalisierung'!$A$4:$Z$275,8,FALSE)="","",VLOOKUP(A7,'Revitalisation-Revitalisierung'!$A$4:$Z$275,8,FALSE))</f>
        <v>très nécessaire, facile</v>
      </c>
      <c r="BF7" s="754" t="str">
        <f>IF(VLOOKUP(A7,'Revitalisation-Revitalisierung'!$A$4:$Z$275,9,FALSE)="","",VLOOKUP(A7,'Revitalisation-Revitalisierung'!$A$4:$Z$275,9,FALSE))</f>
        <v>schwierig</v>
      </c>
      <c r="BG7" s="754" t="str">
        <f>IF(VLOOKUP(A7,'Revitalisation-Revitalisierung'!$A$4:$Z$275,10,FALSE)="","",VLOOKUP(A7,'Revitalisation-Revitalisierung'!$A$4:$Z$275,10,FALSE))</f>
        <v>K1</v>
      </c>
      <c r="BH7" s="755" t="str">
        <f>IF(VLOOKUP(A7,'Revitalisation-Revitalisierung'!$A$4:$Z$275,11,FALSE)="","",VLOOKUP(A7,'Revitalisation-Revitalisierung'!$A$4:$Z$275,11,FALSE))</f>
        <v/>
      </c>
      <c r="BI7" s="756" t="str">
        <f>IF(VLOOKUP(A7,'Revitalisation-Revitalisierung'!$A$4:$Z$275,12,FALSE)="","",VLOOKUP(A7,'Revitalisation-Revitalisierung'!$A$4:$Z$275,12,FALSE))</f>
        <v/>
      </c>
      <c r="BJ7" s="757" t="str">
        <f>IF(VLOOKUP(A7,'Revitalisation-Revitalisierung'!$A$4:$Z$275,13,FALSE)="","",VLOOKUP(A7,'Revitalisation-Revitalisierung'!$A$4:$Z$275,13,FALSE))</f>
        <v>Partiellement nécessaire, facile / teilweise nötig, einfach</v>
      </c>
      <c r="BK7" s="870" t="str">
        <f>IF(VLOOKUP(A7,'Revitalisation-Revitalisierung'!$A$4:$Z$275,14,FALSE)="","",VLOOKUP(A7,'Revitalisation-Revitalisierung'!$A$4:$Z$275,14,FALSE))</f>
        <v>b</v>
      </c>
      <c r="BL7" s="758" t="str">
        <f>IF(VLOOKUP(A7,'Revitalisation-Revitalisierung'!$A$4:$Z$275,15,FALSE)="","",VLOOKUP(A7,'Revitalisation-Revitalisierung'!$A$4:$Z$275,15,FALSE))</f>
        <v>gross /
gross (Thur)/mittel</v>
      </c>
      <c r="BM7" s="759" t="str">
        <f>IF(VLOOKUP(A7,'Revitalisation-Revitalisierung'!$A$4:$Z$275,16,FALSE)="","",VLOOKUP(A7,'Revitalisation-Revitalisierung'!$A$4:$Z$275,16,FALSE))</f>
        <v>gross/mittel/gering /
mittel</v>
      </c>
      <c r="BN7" s="759" t="str">
        <f>IF(VLOOKUP(A7,'Revitalisation-Revitalisierung'!$A$4:$Z$275,17,FALSE)="","",VLOOKUP(A7,'Revitalisation-Revitalisierung'!$A$4:$Z$275,17,FALSE))</f>
        <v>keine /
1 (Rhein), 3 (Thur)</v>
      </c>
      <c r="BO7" s="760" t="str">
        <f>IF(VLOOKUP(A7,'Revitalisation-Revitalisierung'!$A$4:$Z$275,18,FALSE)="","",VLOOKUP(A7,'Revitalisation-Revitalisierung'!$A$4:$Z$275,18,FALSE))</f>
        <v>Partiellement nécessaire, facile / teilweise nötig, einfach</v>
      </c>
      <c r="BP7" s="761" t="str">
        <f>IF(VLOOKUP(A7,'Revitalisation-Revitalisierung'!$A$4:$Z$275,19,FALSE)="","",VLOOKUP(A7,'Revitalisation-Revitalisierung'!$A$4:$Z$275,19,FALSE))</f>
        <v>Partiellement nécessaire, facile / teilweise nötig, einfach</v>
      </c>
      <c r="BQ7" s="759" t="str">
        <f>IF(VLOOKUP(A7,'Revitalisation-Revitalisierung'!$A$4:$Z$275,20,FALSE)="","",VLOOKUP(A7,'Revitalisation-Revitalisierung'!$A$4:$Z$275,20,FALSE))</f>
        <v>d</v>
      </c>
      <c r="BR7" s="759" t="str">
        <f>IF(VLOOKUP(A7,'Revitalisation-Revitalisierung'!$A$4:$Z$275,21,FALSE)="","",VLOOKUP(A7,'Revitalisation-Revitalisierung'!$A$4:$Z$275,21,FALSE))</f>
        <v/>
      </c>
      <c r="BS7" s="762" t="str">
        <f>IF(VLOOKUP(A7,'Revitalisation-Revitalisierung'!$A$4:$Z$275,22,FALSE)="","",VLOOKUP(A7,'Revitalisation-Revitalisierung'!$A$4:$Z$275,22,FALSE))</f>
        <v/>
      </c>
      <c r="BT7" s="757" t="str">
        <f>IF(VLOOKUP(A7,'Revitalisation-Revitalisierung'!$A$4:$Z$275,23,FALSE)="","",VLOOKUP(A7,'Revitalisation-Revitalisierung'!$A$4:$Z$275,23,FALSE))</f>
        <v>nicht vorgesehen</v>
      </c>
      <c r="BU7" s="699" t="str">
        <f>IF(VLOOKUP(A7,'Revitalisation-Revitalisierung'!$A$4:$Z$275,24,FALSE)="","",VLOOKUP(A7,'Revitalisation-Revitalisierung'!$A$4:$Z$275,24,FALSE))</f>
        <v>Der Schaffhauser Teil des Objekts Nr.5 „ Eggrank-Thurspitz“ ist keine natürliche Flussaue. Es handelt sich um einem künstlichen „Altlauf“, mehrere Teiche und zwei Inseln, die durch den Längsdamm, der vor mehr als 100 Jahren gebaut wurde, vom Rhein abgetrennt wird. In dem Gebiet hat sich eine sehr hohe Biodiversität entwickelt. Es ist deshalb nicht vorgesehen, den Längsdamm zu entfernen. Das wäre auch aus politischen Gründen nicht machbar. Die AXPO in den letzten Jahren im Gebiet umfangreiche Aufwertungsmassnahen realisiert. Weitere Aufwertungsmassnahmen sind nicht vorgesehen.</v>
      </c>
      <c r="BV7" s="757" t="str">
        <f>IF(VLOOKUP(A7,'Revitalisation-Revitalisierung'!$A$4:$Z$275,25,FALSE)="","",VLOOKUP(A7,'Revitalisation-Revitalisierung'!$A$4:$Z$275,25,FALSE))</f>
        <v>Partiellement nécessaire, facile / teilweise nötig, einfach</v>
      </c>
      <c r="BW7" s="871" t="str">
        <f>IF(VLOOKUP(A7,'Revitalisation-Revitalisierung'!$A$4:$AA$275,27,FALSE)="","",VLOOKUP(A7,'Revitalisation-Revitalisierung'!$A$4:$AA$275,27,FALSE))</f>
        <v>a</v>
      </c>
    </row>
    <row r="8" spans="1:75" ht="69.599999999999994" customHeight="1" x14ac:dyDescent="0.25">
      <c r="A8" s="935">
        <v>6</v>
      </c>
      <c r="B8" s="856">
        <f>IF(VLOOKUP(A8,'Données de base - Grunddaten'!$A$2:$M$297,2,FALSE)="","",VLOOKUP(A8,'Données de base - Grunddaten'!$A$2:$M$297,2,FALSE))</f>
        <v>1</v>
      </c>
      <c r="C8" s="857" t="str">
        <f>IF(VLOOKUP(A8,'Données de base - Grunddaten'!$A$2:$M$297,3,FALSE)="","",VLOOKUP(A8,'Données de base - Grunddaten'!$A$2:$M$297,3,FALSE))</f>
        <v>Schäffäuli</v>
      </c>
      <c r="D8" s="857" t="str">
        <f>IF(VLOOKUP(A8,'Données de base - Grunddaten'!$A$2:$M$297,4,FALSE)="","",VLOOKUP(A8,'Données de base - Grunddaten'!$A$2:$M$297,4,FALSE))</f>
        <v>Thur</v>
      </c>
      <c r="E8" s="857" t="str">
        <f>IF(VLOOKUP(A8,'Données de base - Grunddaten'!$A$2:$M$297,5,FALSE)="","",VLOOKUP(A8,'Données de base - Grunddaten'!$A$2:$M$297,5,FALSE))</f>
        <v>TG</v>
      </c>
      <c r="F8" s="857" t="str">
        <f>IF(VLOOKUP(A8,'Données de base - Grunddaten'!$A$2:$M$297,6,FALSE)="","",VLOOKUP(A8,'Données de base - Grunddaten'!$A$2:$M$297,6,FALSE))</f>
        <v>Bassins lémanique et rhénan</v>
      </c>
      <c r="G8" s="857" t="str">
        <f>IF(VLOOKUP(A8,'Données de base - Grunddaten'!$A$2:$M$297,7,FALSE)="","",VLOOKUP(A8,'Données de base - Grunddaten'!$A$2:$M$297,7,FALSE))</f>
        <v>Collinéen</v>
      </c>
      <c r="H8" s="857">
        <f>IF(VLOOKUP(A8,'Données de base - Grunddaten'!$A$2:$M$297,8,FALSE)="","",VLOOKUP(A8,'Données de base - Grunddaten'!$A$2:$M$297,8,FALSE))</f>
        <v>380</v>
      </c>
      <c r="I8" s="857">
        <f>IF(VLOOKUP(A8,'Données de base - Grunddaten'!$A$2:$M$297,9,FALSE)="","",VLOOKUP(A8,'Données de base - Grunddaten'!$A$2:$M$297,9,FALSE))</f>
        <v>1992</v>
      </c>
      <c r="J8" s="857">
        <f>IF(VLOOKUP(A8,'Données de base - Grunddaten'!$A$2:$M$297,10,FALSE)="","",VLOOKUP(A8,'Données de base - Grunddaten'!$A$2:$M$297,10,FALSE))</f>
        <v>52</v>
      </c>
      <c r="K8" s="857" t="str">
        <f>IF(VLOOKUP(A8,'Données de base - Grunddaten'!$A$2:$M$297,11,FALSE)="","",VLOOKUP(A8,'Données de base - Grunddaten'!$A$2:$M$297,11,FALSE))</f>
        <v>Cours d'eau corrigés de l'étage collinéen du Moyen-Pays</v>
      </c>
      <c r="L8" s="857" t="str">
        <f>IF(VLOOKUP(A8,'Données de base - Grunddaten'!$A$2:$M$297,12,FALSE)="","",VLOOKUP(A8,'Données de base - Grunddaten'!$A$2:$M$297,12,FALSE))</f>
        <v>en tresses</v>
      </c>
      <c r="M8" s="858" t="str">
        <f>IF(VLOOKUP(A8,'Données de base - Grunddaten'!$A$2:$M$297,13,FALSE)="","",VLOOKUP(A8,'Données de base - Grunddaten'!$A$2:$M$297,13,FALSE))</f>
        <v>cours rectiligne</v>
      </c>
      <c r="N8" s="872" t="str">
        <f>IF(VLOOKUP(A8,'Charriage - Geschiebehaushalt'!$A$4:$R$275,5,FALSE)="","",VLOOKUP(A8,'Charriage - Geschiebehaushalt'!$A$4:$R$275,5,FALSE))</f>
        <v>pertinent</v>
      </c>
      <c r="O8" s="873" t="str">
        <f>IF(VLOOKUP(A8,'Charriage - Geschiebehaushalt'!$A$4:$R$275,6,FALSE)="","",VLOOKUP(A8,'Charriage - Geschiebehaushalt'!$A$4:$R$275,6,FALSE))</f>
        <v>0-20%</v>
      </c>
      <c r="P8" s="874" t="str">
        <f>IF(VLOOKUP(A8,'Charriage - Geschiebehaushalt'!$A$4:$R$275,7,FALSE)="","",VLOOKUP(A8,'Charriage - Geschiebehaushalt'!$A$4:$R$275,7,FALSE))</f>
        <v/>
      </c>
      <c r="Q8" s="874" t="str">
        <f>IF(VLOOKUP(A8,'Charriage - Geschiebehaushalt'!$A$4:$R$275,8,FALSE)="","",VLOOKUP(A8,'Charriage - Geschiebehaushalt'!$A$4:$R$275,8,FALSE))</f>
        <v>non documenté</v>
      </c>
      <c r="R8" s="875">
        <f>IF(VLOOKUP(A8,'Charriage - Geschiebehaushalt'!$A$4:$R$275,9,FALSE)="","",VLOOKUP(A8,'Charriage - Geschiebehaushalt'!$A$4:$R$275,9,FALSE))</f>
        <v>0.87682758370540703</v>
      </c>
      <c r="S8" s="876" t="str">
        <f>IF(VLOOKUP(A8,'Charriage - Geschiebehaushalt'!$A$4:$R$275,10,FALSE)="","",VLOOKUP(A8,'Charriage - Geschiebehaushalt'!$A$4:$R$275,10,FALSE))</f>
        <v>la remobilisation des sédiments est perturbée</v>
      </c>
      <c r="T8" s="875">
        <f>IF(VLOOKUP(A8,'Charriage - Geschiebehaushalt'!$A$4:$R$275,11,FALSE)="","",VLOOKUP(A8,'Charriage - Geschiebehaushalt'!$A$4:$R$275,11,FALSE))</f>
        <v>9.6796702336999996E-2</v>
      </c>
      <c r="U8" s="876" t="str">
        <f>IF(VLOOKUP(A8,'Charriage - Geschiebehaushalt'!$A$4:$R$275,12,FALSE)="","",VLOOKUP(A8,'Charriage - Geschiebehaushalt'!$A$4:$R$275,12,FALSE))</f>
        <v>déficit dans les formations pionnières</v>
      </c>
      <c r="V8" s="877" t="str">
        <f>IF(VLOOKUP(A8,'Charriage - Geschiebehaushalt'!$A$4:$R$275,13,FALSE)="","",VLOOKUP(A8,'Charriage - Geschiebehaushalt'!$A$4:$R$275,13,FALSE))</f>
        <v/>
      </c>
      <c r="W8" s="877" t="str">
        <f>IF(VLOOKUP(A8,'Charriage - Geschiebehaushalt'!$A$4:$R$275,14,FALSE)="","",VLOOKUP(A8,'Charriage - Geschiebehaushalt'!$A$4:$R$275,14,FALSE))</f>
        <v/>
      </c>
      <c r="X8" s="877" t="str">
        <f>IF(VLOOKUP(A8,'Charriage - Geschiebehaushalt'!$A$4:$R$275,15,FALSE)="","",VLOOKUP(A8,'Charriage - Geschiebehaushalt'!$A$4:$R$275,15,FALSE))</f>
        <v/>
      </c>
      <c r="Y8" s="879" t="str">
        <f>IF(VLOOKUP(A8,'Charriage - Geschiebehaushalt'!$A$4:$R$275,16,FALSE)="","",VLOOKUP(A8,'Charriage - Geschiebehaushalt'!$A$4:$R$275,16,FALSE))</f>
        <v/>
      </c>
      <c r="Z8" s="763" t="str">
        <f>IF(VLOOKUP(A8,'Charriage - Geschiebehaushalt'!$A$4:$R$275,17,FALSE)="","",VLOOKUP(A8,'Charriage - Geschiebehaushalt'!$A$4:$R$275,17,FALSE))</f>
        <v>0-20%</v>
      </c>
      <c r="AA8" s="880" t="str">
        <f>IF(VLOOKUP(A8,'Charriage - Geschiebehaushalt'!$A$4:$R$275,18,FALSE)="","",VLOOKUP(A8,'Charriage - Geschiebehaushalt'!$A$4:$R$275,18,FALSE))</f>
        <v>a</v>
      </c>
      <c r="AB8" s="737" t="str">
        <f>IF(VLOOKUP(A8,'Charriage - Geschiebehaushalt'!$A$4:$AC$275,19,FALSE)="","",VLOOKUP(A8,'Charriage - Geschiebehaushalt'!$A$4:$AC$275,19,FALSE))</f>
        <v>keine</v>
      </c>
      <c r="AC8" s="738" t="str">
        <f>IF(VLOOKUP(A8,'Charriage - Geschiebehaushalt'!$A$4:$AC$275,20,FALSE)="","",VLOOKUP(A8,'Charriage - Geschiebehaushalt'!$A$4:$AC$275,20,FALSE))</f>
        <v>keine</v>
      </c>
      <c r="AD8" s="764" t="str">
        <f>IF(VLOOKUP(A8,'Charriage - Geschiebehaushalt'!$A$4:$AC$275,21,FALSE)="","",VLOOKUP(A8,'Charriage - Geschiebehaushalt'!$A$4:$AC$275,21,FALSE))</f>
        <v>0-20%</v>
      </c>
      <c r="AE8" s="740" t="str">
        <f>IF(VLOOKUP(A8,'Charriage - Geschiebehaushalt'!$A$4:$AC$275,22,FALSE)="","",VLOOKUP(A8,'Charriage - Geschiebehaushalt'!$A$4:$AC$275,22,FALSE))</f>
        <v>0-20%</v>
      </c>
      <c r="AF8" s="787" t="str">
        <f>IF(VLOOKUP(A8,'Charriage - Geschiebehaushalt'!$A$4:$AC$275,23,FALSE)="","",VLOOKUP(A8,'Charriage - Geschiebehaushalt'!$A$4:$AC$275,23,FALSE))</f>
        <v>d</v>
      </c>
      <c r="AG8" s="765" t="str">
        <f>IF(VLOOKUP(A8,'Charriage - Geschiebehaushalt'!$A$4:$AC$275,24,FALSE)="","",VLOOKUP(A8,'Charriage - Geschiebehaushalt'!$A$4:$AC$275,24,FALSE))</f>
        <v/>
      </c>
      <c r="AH8" s="764" t="str">
        <f>IF(VLOOKUP(A8,'Charriage - Geschiebehaushalt'!$A$4:$AC$275,25,FALSE)="","",VLOOKUP(A8,'Charriage - Geschiebehaushalt'!$A$4:$AC$275,25,FALSE))</f>
        <v/>
      </c>
      <c r="AI8" s="437" t="str">
        <f>IF(VLOOKUP(A8,'Charriage - Geschiebehaushalt'!$A$4:$AC$275,26,FALSE)="","",VLOOKUP(A8,'Charriage - Geschiebehaushalt'!$A$4:$AC$275,26,FALSE))</f>
        <v>Resultat Kanton gemäss strat.Planung: 0-20 % Geschiebedefizit, d.h. Farbe blau (Spalte V)
e (Spalte W)</v>
      </c>
      <c r="AJ8" s="439" t="str">
        <f>IF(VLOOKUP(A8,'Charriage - Geschiebehaushalt'!$A$4:$AC$275,27,FALSE)="","",VLOOKUP(A8,'Charriage - Geschiebehaushalt'!$A$4:$AC$275,27,FALSE))</f>
        <v>keine Massnahmen erforderlich, da seit 2002 der Auenwald nicht mehr vor der Thur geschützt ist</v>
      </c>
      <c r="AK8" s="814" t="str">
        <f>IF(VLOOKUP(A8,'Charriage - Geschiebehaushalt'!$A$4:$AC$275,28,FALSE)="","",VLOOKUP(A8,'Charriage - Geschiebehaushalt'!$A$4:$AC$275,28,FALSE))</f>
        <v>0-20%</v>
      </c>
      <c r="AL8" s="1285" t="str">
        <f>IF(VLOOKUP(A8,'Charriage - Geschiebehaushalt'!$A$4:$AD$275,30,FALSE)="","",VLOOKUP(A8,'Charriage - Geschiebehaushalt'!$A$4:$AD$275,30,FALSE))</f>
        <v>a</v>
      </c>
      <c r="AM8" s="1279" t="str">
        <f>IF(VLOOKUP(A8,'Débit - Abfluss'!$A$4:$K$275,5,FALSE)="","",VLOOKUP(A8,'Débit - Abfluss'!$A$4:$M$275,5,FALSE))</f>
        <v>100%</v>
      </c>
      <c r="AN8" s="883" t="str">
        <f>IF(VLOOKUP(A8,'Débit - Abfluss'!$A$4:$K$275,6,FALSE)="","",VLOOKUP(A8,'Débit - Abfluss'!$A$4:$M$275,6,FALSE))</f>
        <v>aucune information supplémentaire</v>
      </c>
      <c r="AO8" s="884" t="str">
        <f>IF(VLOOKUP(A8,'Débit - Abfluss'!$A$4:$K$275,7,FALSE)="","",VLOOKUP(A8,'Débit - Abfluss'!$A$4:$M$275,7,FALSE))</f>
        <v>aucune information supplémentaire</v>
      </c>
      <c r="AP8" s="766" t="str">
        <f>IF(VLOOKUP(A8,'Débit - Abfluss'!$A$4:$K$275,8,FALSE)="","",VLOOKUP(A8,'Débit - Abfluss'!$A$4:$M$275,8,FALSE))</f>
        <v>100%</v>
      </c>
      <c r="AQ8" s="742" t="str">
        <f>IF(VLOOKUP(A8,'Débit - Abfluss'!$A$4:$K$275,9,FALSE)="","",VLOOKUP(A8,'Débit - Abfluss'!$A$4:$M$275,9,FALSE))</f>
        <v>-</v>
      </c>
      <c r="AR8" s="767" t="str">
        <f>IF(VLOOKUP(A8,'Débit - Abfluss'!$A$4:$K$275,10,FALSE)="","",VLOOKUP(A8,'Débit - Abfluss'!$A$4:$M$275,10,FALSE))</f>
        <v>100%</v>
      </c>
      <c r="AS8" s="767" t="str">
        <f>IF(VLOOKUP(A8,'Débit - Abfluss'!$A$4:$K$275,11,FALSE)="","",VLOOKUP(A8,'Débit - Abfluss'!$A$4:$M$275,11,FALSE))</f>
        <v/>
      </c>
      <c r="AT8" s="744" t="str">
        <f>IF(VLOOKUP(A8,'Débit - Abfluss'!$A$4:$Q$275,12,FALSE)="","",VLOOKUP(A8,'Débit - Abfluss'!$A$4:$Q$275,12,FALSE))</f>
        <v/>
      </c>
      <c r="AU8" s="745" t="str">
        <f>IF(VLOOKUP(A8,'Débit - Abfluss'!$A$4:$Q$275,13,FALSE)="","",VLOOKUP(A8,'Débit - Abfluss'!$A$4:$Q$275,13,FALSE))</f>
        <v/>
      </c>
      <c r="AV8" s="746" t="str">
        <f>IF(VLOOKUP(A8,'Débit - Abfluss'!$A$4:$Q$275,14,FALSE)="","",VLOOKUP(A8,'Débit - Abfluss'!$A$4:$Q$275,14,FALSE))</f>
        <v/>
      </c>
      <c r="AW8" s="768" t="str">
        <f>IF(VLOOKUP(A8,'Débit - Abfluss'!$A$4:$Q$275,15,FALSE)="","",VLOOKUP(A8,'Débit - Abfluss'!$A$4:$Q$275,15,FALSE))</f>
        <v/>
      </c>
      <c r="AX8" s="677" t="str">
        <f>IF(VLOOKUP(A8,'Débit - Abfluss'!$A$4:$Q$275,16,FALSE)="","",VLOOKUP(A8,'Débit - Abfluss'!$A$4:$Q$275,16,FALSE))</f>
        <v/>
      </c>
      <c r="AY8" s="769" t="str">
        <f>IF(VLOOKUP(A8,'Débit - Abfluss'!$A$4:$Q$275,17,FALSE)="","",VLOOKUP(A8,'Débit - Abfluss'!$A$4:$Q$275,17,FALSE))</f>
        <v>100%</v>
      </c>
      <c r="AZ8" s="749" t="str">
        <f>IF(VLOOKUP(A8,'Eclusée - Schwall-Sunk'!$A$2:$F$273,5,FALSE)="","",VLOOKUP(A8,'Eclusée - Schwall-Sunk'!$A$2:$F$273,5,FALSE))</f>
        <v/>
      </c>
      <c r="BA8" s="750" t="str">
        <f>IF(VLOOKUP(A8,'Eclusée - Schwall-Sunk'!$A$2:$F$273,6,FALSE)="","",VLOOKUP(A8,'Eclusée - Schwall-Sunk'!$A$2:$F$273,6,FALSE))</f>
        <v>Potentiellement affecté mais non plausible / möglicherweise betroffen aber nicht nachweisbar</v>
      </c>
      <c r="BB8" s="751">
        <f>IF(VLOOKUP(A8,'Revitalisation-Revitalisierung'!$A$4:$Z$275,5,FALSE)="","",VLOOKUP(A8,'Revitalisation-Revitalisierung'!$A$4:$Z$275,5,FALSE))</f>
        <v>73.11818181818181</v>
      </c>
      <c r="BC8" s="752">
        <f>IF(VLOOKUP(A8,'Revitalisation-Revitalisierung'!$A$4:$Z$275,6,FALSE)="","",VLOOKUP(A8,'Revitalisation-Revitalisierung'!$A$4:$Z$275,6,FALSE))</f>
        <v>76.275790489432637</v>
      </c>
      <c r="BD8" s="752">
        <f>IF(VLOOKUP(A8,'Revitalisation-Revitalisierung'!$A$4:$Z$275,7,FALSE)="","",VLOOKUP(A8,'Revitalisation-Revitalisierung'!$A$4:$Z$275,7,FALSE))</f>
        <v>3.1818181818181817</v>
      </c>
      <c r="BE8" s="753" t="str">
        <f>IF(VLOOKUP(A8,'Revitalisation-Revitalisierung'!$A$4:$Z$275,8,FALSE)="","",VLOOKUP(A8,'Revitalisation-Revitalisierung'!$A$4:$Z$275,8,FALSE))</f>
        <v>très nécessaire, facile</v>
      </c>
      <c r="BF8" s="754" t="str">
        <f>IF(VLOOKUP(A8,'Revitalisation-Revitalisierung'!$A$4:$Z$275,9,FALSE)="","",VLOOKUP(A8,'Revitalisation-Revitalisierung'!$A$4:$Z$275,9,FALSE))</f>
        <v/>
      </c>
      <c r="BG8" s="754" t="str">
        <f>IF(VLOOKUP(A8,'Revitalisation-Revitalisierung'!$A$4:$Z$275,10,FALSE)="","",VLOOKUP(A8,'Revitalisation-Revitalisierung'!$A$4:$Z$275,10,FALSE))</f>
        <v>K2</v>
      </c>
      <c r="BH8" s="755" t="str">
        <f>IF(VLOOKUP(A8,'Revitalisation-Revitalisierung'!$A$4:$Z$275,11,FALSE)="","",VLOOKUP(A8,'Revitalisation-Revitalisierung'!$A$4:$Z$275,11,FALSE))</f>
        <v/>
      </c>
      <c r="BI8" s="756" t="str">
        <f>IF(VLOOKUP(A8,'Revitalisation-Revitalisierung'!$A$4:$Z$275,12,FALSE)="","",VLOOKUP(A8,'Revitalisation-Revitalisierung'!$A$4:$Z$275,12,FALSE))</f>
        <v/>
      </c>
      <c r="BJ8" s="757" t="str">
        <f>IF(VLOOKUP(A8,'Revitalisation-Revitalisierung'!$A$4:$Z$275,13,FALSE)="","",VLOOKUP(A8,'Revitalisation-Revitalisierung'!$A$4:$Z$275,13,FALSE))</f>
        <v>Partiellement nécessaire, difficile / teilweise nötig, schwierig</v>
      </c>
      <c r="BK8" s="870" t="str">
        <f>IF(VLOOKUP(A8,'Revitalisation-Revitalisierung'!$A$4:$Z$275,14,FALSE)="","",VLOOKUP(A8,'Revitalisation-Revitalisierung'!$A$4:$Z$275,14,FALSE))</f>
        <v>b</v>
      </c>
      <c r="BL8" s="758" t="str">
        <f>IF(VLOOKUP(A8,'Revitalisation-Revitalisierung'!$A$4:$Z$275,15,FALSE)="","",VLOOKUP(A8,'Revitalisation-Revitalisierung'!$A$4:$Z$275,15,FALSE))</f>
        <v>gross</v>
      </c>
      <c r="BM8" s="759" t="str">
        <f>IF(VLOOKUP(A8,'Revitalisation-Revitalisierung'!$A$4:$Z$275,16,FALSE)="","",VLOOKUP(A8,'Revitalisation-Revitalisierung'!$A$4:$Z$275,16,FALSE))</f>
        <v>gross/mittel/kein/nicht best.</v>
      </c>
      <c r="BN8" s="759" t="str">
        <f>IF(VLOOKUP(A8,'Revitalisation-Revitalisierung'!$A$4:$Z$275,17,FALSE)="","",VLOOKUP(A8,'Revitalisation-Revitalisierung'!$A$4:$Z$275,17,FALSE))</f>
        <v>keine Angaben</v>
      </c>
      <c r="BO8" s="760" t="str">
        <f>IF(VLOOKUP(A8,'Revitalisation-Revitalisierung'!$A$4:$Z$275,18,FALSE)="","",VLOOKUP(A8,'Revitalisation-Revitalisierung'!$A$4:$Z$275,18,FALSE))</f>
        <v>Partiellement nécessaire, difficile / teilweise nötig, schwierig</v>
      </c>
      <c r="BP8" s="761" t="str">
        <f>IF(VLOOKUP(A8,'Revitalisation-Revitalisierung'!$A$4:$Z$275,19,FALSE)="","",VLOOKUP(A8,'Revitalisation-Revitalisierung'!$A$4:$Z$275,19,FALSE))</f>
        <v>Partiellement nécessaire, difficile / teilweise nötig, schwierig</v>
      </c>
      <c r="BQ8" s="759" t="str">
        <f>IF(VLOOKUP(A8,'Revitalisation-Revitalisierung'!$A$4:$Z$275,20,FALSE)="","",VLOOKUP(A8,'Revitalisation-Revitalisierung'!$A$4:$Z$275,20,FALSE))</f>
        <v>d</v>
      </c>
      <c r="BR8" s="759" t="str">
        <f>IF(VLOOKUP(A8,'Revitalisation-Revitalisierung'!$A$4:$Z$275,21,FALSE)="","",VLOOKUP(A8,'Revitalisation-Revitalisierung'!$A$4:$Z$275,21,FALSE))</f>
        <v/>
      </c>
      <c r="BS8" s="762" t="str">
        <f>IF(VLOOKUP(A8,'Revitalisation-Revitalisierung'!$A$4:$Z$275,22,FALSE)="","",VLOOKUP(A8,'Revitalisation-Revitalisierung'!$A$4:$Z$275,22,FALSE))</f>
        <v/>
      </c>
      <c r="BT8" s="761" t="str">
        <f>IF(VLOOKUP(A8,'Revitalisation-Revitalisierung'!$A$4:$Z$275,23,FALSE)="","",VLOOKUP(A8,'Revitalisation-Revitalisierung'!$A$4:$Z$275,23,FALSE))</f>
        <v>c, e (Spalte T)</v>
      </c>
      <c r="BU8" s="699" t="str">
        <f>IF(VLOOKUP(A8,'Revitalisation-Revitalisierung'!$A$4:$Z$275,24,FALSE)="","",VLOOKUP(A8,'Revitalisation-Revitalisierung'!$A$4:$Z$275,24,FALSE))</f>
        <v>keine Massnahmen erforderlich, da seit 2002 der Auenwald nicht mehr vor der Thur geschützt ist
Einstufung: Farbe Blau</v>
      </c>
      <c r="BV8" s="761" t="str">
        <f>IF(VLOOKUP(A8,'Revitalisation-Revitalisierung'!$A$4:$Z$275,25,FALSE)="","",VLOOKUP(A8,'Revitalisation-Revitalisierung'!$A$4:$Z$275,25,FALSE))</f>
        <v>Non nécessaire / nicht nötig</v>
      </c>
      <c r="BW8" s="871" t="str">
        <f>IF(VLOOKUP(A8,'Revitalisation-Revitalisierung'!$A$4:$AA$275,27,FALSE)="","",VLOOKUP(A8,'Revitalisation-Revitalisierung'!$A$4:$AA$275,27,FALSE))</f>
        <v>b</v>
      </c>
    </row>
    <row r="9" spans="1:75" ht="69.599999999999994" customHeight="1" x14ac:dyDescent="0.25">
      <c r="A9" s="935">
        <v>7</v>
      </c>
      <c r="B9" s="856">
        <f>IF(VLOOKUP(A9,'Données de base - Grunddaten'!$A$2:$M$297,2,FALSE)="","",VLOOKUP(A9,'Données de base - Grunddaten'!$A$2:$M$297,2,FALSE))</f>
        <v>1</v>
      </c>
      <c r="C9" s="857" t="str">
        <f>IF(VLOOKUP(A9,'Données de base - Grunddaten'!$A$2:$M$297,3,FALSE)="","",VLOOKUP(A9,'Données de base - Grunddaten'!$A$2:$M$297,3,FALSE))</f>
        <v>Wuer</v>
      </c>
      <c r="D9" s="857" t="str">
        <f>IF(VLOOKUP(A9,'Données de base - Grunddaten'!$A$2:$M$297,4,FALSE)="","",VLOOKUP(A9,'Données de base - Grunddaten'!$A$2:$M$297,4,FALSE))</f>
        <v>Thur</v>
      </c>
      <c r="E9" s="857" t="str">
        <f>IF(VLOOKUP(A9,'Données de base - Grunddaten'!$A$2:$M$297,5,FALSE)="","",VLOOKUP(A9,'Données de base - Grunddaten'!$A$2:$M$297,5,FALSE))</f>
        <v>TG</v>
      </c>
      <c r="F9" s="857" t="str">
        <f>IF(VLOOKUP(A9,'Données de base - Grunddaten'!$A$2:$M$297,6,FALSE)="","",VLOOKUP(A9,'Données de base - Grunddaten'!$A$2:$M$297,6,FALSE))</f>
        <v>Bassins lémanique et rhénan</v>
      </c>
      <c r="G9" s="857" t="str">
        <f>IF(VLOOKUP(A9,'Données de base - Grunddaten'!$A$2:$M$297,7,FALSE)="","",VLOOKUP(A9,'Données de base - Grunddaten'!$A$2:$M$297,7,FALSE))</f>
        <v>Collinéen</v>
      </c>
      <c r="H9" s="857">
        <f>IF(VLOOKUP(A9,'Données de base - Grunddaten'!$A$2:$M$297,8,FALSE)="","",VLOOKUP(A9,'Données de base - Grunddaten'!$A$2:$M$297,8,FALSE))</f>
        <v>380</v>
      </c>
      <c r="I9" s="857">
        <f>IF(VLOOKUP(A9,'Données de base - Grunddaten'!$A$2:$M$297,9,FALSE)="","",VLOOKUP(A9,'Données de base - Grunddaten'!$A$2:$M$297,9,FALSE))</f>
        <v>1992</v>
      </c>
      <c r="J9" s="857">
        <f>IF(VLOOKUP(A9,'Données de base - Grunddaten'!$A$2:$M$297,10,FALSE)="","",VLOOKUP(A9,'Données de base - Grunddaten'!$A$2:$M$297,10,FALSE))</f>
        <v>52</v>
      </c>
      <c r="K9" s="857" t="str">
        <f>IF(VLOOKUP(A9,'Données de base - Grunddaten'!$A$2:$M$297,11,FALSE)="","",VLOOKUP(A9,'Données de base - Grunddaten'!$A$2:$M$297,11,FALSE))</f>
        <v>Cours d'eau corrigés de l'étage collinéen du Moyen-Pays</v>
      </c>
      <c r="L9" s="857" t="str">
        <f>IF(VLOOKUP(A9,'Données de base - Grunddaten'!$A$2:$M$297,12,FALSE)="","",VLOOKUP(A9,'Données de base - Grunddaten'!$A$2:$M$297,12,FALSE))</f>
        <v>en tresses</v>
      </c>
      <c r="M9" s="858" t="str">
        <f>IF(VLOOKUP(A9,'Données de base - Grunddaten'!$A$2:$M$297,13,FALSE)="","",VLOOKUP(A9,'Données de base - Grunddaten'!$A$2:$M$297,13,FALSE))</f>
        <v>cours rectiligne</v>
      </c>
      <c r="N9" s="872" t="str">
        <f>IF(VLOOKUP(A9,'Charriage - Geschiebehaushalt'!$A$4:$R$275,5,FALSE)="","",VLOOKUP(A9,'Charriage - Geschiebehaushalt'!$A$4:$R$275,5,FALSE))</f>
        <v>pertinent</v>
      </c>
      <c r="O9" s="873" t="str">
        <f>IF(VLOOKUP(A9,'Charriage - Geschiebehaushalt'!$A$4:$R$275,6,FALSE)="","",VLOOKUP(A9,'Charriage - Geschiebehaushalt'!$A$4:$R$275,6,FALSE))</f>
        <v>0-20%</v>
      </c>
      <c r="P9" s="874" t="str">
        <f>IF(VLOOKUP(A9,'Charriage - Geschiebehaushalt'!$A$4:$R$275,7,FALSE)="","",VLOOKUP(A9,'Charriage - Geschiebehaushalt'!$A$4:$R$275,7,FALSE))</f>
        <v/>
      </c>
      <c r="Q9" s="874" t="str">
        <f>IF(VLOOKUP(A9,'Charriage - Geschiebehaushalt'!$A$4:$R$275,8,FALSE)="","",VLOOKUP(A9,'Charriage - Geschiebehaushalt'!$A$4:$R$275,8,FALSE))</f>
        <v>non documenté</v>
      </c>
      <c r="R9" s="875">
        <f>IF(VLOOKUP(A9,'Charriage - Geschiebehaushalt'!$A$4:$R$275,9,FALSE)="","",VLOOKUP(A9,'Charriage - Geschiebehaushalt'!$A$4:$R$275,9,FALSE))</f>
        <v>0.79935935628404098</v>
      </c>
      <c r="S9" s="876" t="str">
        <f>IF(VLOOKUP(A9,'Charriage - Geschiebehaushalt'!$A$4:$R$275,10,FALSE)="","",VLOOKUP(A9,'Charriage - Geschiebehaushalt'!$A$4:$R$275,10,FALSE))</f>
        <v>la remobilisation des sédiments est perturbée</v>
      </c>
      <c r="T9" s="875">
        <f>IF(VLOOKUP(A9,'Charriage - Geschiebehaushalt'!$A$4:$R$275,11,FALSE)="","",VLOOKUP(A9,'Charriage - Geschiebehaushalt'!$A$4:$R$275,11,FALSE))</f>
        <v>6.3247062393E-2</v>
      </c>
      <c r="U9" s="876" t="str">
        <f>IF(VLOOKUP(A9,'Charriage - Geschiebehaushalt'!$A$4:$R$275,12,FALSE)="","",VLOOKUP(A9,'Charriage - Geschiebehaushalt'!$A$4:$R$275,12,FALSE))</f>
        <v>déficit dans les formations pionnières</v>
      </c>
      <c r="V9" s="877" t="str">
        <f>IF(VLOOKUP(A9,'Charriage - Geschiebehaushalt'!$A$4:$R$275,13,FALSE)="","",VLOOKUP(A9,'Charriage - Geschiebehaushalt'!$A$4:$R$275,13,FALSE))</f>
        <v/>
      </c>
      <c r="W9" s="877" t="str">
        <f>IF(VLOOKUP(A9,'Charriage - Geschiebehaushalt'!$A$4:$R$275,14,FALSE)="","",VLOOKUP(A9,'Charriage - Geschiebehaushalt'!$A$4:$R$275,14,FALSE))</f>
        <v/>
      </c>
      <c r="X9" s="877" t="str">
        <f>IF(VLOOKUP(A9,'Charriage - Geschiebehaushalt'!$A$4:$R$275,15,FALSE)="","",VLOOKUP(A9,'Charriage - Geschiebehaushalt'!$A$4:$R$275,15,FALSE))</f>
        <v/>
      </c>
      <c r="Y9" s="879" t="str">
        <f>IF(VLOOKUP(A9,'Charriage - Geschiebehaushalt'!$A$4:$R$275,16,FALSE)="","",VLOOKUP(A9,'Charriage - Geschiebehaushalt'!$A$4:$R$275,16,FALSE))</f>
        <v/>
      </c>
      <c r="Z9" s="763" t="str">
        <f>IF(VLOOKUP(A9,'Charriage - Geschiebehaushalt'!$A$4:$R$275,17,FALSE)="","",VLOOKUP(A9,'Charriage - Geschiebehaushalt'!$A$4:$R$275,17,FALSE))</f>
        <v>0-20%</v>
      </c>
      <c r="AA9" s="880" t="str">
        <f>IF(VLOOKUP(A9,'Charriage - Geschiebehaushalt'!$A$4:$R$275,18,FALSE)="","",VLOOKUP(A9,'Charriage - Geschiebehaushalt'!$A$4:$R$275,18,FALSE))</f>
        <v>a</v>
      </c>
      <c r="AB9" s="737" t="str">
        <f>IF(VLOOKUP(A9,'Charriage - Geschiebehaushalt'!$A$4:$AC$275,19,FALSE)="","",VLOOKUP(A9,'Charriage - Geschiebehaushalt'!$A$4:$AC$275,19,FALSE))</f>
        <v>gering</v>
      </c>
      <c r="AC9" s="738" t="str">
        <f>IF(VLOOKUP(A9,'Charriage - Geschiebehaushalt'!$A$4:$AC$275,20,FALSE)="","",VLOOKUP(A9,'Charriage - Geschiebehaushalt'!$A$4:$AC$275,20,FALSE))</f>
        <v>keine</v>
      </c>
      <c r="AD9" s="764" t="str">
        <f>IF(VLOOKUP(A9,'Charriage - Geschiebehaushalt'!$A$4:$AC$275,21,FALSE)="","",VLOOKUP(A9,'Charriage - Geschiebehaushalt'!$A$4:$AC$275,21,FALSE))</f>
        <v>21-50%</v>
      </c>
      <c r="AE9" s="740" t="str">
        <f>IF(VLOOKUP(A9,'Charriage - Geschiebehaushalt'!$A$4:$AC$275,22,FALSE)="","",VLOOKUP(A9,'Charriage - Geschiebehaushalt'!$A$4:$AC$275,22,FALSE))</f>
        <v>21-50%</v>
      </c>
      <c r="AF9" s="787" t="str">
        <f>IF(VLOOKUP(A9,'Charriage - Geschiebehaushalt'!$A$4:$AC$275,23,FALSE)="","",VLOOKUP(A9,'Charriage - Geschiebehaushalt'!$A$4:$AC$275,23,FALSE))</f>
        <v>c</v>
      </c>
      <c r="AG9" s="765" t="str">
        <f>IF(VLOOKUP(A9,'Charriage - Geschiebehaushalt'!$A$4:$AC$275,24,FALSE)="","",VLOOKUP(A9,'Charriage - Geschiebehaushalt'!$A$4:$AC$275,24,FALSE))</f>
        <v/>
      </c>
      <c r="AH9" s="764" t="str">
        <f>IF(VLOOKUP(A9,'Charriage - Geschiebehaushalt'!$A$4:$AC$275,25,FALSE)="","",VLOOKUP(A9,'Charriage - Geschiebehaushalt'!$A$4:$AC$275,25,FALSE))</f>
        <v/>
      </c>
      <c r="AI9" s="437" t="str">
        <f>IF(VLOOKUP(A9,'Charriage - Geschiebehaushalt'!$A$4:$AC$275,26,FALSE)="","",VLOOKUP(A9,'Charriage - Geschiebehaushalt'!$A$4:$AC$275,26,FALSE))</f>
        <v>Resultat Kanton gemäss strat.Planung: 0-20 % Geschiebedefizit, d.h. Farbe blau (Spalte V)
c, e (Spalte W)</v>
      </c>
      <c r="AJ9" s="436" t="str">
        <f>IF(VLOOKUP(A9,'Charriage - Geschiebehaushalt'!$A$4:$AC$275,27,FALSE)="","",VLOOKUP(A9,'Charriage - Geschiebehaushalt'!$A$4:$AC$275,27,FALSE))</f>
        <v>Massnahmen in Bezug auf Geschiebe werden im Rahmen der Ausarbeitung des Thurrichtprojektes (Stufe Machbarkeit) zur Zeit erarbeitet</v>
      </c>
      <c r="AK9" s="814" t="str">
        <f>IF(VLOOKUP(A9,'Charriage - Geschiebehaushalt'!$A$4:$AC$275,28,FALSE)="","",VLOOKUP(A9,'Charriage - Geschiebehaushalt'!$A$4:$AC$275,28,FALSE))</f>
        <v>0-20%</v>
      </c>
      <c r="AL9" s="1285" t="str">
        <f>IF(VLOOKUP(A9,'Charriage - Geschiebehaushalt'!$A$4:$AD$275,30,FALSE)="","",VLOOKUP(A9,'Charriage - Geschiebehaushalt'!$A$4:$AD$275,30,FALSE))</f>
        <v>a</v>
      </c>
      <c r="AM9" s="1279" t="str">
        <f>IF(VLOOKUP(A9,'Débit - Abfluss'!$A$4:$K$275,5,FALSE)="","",VLOOKUP(A9,'Débit - Abfluss'!$A$4:$M$275,5,FALSE))</f>
        <v>100%</v>
      </c>
      <c r="AN9" s="883" t="str">
        <f>IF(VLOOKUP(A9,'Débit - Abfluss'!$A$4:$K$275,6,FALSE)="","",VLOOKUP(A9,'Débit - Abfluss'!$A$4:$M$275,6,FALSE))</f>
        <v>aucune information supplémentaire</v>
      </c>
      <c r="AO9" s="884" t="str">
        <f>IF(VLOOKUP(A9,'Débit - Abfluss'!$A$4:$K$275,7,FALSE)="","",VLOOKUP(A9,'Débit - Abfluss'!$A$4:$M$275,7,FALSE))</f>
        <v>aucune information supplémentaire</v>
      </c>
      <c r="AP9" s="766" t="str">
        <f>IF(VLOOKUP(A9,'Débit - Abfluss'!$A$4:$K$275,8,FALSE)="","",VLOOKUP(A9,'Débit - Abfluss'!$A$4:$M$275,8,FALSE))</f>
        <v>100%</v>
      </c>
      <c r="AQ9" s="742" t="str">
        <f>IF(VLOOKUP(A9,'Débit - Abfluss'!$A$4:$K$275,9,FALSE)="","",VLOOKUP(A9,'Débit - Abfluss'!$A$4:$M$275,9,FALSE))</f>
        <v>-</v>
      </c>
      <c r="AR9" s="767" t="str">
        <f>IF(VLOOKUP(A9,'Débit - Abfluss'!$A$4:$K$275,10,FALSE)="","",VLOOKUP(A9,'Débit - Abfluss'!$A$4:$M$275,10,FALSE))</f>
        <v>100%</v>
      </c>
      <c r="AS9" s="767" t="str">
        <f>IF(VLOOKUP(A9,'Débit - Abfluss'!$A$4:$K$275,11,FALSE)="","",VLOOKUP(A9,'Débit - Abfluss'!$A$4:$M$275,11,FALSE))</f>
        <v/>
      </c>
      <c r="AT9" s="744" t="str">
        <f>IF(VLOOKUP(A9,'Débit - Abfluss'!$A$4:$Q$275,12,FALSE)="","",VLOOKUP(A9,'Débit - Abfluss'!$A$4:$Q$275,12,FALSE))</f>
        <v/>
      </c>
      <c r="AU9" s="745" t="str">
        <f>IF(VLOOKUP(A9,'Débit - Abfluss'!$A$4:$Q$275,13,FALSE)="","",VLOOKUP(A9,'Débit - Abfluss'!$A$4:$Q$275,13,FALSE))</f>
        <v/>
      </c>
      <c r="AV9" s="746" t="str">
        <f>IF(VLOOKUP(A9,'Débit - Abfluss'!$A$4:$Q$275,14,FALSE)="","",VLOOKUP(A9,'Débit - Abfluss'!$A$4:$Q$275,14,FALSE))</f>
        <v/>
      </c>
      <c r="AW9" s="768" t="str">
        <f>IF(VLOOKUP(A9,'Débit - Abfluss'!$A$4:$Q$275,15,FALSE)="","",VLOOKUP(A9,'Débit - Abfluss'!$A$4:$Q$275,15,FALSE))</f>
        <v/>
      </c>
      <c r="AX9" s="677" t="str">
        <f>IF(VLOOKUP(A9,'Débit - Abfluss'!$A$4:$Q$275,16,FALSE)="","",VLOOKUP(A9,'Débit - Abfluss'!$A$4:$Q$275,16,FALSE))</f>
        <v/>
      </c>
      <c r="AY9" s="769" t="str">
        <f>IF(VLOOKUP(A9,'Débit - Abfluss'!$A$4:$Q$275,17,FALSE)="","",VLOOKUP(A9,'Débit - Abfluss'!$A$4:$Q$275,17,FALSE))</f>
        <v>100%</v>
      </c>
      <c r="AZ9" s="749" t="str">
        <f>IF(VLOOKUP(A9,'Eclusée - Schwall-Sunk'!$A$2:$F$273,5,FALSE)="","",VLOOKUP(A9,'Eclusée - Schwall-Sunk'!$A$2:$F$273,5,FALSE))</f>
        <v/>
      </c>
      <c r="BA9" s="750" t="str">
        <f>IF(VLOOKUP(A9,'Eclusée - Schwall-Sunk'!$A$2:$F$273,6,FALSE)="","",VLOOKUP(A9,'Eclusée - Schwall-Sunk'!$A$2:$F$273,6,FALSE))</f>
        <v>Potentiellement affecté mais non plausible / möglicherweise betroffen aber nicht nachweisbar</v>
      </c>
      <c r="BB9" s="751">
        <f>IF(VLOOKUP(A9,'Revitalisation-Revitalisierung'!$A$4:$Z$275,5,FALSE)="","",VLOOKUP(A9,'Revitalisation-Revitalisierung'!$A$4:$Z$275,5,FALSE))</f>
        <v>60.281818181818181</v>
      </c>
      <c r="BC9" s="752">
        <f>IF(VLOOKUP(A9,'Revitalisation-Revitalisierung'!$A$4:$Z$275,6,FALSE)="","",VLOOKUP(A9,'Revitalisation-Revitalisierung'!$A$4:$Z$275,6,FALSE))</f>
        <v>77.128372535204647</v>
      </c>
      <c r="BD9" s="752">
        <f>IF(VLOOKUP(A9,'Revitalisation-Revitalisierung'!$A$4:$Z$275,7,FALSE)="","",VLOOKUP(A9,'Revitalisation-Revitalisierung'!$A$4:$Z$275,7,FALSE))</f>
        <v>16.818181818181817</v>
      </c>
      <c r="BE9" s="753" t="str">
        <f>IF(VLOOKUP(A9,'Revitalisation-Revitalisierung'!$A$4:$Z$275,8,FALSE)="","",VLOOKUP(A9,'Revitalisation-Revitalisierung'!$A$4:$Z$275,8,FALSE))</f>
        <v>très nécessaire, facile</v>
      </c>
      <c r="BF9" s="754" t="str">
        <f>IF(VLOOKUP(A9,'Revitalisation-Revitalisierung'!$A$4:$Z$275,9,FALSE)="","",VLOOKUP(A9,'Revitalisation-Revitalisierung'!$A$4:$Z$275,9,FALSE))</f>
        <v/>
      </c>
      <c r="BG9" s="754" t="str">
        <f>IF(VLOOKUP(A9,'Revitalisation-Revitalisierung'!$A$4:$Z$275,10,FALSE)="","",VLOOKUP(A9,'Revitalisation-Revitalisierung'!$A$4:$Z$275,10,FALSE))</f>
        <v>K2</v>
      </c>
      <c r="BH9" s="755" t="str">
        <f>IF(VLOOKUP(A9,'Revitalisation-Revitalisierung'!$A$4:$Z$275,11,FALSE)="","",VLOOKUP(A9,'Revitalisation-Revitalisierung'!$A$4:$Z$275,11,FALSE))</f>
        <v/>
      </c>
      <c r="BI9" s="756" t="str">
        <f>IF(VLOOKUP(A9,'Revitalisation-Revitalisierung'!$A$4:$Z$275,12,FALSE)="","",VLOOKUP(A9,'Revitalisation-Revitalisierung'!$A$4:$Z$275,12,FALSE))</f>
        <v/>
      </c>
      <c r="BJ9" s="757" t="str">
        <f>IF(VLOOKUP(A9,'Revitalisation-Revitalisierung'!$A$4:$Z$275,13,FALSE)="","",VLOOKUP(A9,'Revitalisation-Revitalisierung'!$A$4:$Z$275,13,FALSE))</f>
        <v>Très nécessaire, facile / unbedingt nötig, einfach</v>
      </c>
      <c r="BK9" s="870" t="str">
        <f>IF(VLOOKUP(A9,'Revitalisation-Revitalisierung'!$A$4:$Z$275,14,FALSE)="","",VLOOKUP(A9,'Revitalisation-Revitalisierung'!$A$4:$Z$275,14,FALSE))</f>
        <v>a</v>
      </c>
      <c r="BL9" s="758" t="str">
        <f>IF(VLOOKUP(A9,'Revitalisation-Revitalisierung'!$A$4:$Z$275,15,FALSE)="","",VLOOKUP(A9,'Revitalisation-Revitalisierung'!$A$4:$Z$275,15,FALSE))</f>
        <v>gross/mittel</v>
      </c>
      <c r="BM9" s="759" t="str">
        <f>IF(VLOOKUP(A9,'Revitalisation-Revitalisierung'!$A$4:$Z$275,16,FALSE)="","",VLOOKUP(A9,'Revitalisation-Revitalisierung'!$A$4:$Z$275,16,FALSE))</f>
        <v>gross/mittel/gering/kein/nicht best.</v>
      </c>
      <c r="BN9" s="759" t="str">
        <f>IF(VLOOKUP(A9,'Revitalisation-Revitalisierung'!$A$4:$Z$275,17,FALSE)="","",VLOOKUP(A9,'Revitalisation-Revitalisierung'!$A$4:$Z$275,17,FALSE))</f>
        <v>keine Angaben</v>
      </c>
      <c r="BO9" s="760" t="str">
        <f>IF(VLOOKUP(A9,'Revitalisation-Revitalisierung'!$A$4:$Z$275,18,FALSE)="","",VLOOKUP(A9,'Revitalisation-Revitalisierung'!$A$4:$Z$275,18,FALSE))</f>
        <v>Très nécessaire, facile / unbedingt nötig, einfach</v>
      </c>
      <c r="BP9" s="761" t="str">
        <f>IF(VLOOKUP(A9,'Revitalisation-Revitalisierung'!$A$4:$Z$275,19,FALSE)="","",VLOOKUP(A9,'Revitalisation-Revitalisierung'!$A$4:$Z$275,19,FALSE))</f>
        <v>Très nécessaire, facile / unbedingt nötig, einfach</v>
      </c>
      <c r="BQ9" s="759" t="str">
        <f>IF(VLOOKUP(A9,'Revitalisation-Revitalisierung'!$A$4:$Z$275,20,FALSE)="","",VLOOKUP(A9,'Revitalisation-Revitalisierung'!$A$4:$Z$275,20,FALSE))</f>
        <v>d</v>
      </c>
      <c r="BR9" s="759" t="str">
        <f>IF(VLOOKUP(A9,'Revitalisation-Revitalisierung'!$A$4:$Z$275,21,FALSE)="","",VLOOKUP(A9,'Revitalisation-Revitalisierung'!$A$4:$Z$275,21,FALSE))</f>
        <v>mais pas de mesure prévue</v>
      </c>
      <c r="BS9" s="762" t="str">
        <f>IF(VLOOKUP(A9,'Revitalisation-Revitalisierung'!$A$4:$Z$275,22,FALSE)="","",VLOOKUP(A9,'Revitalisation-Revitalisierung'!$A$4:$Z$275,22,FALSE))</f>
        <v/>
      </c>
      <c r="BT9" s="700" t="str">
        <f>IF(VLOOKUP(A9,'Revitalisation-Revitalisierung'!$A$4:$Z$275,23,FALSE)="","",VLOOKUP(A9,'Revitalisation-Revitalisierung'!$A$4:$Z$275,23,FALSE))</f>
        <v>c, e (Spalte T)</v>
      </c>
      <c r="BU9" s="699" t="str">
        <f>IF(VLOOKUP(A9,'Revitalisation-Revitalisierung'!$A$4:$Z$275,24,FALSE)="","",VLOOKUP(A9,'Revitalisation-Revitalisierung'!$A$4:$Z$275,24,FALSE))</f>
        <v>Revitalisierungsmassnahmen werden im Rahmen der Ausarbeitung des Thurrichtprojektes (Stufe Machbarkeit) zur Zeit erarbeitet</v>
      </c>
      <c r="BV9" s="761" t="str">
        <f>IF(VLOOKUP(A9,'Revitalisation-Revitalisierung'!$A$4:$Z$275,25,FALSE)="","",VLOOKUP(A9,'Revitalisation-Revitalisierung'!$A$4:$Z$275,25,FALSE))</f>
        <v>Très nécessaire, facile / unbedingt nötig, einfach</v>
      </c>
      <c r="BW9" s="871" t="str">
        <f>IF(VLOOKUP(A9,'Revitalisation-Revitalisierung'!$A$4:$AA$275,27,FALSE)="","",VLOOKUP(A9,'Revitalisation-Revitalisierung'!$A$4:$AA$275,27,FALSE))</f>
        <v>a</v>
      </c>
    </row>
    <row r="10" spans="1:75" ht="69.599999999999994" customHeight="1" x14ac:dyDescent="0.25">
      <c r="A10" s="935">
        <v>8</v>
      </c>
      <c r="B10" s="856">
        <f>IF(VLOOKUP(A10,'Données de base - Grunddaten'!$A$2:$M$297,2,FALSE)="","",VLOOKUP(A10,'Données de base - Grunddaten'!$A$2:$M$297,2,FALSE))</f>
        <v>1</v>
      </c>
      <c r="C10" s="857" t="str">
        <f>IF(VLOOKUP(A10,'Données de base - Grunddaten'!$A$2:$M$297,3,FALSE)="","",VLOOKUP(A10,'Données de base - Grunddaten'!$A$2:$M$297,3,FALSE))</f>
        <v>Hau–Äuli</v>
      </c>
      <c r="D10" s="857" t="str">
        <f>IF(VLOOKUP(A10,'Données de base - Grunddaten'!$A$2:$M$297,4,FALSE)="","",VLOOKUP(A10,'Données de base - Grunddaten'!$A$2:$M$297,4,FALSE))</f>
        <v>Murg, Thur</v>
      </c>
      <c r="E10" s="857" t="str">
        <f>IF(VLOOKUP(A10,'Données de base - Grunddaten'!$A$2:$M$297,5,FALSE)="","",VLOOKUP(A10,'Données de base - Grunddaten'!$A$2:$M$297,5,FALSE))</f>
        <v>TG</v>
      </c>
      <c r="F10" s="857" t="str">
        <f>IF(VLOOKUP(A10,'Données de base - Grunddaten'!$A$2:$M$297,6,FALSE)="","",VLOOKUP(A10,'Données de base - Grunddaten'!$A$2:$M$297,6,FALSE))</f>
        <v>Bassins lémanique et rhénan</v>
      </c>
      <c r="G10" s="857" t="str">
        <f>IF(VLOOKUP(A10,'Données de base - Grunddaten'!$A$2:$M$297,7,FALSE)="","",VLOOKUP(A10,'Données de base - Grunddaten'!$A$2:$M$297,7,FALSE))</f>
        <v>Collinéen</v>
      </c>
      <c r="H10" s="857">
        <f>IF(VLOOKUP(A10,'Données de base - Grunddaten'!$A$2:$M$297,8,FALSE)="","",VLOOKUP(A10,'Données de base - Grunddaten'!$A$2:$M$297,8,FALSE))</f>
        <v>390</v>
      </c>
      <c r="I10" s="857">
        <f>IF(VLOOKUP(A10,'Données de base - Grunddaten'!$A$2:$M$297,9,FALSE)="","",VLOOKUP(A10,'Données de base - Grunddaten'!$A$2:$M$297,9,FALSE))</f>
        <v>1992</v>
      </c>
      <c r="J10" s="857">
        <f>IF(VLOOKUP(A10,'Données de base - Grunddaten'!$A$2:$M$297,10,FALSE)="","",VLOOKUP(A10,'Données de base - Grunddaten'!$A$2:$M$297,10,FALSE))</f>
        <v>52</v>
      </c>
      <c r="K10" s="857" t="str">
        <f>IF(VLOOKUP(A10,'Données de base - Grunddaten'!$A$2:$M$297,11,FALSE)="","",VLOOKUP(A10,'Données de base - Grunddaten'!$A$2:$M$297,11,FALSE))</f>
        <v>Cours d'eau corrigés de l'étage collinéen du Moyen-Pays</v>
      </c>
      <c r="L10" s="857" t="str">
        <f>IF(VLOOKUP(A10,'Données de base - Grunddaten'!$A$2:$M$297,12,FALSE)="","",VLOOKUP(A10,'Données de base - Grunddaten'!$A$2:$M$297,12,FALSE))</f>
        <v>en tresses</v>
      </c>
      <c r="M10" s="858" t="str">
        <f>IF(VLOOKUP(A10,'Données de base - Grunddaten'!$A$2:$M$297,13,FALSE)="","",VLOOKUP(A10,'Données de base - Grunddaten'!$A$2:$M$297,13,FALSE))</f>
        <v>cours rectiligne</v>
      </c>
      <c r="N10" s="872" t="str">
        <f>IF(VLOOKUP(A10,'Charriage - Geschiebehaushalt'!$A$4:$R$275,5,FALSE)="","",VLOOKUP(A10,'Charriage - Geschiebehaushalt'!$A$4:$R$275,5,FALSE))</f>
        <v>pertinent</v>
      </c>
      <c r="O10" s="873" t="str">
        <f>IF(VLOOKUP(A10,'Charriage - Geschiebehaushalt'!$A$4:$R$275,6,FALSE)="","",VLOOKUP(A10,'Charriage - Geschiebehaushalt'!$A$4:$R$275,6,FALSE))</f>
        <v>0-20%</v>
      </c>
      <c r="P10" s="874" t="str">
        <f>IF(VLOOKUP(A10,'Charriage - Geschiebehaushalt'!$A$4:$R$275,7,FALSE)="","",VLOOKUP(A10,'Charriage - Geschiebehaushalt'!$A$4:$R$275,7,FALSE))</f>
        <v/>
      </c>
      <c r="Q10" s="874" t="str">
        <f>IF(VLOOKUP(A10,'Charriage - Geschiebehaushalt'!$A$4:$R$275,8,FALSE)="","",VLOOKUP(A10,'Charriage - Geschiebehaushalt'!$A$4:$R$275,8,FALSE))</f>
        <v>non documenté</v>
      </c>
      <c r="R10" s="875">
        <f>IF(VLOOKUP(A10,'Charriage - Geschiebehaushalt'!$A$4:$R$275,9,FALSE)="","",VLOOKUP(A10,'Charriage - Geschiebehaushalt'!$A$4:$R$275,9,FALSE))</f>
        <v>1.7452076915558901</v>
      </c>
      <c r="S10" s="876" t="str">
        <f>IF(VLOOKUP(A10,'Charriage - Geschiebehaushalt'!$A$4:$R$275,10,FALSE)="","",VLOOKUP(A10,'Charriage - Geschiebehaushalt'!$A$4:$R$275,10,FALSE))</f>
        <v>la remobilisation des sédiments est perturbée</v>
      </c>
      <c r="T10" s="875">
        <f>IF(VLOOKUP(A10,'Charriage - Geschiebehaushalt'!$A$4:$R$275,11,FALSE)="","",VLOOKUP(A10,'Charriage - Geschiebehaushalt'!$A$4:$R$275,11,FALSE))</f>
        <v>6.5745757917999997E-2</v>
      </c>
      <c r="U10" s="876" t="str">
        <f>IF(VLOOKUP(A10,'Charriage - Geschiebehaushalt'!$A$4:$R$275,12,FALSE)="","",VLOOKUP(A10,'Charriage - Geschiebehaushalt'!$A$4:$R$275,12,FALSE))</f>
        <v>déficit dans les formations pionnières</v>
      </c>
      <c r="V10" s="877" t="str">
        <f>IF(VLOOKUP(A10,'Charriage - Geschiebehaushalt'!$A$4:$R$275,13,FALSE)="","",VLOOKUP(A10,'Charriage - Geschiebehaushalt'!$A$4:$R$275,13,FALSE))</f>
        <v/>
      </c>
      <c r="W10" s="877" t="str">
        <f>IF(VLOOKUP(A10,'Charriage - Geschiebehaushalt'!$A$4:$R$275,14,FALSE)="","",VLOOKUP(A10,'Charriage - Geschiebehaushalt'!$A$4:$R$275,14,FALSE))</f>
        <v/>
      </c>
      <c r="X10" s="877" t="str">
        <f>IF(VLOOKUP(A10,'Charriage - Geschiebehaushalt'!$A$4:$R$275,15,FALSE)="","",VLOOKUP(A10,'Charriage - Geschiebehaushalt'!$A$4:$R$275,15,FALSE))</f>
        <v/>
      </c>
      <c r="Y10" s="879" t="str">
        <f>IF(VLOOKUP(A10,'Charriage - Geschiebehaushalt'!$A$4:$R$275,16,FALSE)="","",VLOOKUP(A10,'Charriage - Geschiebehaushalt'!$A$4:$R$275,16,FALSE))</f>
        <v/>
      </c>
      <c r="Z10" s="763" t="str">
        <f>IF(VLOOKUP(A10,'Charriage - Geschiebehaushalt'!$A$4:$R$275,17,FALSE)="","",VLOOKUP(A10,'Charriage - Geschiebehaushalt'!$A$4:$R$275,17,FALSE))</f>
        <v>0-20%</v>
      </c>
      <c r="AA10" s="880" t="str">
        <f>IF(VLOOKUP(A10,'Charriage - Geschiebehaushalt'!$A$4:$R$275,18,FALSE)="","",VLOOKUP(A10,'Charriage - Geschiebehaushalt'!$A$4:$R$275,18,FALSE))</f>
        <v>a</v>
      </c>
      <c r="AB10" s="737" t="str">
        <f>IF(VLOOKUP(A10,'Charriage - Geschiebehaushalt'!$A$4:$AC$275,19,FALSE)="","",VLOOKUP(A10,'Charriage - Geschiebehaushalt'!$A$4:$AC$275,19,FALSE))</f>
        <v>stark</v>
      </c>
      <c r="AC10" s="738" t="str">
        <f>IF(VLOOKUP(A10,'Charriage - Geschiebehaushalt'!$A$4:$AC$275,20,FALSE)="","",VLOOKUP(A10,'Charriage - Geschiebehaushalt'!$A$4:$AC$275,20,FALSE))</f>
        <v>keine</v>
      </c>
      <c r="AD10" s="764" t="str">
        <f>IF(VLOOKUP(A10,'Charriage - Geschiebehaushalt'!$A$4:$AC$275,21,FALSE)="","",VLOOKUP(A10,'Charriage - Geschiebehaushalt'!$A$4:$AC$275,21,FALSE))</f>
        <v>51-80%</v>
      </c>
      <c r="AE10" s="772" t="str">
        <f>IF(VLOOKUP(A10,'Charriage - Geschiebehaushalt'!$A$4:$AC$275,22,FALSE)="","",VLOOKUP(A10,'Charriage - Geschiebehaushalt'!$A$4:$AC$275,22,FALSE))</f>
        <v>51-80%</v>
      </c>
      <c r="AF10" s="787" t="str">
        <f>IF(VLOOKUP(A10,'Charriage - Geschiebehaushalt'!$A$4:$AC$275,23,FALSE)="","",VLOOKUP(A10,'Charriage - Geschiebehaushalt'!$A$4:$AC$275,23,FALSE))</f>
        <v>c</v>
      </c>
      <c r="AG10" s="765" t="str">
        <f>IF(VLOOKUP(A10,'Charriage - Geschiebehaushalt'!$A$4:$AC$275,24,FALSE)="","",VLOOKUP(A10,'Charriage - Geschiebehaushalt'!$A$4:$AC$275,24,FALSE))</f>
        <v/>
      </c>
      <c r="AH10" s="764" t="str">
        <f>IF(VLOOKUP(A10,'Charriage - Geschiebehaushalt'!$A$4:$AC$275,25,FALSE)="","",VLOOKUP(A10,'Charriage - Geschiebehaushalt'!$A$4:$AC$275,25,FALSE))</f>
        <v>X</v>
      </c>
      <c r="AI10" s="437" t="str">
        <f>IF(VLOOKUP(A10,'Charriage - Geschiebehaushalt'!$A$4:$AC$275,26,FALSE)="","",VLOOKUP(A10,'Charriage - Geschiebehaushalt'!$A$4:$AC$275,26,FALSE))</f>
        <v>Resultat Kanton gemäss strat.Planung: 0-20 % Geschiebedefizit, d.h. Farbe blau (Spalte V)
c, e (Spalte W)</v>
      </c>
      <c r="AJ10" s="443" t="str">
        <f>IF(VLOOKUP(A10,'Charriage - Geschiebehaushalt'!$A$4:$AC$275,27,FALSE)="","",VLOOKUP(A10,'Charriage - Geschiebehaushalt'!$A$4:$AC$275,27,FALSE))</f>
        <v>Massnahmen in Bezug auf Geschiebe werden im Rahmen der Ausarbeitung des Thurrichtprojektes (Stufe Machbarkeit) zur Zeit erarbeitet</v>
      </c>
      <c r="AK10" s="814" t="str">
        <f>IF(VLOOKUP(A10,'Charriage - Geschiebehaushalt'!$A$4:$AC$275,28,FALSE)="","",VLOOKUP(A10,'Charriage - Geschiebehaushalt'!$A$4:$AC$275,28,FALSE))</f>
        <v>0-20%</v>
      </c>
      <c r="AL10" s="1285" t="str">
        <f>IF(VLOOKUP(A10,'Charriage - Geschiebehaushalt'!$A$4:$AD$275,30,FALSE)="","",VLOOKUP(A10,'Charriage - Geschiebehaushalt'!$A$4:$AD$275,30,FALSE))</f>
        <v>a</v>
      </c>
      <c r="AM10" s="1279" t="str">
        <f>IF(VLOOKUP(A10,'Débit - Abfluss'!$A$4:$K$275,5,FALSE)="","",VLOOKUP(A10,'Débit - Abfluss'!$A$4:$M$275,5,FALSE))</f>
        <v>100%</v>
      </c>
      <c r="AN10" s="883" t="str">
        <f>IF(VLOOKUP(A10,'Débit - Abfluss'!$A$4:$K$275,6,FALSE)="","",VLOOKUP(A10,'Débit - Abfluss'!$A$4:$M$275,6,FALSE))</f>
        <v>aucune information supplémentaire</v>
      </c>
      <c r="AO10" s="884" t="str">
        <f>IF(VLOOKUP(A10,'Débit - Abfluss'!$A$4:$K$275,7,FALSE)="","",VLOOKUP(A10,'Débit - Abfluss'!$A$4:$M$275,7,FALSE))</f>
        <v>aucune information supplémentaire</v>
      </c>
      <c r="AP10" s="766" t="str">
        <f>IF(VLOOKUP(A10,'Débit - Abfluss'!$A$4:$K$275,8,FALSE)="","",VLOOKUP(A10,'Débit - Abfluss'!$A$4:$M$275,8,FALSE))</f>
        <v>100%</v>
      </c>
      <c r="AQ10" s="742" t="str">
        <f>IF(VLOOKUP(A10,'Débit - Abfluss'!$A$4:$K$275,9,FALSE)="","",VLOOKUP(A10,'Débit - Abfluss'!$A$4:$M$275,9,FALSE))</f>
        <v>-</v>
      </c>
      <c r="AR10" s="767" t="str">
        <f>IF(VLOOKUP(A10,'Débit - Abfluss'!$A$4:$K$275,10,FALSE)="","",VLOOKUP(A10,'Débit - Abfluss'!$A$4:$M$275,10,FALSE))</f>
        <v>100%</v>
      </c>
      <c r="AS10" s="767" t="str">
        <f>IF(VLOOKUP(A10,'Débit - Abfluss'!$A$4:$K$275,11,FALSE)="","",VLOOKUP(A10,'Débit - Abfluss'!$A$4:$M$275,11,FALSE))</f>
        <v/>
      </c>
      <c r="AT10" s="744" t="str">
        <f>IF(VLOOKUP(A10,'Débit - Abfluss'!$A$4:$Q$275,12,FALSE)="","",VLOOKUP(A10,'Débit - Abfluss'!$A$4:$Q$275,12,FALSE))</f>
        <v/>
      </c>
      <c r="AU10" s="745" t="str">
        <f>IF(VLOOKUP(A10,'Débit - Abfluss'!$A$4:$Q$275,13,FALSE)="","",VLOOKUP(A10,'Débit - Abfluss'!$A$4:$Q$275,13,FALSE))</f>
        <v/>
      </c>
      <c r="AV10" s="746" t="str">
        <f>IF(VLOOKUP(A10,'Débit - Abfluss'!$A$4:$Q$275,14,FALSE)="","",VLOOKUP(A10,'Débit - Abfluss'!$A$4:$Q$275,14,FALSE))</f>
        <v/>
      </c>
      <c r="AW10" s="768" t="str">
        <f>IF(VLOOKUP(A10,'Débit - Abfluss'!$A$4:$Q$275,15,FALSE)="","",VLOOKUP(A10,'Débit - Abfluss'!$A$4:$Q$275,15,FALSE))</f>
        <v/>
      </c>
      <c r="AX10" s="677" t="str">
        <f>IF(VLOOKUP(A10,'Débit - Abfluss'!$A$4:$Q$275,16,FALSE)="","",VLOOKUP(A10,'Débit - Abfluss'!$A$4:$Q$275,16,FALSE))</f>
        <v/>
      </c>
      <c r="AY10" s="769" t="str">
        <f>IF(VLOOKUP(A10,'Débit - Abfluss'!$A$4:$Q$275,17,FALSE)="","",VLOOKUP(A10,'Débit - Abfluss'!$A$4:$Q$275,17,FALSE))</f>
        <v>100%</v>
      </c>
      <c r="AZ10" s="749" t="str">
        <f>IF(VLOOKUP(A10,'Eclusée - Schwall-Sunk'!$A$2:$F$273,5,FALSE)="","",VLOOKUP(A10,'Eclusée - Schwall-Sunk'!$A$2:$F$273,5,FALSE))</f>
        <v/>
      </c>
      <c r="BA10" s="750" t="str">
        <f>IF(VLOOKUP(A10,'Eclusée - Schwall-Sunk'!$A$2:$F$273,6,FALSE)="","",VLOOKUP(A10,'Eclusée - Schwall-Sunk'!$A$2:$F$273,6,FALSE))</f>
        <v>Potentiellement affecté mais non plausible / möglicherweise betroffen aber nicht nachweisbar</v>
      </c>
      <c r="BB10" s="751">
        <f>IF(VLOOKUP(A10,'Revitalisation-Revitalisierung'!$A$4:$Z$275,5,FALSE)="","",VLOOKUP(A10,'Revitalisation-Revitalisierung'!$A$4:$Z$275,5,FALSE))</f>
        <v>77.727272727272734</v>
      </c>
      <c r="BC10" s="752">
        <f>IF(VLOOKUP(A10,'Revitalisation-Revitalisierung'!$A$4:$Z$275,6,FALSE)="","",VLOOKUP(A10,'Revitalisation-Revitalisierung'!$A$4:$Z$275,6,FALSE))</f>
        <v>79.964610661799071</v>
      </c>
      <c r="BD10" s="752">
        <f>IF(VLOOKUP(A10,'Revitalisation-Revitalisierung'!$A$4:$Z$275,7,FALSE)="","",VLOOKUP(A10,'Revitalisation-Revitalisierung'!$A$4:$Z$275,7,FALSE))</f>
        <v>2.2727272727272729</v>
      </c>
      <c r="BE10" s="753" t="str">
        <f>IF(VLOOKUP(A10,'Revitalisation-Revitalisierung'!$A$4:$Z$275,8,FALSE)="","",VLOOKUP(A10,'Revitalisation-Revitalisierung'!$A$4:$Z$275,8,FALSE))</f>
        <v>très nécessaire, facile</v>
      </c>
      <c r="BF10" s="754" t="str">
        <f>IF(VLOOKUP(A10,'Revitalisation-Revitalisierung'!$A$4:$Z$275,9,FALSE)="","",VLOOKUP(A10,'Revitalisation-Revitalisierung'!$A$4:$Z$275,9,FALSE))</f>
        <v/>
      </c>
      <c r="BG10" s="754" t="str">
        <f>IF(VLOOKUP(A10,'Revitalisation-Revitalisierung'!$A$4:$Z$275,10,FALSE)="","",VLOOKUP(A10,'Revitalisation-Revitalisierung'!$A$4:$Z$275,10,FALSE))</f>
        <v>K2</v>
      </c>
      <c r="BH10" s="755" t="str">
        <f>IF(VLOOKUP(A10,'Revitalisation-Revitalisierung'!$A$4:$Z$275,11,FALSE)="","",VLOOKUP(A10,'Revitalisation-Revitalisierung'!$A$4:$Z$275,11,FALSE))</f>
        <v/>
      </c>
      <c r="BI10" s="756" t="str">
        <f>IF(VLOOKUP(A10,'Revitalisation-Revitalisierung'!$A$4:$Z$275,12,FALSE)="","",VLOOKUP(A10,'Revitalisation-Revitalisierung'!$A$4:$Z$275,12,FALSE))</f>
        <v/>
      </c>
      <c r="BJ10" s="757" t="str">
        <f>IF(VLOOKUP(A10,'Revitalisation-Revitalisierung'!$A$4:$Z$275,13,FALSE)="","",VLOOKUP(A10,'Revitalisation-Revitalisierung'!$A$4:$Z$275,13,FALSE))</f>
        <v>Très nécessaire, facile / unbedingt nötig, einfach</v>
      </c>
      <c r="BK10" s="870" t="str">
        <f>IF(VLOOKUP(A10,'Revitalisation-Revitalisierung'!$A$4:$Z$275,14,FALSE)="","",VLOOKUP(A10,'Revitalisation-Revitalisierung'!$A$4:$Z$275,14,FALSE))</f>
        <v>a</v>
      </c>
      <c r="BL10" s="758" t="str">
        <f>IF(VLOOKUP(A10,'Revitalisation-Revitalisierung'!$A$4:$Z$275,15,FALSE)="","",VLOOKUP(A10,'Revitalisation-Revitalisierung'!$A$4:$Z$275,15,FALSE))</f>
        <v>gross</v>
      </c>
      <c r="BM10" s="759" t="str">
        <f>IF(VLOOKUP(A10,'Revitalisation-Revitalisierung'!$A$4:$Z$275,16,FALSE)="","",VLOOKUP(A10,'Revitalisation-Revitalisierung'!$A$4:$Z$275,16,FALSE))</f>
        <v>gross/mittel</v>
      </c>
      <c r="BN10" s="759" t="str">
        <f>IF(VLOOKUP(A10,'Revitalisation-Revitalisierung'!$A$4:$Z$275,17,FALSE)="","",VLOOKUP(A10,'Revitalisation-Revitalisierung'!$A$4:$Z$275,17,FALSE))</f>
        <v>keine Angaben</v>
      </c>
      <c r="BO10" s="760" t="str">
        <f>IF(VLOOKUP(A10,'Revitalisation-Revitalisierung'!$A$4:$Z$275,18,FALSE)="","",VLOOKUP(A10,'Revitalisation-Revitalisierung'!$A$4:$Z$275,18,FALSE))</f>
        <v>Très nécessaire, facile / unbedingt nötig, einfach</v>
      </c>
      <c r="BP10" s="761" t="str">
        <f>IF(VLOOKUP(A10,'Revitalisation-Revitalisierung'!$A$4:$Z$275,19,FALSE)="","",VLOOKUP(A10,'Revitalisation-Revitalisierung'!$A$4:$Z$275,19,FALSE))</f>
        <v>Très nécessaire, facile / unbedingt nötig, einfach</v>
      </c>
      <c r="BQ10" s="759" t="str">
        <f>IF(VLOOKUP(A10,'Revitalisation-Revitalisierung'!$A$4:$Z$275,20,FALSE)="","",VLOOKUP(A10,'Revitalisation-Revitalisierung'!$A$4:$Z$275,20,FALSE))</f>
        <v>d</v>
      </c>
      <c r="BR10" s="759" t="str">
        <f>IF(VLOOKUP(A10,'Revitalisation-Revitalisierung'!$A$4:$Z$275,21,FALSE)="","",VLOOKUP(A10,'Revitalisation-Revitalisierung'!$A$4:$Z$275,21,FALSE))</f>
        <v>mais pas de mesure prévue</v>
      </c>
      <c r="BS10" s="762" t="str">
        <f>IF(VLOOKUP(A10,'Revitalisation-Revitalisierung'!$A$4:$Z$275,22,FALSE)="","",VLOOKUP(A10,'Revitalisation-Revitalisierung'!$A$4:$Z$275,22,FALSE))</f>
        <v/>
      </c>
      <c r="BT10" s="700" t="str">
        <f>IF(VLOOKUP(A10,'Revitalisation-Revitalisierung'!$A$4:$Z$275,23,FALSE)="","",VLOOKUP(A10,'Revitalisation-Revitalisierung'!$A$4:$Z$275,23,FALSE))</f>
        <v>Resultat Kanton gemäss strat.Planung: Priorität "gross" (Spalte Q)
c, e (Spalte T)</v>
      </c>
      <c r="BU10" s="699" t="str">
        <f>IF(VLOOKUP(A10,'Revitalisation-Revitalisierung'!$A$4:$Z$275,24,FALSE)="","",VLOOKUP(A10,'Revitalisation-Revitalisierung'!$A$4:$Z$275,24,FALSE))</f>
        <v>Revitalisierungsmassnahmen werden im Rahmen der Ausarbeitung des Thurrichtprojektes (Stufe Machbarkeit) zur Zeit erarbeitet</v>
      </c>
      <c r="BV10" s="761" t="str">
        <f>IF(VLOOKUP(A10,'Revitalisation-Revitalisierung'!$A$4:$Z$275,25,FALSE)="","",VLOOKUP(A10,'Revitalisation-Revitalisierung'!$A$4:$Z$275,25,FALSE))</f>
        <v>Très nécessaire, facile / unbedingt nötig, einfach</v>
      </c>
      <c r="BW10" s="871" t="str">
        <f>IF(VLOOKUP(A10,'Revitalisation-Revitalisierung'!$A$4:$AA$275,27,FALSE)="","",VLOOKUP(A10,'Revitalisation-Revitalisierung'!$A$4:$AA$275,27,FALSE))</f>
        <v>a</v>
      </c>
    </row>
    <row r="11" spans="1:75" ht="91.15" customHeight="1" x14ac:dyDescent="0.25">
      <c r="A11" s="935">
        <v>9</v>
      </c>
      <c r="B11" s="856">
        <f>IF(VLOOKUP(A11,'Données de base - Grunddaten'!$A$2:$M$297,2,FALSE)="","",VLOOKUP(A11,'Données de base - Grunddaten'!$A$2:$M$297,2,FALSE))</f>
        <v>1</v>
      </c>
      <c r="C11" s="857" t="str">
        <f>IF(VLOOKUP(A11,'Données de base - Grunddaten'!$A$2:$M$297,3,FALSE)="","",VLOOKUP(A11,'Données de base - Grunddaten'!$A$2:$M$297,3,FALSE))</f>
        <v>Wyden bei Pfyn</v>
      </c>
      <c r="D11" s="857" t="str">
        <f>IF(VLOOKUP(A11,'Données de base - Grunddaten'!$A$2:$M$297,4,FALSE)="","",VLOOKUP(A11,'Données de base - Grunddaten'!$A$2:$M$297,4,FALSE))</f>
        <v>Thur</v>
      </c>
      <c r="E11" s="857" t="str">
        <f>IF(VLOOKUP(A11,'Données de base - Grunddaten'!$A$2:$M$297,5,FALSE)="","",VLOOKUP(A11,'Données de base - Grunddaten'!$A$2:$M$297,5,FALSE))</f>
        <v>TG</v>
      </c>
      <c r="F11" s="857" t="str">
        <f>IF(VLOOKUP(A11,'Données de base - Grunddaten'!$A$2:$M$297,6,FALSE)="","",VLOOKUP(A11,'Données de base - Grunddaten'!$A$2:$M$297,6,FALSE))</f>
        <v>Plateau oriental</v>
      </c>
      <c r="G11" s="857" t="str">
        <f>IF(VLOOKUP(A11,'Données de base - Grunddaten'!$A$2:$M$297,7,FALSE)="","",VLOOKUP(A11,'Données de base - Grunddaten'!$A$2:$M$297,7,FALSE))</f>
        <v>Collinéen</v>
      </c>
      <c r="H11" s="857">
        <f>IF(VLOOKUP(A11,'Données de base - Grunddaten'!$A$2:$M$297,8,FALSE)="","",VLOOKUP(A11,'Données de base - Grunddaten'!$A$2:$M$297,8,FALSE))</f>
        <v>400</v>
      </c>
      <c r="I11" s="857">
        <f>IF(VLOOKUP(A11,'Données de base - Grunddaten'!$A$2:$M$297,9,FALSE)="","",VLOOKUP(A11,'Données de base - Grunddaten'!$A$2:$M$297,9,FALSE))</f>
        <v>1992</v>
      </c>
      <c r="J11" s="857">
        <f>IF(VLOOKUP(A11,'Données de base - Grunddaten'!$A$2:$M$297,10,FALSE)="","",VLOOKUP(A11,'Données de base - Grunddaten'!$A$2:$M$297,10,FALSE))</f>
        <v>52</v>
      </c>
      <c r="K11" s="857" t="str">
        <f>IF(VLOOKUP(A11,'Données de base - Grunddaten'!$A$2:$M$297,11,FALSE)="","",VLOOKUP(A11,'Données de base - Grunddaten'!$A$2:$M$297,11,FALSE))</f>
        <v>Cours d'eau corrigés de l'étage collinéen du Moyen-Pays</v>
      </c>
      <c r="L11" s="857" t="str">
        <f>IF(VLOOKUP(A11,'Données de base - Grunddaten'!$A$2:$M$297,12,FALSE)="","",VLOOKUP(A11,'Données de base - Grunddaten'!$A$2:$M$297,12,FALSE))</f>
        <v>en tresses</v>
      </c>
      <c r="M11" s="858" t="str">
        <f>IF(VLOOKUP(A11,'Données de base - Grunddaten'!$A$2:$M$297,13,FALSE)="","",VLOOKUP(A11,'Données de base - Grunddaten'!$A$2:$M$297,13,FALSE))</f>
        <v>cours rectiligne</v>
      </c>
      <c r="N11" s="872" t="str">
        <f>IF(VLOOKUP(A11,'Charriage - Geschiebehaushalt'!$A$4:$R$275,5,FALSE)="","",VLOOKUP(A11,'Charriage - Geschiebehaushalt'!$A$4:$R$275,5,FALSE))</f>
        <v>pertinent</v>
      </c>
      <c r="O11" s="873" t="str">
        <f>IF(VLOOKUP(A11,'Charriage - Geschiebehaushalt'!$A$4:$R$275,6,FALSE)="","",VLOOKUP(A11,'Charriage - Geschiebehaushalt'!$A$4:$R$275,6,FALSE))</f>
        <v>0-20%</v>
      </c>
      <c r="P11" s="874" t="str">
        <f>IF(VLOOKUP(A11,'Charriage - Geschiebehaushalt'!$A$4:$R$275,7,FALSE)="","",VLOOKUP(A11,'Charriage - Geschiebehaushalt'!$A$4:$R$275,7,FALSE))</f>
        <v/>
      </c>
      <c r="Q11" s="874" t="str">
        <f>IF(VLOOKUP(A11,'Charriage - Geschiebehaushalt'!$A$4:$R$275,8,FALSE)="","",VLOOKUP(A11,'Charriage - Geschiebehaushalt'!$A$4:$R$275,8,FALSE))</f>
        <v>non documenté</v>
      </c>
      <c r="R11" s="875">
        <f>IF(VLOOKUP(A11,'Charriage - Geschiebehaushalt'!$A$4:$R$275,9,FALSE)="","",VLOOKUP(A11,'Charriage - Geschiebehaushalt'!$A$4:$R$275,9,FALSE))</f>
        <v>1.6929716091413101</v>
      </c>
      <c r="S11" s="876" t="str">
        <f>IF(VLOOKUP(A11,'Charriage - Geschiebehaushalt'!$A$4:$R$275,10,FALSE)="","",VLOOKUP(A11,'Charriage - Geschiebehaushalt'!$A$4:$R$275,10,FALSE))</f>
        <v>la remobilisation des sédiments est perturbée</v>
      </c>
      <c r="T11" s="875">
        <f>IF(VLOOKUP(A11,'Charriage - Geschiebehaushalt'!$A$4:$R$275,11,FALSE)="","",VLOOKUP(A11,'Charriage - Geschiebehaushalt'!$A$4:$R$275,11,FALSE))</f>
        <v>9.3583705631000005E-2</v>
      </c>
      <c r="U11" s="876" t="str">
        <f>IF(VLOOKUP(A11,'Charriage - Geschiebehaushalt'!$A$4:$R$275,12,FALSE)="","",VLOOKUP(A11,'Charriage - Geschiebehaushalt'!$A$4:$R$275,12,FALSE))</f>
        <v>déficit dans les formations pionnières</v>
      </c>
      <c r="V11" s="877" t="str">
        <f>IF(VLOOKUP(A11,'Charriage - Geschiebehaushalt'!$A$4:$R$275,13,FALSE)="","",VLOOKUP(A11,'Charriage - Geschiebehaushalt'!$A$4:$R$275,13,FALSE))</f>
        <v/>
      </c>
      <c r="W11" s="877" t="str">
        <f>IF(VLOOKUP(A11,'Charriage - Geschiebehaushalt'!$A$4:$R$275,14,FALSE)="","",VLOOKUP(A11,'Charriage - Geschiebehaushalt'!$A$4:$R$275,14,FALSE))</f>
        <v/>
      </c>
      <c r="X11" s="877" t="str">
        <f>IF(VLOOKUP(A11,'Charriage - Geschiebehaushalt'!$A$4:$R$275,15,FALSE)="","",VLOOKUP(A11,'Charriage - Geschiebehaushalt'!$A$4:$R$275,15,FALSE))</f>
        <v/>
      </c>
      <c r="Y11" s="879" t="str">
        <f>IF(VLOOKUP(A11,'Charriage - Geschiebehaushalt'!$A$4:$R$275,16,FALSE)="","",VLOOKUP(A11,'Charriage - Geschiebehaushalt'!$A$4:$R$275,16,FALSE))</f>
        <v/>
      </c>
      <c r="Z11" s="763" t="str">
        <f>IF(VLOOKUP(A11,'Charriage - Geschiebehaushalt'!$A$4:$R$275,17,FALSE)="","",VLOOKUP(A11,'Charriage - Geschiebehaushalt'!$A$4:$R$275,17,FALSE))</f>
        <v>0-20%</v>
      </c>
      <c r="AA11" s="880" t="str">
        <f>IF(VLOOKUP(A11,'Charriage - Geschiebehaushalt'!$A$4:$R$275,18,FALSE)="","",VLOOKUP(A11,'Charriage - Geschiebehaushalt'!$A$4:$R$275,18,FALSE))</f>
        <v>a</v>
      </c>
      <c r="AB11" s="737" t="str">
        <f>IF(VLOOKUP(A11,'Charriage - Geschiebehaushalt'!$A$4:$AC$275,19,FALSE)="","",VLOOKUP(A11,'Charriage - Geschiebehaushalt'!$A$4:$AC$275,19,FALSE))</f>
        <v>gering</v>
      </c>
      <c r="AC11" s="738" t="str">
        <f>IF(VLOOKUP(A11,'Charriage - Geschiebehaushalt'!$A$4:$AC$275,20,FALSE)="","",VLOOKUP(A11,'Charriage - Geschiebehaushalt'!$A$4:$AC$275,20,FALSE))</f>
        <v>gering</v>
      </c>
      <c r="AD11" s="764" t="str">
        <f>IF(VLOOKUP(A11,'Charriage - Geschiebehaushalt'!$A$4:$AC$275,21,FALSE)="","",VLOOKUP(A11,'Charriage - Geschiebehaushalt'!$A$4:$AC$275,21,FALSE))</f>
        <v>21-50%</v>
      </c>
      <c r="AE11" s="740" t="str">
        <f>IF(VLOOKUP(A11,'Charriage - Geschiebehaushalt'!$A$4:$AC$275,22,FALSE)="","",VLOOKUP(A11,'Charriage - Geschiebehaushalt'!$A$4:$AC$275,22,FALSE))</f>
        <v>21-50%</v>
      </c>
      <c r="AF11" s="787" t="str">
        <f>IF(VLOOKUP(A11,'Charriage - Geschiebehaushalt'!$A$4:$AC$275,23,FALSE)="","",VLOOKUP(A11,'Charriage - Geschiebehaushalt'!$A$4:$AC$275,23,FALSE))</f>
        <v>c</v>
      </c>
      <c r="AG11" s="765" t="str">
        <f>IF(VLOOKUP(A11,'Charriage - Geschiebehaushalt'!$A$4:$AC$275,24,FALSE)="","",VLOOKUP(A11,'Charriage - Geschiebehaushalt'!$A$4:$AC$275,24,FALSE))</f>
        <v/>
      </c>
      <c r="AH11" s="764" t="str">
        <f>IF(VLOOKUP(A11,'Charriage - Geschiebehaushalt'!$A$4:$AC$275,25,FALSE)="","",VLOOKUP(A11,'Charriage - Geschiebehaushalt'!$A$4:$AC$275,25,FALSE))</f>
        <v/>
      </c>
      <c r="AI11" s="437" t="str">
        <f>IF(VLOOKUP(A11,'Charriage - Geschiebehaushalt'!$A$4:$AC$275,26,FALSE)="","",VLOOKUP(A11,'Charriage - Geschiebehaushalt'!$A$4:$AC$275,26,FALSE))</f>
        <v>Resultat Kanton gemäss strat.Planung: 0-20 % Geschiebedefizit, d.h. Farbe blau (Spalte V)
c, e (Spalte W)</v>
      </c>
      <c r="AJ11" s="436" t="str">
        <f>IF(VLOOKUP(A11,'Charriage - Geschiebehaushalt'!$A$4:$AC$275,27,FALSE)="","",VLOOKUP(A11,'Charriage - Geschiebehaushalt'!$A$4:$AC$275,27,FALSE))</f>
        <v>Massnahmen in Bezug auf Geschiebe werden im Rahmen der Ausarbeitung des Thurrichtprojektes (Stufe Machbarkeit) zur Zeit erarbeitet</v>
      </c>
      <c r="AK11" s="814" t="str">
        <f>IF(VLOOKUP(A11,'Charriage - Geschiebehaushalt'!$A$4:$AC$275,28,FALSE)="","",VLOOKUP(A11,'Charriage - Geschiebehaushalt'!$A$4:$AC$275,28,FALSE))</f>
        <v>0-20%</v>
      </c>
      <c r="AL11" s="1285" t="str">
        <f>IF(VLOOKUP(A11,'Charriage - Geschiebehaushalt'!$A$4:$AD$275,30,FALSE)="","",VLOOKUP(A11,'Charriage - Geschiebehaushalt'!$A$4:$AD$275,30,FALSE))</f>
        <v>a</v>
      </c>
      <c r="AM11" s="1279" t="str">
        <f>IF(VLOOKUP(A11,'Débit - Abfluss'!$A$4:$K$275,5,FALSE)="","",VLOOKUP(A11,'Débit - Abfluss'!$A$4:$M$275,5,FALSE))</f>
        <v>100%</v>
      </c>
      <c r="AN11" s="868" t="str">
        <f>IF(VLOOKUP(A11,'Débit - Abfluss'!$A$4:$K$275,6,FALSE)="","",VLOOKUP(A11,'Débit - Abfluss'!$A$4:$M$275,6,FALSE))</f>
        <v>10-50% (secteur amont : 0-20% du Qmoy, secteur aval : 100%)</v>
      </c>
      <c r="AO11" s="869" t="str">
        <f>IF(VLOOKUP(A11,'Débit - Abfluss'!$A$4:$K$275,7,FALSE)="","",VLOOKUP(A11,'Débit - Abfluss'!$A$4:$M$275,7,FALSE))</f>
        <v/>
      </c>
      <c r="AP11" s="766" t="str">
        <f>IF(VLOOKUP(A11,'Débit - Abfluss'!$A$4:$K$275,8,FALSE)="","",VLOOKUP(A11,'Débit - Abfluss'!$A$4:$M$275,8,FALSE))</f>
        <v>0-20%</v>
      </c>
      <c r="AQ11" s="678" t="str">
        <f>IF(VLOOKUP(A11,'Débit - Abfluss'!$A$4:$K$275,9,FALSE)="","",VLOOKUP(A11,'Débit - Abfluss'!$A$4:$M$275,9,FALSE))</f>
        <v>10-50%</v>
      </c>
      <c r="AR11" s="773" t="str">
        <f>IF(VLOOKUP(A11,'Débit - Abfluss'!$A$4:$K$275,10,FALSE)="","",VLOOKUP(A11,'Débit - Abfluss'!$A$4:$M$275,10,FALSE))</f>
        <v>0-20%</v>
      </c>
      <c r="AS11" s="773" t="str">
        <f>IF(VLOOKUP(A11,'Débit - Abfluss'!$A$4:$K$275,11,FALSE)="","",VLOOKUP(A11,'Débit - Abfluss'!$A$4:$M$275,11,FALSE))</f>
        <v>X</v>
      </c>
      <c r="AT11" s="774" t="str">
        <f>IF(VLOOKUP(A11,'Débit - Abfluss'!$A$4:$Q$275,12,FALSE)="","",VLOOKUP(A11,'Débit - Abfluss'!$A$4:$Q$275,12,FALSE))</f>
        <v>80 %</v>
      </c>
      <c r="AU11" s="768" t="str">
        <f>IF(VLOOKUP(A11,'Débit - Abfluss'!$A$4:$Q$275,13,FALSE)="","",VLOOKUP(A11,'Débit - Abfluss'!$A$4:$Q$275,13,FALSE))</f>
        <v>Liegt unterhalb Einmündung Unterwasserkanal in den Binnenkanal. Somit 100% Wassermenge in Bezug auf Binnenkanal.
Ein Teil der Gesamtfläche des Auenschutzperimeter grenzt jedoch an Thur mit Restwasser</v>
      </c>
      <c r="AV11" s="746" t="str">
        <f>IF(VLOOKUP(A11,'Débit - Abfluss'!$A$4:$Q$275,14,FALSE)="","",VLOOKUP(A11,'Débit - Abfluss'!$A$4:$Q$275,14,FALSE))</f>
        <v>TG-1771.28.07</v>
      </c>
      <c r="AW11" s="768" t="str">
        <f>IF(VLOOKUP(A11,'Débit - Abfluss'!$A$4:$Q$275,15,FALSE)="","",VLOOKUP(A11,'Débit - Abfluss'!$A$4:$Q$275,15,FALSE))</f>
        <v>Vigogne</v>
      </c>
      <c r="AX11" s="679" t="str">
        <f>IF(VLOOKUP(A11,'Débit - Abfluss'!$A$4:$Q$275,16,FALSE)="","",VLOOKUP(A11,'Débit - Abfluss'!$A$4:$Q$275,16,FALSE))</f>
        <v>Restwassersanierung in Berarbeitung</v>
      </c>
      <c r="AY11" s="769" t="str">
        <f>IF(VLOOKUP(A11,'Débit - Abfluss'!$A$4:$Q$275,17,FALSE)="","",VLOOKUP(A11,'Débit - Abfluss'!$A$4:$Q$275,17,FALSE))</f>
        <v>81-100%</v>
      </c>
      <c r="AZ11" s="749" t="str">
        <f>IF(VLOOKUP(A11,'Eclusée - Schwall-Sunk'!$A$2:$F$273,5,FALSE)="","",VLOOKUP(A11,'Eclusée - Schwall-Sunk'!$A$2:$F$273,5,FALSE))</f>
        <v>force hydraulique</v>
      </c>
      <c r="BA11" s="750" t="str">
        <f>IF(VLOOKUP(A11,'Eclusée - Schwall-Sunk'!$A$2:$F$273,6,FALSE)="","",VLOOKUP(A11,'Eclusée - Schwall-Sunk'!$A$2:$F$273,6,FALSE))</f>
        <v>Potentiellement affecté mais non plausible / möglicherweise betroffen aber nicht nachweisbar</v>
      </c>
      <c r="BB11" s="751">
        <f>IF(VLOOKUP(A11,'Revitalisation-Revitalisierung'!$A$4:$Z$275,5,FALSE)="","",VLOOKUP(A11,'Revitalisation-Revitalisierung'!$A$4:$Z$275,5,FALSE))</f>
        <v>71.772727272727266</v>
      </c>
      <c r="BC11" s="752">
        <f>IF(VLOOKUP(A11,'Revitalisation-Revitalisierung'!$A$4:$Z$275,6,FALSE)="","",VLOOKUP(A11,'Revitalisation-Revitalisierung'!$A$4:$Z$275,6,FALSE))</f>
        <v>79.522288424166661</v>
      </c>
      <c r="BD11" s="752">
        <f>IF(VLOOKUP(A11,'Revitalisation-Revitalisierung'!$A$4:$Z$275,7,FALSE)="","",VLOOKUP(A11,'Revitalisation-Revitalisierung'!$A$4:$Z$275,7,FALSE))</f>
        <v>7.7272727272727275</v>
      </c>
      <c r="BE11" s="753" t="str">
        <f>IF(VLOOKUP(A11,'Revitalisation-Revitalisierung'!$A$4:$Z$275,8,FALSE)="","",VLOOKUP(A11,'Revitalisation-Revitalisierung'!$A$4:$Z$275,8,FALSE))</f>
        <v>très nécessaire, facile</v>
      </c>
      <c r="BF11" s="754" t="str">
        <f>IF(VLOOKUP(A11,'Revitalisation-Revitalisierung'!$A$4:$Z$275,9,FALSE)="","",VLOOKUP(A11,'Revitalisation-Revitalisierung'!$A$4:$Z$275,9,FALSE))</f>
        <v/>
      </c>
      <c r="BG11" s="754" t="str">
        <f>IF(VLOOKUP(A11,'Revitalisation-Revitalisierung'!$A$4:$Z$275,10,FALSE)="","",VLOOKUP(A11,'Revitalisation-Revitalisierung'!$A$4:$Z$275,10,FALSE))</f>
        <v>K2</v>
      </c>
      <c r="BH11" s="755" t="str">
        <f>IF(VLOOKUP(A11,'Revitalisation-Revitalisierung'!$A$4:$Z$275,11,FALSE)="","",VLOOKUP(A11,'Revitalisation-Revitalisierung'!$A$4:$Z$275,11,FALSE))</f>
        <v/>
      </c>
      <c r="BI11" s="756" t="str">
        <f>IF(VLOOKUP(A11,'Revitalisation-Revitalisierung'!$A$4:$Z$275,12,FALSE)="","",VLOOKUP(A11,'Revitalisation-Revitalisierung'!$A$4:$Z$275,12,FALSE))</f>
        <v/>
      </c>
      <c r="BJ11" s="757" t="str">
        <f>IF(VLOOKUP(A11,'Revitalisation-Revitalisierung'!$A$4:$Z$275,13,FALSE)="","",VLOOKUP(A11,'Revitalisation-Revitalisierung'!$A$4:$Z$275,13,FALSE))</f>
        <v>Très nécessaire, facile / unbedingt nötig, einfach</v>
      </c>
      <c r="BK11" s="870" t="str">
        <f>IF(VLOOKUP(A11,'Revitalisation-Revitalisierung'!$A$4:$Z$275,14,FALSE)="","",VLOOKUP(A11,'Revitalisation-Revitalisierung'!$A$4:$Z$275,14,FALSE))</f>
        <v>a</v>
      </c>
      <c r="BL11" s="758" t="str">
        <f>IF(VLOOKUP(A11,'Revitalisation-Revitalisierung'!$A$4:$Z$275,15,FALSE)="","",VLOOKUP(A11,'Revitalisation-Revitalisierung'!$A$4:$Z$275,15,FALSE))</f>
        <v>gross/mittel</v>
      </c>
      <c r="BM11" s="759" t="str">
        <f>IF(VLOOKUP(A11,'Revitalisation-Revitalisierung'!$A$4:$Z$275,16,FALSE)="","",VLOOKUP(A11,'Revitalisation-Revitalisierung'!$A$4:$Z$275,16,FALSE))</f>
        <v>gross/mittel/gering</v>
      </c>
      <c r="BN11" s="759" t="str">
        <f>IF(VLOOKUP(A11,'Revitalisation-Revitalisierung'!$A$4:$Z$275,17,FALSE)="","",VLOOKUP(A11,'Revitalisation-Revitalisierung'!$A$4:$Z$275,17,FALSE))</f>
        <v>keine Angaben</v>
      </c>
      <c r="BO11" s="760" t="str">
        <f>IF(VLOOKUP(A11,'Revitalisation-Revitalisierung'!$A$4:$Z$275,18,FALSE)="","",VLOOKUP(A11,'Revitalisation-Revitalisierung'!$A$4:$Z$275,18,FALSE))</f>
        <v>Très nécessaire, facile / unbedingt nötig, einfach</v>
      </c>
      <c r="BP11" s="761" t="str">
        <f>IF(VLOOKUP(A11,'Revitalisation-Revitalisierung'!$A$4:$Z$275,19,FALSE)="","",VLOOKUP(A11,'Revitalisation-Revitalisierung'!$A$4:$Z$275,19,FALSE))</f>
        <v>Très nécessaire, facile / unbedingt nötig, einfach</v>
      </c>
      <c r="BQ11" s="759" t="str">
        <f>IF(VLOOKUP(A11,'Revitalisation-Revitalisierung'!$A$4:$Z$275,20,FALSE)="","",VLOOKUP(A11,'Revitalisation-Revitalisierung'!$A$4:$Z$275,20,FALSE))</f>
        <v>d</v>
      </c>
      <c r="BR11" s="759" t="str">
        <f>IF(VLOOKUP(A11,'Revitalisation-Revitalisierung'!$A$4:$Z$275,21,FALSE)="","",VLOOKUP(A11,'Revitalisation-Revitalisierung'!$A$4:$Z$275,21,FALSE))</f>
        <v/>
      </c>
      <c r="BS11" s="762" t="str">
        <f>IF(VLOOKUP(A11,'Revitalisation-Revitalisierung'!$A$4:$Z$275,22,FALSE)="","",VLOOKUP(A11,'Revitalisation-Revitalisierung'!$A$4:$Z$275,22,FALSE))</f>
        <v/>
      </c>
      <c r="BT11" s="700" t="str">
        <f>IF(VLOOKUP(A11,'Revitalisation-Revitalisierung'!$A$4:$Z$275,23,FALSE)="","",VLOOKUP(A11,'Revitalisation-Revitalisierung'!$A$4:$Z$275,23,FALSE))</f>
        <v>Resultat Kanton gemäss strat.Planung: Priorität "gross" (Spalte Q)
c, e (Spalte T)</v>
      </c>
      <c r="BU11" s="699" t="str">
        <f>IF(VLOOKUP(A11,'Revitalisation-Revitalisierung'!$A$4:$Z$275,24,FALSE)="","",VLOOKUP(A11,'Revitalisation-Revitalisierung'!$A$4:$Z$275,24,FALSE))</f>
        <v>Revitalisierungsmassnahmen werden im Rahmen der Ausarbeitung des Thurrichtprojektes (Stufe Machbarkeit) zur Zeit erarbeitet</v>
      </c>
      <c r="BV11" s="761" t="str">
        <f>IF(VLOOKUP(A11,'Revitalisation-Revitalisierung'!$A$4:$Z$275,25,FALSE)="","",VLOOKUP(A11,'Revitalisation-Revitalisierung'!$A$4:$Z$275,25,FALSE))</f>
        <v>Très nécessaire, facile / unbedingt nötig, einfach</v>
      </c>
      <c r="BW11" s="871" t="str">
        <f>IF(VLOOKUP(A11,'Revitalisation-Revitalisierung'!$A$4:$AA$275,27,FALSE)="","",VLOOKUP(A11,'Revitalisation-Revitalisierung'!$A$4:$AA$275,27,FALSE))</f>
        <v>a</v>
      </c>
    </row>
    <row r="12" spans="1:75" ht="56.45" customHeight="1" x14ac:dyDescent="0.25">
      <c r="A12" s="935">
        <v>11</v>
      </c>
      <c r="B12" s="856">
        <f>IF(VLOOKUP(A12,'Données de base - Grunddaten'!$A$2:$M$297,2,FALSE)="","",VLOOKUP(A12,'Données de base - Grunddaten'!$A$2:$M$297,2,FALSE))</f>
        <v>1</v>
      </c>
      <c r="C12" s="857" t="str">
        <f>IF(VLOOKUP(A12,'Données de base - Grunddaten'!$A$2:$M$297,3,FALSE)="","",VLOOKUP(A12,'Données de base - Grunddaten'!$A$2:$M$297,3,FALSE))</f>
        <v>Unteres Ghögg</v>
      </c>
      <c r="D12" s="857" t="str">
        <f>IF(VLOOKUP(A12,'Données de base - Grunddaten'!$A$2:$M$297,4,FALSE)="","",VLOOKUP(A12,'Données de base - Grunddaten'!$A$2:$M$297,4,FALSE))</f>
        <v>Thur</v>
      </c>
      <c r="E12" s="857" t="str">
        <f>IF(VLOOKUP(A12,'Données de base - Grunddaten'!$A$2:$M$297,5,FALSE)="","",VLOOKUP(A12,'Données de base - Grunddaten'!$A$2:$M$297,5,FALSE))</f>
        <v>TG</v>
      </c>
      <c r="F12" s="857" t="str">
        <f>IF(VLOOKUP(A12,'Données de base - Grunddaten'!$A$2:$M$297,6,FALSE)="","",VLOOKUP(A12,'Données de base - Grunddaten'!$A$2:$M$297,6,FALSE))</f>
        <v>Plateau oriental</v>
      </c>
      <c r="G12" s="857" t="str">
        <f>IF(VLOOKUP(A12,'Données de base - Grunddaten'!$A$2:$M$297,7,FALSE)="","",VLOOKUP(A12,'Données de base - Grunddaten'!$A$2:$M$297,7,FALSE))</f>
        <v>Collinéen</v>
      </c>
      <c r="H12" s="857">
        <f>IF(VLOOKUP(A12,'Données de base - Grunddaten'!$A$2:$M$297,8,FALSE)="","",VLOOKUP(A12,'Données de base - Grunddaten'!$A$2:$M$297,8,FALSE))</f>
        <v>465</v>
      </c>
      <c r="I12" s="857">
        <f>IF(VLOOKUP(A12,'Données de base - Grunddaten'!$A$2:$M$297,9,FALSE)="","",VLOOKUP(A12,'Données de base - Grunddaten'!$A$2:$M$297,9,FALSE))</f>
        <v>1992</v>
      </c>
      <c r="J12" s="857">
        <f>IF(VLOOKUP(A12,'Données de base - Grunddaten'!$A$2:$M$297,10,FALSE)="","",VLOOKUP(A12,'Données de base - Grunddaten'!$A$2:$M$297,10,FALSE))</f>
        <v>52</v>
      </c>
      <c r="K12" s="857" t="str">
        <f>IF(VLOOKUP(A12,'Données de base - Grunddaten'!$A$2:$M$297,11,FALSE)="","",VLOOKUP(A12,'Données de base - Grunddaten'!$A$2:$M$297,11,FALSE))</f>
        <v>Cours d'eau corrigés de l'étage collinéen du Moyen-Pays</v>
      </c>
      <c r="L12" s="857" t="str">
        <f>IF(VLOOKUP(A12,'Données de base - Grunddaten'!$A$2:$M$297,12,FALSE)="","",VLOOKUP(A12,'Données de base - Grunddaten'!$A$2:$M$297,12,FALSE))</f>
        <v>méandres développés</v>
      </c>
      <c r="M12" s="858" t="str">
        <f>IF(VLOOKUP(A12,'Données de base - Grunddaten'!$A$2:$M$297,13,FALSE)="","",VLOOKUP(A12,'Données de base - Grunddaten'!$A$2:$M$297,13,FALSE))</f>
        <v>méandres développés</v>
      </c>
      <c r="N12" s="872" t="str">
        <f>IF(VLOOKUP(A12,'Charriage - Geschiebehaushalt'!$A$4:$R$275,5,FALSE)="","",VLOOKUP(A12,'Charriage - Geschiebehaushalt'!$A$4:$R$275,5,FALSE))</f>
        <v>pertinent</v>
      </c>
      <c r="O12" s="873" t="str">
        <f>IF(VLOOKUP(A12,'Charriage - Geschiebehaushalt'!$A$4:$R$275,6,FALSE)="","",VLOOKUP(A12,'Charriage - Geschiebehaushalt'!$A$4:$R$275,6,FALSE))</f>
        <v>0-20%</v>
      </c>
      <c r="P12" s="874" t="str">
        <f>IF(VLOOKUP(A12,'Charriage - Geschiebehaushalt'!$A$4:$R$275,7,FALSE)="","",VLOOKUP(A12,'Charriage - Geschiebehaushalt'!$A$4:$R$275,7,FALSE))</f>
        <v/>
      </c>
      <c r="Q12" s="874" t="str">
        <f>IF(VLOOKUP(A12,'Charriage - Geschiebehaushalt'!$A$4:$R$275,8,FALSE)="","",VLOOKUP(A12,'Charriage - Geschiebehaushalt'!$A$4:$R$275,8,FALSE))</f>
        <v>non documenté</v>
      </c>
      <c r="R12" s="875">
        <f>IF(VLOOKUP(A12,'Charriage - Geschiebehaushalt'!$A$4:$R$275,9,FALSE)="","",VLOOKUP(A12,'Charriage - Geschiebehaushalt'!$A$4:$R$275,9,FALSE))</f>
        <v>0.69988986574356604</v>
      </c>
      <c r="S12" s="876" t="str">
        <f>IF(VLOOKUP(A12,'Charriage - Geschiebehaushalt'!$A$4:$R$275,10,FALSE)="","",VLOOKUP(A12,'Charriage - Geschiebehaushalt'!$A$4:$R$275,10,FALSE))</f>
        <v>la remobilisation des sédiments est perturbée</v>
      </c>
      <c r="T12" s="875">
        <f>IF(VLOOKUP(A12,'Charriage - Geschiebehaushalt'!$A$4:$R$275,11,FALSE)="","",VLOOKUP(A12,'Charriage - Geschiebehaushalt'!$A$4:$R$275,11,FALSE))</f>
        <v>5.3467492422000003E-2</v>
      </c>
      <c r="U12" s="876" t="str">
        <f>IF(VLOOKUP(A12,'Charriage - Geschiebehaushalt'!$A$4:$R$275,12,FALSE)="","",VLOOKUP(A12,'Charriage - Geschiebehaushalt'!$A$4:$R$275,12,FALSE))</f>
        <v>déficit dans les formations pionnières</v>
      </c>
      <c r="V12" s="877" t="str">
        <f>IF(VLOOKUP(A12,'Charriage - Geschiebehaushalt'!$A$4:$R$275,13,FALSE)="","",VLOOKUP(A12,'Charriage - Geschiebehaushalt'!$A$4:$R$275,13,FALSE))</f>
        <v/>
      </c>
      <c r="W12" s="877" t="str">
        <f>IF(VLOOKUP(A12,'Charriage - Geschiebehaushalt'!$A$4:$R$275,14,FALSE)="","",VLOOKUP(A12,'Charriage - Geschiebehaushalt'!$A$4:$R$275,14,FALSE))</f>
        <v/>
      </c>
      <c r="X12" s="877" t="str">
        <f>IF(VLOOKUP(A12,'Charriage - Geschiebehaushalt'!$A$4:$R$275,15,FALSE)="","",VLOOKUP(A12,'Charriage - Geschiebehaushalt'!$A$4:$R$275,15,FALSE))</f>
        <v/>
      </c>
      <c r="Y12" s="879" t="str">
        <f>IF(VLOOKUP(A12,'Charriage - Geschiebehaushalt'!$A$4:$R$275,16,FALSE)="","",VLOOKUP(A12,'Charriage - Geschiebehaushalt'!$A$4:$R$275,16,FALSE))</f>
        <v/>
      </c>
      <c r="Z12" s="763" t="str">
        <f>IF(VLOOKUP(A12,'Charriage - Geschiebehaushalt'!$A$4:$R$275,17,FALSE)="","",VLOOKUP(A12,'Charriage - Geschiebehaushalt'!$A$4:$R$275,17,FALSE))</f>
        <v>0-20%</v>
      </c>
      <c r="AA12" s="880" t="str">
        <f>IF(VLOOKUP(A12,'Charriage - Geschiebehaushalt'!$A$4:$R$275,18,FALSE)="","",VLOOKUP(A12,'Charriage - Geschiebehaushalt'!$A$4:$R$275,18,FALSE))</f>
        <v>a</v>
      </c>
      <c r="AB12" s="737" t="str">
        <f>IF(VLOOKUP(A12,'Charriage - Geschiebehaushalt'!$A$4:$AC$275,19,FALSE)="","",VLOOKUP(A12,'Charriage - Geschiebehaushalt'!$A$4:$AC$275,19,FALSE))</f>
        <v>gering</v>
      </c>
      <c r="AC12" s="738" t="str">
        <f>IF(VLOOKUP(A12,'Charriage - Geschiebehaushalt'!$A$4:$AC$275,20,FALSE)="","",VLOOKUP(A12,'Charriage - Geschiebehaushalt'!$A$4:$AC$275,20,FALSE))</f>
        <v>keine</v>
      </c>
      <c r="AD12" s="764" t="str">
        <f>IF(VLOOKUP(A12,'Charriage - Geschiebehaushalt'!$A$4:$AC$275,21,FALSE)="","",VLOOKUP(A12,'Charriage - Geschiebehaushalt'!$A$4:$AC$275,21,FALSE))</f>
        <v>21-50%</v>
      </c>
      <c r="AE12" s="740" t="str">
        <f>IF(VLOOKUP(A12,'Charriage - Geschiebehaushalt'!$A$4:$AC$275,22,FALSE)="","",VLOOKUP(A12,'Charriage - Geschiebehaushalt'!$A$4:$AC$275,22,FALSE))</f>
        <v>21-50%</v>
      </c>
      <c r="AF12" s="787" t="str">
        <f>IF(VLOOKUP(A12,'Charriage - Geschiebehaushalt'!$A$4:$AC$275,23,FALSE)="","",VLOOKUP(A12,'Charriage - Geschiebehaushalt'!$A$4:$AC$275,23,FALSE))</f>
        <v>c</v>
      </c>
      <c r="AG12" s="765" t="str">
        <f>IF(VLOOKUP(A12,'Charriage - Geschiebehaushalt'!$A$4:$AC$275,24,FALSE)="","",VLOOKUP(A12,'Charriage - Geschiebehaushalt'!$A$4:$AC$275,24,FALSE))</f>
        <v/>
      </c>
      <c r="AH12" s="764" t="str">
        <f>IF(VLOOKUP(A12,'Charriage - Geschiebehaushalt'!$A$4:$AC$275,25,FALSE)="","",VLOOKUP(A12,'Charriage - Geschiebehaushalt'!$A$4:$AC$275,25,FALSE))</f>
        <v/>
      </c>
      <c r="AI12" s="437" t="str">
        <f>IF(VLOOKUP(A12,'Charriage - Geschiebehaushalt'!$A$4:$AC$275,26,FALSE)="","",VLOOKUP(A12,'Charriage - Geschiebehaushalt'!$A$4:$AC$275,26,FALSE))</f>
        <v>Resultat Kanton gemäss strat.Planung: 0-20 % Geschiebedefizit, d.h. Farbe blau (Spalte V)
c, e (Spalte W)</v>
      </c>
      <c r="AJ12" s="436" t="str">
        <f>IF(VLOOKUP(A12,'Charriage - Geschiebehaushalt'!$A$4:$AC$275,27,FALSE)="","",VLOOKUP(A12,'Charriage - Geschiebehaushalt'!$A$4:$AC$275,27,FALSE))</f>
        <v>Massnahmen in Bezug auf Geschiebe werden im Rahmen der Ausarbeitung des Thurrichtprojektes (Stufe Machbarkeit) zur Zeit erarbeitet</v>
      </c>
      <c r="AK12" s="814" t="str">
        <f>IF(VLOOKUP(A12,'Charriage - Geschiebehaushalt'!$A$4:$AC$275,28,FALSE)="","",VLOOKUP(A12,'Charriage - Geschiebehaushalt'!$A$4:$AC$275,28,FALSE))</f>
        <v>0-20%</v>
      </c>
      <c r="AL12" s="1285" t="str">
        <f>IF(VLOOKUP(A12,'Charriage - Geschiebehaushalt'!$A$4:$AD$275,30,FALSE)="","",VLOOKUP(A12,'Charriage - Geschiebehaushalt'!$A$4:$AD$275,30,FALSE))</f>
        <v>a</v>
      </c>
      <c r="AM12" s="1279" t="str">
        <f>IF(VLOOKUP(A12,'Débit - Abfluss'!$A$4:$K$275,5,FALSE)="","",VLOOKUP(A12,'Débit - Abfluss'!$A$4:$M$275,5,FALSE))</f>
        <v>41-60%</v>
      </c>
      <c r="AN12" s="885" t="str">
        <f>IF(VLOOKUP(A12,'Débit - Abfluss'!$A$4:$K$275,6,FALSE)="","",VLOOKUP(A12,'Débit - Abfluss'!$A$4:$M$275,6,FALSE))</f>
        <v/>
      </c>
      <c r="AO12" s="869" t="str">
        <f>IF(VLOOKUP(A12,'Débit - Abfluss'!$A$4:$K$275,7,FALSE)="","",VLOOKUP(A12,'Débit - Abfluss'!$A$4:$M$275,7,FALSE))</f>
        <v/>
      </c>
      <c r="AP12" s="766" t="str">
        <f>IF(VLOOKUP(A12,'Débit - Abfluss'!$A$4:$K$275,8,FALSE)="","",VLOOKUP(A12,'Débit - Abfluss'!$A$4:$M$275,8,FALSE))</f>
        <v>41-60%</v>
      </c>
      <c r="AQ12" s="678" t="str">
        <f>IF(VLOOKUP(A12,'Débit - Abfluss'!$A$4:$K$275,9,FALSE)="","",VLOOKUP(A12,'Débit - Abfluss'!$A$4:$M$275,9,FALSE))</f>
        <v>&lt;10%</v>
      </c>
      <c r="AR12" s="770" t="str">
        <f>IF(VLOOKUP(A12,'Débit - Abfluss'!$A$4:$K$275,10,FALSE)="","",VLOOKUP(A12,'Débit - Abfluss'!$A$4:$M$275,10,FALSE))</f>
        <v>41-60%</v>
      </c>
      <c r="AS12" s="773" t="str">
        <f>IF(VLOOKUP(A12,'Débit - Abfluss'!$A$4:$K$275,11,FALSE)="","",VLOOKUP(A12,'Débit - Abfluss'!$A$4:$M$275,11,FALSE))</f>
        <v>X</v>
      </c>
      <c r="AT12" s="886" t="str">
        <f>IF(VLOOKUP(A12,'Débit - Abfluss'!$A$4:$Q$275,12,FALSE)="","",VLOOKUP(A12,'Débit - Abfluss'!$A$4:$Q$275,12,FALSE))</f>
        <v>41 - 60 %</v>
      </c>
      <c r="AU12" s="680" t="str">
        <f>IF(VLOOKUP(A12,'Débit - Abfluss'!$A$4:$Q$275,13,FALSE)="","",VLOOKUP(A12,'Débit - Abfluss'!$A$4:$Q$275,13,FALSE))</f>
        <v>neues Konzessionsgesuch</v>
      </c>
      <c r="AV12" s="746" t="str">
        <f>IF(VLOOKUP(A12,'Débit - Abfluss'!$A$4:$Q$275,14,FALSE)="","",VLOOKUP(A12,'Débit - Abfluss'!$A$4:$Q$275,14,FALSE))</f>
        <v>TG-3361.28.01</v>
      </c>
      <c r="AW12" s="768" t="str">
        <f>IF(VLOOKUP(A12,'Débit - Abfluss'!$A$4:$Q$275,15,FALSE)="","",VLOOKUP(A12,'Débit - Abfluss'!$A$4:$Q$275,15,FALSE))</f>
        <v>Bischofszell</v>
      </c>
      <c r="AX12" s="679" t="str">
        <f>IF(VLOOKUP(A12,'Débit - Abfluss'!$A$4:$Q$275,16,FALSE)="","",VLOOKUP(A12,'Débit - Abfluss'!$A$4:$Q$275,16,FALSE))</f>
        <v>Prüfung Konzessionsgesuch für den Ausbau der Wasserkraftnutzung.</v>
      </c>
      <c r="AY12" s="775" t="str">
        <f>IF(VLOOKUP(A12,'Débit - Abfluss'!$A$4:$Q$275,17,FALSE)="","",VLOOKUP(A12,'Débit - Abfluss'!$A$4:$Q$275,17,FALSE))</f>
        <v>41-60%</v>
      </c>
      <c r="AZ12" s="749" t="str">
        <f>IF(VLOOKUP(A12,'Eclusée - Schwall-Sunk'!$A$2:$F$273,5,FALSE)="","",VLOOKUP(A12,'Eclusée - Schwall-Sunk'!$A$2:$F$273,5,FALSE))</f>
        <v>force hydraulique</v>
      </c>
      <c r="BA12" s="750" t="str">
        <f>IF(VLOOKUP(A12,'Eclusée - Schwall-Sunk'!$A$2:$F$273,6,FALSE)="","",VLOOKUP(A12,'Eclusée - Schwall-Sunk'!$A$2:$F$273,6,FALSE))</f>
        <v>Non affecté / nicht betroffen</v>
      </c>
      <c r="BB12" s="751">
        <f>IF(VLOOKUP(A12,'Revitalisation-Revitalisierung'!$A$4:$Z$275,5,FALSE)="","",VLOOKUP(A12,'Revitalisation-Revitalisierung'!$A$4:$Z$275,5,FALSE))</f>
        <v>50.972727272727276</v>
      </c>
      <c r="BC12" s="752">
        <f>IF(VLOOKUP(A12,'Revitalisation-Revitalisierung'!$A$4:$Z$275,6,FALSE)="","",VLOOKUP(A12,'Revitalisation-Revitalisierung'!$A$4:$Z$275,6,FALSE))</f>
        <v>68.716973803390601</v>
      </c>
      <c r="BD12" s="752">
        <f>IF(VLOOKUP(A12,'Revitalisation-Revitalisierung'!$A$4:$Z$275,7,FALSE)="","",VLOOKUP(A12,'Revitalisation-Revitalisierung'!$A$4:$Z$275,7,FALSE))</f>
        <v>17.727272727272727</v>
      </c>
      <c r="BE12" s="753" t="str">
        <f>IF(VLOOKUP(A12,'Revitalisation-Revitalisierung'!$A$4:$Z$275,8,FALSE)="","",VLOOKUP(A12,'Revitalisation-Revitalisierung'!$A$4:$Z$275,8,FALSE))</f>
        <v>très nécessaire, facile</v>
      </c>
      <c r="BF12" s="754" t="str">
        <f>IF(VLOOKUP(A12,'Revitalisation-Revitalisierung'!$A$4:$Z$275,9,FALSE)="","",VLOOKUP(A12,'Revitalisation-Revitalisierung'!$A$4:$Z$275,9,FALSE))</f>
        <v/>
      </c>
      <c r="BG12" s="754" t="str">
        <f>IF(VLOOKUP(A12,'Revitalisation-Revitalisierung'!$A$4:$Z$275,10,FALSE)="","",VLOOKUP(A12,'Revitalisation-Revitalisierung'!$A$4:$Z$275,10,FALSE))</f>
        <v>K1</v>
      </c>
      <c r="BH12" s="755" t="str">
        <f>IF(VLOOKUP(A12,'Revitalisation-Revitalisierung'!$A$4:$Z$275,11,FALSE)="","",VLOOKUP(A12,'Revitalisation-Revitalisierung'!$A$4:$Z$275,11,FALSE))</f>
        <v/>
      </c>
      <c r="BI12" s="756" t="str">
        <f>IF(VLOOKUP(A12,'Revitalisation-Revitalisierung'!$A$4:$Z$275,12,FALSE)="","",VLOOKUP(A12,'Revitalisation-Revitalisierung'!$A$4:$Z$275,12,FALSE))</f>
        <v/>
      </c>
      <c r="BJ12" s="757" t="str">
        <f>IF(VLOOKUP(A12,'Revitalisation-Revitalisierung'!$A$4:$Z$275,13,FALSE)="","",VLOOKUP(A12,'Revitalisation-Revitalisierung'!$A$4:$Z$275,13,FALSE))</f>
        <v>Partiellement nécessaire, difficile</v>
      </c>
      <c r="BK12" s="870" t="str">
        <f>IF(VLOOKUP(A12,'Revitalisation-Revitalisierung'!$A$4:$Z$275,14,FALSE)="","",VLOOKUP(A12,'Revitalisation-Revitalisierung'!$A$4:$Z$275,14,FALSE))</f>
        <v>b</v>
      </c>
      <c r="BL12" s="758" t="str">
        <f>IF(VLOOKUP(A12,'Revitalisation-Revitalisierung'!$A$4:$Z$275,15,FALSE)="","",VLOOKUP(A12,'Revitalisation-Revitalisierung'!$A$4:$Z$275,15,FALSE))</f>
        <v>gross/mittel</v>
      </c>
      <c r="BM12" s="759" t="str">
        <f>IF(VLOOKUP(A12,'Revitalisation-Revitalisierung'!$A$4:$Z$275,16,FALSE)="","",VLOOKUP(A12,'Revitalisation-Revitalisierung'!$A$4:$Z$275,16,FALSE))</f>
        <v>gross/mittel/gering</v>
      </c>
      <c r="BN12" s="759" t="str">
        <f>IF(VLOOKUP(A12,'Revitalisation-Revitalisierung'!$A$4:$Z$275,17,FALSE)="","",VLOOKUP(A12,'Revitalisation-Revitalisierung'!$A$4:$Z$275,17,FALSE))</f>
        <v>keine Angaben</v>
      </c>
      <c r="BO12" s="760" t="str">
        <f>IF(VLOOKUP(A12,'Revitalisation-Revitalisierung'!$A$4:$Z$275,18,FALSE)="","",VLOOKUP(A12,'Revitalisation-Revitalisierung'!$A$4:$Z$275,18,FALSE))</f>
        <v>Partiellement nécessaire, difficile</v>
      </c>
      <c r="BP12" s="761" t="str">
        <f>IF(VLOOKUP(A12,'Revitalisation-Revitalisierung'!$A$4:$Z$275,19,FALSE)="","",VLOOKUP(A12,'Revitalisation-Revitalisierung'!$A$4:$Z$275,19,FALSE))</f>
        <v>Partiellement nécessaire, difficile</v>
      </c>
      <c r="BQ12" s="759" t="str">
        <f>IF(VLOOKUP(A12,'Revitalisation-Revitalisierung'!$A$4:$Z$275,20,FALSE)="","",VLOOKUP(A12,'Revitalisation-Revitalisierung'!$A$4:$Z$275,20,FALSE))</f>
        <v>d</v>
      </c>
      <c r="BR12" s="759" t="str">
        <f>IF(VLOOKUP(A12,'Revitalisation-Revitalisierung'!$A$4:$Z$275,21,FALSE)="","",VLOOKUP(A12,'Revitalisation-Revitalisierung'!$A$4:$Z$275,21,FALSE))</f>
        <v/>
      </c>
      <c r="BS12" s="762" t="str">
        <f>IF(VLOOKUP(A12,'Revitalisation-Revitalisierung'!$A$4:$Z$275,22,FALSE)="","",VLOOKUP(A12,'Revitalisation-Revitalisierung'!$A$4:$Z$275,22,FALSE))</f>
        <v/>
      </c>
      <c r="BT12" s="700" t="str">
        <f>IF(VLOOKUP(A12,'Revitalisation-Revitalisierung'!$A$4:$Z$275,23,FALSE)="","",VLOOKUP(A12,'Revitalisation-Revitalisierung'!$A$4:$Z$275,23,FALSE))</f>
        <v>c, e (Spalte T)</v>
      </c>
      <c r="BU12" s="699" t="str">
        <f>IF(VLOOKUP(A12,'Revitalisation-Revitalisierung'!$A$4:$Z$275,24,FALSE)="","",VLOOKUP(A12,'Revitalisation-Revitalisierung'!$A$4:$Z$275,24,FALSE))</f>
        <v>Revitalisierungsmassnahmen werden im Rahmen Prüfung eines eingereichten Konzessionsgesuches zur Wasserkraftnutzung zur Zeit diskutiert.</v>
      </c>
      <c r="BV12" s="757" t="str">
        <f>IF(VLOOKUP(A12,'Revitalisation-Revitalisierung'!$A$4:$Z$275,25,FALSE)="","",VLOOKUP(A12,'Revitalisation-Revitalisierung'!$A$4:$Z$275,25,FALSE))</f>
        <v>Partiellement nécessaire, difficile</v>
      </c>
      <c r="BW12" s="871" t="str">
        <f>IF(VLOOKUP(A12,'Revitalisation-Revitalisierung'!$A$4:$AA$275,27,FALSE)="","",VLOOKUP(A12,'Revitalisation-Revitalisierung'!$A$4:$AA$275,27,FALSE))</f>
        <v>a</v>
      </c>
    </row>
    <row r="13" spans="1:75" ht="72" customHeight="1" x14ac:dyDescent="0.25">
      <c r="A13" s="935">
        <v>12</v>
      </c>
      <c r="B13" s="856">
        <f>IF(VLOOKUP(A13,'Données de base - Grunddaten'!$A$2:$M$297,2,FALSE)="","",VLOOKUP(A13,'Données de base - Grunddaten'!$A$2:$M$297,2,FALSE))</f>
        <v>1</v>
      </c>
      <c r="C13" s="857" t="str">
        <f>IF(VLOOKUP(A13,'Données de base - Grunddaten'!$A$2:$M$297,3,FALSE)="","",VLOOKUP(A13,'Données de base - Grunddaten'!$A$2:$M$297,3,FALSE))</f>
        <v>Ghöggerhütte</v>
      </c>
      <c r="D13" s="857" t="str">
        <f>IF(VLOOKUP(A13,'Données de base - Grunddaten'!$A$2:$M$297,4,FALSE)="","",VLOOKUP(A13,'Données de base - Grunddaten'!$A$2:$M$297,4,FALSE))</f>
        <v>Thur</v>
      </c>
      <c r="E13" s="857" t="str">
        <f>IF(VLOOKUP(A13,'Données de base - Grunddaten'!$A$2:$M$297,5,FALSE)="","",VLOOKUP(A13,'Données de base - Grunddaten'!$A$2:$M$297,5,FALSE))</f>
        <v>SG/TG</v>
      </c>
      <c r="F13" s="857" t="str">
        <f>IF(VLOOKUP(A13,'Données de base - Grunddaten'!$A$2:$M$297,6,FALSE)="","",VLOOKUP(A13,'Données de base - Grunddaten'!$A$2:$M$297,6,FALSE))</f>
        <v>Plateau oriental</v>
      </c>
      <c r="G13" s="857" t="str">
        <f>IF(VLOOKUP(A13,'Données de base - Grunddaten'!$A$2:$M$297,7,FALSE)="","",VLOOKUP(A13,'Données de base - Grunddaten'!$A$2:$M$297,7,FALSE))</f>
        <v>Collinéen</v>
      </c>
      <c r="H13" s="857">
        <f>IF(VLOOKUP(A13,'Données de base - Grunddaten'!$A$2:$M$297,8,FALSE)="","",VLOOKUP(A13,'Données de base - Grunddaten'!$A$2:$M$297,8,FALSE))</f>
        <v>480</v>
      </c>
      <c r="I13" s="857">
        <f>IF(VLOOKUP(A13,'Données de base - Grunddaten'!$A$2:$M$297,9,FALSE)="","",VLOOKUP(A13,'Données de base - Grunddaten'!$A$2:$M$297,9,FALSE))</f>
        <v>1992</v>
      </c>
      <c r="J13" s="857">
        <f>IF(VLOOKUP(A13,'Données de base - Grunddaten'!$A$2:$M$297,10,FALSE)="","",VLOOKUP(A13,'Données de base - Grunddaten'!$A$2:$M$297,10,FALSE))</f>
        <v>52</v>
      </c>
      <c r="K13" s="857" t="str">
        <f>IF(VLOOKUP(A13,'Données de base - Grunddaten'!$A$2:$M$297,11,FALSE)="","",VLOOKUP(A13,'Données de base - Grunddaten'!$A$2:$M$297,11,FALSE))</f>
        <v>Cours d'eau corrigés de l'étage collinéen du Moyen-Pays</v>
      </c>
      <c r="L13" s="857" t="str">
        <f>IF(VLOOKUP(A13,'Données de base - Grunddaten'!$A$2:$M$297,12,FALSE)="","",VLOOKUP(A13,'Données de base - Grunddaten'!$A$2:$M$297,12,FALSE))</f>
        <v>méandres développés</v>
      </c>
      <c r="M13" s="858" t="str">
        <f>IF(VLOOKUP(A13,'Données de base - Grunddaten'!$A$2:$M$297,13,FALSE)="","",VLOOKUP(A13,'Données de base - Grunddaten'!$A$2:$M$297,13,FALSE))</f>
        <v>cours rectiligne</v>
      </c>
      <c r="N13" s="872" t="str">
        <f>IF(VLOOKUP(A13,'Charriage - Geschiebehaushalt'!$A$4:$R$275,5,FALSE)="","",VLOOKUP(A13,'Charriage - Geschiebehaushalt'!$A$4:$R$275,5,FALSE))</f>
        <v>pertinent</v>
      </c>
      <c r="O13" s="873" t="str">
        <f>IF(VLOOKUP(A13,'Charriage - Geschiebehaushalt'!$A$4:$R$275,6,FALSE)="","",VLOOKUP(A13,'Charriage - Geschiebehaushalt'!$A$4:$R$275,6,FALSE))</f>
        <v>0-20%</v>
      </c>
      <c r="P13" s="874" t="str">
        <f>IF(VLOOKUP(A13,'Charriage - Geschiebehaushalt'!$A$4:$R$275,7,FALSE)="","",VLOOKUP(A13,'Charriage - Geschiebehaushalt'!$A$4:$R$275,7,FALSE))</f>
        <v/>
      </c>
      <c r="Q13" s="874" t="str">
        <f>IF(VLOOKUP(A13,'Charriage - Geschiebehaushalt'!$A$4:$R$275,8,FALSE)="","",VLOOKUP(A13,'Charriage - Geschiebehaushalt'!$A$4:$R$275,8,FALSE))</f>
        <v>non documenté</v>
      </c>
      <c r="R13" s="875">
        <f>IF(VLOOKUP(A13,'Charriage - Geschiebehaushalt'!$A$4:$R$275,9,FALSE)="","",VLOOKUP(A13,'Charriage - Geschiebehaushalt'!$A$4:$R$275,9,FALSE))</f>
        <v>1.0030271554377499</v>
      </c>
      <c r="S13" s="876" t="str">
        <f>IF(VLOOKUP(A13,'Charriage - Geschiebehaushalt'!$A$4:$R$275,10,FALSE)="","",VLOOKUP(A13,'Charriage - Geschiebehaushalt'!$A$4:$R$275,10,FALSE))</f>
        <v>la remobilisation des sédiments est perturbée</v>
      </c>
      <c r="T13" s="875">
        <f>IF(VLOOKUP(A13,'Charriage - Geschiebehaushalt'!$A$4:$R$275,11,FALSE)="","",VLOOKUP(A13,'Charriage - Geschiebehaushalt'!$A$4:$R$275,11,FALSE))</f>
        <v>6.7860281679000004E-2</v>
      </c>
      <c r="U13" s="876" t="str">
        <f>IF(VLOOKUP(A13,'Charriage - Geschiebehaushalt'!$A$4:$R$275,12,FALSE)="","",VLOOKUP(A13,'Charriage - Geschiebehaushalt'!$A$4:$R$275,12,FALSE))</f>
        <v>déficit dans les formations pionnières</v>
      </c>
      <c r="V13" s="877" t="str">
        <f>IF(VLOOKUP(A13,'Charriage - Geschiebehaushalt'!$A$4:$R$275,13,FALSE)="","",VLOOKUP(A13,'Charriage - Geschiebehaushalt'!$A$4:$R$275,13,FALSE))</f>
        <v/>
      </c>
      <c r="W13" s="877" t="str">
        <f>IF(VLOOKUP(A13,'Charriage - Geschiebehaushalt'!$A$4:$R$275,14,FALSE)="","",VLOOKUP(A13,'Charriage - Geschiebehaushalt'!$A$4:$R$275,14,FALSE))</f>
        <v/>
      </c>
      <c r="X13" s="877" t="str">
        <f>IF(VLOOKUP(A13,'Charriage - Geschiebehaushalt'!$A$4:$R$275,15,FALSE)="","",VLOOKUP(A13,'Charriage - Geschiebehaushalt'!$A$4:$R$275,15,FALSE))</f>
        <v/>
      </c>
      <c r="Y13" s="879" t="str">
        <f>IF(VLOOKUP(A13,'Charriage - Geschiebehaushalt'!$A$4:$R$275,16,FALSE)="","",VLOOKUP(A13,'Charriage - Geschiebehaushalt'!$A$4:$R$275,16,FALSE))</f>
        <v/>
      </c>
      <c r="Z13" s="763" t="str">
        <f>IF(VLOOKUP(A13,'Charriage - Geschiebehaushalt'!$A$4:$R$275,17,FALSE)="","",VLOOKUP(A13,'Charriage - Geschiebehaushalt'!$A$4:$R$275,17,FALSE))</f>
        <v>0-20%</v>
      </c>
      <c r="AA13" s="880" t="str">
        <f>IF(VLOOKUP(A13,'Charriage - Geschiebehaushalt'!$A$4:$R$275,18,FALSE)="","",VLOOKUP(A13,'Charriage - Geschiebehaushalt'!$A$4:$R$275,18,FALSE))</f>
        <v>a</v>
      </c>
      <c r="AB13" s="737" t="str">
        <f>IF(VLOOKUP(A13,'Charriage - Geschiebehaushalt'!$A$4:$AC$275,19,FALSE)="","",VLOOKUP(A13,'Charriage - Geschiebehaushalt'!$A$4:$AC$275,19,FALSE))</f>
        <v>mässig /
non dét.</v>
      </c>
      <c r="AC13" s="738" t="str">
        <f>IF(VLOOKUP(A13,'Charriage - Geschiebehaushalt'!$A$4:$AC$275,20,FALSE)="","",VLOOKUP(A13,'Charriage - Geschiebehaushalt'!$A$4:$AC$275,20,FALSE))</f>
        <v>mässig /
-</v>
      </c>
      <c r="AD13" s="764" t="str">
        <f>IF(VLOOKUP(A13,'Charriage - Geschiebehaushalt'!$A$4:$AC$275,21,FALSE)="","",VLOOKUP(A13,'Charriage - Geschiebehaushalt'!$A$4:$AC$275,21,FALSE))</f>
        <v/>
      </c>
      <c r="AE13" s="740" t="str">
        <f>IF(VLOOKUP(A13,'Charriage - Geschiebehaushalt'!$A$4:$AC$275,22,FALSE)="","",VLOOKUP(A13,'Charriage - Geschiebehaushalt'!$A$4:$AC$275,22,FALSE))</f>
        <v>0-20%</v>
      </c>
      <c r="AF13" s="787" t="str">
        <f>IF(VLOOKUP(A13,'Charriage - Geschiebehaushalt'!$A$4:$AC$275,23,FALSE)="","",VLOOKUP(A13,'Charriage - Geschiebehaushalt'!$A$4:$AC$275,23,FALSE))</f>
        <v>a</v>
      </c>
      <c r="AG13" s="765" t="str">
        <f>IF(VLOOKUP(A13,'Charriage - Geschiebehaushalt'!$A$4:$AC$275,24,FALSE)="","",VLOOKUP(A13,'Charriage - Geschiebehaushalt'!$A$4:$AC$275,24,FALSE))</f>
        <v/>
      </c>
      <c r="AH13" s="764" t="str">
        <f>IF(VLOOKUP(A13,'Charriage - Geschiebehaushalt'!$A$4:$AC$275,25,FALSE)="","",VLOOKUP(A13,'Charriage - Geschiebehaushalt'!$A$4:$AC$275,25,FALSE))</f>
        <v/>
      </c>
      <c r="AI13" s="437" t="str">
        <f>IF(VLOOKUP(A13,'Charriage - Geschiebehaushalt'!$A$4:$AC$275,26,FALSE)="","",VLOOKUP(A13,'Charriage - Geschiebehaushalt'!$A$4:$AC$275,26,FALSE))</f>
        <v>Resultat Kanton gemäss strat.Planung: 0-20 % Geschiebedefizit, d.h. Farbe blau (Spalte V)
c, e (Spalte W)</v>
      </c>
      <c r="AJ13" s="436" t="str">
        <f>IF(VLOOKUP(A13,'Charriage - Geschiebehaushalt'!$A$4:$AC$275,27,FALSE)="","",VLOOKUP(A13,'Charriage - Geschiebehaushalt'!$A$4:$AC$275,27,FALSE))</f>
        <v>Geschiebedefizit aufgrund des vollständigen Rückhalts in der Anlage Buchholz
Massnahmen in Bezug auf Geschiebe werden im Rahmen der Ausarbeitung des Thurrichtprojektes (Stufe Machbarkeit) zur Zeit erarbeitet</v>
      </c>
      <c r="AK13" s="801" t="str">
        <f>IF(VLOOKUP(A13,'Charriage - Geschiebehaushalt'!$A$4:$AC$275,28,FALSE)="","",VLOOKUP(A13,'Charriage - Geschiebehaushalt'!$A$4:$AC$275,28,FALSE))</f>
        <v>0-20%</v>
      </c>
      <c r="AL13" s="1285" t="str">
        <f>IF(VLOOKUP(A13,'Charriage - Geschiebehaushalt'!$A$4:$AD$275,30,FALSE)="","",VLOOKUP(A13,'Charriage - Geschiebehaushalt'!$A$4:$AD$275,30,FALSE))</f>
        <v>a</v>
      </c>
      <c r="AM13" s="1279" t="str">
        <f>IF(VLOOKUP(A13,'Débit - Abfluss'!$A$4:$K$275,5,FALSE)="","",VLOOKUP(A13,'Débit - Abfluss'!$A$4:$M$275,5,FALSE))</f>
        <v>100%</v>
      </c>
      <c r="AN13" s="883" t="str">
        <f>IF(VLOOKUP(A13,'Débit - Abfluss'!$A$4:$K$275,6,FALSE)="","",VLOOKUP(A13,'Débit - Abfluss'!$A$4:$M$275,6,FALSE))</f>
        <v>aucune information supplémentaire</v>
      </c>
      <c r="AO13" s="884" t="str">
        <f>IF(VLOOKUP(A13,'Débit - Abfluss'!$A$4:$K$275,7,FALSE)="","",VLOOKUP(A13,'Débit - Abfluss'!$A$4:$M$275,7,FALSE))</f>
        <v>aucune information supplémentaire</v>
      </c>
      <c r="AP13" s="766" t="str">
        <f>IF(VLOOKUP(A13,'Débit - Abfluss'!$A$4:$K$275,8,FALSE)="","",VLOOKUP(A13,'Débit - Abfluss'!$A$4:$M$275,8,FALSE))</f>
        <v>100%</v>
      </c>
      <c r="AQ13" s="742" t="str">
        <f>IF(VLOOKUP(A13,'Débit - Abfluss'!$A$4:$K$275,9,FALSE)="","",VLOOKUP(A13,'Débit - Abfluss'!$A$4:$M$275,9,FALSE))</f>
        <v>-</v>
      </c>
      <c r="AR13" s="767" t="str">
        <f>IF(VLOOKUP(A13,'Débit - Abfluss'!$A$4:$K$275,10,FALSE)="","",VLOOKUP(A13,'Débit - Abfluss'!$A$4:$M$275,10,FALSE))</f>
        <v>100%</v>
      </c>
      <c r="AS13" s="767" t="str">
        <f>IF(VLOOKUP(A13,'Débit - Abfluss'!$A$4:$K$275,11,FALSE)="","",VLOOKUP(A13,'Débit - Abfluss'!$A$4:$M$275,11,FALSE))</f>
        <v/>
      </c>
      <c r="AT13" s="887" t="str">
        <f>IF(VLOOKUP(A13,'Débit - Abfluss'!$A$4:$Q$275,12,FALSE)="","",VLOOKUP(A13,'Débit - Abfluss'!$A$4:$Q$275,12,FALSE))</f>
        <v/>
      </c>
      <c r="AU13" s="888" t="str">
        <f>IF(VLOOKUP(A13,'Débit - Abfluss'!$A$4:$Q$275,13,FALSE)="","",VLOOKUP(A13,'Débit - Abfluss'!$A$4:$Q$275,13,FALSE))</f>
        <v/>
      </c>
      <c r="AV13" s="746" t="str">
        <f>IF(VLOOKUP(A13,'Débit - Abfluss'!$A$4:$Q$275,14,FALSE)="","",VLOOKUP(A13,'Débit - Abfluss'!$A$4:$Q$275,14,FALSE))</f>
        <v/>
      </c>
      <c r="AW13" s="768" t="str">
        <f>IF(VLOOKUP(A13,'Débit - Abfluss'!$A$4:$Q$275,15,FALSE)="","",VLOOKUP(A13,'Débit - Abfluss'!$A$4:$Q$275,15,FALSE))</f>
        <v/>
      </c>
      <c r="AX13" s="679" t="str">
        <f>IF(VLOOKUP(A13,'Débit - Abfluss'!$A$4:$Q$275,16,FALSE)="","",VLOOKUP(A13,'Débit - Abfluss'!$A$4:$Q$275,16,FALSE))</f>
        <v>Zurzeit besteht ein Projekt unter der Federführung des Kt. TG mit einer erheblichen Verschlechterung der bestehenden Situation</v>
      </c>
      <c r="AY13" s="769" t="str">
        <f>IF(VLOOKUP(A13,'Débit - Abfluss'!$A$4:$Q$275,17,FALSE)="","",VLOOKUP(A13,'Débit - Abfluss'!$A$4:$Q$275,17,FALSE))</f>
        <v>100%</v>
      </c>
      <c r="AZ13" s="749" t="str">
        <f>IF(VLOOKUP(A13,'Eclusée - Schwall-Sunk'!$A$2:$F$273,5,FALSE)="","",VLOOKUP(A13,'Eclusée - Schwall-Sunk'!$A$2:$F$273,5,FALSE))</f>
        <v>force hydraulique</v>
      </c>
      <c r="BA13" s="750" t="str">
        <f>IF(VLOOKUP(A13,'Eclusée - Schwall-Sunk'!$A$2:$F$273,6,FALSE)="","",VLOOKUP(A13,'Eclusée - Schwall-Sunk'!$A$2:$F$273,6,FALSE))</f>
        <v>Non affecté / nicht betroffen</v>
      </c>
      <c r="BB13" s="751">
        <f>IF(VLOOKUP(A13,'Revitalisation-Revitalisierung'!$A$4:$Z$275,5,FALSE)="","",VLOOKUP(A13,'Revitalisation-Revitalisierung'!$A$4:$Z$275,5,FALSE))</f>
        <v>80.209090909090904</v>
      </c>
      <c r="BC13" s="752">
        <f>IF(VLOOKUP(A13,'Revitalisation-Revitalisierung'!$A$4:$Z$275,6,FALSE)="","",VLOOKUP(A13,'Revitalisation-Revitalisierung'!$A$4:$Z$275,6,FALSE))</f>
        <v>89.312443989999991</v>
      </c>
      <c r="BD13" s="752">
        <f>IF(VLOOKUP(A13,'Revitalisation-Revitalisierung'!$A$4:$Z$275,7,FALSE)="","",VLOOKUP(A13,'Revitalisation-Revitalisierung'!$A$4:$Z$275,7,FALSE))</f>
        <v>9.0909090909090917</v>
      </c>
      <c r="BE13" s="753" t="str">
        <f>IF(VLOOKUP(A13,'Revitalisation-Revitalisierung'!$A$4:$Z$275,8,FALSE)="","",VLOOKUP(A13,'Revitalisation-Revitalisierung'!$A$4:$Z$275,8,FALSE))</f>
        <v>très nécessaire, facile</v>
      </c>
      <c r="BF13" s="754" t="str">
        <f>IF(VLOOKUP(A13,'Revitalisation-Revitalisierung'!$A$4:$Z$275,9,FALSE)="","",VLOOKUP(A13,'Revitalisation-Revitalisierung'!$A$4:$Z$275,9,FALSE))</f>
        <v/>
      </c>
      <c r="BG13" s="754" t="str">
        <f>IF(VLOOKUP(A13,'Revitalisation-Revitalisierung'!$A$4:$Z$275,10,FALSE)="","",VLOOKUP(A13,'Revitalisation-Revitalisierung'!$A$4:$Z$275,10,FALSE))</f>
        <v>K2</v>
      </c>
      <c r="BH13" s="755" t="str">
        <f>IF(VLOOKUP(A13,'Revitalisation-Revitalisierung'!$A$4:$Z$275,11,FALSE)="","",VLOOKUP(A13,'Revitalisation-Revitalisierung'!$A$4:$Z$275,11,FALSE))</f>
        <v/>
      </c>
      <c r="BI13" s="756" t="str">
        <f>IF(VLOOKUP(A13,'Revitalisation-Revitalisierung'!$A$4:$Z$275,12,FALSE)="","",VLOOKUP(A13,'Revitalisation-Revitalisierung'!$A$4:$Z$275,12,FALSE))</f>
        <v/>
      </c>
      <c r="BJ13" s="757" t="str">
        <f>IF(VLOOKUP(A13,'Revitalisation-Revitalisierung'!$A$4:$Z$275,13,FALSE)="","",VLOOKUP(A13,'Revitalisation-Revitalisierung'!$A$4:$Z$275,13,FALSE))</f>
        <v>Très nécessaire, facile / unbedingt nötig, einfach</v>
      </c>
      <c r="BK13" s="870" t="str">
        <f>IF(VLOOKUP(A13,'Revitalisation-Revitalisierung'!$A$4:$Z$275,14,FALSE)="","",VLOOKUP(A13,'Revitalisation-Revitalisierung'!$A$4:$Z$275,14,FALSE))</f>
        <v>a</v>
      </c>
      <c r="BL13" s="758" t="str">
        <f>IF(VLOOKUP(A13,'Revitalisation-Revitalisierung'!$A$4:$Z$275,15,FALSE)="","",VLOOKUP(A13,'Revitalisation-Revitalisierung'!$A$4:$Z$275,15,FALSE))</f>
        <v xml:space="preserve"> gross/mittel /
important</v>
      </c>
      <c r="BM13" s="759" t="str">
        <f>IF(VLOOKUP(A13,'Revitalisation-Revitalisierung'!$A$4:$Z$275,16,FALSE)="","",VLOOKUP(A13,'Revitalisation-Revitalisierung'!$A$4:$Z$275,16,FALSE))</f>
        <v>gross/mittel /
important</v>
      </c>
      <c r="BN13" s="759" t="str">
        <f>IF(VLOOKUP(A13,'Revitalisation-Revitalisierung'!$A$4:$Z$275,17,FALSE)="","",VLOOKUP(A13,'Revitalisation-Revitalisierung'!$A$4:$Z$275,17,FALSE))</f>
        <v>keine Angaben /
gross</v>
      </c>
      <c r="BO13" s="760" t="str">
        <f>IF(VLOOKUP(A13,'Revitalisation-Revitalisierung'!$A$4:$Z$275,18,FALSE)="","",VLOOKUP(A13,'Revitalisation-Revitalisierung'!$A$4:$Z$275,18,FALSE))</f>
        <v>Très nécessaire, facile / unbedingt nötig, einfach</v>
      </c>
      <c r="BP13" s="761" t="str">
        <f>IF(VLOOKUP(A13,'Revitalisation-Revitalisierung'!$A$4:$Z$275,19,FALSE)="","",VLOOKUP(A13,'Revitalisation-Revitalisierung'!$A$4:$Z$275,19,FALSE))</f>
        <v>Très nécessaire, facile / unbedingt nötig, einfach</v>
      </c>
      <c r="BQ13" s="759" t="str">
        <f>IF(VLOOKUP(A13,'Revitalisation-Revitalisierung'!$A$4:$Z$275,20,FALSE)="","",VLOOKUP(A13,'Revitalisation-Revitalisierung'!$A$4:$Z$275,20,FALSE))</f>
        <v>d</v>
      </c>
      <c r="BR13" s="759" t="str">
        <f>IF(VLOOKUP(A13,'Revitalisation-Revitalisierung'!$A$4:$Z$275,21,FALSE)="","",VLOOKUP(A13,'Revitalisation-Revitalisierung'!$A$4:$Z$275,21,FALSE))</f>
        <v/>
      </c>
      <c r="BS13" s="762" t="str">
        <f>IF(VLOOKUP(A13,'Revitalisation-Revitalisierung'!$A$4:$Z$275,22,FALSE)="","",VLOOKUP(A13,'Revitalisation-Revitalisierung'!$A$4:$Z$275,22,FALSE))</f>
        <v/>
      </c>
      <c r="BT13" s="700" t="str">
        <f>IF(VLOOKUP(A13,'Revitalisation-Revitalisierung'!$A$4:$Z$275,23,FALSE)="","",VLOOKUP(A13,'Revitalisation-Revitalisierung'!$A$4:$Z$275,23,FALSE))</f>
        <v>c, e (Spalte T)</v>
      </c>
      <c r="BU13" s="699" t="str">
        <f>IF(VLOOKUP(A13,'Revitalisation-Revitalisierung'!$A$4:$Z$275,24,FALSE)="","",VLOOKUP(A13,'Revitalisation-Revitalisierung'!$A$4:$Z$275,24,FALSE))</f>
        <v>Revitalisierungsmassnahmen werden im Rahmen Prüfung eines eingereichten Konzessionsgesuches zur Wasserkraftnutzung zur Zeit diskutiert.</v>
      </c>
      <c r="BV13" s="761" t="str">
        <f>IF(VLOOKUP(A13,'Revitalisation-Revitalisierung'!$A$4:$Z$275,25,FALSE)="","",VLOOKUP(A13,'Revitalisation-Revitalisierung'!$A$4:$Z$275,25,FALSE))</f>
        <v>Très nécessaire, facile / unbedingt nötig, einfach</v>
      </c>
      <c r="BW13" s="871" t="str">
        <f>IF(VLOOKUP(A13,'Revitalisation-Revitalisierung'!$A$4:$AA$275,27,FALSE)="","",VLOOKUP(A13,'Revitalisation-Revitalisierung'!$A$4:$AA$275,27,FALSE))</f>
        <v>a</v>
      </c>
    </row>
    <row r="14" spans="1:75" ht="81" customHeight="1" x14ac:dyDescent="0.25">
      <c r="A14" s="935">
        <v>14</v>
      </c>
      <c r="B14" s="856">
        <f>IF(VLOOKUP(A14,'Données de base - Grunddaten'!$A$2:$M$297,2,FALSE)="","",VLOOKUP(A14,'Données de base - Grunddaten'!$A$2:$M$297,2,FALSE))</f>
        <v>1</v>
      </c>
      <c r="C14" s="857" t="str">
        <f>IF(VLOOKUP(A14,'Données de base - Grunddaten'!$A$2:$M$297,3,FALSE)="","",VLOOKUP(A14,'Données de base - Grunddaten'!$A$2:$M$297,3,FALSE))</f>
        <v>Glatt nordwestlich Flawil</v>
      </c>
      <c r="D14" s="857" t="str">
        <f>IF(VLOOKUP(A14,'Données de base - Grunddaten'!$A$2:$M$297,4,FALSE)="","",VLOOKUP(A14,'Données de base - Grunddaten'!$A$2:$M$297,4,FALSE))</f>
        <v>Glatt</v>
      </c>
      <c r="E14" s="857" t="str">
        <f>IF(VLOOKUP(A14,'Données de base - Grunddaten'!$A$2:$M$297,5,FALSE)="","",VLOOKUP(A14,'Données de base - Grunddaten'!$A$2:$M$297,5,FALSE))</f>
        <v>SG</v>
      </c>
      <c r="F14" s="857" t="str">
        <f>IF(VLOOKUP(A14,'Données de base - Grunddaten'!$A$2:$M$297,6,FALSE)="","",VLOOKUP(A14,'Données de base - Grunddaten'!$A$2:$M$297,6,FALSE))</f>
        <v>Plateau oriental</v>
      </c>
      <c r="G14" s="857" t="str">
        <f>IF(VLOOKUP(A14,'Données de base - Grunddaten'!$A$2:$M$297,7,FALSE)="","",VLOOKUP(A14,'Données de base - Grunddaten'!$A$2:$M$297,7,FALSE))</f>
        <v>Collinéen</v>
      </c>
      <c r="H14" s="857">
        <f>IF(VLOOKUP(A14,'Données de base - Grunddaten'!$A$2:$M$297,8,FALSE)="","",VLOOKUP(A14,'Données de base - Grunddaten'!$A$2:$M$297,8,FALSE))</f>
        <v>530</v>
      </c>
      <c r="I14" s="857">
        <f>IF(VLOOKUP(A14,'Données de base - Grunddaten'!$A$2:$M$297,9,FALSE)="","",VLOOKUP(A14,'Données de base - Grunddaten'!$A$2:$M$297,9,FALSE))</f>
        <v>1992</v>
      </c>
      <c r="J14" s="857">
        <f>IF(VLOOKUP(A14,'Données de base - Grunddaten'!$A$2:$M$297,10,FALSE)="","",VLOOKUP(A14,'Données de base - Grunddaten'!$A$2:$M$297,10,FALSE))</f>
        <v>51</v>
      </c>
      <c r="K14" s="857" t="str">
        <f>IF(VLOOKUP(A14,'Données de base - Grunddaten'!$A$2:$M$297,11,FALSE)="","",VLOOKUP(A14,'Données de base - Grunddaten'!$A$2:$M$297,11,FALSE))</f>
        <v>Cours d'eau naturels de l'étage collinéen du Moyen-Pays</v>
      </c>
      <c r="L14" s="857" t="str">
        <f>IF(VLOOKUP(A14,'Données de base - Grunddaten'!$A$2:$M$297,12,FALSE)="","",VLOOKUP(A14,'Données de base - Grunddaten'!$A$2:$M$297,12,FALSE))</f>
        <v>méandres développés - cours encaissé</v>
      </c>
      <c r="M14" s="858" t="str">
        <f>IF(VLOOKUP(A14,'Données de base - Grunddaten'!$A$2:$M$297,13,FALSE)="","",VLOOKUP(A14,'Données de base - Grunddaten'!$A$2:$M$297,13,FALSE))</f>
        <v>méandres développés - cours encaissé</v>
      </c>
      <c r="N14" s="872" t="str">
        <f>IF(VLOOKUP(A14,'Charriage - Geschiebehaushalt'!$A$4:$R$275,5,FALSE)="","",VLOOKUP(A14,'Charriage - Geschiebehaushalt'!$A$4:$R$275,5,FALSE))</f>
        <v>pertinent</v>
      </c>
      <c r="O14" s="873" t="str">
        <f>IF(VLOOKUP(A14,'Charriage - Geschiebehaushalt'!$A$4:$R$275,6,FALSE)="","",VLOOKUP(A14,'Charriage - Geschiebehaushalt'!$A$4:$R$275,6,FALSE))</f>
        <v>51-80%</v>
      </c>
      <c r="P14" s="874" t="str">
        <f>IF(VLOOKUP(A14,'Charriage - Geschiebehaushalt'!$A$4:$R$275,7,FALSE)="","",VLOOKUP(A14,'Charriage - Geschiebehaushalt'!$A$4:$R$275,7,FALSE))</f>
        <v/>
      </c>
      <c r="Q14" s="874" t="str">
        <f>IF(VLOOKUP(A14,'Charriage - Geschiebehaushalt'!$A$4:$R$275,8,FALSE)="","",VLOOKUP(A14,'Charriage - Geschiebehaushalt'!$A$4:$R$275,8,FALSE))</f>
        <v>non documenté</v>
      </c>
      <c r="R14" s="875">
        <f>IF(VLOOKUP(A14,'Charriage - Geschiebehaushalt'!$A$4:$R$275,9,FALSE)="","",VLOOKUP(A14,'Charriage - Geschiebehaushalt'!$A$4:$R$275,9,FALSE))</f>
        <v>0.123582186117996</v>
      </c>
      <c r="S14" s="876" t="str">
        <f>IF(VLOOKUP(A14,'Charriage - Geschiebehaushalt'!$A$4:$R$275,10,FALSE)="","",VLOOKUP(A14,'Charriage - Geschiebehaushalt'!$A$4:$R$275,10,FALSE))</f>
        <v>pas ou faiblement entravé</v>
      </c>
      <c r="T14" s="875">
        <f>IF(VLOOKUP(A14,'Charriage - Geschiebehaushalt'!$A$4:$R$275,11,FALSE)="","",VLOOKUP(A14,'Charriage - Geschiebehaushalt'!$A$4:$R$275,11,FALSE))</f>
        <v>7.0725282759000002E-2</v>
      </c>
      <c r="U14" s="876" t="str">
        <f>IF(VLOOKUP(A14,'Charriage - Geschiebehaushalt'!$A$4:$R$275,12,FALSE)="","",VLOOKUP(A14,'Charriage - Geschiebehaushalt'!$A$4:$R$275,12,FALSE))</f>
        <v>déficit dans les formations pionnières</v>
      </c>
      <c r="V14" s="877" t="str">
        <f>IF(VLOOKUP(A14,'Charriage - Geschiebehaushalt'!$A$4:$R$275,13,FALSE)="","",VLOOKUP(A14,'Charriage - Geschiebehaushalt'!$A$4:$R$275,13,FALSE))</f>
        <v/>
      </c>
      <c r="W14" s="877" t="str">
        <f>IF(VLOOKUP(A14,'Charriage - Geschiebehaushalt'!$A$4:$R$275,14,FALSE)="","",VLOOKUP(A14,'Charriage - Geschiebehaushalt'!$A$4:$R$275,14,FALSE))</f>
        <v/>
      </c>
      <c r="X14" s="877" t="str">
        <f>IF(VLOOKUP(A14,'Charriage - Geschiebehaushalt'!$A$4:$R$275,15,FALSE)="","",VLOOKUP(A14,'Charriage - Geschiebehaushalt'!$A$4:$R$275,15,FALSE))</f>
        <v/>
      </c>
      <c r="Y14" s="879" t="str">
        <f>IF(VLOOKUP(A14,'Charriage - Geschiebehaushalt'!$A$4:$R$275,16,FALSE)="","",VLOOKUP(A14,'Charriage - Geschiebehaushalt'!$A$4:$R$275,16,FALSE))</f>
        <v/>
      </c>
      <c r="Z14" s="763" t="str">
        <f>IF(VLOOKUP(A14,'Charriage - Geschiebehaushalt'!$A$4:$R$275,17,FALSE)="","",VLOOKUP(A14,'Charriage - Geschiebehaushalt'!$A$4:$R$275,17,FALSE))</f>
        <v>51-80%</v>
      </c>
      <c r="AA14" s="880" t="str">
        <f>IF(VLOOKUP(A14,'Charriage - Geschiebehaushalt'!$A$4:$R$275,18,FALSE)="","",VLOOKUP(A14,'Charriage - Geschiebehaushalt'!$A$4:$R$275,18,FALSE))</f>
        <v>a</v>
      </c>
      <c r="AB14" s="737" t="str">
        <f>IF(VLOOKUP(A14,'Charriage - Geschiebehaushalt'!$A$4:$AC$275,19,FALSE)="","",VLOOKUP(A14,'Charriage - Geschiebehaushalt'!$A$4:$AC$275,19,FALSE))</f>
        <v>gross</v>
      </c>
      <c r="AC14" s="738">
        <f>IF(VLOOKUP(A14,'Charriage - Geschiebehaushalt'!$A$4:$AC$275,20,FALSE)="","",VLOOKUP(A14,'Charriage - Geschiebehaushalt'!$A$4:$AC$275,20,FALSE))</f>
        <v>0</v>
      </c>
      <c r="AD14" s="764" t="str">
        <f>IF(VLOOKUP(A14,'Charriage - Geschiebehaushalt'!$A$4:$AC$275,21,FALSE)="","",VLOOKUP(A14,'Charriage - Geschiebehaushalt'!$A$4:$AC$275,21,FALSE))</f>
        <v>51-80%</v>
      </c>
      <c r="AE14" s="740" t="str">
        <f>IF(VLOOKUP(A14,'Charriage - Geschiebehaushalt'!$A$4:$AC$275,22,FALSE)="","",VLOOKUP(A14,'Charriage - Geschiebehaushalt'!$A$4:$AC$275,22,FALSE))</f>
        <v>51-80%</v>
      </c>
      <c r="AF14" s="787" t="str">
        <f>IF(VLOOKUP(A14,'Charriage - Geschiebehaushalt'!$A$4:$AC$275,23,FALSE)="","",VLOOKUP(A14,'Charriage - Geschiebehaushalt'!$A$4:$AC$275,23,FALSE))</f>
        <v>d</v>
      </c>
      <c r="AG14" s="765" t="str">
        <f>IF(VLOOKUP(A14,'Charriage - Geschiebehaushalt'!$A$4:$AC$275,24,FALSE)="","",VLOOKUP(A14,'Charriage - Geschiebehaushalt'!$A$4:$AC$275,24,FALSE))</f>
        <v/>
      </c>
      <c r="AH14" s="764" t="str">
        <f>IF(VLOOKUP(A14,'Charriage - Geschiebehaushalt'!$A$4:$AC$275,25,FALSE)="","",VLOOKUP(A14,'Charriage - Geschiebehaushalt'!$A$4:$AC$275,25,FALSE))</f>
        <v/>
      </c>
      <c r="AI14" s="437" t="str">
        <f>IF(VLOOKUP(A14,'Charriage - Geschiebehaushalt'!$A$4:$AC$275,26,FALSE)="","",VLOOKUP(A14,'Charriage - Geschiebehaushalt'!$A$4:$AC$275,26,FALSE))</f>
        <v>oberer gelber Bereich ggf. tiefer (knapp 20% des Geschiebedargebotes)</v>
      </c>
      <c r="AJ14" s="436" t="str">
        <f>IF(VLOOKUP(A14,'Charriage - Geschiebehaushalt'!$A$4:$AC$275,27,FALSE)="","",VLOOKUP(A14,'Charriage - Geschiebehaushalt'!$A$4:$AC$275,27,FALSE))</f>
        <v>Geschiebedefizit aufgrund des vollständigen Rückhalts in der Anlage Buchholz</v>
      </c>
      <c r="AK14" s="801" t="str">
        <f>IF(VLOOKUP(A14,'Charriage - Geschiebehaushalt'!$A$4:$AC$275,28,FALSE)="","",VLOOKUP(A14,'Charriage - Geschiebehaushalt'!$A$4:$AC$275,28,FALSE))</f>
        <v>81-100%</v>
      </c>
      <c r="AL14" s="1285" t="str">
        <f>IF(VLOOKUP(A14,'Charriage - Geschiebehaushalt'!$A$4:$AD$275,30,FALSE)="","",VLOOKUP(A14,'Charriage - Geschiebehaushalt'!$A$4:$AD$275,30,FALSE))</f>
        <v>b</v>
      </c>
      <c r="AM14" s="1279" t="str">
        <f>IF(VLOOKUP(A14,'Débit - Abfluss'!$A$4:$K$275,5,FALSE)="","",VLOOKUP(A14,'Débit - Abfluss'!$A$4:$M$275,5,FALSE))</f>
        <v>100%</v>
      </c>
      <c r="AN14" s="883" t="str">
        <f>IF(VLOOKUP(A14,'Débit - Abfluss'!$A$4:$K$275,6,FALSE)="","",VLOOKUP(A14,'Débit - Abfluss'!$A$4:$M$275,6,FALSE))</f>
        <v>100% malgré un tout petit tronçon à débit résiduel au Glattmüli</v>
      </c>
      <c r="AO14" s="869" t="str">
        <f>IF(VLOOKUP(A14,'Débit - Abfluss'!$A$4:$K$275,7,FALSE)="","",VLOOKUP(A14,'Débit - Abfluss'!$A$4:$M$275,7,FALSE))</f>
        <v/>
      </c>
      <c r="AP14" s="766" t="str">
        <f>IF(VLOOKUP(A14,'Débit - Abfluss'!$A$4:$K$275,8,FALSE)="","",VLOOKUP(A14,'Débit - Abfluss'!$A$4:$M$275,8,FALSE))</f>
        <v>100%</v>
      </c>
      <c r="AQ14" s="678" t="str">
        <f>IF(VLOOKUP(A14,'Débit - Abfluss'!$A$4:$K$275,9,FALSE)="","",VLOOKUP(A14,'Débit - Abfluss'!$A$4:$M$275,9,FALSE))</f>
        <v>50-90%</v>
      </c>
      <c r="AR14" s="773" t="str">
        <f>IF(VLOOKUP(A14,'Débit - Abfluss'!$A$4:$K$275,10,FALSE)="","",VLOOKUP(A14,'Débit - Abfluss'!$A$4:$M$275,10,FALSE))</f>
        <v>100%</v>
      </c>
      <c r="AS14" s="773" t="str">
        <f>IF(VLOOKUP(A14,'Débit - Abfluss'!$A$4:$K$275,11,FALSE)="","",VLOOKUP(A14,'Débit - Abfluss'!$A$4:$M$275,11,FALSE))</f>
        <v>X</v>
      </c>
      <c r="AT14" s="886" t="str">
        <f>IF(VLOOKUP(A14,'Débit - Abfluss'!$A$4:$Q$275,12,FALSE)="","",VLOOKUP(A14,'Débit - Abfluss'!$A$4:$Q$275,12,FALSE))</f>
        <v>Qdot= 200 l/s; Q347 = 430 l/s</v>
      </c>
      <c r="AU14" s="680" t="str">
        <f>IF(VLOOKUP(A14,'Débit - Abfluss'!$A$4:$Q$275,13,FALSE)="","",VLOOKUP(A14,'Débit - Abfluss'!$A$4:$Q$275,13,FALSE))</f>
        <v>Jahresmittel = 2'500 l/s</v>
      </c>
      <c r="AV14" s="746" t="str">
        <f>IF(VLOOKUP(A14,'Débit - Abfluss'!$A$4:$Q$275,14,FALSE)="","",VLOOKUP(A14,'Débit - Abfluss'!$A$4:$Q$275,14,FALSE))</f>
        <v>SG-W VI/171-1</v>
      </c>
      <c r="AW14" s="768" t="str">
        <f>IF(VLOOKUP(A14,'Débit - Abfluss'!$A$4:$Q$275,15,FALSE)="","",VLOOKUP(A14,'Débit - Abfluss'!$A$4:$Q$275,15,FALSE))</f>
        <v>Niederglatt</v>
      </c>
      <c r="AX14" s="679" t="str">
        <f>IF(VLOOKUP(A14,'Débit - Abfluss'!$A$4:$Q$275,16,FALSE)="","",VLOOKUP(A14,'Débit - Abfluss'!$A$4:$Q$275,16,FALSE))</f>
        <v>Die Restwasserstrecke (ca. 700 m) im Auenperimeter; Qdot nach Art. 31 GSchG = 248.8 l/s, daher kann die Beeinflussung bezüglich Restwasser auf grün gesetzt werden; Sanierung WK bis 2024 (Umsetzung) geplant</v>
      </c>
      <c r="AY14" s="776" t="str">
        <f>IF(VLOOKUP(A14,'Débit - Abfluss'!$A$4:$Q$275,17,FALSE)="","",VLOOKUP(A14,'Débit - Abfluss'!$A$4:$Q$275,17,FALSE))</f>
        <v>0-20%</v>
      </c>
      <c r="AZ14" s="749" t="str">
        <f>IF(VLOOKUP(A14,'Eclusée - Schwall-Sunk'!$A$2:$F$273,5,FALSE)="","",VLOOKUP(A14,'Eclusée - Schwall-Sunk'!$A$2:$F$273,5,FALSE))</f>
        <v>force hydraulique</v>
      </c>
      <c r="BA14" s="750" t="str">
        <f>IF(VLOOKUP(A14,'Eclusée - Schwall-Sunk'!$A$2:$F$273,6,FALSE)="","",VLOOKUP(A14,'Eclusée - Schwall-Sunk'!$A$2:$F$273,6,FALSE))</f>
        <v>Non affecté / nicht betroffen</v>
      </c>
      <c r="BB14" s="751">
        <f>IF(VLOOKUP(A14,'Revitalisation-Revitalisierung'!$A$4:$Z$275,5,FALSE)="","",VLOOKUP(A14,'Revitalisation-Revitalisierung'!$A$4:$Z$275,5,FALSE))</f>
        <v>-44.31818181818182</v>
      </c>
      <c r="BC14" s="752">
        <f>IF(VLOOKUP(A14,'Revitalisation-Revitalisierung'!$A$4:$Z$275,6,FALSE)="","",VLOOKUP(A14,'Revitalisation-Revitalisierung'!$A$4:$Z$275,6,FALSE))</f>
        <v>12.530488791100515</v>
      </c>
      <c r="BD14" s="752">
        <f>IF(VLOOKUP(A14,'Revitalisation-Revitalisierung'!$A$4:$Z$275,7,FALSE)="","",VLOOKUP(A14,'Revitalisation-Revitalisierung'!$A$4:$Z$275,7,FALSE))</f>
        <v>56.81818181818182</v>
      </c>
      <c r="BE14" s="753" t="str">
        <f>IF(VLOOKUP(A14,'Revitalisation-Revitalisierung'!$A$4:$Z$275,8,FALSE)="","",VLOOKUP(A14,'Revitalisation-Revitalisierung'!$A$4:$Z$275,8,FALSE))</f>
        <v>peu nécessaire, difficile</v>
      </c>
      <c r="BF14" s="754" t="str">
        <f>IF(VLOOKUP(A14,'Revitalisation-Revitalisierung'!$A$4:$Z$275,9,FALSE)="","",VLOOKUP(A14,'Revitalisation-Revitalisierung'!$A$4:$Z$275,9,FALSE))</f>
        <v/>
      </c>
      <c r="BG14" s="754" t="str">
        <f>IF(VLOOKUP(A14,'Revitalisation-Revitalisierung'!$A$4:$Z$275,10,FALSE)="","",VLOOKUP(A14,'Revitalisation-Revitalisierung'!$A$4:$Z$275,10,FALSE))</f>
        <v>K3</v>
      </c>
      <c r="BH14" s="755" t="str">
        <f>IF(VLOOKUP(A14,'Revitalisation-Revitalisierung'!$A$4:$Z$275,11,FALSE)="","",VLOOKUP(A14,'Revitalisation-Revitalisierung'!$A$4:$Z$275,11,FALSE))</f>
        <v/>
      </c>
      <c r="BI14" s="756" t="str">
        <f>IF(VLOOKUP(A14,'Revitalisation-Revitalisierung'!$A$4:$Z$275,12,FALSE)="","",VLOOKUP(A14,'Revitalisation-Revitalisierung'!$A$4:$Z$275,12,FALSE))</f>
        <v/>
      </c>
      <c r="BJ14" s="757" t="str">
        <f>IF(VLOOKUP(A14,'Revitalisation-Revitalisierung'!$A$4:$Z$275,13,FALSE)="","",VLOOKUP(A14,'Revitalisation-Revitalisierung'!$A$4:$Z$275,13,FALSE))</f>
        <v>Partiellement nécessaire, difficile / teilweise nötig, schwierig</v>
      </c>
      <c r="BK14" s="870" t="str">
        <f>IF(VLOOKUP(A14,'Revitalisation-Revitalisierung'!$A$4:$Z$275,14,FALSE)="","",VLOOKUP(A14,'Revitalisation-Revitalisierung'!$A$4:$Z$275,14,FALSE))</f>
        <v>a</v>
      </c>
      <c r="BL14" s="758" t="str">
        <f>IF(VLOOKUP(A14,'Revitalisation-Revitalisierung'!$A$4:$Z$275,15,FALSE)="","",VLOOKUP(A14,'Revitalisation-Revitalisierung'!$A$4:$Z$275,15,FALSE))</f>
        <v>Important et moyen</v>
      </c>
      <c r="BM14" s="759" t="str">
        <f>IF(VLOOKUP(A14,'Revitalisation-Revitalisierung'!$A$4:$Z$275,16,FALSE)="","",VLOOKUP(A14,'Revitalisation-Revitalisierung'!$A$4:$Z$275,16,FALSE))</f>
        <v>moyen</v>
      </c>
      <c r="BN14" s="759" t="str">
        <f>IF(VLOOKUP(A14,'Revitalisation-Revitalisierung'!$A$4:$Z$275,17,FALSE)="","",VLOOKUP(A14,'Revitalisation-Revitalisierung'!$A$4:$Z$275,17,FALSE))</f>
        <v>gross</v>
      </c>
      <c r="BO14" s="760" t="str">
        <f>IF(VLOOKUP(A14,'Revitalisation-Revitalisierung'!$A$4:$Z$275,18,FALSE)="","",VLOOKUP(A14,'Revitalisation-Revitalisierung'!$A$4:$Z$275,18,FALSE))</f>
        <v>Partiellement nécessaire, difficile / teilweise nötig, schwierig</v>
      </c>
      <c r="BP14" s="761" t="str">
        <f>IF(VLOOKUP(A14,'Revitalisation-Revitalisierung'!$A$4:$Z$275,19,FALSE)="","",VLOOKUP(A14,'Revitalisation-Revitalisierung'!$A$4:$Z$275,19,FALSE))</f>
        <v>Partiellement nécessaire, difficile / teilweise nötig, schwierig</v>
      </c>
      <c r="BQ14" s="759" t="str">
        <f>IF(VLOOKUP(A14,'Revitalisation-Revitalisierung'!$A$4:$Z$275,20,FALSE)="","",VLOOKUP(A14,'Revitalisation-Revitalisierung'!$A$4:$Z$275,20,FALSE))</f>
        <v>d</v>
      </c>
      <c r="BR14" s="759" t="str">
        <f>IF(VLOOKUP(A14,'Revitalisation-Revitalisierung'!$A$4:$Z$275,21,FALSE)="","",VLOOKUP(A14,'Revitalisation-Revitalisierung'!$A$4:$Z$275,21,FALSE))</f>
        <v/>
      </c>
      <c r="BS14" s="762" t="str">
        <f>IF(VLOOKUP(A14,'Revitalisation-Revitalisierung'!$A$4:$Z$275,22,FALSE)="","",VLOOKUP(A14,'Revitalisation-Revitalisierung'!$A$4:$Z$275,22,FALSE))</f>
        <v/>
      </c>
      <c r="BT14" s="700" t="str">
        <f>IF(VLOOKUP(A14,'Revitalisation-Revitalisierung'!$A$4:$Z$275,23,FALSE)="","",VLOOKUP(A14,'Revitalisation-Revitalisierung'!$A$4:$Z$275,23,FALSE))</f>
        <v/>
      </c>
      <c r="BU14" s="699" t="str">
        <f>IF(VLOOKUP(A14,'Revitalisation-Revitalisierung'!$A$4:$Z$275,24,FALSE)="","",VLOOKUP(A14,'Revitalisation-Revitalisierung'!$A$4:$Z$275,24,FALSE))</f>
        <v/>
      </c>
      <c r="BV14" s="761" t="str">
        <f>IF(VLOOKUP(A14,'Revitalisation-Revitalisierung'!$A$4:$Z$275,25,FALSE)="","",VLOOKUP(A14,'Revitalisation-Revitalisierung'!$A$4:$Z$275,25,FALSE))</f>
        <v>Partiellement nécessaire, difficile / teilweise nötig, schwierig</v>
      </c>
      <c r="BW14" s="871" t="str">
        <f>IF(VLOOKUP(A14,'Revitalisation-Revitalisierung'!$A$4:$AA$275,27,FALSE)="","",VLOOKUP(A14,'Revitalisation-Revitalisierung'!$A$4:$AA$275,27,FALSE))</f>
        <v>a</v>
      </c>
    </row>
    <row r="15" spans="1:75" ht="58.15" customHeight="1" x14ac:dyDescent="0.25">
      <c r="A15" s="935">
        <v>16</v>
      </c>
      <c r="B15" s="856">
        <f>IF(VLOOKUP(A15,'Données de base - Grunddaten'!$A$2:$M$297,2,FALSE)="","",VLOOKUP(A15,'Données de base - Grunddaten'!$A$2:$M$297,2,FALSE))</f>
        <v>1</v>
      </c>
      <c r="C15" s="857" t="str">
        <f>IF(VLOOKUP(A15,'Données de base - Grunddaten'!$A$2:$M$297,3,FALSE)="","",VLOOKUP(A15,'Données de base - Grunddaten'!$A$2:$M$297,3,FALSE))</f>
        <v>Gillhof–Glattburg</v>
      </c>
      <c r="D15" s="857" t="str">
        <f>IF(VLOOKUP(A15,'Données de base - Grunddaten'!$A$2:$M$297,4,FALSE)="","",VLOOKUP(A15,'Données de base - Grunddaten'!$A$2:$M$297,4,FALSE))</f>
        <v>Thur</v>
      </c>
      <c r="E15" s="857" t="str">
        <f>IF(VLOOKUP(A15,'Données de base - Grunddaten'!$A$2:$M$297,5,FALSE)="","",VLOOKUP(A15,'Données de base - Grunddaten'!$A$2:$M$297,5,FALSE))</f>
        <v>SG</v>
      </c>
      <c r="F15" s="857" t="str">
        <f>IF(VLOOKUP(A15,'Données de base - Grunddaten'!$A$2:$M$297,6,FALSE)="","",VLOOKUP(A15,'Données de base - Grunddaten'!$A$2:$M$297,6,FALSE))</f>
        <v>Plateau oriental</v>
      </c>
      <c r="G15" s="857" t="str">
        <f>IF(VLOOKUP(A15,'Données de base - Grunddaten'!$A$2:$M$297,7,FALSE)="","",VLOOKUP(A15,'Données de base - Grunddaten'!$A$2:$M$297,7,FALSE))</f>
        <v>Collinéen</v>
      </c>
      <c r="H15" s="857">
        <f>IF(VLOOKUP(A15,'Données de base - Grunddaten'!$A$2:$M$297,8,FALSE)="","",VLOOKUP(A15,'Données de base - Grunddaten'!$A$2:$M$297,8,FALSE))</f>
        <v>500</v>
      </c>
      <c r="I15" s="857">
        <f>IF(VLOOKUP(A15,'Données de base - Grunddaten'!$A$2:$M$297,9,FALSE)="","",VLOOKUP(A15,'Données de base - Grunddaten'!$A$2:$M$297,9,FALSE))</f>
        <v>1992</v>
      </c>
      <c r="J15" s="857">
        <f>IF(VLOOKUP(A15,'Données de base - Grunddaten'!$A$2:$M$297,10,FALSE)="","",VLOOKUP(A15,'Données de base - Grunddaten'!$A$2:$M$297,10,FALSE))</f>
        <v>52</v>
      </c>
      <c r="K15" s="857" t="str">
        <f>IF(VLOOKUP(A15,'Données de base - Grunddaten'!$A$2:$M$297,11,FALSE)="","",VLOOKUP(A15,'Données de base - Grunddaten'!$A$2:$M$297,11,FALSE))</f>
        <v>Cours d'eau corrigés de l'étage collinéen du Moyen-Pays</v>
      </c>
      <c r="L15" s="857" t="str">
        <f>IF(VLOOKUP(A15,'Données de base - Grunddaten'!$A$2:$M$297,12,FALSE)="","",VLOOKUP(A15,'Données de base - Grunddaten'!$A$2:$M$297,12,FALSE))</f>
        <v>en tresses</v>
      </c>
      <c r="M15" s="858" t="str">
        <f>IF(VLOOKUP(A15,'Données de base - Grunddaten'!$A$2:$M$297,13,FALSE)="","",VLOOKUP(A15,'Données de base - Grunddaten'!$A$2:$M$297,13,FALSE))</f>
        <v>cours rectiligne</v>
      </c>
      <c r="N15" s="872" t="str">
        <f>IF(VLOOKUP(A15,'Charriage - Geschiebehaushalt'!$A$4:$R$275,5,FALSE)="","",VLOOKUP(A15,'Charriage - Geschiebehaushalt'!$A$4:$R$275,5,FALSE))</f>
        <v>pertinent</v>
      </c>
      <c r="O15" s="873" t="str">
        <f>IF(VLOOKUP(A15,'Charriage - Geschiebehaushalt'!$A$4:$R$275,6,FALSE)="","",VLOOKUP(A15,'Charriage - Geschiebehaushalt'!$A$4:$R$275,6,FALSE))</f>
        <v>0-20%</v>
      </c>
      <c r="P15" s="874" t="str">
        <f>IF(VLOOKUP(A15,'Charriage - Geschiebehaushalt'!$A$4:$R$275,7,FALSE)="","",VLOOKUP(A15,'Charriage - Geschiebehaushalt'!$A$4:$R$275,7,FALSE))</f>
        <v/>
      </c>
      <c r="Q15" s="874" t="str">
        <f>IF(VLOOKUP(A15,'Charriage - Geschiebehaushalt'!$A$4:$R$275,8,FALSE)="","",VLOOKUP(A15,'Charriage - Geschiebehaushalt'!$A$4:$R$275,8,FALSE))</f>
        <v>non documenté</v>
      </c>
      <c r="R15" s="875">
        <f>IF(VLOOKUP(A15,'Charriage - Geschiebehaushalt'!$A$4:$R$275,9,FALSE)="","",VLOOKUP(A15,'Charriage - Geschiebehaushalt'!$A$4:$R$275,9,FALSE))</f>
        <v>0.72852571824261703</v>
      </c>
      <c r="S15" s="876" t="str">
        <f>IF(VLOOKUP(A15,'Charriage - Geschiebehaushalt'!$A$4:$R$275,10,FALSE)="","",VLOOKUP(A15,'Charriage - Geschiebehaushalt'!$A$4:$R$275,10,FALSE))</f>
        <v>la remobilisation des sédiments est perturbée</v>
      </c>
      <c r="T15" s="875">
        <f>IF(VLOOKUP(A15,'Charriage - Geschiebehaushalt'!$A$4:$R$275,11,FALSE)="","",VLOOKUP(A15,'Charriage - Geschiebehaushalt'!$A$4:$R$275,11,FALSE))</f>
        <v>9.8825064944999999E-2</v>
      </c>
      <c r="U15" s="876" t="str">
        <f>IF(VLOOKUP(A15,'Charriage - Geschiebehaushalt'!$A$4:$R$275,12,FALSE)="","",VLOOKUP(A15,'Charriage - Geschiebehaushalt'!$A$4:$R$275,12,FALSE))</f>
        <v>déficit dans les formations pionnières</v>
      </c>
      <c r="V15" s="877" t="str">
        <f>IF(VLOOKUP(A15,'Charriage - Geschiebehaushalt'!$A$4:$R$275,13,FALSE)="","",VLOOKUP(A15,'Charriage - Geschiebehaushalt'!$A$4:$R$275,13,FALSE))</f>
        <v/>
      </c>
      <c r="W15" s="877" t="str">
        <f>IF(VLOOKUP(A15,'Charriage - Geschiebehaushalt'!$A$4:$R$275,14,FALSE)="","",VLOOKUP(A15,'Charriage - Geschiebehaushalt'!$A$4:$R$275,14,FALSE))</f>
        <v/>
      </c>
      <c r="X15" s="877" t="str">
        <f>IF(VLOOKUP(A15,'Charriage - Geschiebehaushalt'!$A$4:$R$275,15,FALSE)="","",VLOOKUP(A15,'Charriage - Geschiebehaushalt'!$A$4:$R$275,15,FALSE))</f>
        <v/>
      </c>
      <c r="Y15" s="879" t="str">
        <f>IF(VLOOKUP(A15,'Charriage - Geschiebehaushalt'!$A$4:$R$275,16,FALSE)="","",VLOOKUP(A15,'Charriage - Geschiebehaushalt'!$A$4:$R$275,16,FALSE))</f>
        <v/>
      </c>
      <c r="Z15" s="763" t="str">
        <f>IF(VLOOKUP(A15,'Charriage - Geschiebehaushalt'!$A$4:$R$275,17,FALSE)="","",VLOOKUP(A15,'Charriage - Geschiebehaushalt'!$A$4:$R$275,17,FALSE))</f>
        <v>0-20%</v>
      </c>
      <c r="AA15" s="880" t="str">
        <f>IF(VLOOKUP(A15,'Charriage - Geschiebehaushalt'!$A$4:$R$275,18,FALSE)="","",VLOOKUP(A15,'Charriage - Geschiebehaushalt'!$A$4:$R$275,18,FALSE))</f>
        <v>a</v>
      </c>
      <c r="AB15" s="737" t="str">
        <f>IF(VLOOKUP(A15,'Charriage - Geschiebehaushalt'!$A$4:$AC$275,19,FALSE)="","",VLOOKUP(A15,'Charriage - Geschiebehaushalt'!$A$4:$AC$275,19,FALSE))</f>
        <v>non dét.</v>
      </c>
      <c r="AC15" s="738">
        <f>IF(VLOOKUP(A15,'Charriage - Geschiebehaushalt'!$A$4:$AC$275,20,FALSE)="","",VLOOKUP(A15,'Charriage - Geschiebehaushalt'!$A$4:$AC$275,20,FALSE))</f>
        <v>0</v>
      </c>
      <c r="AD15" s="764" t="str">
        <f>IF(VLOOKUP(A15,'Charriage - Geschiebehaushalt'!$A$4:$AC$275,21,FALSE)="","",VLOOKUP(A15,'Charriage - Geschiebehaushalt'!$A$4:$AC$275,21,FALSE))</f>
        <v/>
      </c>
      <c r="AE15" s="740" t="str">
        <f>IF(VLOOKUP(A15,'Charriage - Geschiebehaushalt'!$A$4:$AC$275,22,FALSE)="","",VLOOKUP(A15,'Charriage - Geschiebehaushalt'!$A$4:$AC$275,22,FALSE))</f>
        <v>0-20%</v>
      </c>
      <c r="AF15" s="787" t="str">
        <f>IF(VLOOKUP(A15,'Charriage - Geschiebehaushalt'!$A$4:$AC$275,23,FALSE)="","",VLOOKUP(A15,'Charriage - Geschiebehaushalt'!$A$4:$AC$275,23,FALSE))</f>
        <v>a</v>
      </c>
      <c r="AG15" s="765" t="str">
        <f>IF(VLOOKUP(A15,'Charriage - Geschiebehaushalt'!$A$4:$AC$275,24,FALSE)="","",VLOOKUP(A15,'Charriage - Geschiebehaushalt'!$A$4:$AC$275,24,FALSE))</f>
        <v/>
      </c>
      <c r="AH15" s="764" t="str">
        <f>IF(VLOOKUP(A15,'Charriage - Geschiebehaushalt'!$A$4:$AC$275,25,FALSE)="","",VLOOKUP(A15,'Charriage - Geschiebehaushalt'!$A$4:$AC$275,25,FALSE))</f>
        <v/>
      </c>
      <c r="AI15" s="433" t="str">
        <f>IF(VLOOKUP(A15,'Charriage - Geschiebehaushalt'!$A$4:$AC$275,26,FALSE)="","",VLOOKUP(A15,'Charriage - Geschiebehaushalt'!$A$4:$AC$275,26,FALSE))</f>
        <v/>
      </c>
      <c r="AJ15" s="436" t="str">
        <f>IF(VLOOKUP(A15,'Charriage - Geschiebehaushalt'!$A$4:$AC$275,27,FALSE)="","",VLOOKUP(A15,'Charriage - Geschiebehaushalt'!$A$4:$AC$275,27,FALSE))</f>
        <v>Geschiebedefizit aufgrund des vollständigen Rückhalts in der Anlage Buchholz</v>
      </c>
      <c r="AK15" s="814" t="str">
        <f>IF(VLOOKUP(A15,'Charriage - Geschiebehaushalt'!$A$4:$AC$275,28,FALSE)="","",VLOOKUP(A15,'Charriage - Geschiebehaushalt'!$A$4:$AC$275,28,FALSE))</f>
        <v>0-20%</v>
      </c>
      <c r="AL15" s="1285" t="str">
        <f>IF(VLOOKUP(A15,'Charriage - Geschiebehaushalt'!$A$4:$AD$275,30,FALSE)="","",VLOOKUP(A15,'Charriage - Geschiebehaushalt'!$A$4:$AD$275,30,FALSE))</f>
        <v>a</v>
      </c>
      <c r="AM15" s="1279" t="str">
        <f>IF(VLOOKUP(A15,'Débit - Abfluss'!$A$4:$K$275,5,FALSE)="","",VLOOKUP(A15,'Débit - Abfluss'!$A$4:$M$275,5,FALSE))</f>
        <v>100%</v>
      </c>
      <c r="AN15" s="868" t="str">
        <f>IF(VLOOKUP(A15,'Débit - Abfluss'!$A$4:$K$275,6,FALSE)="","",VLOOKUP(A15,'Débit - Abfluss'!$A$4:$M$275,6,FALSE))</f>
        <v>aucune information supplémentaire</v>
      </c>
      <c r="AO15" s="869" t="str">
        <f>IF(VLOOKUP(A15,'Débit - Abfluss'!$A$4:$K$275,7,FALSE)="","",VLOOKUP(A15,'Débit - Abfluss'!$A$4:$M$275,7,FALSE))</f>
        <v>aucune information supplémentaire</v>
      </c>
      <c r="AP15" s="766" t="str">
        <f>IF(VLOOKUP(A15,'Débit - Abfluss'!$A$4:$K$275,8,FALSE)="","",VLOOKUP(A15,'Débit - Abfluss'!$A$4:$M$275,8,FALSE))</f>
        <v>100%</v>
      </c>
      <c r="AQ15" s="742" t="str">
        <f>IF(VLOOKUP(A15,'Débit - Abfluss'!$A$4:$K$275,9,FALSE)="","",VLOOKUP(A15,'Débit - Abfluss'!$A$4:$M$275,9,FALSE))</f>
        <v>-</v>
      </c>
      <c r="AR15" s="767" t="str">
        <f>IF(VLOOKUP(A15,'Débit - Abfluss'!$A$4:$K$275,10,FALSE)="","",VLOOKUP(A15,'Débit - Abfluss'!$A$4:$M$275,10,FALSE))</f>
        <v>100%</v>
      </c>
      <c r="AS15" s="767" t="str">
        <f>IF(VLOOKUP(A15,'Débit - Abfluss'!$A$4:$K$275,11,FALSE)="","",VLOOKUP(A15,'Débit - Abfluss'!$A$4:$M$275,11,FALSE))</f>
        <v/>
      </c>
      <c r="AT15" s="744" t="str">
        <f>IF(VLOOKUP(A15,'Débit - Abfluss'!$A$4:$Q$275,12,FALSE)="","",VLOOKUP(A15,'Débit - Abfluss'!$A$4:$Q$275,12,FALSE))</f>
        <v/>
      </c>
      <c r="AU15" s="745" t="str">
        <f>IF(VLOOKUP(A15,'Débit - Abfluss'!$A$4:$Q$275,13,FALSE)="","",VLOOKUP(A15,'Débit - Abfluss'!$A$4:$Q$275,13,FALSE))</f>
        <v/>
      </c>
      <c r="AV15" s="746" t="str">
        <f>IF(VLOOKUP(A15,'Débit - Abfluss'!$A$4:$Q$275,14,FALSE)="","",VLOOKUP(A15,'Débit - Abfluss'!$A$4:$Q$275,14,FALSE))</f>
        <v/>
      </c>
      <c r="AW15" s="768" t="str">
        <f>IF(VLOOKUP(A15,'Débit - Abfluss'!$A$4:$Q$275,15,FALSE)="","",VLOOKUP(A15,'Débit - Abfluss'!$A$4:$Q$275,15,FALSE))</f>
        <v/>
      </c>
      <c r="AX15" s="677" t="str">
        <f>IF(VLOOKUP(A15,'Débit - Abfluss'!$A$4:$Q$275,16,FALSE)="","",VLOOKUP(A15,'Débit - Abfluss'!$A$4:$Q$275,16,FALSE))</f>
        <v/>
      </c>
      <c r="AY15" s="769" t="str">
        <f>IF(VLOOKUP(A15,'Débit - Abfluss'!$A$4:$Q$275,17,FALSE)="","",VLOOKUP(A15,'Débit - Abfluss'!$A$4:$Q$275,17,FALSE))</f>
        <v>100%</v>
      </c>
      <c r="AZ15" s="749" t="str">
        <f>IF(VLOOKUP(A15,'Eclusée - Schwall-Sunk'!$A$2:$F$273,5,FALSE)="","",VLOOKUP(A15,'Eclusée - Schwall-Sunk'!$A$2:$F$273,5,FALSE))</f>
        <v/>
      </c>
      <c r="BA15" s="750" t="str">
        <f>IF(VLOOKUP(A15,'Eclusée - Schwall-Sunk'!$A$2:$F$273,6,FALSE)="","",VLOOKUP(A15,'Eclusée - Schwall-Sunk'!$A$2:$F$273,6,FALSE))</f>
        <v>Non affecté / nicht betroffen</v>
      </c>
      <c r="BB15" s="751">
        <f>IF(VLOOKUP(A15,'Revitalisation-Revitalisierung'!$A$4:$Z$275,5,FALSE)="","",VLOOKUP(A15,'Revitalisation-Revitalisierung'!$A$4:$Z$275,5,FALSE))</f>
        <v>42.945454545454545</v>
      </c>
      <c r="BC15" s="752">
        <f>IF(VLOOKUP(A15,'Revitalisation-Revitalisierung'!$A$4:$Z$275,6,FALSE)="","",VLOOKUP(A15,'Revitalisation-Revitalisierung'!$A$4:$Z$275,6,FALSE))</f>
        <v>58.432189094275643</v>
      </c>
      <c r="BD15" s="752">
        <f>IF(VLOOKUP(A15,'Revitalisation-Revitalisierung'!$A$4:$Z$275,7,FALSE)="","",VLOOKUP(A15,'Revitalisation-Revitalisierung'!$A$4:$Z$275,7,FALSE))</f>
        <v>15.454545454545455</v>
      </c>
      <c r="BE15" s="753" t="str">
        <f>IF(VLOOKUP(A15,'Revitalisation-Revitalisierung'!$A$4:$Z$275,8,FALSE)="","",VLOOKUP(A15,'Revitalisation-Revitalisierung'!$A$4:$Z$275,8,FALSE))</f>
        <v>très nécessaire, facile</v>
      </c>
      <c r="BF15" s="754" t="str">
        <f>IF(VLOOKUP(A15,'Revitalisation-Revitalisierung'!$A$4:$Z$275,9,FALSE)="","",VLOOKUP(A15,'Revitalisation-Revitalisierung'!$A$4:$Z$275,9,FALSE))</f>
        <v>schwierig</v>
      </c>
      <c r="BG15" s="754" t="str">
        <f>IF(VLOOKUP(A15,'Revitalisation-Revitalisierung'!$A$4:$Z$275,10,FALSE)="","",VLOOKUP(A15,'Revitalisation-Revitalisierung'!$A$4:$Z$275,10,FALSE))</f>
        <v>K2</v>
      </c>
      <c r="BH15" s="755" t="str">
        <f>IF(VLOOKUP(A15,'Revitalisation-Revitalisierung'!$A$4:$Z$275,11,FALSE)="","",VLOOKUP(A15,'Revitalisation-Revitalisierung'!$A$4:$Z$275,11,FALSE))</f>
        <v/>
      </c>
      <c r="BI15" s="756" t="str">
        <f>IF(VLOOKUP(A15,'Revitalisation-Revitalisierung'!$A$4:$Z$275,12,FALSE)="","",VLOOKUP(A15,'Revitalisation-Revitalisierung'!$A$4:$Z$275,12,FALSE))</f>
        <v/>
      </c>
      <c r="BJ15" s="757" t="str">
        <f>IF(VLOOKUP(A15,'Revitalisation-Revitalisierung'!$A$4:$Z$275,13,FALSE)="","",VLOOKUP(A15,'Revitalisation-Revitalisierung'!$A$4:$Z$275,13,FALSE))</f>
        <v>Très nécessaire, facile / unbedingt nötig, einfach</v>
      </c>
      <c r="BK15" s="870" t="str">
        <f>IF(VLOOKUP(A15,'Revitalisation-Revitalisierung'!$A$4:$Z$275,14,FALSE)="","",VLOOKUP(A15,'Revitalisation-Revitalisierung'!$A$4:$Z$275,14,FALSE))</f>
        <v>a</v>
      </c>
      <c r="BL15" s="758" t="str">
        <f>IF(VLOOKUP(A15,'Revitalisation-Revitalisierung'!$A$4:$Z$275,15,FALSE)="","",VLOOKUP(A15,'Revitalisation-Revitalisierung'!$A$4:$Z$275,15,FALSE))</f>
        <v>important</v>
      </c>
      <c r="BM15" s="759" t="str">
        <f>IF(VLOOKUP(A15,'Revitalisation-Revitalisierung'!$A$4:$Z$275,16,FALSE)="","",VLOOKUP(A15,'Revitalisation-Revitalisierung'!$A$4:$Z$275,16,FALSE))</f>
        <v>important</v>
      </c>
      <c r="BN15" s="759" t="str">
        <f>IF(VLOOKUP(A15,'Revitalisation-Revitalisierung'!$A$4:$Z$275,17,FALSE)="","",VLOOKUP(A15,'Revitalisation-Revitalisierung'!$A$4:$Z$275,17,FALSE))</f>
        <v>gross</v>
      </c>
      <c r="BO15" s="760" t="str">
        <f>IF(VLOOKUP(A15,'Revitalisation-Revitalisierung'!$A$4:$Z$275,18,FALSE)="","",VLOOKUP(A15,'Revitalisation-Revitalisierung'!$A$4:$Z$275,18,FALSE))</f>
        <v>Très nécessaire, facile / unbedingt nötig, einfach</v>
      </c>
      <c r="BP15" s="761" t="str">
        <f>IF(VLOOKUP(A15,'Revitalisation-Revitalisierung'!$A$4:$Z$275,19,FALSE)="","",VLOOKUP(A15,'Revitalisation-Revitalisierung'!$A$4:$Z$275,19,FALSE))</f>
        <v>Très nécessaire, facile / unbedingt nötig, einfach</v>
      </c>
      <c r="BQ15" s="762" t="str">
        <f>IF(VLOOKUP(A15,'Revitalisation-Revitalisierung'!$A$4:$Z$275,20,FALSE)="","",VLOOKUP(A15,'Revitalisation-Revitalisierung'!$A$4:$Z$275,20,FALSE))</f>
        <v>d</v>
      </c>
      <c r="BR15" s="777" t="str">
        <f>IF(VLOOKUP(A15,'Revitalisation-Revitalisierung'!$A$4:$Z$275,21,FALSE)="","",VLOOKUP(A15,'Revitalisation-Revitalisierung'!$A$4:$Z$275,21,FALSE))</f>
        <v/>
      </c>
      <c r="BS15" s="762" t="str">
        <f>IF(VLOOKUP(A15,'Revitalisation-Revitalisierung'!$A$4:$Z$275,22,FALSE)="","",VLOOKUP(A15,'Revitalisation-Revitalisierung'!$A$4:$Z$275,22,FALSE))</f>
        <v/>
      </c>
      <c r="BT15" s="700" t="str">
        <f>IF(VLOOKUP(A15,'Revitalisation-Revitalisierung'!$A$4:$Z$275,23,FALSE)="","",VLOOKUP(A15,'Revitalisation-Revitalisierung'!$A$4:$Z$275,23,FALSE))</f>
        <v/>
      </c>
      <c r="BU15" s="701" t="str">
        <f>IF(VLOOKUP(A15,'Revitalisation-Revitalisierung'!$A$4:$Z$275,24,FALSE)="","",VLOOKUP(A15,'Revitalisation-Revitalisierung'!$A$4:$Z$275,24,FALSE))</f>
        <v/>
      </c>
      <c r="BV15" s="757" t="str">
        <f>IF(VLOOKUP(A15,'Revitalisation-Revitalisierung'!$A$4:$Z$275,25,FALSE)="","",VLOOKUP(A15,'Revitalisation-Revitalisierung'!$A$4:$Z$275,25,FALSE))</f>
        <v>Très nécessaire, facile / unbedingt nötig, einfach</v>
      </c>
      <c r="BW15" s="871" t="str">
        <f>IF(VLOOKUP(A15,'Revitalisation-Revitalisierung'!$A$4:$AA$275,27,FALSE)="","",VLOOKUP(A15,'Revitalisation-Revitalisierung'!$A$4:$AA$275,27,FALSE))</f>
        <v>a</v>
      </c>
    </row>
    <row r="16" spans="1:75" ht="58.15" customHeight="1" x14ac:dyDescent="0.25">
      <c r="A16" s="935">
        <v>18</v>
      </c>
      <c r="B16" s="856">
        <f>IF(VLOOKUP(A16,'Données de base - Grunddaten'!$A$2:$M$297,2,FALSE)="","",VLOOKUP(A16,'Données de base - Grunddaten'!$A$2:$M$297,2,FALSE))</f>
        <v>1</v>
      </c>
      <c r="C16" s="857" t="str">
        <f>IF(VLOOKUP(A16,'Données de base - Grunddaten'!$A$2:$M$297,3,FALSE)="","",VLOOKUP(A16,'Données de base - Grunddaten'!$A$2:$M$297,3,FALSE))</f>
        <v>Thurauen Wil-Weieren</v>
      </c>
      <c r="D16" s="857" t="str">
        <f>IF(VLOOKUP(A16,'Données de base - Grunddaten'!$A$2:$M$297,4,FALSE)="","",VLOOKUP(A16,'Données de base - Grunddaten'!$A$2:$M$297,4,FALSE))</f>
        <v>Thur</v>
      </c>
      <c r="E16" s="857" t="str">
        <f>IF(VLOOKUP(A16,'Données de base - Grunddaten'!$A$2:$M$297,5,FALSE)="","",VLOOKUP(A16,'Données de base - Grunddaten'!$A$2:$M$297,5,FALSE))</f>
        <v>SG</v>
      </c>
      <c r="F16" s="857" t="str">
        <f>IF(VLOOKUP(A16,'Données de base - Grunddaten'!$A$2:$M$297,6,FALSE)="","",VLOOKUP(A16,'Données de base - Grunddaten'!$A$2:$M$297,6,FALSE))</f>
        <v>Plateau oriental</v>
      </c>
      <c r="G16" s="857" t="str">
        <f>IF(VLOOKUP(A16,'Données de base - Grunddaten'!$A$2:$M$297,7,FALSE)="","",VLOOKUP(A16,'Données de base - Grunddaten'!$A$2:$M$297,7,FALSE))</f>
        <v>Collinéen</v>
      </c>
      <c r="H16" s="857">
        <f>IF(VLOOKUP(A16,'Données de base - Grunddaten'!$A$2:$M$297,8,FALSE)="","",VLOOKUP(A16,'Données de base - Grunddaten'!$A$2:$M$297,8,FALSE))</f>
        <v>520</v>
      </c>
      <c r="I16" s="857">
        <f>IF(VLOOKUP(A16,'Données de base - Grunddaten'!$A$2:$M$297,9,FALSE)="","",VLOOKUP(A16,'Données de base - Grunddaten'!$A$2:$M$297,9,FALSE))</f>
        <v>1992</v>
      </c>
      <c r="J16" s="857">
        <f>IF(VLOOKUP(A16,'Données de base - Grunddaten'!$A$2:$M$297,10,FALSE)="","",VLOOKUP(A16,'Données de base - Grunddaten'!$A$2:$M$297,10,FALSE))</f>
        <v>52</v>
      </c>
      <c r="K16" s="857" t="str">
        <f>IF(VLOOKUP(A16,'Données de base - Grunddaten'!$A$2:$M$297,11,FALSE)="","",VLOOKUP(A16,'Données de base - Grunddaten'!$A$2:$M$297,11,FALSE))</f>
        <v>Cours d'eau corrigés de l'étage collinéen du Moyen-Pays</v>
      </c>
      <c r="L16" s="857" t="str">
        <f>IF(VLOOKUP(A16,'Données de base - Grunddaten'!$A$2:$M$297,12,FALSE)="","",VLOOKUP(A16,'Données de base - Grunddaten'!$A$2:$M$297,12,FALSE))</f>
        <v>en tresses</v>
      </c>
      <c r="M16" s="858" t="str">
        <f>IF(VLOOKUP(A16,'Données de base - Grunddaten'!$A$2:$M$297,13,FALSE)="","",VLOOKUP(A16,'Données de base - Grunddaten'!$A$2:$M$297,13,FALSE))</f>
        <v>cours rectiligne</v>
      </c>
      <c r="N16" s="872" t="str">
        <f>IF(VLOOKUP(A16,'Charriage - Geschiebehaushalt'!$A$4:$R$275,5,FALSE)="","",VLOOKUP(A16,'Charriage - Geschiebehaushalt'!$A$4:$R$275,5,FALSE))</f>
        <v>pertinent</v>
      </c>
      <c r="O16" s="873" t="str">
        <f>IF(VLOOKUP(A16,'Charriage - Geschiebehaushalt'!$A$4:$R$275,6,FALSE)="","",VLOOKUP(A16,'Charriage - Geschiebehaushalt'!$A$4:$R$275,6,FALSE))</f>
        <v>0-20%</v>
      </c>
      <c r="P16" s="874" t="str">
        <f>IF(VLOOKUP(A16,'Charriage - Geschiebehaushalt'!$A$4:$R$275,7,FALSE)="","",VLOOKUP(A16,'Charriage - Geschiebehaushalt'!$A$4:$R$275,7,FALSE))</f>
        <v/>
      </c>
      <c r="Q16" s="874" t="str">
        <f>IF(VLOOKUP(A16,'Charriage - Geschiebehaushalt'!$A$4:$R$275,8,FALSE)="","",VLOOKUP(A16,'Charriage - Geschiebehaushalt'!$A$4:$R$275,8,FALSE))</f>
        <v>non documenté</v>
      </c>
      <c r="R16" s="875">
        <f>IF(VLOOKUP(A16,'Charriage - Geschiebehaushalt'!$A$4:$R$275,9,FALSE)="","",VLOOKUP(A16,'Charriage - Geschiebehaushalt'!$A$4:$R$275,9,FALSE))</f>
        <v>0.86792141642933995</v>
      </c>
      <c r="S16" s="876" t="str">
        <f>IF(VLOOKUP(A16,'Charriage - Geschiebehaushalt'!$A$4:$R$275,10,FALSE)="","",VLOOKUP(A16,'Charriage - Geschiebehaushalt'!$A$4:$R$275,10,FALSE))</f>
        <v>la remobilisation des sédiments est perturbée</v>
      </c>
      <c r="T16" s="875">
        <f>IF(VLOOKUP(A16,'Charriage - Geschiebehaushalt'!$A$4:$R$275,11,FALSE)="","",VLOOKUP(A16,'Charriage - Geschiebehaushalt'!$A$4:$R$275,11,FALSE))</f>
        <v>2.2360712735999998E-2</v>
      </c>
      <c r="U16" s="876" t="str">
        <f>IF(VLOOKUP(A16,'Charriage - Geschiebehaushalt'!$A$4:$R$275,12,FALSE)="","",VLOOKUP(A16,'Charriage - Geschiebehaushalt'!$A$4:$R$275,12,FALSE))</f>
        <v>déficit dans les formations pionnières</v>
      </c>
      <c r="V16" s="877" t="str">
        <f>IF(VLOOKUP(A16,'Charriage - Geschiebehaushalt'!$A$4:$R$275,13,FALSE)="","",VLOOKUP(A16,'Charriage - Geschiebehaushalt'!$A$4:$R$275,13,FALSE))</f>
        <v/>
      </c>
      <c r="W16" s="877" t="str">
        <f>IF(VLOOKUP(A16,'Charriage - Geschiebehaushalt'!$A$4:$R$275,14,FALSE)="","",VLOOKUP(A16,'Charriage - Geschiebehaushalt'!$A$4:$R$275,14,FALSE))</f>
        <v/>
      </c>
      <c r="X16" s="877" t="str">
        <f>IF(VLOOKUP(A16,'Charriage - Geschiebehaushalt'!$A$4:$R$275,15,FALSE)="","",VLOOKUP(A16,'Charriage - Geschiebehaushalt'!$A$4:$R$275,15,FALSE))</f>
        <v/>
      </c>
      <c r="Y16" s="879" t="str">
        <f>IF(VLOOKUP(A16,'Charriage - Geschiebehaushalt'!$A$4:$R$275,16,FALSE)="","",VLOOKUP(A16,'Charriage - Geschiebehaushalt'!$A$4:$R$275,16,FALSE))</f>
        <v/>
      </c>
      <c r="Z16" s="763" t="str">
        <f>IF(VLOOKUP(A16,'Charriage - Geschiebehaushalt'!$A$4:$R$275,17,FALSE)="","",VLOOKUP(A16,'Charriage - Geschiebehaushalt'!$A$4:$R$275,17,FALSE))</f>
        <v>0-20%</v>
      </c>
      <c r="AA16" s="880" t="str">
        <f>IF(VLOOKUP(A16,'Charriage - Geschiebehaushalt'!$A$4:$R$275,18,FALSE)="","",VLOOKUP(A16,'Charriage - Geschiebehaushalt'!$A$4:$R$275,18,FALSE))</f>
        <v>a</v>
      </c>
      <c r="AB16" s="737" t="str">
        <f>IF(VLOOKUP(A16,'Charriage - Geschiebehaushalt'!$A$4:$AC$275,19,FALSE)="","",VLOOKUP(A16,'Charriage - Geschiebehaushalt'!$A$4:$AC$275,19,FALSE))</f>
        <v>non dét.</v>
      </c>
      <c r="AC16" s="738">
        <f>IF(VLOOKUP(A16,'Charriage - Geschiebehaushalt'!$A$4:$AC$275,20,FALSE)="","",VLOOKUP(A16,'Charriage - Geschiebehaushalt'!$A$4:$AC$275,20,FALSE))</f>
        <v>0</v>
      </c>
      <c r="AD16" s="764" t="str">
        <f>IF(VLOOKUP(A16,'Charriage - Geschiebehaushalt'!$A$4:$AC$275,21,FALSE)="","",VLOOKUP(A16,'Charriage - Geschiebehaushalt'!$A$4:$AC$275,21,FALSE))</f>
        <v/>
      </c>
      <c r="AE16" s="740" t="str">
        <f>IF(VLOOKUP(A16,'Charriage - Geschiebehaushalt'!$A$4:$AC$275,22,FALSE)="","",VLOOKUP(A16,'Charriage - Geschiebehaushalt'!$A$4:$AC$275,22,FALSE))</f>
        <v>0-20%</v>
      </c>
      <c r="AF16" s="787" t="str">
        <f>IF(VLOOKUP(A16,'Charriage - Geschiebehaushalt'!$A$4:$AC$275,23,FALSE)="","",VLOOKUP(A16,'Charriage - Geschiebehaushalt'!$A$4:$AC$275,23,FALSE))</f>
        <v>a</v>
      </c>
      <c r="AG16" s="765" t="str">
        <f>IF(VLOOKUP(A16,'Charriage - Geschiebehaushalt'!$A$4:$AC$275,24,FALSE)="","",VLOOKUP(A16,'Charriage - Geschiebehaushalt'!$A$4:$AC$275,24,FALSE))</f>
        <v/>
      </c>
      <c r="AH16" s="764" t="str">
        <f>IF(VLOOKUP(A16,'Charriage - Geschiebehaushalt'!$A$4:$AC$275,25,FALSE)="","",VLOOKUP(A16,'Charriage - Geschiebehaushalt'!$A$4:$AC$275,25,FALSE))</f>
        <v/>
      </c>
      <c r="AI16" s="433" t="str">
        <f>IF(VLOOKUP(A16,'Charriage - Geschiebehaushalt'!$A$4:$AC$275,26,FALSE)="","",VLOOKUP(A16,'Charriage - Geschiebehaushalt'!$A$4:$AC$275,26,FALSE))</f>
        <v/>
      </c>
      <c r="AJ16" s="434" t="str">
        <f>IF(VLOOKUP(A16,'Charriage - Geschiebehaushalt'!$A$4:$AC$275,27,FALSE)="","",VLOOKUP(A16,'Charriage - Geschiebehaushalt'!$A$4:$AC$275,27,FALSE))</f>
        <v/>
      </c>
      <c r="AK16" s="814" t="str">
        <f>IF(VLOOKUP(A16,'Charriage - Geschiebehaushalt'!$A$4:$AC$275,28,FALSE)="","",VLOOKUP(A16,'Charriage - Geschiebehaushalt'!$A$4:$AC$275,28,FALSE))</f>
        <v>0-20%</v>
      </c>
      <c r="AL16" s="1285" t="str">
        <f>IF(VLOOKUP(A16,'Charriage - Geschiebehaushalt'!$A$4:$AD$275,30,FALSE)="","",VLOOKUP(A16,'Charriage - Geschiebehaushalt'!$A$4:$AD$275,30,FALSE))</f>
        <v>a</v>
      </c>
      <c r="AM16" s="1279" t="str">
        <f>IF(VLOOKUP(A16,'Débit - Abfluss'!$A$4:$K$275,5,FALSE)="","",VLOOKUP(A16,'Débit - Abfluss'!$A$4:$M$275,5,FALSE))</f>
        <v>100%</v>
      </c>
      <c r="AN16" s="868" t="str">
        <f>IF(VLOOKUP(A16,'Débit - Abfluss'!$A$4:$K$275,6,FALSE)="","",VLOOKUP(A16,'Débit - Abfluss'!$A$4:$M$275,6,FALSE))</f>
        <v>aucune information supplémentaire</v>
      </c>
      <c r="AO16" s="869" t="str">
        <f>IF(VLOOKUP(A16,'Débit - Abfluss'!$A$4:$K$275,7,FALSE)="","",VLOOKUP(A16,'Débit - Abfluss'!$A$4:$M$275,7,FALSE))</f>
        <v>aucune information supplémentaire</v>
      </c>
      <c r="AP16" s="766" t="str">
        <f>IF(VLOOKUP(A16,'Débit - Abfluss'!$A$4:$K$275,8,FALSE)="","",VLOOKUP(A16,'Débit - Abfluss'!$A$4:$M$275,8,FALSE))</f>
        <v>100%</v>
      </c>
      <c r="AQ16" s="742" t="str">
        <f>IF(VLOOKUP(A16,'Débit - Abfluss'!$A$4:$K$275,9,FALSE)="","",VLOOKUP(A16,'Débit - Abfluss'!$A$4:$M$275,9,FALSE))</f>
        <v>-</v>
      </c>
      <c r="AR16" s="767" t="str">
        <f>IF(VLOOKUP(A16,'Débit - Abfluss'!$A$4:$K$275,10,FALSE)="","",VLOOKUP(A16,'Débit - Abfluss'!$A$4:$M$275,10,FALSE))</f>
        <v>100%</v>
      </c>
      <c r="AS16" s="767" t="str">
        <f>IF(VLOOKUP(A16,'Débit - Abfluss'!$A$4:$K$275,11,FALSE)="","",VLOOKUP(A16,'Débit - Abfluss'!$A$4:$M$275,11,FALSE))</f>
        <v/>
      </c>
      <c r="AT16" s="744" t="str">
        <f>IF(VLOOKUP(A16,'Débit - Abfluss'!$A$4:$Q$275,12,FALSE)="","",VLOOKUP(A16,'Débit - Abfluss'!$A$4:$Q$275,12,FALSE))</f>
        <v/>
      </c>
      <c r="AU16" s="745" t="str">
        <f>IF(VLOOKUP(A16,'Débit - Abfluss'!$A$4:$Q$275,13,FALSE)="","",VLOOKUP(A16,'Débit - Abfluss'!$A$4:$Q$275,13,FALSE))</f>
        <v/>
      </c>
      <c r="AV16" s="746" t="str">
        <f>IF(VLOOKUP(A16,'Débit - Abfluss'!$A$4:$Q$275,14,FALSE)="","",VLOOKUP(A16,'Débit - Abfluss'!$A$4:$Q$275,14,FALSE))</f>
        <v/>
      </c>
      <c r="AW16" s="768" t="str">
        <f>IF(VLOOKUP(A16,'Débit - Abfluss'!$A$4:$Q$275,15,FALSE)="","",VLOOKUP(A16,'Débit - Abfluss'!$A$4:$Q$275,15,FALSE))</f>
        <v/>
      </c>
      <c r="AX16" s="677" t="str">
        <f>IF(VLOOKUP(A16,'Débit - Abfluss'!$A$4:$Q$275,16,FALSE)="","",VLOOKUP(A16,'Débit - Abfluss'!$A$4:$Q$275,16,FALSE))</f>
        <v/>
      </c>
      <c r="AY16" s="769" t="str">
        <f>IF(VLOOKUP(A16,'Débit - Abfluss'!$A$4:$Q$275,17,FALSE)="","",VLOOKUP(A16,'Débit - Abfluss'!$A$4:$Q$275,17,FALSE))</f>
        <v>100%</v>
      </c>
      <c r="AZ16" s="749" t="str">
        <f>IF(VLOOKUP(A16,'Eclusée - Schwall-Sunk'!$A$2:$F$273,5,FALSE)="","",VLOOKUP(A16,'Eclusée - Schwall-Sunk'!$A$2:$F$273,5,FALSE))</f>
        <v/>
      </c>
      <c r="BA16" s="750" t="str">
        <f>IF(VLOOKUP(A16,'Eclusée - Schwall-Sunk'!$A$2:$F$273,6,FALSE)="","",VLOOKUP(A16,'Eclusée - Schwall-Sunk'!$A$2:$F$273,6,FALSE))</f>
        <v>Non affecté / nicht betroffen</v>
      </c>
      <c r="BB16" s="751">
        <f>IF(VLOOKUP(A16,'Revitalisation-Revitalisierung'!$A$4:$Z$275,5,FALSE)="","",VLOOKUP(A16,'Revitalisation-Revitalisierung'!$A$4:$Z$275,5,FALSE))</f>
        <v>38.74545454545455</v>
      </c>
      <c r="BC16" s="752">
        <f>IF(VLOOKUP(A16,'Revitalisation-Revitalisierung'!$A$4:$Z$275,6,FALSE)="","",VLOOKUP(A16,'Revitalisation-Revitalisierung'!$A$4:$Z$275,6,FALSE))</f>
        <v>84.166666666666657</v>
      </c>
      <c r="BD16" s="752">
        <f>IF(VLOOKUP(A16,'Revitalisation-Revitalisierung'!$A$4:$Z$275,7,FALSE)="","",VLOOKUP(A16,'Revitalisation-Revitalisierung'!$A$4:$Z$275,7,FALSE))</f>
        <v>45.454545454545453</v>
      </c>
      <c r="BE16" s="753" t="str">
        <f>IF(VLOOKUP(A16,'Revitalisation-Revitalisierung'!$A$4:$Z$275,8,FALSE)="","",VLOOKUP(A16,'Revitalisation-Revitalisierung'!$A$4:$Z$275,8,FALSE))</f>
        <v>très nécessaire, difficile</v>
      </c>
      <c r="BF16" s="754" t="str">
        <f>IF(VLOOKUP(A16,'Revitalisation-Revitalisierung'!$A$4:$Z$275,9,FALSE)="","",VLOOKUP(A16,'Revitalisation-Revitalisierung'!$A$4:$Z$275,9,FALSE))</f>
        <v/>
      </c>
      <c r="BG16" s="754" t="str">
        <f>IF(VLOOKUP(A16,'Revitalisation-Revitalisierung'!$A$4:$Z$275,10,FALSE)="","",VLOOKUP(A16,'Revitalisation-Revitalisierung'!$A$4:$Z$275,10,FALSE))</f>
        <v>K2</v>
      </c>
      <c r="BH16" s="755" t="str">
        <f>IF(VLOOKUP(A16,'Revitalisation-Revitalisierung'!$A$4:$Z$275,11,FALSE)="","",VLOOKUP(A16,'Revitalisation-Revitalisierung'!$A$4:$Z$275,11,FALSE))</f>
        <v/>
      </c>
      <c r="BI16" s="756" t="str">
        <f>IF(VLOOKUP(A16,'Revitalisation-Revitalisierung'!$A$4:$Z$275,12,FALSE)="","",VLOOKUP(A16,'Revitalisation-Revitalisierung'!$A$4:$Z$275,12,FALSE))</f>
        <v/>
      </c>
      <c r="BJ16" s="757" t="str">
        <f>IF(VLOOKUP(A16,'Revitalisation-Revitalisierung'!$A$4:$Z$275,13,FALSE)="","",VLOOKUP(A16,'Revitalisation-Revitalisierung'!$A$4:$Z$275,13,FALSE))</f>
        <v>Très nécessaire, facile</v>
      </c>
      <c r="BK16" s="870" t="str">
        <f>IF(VLOOKUP(A16,'Revitalisation-Revitalisierung'!$A$4:$Z$275,14,FALSE)="","",VLOOKUP(A16,'Revitalisation-Revitalisierung'!$A$4:$Z$275,14,FALSE))</f>
        <v>b</v>
      </c>
      <c r="BL16" s="758" t="str">
        <f>IF(VLOOKUP(A16,'Revitalisation-Revitalisierung'!$A$4:$Z$275,15,FALSE)="","",VLOOKUP(A16,'Revitalisation-Revitalisierung'!$A$4:$Z$275,15,FALSE))</f>
        <v>important</v>
      </c>
      <c r="BM16" s="759" t="str">
        <f>IF(VLOOKUP(A16,'Revitalisation-Revitalisierung'!$A$4:$Z$275,16,FALSE)="","",VLOOKUP(A16,'Revitalisation-Revitalisierung'!$A$4:$Z$275,16,FALSE))</f>
        <v>important</v>
      </c>
      <c r="BN16" s="759" t="str">
        <f>IF(VLOOKUP(A16,'Revitalisation-Revitalisierung'!$A$4:$Z$275,17,FALSE)="","",VLOOKUP(A16,'Revitalisation-Revitalisierung'!$A$4:$Z$275,17,FALSE))</f>
        <v>gross</v>
      </c>
      <c r="BO16" s="760" t="str">
        <f>IF(VLOOKUP(A16,'Revitalisation-Revitalisierung'!$A$4:$Z$275,18,FALSE)="","",VLOOKUP(A16,'Revitalisation-Revitalisierung'!$A$4:$Z$275,18,FALSE))</f>
        <v>Très nécessaire, facile</v>
      </c>
      <c r="BP16" s="761" t="str">
        <f>IF(VLOOKUP(A16,'Revitalisation-Revitalisierung'!$A$4:$Z$275,19,FALSE)="","",VLOOKUP(A16,'Revitalisation-Revitalisierung'!$A$4:$Z$275,19,FALSE))</f>
        <v>Très nécessaire, facile</v>
      </c>
      <c r="BQ16" s="762" t="str">
        <f>IF(VLOOKUP(A16,'Revitalisation-Revitalisierung'!$A$4:$Z$275,20,FALSE)="","",VLOOKUP(A16,'Revitalisation-Revitalisierung'!$A$4:$Z$275,20,FALSE))</f>
        <v>d</v>
      </c>
      <c r="BR16" s="777" t="str">
        <f>IF(VLOOKUP(A16,'Revitalisation-Revitalisierung'!$A$4:$Z$275,21,FALSE)="","",VLOOKUP(A16,'Revitalisation-Revitalisierung'!$A$4:$Z$275,21,FALSE))</f>
        <v/>
      </c>
      <c r="BS16" s="762" t="str">
        <f>IF(VLOOKUP(A16,'Revitalisation-Revitalisierung'!$A$4:$Z$275,22,FALSE)="","",VLOOKUP(A16,'Revitalisation-Revitalisierung'!$A$4:$Z$275,22,FALSE))</f>
        <v/>
      </c>
      <c r="BT16" s="700" t="str">
        <f>IF(VLOOKUP(A16,'Revitalisation-Revitalisierung'!$A$4:$Z$275,23,FALSE)="","",VLOOKUP(A16,'Revitalisation-Revitalisierung'!$A$4:$Z$275,23,FALSE))</f>
        <v/>
      </c>
      <c r="BU16" s="702" t="str">
        <f>IF(VLOOKUP(A16,'Revitalisation-Revitalisierung'!$A$4:$Z$275,24,FALSE)="","",VLOOKUP(A16,'Revitalisation-Revitalisierung'!$A$4:$Z$275,24,FALSE))</f>
        <v/>
      </c>
      <c r="BV16" s="757" t="str">
        <f>IF(VLOOKUP(A16,'Revitalisation-Revitalisierung'!$A$4:$Z$275,25,FALSE)="","",VLOOKUP(A16,'Revitalisation-Revitalisierung'!$A$4:$Z$275,25,FALSE))</f>
        <v>Très nécessaire, facile</v>
      </c>
      <c r="BW16" s="871" t="str">
        <f>IF(VLOOKUP(A16,'Revitalisation-Revitalisierung'!$A$4:$AA$275,27,FALSE)="","",VLOOKUP(A16,'Revitalisation-Revitalisierung'!$A$4:$AA$275,27,FALSE))</f>
        <v>a</v>
      </c>
    </row>
    <row r="17" spans="1:75" ht="124.15" customHeight="1" x14ac:dyDescent="0.25">
      <c r="A17" s="935">
        <v>19</v>
      </c>
      <c r="B17" s="856">
        <f>IF(VLOOKUP(A17,'Données de base - Grunddaten'!$A$2:$M$297,2,FALSE)="","",VLOOKUP(A17,'Données de base - Grunddaten'!$A$2:$M$297,2,FALSE))</f>
        <v>1</v>
      </c>
      <c r="C17" s="857" t="str">
        <f>IF(VLOOKUP(A17,'Données de base - Grunddaten'!$A$2:$M$297,3,FALSE)="","",VLOOKUP(A17,'Données de base - Grunddaten'!$A$2:$M$297,3,FALSE))</f>
        <v>Thur und Necker bei Lütisburg</v>
      </c>
      <c r="D17" s="857" t="str">
        <f>IF(VLOOKUP(A17,'Données de base - Grunddaten'!$A$2:$M$297,4,FALSE)="","",VLOOKUP(A17,'Données de base - Grunddaten'!$A$2:$M$297,4,FALSE))</f>
        <v>Necker, Thur</v>
      </c>
      <c r="E17" s="857" t="str">
        <f>IF(VLOOKUP(A17,'Données de base - Grunddaten'!$A$2:$M$297,5,FALSE)="","",VLOOKUP(A17,'Données de base - Grunddaten'!$A$2:$M$297,5,FALSE))</f>
        <v>SG</v>
      </c>
      <c r="F17" s="857" t="str">
        <f>IF(VLOOKUP(A17,'Données de base - Grunddaten'!$A$2:$M$297,6,FALSE)="","",VLOOKUP(A17,'Données de base - Grunddaten'!$A$2:$M$297,6,FALSE))</f>
        <v>Plateau oriental, Préalpes</v>
      </c>
      <c r="G17" s="857" t="str">
        <f>IF(VLOOKUP(A17,'Données de base - Grunddaten'!$A$2:$M$297,7,FALSE)="","",VLOOKUP(A17,'Données de base - Grunddaten'!$A$2:$M$297,7,FALSE))</f>
        <v>Collinéen</v>
      </c>
      <c r="H17" s="857">
        <f>IF(VLOOKUP(A17,'Données de base - Grunddaten'!$A$2:$M$297,8,FALSE)="","",VLOOKUP(A17,'Données de base - Grunddaten'!$A$2:$M$297,8,FALSE))</f>
        <v>560</v>
      </c>
      <c r="I17" s="857">
        <f>IF(VLOOKUP(A17,'Données de base - Grunddaten'!$A$2:$M$297,9,FALSE)="","",VLOOKUP(A17,'Données de base - Grunddaten'!$A$2:$M$297,9,FALSE))</f>
        <v>1992</v>
      </c>
      <c r="J17" s="857">
        <f>IF(VLOOKUP(A17,'Données de base - Grunddaten'!$A$2:$M$297,10,FALSE)="","",VLOOKUP(A17,'Données de base - Grunddaten'!$A$2:$M$297,10,FALSE))</f>
        <v>51</v>
      </c>
      <c r="K17" s="857" t="str">
        <f>IF(VLOOKUP(A17,'Données de base - Grunddaten'!$A$2:$M$297,11,FALSE)="","",VLOOKUP(A17,'Données de base - Grunddaten'!$A$2:$M$297,11,FALSE))</f>
        <v>Cours d'eau naturels de l'étage collinéen du Moyen-Pays</v>
      </c>
      <c r="L17" s="857" t="str">
        <f>IF(VLOOKUP(A17,'Données de base - Grunddaten'!$A$2:$M$297,12,FALSE)="","",VLOOKUP(A17,'Données de base - Grunddaten'!$A$2:$M$297,12,FALSE))</f>
        <v>méandres développés</v>
      </c>
      <c r="M17" s="858" t="str">
        <f>IF(VLOOKUP(A17,'Données de base - Grunddaten'!$A$2:$M$297,13,FALSE)="","",VLOOKUP(A17,'Données de base - Grunddaten'!$A$2:$M$297,13,FALSE))</f>
        <v>méandres développés</v>
      </c>
      <c r="N17" s="872" t="str">
        <f>IF(VLOOKUP(A17,'Charriage - Geschiebehaushalt'!$A$4:$R$275,5,FALSE)="","",VLOOKUP(A17,'Charriage - Geschiebehaushalt'!$A$4:$R$275,5,FALSE))</f>
        <v>pertinent</v>
      </c>
      <c r="O17" s="873" t="str">
        <f>IF(VLOOKUP(A17,'Charriage - Geschiebehaushalt'!$A$4:$R$275,6,FALSE)="","",VLOOKUP(A17,'Charriage - Geschiebehaushalt'!$A$4:$R$275,6,FALSE))</f>
        <v>0-20%</v>
      </c>
      <c r="P17" s="874" t="str">
        <f>IF(VLOOKUP(A17,'Charriage - Geschiebehaushalt'!$A$4:$R$275,7,FALSE)="","",VLOOKUP(A17,'Charriage - Geschiebehaushalt'!$A$4:$R$275,7,FALSE))</f>
        <v/>
      </c>
      <c r="Q17" s="874" t="str">
        <f>IF(VLOOKUP(A17,'Charriage - Geschiebehaushalt'!$A$4:$R$275,8,FALSE)="","",VLOOKUP(A17,'Charriage - Geschiebehaushalt'!$A$4:$R$275,8,FALSE))</f>
        <v>non documenté</v>
      </c>
      <c r="R17" s="875">
        <f>IF(VLOOKUP(A17,'Charriage - Geschiebehaushalt'!$A$4:$R$275,9,FALSE)="","",VLOOKUP(A17,'Charriage - Geschiebehaushalt'!$A$4:$R$275,9,FALSE))</f>
        <v>2.5996407956088801E-2</v>
      </c>
      <c r="S17" s="876" t="str">
        <f>IF(VLOOKUP(A17,'Charriage - Geschiebehaushalt'!$A$4:$R$275,10,FALSE)="","",VLOOKUP(A17,'Charriage - Geschiebehaushalt'!$A$4:$R$275,10,FALSE))</f>
        <v>pas ou faiblement entravé</v>
      </c>
      <c r="T17" s="875">
        <f>IF(VLOOKUP(A17,'Charriage - Geschiebehaushalt'!$A$4:$R$275,11,FALSE)="","",VLOOKUP(A17,'Charriage - Geschiebehaushalt'!$A$4:$R$275,11,FALSE))</f>
        <v>0.12687276043000001</v>
      </c>
      <c r="U17" s="876" t="str">
        <f>IF(VLOOKUP(A17,'Charriage - Geschiebehaushalt'!$A$4:$R$275,12,FALSE)="","",VLOOKUP(A17,'Charriage - Geschiebehaushalt'!$A$4:$R$275,12,FALSE))</f>
        <v>déficit dans les formations pionnières</v>
      </c>
      <c r="V17" s="877" t="str">
        <f>IF(VLOOKUP(A17,'Charriage - Geschiebehaushalt'!$A$4:$R$275,13,FALSE)="","",VLOOKUP(A17,'Charriage - Geschiebehaushalt'!$A$4:$R$275,13,FALSE))</f>
        <v/>
      </c>
      <c r="W17" s="877" t="str">
        <f>IF(VLOOKUP(A17,'Charriage - Geschiebehaushalt'!$A$4:$R$275,14,FALSE)="","",VLOOKUP(A17,'Charriage - Geschiebehaushalt'!$A$4:$R$275,14,FALSE))</f>
        <v/>
      </c>
      <c r="X17" s="877" t="str">
        <f>IF(VLOOKUP(A17,'Charriage - Geschiebehaushalt'!$A$4:$R$275,15,FALSE)="","",VLOOKUP(A17,'Charriage - Geschiebehaushalt'!$A$4:$R$275,15,FALSE))</f>
        <v/>
      </c>
      <c r="Y17" s="879" t="str">
        <f>IF(VLOOKUP(A17,'Charriage - Geschiebehaushalt'!$A$4:$R$275,16,FALSE)="","",VLOOKUP(A17,'Charriage - Geschiebehaushalt'!$A$4:$R$275,16,FALSE))</f>
        <v/>
      </c>
      <c r="Z17" s="763" t="str">
        <f>IF(VLOOKUP(A17,'Charriage - Geschiebehaushalt'!$A$4:$R$275,17,FALSE)="","",VLOOKUP(A17,'Charriage - Geschiebehaushalt'!$A$4:$R$275,17,FALSE))</f>
        <v>0-20%</v>
      </c>
      <c r="AA17" s="880" t="str">
        <f>IF(VLOOKUP(A17,'Charriage - Geschiebehaushalt'!$A$4:$R$275,18,FALSE)="","",VLOOKUP(A17,'Charriage - Geschiebehaushalt'!$A$4:$R$275,18,FALSE))</f>
        <v>a</v>
      </c>
      <c r="AB17" s="737" t="str">
        <f>IF(VLOOKUP(A17,'Charriage - Geschiebehaushalt'!$A$4:$AC$275,19,FALSE)="","",VLOOKUP(A17,'Charriage - Geschiebehaushalt'!$A$4:$AC$275,19,FALSE))</f>
        <v>non dét.</v>
      </c>
      <c r="AC17" s="738">
        <f>IF(VLOOKUP(A17,'Charriage - Geschiebehaushalt'!$A$4:$AC$275,20,FALSE)="","",VLOOKUP(A17,'Charriage - Geschiebehaushalt'!$A$4:$AC$275,20,FALSE))</f>
        <v>0</v>
      </c>
      <c r="AD17" s="764" t="str">
        <f>IF(VLOOKUP(A17,'Charriage - Geschiebehaushalt'!$A$4:$AC$275,21,FALSE)="","",VLOOKUP(A17,'Charriage - Geschiebehaushalt'!$A$4:$AC$275,21,FALSE))</f>
        <v/>
      </c>
      <c r="AE17" s="740" t="str">
        <f>IF(VLOOKUP(A17,'Charriage - Geschiebehaushalt'!$A$4:$AC$275,22,FALSE)="","",VLOOKUP(A17,'Charriage - Geschiebehaushalt'!$A$4:$AC$275,22,FALSE))</f>
        <v>0-20%</v>
      </c>
      <c r="AF17" s="787" t="str">
        <f>IF(VLOOKUP(A17,'Charriage - Geschiebehaushalt'!$A$4:$AC$275,23,FALSE)="","",VLOOKUP(A17,'Charriage - Geschiebehaushalt'!$A$4:$AC$275,23,FALSE))</f>
        <v>a</v>
      </c>
      <c r="AG17" s="765" t="str">
        <f>IF(VLOOKUP(A17,'Charriage - Geschiebehaushalt'!$A$4:$AC$275,24,FALSE)="","",VLOOKUP(A17,'Charriage - Geschiebehaushalt'!$A$4:$AC$275,24,FALSE))</f>
        <v/>
      </c>
      <c r="AH17" s="764" t="str">
        <f>IF(VLOOKUP(A17,'Charriage - Geschiebehaushalt'!$A$4:$AC$275,25,FALSE)="","",VLOOKUP(A17,'Charriage - Geschiebehaushalt'!$A$4:$AC$275,25,FALSE))</f>
        <v/>
      </c>
      <c r="AI17" s="433" t="str">
        <f>IF(VLOOKUP(A17,'Charriage - Geschiebehaushalt'!$A$4:$AC$275,26,FALSE)="","",VLOOKUP(A17,'Charriage - Geschiebehaushalt'!$A$4:$AC$275,26,FALSE))</f>
        <v/>
      </c>
      <c r="AJ17" s="434" t="str">
        <f>IF(VLOOKUP(A17,'Charriage - Geschiebehaushalt'!$A$4:$AC$275,27,FALSE)="","",VLOOKUP(A17,'Charriage - Geschiebehaushalt'!$A$4:$AC$275,27,FALSE))</f>
        <v/>
      </c>
      <c r="AK17" s="814" t="str">
        <f>IF(VLOOKUP(A17,'Charriage - Geschiebehaushalt'!$A$4:$AC$275,28,FALSE)="","",VLOOKUP(A17,'Charriage - Geschiebehaushalt'!$A$4:$AC$275,28,FALSE))</f>
        <v>0-20%</v>
      </c>
      <c r="AL17" s="1285" t="str">
        <f>IF(VLOOKUP(A17,'Charriage - Geschiebehaushalt'!$A$4:$AD$275,30,FALSE)="","",VLOOKUP(A17,'Charriage - Geschiebehaushalt'!$A$4:$AD$275,30,FALSE))</f>
        <v>a</v>
      </c>
      <c r="AM17" s="1279" t="str">
        <f>IF(VLOOKUP(A17,'Débit - Abfluss'!$A$4:$K$275,5,FALSE)="","",VLOOKUP(A17,'Débit - Abfluss'!$A$4:$M$275,5,FALSE))</f>
        <v>100%</v>
      </c>
      <c r="AN17" s="868" t="str">
        <f>IF(VLOOKUP(A17,'Débit - Abfluss'!$A$4:$K$275,6,FALSE)="","",VLOOKUP(A17,'Débit - Abfluss'!$A$4:$M$275,6,FALSE))</f>
        <v>non documenté</v>
      </c>
      <c r="AO17" s="869" t="str">
        <f>IF(VLOOKUP(A17,'Débit - Abfluss'!$A$4:$K$275,7,FALSE)="","",VLOOKUP(A17,'Débit - Abfluss'!$A$4:$M$275,7,FALSE))</f>
        <v xml:space="preserve"> Prélèv :&gt; 50%(SG-016) (petit tronçon à debit résiduel non pris en compte dans évaluation globale)</v>
      </c>
      <c r="AP17" s="766" t="str">
        <f>IF(VLOOKUP(A17,'Débit - Abfluss'!$A$4:$K$275,8,FALSE)="","",VLOOKUP(A17,'Débit - Abfluss'!$A$4:$M$275,8,FALSE))</f>
        <v>100%</v>
      </c>
      <c r="AQ17" s="742" t="str">
        <f>IF(VLOOKUP(A17,'Débit - Abfluss'!$A$4:$K$275,9,FALSE)="","",VLOOKUP(A17,'Débit - Abfluss'!$A$4:$M$275,9,FALSE))</f>
        <v>-</v>
      </c>
      <c r="AR17" s="767" t="str">
        <f>IF(VLOOKUP(A17,'Débit - Abfluss'!$A$4:$K$275,10,FALSE)="","",VLOOKUP(A17,'Débit - Abfluss'!$A$4:$M$275,10,FALSE))</f>
        <v>100%</v>
      </c>
      <c r="AS17" s="767" t="str">
        <f>IF(VLOOKUP(A17,'Débit - Abfluss'!$A$4:$K$275,11,FALSE)="","",VLOOKUP(A17,'Débit - Abfluss'!$A$4:$M$275,11,FALSE))</f>
        <v/>
      </c>
      <c r="AT17" s="744" t="str">
        <f>IF(VLOOKUP(A17,'Débit - Abfluss'!$A$4:$Q$275,12,FALSE)="","",VLOOKUP(A17,'Débit - Abfluss'!$A$4:$Q$275,12,FALSE))</f>
        <v/>
      </c>
      <c r="AU17" s="745" t="str">
        <f>IF(VLOOKUP(A17,'Débit - Abfluss'!$A$4:$Q$275,13,FALSE)="","",VLOOKUP(A17,'Débit - Abfluss'!$A$4:$Q$275,13,FALSE))</f>
        <v/>
      </c>
      <c r="AV17" s="746" t="str">
        <f>IF(VLOOKUP(A17,'Débit - Abfluss'!$A$4:$Q$275,14,FALSE)="","",VLOOKUP(A17,'Débit - Abfluss'!$A$4:$Q$275,14,FALSE))</f>
        <v/>
      </c>
      <c r="AW17" s="768" t="str">
        <f>IF(VLOOKUP(A17,'Débit - Abfluss'!$A$4:$Q$275,15,FALSE)="","",VLOOKUP(A17,'Débit - Abfluss'!$A$4:$Q$275,15,FALSE))</f>
        <v/>
      </c>
      <c r="AX17" s="677" t="str">
        <f>IF(VLOOKUP(A17,'Débit - Abfluss'!$A$4:$Q$275,16,FALSE)="","",VLOOKUP(A17,'Débit - Abfluss'!$A$4:$Q$275,16,FALSE))</f>
        <v/>
      </c>
      <c r="AY17" s="769" t="str">
        <f>IF(VLOOKUP(A17,'Débit - Abfluss'!$A$4:$Q$275,17,FALSE)="","",VLOOKUP(A17,'Débit - Abfluss'!$A$4:$Q$275,17,FALSE))</f>
        <v>100%</v>
      </c>
      <c r="AZ17" s="749" t="str">
        <f>IF(VLOOKUP(A17,'Eclusée - Schwall-Sunk'!$A$2:$F$273,5,FALSE)="","",VLOOKUP(A17,'Eclusée - Schwall-Sunk'!$A$2:$F$273,5,FALSE))</f>
        <v>force hydraulique + autre prélèvement</v>
      </c>
      <c r="BA17" s="750" t="str">
        <f>IF(VLOOKUP(A17,'Eclusée - Schwall-Sunk'!$A$2:$F$273,6,FALSE)="","",VLOOKUP(A17,'Eclusée - Schwall-Sunk'!$A$2:$F$273,6,FALSE))</f>
        <v>Non affecté / nicht betroffen</v>
      </c>
      <c r="BB17" s="751">
        <f>IF(VLOOKUP(A17,'Revitalisation-Revitalisierung'!$A$4:$Z$275,5,FALSE)="","",VLOOKUP(A17,'Revitalisation-Revitalisierung'!$A$4:$Z$275,5,FALSE))</f>
        <v>-24.09090909090909</v>
      </c>
      <c r="BC17" s="752">
        <f>IF(VLOOKUP(A17,'Revitalisation-Revitalisierung'!$A$4:$Z$275,6,FALSE)="","",VLOOKUP(A17,'Revitalisation-Revitalisierung'!$A$4:$Z$275,6,FALSE))</f>
        <v>0</v>
      </c>
      <c r="BD17" s="752">
        <f>IF(VLOOKUP(A17,'Revitalisation-Revitalisierung'!$A$4:$Z$275,7,FALSE)="","",VLOOKUP(A17,'Revitalisation-Revitalisierung'!$A$4:$Z$275,7,FALSE))</f>
        <v>24.09090909090909</v>
      </c>
      <c r="BE17" s="753" t="str">
        <f>IF(VLOOKUP(A17,'Revitalisation-Revitalisierung'!$A$4:$Z$275,8,FALSE)="","",VLOOKUP(A17,'Revitalisation-Revitalisierung'!$A$4:$Z$275,8,FALSE))</f>
        <v>non nécessaire</v>
      </c>
      <c r="BF17" s="754" t="str">
        <f>IF(VLOOKUP(A17,'Revitalisation-Revitalisierung'!$A$4:$Z$275,9,FALSE)="","",VLOOKUP(A17,'Revitalisation-Revitalisierung'!$A$4:$Z$275,9,FALSE))</f>
        <v/>
      </c>
      <c r="BG17" s="754" t="str">
        <f>IF(VLOOKUP(A17,'Revitalisation-Revitalisierung'!$A$4:$Z$275,10,FALSE)="","",VLOOKUP(A17,'Revitalisation-Revitalisierung'!$A$4:$Z$275,10,FALSE))</f>
        <v>K3</v>
      </c>
      <c r="BH17" s="755" t="str">
        <f>IF(VLOOKUP(A17,'Revitalisation-Revitalisierung'!$A$4:$Z$275,11,FALSE)="","",VLOOKUP(A17,'Revitalisation-Revitalisierung'!$A$4:$Z$275,11,FALSE))</f>
        <v/>
      </c>
      <c r="BI17" s="756" t="str">
        <f>IF(VLOOKUP(A17,'Revitalisation-Revitalisierung'!$A$4:$Z$275,12,FALSE)="","",VLOOKUP(A17,'Revitalisation-Revitalisierung'!$A$4:$Z$275,12,FALSE))</f>
        <v/>
      </c>
      <c r="BJ17" s="757" t="str">
        <f>IF(VLOOKUP(A17,'Revitalisation-Revitalisierung'!$A$4:$Z$275,13,FALSE)="","",VLOOKUP(A17,'Revitalisation-Revitalisierung'!$A$4:$Z$275,13,FALSE))</f>
        <v>Non nécessaire</v>
      </c>
      <c r="BK17" s="870" t="str">
        <f>IF(VLOOKUP(A17,'Revitalisation-Revitalisierung'!$A$4:$Z$275,14,FALSE)="","",VLOOKUP(A17,'Revitalisation-Revitalisierung'!$A$4:$Z$275,14,FALSE))</f>
        <v>a</v>
      </c>
      <c r="BL17" s="758" t="str">
        <f>IF(VLOOKUP(A17,'Revitalisation-Revitalisierung'!$A$4:$Z$275,15,FALSE)="","",VLOOKUP(A17,'Revitalisation-Revitalisierung'!$A$4:$Z$275,15,FALSE))</f>
        <v>important</v>
      </c>
      <c r="BM17" s="759" t="str">
        <f>IF(VLOOKUP(A17,'Revitalisation-Revitalisierung'!$A$4:$Z$275,16,FALSE)="","",VLOOKUP(A17,'Revitalisation-Revitalisierung'!$A$4:$Z$275,16,FALSE))</f>
        <v>moyen</v>
      </c>
      <c r="BN17" s="759" t="str">
        <f>IF(VLOOKUP(A17,'Revitalisation-Revitalisierung'!$A$4:$Z$275,17,FALSE)="","",VLOOKUP(A17,'Revitalisation-Revitalisierung'!$A$4:$Z$275,17,FALSE))</f>
        <v>gross</v>
      </c>
      <c r="BO17" s="760" t="str">
        <f>IF(VLOOKUP(A17,'Revitalisation-Revitalisierung'!$A$4:$Z$275,18,FALSE)="","",VLOOKUP(A17,'Revitalisation-Revitalisierung'!$A$4:$Z$275,18,FALSE))</f>
        <v>Très nécessaire, difficile</v>
      </c>
      <c r="BP17" s="761" t="str">
        <f>IF(VLOOKUP(A17,'Revitalisation-Revitalisierung'!$A$4:$Z$275,19,FALSE)="","",VLOOKUP(A17,'Revitalisation-Revitalisierung'!$A$4:$Z$275,19,FALSE))</f>
        <v>Très nécessaire, difficile</v>
      </c>
      <c r="BQ17" s="759" t="str">
        <f>IF(VLOOKUP(A17,'Revitalisation-Revitalisierung'!$A$4:$Z$275,20,FALSE)="","",VLOOKUP(A17,'Revitalisation-Revitalisierung'!$A$4:$Z$275,20,FALSE))</f>
        <v>c</v>
      </c>
      <c r="BR17" s="759" t="str">
        <f>IF(VLOOKUP(A17,'Revitalisation-Revitalisierung'!$A$4:$Z$275,21,FALSE)="","",VLOOKUP(A17,'Revitalisation-Revitalisierung'!$A$4:$Z$275,21,FALSE))</f>
        <v/>
      </c>
      <c r="BS17" s="762" t="str">
        <f>IF(VLOOKUP(A17,'Revitalisation-Revitalisierung'!$A$4:$Z$275,22,FALSE)="","",VLOOKUP(A17,'Revitalisation-Revitalisierung'!$A$4:$Z$275,22,FALSE))</f>
        <v/>
      </c>
      <c r="BT17" s="703" t="str">
        <f>IF(VLOOKUP(A17,'Revitalisation-Revitalisierung'!$A$4:$Z$275,23,FALSE)="","",VLOOKUP(A17,'Revitalisation-Revitalisierung'!$A$4:$Z$275,23,FALSE))</f>
        <v/>
      </c>
      <c r="BU17" s="704" t="str">
        <f>IF(VLOOKUP(A17,'Revitalisation-Revitalisierung'!$A$4:$Z$275,24,FALSE)="","",VLOOKUP(A17,'Revitalisation-Revitalisierung'!$A$4:$Z$275,24,FALSE))</f>
        <v/>
      </c>
      <c r="BV17" s="761" t="str">
        <f>IF(VLOOKUP(A17,'Revitalisation-Revitalisierung'!$A$4:$Z$275,25,FALSE)="","",VLOOKUP(A17,'Revitalisation-Revitalisierung'!$A$4:$Z$275,25,FALSE))</f>
        <v>Très nécessaire, difficile</v>
      </c>
      <c r="BW17" s="871" t="str">
        <f>IF(VLOOKUP(A17,'Revitalisation-Revitalisierung'!$A$4:$AA$275,27,FALSE)="","",VLOOKUP(A17,'Revitalisation-Revitalisierung'!$A$4:$AA$275,27,FALSE))</f>
        <v>a</v>
      </c>
    </row>
    <row r="18" spans="1:75" ht="63.6" customHeight="1" x14ac:dyDescent="0.25">
      <c r="A18" s="1230">
        <v>22</v>
      </c>
      <c r="B18" s="856">
        <f>IF(VLOOKUP(A18,'Données de base - Grunddaten'!$A$2:$M$297,2,FALSE)="","",VLOOKUP(A18,'Données de base - Grunddaten'!$A$2:$M$297,2,FALSE))</f>
        <v>1</v>
      </c>
      <c r="C18" s="857" t="str">
        <f>IF(VLOOKUP(A18,'Données de base - Grunddaten'!$A$2:$M$297,3,FALSE)="","",VLOOKUP(A18,'Données de base - Grunddaten'!$A$2:$M$297,3,FALSE))</f>
        <v>Zizers-Mastril</v>
      </c>
      <c r="D18" s="857" t="str">
        <f>IF(VLOOKUP(A18,'Données de base - Grunddaten'!$A$2:$M$297,4,FALSE)="","",VLOOKUP(A18,'Données de base - Grunddaten'!$A$2:$M$297,4,FALSE))</f>
        <v>Rhein</v>
      </c>
      <c r="E18" s="857" t="str">
        <f>IF(VLOOKUP(A18,'Données de base - Grunddaten'!$A$2:$M$297,5,FALSE)="","",VLOOKUP(A18,'Données de base - Grunddaten'!$A$2:$M$297,5,FALSE))</f>
        <v>GR</v>
      </c>
      <c r="F18" s="857" t="str">
        <f>IF(VLOOKUP(A18,'Données de base - Grunddaten'!$A$2:$M$297,6,FALSE)="","",VLOOKUP(A18,'Données de base - Grunddaten'!$A$2:$M$297,6,FALSE))</f>
        <v>Alpes septentrionales</v>
      </c>
      <c r="G18" s="857" t="str">
        <f>IF(VLOOKUP(A18,'Données de base - Grunddaten'!$A$2:$M$297,7,FALSE)="","",VLOOKUP(A18,'Données de base - Grunddaten'!$A$2:$M$297,7,FALSE))</f>
        <v>Collinéen</v>
      </c>
      <c r="H18" s="857" t="str">
        <f>IF(VLOOKUP(A18,'Données de base - Grunddaten'!$A$2:$M$297,8,FALSE)="","",VLOOKUP(A18,'Données de base - Grunddaten'!$A$2:$M$297,8,FALSE))</f>
        <v>520 m</v>
      </c>
      <c r="I18" s="857" t="str">
        <f>IF(VLOOKUP(A18,'Données de base - Grunddaten'!$A$2:$M$297,9,FALSE)="","",VLOOKUP(A18,'Données de base - Grunddaten'!$A$2:$M$297,9,FALSE))</f>
        <v>candidat</v>
      </c>
      <c r="J18" s="857">
        <f>IF(VLOOKUP(A18,'Données de base - Grunddaten'!$A$2:$M$297,10,FALSE)="","",VLOOKUP(A18,'Données de base - Grunddaten'!$A$2:$M$297,10,FALSE))</f>
        <v>70</v>
      </c>
      <c r="K18" s="857" t="str">
        <f>IF(VLOOKUP(A18,'Données de base - Grunddaten'!$A$2:$M$297,11,FALSE)="","",VLOOKUP(A18,'Données de base - Grunddaten'!$A$2:$M$297,11,FALSE))</f>
        <v>Cours d'eau de l'étage collinéen des Alpes centrales</v>
      </c>
      <c r="L18" s="857" t="str">
        <f>IF(VLOOKUP(A18,'Données de base - Grunddaten'!$A$2:$M$297,12,FALSE)="","",VLOOKUP(A18,'Données de base - Grunddaten'!$A$2:$M$297,12,FALSE))</f>
        <v>en tresses</v>
      </c>
      <c r="M18" s="858" t="str">
        <f>IF(VLOOKUP(A18,'Données de base - Grunddaten'!$A$2:$M$297,13,FALSE)="","",VLOOKUP(A18,'Données de base - Grunddaten'!$A$2:$M$297,13,FALSE))</f>
        <v>en tresses</v>
      </c>
      <c r="N18" s="872" t="str">
        <f>IF(VLOOKUP(A18,'Charriage - Geschiebehaushalt'!$A$4:$R$275,5,FALSE)="","",VLOOKUP(A18,'Charriage - Geschiebehaushalt'!$A$4:$R$275,5,FALSE))</f>
        <v>pertinent</v>
      </c>
      <c r="O18" s="873" t="str">
        <f>IF(VLOOKUP(A18,'Charriage - Geschiebehaushalt'!$A$4:$R$275,6,FALSE)="","",VLOOKUP(A18,'Charriage - Geschiebehaushalt'!$A$4:$R$275,6,FALSE))</f>
        <v>51-80%</v>
      </c>
      <c r="P18" s="874" t="str">
        <f>IF(VLOOKUP(A18,'Charriage - Geschiebehaushalt'!$A$4:$R$275,7,FALSE)="","",VLOOKUP(A18,'Charriage - Geschiebehaushalt'!$A$4:$R$275,7,FALSE))</f>
        <v/>
      </c>
      <c r="Q18" s="874" t="str">
        <f>IF(VLOOKUP(A18,'Charriage - Geschiebehaushalt'!$A$4:$R$275,8,FALSE)="","",VLOOKUP(A18,'Charriage - Geschiebehaushalt'!$A$4:$R$275,8,FALSE))</f>
        <v>non documenté</v>
      </c>
      <c r="R18" s="875">
        <f>IF(VLOOKUP(A18,'Charriage - Geschiebehaushalt'!$A$4:$R$275,9,FALSE)="","",VLOOKUP(A18,'Charriage - Geschiebehaushalt'!$A$4:$R$275,9,FALSE))</f>
        <v>0.73199999999999998</v>
      </c>
      <c r="S18" s="876" t="str">
        <f>IF(VLOOKUP(A18,'Charriage - Geschiebehaushalt'!$A$4:$R$275,10,FALSE)="","",VLOOKUP(A18,'Charriage - Geschiebehaushalt'!$A$4:$R$275,10,FALSE))</f>
        <v>la remobilisation des sédiments est perturbée</v>
      </c>
      <c r="T18" s="875">
        <f>IF(VLOOKUP(A18,'Charriage - Geschiebehaushalt'!$A$4:$R$275,11,FALSE)="","",VLOOKUP(A18,'Charriage - Geschiebehaushalt'!$A$4:$R$275,11,FALSE))</f>
        <v>0.375</v>
      </c>
      <c r="U18" s="876" t="str">
        <f>IF(VLOOKUP(A18,'Charriage - Geschiebehaushalt'!$A$4:$R$275,12,FALSE)="","",VLOOKUP(A18,'Charriage - Geschiebehaushalt'!$A$4:$R$275,12,FALSE))</f>
        <v>déficit non apparent en charriage ou en remobilisation des sédiments</v>
      </c>
      <c r="V18" s="877" t="str">
        <f>IF(VLOOKUP(A18,'Charriage - Geschiebehaushalt'!$A$4:$R$275,13,FALSE)="","",VLOOKUP(A18,'Charriage - Geschiebehaushalt'!$A$4:$R$275,13,FALSE))</f>
        <v/>
      </c>
      <c r="W18" s="877" t="str">
        <f>IF(VLOOKUP(A18,'Charriage - Geschiebehaushalt'!$A$4:$R$275,14,FALSE)="","",VLOOKUP(A18,'Charriage - Geschiebehaushalt'!$A$4:$R$275,14,FALSE))</f>
        <v/>
      </c>
      <c r="X18" s="877" t="str">
        <f>IF(VLOOKUP(A18,'Charriage - Geschiebehaushalt'!$A$4:$R$275,15,FALSE)="","",VLOOKUP(A18,'Charriage - Geschiebehaushalt'!$A$4:$R$275,15,FALSE))</f>
        <v/>
      </c>
      <c r="Y18" s="879" t="str">
        <f>IF(VLOOKUP(A18,'Charriage - Geschiebehaushalt'!$A$4:$R$275,16,FALSE)="","",VLOOKUP(A18,'Charriage - Geschiebehaushalt'!$A$4:$R$275,16,FALSE))</f>
        <v/>
      </c>
      <c r="Z18" s="763" t="str">
        <f>IF(VLOOKUP(A18,'Charriage - Geschiebehaushalt'!$A$4:$R$275,17,FALSE)="","",VLOOKUP(A18,'Charriage - Geschiebehaushalt'!$A$4:$R$275,17,FALSE))</f>
        <v>51-80%</v>
      </c>
      <c r="AA18" s="880" t="str">
        <f>IF(VLOOKUP(A18,'Charriage - Geschiebehaushalt'!$A$4:$R$275,18,FALSE)="","",VLOOKUP(A18,'Charriage - Geschiebehaushalt'!$A$4:$R$275,18,FALSE))</f>
        <v>a</v>
      </c>
      <c r="AB18" s="737" t="str">
        <f>IF(VLOOKUP(A18,'Charriage - Geschiebehaushalt'!$A$4:$AC$275,19,FALSE)="","",VLOOKUP(A18,'Charriage - Geschiebehaushalt'!$A$4:$AC$275,19,FALSE))</f>
        <v>vernachlässigbar</v>
      </c>
      <c r="AC18" s="738">
        <f>IF(VLOOKUP(A18,'Charriage - Geschiebehaushalt'!$A$4:$AC$275,20,FALSE)="","",VLOOKUP(A18,'Charriage - Geschiebehaushalt'!$A$4:$AC$275,20,FALSE))</f>
        <v>0</v>
      </c>
      <c r="AD18" s="764" t="str">
        <f>IF(VLOOKUP(A18,'Charriage - Geschiebehaushalt'!$A$4:$AC$275,21,FALSE)="","",VLOOKUP(A18,'Charriage - Geschiebehaushalt'!$A$4:$AC$275,21,FALSE))</f>
        <v>21-50%</v>
      </c>
      <c r="AE18" s="772" t="str">
        <f>IF(VLOOKUP(A18,'Charriage - Geschiebehaushalt'!$A$4:$AC$275,22,FALSE)="","",VLOOKUP(A18,'Charriage - Geschiebehaushalt'!$A$4:$AC$275,22,FALSE))</f>
        <v>21-50%</v>
      </c>
      <c r="AF18" s="787" t="str">
        <f>IF(VLOOKUP(A18,'Charriage - Geschiebehaushalt'!$A$4:$AC$275,23,FALSE)="","",VLOOKUP(A18,'Charriage - Geschiebehaushalt'!$A$4:$AC$275,23,FALSE))</f>
        <v>c</v>
      </c>
      <c r="AG18" s="765" t="str">
        <f>IF(VLOOKUP(A18,'Charriage - Geschiebehaushalt'!$A$4:$AC$275,24,FALSE)="","",VLOOKUP(A18,'Charriage - Geschiebehaushalt'!$A$4:$AC$275,24,FALSE))</f>
        <v/>
      </c>
      <c r="AH18" s="764" t="str">
        <f>IF(VLOOKUP(A18,'Charriage - Geschiebehaushalt'!$A$4:$AC$275,25,FALSE)="","",VLOOKUP(A18,'Charriage - Geschiebehaushalt'!$A$4:$AC$275,25,FALSE))</f>
        <v>X</v>
      </c>
      <c r="AI18" s="771" t="str">
        <f>IF(VLOOKUP(A18,'Charriage - Geschiebehaushalt'!$A$4:$AC$275,26,FALSE)="","",VLOOKUP(A18,'Charriage - Geschiebehaushalt'!$A$4:$AC$275,26,FALSE))</f>
        <v/>
      </c>
      <c r="AJ18" s="890" t="str">
        <f>IF(VLOOKUP(A18,'Charriage - Geschiebehaushalt'!$A$4:$AC$275,27,FALSE)="","",VLOOKUP(A18,'Charriage - Geschiebehaushalt'!$A$4:$AC$275,27,FALSE))</f>
        <v>PAS EXPRIMÉ</v>
      </c>
      <c r="AK18" s="814" t="str">
        <f>IF(VLOOKUP(A18,'Charriage - Geschiebehaushalt'!$A$4:$AC$275,28,FALSE)="","",VLOOKUP(A18,'Charriage - Geschiebehaushalt'!$A$4:$AC$275,28,FALSE))</f>
        <v>21-50%</v>
      </c>
      <c r="AL18" s="1285" t="str">
        <f>IF(VLOOKUP(A18,'Charriage - Geschiebehaushalt'!$A$4:$AD$275,30,FALSE)="","",VLOOKUP(A18,'Charriage - Geschiebehaushalt'!$A$4:$AD$275,30,FALSE))</f>
        <v>a</v>
      </c>
      <c r="AM18" s="1279" t="str">
        <f>IF(VLOOKUP(A18,'Débit - Abfluss'!$A$4:$K$275,5,FALSE)="","",VLOOKUP(A18,'Débit - Abfluss'!$A$4:$M$275,5,FALSE))</f>
        <v>81-100%</v>
      </c>
      <c r="AN18" s="868" t="str">
        <f>IF(VLOOKUP(A18,'Débit - Abfluss'!$A$4:$K$275,6,FALSE)="","",VLOOKUP(A18,'Débit - Abfluss'!$A$4:$M$275,6,FALSE))</f>
        <v/>
      </c>
      <c r="AO18" s="869" t="str">
        <f>IF(VLOOKUP(A18,'Débit - Abfluss'!$A$4:$K$275,7,FALSE)="","",VLOOKUP(A18,'Débit - Abfluss'!$A$4:$M$275,7,FALSE))</f>
        <v/>
      </c>
      <c r="AP18" s="766" t="str">
        <f>IF(VLOOKUP(A18,'Débit - Abfluss'!$A$4:$K$275,8,FALSE)="","",VLOOKUP(A18,'Débit - Abfluss'!$A$4:$M$275,8,FALSE))</f>
        <v>81-100%</v>
      </c>
      <c r="AQ18" s="742" t="str">
        <f>IF(VLOOKUP(A18,'Débit - Abfluss'!$A$4:$K$275,9,FALSE)="","",VLOOKUP(A18,'Débit - Abfluss'!$A$4:$M$275,9,FALSE))</f>
        <v>-</v>
      </c>
      <c r="AR18" s="767" t="str">
        <f>IF(VLOOKUP(A18,'Débit - Abfluss'!$A$4:$K$275,10,FALSE)="","",VLOOKUP(A18,'Débit - Abfluss'!$A$4:$M$275,10,FALSE))</f>
        <v>81-100%</v>
      </c>
      <c r="AS18" s="767" t="str">
        <f>IF(VLOOKUP(A18,'Débit - Abfluss'!$A$4:$K$275,11,FALSE)="","",VLOOKUP(A18,'Débit - Abfluss'!$A$4:$M$275,11,FALSE))</f>
        <v/>
      </c>
      <c r="AT18" s="778" t="str">
        <f>IF(VLOOKUP(A18,'Débit - Abfluss'!$A$4:$Q$275,12,FALSE)="","",VLOOKUP(A18,'Débit - Abfluss'!$A$4:$Q$275,12,FALSE))</f>
        <v/>
      </c>
      <c r="AU18" s="779" t="str">
        <f>IF(VLOOKUP(A18,'Débit - Abfluss'!$A$4:$Q$275,13,FALSE)="","",VLOOKUP(A18,'Débit - Abfluss'!$A$4:$Q$275,13,FALSE))</f>
        <v/>
      </c>
      <c r="AV18" s="746" t="str">
        <f>IF(VLOOKUP(A18,'Débit - Abfluss'!$A$4:$Q$275,14,FALSE)="","",VLOOKUP(A18,'Débit - Abfluss'!$A$4:$Q$275,14,FALSE))</f>
        <v/>
      </c>
      <c r="AW18" s="768" t="str">
        <f>IF(VLOOKUP(A18,'Débit - Abfluss'!$A$4:$Q$275,15,FALSE)="","",VLOOKUP(A18,'Débit - Abfluss'!$A$4:$Q$275,15,FALSE))</f>
        <v/>
      </c>
      <c r="AX18" s="679" t="str">
        <f>IF(VLOOKUP(A18,'Débit - Abfluss'!$A$4:$Q$275,16,FALSE)="","",VLOOKUP(A18,'Débit - Abfluss'!$A$4:$Q$275,16,FALSE))</f>
        <v/>
      </c>
      <c r="AY18" s="769" t="str">
        <f>IF(VLOOKUP(A18,'Débit - Abfluss'!$A$4:$Q$275,17,FALSE)="","",VLOOKUP(A18,'Débit - Abfluss'!$A$4:$Q$275,17,FALSE))</f>
        <v>81-100%</v>
      </c>
      <c r="AZ18" s="749" t="str">
        <f>IF(VLOOKUP(A18,'Eclusée - Schwall-Sunk'!$A$2:$F$273,5,FALSE)="","",VLOOKUP(A18,'Eclusée - Schwall-Sunk'!$A$2:$F$273,5,FALSE))</f>
        <v>force hydraulique</v>
      </c>
      <c r="BA18" s="750" t="str">
        <f>IF(VLOOKUP(A18,'Eclusée - Schwall-Sunk'!$A$2:$F$273,6,FALSE)="","",VLOOKUP(A18,'Eclusée - Schwall-Sunk'!$A$2:$F$273,6,FALSE))</f>
        <v>Potentiellement affecté / möglicherweise betroffen</v>
      </c>
      <c r="BB18" s="751" t="str">
        <f>IF(VLOOKUP(A18,'Revitalisation-Revitalisierung'!$A$4:$Z$275,5,FALSE)="","",VLOOKUP(A18,'Revitalisation-Revitalisierung'!$A$4:$Z$275,5,FALSE))</f>
        <v/>
      </c>
      <c r="BC18" s="752" t="str">
        <f>IF(VLOOKUP(A18,'Revitalisation-Revitalisierung'!$A$4:$Z$275,6,FALSE)="","",VLOOKUP(A18,'Revitalisation-Revitalisierung'!$A$4:$Z$275,6,FALSE))</f>
        <v/>
      </c>
      <c r="BD18" s="752" t="str">
        <f>IF(VLOOKUP(A18,'Revitalisation-Revitalisierung'!$A$4:$Z$275,7,FALSE)="","",VLOOKUP(A18,'Revitalisation-Revitalisierung'!$A$4:$Z$275,7,FALSE))</f>
        <v/>
      </c>
      <c r="BE18" s="753" t="str">
        <f>IF(VLOOKUP(A18,'Revitalisation-Revitalisierung'!$A$4:$Z$275,8,FALSE)="","",VLOOKUP(A18,'Revitalisation-Revitalisierung'!$A$4:$Z$275,8,FALSE))</f>
        <v/>
      </c>
      <c r="BF18" s="754" t="str">
        <f>IF(VLOOKUP(A18,'Revitalisation-Revitalisierung'!$A$4:$Z$275,9,FALSE)="","",VLOOKUP(A18,'Revitalisation-Revitalisierung'!$A$4:$Z$275,9,FALSE))</f>
        <v/>
      </c>
      <c r="BG18" s="754" t="str">
        <f>IF(VLOOKUP(A18,'Revitalisation-Revitalisierung'!$A$4:$Z$275,10,FALSE)="","",VLOOKUP(A18,'Revitalisation-Revitalisierung'!$A$4:$Z$275,10,FALSE))</f>
        <v/>
      </c>
      <c r="BH18" s="755" t="str">
        <f>IF(VLOOKUP(A18,'Revitalisation-Revitalisierung'!$A$4:$Z$275,11,FALSE)="","",VLOOKUP(A18,'Revitalisation-Revitalisierung'!$A$4:$Z$275,11,FALSE))</f>
        <v>peu nécessaire, facile</v>
      </c>
      <c r="BI18" s="756" t="str">
        <f>IF(VLOOKUP(A18,'Revitalisation-Revitalisierung'!$A$4:$Z$275,12,FALSE)="","",VLOOKUP(A18,'Revitalisation-Revitalisierung'!$A$4:$Z$275,12,FALSE))</f>
        <v>RG naturelle, revitalisable. RD bloquée par l'autoroute</v>
      </c>
      <c r="BJ18" s="757" t="str">
        <f>IF(VLOOKUP(A18,'Revitalisation-Revitalisierung'!$A$4:$Z$275,13,FALSE)="","",VLOOKUP(A18,'Revitalisation-Revitalisierung'!$A$4:$Z$275,13,FALSE))</f>
        <v>Partiellement nécessaire, facile</v>
      </c>
      <c r="BK18" s="870" t="str">
        <f>IF(VLOOKUP(A18,'Revitalisation-Revitalisierung'!$A$4:$Z$275,14,FALSE)="","",VLOOKUP(A18,'Revitalisation-Revitalisierung'!$A$4:$Z$275,14,FALSE))</f>
        <v>b</v>
      </c>
      <c r="BL18" s="758" t="str">
        <f>IF(VLOOKUP(A18,'Revitalisation-Revitalisierung'!$A$4:$Z$275,15,FALSE)="","",VLOOKUP(A18,'Revitalisation-Revitalisierung'!$A$4:$Z$275,15,FALSE))</f>
        <v>gross</v>
      </c>
      <c r="BM18" s="759" t="str">
        <f>IF(VLOOKUP(A18,'Revitalisation-Revitalisierung'!$A$4:$Z$275,16,FALSE)="","",VLOOKUP(A18,'Revitalisation-Revitalisierung'!$A$4:$Z$275,16,FALSE))</f>
        <v>gross/gering</v>
      </c>
      <c r="BN18" s="759" t="str">
        <f>IF(VLOOKUP(A18,'Revitalisation-Revitalisierung'!$A$4:$Z$275,17,FALSE)="","",VLOOKUP(A18,'Revitalisation-Revitalisierung'!$A$4:$Z$275,17,FALSE))</f>
        <v>hoch/gering</v>
      </c>
      <c r="BO18" s="760" t="str">
        <f>IF(VLOOKUP(A18,'Revitalisation-Revitalisierung'!$A$4:$Z$275,18,FALSE)="","",VLOOKUP(A18,'Revitalisation-Revitalisierung'!$A$4:$Z$275,18,FALSE))</f>
        <v>Partiellement nécessaire, facile</v>
      </c>
      <c r="BP18" s="761" t="str">
        <f>IF(VLOOKUP(A18,'Revitalisation-Revitalisierung'!$A$4:$Z$275,19,FALSE)="","",VLOOKUP(A18,'Revitalisation-Revitalisierung'!$A$4:$Z$275,19,FALSE))</f>
        <v>Partiellement nécessaire, facile</v>
      </c>
      <c r="BQ18" s="759" t="str">
        <f>IF(VLOOKUP(A18,'Revitalisation-Revitalisierung'!$A$4:$Z$275,20,FALSE)="","",VLOOKUP(A18,'Revitalisation-Revitalisierung'!$A$4:$Z$275,20,FALSE))</f>
        <v>d</v>
      </c>
      <c r="BR18" s="759" t="str">
        <f>IF(VLOOKUP(A18,'Revitalisation-Revitalisierung'!$A$4:$Z$275,21,FALSE)="","",VLOOKUP(A18,'Revitalisation-Revitalisierung'!$A$4:$Z$275,21,FALSE))</f>
        <v/>
      </c>
      <c r="BS18" s="762" t="str">
        <f>IF(VLOOKUP(A18,'Revitalisation-Revitalisierung'!$A$4:$Z$275,22,FALSE)="","",VLOOKUP(A18,'Revitalisation-Revitalisierung'!$A$4:$Z$275,22,FALSE))</f>
        <v/>
      </c>
      <c r="BT18" s="703" t="str">
        <f>IF(VLOOKUP(A18,'Revitalisation-Revitalisierung'!$A$4:$Z$275,23,FALSE)="","",VLOOKUP(A18,'Revitalisation-Revitalisierung'!$A$4:$Z$275,23,FALSE))</f>
        <v/>
      </c>
      <c r="BU18" s="704" t="str">
        <f>IF(VLOOKUP(A18,'Revitalisation-Revitalisierung'!$A$4:$Z$275,24,FALSE)="","",VLOOKUP(A18,'Revitalisation-Revitalisierung'!$A$4:$Z$275,24,FALSE))</f>
        <v/>
      </c>
      <c r="BV18" s="761" t="str">
        <f>IF(VLOOKUP(A18,'Revitalisation-Revitalisierung'!$A$4:$Z$275,25,FALSE)="","",VLOOKUP(A18,'Revitalisation-Revitalisierung'!$A$4:$Z$275,25,FALSE))</f>
        <v>Partiellement nécessaire, facile</v>
      </c>
      <c r="BW18" s="871" t="str">
        <f>IF(VLOOKUP(A18,'Revitalisation-Revitalisierung'!$A$4:$AA$275,27,FALSE)="","",VLOOKUP(A18,'Revitalisation-Revitalisierung'!$A$4:$AA$275,27,FALSE))</f>
        <v>a</v>
      </c>
    </row>
    <row r="19" spans="1:75" ht="63.6" customHeight="1" x14ac:dyDescent="0.25">
      <c r="A19" s="1230">
        <v>25</v>
      </c>
      <c r="B19" s="856">
        <f>IF(VLOOKUP(A19,'Données de base - Grunddaten'!$A$2:$M$297,2,FALSE)="","",VLOOKUP(A19,'Données de base - Grunddaten'!$A$2:$M$297,2,FALSE))</f>
        <v>1</v>
      </c>
      <c r="C19" s="857" t="str">
        <f>IF(VLOOKUP(A19,'Données de base - Grunddaten'!$A$2:$M$297,3,FALSE)="","",VLOOKUP(A19,'Données de base - Grunddaten'!$A$2:$M$297,3,FALSE))</f>
        <v>Trimmiser Rodauen Rhein</v>
      </c>
      <c r="D19" s="857" t="str">
        <f>IF(VLOOKUP(A19,'Données de base - Grunddaten'!$A$2:$M$297,4,FALSE)="","",VLOOKUP(A19,'Données de base - Grunddaten'!$A$2:$M$297,4,FALSE))</f>
        <v>Rhein</v>
      </c>
      <c r="E19" s="857" t="str">
        <f>IF(VLOOKUP(A19,'Données de base - Grunddaten'!$A$2:$M$297,5,FALSE)="","",VLOOKUP(A19,'Données de base - Grunddaten'!$A$2:$M$297,5,FALSE))</f>
        <v>GR</v>
      </c>
      <c r="F19" s="857" t="str">
        <f>IF(VLOOKUP(A19,'Données de base - Grunddaten'!$A$2:$M$297,6,FALSE)="","",VLOOKUP(A19,'Données de base - Grunddaten'!$A$2:$M$297,6,FALSE))</f>
        <v>Alpes septentrionales</v>
      </c>
      <c r="G19" s="857" t="str">
        <f>IF(VLOOKUP(A19,'Données de base - Grunddaten'!$A$2:$M$297,7,FALSE)="","",VLOOKUP(A19,'Données de base - Grunddaten'!$A$2:$M$297,7,FALSE))</f>
        <v>Collinéen</v>
      </c>
      <c r="H19" s="857" t="str">
        <f>IF(VLOOKUP(A19,'Données de base - Grunddaten'!$A$2:$M$297,8,FALSE)="","",VLOOKUP(A19,'Données de base - Grunddaten'!$A$2:$M$297,8,FALSE))</f>
        <v>540 m</v>
      </c>
      <c r="I19" s="857" t="str">
        <f>IF(VLOOKUP(A19,'Données de base - Grunddaten'!$A$2:$M$297,9,FALSE)="","",VLOOKUP(A19,'Données de base - Grunddaten'!$A$2:$M$297,9,FALSE))</f>
        <v>candidat</v>
      </c>
      <c r="J19" s="857">
        <f>IF(VLOOKUP(A19,'Données de base - Grunddaten'!$A$2:$M$297,10,FALSE)="","",VLOOKUP(A19,'Données de base - Grunddaten'!$A$2:$M$297,10,FALSE))</f>
        <v>70</v>
      </c>
      <c r="K19" s="857" t="str">
        <f>IF(VLOOKUP(A19,'Données de base - Grunddaten'!$A$2:$M$297,11,FALSE)="","",VLOOKUP(A19,'Données de base - Grunddaten'!$A$2:$M$297,11,FALSE))</f>
        <v>Cours d'eau de l'étage collinéen des Alpes centrales</v>
      </c>
      <c r="L19" s="857" t="str">
        <f>IF(VLOOKUP(A19,'Données de base - Grunddaten'!$A$2:$M$297,12,FALSE)="","",VLOOKUP(A19,'Données de base - Grunddaten'!$A$2:$M$297,12,FALSE))</f>
        <v>en tresses</v>
      </c>
      <c r="M19" s="858" t="str">
        <f>IF(VLOOKUP(A19,'Données de base - Grunddaten'!$A$2:$M$297,13,FALSE)="","",VLOOKUP(A19,'Données de base - Grunddaten'!$A$2:$M$297,13,FALSE))</f>
        <v>cours rectiligne</v>
      </c>
      <c r="N19" s="872" t="str">
        <f>IF(VLOOKUP(A19,'Charriage - Geschiebehaushalt'!$A$4:$R$275,5,FALSE)="","",VLOOKUP(A19,'Charriage - Geschiebehaushalt'!$A$4:$R$275,5,FALSE))</f>
        <v>pertinent</v>
      </c>
      <c r="O19" s="873" t="str">
        <f>IF(VLOOKUP(A19,'Charriage - Geschiebehaushalt'!$A$4:$R$275,6,FALSE)="","",VLOOKUP(A19,'Charriage - Geschiebehaushalt'!$A$4:$R$275,6,FALSE))</f>
        <v>51-80%</v>
      </c>
      <c r="P19" s="874" t="str">
        <f>IF(VLOOKUP(A19,'Charriage - Geschiebehaushalt'!$A$4:$R$275,7,FALSE)="","",VLOOKUP(A19,'Charriage - Geschiebehaushalt'!$A$4:$R$275,7,FALSE))</f>
        <v/>
      </c>
      <c r="Q19" s="874" t="str">
        <f>IF(VLOOKUP(A19,'Charriage - Geschiebehaushalt'!$A$4:$R$275,8,FALSE)="","",VLOOKUP(A19,'Charriage - Geschiebehaushalt'!$A$4:$R$275,8,FALSE))</f>
        <v>non documenté</v>
      </c>
      <c r="R19" s="875">
        <f>IF(VLOOKUP(A19,'Charriage - Geschiebehaushalt'!$A$4:$R$275,9,FALSE)="","",VLOOKUP(A19,'Charriage - Geschiebehaushalt'!$A$4:$R$275,9,FALSE))</f>
        <v>1.153</v>
      </c>
      <c r="S19" s="876" t="str">
        <f>IF(VLOOKUP(A19,'Charriage - Geschiebehaushalt'!$A$4:$R$275,10,FALSE)="","",VLOOKUP(A19,'Charriage - Geschiebehaushalt'!$A$4:$R$275,10,FALSE))</f>
        <v>la remobilisation des sédiments est perturbée</v>
      </c>
      <c r="T19" s="875">
        <f>IF(VLOOKUP(A19,'Charriage - Geschiebehaushalt'!$A$4:$R$275,11,FALSE)="","",VLOOKUP(A19,'Charriage - Geschiebehaushalt'!$A$4:$R$275,11,FALSE))</f>
        <v>0.23200000000000001</v>
      </c>
      <c r="U19" s="876" t="str">
        <f>IF(VLOOKUP(A19,'Charriage - Geschiebehaushalt'!$A$4:$R$275,12,FALSE)="","",VLOOKUP(A19,'Charriage - Geschiebehaushalt'!$A$4:$R$275,12,FALSE))</f>
        <v>déficit dans les formations pionnières</v>
      </c>
      <c r="V19" s="877" t="str">
        <f>IF(VLOOKUP(A19,'Charriage - Geschiebehaushalt'!$A$4:$R$275,13,FALSE)="","",VLOOKUP(A19,'Charriage - Geschiebehaushalt'!$A$4:$R$275,13,FALSE))</f>
        <v/>
      </c>
      <c r="W19" s="877" t="str">
        <f>IF(VLOOKUP(A19,'Charriage - Geschiebehaushalt'!$A$4:$R$275,14,FALSE)="","",VLOOKUP(A19,'Charriage - Geschiebehaushalt'!$A$4:$R$275,14,FALSE))</f>
        <v/>
      </c>
      <c r="X19" s="877" t="str">
        <f>IF(VLOOKUP(A19,'Charriage - Geschiebehaushalt'!$A$4:$R$275,15,FALSE)="","",VLOOKUP(A19,'Charriage - Geschiebehaushalt'!$A$4:$R$275,15,FALSE))</f>
        <v/>
      </c>
      <c r="Y19" s="879" t="str">
        <f>IF(VLOOKUP(A19,'Charriage - Geschiebehaushalt'!$A$4:$R$275,16,FALSE)="","",VLOOKUP(A19,'Charriage - Geschiebehaushalt'!$A$4:$R$275,16,FALSE))</f>
        <v/>
      </c>
      <c r="Z19" s="763" t="str">
        <f>IF(VLOOKUP(A19,'Charriage - Geschiebehaushalt'!$A$4:$R$275,17,FALSE)="","",VLOOKUP(A19,'Charriage - Geschiebehaushalt'!$A$4:$R$275,17,FALSE))</f>
        <v>51-80%</v>
      </c>
      <c r="AA19" s="880" t="str">
        <f>IF(VLOOKUP(A19,'Charriage - Geschiebehaushalt'!$A$4:$R$275,18,FALSE)="","",VLOOKUP(A19,'Charriage - Geschiebehaushalt'!$A$4:$R$275,18,FALSE))</f>
        <v>a</v>
      </c>
      <c r="AB19" s="737" t="str">
        <f>IF(VLOOKUP(A19,'Charriage - Geschiebehaushalt'!$A$4:$AC$275,19,FALSE)="","",VLOOKUP(A19,'Charriage - Geschiebehaushalt'!$A$4:$AC$275,19,FALSE))</f>
        <v>vernachlässigbar</v>
      </c>
      <c r="AC19" s="738">
        <f>IF(VLOOKUP(A19,'Charriage - Geschiebehaushalt'!$A$4:$AC$275,20,FALSE)="","",VLOOKUP(A19,'Charriage - Geschiebehaushalt'!$A$4:$AC$275,20,FALSE))</f>
        <v>0</v>
      </c>
      <c r="AD19" s="764" t="str">
        <f>IF(VLOOKUP(A19,'Charriage - Geschiebehaushalt'!$A$4:$AC$275,21,FALSE)="","",VLOOKUP(A19,'Charriage - Geschiebehaushalt'!$A$4:$AC$275,21,FALSE))</f>
        <v>21-50%</v>
      </c>
      <c r="AE19" s="772" t="str">
        <f>IF(VLOOKUP(A19,'Charriage - Geschiebehaushalt'!$A$4:$AC$275,22,FALSE)="","",VLOOKUP(A19,'Charriage - Geschiebehaushalt'!$A$4:$AC$275,22,FALSE))</f>
        <v>21-50%</v>
      </c>
      <c r="AF19" s="787" t="str">
        <f>IF(VLOOKUP(A19,'Charriage - Geschiebehaushalt'!$A$4:$AC$275,23,FALSE)="","",VLOOKUP(A19,'Charriage - Geschiebehaushalt'!$A$4:$AC$275,23,FALSE))</f>
        <v>c</v>
      </c>
      <c r="AG19" s="765" t="str">
        <f>IF(VLOOKUP(A19,'Charriage - Geschiebehaushalt'!$A$4:$AC$275,24,FALSE)="","",VLOOKUP(A19,'Charriage - Geschiebehaushalt'!$A$4:$AC$275,24,FALSE))</f>
        <v/>
      </c>
      <c r="AH19" s="764" t="str">
        <f>IF(VLOOKUP(A19,'Charriage - Geschiebehaushalt'!$A$4:$AC$275,25,FALSE)="","",VLOOKUP(A19,'Charriage - Geschiebehaushalt'!$A$4:$AC$275,25,FALSE))</f>
        <v>X</v>
      </c>
      <c r="AI19" s="771" t="str">
        <f>IF(VLOOKUP(A19,'Charriage - Geschiebehaushalt'!$A$4:$AC$275,26,FALSE)="","",VLOOKUP(A19,'Charriage - Geschiebehaushalt'!$A$4:$AC$275,26,FALSE))</f>
        <v/>
      </c>
      <c r="AJ19" s="890" t="str">
        <f>IF(VLOOKUP(A19,'Charriage - Geschiebehaushalt'!$A$4:$AC$275,27,FALSE)="","",VLOOKUP(A19,'Charriage - Geschiebehaushalt'!$A$4:$AC$275,27,FALSE))</f>
        <v>PAS EXPRIMÉ</v>
      </c>
      <c r="AK19" s="814" t="str">
        <f>IF(VLOOKUP(A19,'Charriage - Geschiebehaushalt'!$A$4:$AC$275,28,FALSE)="","",VLOOKUP(A19,'Charriage - Geschiebehaushalt'!$A$4:$AC$275,28,FALSE))</f>
        <v>21-50%</v>
      </c>
      <c r="AL19" s="1285" t="str">
        <f>IF(VLOOKUP(A19,'Charriage - Geschiebehaushalt'!$A$4:$AD$275,30,FALSE)="","",VLOOKUP(A19,'Charriage - Geschiebehaushalt'!$A$4:$AD$275,30,FALSE))</f>
        <v>a</v>
      </c>
      <c r="AM19" s="1279" t="str">
        <f>IF(VLOOKUP(A19,'Débit - Abfluss'!$A$4:$K$275,5,FALSE)="","",VLOOKUP(A19,'Débit - Abfluss'!$A$4:$M$275,5,FALSE))</f>
        <v>81-100%</v>
      </c>
      <c r="AN19" s="868" t="str">
        <f>IF(VLOOKUP(A19,'Débit - Abfluss'!$A$4:$K$275,6,FALSE)="","",VLOOKUP(A19,'Débit - Abfluss'!$A$4:$M$275,6,FALSE))</f>
        <v/>
      </c>
      <c r="AO19" s="869" t="str">
        <f>IF(VLOOKUP(A19,'Débit - Abfluss'!$A$4:$K$275,7,FALSE)="","",VLOOKUP(A19,'Débit - Abfluss'!$A$4:$M$275,7,FALSE))</f>
        <v/>
      </c>
      <c r="AP19" s="766" t="str">
        <f>IF(VLOOKUP(A19,'Débit - Abfluss'!$A$4:$K$275,8,FALSE)="","",VLOOKUP(A19,'Débit - Abfluss'!$A$4:$M$275,8,FALSE))</f>
        <v>81-100%</v>
      </c>
      <c r="AQ19" s="742" t="str">
        <f>IF(VLOOKUP(A19,'Débit - Abfluss'!$A$4:$K$275,9,FALSE)="","",VLOOKUP(A19,'Débit - Abfluss'!$A$4:$M$275,9,FALSE))</f>
        <v>-</v>
      </c>
      <c r="AR19" s="767" t="str">
        <f>IF(VLOOKUP(A19,'Débit - Abfluss'!$A$4:$K$275,10,FALSE)="","",VLOOKUP(A19,'Débit - Abfluss'!$A$4:$M$275,10,FALSE))</f>
        <v>81-100%</v>
      </c>
      <c r="AS19" s="767" t="str">
        <f>IF(VLOOKUP(A19,'Débit - Abfluss'!$A$4:$K$275,11,FALSE)="","",VLOOKUP(A19,'Débit - Abfluss'!$A$4:$M$275,11,FALSE))</f>
        <v/>
      </c>
      <c r="AT19" s="778" t="str">
        <f>IF(VLOOKUP(A19,'Débit - Abfluss'!$A$4:$Q$275,12,FALSE)="","",VLOOKUP(A19,'Débit - Abfluss'!$A$4:$Q$275,12,FALSE))</f>
        <v/>
      </c>
      <c r="AU19" s="779" t="str">
        <f>IF(VLOOKUP(A19,'Débit - Abfluss'!$A$4:$Q$275,13,FALSE)="","",VLOOKUP(A19,'Débit - Abfluss'!$A$4:$Q$275,13,FALSE))</f>
        <v/>
      </c>
      <c r="AV19" s="746" t="str">
        <f>IF(VLOOKUP(A19,'Débit - Abfluss'!$A$4:$Q$275,14,FALSE)="","",VLOOKUP(A19,'Débit - Abfluss'!$A$4:$Q$275,14,FALSE))</f>
        <v/>
      </c>
      <c r="AW19" s="768" t="str">
        <f>IF(VLOOKUP(A19,'Débit - Abfluss'!$A$4:$Q$275,15,FALSE)="","",VLOOKUP(A19,'Débit - Abfluss'!$A$4:$Q$275,15,FALSE))</f>
        <v/>
      </c>
      <c r="AX19" s="679" t="str">
        <f>IF(VLOOKUP(A19,'Débit - Abfluss'!$A$4:$Q$275,16,FALSE)="","",VLOOKUP(A19,'Débit - Abfluss'!$A$4:$Q$275,16,FALSE))</f>
        <v/>
      </c>
      <c r="AY19" s="769" t="str">
        <f>IF(VLOOKUP(A19,'Débit - Abfluss'!$A$4:$Q$275,17,FALSE)="","",VLOOKUP(A19,'Débit - Abfluss'!$A$4:$Q$275,17,FALSE))</f>
        <v>81-100%</v>
      </c>
      <c r="AZ19" s="749" t="str">
        <f>IF(VLOOKUP(A19,'Eclusée - Schwall-Sunk'!$A$2:$F$273,5,FALSE)="","",VLOOKUP(A19,'Eclusée - Schwall-Sunk'!$A$2:$F$273,5,FALSE))</f>
        <v>force hydraulique</v>
      </c>
      <c r="BA19" s="750" t="str">
        <f>IF(VLOOKUP(A19,'Eclusée - Schwall-Sunk'!$A$2:$F$273,6,FALSE)="","",VLOOKUP(A19,'Eclusée - Schwall-Sunk'!$A$2:$F$273,6,FALSE))</f>
        <v>Potentiellement affecté / möglicherweise betroffen</v>
      </c>
      <c r="BB19" s="751" t="str">
        <f>IF(VLOOKUP(A19,'Revitalisation-Revitalisierung'!$A$4:$Z$275,5,FALSE)="","",VLOOKUP(A19,'Revitalisation-Revitalisierung'!$A$4:$Z$275,5,FALSE))</f>
        <v/>
      </c>
      <c r="BC19" s="752" t="str">
        <f>IF(VLOOKUP(A19,'Revitalisation-Revitalisierung'!$A$4:$Z$275,6,FALSE)="","",VLOOKUP(A19,'Revitalisation-Revitalisierung'!$A$4:$Z$275,6,FALSE))</f>
        <v/>
      </c>
      <c r="BD19" s="752" t="str">
        <f>IF(VLOOKUP(A19,'Revitalisation-Revitalisierung'!$A$4:$Z$275,7,FALSE)="","",VLOOKUP(A19,'Revitalisation-Revitalisierung'!$A$4:$Z$275,7,FALSE))</f>
        <v/>
      </c>
      <c r="BE19" s="753" t="str">
        <f>IF(VLOOKUP(A19,'Revitalisation-Revitalisierung'!$A$4:$Z$275,8,FALSE)="","",VLOOKUP(A19,'Revitalisation-Revitalisierung'!$A$4:$Z$275,8,FALSE))</f>
        <v/>
      </c>
      <c r="BF19" s="754" t="str">
        <f>IF(VLOOKUP(A19,'Revitalisation-Revitalisierung'!$A$4:$Z$275,9,FALSE)="","",VLOOKUP(A19,'Revitalisation-Revitalisierung'!$A$4:$Z$275,9,FALSE))</f>
        <v>schwierig</v>
      </c>
      <c r="BG19" s="754" t="str">
        <f>IF(VLOOKUP(A19,'Revitalisation-Revitalisierung'!$A$4:$Z$275,10,FALSE)="","",VLOOKUP(A19,'Revitalisation-Revitalisierung'!$A$4:$Z$275,10,FALSE))</f>
        <v/>
      </c>
      <c r="BH19" s="755" t="str">
        <f>IF(VLOOKUP(A19,'Revitalisation-Revitalisierung'!$A$4:$Z$275,11,FALSE)="","",VLOOKUP(A19,'Revitalisation-Revitalisierung'!$A$4:$Z$275,11,FALSE))</f>
        <v>très nécessaire, difficile</v>
      </c>
      <c r="BI19" s="756" t="str">
        <f>IF(VLOOKUP(A19,'Revitalisation-Revitalisierung'!$A$4:$Z$275,12,FALSE)="","",VLOOKUP(A19,'Revitalisation-Revitalisierung'!$A$4:$Z$275,12,FALSE))</f>
        <v>bois tendre encore bien représentés et très entravé</v>
      </c>
      <c r="BJ19" s="757" t="str">
        <f>IF(VLOOKUP(A19,'Revitalisation-Revitalisierung'!$A$4:$Z$275,13,FALSE)="","",VLOOKUP(A19,'Revitalisation-Revitalisierung'!$A$4:$Z$275,13,FALSE))</f>
        <v>Très nécessaire, facile</v>
      </c>
      <c r="BK19" s="870" t="str">
        <f>IF(VLOOKUP(A19,'Revitalisation-Revitalisierung'!$A$4:$Z$275,14,FALSE)="","",VLOOKUP(A19,'Revitalisation-Revitalisierung'!$A$4:$Z$275,14,FALSE))</f>
        <v>b</v>
      </c>
      <c r="BL19" s="758" t="str">
        <f>IF(VLOOKUP(A19,'Revitalisation-Revitalisierung'!$A$4:$Z$275,15,FALSE)="","",VLOOKUP(A19,'Revitalisation-Revitalisierung'!$A$4:$Z$275,15,FALSE))</f>
        <v>gross</v>
      </c>
      <c r="BM19" s="759" t="str">
        <f>IF(VLOOKUP(A19,'Revitalisation-Revitalisierung'!$A$4:$Z$275,16,FALSE)="","",VLOOKUP(A19,'Revitalisation-Revitalisierung'!$A$4:$Z$275,16,FALSE))</f>
        <v>gross/mittel</v>
      </c>
      <c r="BN19" s="759" t="str">
        <f>IF(VLOOKUP(A19,'Revitalisation-Revitalisierung'!$A$4:$Z$275,17,FALSE)="","",VLOOKUP(A19,'Revitalisation-Revitalisierung'!$A$4:$Z$275,17,FALSE))</f>
        <v>mittel</v>
      </c>
      <c r="BO19" s="760" t="str">
        <f>IF(VLOOKUP(A19,'Revitalisation-Revitalisierung'!$A$4:$Z$275,18,FALSE)="","",VLOOKUP(A19,'Revitalisation-Revitalisierung'!$A$4:$Z$275,18,FALSE))</f>
        <v>Très nécessaire, facile</v>
      </c>
      <c r="BP19" s="761" t="str">
        <f>IF(VLOOKUP(A19,'Revitalisation-Revitalisierung'!$A$4:$Z$275,19,FALSE)="","",VLOOKUP(A19,'Revitalisation-Revitalisierung'!$A$4:$Z$275,19,FALSE))</f>
        <v>Très nécessaire, facile</v>
      </c>
      <c r="BQ19" s="759" t="str">
        <f>IF(VLOOKUP(A19,'Revitalisation-Revitalisierung'!$A$4:$Z$275,20,FALSE)="","",VLOOKUP(A19,'Revitalisation-Revitalisierung'!$A$4:$Z$275,20,FALSE))</f>
        <v>d</v>
      </c>
      <c r="BR19" s="759" t="str">
        <f>IF(VLOOKUP(A19,'Revitalisation-Revitalisierung'!$A$4:$Z$275,21,FALSE)="","",VLOOKUP(A19,'Revitalisation-Revitalisierung'!$A$4:$Z$275,21,FALSE))</f>
        <v/>
      </c>
      <c r="BS19" s="762" t="str">
        <f>IF(VLOOKUP(A19,'Revitalisation-Revitalisierung'!$A$4:$Z$275,22,FALSE)="","",VLOOKUP(A19,'Revitalisation-Revitalisierung'!$A$4:$Z$275,22,FALSE))</f>
        <v/>
      </c>
      <c r="BT19" s="703" t="str">
        <f>IF(VLOOKUP(A19,'Revitalisation-Revitalisierung'!$A$4:$Z$275,23,FALSE)="","",VLOOKUP(A19,'Revitalisation-Revitalisierung'!$A$4:$Z$275,23,FALSE))</f>
        <v/>
      </c>
      <c r="BU19" s="699" t="str">
        <f>IF(VLOOKUP(A19,'Revitalisation-Revitalisierung'!$A$4:$Z$275,24,FALSE)="","",VLOOKUP(A19,'Revitalisation-Revitalisierung'!$A$4:$Z$275,24,FALSE))</f>
        <v/>
      </c>
      <c r="BV19" s="761" t="str">
        <f>IF(VLOOKUP(A19,'Revitalisation-Revitalisierung'!$A$4:$Z$275,25,FALSE)="","",VLOOKUP(A19,'Revitalisation-Revitalisierung'!$A$4:$Z$275,25,FALSE))</f>
        <v>Très nécessaire, facile</v>
      </c>
      <c r="BW19" s="871" t="str">
        <f>IF(VLOOKUP(A19,'Revitalisation-Revitalisierung'!$A$4:$AA$275,27,FALSE)="","",VLOOKUP(A19,'Revitalisation-Revitalisierung'!$A$4:$AA$275,27,FALSE))</f>
        <v>a</v>
      </c>
    </row>
    <row r="20" spans="1:75" ht="63.6" customHeight="1" x14ac:dyDescent="0.25">
      <c r="A20" s="935">
        <v>27</v>
      </c>
      <c r="B20" s="856">
        <f>IF(VLOOKUP(A20,'Données de base - Grunddaten'!$A$2:$M$297,2,FALSE)="","",VLOOKUP(A20,'Données de base - Grunddaten'!$A$2:$M$297,2,FALSE))</f>
        <v>1</v>
      </c>
      <c r="C20" s="857" t="str">
        <f>IF(VLOOKUP(A20,'Données de base - Grunddaten'!$A$2:$M$297,3,FALSE)="","",VLOOKUP(A20,'Données de base - Grunddaten'!$A$2:$M$297,3,FALSE))</f>
        <v>Rhäzünser Rheinauen</v>
      </c>
      <c r="D20" s="857" t="str">
        <f>IF(VLOOKUP(A20,'Données de base - Grunddaten'!$A$2:$M$297,4,FALSE)="","",VLOOKUP(A20,'Données de base - Grunddaten'!$A$2:$M$297,4,FALSE))</f>
        <v>Hinterrhein</v>
      </c>
      <c r="E20" s="857" t="str">
        <f>IF(VLOOKUP(A20,'Données de base - Grunddaten'!$A$2:$M$297,5,FALSE)="","",VLOOKUP(A20,'Données de base - Grunddaten'!$A$2:$M$297,5,FALSE))</f>
        <v>GR</v>
      </c>
      <c r="F20" s="857" t="str">
        <f>IF(VLOOKUP(A20,'Données de base - Grunddaten'!$A$2:$M$297,6,FALSE)="","",VLOOKUP(A20,'Données de base - Grunddaten'!$A$2:$M$297,6,FALSE))</f>
        <v>Alpes centrales orientales</v>
      </c>
      <c r="G20" s="857" t="str">
        <f>IF(VLOOKUP(A20,'Données de base - Grunddaten'!$A$2:$M$297,7,FALSE)="","",VLOOKUP(A20,'Données de base - Grunddaten'!$A$2:$M$297,7,FALSE))</f>
        <v>Montagnard inf.</v>
      </c>
      <c r="H20" s="857">
        <f>IF(VLOOKUP(A20,'Données de base - Grunddaten'!$A$2:$M$297,8,FALSE)="","",VLOOKUP(A20,'Données de base - Grunddaten'!$A$2:$M$297,8,FALSE))</f>
        <v>600</v>
      </c>
      <c r="I20" s="857">
        <f>IF(VLOOKUP(A20,'Données de base - Grunddaten'!$A$2:$M$297,9,FALSE)="","",VLOOKUP(A20,'Données de base - Grunddaten'!$A$2:$M$297,9,FALSE))</f>
        <v>1992</v>
      </c>
      <c r="J20" s="857">
        <f>IF(VLOOKUP(A20,'Données de base - Grunddaten'!$A$2:$M$297,10,FALSE)="","",VLOOKUP(A20,'Données de base - Grunddaten'!$A$2:$M$297,10,FALSE))</f>
        <v>70</v>
      </c>
      <c r="K20" s="857" t="str">
        <f>IF(VLOOKUP(A20,'Données de base - Grunddaten'!$A$2:$M$297,11,FALSE)="","",VLOOKUP(A20,'Données de base - Grunddaten'!$A$2:$M$297,11,FALSE))</f>
        <v>Cours d'eau de l'étage collinéen des Alpes centrales</v>
      </c>
      <c r="L20" s="857" t="str">
        <f>IF(VLOOKUP(A20,'Données de base - Grunddaten'!$A$2:$M$297,12,FALSE)="","",VLOOKUP(A20,'Données de base - Grunddaten'!$A$2:$M$297,12,FALSE))</f>
        <v>en tresses</v>
      </c>
      <c r="M20" s="858" t="str">
        <f>IF(VLOOKUP(A20,'Données de base - Grunddaten'!$A$2:$M$297,13,FALSE)="","",VLOOKUP(A20,'Données de base - Grunddaten'!$A$2:$M$297,13,FALSE))</f>
        <v>en tresses</v>
      </c>
      <c r="N20" s="872" t="str">
        <f>IF(VLOOKUP(A20,'Charriage - Geschiebehaushalt'!$A$4:$R$275,5,FALSE)="","",VLOOKUP(A20,'Charriage - Geschiebehaushalt'!$A$4:$R$275,5,FALSE))</f>
        <v>pertinent</v>
      </c>
      <c r="O20" s="881" t="str">
        <f>IF(VLOOKUP(A20,'Charriage - Geschiebehaushalt'!$A$4:$R$275,6,FALSE)="","",VLOOKUP(A20,'Charriage - Geschiebehaushalt'!$A$4:$R$275,6,FALSE))</f>
        <v>non documenté</v>
      </c>
      <c r="P20" s="874" t="str">
        <f>IF(VLOOKUP(A20,'Charriage - Geschiebehaushalt'!$A$4:$R$275,7,FALSE)="","",VLOOKUP(A20,'Charriage - Geschiebehaushalt'!$A$4:$R$275,7,FALSE))</f>
        <v/>
      </c>
      <c r="Q20" s="874" t="str">
        <f>IF(VLOOKUP(A20,'Charriage - Geschiebehaushalt'!$A$4:$R$275,8,FALSE)="","",VLOOKUP(A20,'Charriage - Geschiebehaushalt'!$A$4:$R$275,8,FALSE))</f>
        <v>non documenté</v>
      </c>
      <c r="R20" s="875">
        <f>IF(VLOOKUP(A20,'Charriage - Geschiebehaushalt'!$A$4:$R$275,9,FALSE)="","",VLOOKUP(A20,'Charriage - Geschiebehaushalt'!$A$4:$R$275,9,FALSE))</f>
        <v>0.14758856661939801</v>
      </c>
      <c r="S20" s="876" t="str">
        <f>IF(VLOOKUP(A20,'Charriage - Geschiebehaushalt'!$A$4:$R$275,10,FALSE)="","",VLOOKUP(A20,'Charriage - Geschiebehaushalt'!$A$4:$R$275,10,FALSE))</f>
        <v>pas ou faiblement entravé</v>
      </c>
      <c r="T20" s="875">
        <f>IF(VLOOKUP(A20,'Charriage - Geschiebehaushalt'!$A$4:$R$275,11,FALSE)="","",VLOOKUP(A20,'Charriage - Geschiebehaushalt'!$A$4:$R$275,11,FALSE))</f>
        <v>0.29762384959999999</v>
      </c>
      <c r="U20" s="876" t="str">
        <f>IF(VLOOKUP(A20,'Charriage - Geschiebehaushalt'!$A$4:$R$275,12,FALSE)="","",VLOOKUP(A20,'Charriage - Geschiebehaushalt'!$A$4:$R$275,12,FALSE))</f>
        <v>déficit dans les formations pionnières</v>
      </c>
      <c r="V20" s="878" t="str">
        <f>IF(VLOOKUP(A20,'Charriage - Geschiebehaushalt'!$A$4:$R$275,13,FALSE)="","",VLOOKUP(A20,'Charriage - Geschiebehaushalt'!$A$4:$R$275,13,FALSE))</f>
        <v/>
      </c>
      <c r="W20" s="877" t="str">
        <f>IF(VLOOKUP(A20,'Charriage - Geschiebehaushalt'!$A$4:$R$275,14,FALSE)="","",VLOOKUP(A20,'Charriage - Geschiebehaushalt'!$A$4:$R$275,14,FALSE))</f>
        <v>A vérifier</v>
      </c>
      <c r="X20" s="877" t="str">
        <f>IF(VLOOKUP(A20,'Charriage - Geschiebehaushalt'!$A$4:$R$275,15,FALSE)="","",VLOOKUP(A20,'Charriage - Geschiebehaushalt'!$A$4:$R$275,15,FALSE))</f>
        <v>présence d'un dépotoir à moins de 10 km et de plusieurs barrages en amont</v>
      </c>
      <c r="Y20" s="882" t="str">
        <f>IF(VLOOKUP(A20,'Charriage - Geschiebehaushalt'!$A$4:$R$275,16,FALSE)="","",VLOOKUP(A20,'Charriage - Geschiebehaushalt'!$A$4:$R$275,16,FALSE))</f>
        <v>charriage présumé perturbé</v>
      </c>
      <c r="Z20" s="763" t="str">
        <f>IF(VLOOKUP(A20,'Charriage - Geschiebehaushalt'!$A$4:$R$275,17,FALSE)="","",VLOOKUP(A20,'Charriage - Geschiebehaushalt'!$A$4:$R$275,17,FALSE))</f>
        <v>Charriage présumé perturbé / Geschiebehaushalt vermutlich beeinträchtigt</v>
      </c>
      <c r="AA20" s="880" t="str">
        <f>IF(VLOOKUP(A20,'Charriage - Geschiebehaushalt'!$A$4:$R$275,18,FALSE)="","",VLOOKUP(A20,'Charriage - Geschiebehaushalt'!$A$4:$R$275,18,FALSE))</f>
        <v>b</v>
      </c>
      <c r="AB20" s="737" t="str">
        <f>IF(VLOOKUP(A20,'Charriage - Geschiebehaushalt'!$A$4:$AC$275,19,FALSE)="","",VLOOKUP(A20,'Charriage - Geschiebehaushalt'!$A$4:$AC$275,19,FALSE))</f>
        <v>vernachlässigbar</v>
      </c>
      <c r="AC20" s="738">
        <f>IF(VLOOKUP(A20,'Charriage - Geschiebehaushalt'!$A$4:$AC$275,20,FALSE)="","",VLOOKUP(A20,'Charriage - Geschiebehaushalt'!$A$4:$AC$275,20,FALSE))</f>
        <v>0</v>
      </c>
      <c r="AD20" s="764" t="str">
        <f>IF(VLOOKUP(A20,'Charriage - Geschiebehaushalt'!$A$4:$AC$275,21,FALSE)="","",VLOOKUP(A20,'Charriage - Geschiebehaushalt'!$A$4:$AC$275,21,FALSE))</f>
        <v>21-50%</v>
      </c>
      <c r="AE20" s="772" t="str">
        <f>IF(VLOOKUP(A20,'Charriage - Geschiebehaushalt'!$A$4:$AC$275,22,FALSE)="","",VLOOKUP(A20,'Charriage - Geschiebehaushalt'!$A$4:$AC$275,22,FALSE))</f>
        <v>21-50%</v>
      </c>
      <c r="AF20" s="787" t="str">
        <f>IF(VLOOKUP(A20,'Charriage - Geschiebehaushalt'!$A$4:$AC$275,23,FALSE)="","",VLOOKUP(A20,'Charriage - Geschiebehaushalt'!$A$4:$AC$275,23,FALSE))</f>
        <v>c</v>
      </c>
      <c r="AG20" s="765" t="str">
        <f>IF(VLOOKUP(A20,'Charriage - Geschiebehaushalt'!$A$4:$AC$275,24,FALSE)="","",VLOOKUP(A20,'Charriage - Geschiebehaushalt'!$A$4:$AC$275,24,FALSE))</f>
        <v/>
      </c>
      <c r="AH20" s="764" t="str">
        <f>IF(VLOOKUP(A20,'Charriage - Geschiebehaushalt'!$A$4:$AC$275,25,FALSE)="","",VLOOKUP(A20,'Charriage - Geschiebehaushalt'!$A$4:$AC$275,25,FALSE))</f>
        <v>X</v>
      </c>
      <c r="AI20" s="771" t="str">
        <f>IF(VLOOKUP(A20,'Charriage - Geschiebehaushalt'!$A$4:$AC$275,26,FALSE)="","",VLOOKUP(A20,'Charriage - Geschiebehaushalt'!$A$4:$AC$275,26,FALSE))</f>
        <v/>
      </c>
      <c r="AJ20" s="890" t="str">
        <f>IF(VLOOKUP(A20,'Charriage - Geschiebehaushalt'!$A$4:$AC$275,27,FALSE)="","",VLOOKUP(A20,'Charriage - Geschiebehaushalt'!$A$4:$AC$275,27,FALSE))</f>
        <v>PAS EXPRIMÉ</v>
      </c>
      <c r="AK20" s="814" t="str">
        <f>IF(VLOOKUP(A20,'Charriage - Geschiebehaushalt'!$A$4:$AC$275,28,FALSE)="","",VLOOKUP(A20,'Charriage - Geschiebehaushalt'!$A$4:$AC$275,28,FALSE))</f>
        <v>21-50%</v>
      </c>
      <c r="AL20" s="1285" t="str">
        <f>IF(VLOOKUP(A20,'Charriage - Geschiebehaushalt'!$A$4:$AD$275,30,FALSE)="","",VLOOKUP(A20,'Charriage - Geschiebehaushalt'!$A$4:$AD$275,30,FALSE))</f>
        <v>a</v>
      </c>
      <c r="AM20" s="1279" t="str">
        <f>IF(VLOOKUP(A20,'Débit - Abfluss'!$A$4:$K$275,5,FALSE)="","",VLOOKUP(A20,'Débit - Abfluss'!$A$4:$M$275,5,FALSE))</f>
        <v>81-100%</v>
      </c>
      <c r="AN20" s="868" t="str">
        <f>IF(VLOOKUP(A20,'Débit - Abfluss'!$A$4:$K$275,6,FALSE)="","",VLOOKUP(A20,'Débit - Abfluss'!$A$4:$M$275,6,FALSE))</f>
        <v/>
      </c>
      <c r="AO20" s="869" t="str">
        <f>IF(VLOOKUP(A20,'Débit - Abfluss'!$A$4:$K$275,7,FALSE)="","",VLOOKUP(A20,'Débit - Abfluss'!$A$4:$M$275,7,FALSE))</f>
        <v/>
      </c>
      <c r="AP20" s="766" t="str">
        <f>IF(VLOOKUP(A20,'Débit - Abfluss'!$A$4:$K$275,8,FALSE)="","",VLOOKUP(A20,'Débit - Abfluss'!$A$4:$M$275,8,FALSE))</f>
        <v>81-100%</v>
      </c>
      <c r="AQ20" s="742" t="str">
        <f>IF(VLOOKUP(A20,'Débit - Abfluss'!$A$4:$K$275,9,FALSE)="","",VLOOKUP(A20,'Débit - Abfluss'!$A$4:$M$275,9,FALSE))</f>
        <v>-</v>
      </c>
      <c r="AR20" s="767" t="str">
        <f>IF(VLOOKUP(A20,'Débit - Abfluss'!$A$4:$K$275,10,FALSE)="","",VLOOKUP(A20,'Débit - Abfluss'!$A$4:$M$275,10,FALSE))</f>
        <v>81-100%</v>
      </c>
      <c r="AS20" s="767" t="str">
        <f>IF(VLOOKUP(A20,'Débit - Abfluss'!$A$4:$K$275,11,FALSE)="","",VLOOKUP(A20,'Débit - Abfluss'!$A$4:$M$275,11,FALSE))</f>
        <v/>
      </c>
      <c r="AT20" s="778" t="str">
        <f>IF(VLOOKUP(A20,'Débit - Abfluss'!$A$4:$Q$275,12,FALSE)="","",VLOOKUP(A20,'Débit - Abfluss'!$A$4:$Q$275,12,FALSE))</f>
        <v/>
      </c>
      <c r="AU20" s="779" t="str">
        <f>IF(VLOOKUP(A20,'Débit - Abfluss'!$A$4:$Q$275,13,FALSE)="","",VLOOKUP(A20,'Débit - Abfluss'!$A$4:$Q$275,13,FALSE))</f>
        <v/>
      </c>
      <c r="AV20" s="746" t="str">
        <f>IF(VLOOKUP(A20,'Débit - Abfluss'!$A$4:$Q$275,14,FALSE)="","",VLOOKUP(A20,'Débit - Abfluss'!$A$4:$Q$275,14,FALSE))</f>
        <v/>
      </c>
      <c r="AW20" s="768" t="str">
        <f>IF(VLOOKUP(A20,'Débit - Abfluss'!$A$4:$Q$275,15,FALSE)="","",VLOOKUP(A20,'Débit - Abfluss'!$A$4:$Q$275,15,FALSE))</f>
        <v/>
      </c>
      <c r="AX20" s="679" t="str">
        <f>IF(VLOOKUP(A20,'Débit - Abfluss'!$A$4:$Q$275,16,FALSE)="","",VLOOKUP(A20,'Débit - Abfluss'!$A$4:$Q$275,16,FALSE))</f>
        <v/>
      </c>
      <c r="AY20" s="769" t="str">
        <f>IF(VLOOKUP(A20,'Débit - Abfluss'!$A$4:$Q$275,17,FALSE)="","",VLOOKUP(A20,'Débit - Abfluss'!$A$4:$Q$275,17,FALSE))</f>
        <v>81-100%</v>
      </c>
      <c r="AZ20" s="749" t="str">
        <f>IF(VLOOKUP(A20,'Eclusée - Schwall-Sunk'!$A$2:$F$273,5,FALSE)="","",VLOOKUP(A20,'Eclusée - Schwall-Sunk'!$A$2:$F$273,5,FALSE))</f>
        <v>force hydraulique</v>
      </c>
      <c r="BA20" s="750" t="str">
        <f>IF(VLOOKUP(A20,'Eclusée - Schwall-Sunk'!$A$2:$F$273,6,FALSE)="","",VLOOKUP(A20,'Eclusée - Schwall-Sunk'!$A$2:$F$273,6,FALSE))</f>
        <v>Potentiellement affecté / möglicherweise betroffen</v>
      </c>
      <c r="BB20" s="751">
        <f>IF(VLOOKUP(A20,'Revitalisation-Revitalisierung'!$A$4:$Z$275,5,FALSE)="","",VLOOKUP(A20,'Revitalisation-Revitalisierung'!$A$4:$Z$275,5,FALSE))</f>
        <v>-41.2</v>
      </c>
      <c r="BC20" s="752">
        <f>IF(VLOOKUP(A20,'Revitalisation-Revitalisierung'!$A$4:$Z$275,6,FALSE)="","",VLOOKUP(A20,'Revitalisation-Revitalisierung'!$A$4:$Z$275,6,FALSE))</f>
        <v>8.7764597107577345</v>
      </c>
      <c r="BD20" s="752">
        <f>IF(VLOOKUP(A20,'Revitalisation-Revitalisierung'!$A$4:$Z$275,7,FALSE)="","",VLOOKUP(A20,'Revitalisation-Revitalisierung'!$A$4:$Z$275,7,FALSE))</f>
        <v>50</v>
      </c>
      <c r="BE20" s="753" t="str">
        <f>IF(VLOOKUP(A20,'Revitalisation-Revitalisierung'!$A$4:$Z$275,8,FALSE)="","",VLOOKUP(A20,'Revitalisation-Revitalisierung'!$A$4:$Z$275,8,FALSE))</f>
        <v>peu nécessaire, difficile</v>
      </c>
      <c r="BF20" s="754" t="str">
        <f>IF(VLOOKUP(A20,'Revitalisation-Revitalisierung'!$A$4:$Z$275,9,FALSE)="","",VLOOKUP(A20,'Revitalisation-Revitalisierung'!$A$4:$Z$275,9,FALSE))</f>
        <v>schwierig</v>
      </c>
      <c r="BG20" s="754" t="str">
        <f>IF(VLOOKUP(A20,'Revitalisation-Revitalisierung'!$A$4:$Z$275,10,FALSE)="","",VLOOKUP(A20,'Revitalisation-Revitalisierung'!$A$4:$Z$275,10,FALSE))</f>
        <v>K2</v>
      </c>
      <c r="BH20" s="755" t="str">
        <f>IF(VLOOKUP(A20,'Revitalisation-Revitalisierung'!$A$4:$Z$275,11,FALSE)="","",VLOOKUP(A20,'Revitalisation-Revitalisierung'!$A$4:$Z$275,11,FALSE))</f>
        <v/>
      </c>
      <c r="BI20" s="756" t="str">
        <f>IF(VLOOKUP(A20,'Revitalisation-Revitalisierung'!$A$4:$Z$275,12,FALSE)="","",VLOOKUP(A20,'Revitalisation-Revitalisierung'!$A$4:$Z$275,12,FALSE))</f>
        <v/>
      </c>
      <c r="BJ20" s="757" t="str">
        <f>IF(VLOOKUP(A20,'Revitalisation-Revitalisierung'!$A$4:$Z$275,13,FALSE)="","",VLOOKUP(A20,'Revitalisation-Revitalisierung'!$A$4:$Z$275,13,FALSE))</f>
        <v>Partiellement nécessaire, facile</v>
      </c>
      <c r="BK20" s="870" t="str">
        <f>IF(VLOOKUP(A20,'Revitalisation-Revitalisierung'!$A$4:$Z$275,14,FALSE)="","",VLOOKUP(A20,'Revitalisation-Revitalisierung'!$A$4:$Z$275,14,FALSE))</f>
        <v>b</v>
      </c>
      <c r="BL20" s="758" t="str">
        <f>IF(VLOOKUP(A20,'Revitalisation-Revitalisierung'!$A$4:$Z$275,15,FALSE)="","",VLOOKUP(A20,'Revitalisation-Revitalisierung'!$A$4:$Z$275,15,FALSE))</f>
        <v>gross</v>
      </c>
      <c r="BM20" s="759" t="str">
        <f>IF(VLOOKUP(A20,'Revitalisation-Revitalisierung'!$A$4:$Z$275,16,FALSE)="","",VLOOKUP(A20,'Revitalisation-Revitalisierung'!$A$4:$Z$275,16,FALSE))</f>
        <v>gross/mittel/gering</v>
      </c>
      <c r="BN20" s="759" t="str">
        <f>IF(VLOOKUP(A20,'Revitalisation-Revitalisierung'!$A$4:$Z$275,17,FALSE)="","",VLOOKUP(A20,'Revitalisation-Revitalisierung'!$A$4:$Z$275,17,FALSE))</f>
        <v>hoch/gering</v>
      </c>
      <c r="BO20" s="760" t="str">
        <f>IF(VLOOKUP(A20,'Revitalisation-Revitalisierung'!$A$4:$Z$275,18,FALSE)="","",VLOOKUP(A20,'Revitalisation-Revitalisierung'!$A$4:$Z$275,18,FALSE))</f>
        <v>Partiellement nécessaire, facile</v>
      </c>
      <c r="BP20" s="761" t="str">
        <f>IF(VLOOKUP(A20,'Revitalisation-Revitalisierung'!$A$4:$Z$275,19,FALSE)="","",VLOOKUP(A20,'Revitalisation-Revitalisierung'!$A$4:$Z$275,19,FALSE))</f>
        <v>Partiellement nécessaire, facile</v>
      </c>
      <c r="BQ20" s="759" t="str">
        <f>IF(VLOOKUP(A20,'Revitalisation-Revitalisierung'!$A$4:$Z$275,20,FALSE)="","",VLOOKUP(A20,'Revitalisation-Revitalisierung'!$A$4:$Z$275,20,FALSE))</f>
        <v>d</v>
      </c>
      <c r="BR20" s="759" t="str">
        <f>IF(VLOOKUP(A20,'Revitalisation-Revitalisierung'!$A$4:$Z$275,21,FALSE)="","",VLOOKUP(A20,'Revitalisation-Revitalisierung'!$A$4:$Z$275,21,FALSE))</f>
        <v/>
      </c>
      <c r="BS20" s="762" t="str">
        <f>IF(VLOOKUP(A20,'Revitalisation-Revitalisierung'!$A$4:$Z$275,22,FALSE)="","",VLOOKUP(A20,'Revitalisation-Revitalisierung'!$A$4:$Z$275,22,FALSE))</f>
        <v/>
      </c>
      <c r="BT20" s="703" t="str">
        <f>IF(VLOOKUP(A20,'Revitalisation-Revitalisierung'!$A$4:$Z$275,23,FALSE)="","",VLOOKUP(A20,'Revitalisation-Revitalisierung'!$A$4:$Z$275,23,FALSE))</f>
        <v/>
      </c>
      <c r="BU20" s="699" t="str">
        <f>IF(VLOOKUP(A20,'Revitalisation-Revitalisierung'!$A$4:$Z$275,24,FALSE)="","",VLOOKUP(A20,'Revitalisation-Revitalisierung'!$A$4:$Z$275,24,FALSE))</f>
        <v/>
      </c>
      <c r="BV20" s="761" t="str">
        <f>IF(VLOOKUP(A20,'Revitalisation-Revitalisierung'!$A$4:$Z$275,25,FALSE)="","",VLOOKUP(A20,'Revitalisation-Revitalisierung'!$A$4:$Z$275,25,FALSE))</f>
        <v>Partiellement nécessaire, facile</v>
      </c>
      <c r="BW20" s="871" t="str">
        <f>IF(VLOOKUP(A20,'Revitalisation-Revitalisierung'!$A$4:$AA$275,27,FALSE)="","",VLOOKUP(A20,'Revitalisation-Revitalisierung'!$A$4:$AA$275,27,FALSE))</f>
        <v>a</v>
      </c>
    </row>
    <row r="21" spans="1:75" ht="63.6" customHeight="1" x14ac:dyDescent="0.25">
      <c r="A21" s="935">
        <v>28</v>
      </c>
      <c r="B21" s="856">
        <f>IF(VLOOKUP(A21,'Données de base - Grunddaten'!$A$2:$M$297,2,FALSE)="","",VLOOKUP(A21,'Données de base - Grunddaten'!$A$2:$M$297,2,FALSE))</f>
        <v>1</v>
      </c>
      <c r="C21" s="857" t="str">
        <f>IF(VLOOKUP(A21,'Données de base - Grunddaten'!$A$2:$M$297,3,FALSE)="","",VLOOKUP(A21,'Données de base - Grunddaten'!$A$2:$M$297,3,FALSE))</f>
        <v>Cumparduns</v>
      </c>
      <c r="D21" s="857" t="str">
        <f>IF(VLOOKUP(A21,'Données de base - Grunddaten'!$A$2:$M$297,4,FALSE)="","",VLOOKUP(A21,'Données de base - Grunddaten'!$A$2:$M$297,4,FALSE))</f>
        <v>Albula, Hinterrhein</v>
      </c>
      <c r="E21" s="857" t="str">
        <f>IF(VLOOKUP(A21,'Données de base - Grunddaten'!$A$2:$M$297,5,FALSE)="","",VLOOKUP(A21,'Données de base - Grunddaten'!$A$2:$M$297,5,FALSE))</f>
        <v>GR</v>
      </c>
      <c r="F21" s="857" t="str">
        <f>IF(VLOOKUP(A21,'Données de base - Grunddaten'!$A$2:$M$297,6,FALSE)="","",VLOOKUP(A21,'Données de base - Grunddaten'!$A$2:$M$297,6,FALSE))</f>
        <v>Alpes centrales orientales</v>
      </c>
      <c r="G21" s="857" t="str">
        <f>IF(VLOOKUP(A21,'Données de base - Grunddaten'!$A$2:$M$297,7,FALSE)="","",VLOOKUP(A21,'Données de base - Grunddaten'!$A$2:$M$297,7,FALSE))</f>
        <v>Montagnard inf.</v>
      </c>
      <c r="H21" s="857">
        <f>IF(VLOOKUP(A21,'Données de base - Grunddaten'!$A$2:$M$297,8,FALSE)="","",VLOOKUP(A21,'Données de base - Grunddaten'!$A$2:$M$297,8,FALSE))</f>
        <v>670</v>
      </c>
      <c r="I21" s="857">
        <f>IF(VLOOKUP(A21,'Données de base - Grunddaten'!$A$2:$M$297,9,FALSE)="","",VLOOKUP(A21,'Données de base - Grunddaten'!$A$2:$M$297,9,FALSE))</f>
        <v>1992</v>
      </c>
      <c r="J21" s="857">
        <f>IF(VLOOKUP(A21,'Données de base - Grunddaten'!$A$2:$M$297,10,FALSE)="","",VLOOKUP(A21,'Données de base - Grunddaten'!$A$2:$M$297,10,FALSE))</f>
        <v>42</v>
      </c>
      <c r="K21" s="857" t="str">
        <f>IF(VLOOKUP(A21,'Données de base - Grunddaten'!$A$2:$M$297,11,FALSE)="","",VLOOKUP(A21,'Données de base - Grunddaten'!$A$2:$M$297,11,FALSE))</f>
        <v>Cours d'eau corrigés de l'étage montagnard</v>
      </c>
      <c r="L21" s="857" t="str">
        <f>IF(VLOOKUP(A21,'Données de base - Grunddaten'!$A$2:$M$297,12,FALSE)="","",VLOOKUP(A21,'Données de base - Grunddaten'!$A$2:$M$297,12,FALSE))</f>
        <v>en tresses</v>
      </c>
      <c r="M21" s="858" t="str">
        <f>IF(VLOOKUP(A21,'Données de base - Grunddaten'!$A$2:$M$297,13,FALSE)="","",VLOOKUP(A21,'Données de base - Grunddaten'!$A$2:$M$297,13,FALSE))</f>
        <v>cours rectiligne</v>
      </c>
      <c r="N21" s="872" t="str">
        <f>IF(VLOOKUP(A21,'Charriage - Geschiebehaushalt'!$A$4:$R$275,5,FALSE)="","",VLOOKUP(A21,'Charriage - Geschiebehaushalt'!$A$4:$R$275,5,FALSE))</f>
        <v>pertinent</v>
      </c>
      <c r="O21" s="873" t="str">
        <f>IF(VLOOKUP(A21,'Charriage - Geschiebehaushalt'!$A$4:$R$275,6,FALSE)="","",VLOOKUP(A21,'Charriage - Geschiebehaushalt'!$A$4:$R$275,6,FALSE))</f>
        <v>81 -100%</v>
      </c>
      <c r="P21" s="874" t="str">
        <f>IF(VLOOKUP(A21,'Charriage - Geschiebehaushalt'!$A$4:$R$275,7,FALSE)="","",VLOOKUP(A21,'Charriage - Geschiebehaushalt'!$A$4:$R$275,7,FALSE))</f>
        <v/>
      </c>
      <c r="Q21" s="874" t="str">
        <f>IF(VLOOKUP(A21,'Charriage - Geschiebehaushalt'!$A$4:$R$275,8,FALSE)="","",VLOOKUP(A21,'Charriage - Geschiebehaushalt'!$A$4:$R$275,8,FALSE))</f>
        <v>non documenté</v>
      </c>
      <c r="R21" s="875">
        <f>IF(VLOOKUP(A21,'Charriage - Geschiebehaushalt'!$A$4:$R$275,9,FALSE)="","",VLOOKUP(A21,'Charriage - Geschiebehaushalt'!$A$4:$R$275,9,FALSE))</f>
        <v>0.621213180247013</v>
      </c>
      <c r="S21" s="876" t="str">
        <f>IF(VLOOKUP(A21,'Charriage - Geschiebehaushalt'!$A$4:$R$275,10,FALSE)="","",VLOOKUP(A21,'Charriage - Geschiebehaushalt'!$A$4:$R$275,10,FALSE))</f>
        <v>la remobilisation des sédiments est perturbée</v>
      </c>
      <c r="T21" s="875">
        <f>IF(VLOOKUP(A21,'Charriage - Geschiebehaushalt'!$A$4:$R$275,11,FALSE)="","",VLOOKUP(A21,'Charriage - Geschiebehaushalt'!$A$4:$R$275,11,FALSE))</f>
        <v>9.9135178047000005E-2</v>
      </c>
      <c r="U21" s="876" t="str">
        <f>IF(VLOOKUP(A21,'Charriage - Geschiebehaushalt'!$A$4:$R$275,12,FALSE)="","",VLOOKUP(A21,'Charriage - Geschiebehaushalt'!$A$4:$R$275,12,FALSE))</f>
        <v>déficit dans les formations pionnières</v>
      </c>
      <c r="V21" s="877" t="str">
        <f>IF(VLOOKUP(A21,'Charriage - Geschiebehaushalt'!$A$4:$R$275,13,FALSE)="","",VLOOKUP(A21,'Charriage - Geschiebehaushalt'!$A$4:$R$275,13,FALSE))</f>
        <v/>
      </c>
      <c r="W21" s="877" t="str">
        <f>IF(VLOOKUP(A21,'Charriage - Geschiebehaushalt'!$A$4:$R$275,14,FALSE)="","",VLOOKUP(A21,'Charriage - Geschiebehaushalt'!$A$4:$R$275,14,FALSE))</f>
        <v/>
      </c>
      <c r="X21" s="877" t="str">
        <f>IF(VLOOKUP(A21,'Charriage - Geschiebehaushalt'!$A$4:$R$275,15,FALSE)="","",VLOOKUP(A21,'Charriage - Geschiebehaushalt'!$A$4:$R$275,15,FALSE))</f>
        <v/>
      </c>
      <c r="Y21" s="879" t="str">
        <f>IF(VLOOKUP(A21,'Charriage - Geschiebehaushalt'!$A$4:$R$275,16,FALSE)="","",VLOOKUP(A21,'Charriage - Geschiebehaushalt'!$A$4:$R$275,16,FALSE))</f>
        <v/>
      </c>
      <c r="Z21" s="763" t="str">
        <f>IF(VLOOKUP(A21,'Charriage - Geschiebehaushalt'!$A$4:$R$275,17,FALSE)="","",VLOOKUP(A21,'Charriage - Geschiebehaushalt'!$A$4:$R$275,17,FALSE))</f>
        <v>81 -100%</v>
      </c>
      <c r="AA21" s="880" t="str">
        <f>IF(VLOOKUP(A21,'Charriage - Geschiebehaushalt'!$A$4:$R$275,18,FALSE)="","",VLOOKUP(A21,'Charriage - Geschiebehaushalt'!$A$4:$R$275,18,FALSE))</f>
        <v>a</v>
      </c>
      <c r="AB21" s="737" t="str">
        <f>IF(VLOOKUP(A21,'Charriage - Geschiebehaushalt'!$A$4:$AC$275,19,FALSE)="","",VLOOKUP(A21,'Charriage - Geschiebehaushalt'!$A$4:$AC$275,19,FALSE))</f>
        <v>vernachlässigbar</v>
      </c>
      <c r="AC21" s="738">
        <f>IF(VLOOKUP(A21,'Charriage - Geschiebehaushalt'!$A$4:$AC$275,20,FALSE)="","",VLOOKUP(A21,'Charriage - Geschiebehaushalt'!$A$4:$AC$275,20,FALSE))</f>
        <v>0</v>
      </c>
      <c r="AD21" s="764" t="str">
        <f>IF(VLOOKUP(A21,'Charriage - Geschiebehaushalt'!$A$4:$AC$275,21,FALSE)="","",VLOOKUP(A21,'Charriage - Geschiebehaushalt'!$A$4:$AC$275,21,FALSE))</f>
        <v>21-50%</v>
      </c>
      <c r="AE21" s="772" t="str">
        <f>IF(VLOOKUP(A21,'Charriage - Geschiebehaushalt'!$A$4:$AC$275,22,FALSE)="","",VLOOKUP(A21,'Charriage - Geschiebehaushalt'!$A$4:$AC$275,22,FALSE))</f>
        <v>21-50%</v>
      </c>
      <c r="AF21" s="787" t="str">
        <f>IF(VLOOKUP(A21,'Charriage - Geschiebehaushalt'!$A$4:$AC$275,23,FALSE)="","",VLOOKUP(A21,'Charriage - Geschiebehaushalt'!$A$4:$AC$275,23,FALSE))</f>
        <v>c</v>
      </c>
      <c r="AG21" s="765" t="str">
        <f>IF(VLOOKUP(A21,'Charriage - Geschiebehaushalt'!$A$4:$AC$275,24,FALSE)="","",VLOOKUP(A21,'Charriage - Geschiebehaushalt'!$A$4:$AC$275,24,FALSE))</f>
        <v/>
      </c>
      <c r="AH21" s="764" t="str">
        <f>IF(VLOOKUP(A21,'Charriage - Geschiebehaushalt'!$A$4:$AC$275,25,FALSE)="","",VLOOKUP(A21,'Charriage - Geschiebehaushalt'!$A$4:$AC$275,25,FALSE))</f>
        <v>X</v>
      </c>
      <c r="AI21" s="771" t="str">
        <f>IF(VLOOKUP(A21,'Charriage - Geschiebehaushalt'!$A$4:$AC$275,26,FALSE)="","",VLOOKUP(A21,'Charriage - Geschiebehaushalt'!$A$4:$AC$275,26,FALSE))</f>
        <v/>
      </c>
      <c r="AJ21" s="890" t="str">
        <f>IF(VLOOKUP(A21,'Charriage - Geschiebehaushalt'!$A$4:$AC$275,27,FALSE)="","",VLOOKUP(A21,'Charriage - Geschiebehaushalt'!$A$4:$AC$275,27,FALSE))</f>
        <v>PAS EXPRIMÉ</v>
      </c>
      <c r="AK21" s="814" t="str">
        <f>IF(VLOOKUP(A21,'Charriage - Geschiebehaushalt'!$A$4:$AC$275,28,FALSE)="","",VLOOKUP(A21,'Charriage - Geschiebehaushalt'!$A$4:$AC$275,28,FALSE))</f>
        <v>21-50%</v>
      </c>
      <c r="AL21" s="1285" t="str">
        <f>IF(VLOOKUP(A21,'Charriage - Geschiebehaushalt'!$A$4:$AD$275,30,FALSE)="","",VLOOKUP(A21,'Charriage - Geschiebehaushalt'!$A$4:$AD$275,30,FALSE))</f>
        <v>a</v>
      </c>
      <c r="AM21" s="1279" t="str">
        <f>IF(VLOOKUP(A21,'Débit - Abfluss'!$A$4:$K$275,5,FALSE)="","",VLOOKUP(A21,'Débit - Abfluss'!$A$4:$M$275,5,FALSE))</f>
        <v>0-20%</v>
      </c>
      <c r="AN21" s="885" t="str">
        <f>IF(VLOOKUP(A21,'Débit - Abfluss'!$A$4:$K$275,6,FALSE)="","",VLOOKUP(A21,'Débit - Abfluss'!$A$4:$M$275,6,FALSE))</f>
        <v/>
      </c>
      <c r="AO21" s="869" t="str">
        <f>IF(VLOOKUP(A21,'Débit - Abfluss'!$A$4:$K$275,7,FALSE)="","",VLOOKUP(A21,'Débit - Abfluss'!$A$4:$M$275,7,FALSE))</f>
        <v/>
      </c>
      <c r="AP21" s="766" t="str">
        <f>IF(VLOOKUP(A21,'Débit - Abfluss'!$A$4:$K$275,8,FALSE)="","",VLOOKUP(A21,'Débit - Abfluss'!$A$4:$M$275,8,FALSE))</f>
        <v>0-20%</v>
      </c>
      <c r="AQ21" s="678" t="str">
        <f>IF(VLOOKUP(A21,'Débit - Abfluss'!$A$4:$K$275,9,FALSE)="","",VLOOKUP(A21,'Débit - Abfluss'!$A$4:$M$275,9,FALSE))</f>
        <v>10-50%</v>
      </c>
      <c r="AR21" s="767" t="str">
        <f>IF(VLOOKUP(A21,'Débit - Abfluss'!$A$4:$K$275,10,FALSE)="","",VLOOKUP(A21,'Débit - Abfluss'!$A$4:$M$275,10,FALSE))</f>
        <v>0-20%</v>
      </c>
      <c r="AS21" s="773" t="str">
        <f>IF(VLOOKUP(A21,'Débit - Abfluss'!$A$4:$K$275,11,FALSE)="","",VLOOKUP(A21,'Débit - Abfluss'!$A$4:$M$275,11,FALSE))</f>
        <v>X</v>
      </c>
      <c r="AT21" s="778" t="str">
        <f>IF(VLOOKUP(A21,'Débit - Abfluss'!$A$4:$Q$275,12,FALSE)="","",VLOOKUP(A21,'Débit - Abfluss'!$A$4:$Q$275,12,FALSE))</f>
        <v/>
      </c>
      <c r="AU21" s="779" t="str">
        <f>IF(VLOOKUP(A21,'Débit - Abfluss'!$A$4:$Q$275,13,FALSE)="","",VLOOKUP(A21,'Débit - Abfluss'!$A$4:$Q$275,13,FALSE))</f>
        <v/>
      </c>
      <c r="AV21" s="746" t="str">
        <f>IF(VLOOKUP(A21,'Débit - Abfluss'!$A$4:$Q$275,14,FALSE)="","",VLOOKUP(A21,'Débit - Abfluss'!$A$4:$Q$275,14,FALSE))</f>
        <v>GR-EWZN7-1</v>
      </c>
      <c r="AW21" s="768" t="str">
        <f>IF(VLOOKUP(A21,'Débit - Abfluss'!$A$4:$Q$275,15,FALSE)="","",VLOOKUP(A21,'Débit - Abfluss'!$A$4:$Q$275,15,FALSE))</f>
        <v>Rothenbrunnen (EWZ)</v>
      </c>
      <c r="AX21" s="679" t="str">
        <f>IF(VLOOKUP(A21,'Débit - Abfluss'!$A$4:$Q$275,16,FALSE)="","",VLOOKUP(A21,'Débit - Abfluss'!$A$4:$Q$275,16,FALSE))</f>
        <v/>
      </c>
      <c r="AY21" s="769" t="str">
        <f>IF(VLOOKUP(A21,'Débit - Abfluss'!$A$4:$Q$275,17,FALSE)="","",VLOOKUP(A21,'Débit - Abfluss'!$A$4:$Q$275,17,FALSE))</f>
        <v>0-20%</v>
      </c>
      <c r="AZ21" s="749" t="str">
        <f>IF(VLOOKUP(A21,'Eclusée - Schwall-Sunk'!$A$2:$F$273,5,FALSE)="","",VLOOKUP(A21,'Eclusée - Schwall-Sunk'!$A$2:$F$273,5,FALSE))</f>
        <v>force hydraulique</v>
      </c>
      <c r="BA21" s="750" t="str">
        <f>IF(VLOOKUP(A21,'Eclusée - Schwall-Sunk'!$A$2:$F$273,6,FALSE)="","",VLOOKUP(A21,'Eclusée - Schwall-Sunk'!$A$2:$F$273,6,FALSE))</f>
        <v>Potentiellement affecté / möglicherweise betroffen</v>
      </c>
      <c r="BB21" s="751">
        <f>IF(VLOOKUP(A21,'Revitalisation-Revitalisierung'!$A$4:$Z$275,5,FALSE)="","",VLOOKUP(A21,'Revitalisation-Revitalisierung'!$A$4:$Z$275,5,FALSE))</f>
        <v>76.518181818181816</v>
      </c>
      <c r="BC21" s="752">
        <f>IF(VLOOKUP(A21,'Revitalisation-Revitalisierung'!$A$4:$Z$275,6,FALSE)="","",VLOOKUP(A21,'Revitalisation-Revitalisierung'!$A$4:$Z$275,6,FALSE))</f>
        <v>79.726100551331811</v>
      </c>
      <c r="BD21" s="752">
        <f>IF(VLOOKUP(A21,'Revitalisation-Revitalisierung'!$A$4:$Z$275,7,FALSE)="","",VLOOKUP(A21,'Revitalisation-Revitalisierung'!$A$4:$Z$275,7,FALSE))</f>
        <v>3.1818181818181817</v>
      </c>
      <c r="BE21" s="753" t="str">
        <f>IF(VLOOKUP(A21,'Revitalisation-Revitalisierung'!$A$4:$Z$275,8,FALSE)="","",VLOOKUP(A21,'Revitalisation-Revitalisierung'!$A$4:$Z$275,8,FALSE))</f>
        <v>très nécessaire, facile</v>
      </c>
      <c r="BF21" s="754" t="str">
        <f>IF(VLOOKUP(A21,'Revitalisation-Revitalisierung'!$A$4:$Z$275,9,FALSE)="","",VLOOKUP(A21,'Revitalisation-Revitalisierung'!$A$4:$Z$275,9,FALSE))</f>
        <v/>
      </c>
      <c r="BG21" s="754" t="str">
        <f>IF(VLOOKUP(A21,'Revitalisation-Revitalisierung'!$A$4:$Z$275,10,FALSE)="","",VLOOKUP(A21,'Revitalisation-Revitalisierung'!$A$4:$Z$275,10,FALSE))</f>
        <v>K1</v>
      </c>
      <c r="BH21" s="755" t="str">
        <f>IF(VLOOKUP(A21,'Revitalisation-Revitalisierung'!$A$4:$Z$275,11,FALSE)="","",VLOOKUP(A21,'Revitalisation-Revitalisierung'!$A$4:$Z$275,11,FALSE))</f>
        <v/>
      </c>
      <c r="BI21" s="756" t="str">
        <f>IF(VLOOKUP(A21,'Revitalisation-Revitalisierung'!$A$4:$Z$275,12,FALSE)="","",VLOOKUP(A21,'Revitalisation-Revitalisierung'!$A$4:$Z$275,12,FALSE))</f>
        <v/>
      </c>
      <c r="BJ21" s="757" t="str">
        <f>IF(VLOOKUP(A21,'Revitalisation-Revitalisierung'!$A$4:$Z$275,13,FALSE)="","",VLOOKUP(A21,'Revitalisation-Revitalisierung'!$A$4:$Z$275,13,FALSE))</f>
        <v>Très nécessaire, difficile / unbedingt nötig, schwierig</v>
      </c>
      <c r="BK21" s="870" t="str">
        <f>IF(VLOOKUP(A21,'Revitalisation-Revitalisierung'!$A$4:$Z$275,14,FALSE)="","",VLOOKUP(A21,'Revitalisation-Revitalisierung'!$A$4:$Z$275,14,FALSE))</f>
        <v>b</v>
      </c>
      <c r="BL21" s="758" t="str">
        <f>IF(VLOOKUP(A21,'Revitalisation-Revitalisierung'!$A$4:$Z$275,15,FALSE)="","",VLOOKUP(A21,'Revitalisation-Revitalisierung'!$A$4:$Z$275,15,FALSE))</f>
        <v>gross</v>
      </c>
      <c r="BM21" s="759" t="str">
        <f>IF(VLOOKUP(A21,'Revitalisation-Revitalisierung'!$A$4:$Z$275,16,FALSE)="","",VLOOKUP(A21,'Revitalisation-Revitalisierung'!$A$4:$Z$275,16,FALSE))</f>
        <v>gross/mittel</v>
      </c>
      <c r="BN21" s="759" t="str">
        <f>IF(VLOOKUP(A21,'Revitalisation-Revitalisierung'!$A$4:$Z$275,17,FALSE)="","",VLOOKUP(A21,'Revitalisation-Revitalisierung'!$A$4:$Z$275,17,FALSE))</f>
        <v>hoch</v>
      </c>
      <c r="BO21" s="760" t="str">
        <f>IF(VLOOKUP(A21,'Revitalisation-Revitalisierung'!$A$4:$Z$275,18,FALSE)="","",VLOOKUP(A21,'Revitalisation-Revitalisierung'!$A$4:$Z$275,18,FALSE))</f>
        <v>Très nécessaire, difficile / unbedingt nötig, schwierig</v>
      </c>
      <c r="BP21" s="761" t="str">
        <f>IF(VLOOKUP(A21,'Revitalisation-Revitalisierung'!$A$4:$Z$275,19,FALSE)="","",VLOOKUP(A21,'Revitalisation-Revitalisierung'!$A$4:$Z$275,19,FALSE))</f>
        <v>Très nécessaire, difficile / unbedingt nötig, schwierig</v>
      </c>
      <c r="BQ21" s="759" t="str">
        <f>IF(VLOOKUP(A21,'Revitalisation-Revitalisierung'!$A$4:$Z$275,20,FALSE)="","",VLOOKUP(A21,'Revitalisation-Revitalisierung'!$A$4:$Z$275,20,FALSE))</f>
        <v>d</v>
      </c>
      <c r="BR21" s="759" t="str">
        <f>IF(VLOOKUP(A21,'Revitalisation-Revitalisierung'!$A$4:$Z$275,21,FALSE)="","",VLOOKUP(A21,'Revitalisation-Revitalisierung'!$A$4:$Z$275,21,FALSE))</f>
        <v>catégorie confirmée par le canton</v>
      </c>
      <c r="BS21" s="762" t="str">
        <f>IF(VLOOKUP(A21,'Revitalisation-Revitalisierung'!$A$4:$Z$275,22,FALSE)="","",VLOOKUP(A21,'Revitalisation-Revitalisierung'!$A$4:$Z$275,22,FALSE))</f>
        <v/>
      </c>
      <c r="BT21" s="703" t="str">
        <f>IF(VLOOKUP(A21,'Revitalisation-Revitalisierung'!$A$4:$Z$275,23,FALSE)="","",VLOOKUP(A21,'Revitalisation-Revitalisierung'!$A$4:$Z$275,23,FALSE))</f>
        <v/>
      </c>
      <c r="BU21" s="699" t="str">
        <f>IF(VLOOKUP(A21,'Revitalisation-Revitalisierung'!$A$4:$Z$275,24,FALSE)="","",VLOOKUP(A21,'Revitalisation-Revitalisierung'!$A$4:$Z$275,24,FALSE))</f>
        <v/>
      </c>
      <c r="BV21" s="761" t="str">
        <f>IF(VLOOKUP(A21,'Revitalisation-Revitalisierung'!$A$4:$Z$275,25,FALSE)="","",VLOOKUP(A21,'Revitalisation-Revitalisierung'!$A$4:$Z$275,25,FALSE))</f>
        <v>Très nécessaire, difficile / unbedingt nötig, schwierig</v>
      </c>
      <c r="BW21" s="871" t="str">
        <f>IF(VLOOKUP(A21,'Revitalisation-Revitalisierung'!$A$4:$AA$275,27,FALSE)="","",VLOOKUP(A21,'Revitalisation-Revitalisierung'!$A$4:$AA$275,27,FALSE))</f>
        <v>a</v>
      </c>
    </row>
    <row r="22" spans="1:75" ht="75.599999999999994" customHeight="1" x14ac:dyDescent="0.25">
      <c r="A22" s="935">
        <v>29</v>
      </c>
      <c r="B22" s="856">
        <f>IF(VLOOKUP(A22,'Données de base - Grunddaten'!$A$2:$M$297,2,FALSE)="","",VLOOKUP(A22,'Données de base - Grunddaten'!$A$2:$M$297,2,FALSE))</f>
        <v>1</v>
      </c>
      <c r="C22" s="857" t="str">
        <f>IF(VLOOKUP(A22,'Données de base - Grunddaten'!$A$2:$M$297,3,FALSE)="","",VLOOKUP(A22,'Données de base - Grunddaten'!$A$2:$M$297,3,FALSE))</f>
        <v>Cauma</v>
      </c>
      <c r="D22" s="857" t="str">
        <f>IF(VLOOKUP(A22,'Données de base - Grunddaten'!$A$2:$M$297,4,FALSE)="","",VLOOKUP(A22,'Données de base - Grunddaten'!$A$2:$M$297,4,FALSE))</f>
        <v>Vorderrhein</v>
      </c>
      <c r="E22" s="857" t="str">
        <f>IF(VLOOKUP(A22,'Données de base - Grunddaten'!$A$2:$M$297,5,FALSE)="","",VLOOKUP(A22,'Données de base - Grunddaten'!$A$2:$M$297,5,FALSE))</f>
        <v>GR</v>
      </c>
      <c r="F22" s="857" t="str">
        <f>IF(VLOOKUP(A22,'Données de base - Grunddaten'!$A$2:$M$297,6,FALSE)="","",VLOOKUP(A22,'Données de base - Grunddaten'!$A$2:$M$297,6,FALSE))</f>
        <v>Alpes centrales orientales</v>
      </c>
      <c r="G22" s="857" t="str">
        <f>IF(VLOOKUP(A22,'Données de base - Grunddaten'!$A$2:$M$297,7,FALSE)="","",VLOOKUP(A22,'Données de base - Grunddaten'!$A$2:$M$297,7,FALSE))</f>
        <v>Montagnard inf.</v>
      </c>
      <c r="H22" s="857">
        <f>IF(VLOOKUP(A22,'Données de base - Grunddaten'!$A$2:$M$297,8,FALSE)="","",VLOOKUP(A22,'Données de base - Grunddaten'!$A$2:$M$297,8,FALSE))</f>
        <v>690</v>
      </c>
      <c r="I22" s="857">
        <f>IF(VLOOKUP(A22,'Données de base - Grunddaten'!$A$2:$M$297,9,FALSE)="","",VLOOKUP(A22,'Données de base - Grunddaten'!$A$2:$M$297,9,FALSE))</f>
        <v>1992</v>
      </c>
      <c r="J22" s="857">
        <f>IF(VLOOKUP(A22,'Données de base - Grunddaten'!$A$2:$M$297,10,FALSE)="","",VLOOKUP(A22,'Données de base - Grunddaten'!$A$2:$M$297,10,FALSE))</f>
        <v>70</v>
      </c>
      <c r="K22" s="857" t="str">
        <f>IF(VLOOKUP(A22,'Données de base - Grunddaten'!$A$2:$M$297,11,FALSE)="","",VLOOKUP(A22,'Données de base - Grunddaten'!$A$2:$M$297,11,FALSE))</f>
        <v>Cours d'eau de l'étage collinéen des Alpes centrales</v>
      </c>
      <c r="L22" s="857" t="str">
        <f>IF(VLOOKUP(A22,'Données de base - Grunddaten'!$A$2:$M$297,12,FALSE)="","",VLOOKUP(A22,'Données de base - Grunddaten'!$A$2:$M$297,12,FALSE))</f>
        <v>en tresses</v>
      </c>
      <c r="M22" s="858" t="str">
        <f>IF(VLOOKUP(A22,'Données de base - Grunddaten'!$A$2:$M$297,13,FALSE)="","",VLOOKUP(A22,'Données de base - Grunddaten'!$A$2:$M$297,13,FALSE))</f>
        <v>en tresses</v>
      </c>
      <c r="N22" s="872" t="str">
        <f>IF(VLOOKUP(A22,'Charriage - Geschiebehaushalt'!$A$4:$R$275,5,FALSE)="","",VLOOKUP(A22,'Charriage - Geschiebehaushalt'!$A$4:$R$275,5,FALSE))</f>
        <v>pertinent</v>
      </c>
      <c r="O22" s="873" t="str">
        <f>IF(VLOOKUP(A22,'Charriage - Geschiebehaushalt'!$A$4:$R$275,6,FALSE)="","",VLOOKUP(A22,'Charriage - Geschiebehaushalt'!$A$4:$R$275,6,FALSE))</f>
        <v>0-20%</v>
      </c>
      <c r="P22" s="874">
        <f>IF(VLOOKUP(A22,'Charriage - Geschiebehaushalt'!$A$4:$R$275,7,FALSE)="","",VLOOKUP(A22,'Charriage - Geschiebehaushalt'!$A$4:$R$275,7,FALSE))</f>
        <v>4.2446465504115203</v>
      </c>
      <c r="Q22" s="874" t="str">
        <f>IF(VLOOKUP(A22,'Charriage - Geschiebehaushalt'!$A$4:$R$275,8,FALSE)="","",VLOOKUP(A22,'Charriage - Geschiebehaushalt'!$A$4:$R$275,8,FALSE))</f>
        <v>dépôt donc pas de problème de charriage</v>
      </c>
      <c r="R22" s="875">
        <f>IF(VLOOKUP(A22,'Charriage - Geschiebehaushalt'!$A$4:$R$275,9,FALSE)="","",VLOOKUP(A22,'Charriage - Geschiebehaushalt'!$A$4:$R$275,9,FALSE))</f>
        <v>5.86505365925847E-2</v>
      </c>
      <c r="S22" s="876" t="str">
        <f>IF(VLOOKUP(A22,'Charriage - Geschiebehaushalt'!$A$4:$R$275,10,FALSE)="","",VLOOKUP(A22,'Charriage - Geschiebehaushalt'!$A$4:$R$275,10,FALSE))</f>
        <v>pas ou faiblement entravé</v>
      </c>
      <c r="T22" s="875">
        <f>IF(VLOOKUP(A22,'Charriage - Geschiebehaushalt'!$A$4:$R$275,11,FALSE)="","",VLOOKUP(A22,'Charriage - Geschiebehaushalt'!$A$4:$R$275,11,FALSE))</f>
        <v>0.37697959578000001</v>
      </c>
      <c r="U22" s="876" t="str">
        <f>IF(VLOOKUP(A22,'Charriage - Geschiebehaushalt'!$A$4:$R$275,12,FALSE)="","",VLOOKUP(A22,'Charriage - Geschiebehaushalt'!$A$4:$R$275,12,FALSE))</f>
        <v>déficit non apparent en charriage ou en remobilisation des sédiments</v>
      </c>
      <c r="V22" s="877" t="str">
        <f>IF(VLOOKUP(A22,'Charriage - Geschiebehaushalt'!$A$4:$R$275,13,FALSE)="","",VLOOKUP(A22,'Charriage - Geschiebehaushalt'!$A$4:$R$275,13,FALSE))</f>
        <v/>
      </c>
      <c r="W22" s="877" t="str">
        <f>IF(VLOOKUP(A22,'Charriage - Geschiebehaushalt'!$A$4:$R$275,14,FALSE)="","",VLOOKUP(A22,'Charriage - Geschiebehaushalt'!$A$4:$R$275,14,FALSE))</f>
        <v/>
      </c>
      <c r="X22" s="877" t="str">
        <f>IF(VLOOKUP(A22,'Charriage - Geschiebehaushalt'!$A$4:$R$275,15,FALSE)="","",VLOOKUP(A22,'Charriage - Geschiebehaushalt'!$A$4:$R$275,15,FALSE))</f>
        <v/>
      </c>
      <c r="Y22" s="879" t="str">
        <f>IF(VLOOKUP(A22,'Charriage - Geschiebehaushalt'!$A$4:$R$275,16,FALSE)="","",VLOOKUP(A22,'Charriage - Geschiebehaushalt'!$A$4:$R$275,16,FALSE))</f>
        <v/>
      </c>
      <c r="Z22" s="763" t="str">
        <f>IF(VLOOKUP(A22,'Charriage - Geschiebehaushalt'!$A$4:$R$275,17,FALSE)="","",VLOOKUP(A22,'Charriage - Geschiebehaushalt'!$A$4:$R$275,17,FALSE))</f>
        <v>0-20%</v>
      </c>
      <c r="AA22" s="880" t="str">
        <f>IF(VLOOKUP(A22,'Charriage - Geschiebehaushalt'!$A$4:$R$275,18,FALSE)="","",VLOOKUP(A22,'Charriage - Geschiebehaushalt'!$A$4:$R$275,18,FALSE))</f>
        <v>a</v>
      </c>
      <c r="AB22" s="737" t="str">
        <f>IF(VLOOKUP(A22,'Charriage - Geschiebehaushalt'!$A$4:$AC$275,19,FALSE)="","",VLOOKUP(A22,'Charriage - Geschiebehaushalt'!$A$4:$AC$275,19,FALSE))</f>
        <v>vernachlässigbar</v>
      </c>
      <c r="AC22" s="738">
        <f>IF(VLOOKUP(A22,'Charriage - Geschiebehaushalt'!$A$4:$AC$275,20,FALSE)="","",VLOOKUP(A22,'Charriage - Geschiebehaushalt'!$A$4:$AC$275,20,FALSE))</f>
        <v>0</v>
      </c>
      <c r="AD22" s="764" t="str">
        <f>IF(VLOOKUP(A22,'Charriage - Geschiebehaushalt'!$A$4:$AC$275,21,FALSE)="","",VLOOKUP(A22,'Charriage - Geschiebehaushalt'!$A$4:$AC$275,21,FALSE))</f>
        <v>21-50%</v>
      </c>
      <c r="AE22" s="740" t="str">
        <f>IF(VLOOKUP(A22,'Charriage - Geschiebehaushalt'!$A$4:$AC$275,22,FALSE)="","",VLOOKUP(A22,'Charriage - Geschiebehaushalt'!$A$4:$AC$275,22,FALSE))</f>
        <v>21-50%</v>
      </c>
      <c r="AF22" s="787" t="str">
        <f>IF(VLOOKUP(A22,'Charriage - Geschiebehaushalt'!$A$4:$AC$275,23,FALSE)="","",VLOOKUP(A22,'Charriage - Geschiebehaushalt'!$A$4:$AC$275,23,FALSE))</f>
        <v>c</v>
      </c>
      <c r="AG22" s="765" t="str">
        <f>IF(VLOOKUP(A22,'Charriage - Geschiebehaushalt'!$A$4:$AC$275,24,FALSE)="","",VLOOKUP(A22,'Charriage - Geschiebehaushalt'!$A$4:$AC$275,24,FALSE))</f>
        <v/>
      </c>
      <c r="AH22" s="764" t="str">
        <f>IF(VLOOKUP(A22,'Charriage - Geschiebehaushalt'!$A$4:$AC$275,25,FALSE)="","",VLOOKUP(A22,'Charriage - Geschiebehaushalt'!$A$4:$AC$275,25,FALSE))</f>
        <v/>
      </c>
      <c r="AI22" s="435" t="str">
        <f>IF(VLOOKUP(A22,'Charriage - Geschiebehaushalt'!$A$4:$AC$275,26,FALSE)="","",VLOOKUP(A22,'Charriage - Geschiebehaushalt'!$A$4:$AC$275,26,FALSE))</f>
        <v/>
      </c>
      <c r="AJ22" s="436" t="str">
        <f>IF(VLOOKUP(A22,'Charriage - Geschiebehaushalt'!$A$4:$AC$275,27,FALSE)="","",VLOOKUP(A22,'Charriage - Geschiebehaushalt'!$A$4:$AC$275,27,FALSE))</f>
        <v/>
      </c>
      <c r="AK22" s="801" t="str">
        <f>IF(VLOOKUP(A22,'Charriage - Geschiebehaushalt'!$A$4:$AC$275,28,FALSE)="","",VLOOKUP(A22,'Charriage - Geschiebehaushalt'!$A$4:$AC$275,28,FALSE))</f>
        <v>21-50%</v>
      </c>
      <c r="AL22" s="1285" t="str">
        <f>IF(VLOOKUP(A22,'Charriage - Geschiebehaushalt'!$A$4:$AD$275,30,FALSE)="","",VLOOKUP(A22,'Charriage - Geschiebehaushalt'!$A$4:$AD$275,30,FALSE))</f>
        <v>a</v>
      </c>
      <c r="AM22" s="1279" t="str">
        <f>IF(VLOOKUP(A22,'Débit - Abfluss'!$A$4:$K$275,5,FALSE)="","",VLOOKUP(A22,'Débit - Abfluss'!$A$4:$M$275,5,FALSE))</f>
        <v>81-100%</v>
      </c>
      <c r="AN22" s="868" t="str">
        <f>IF(VLOOKUP(A22,'Débit - Abfluss'!$A$4:$K$275,6,FALSE)="","",VLOOKUP(A22,'Débit - Abfluss'!$A$4:$M$275,6,FALSE))</f>
        <v/>
      </c>
      <c r="AO22" s="869" t="str">
        <f>IF(VLOOKUP(A22,'Débit - Abfluss'!$A$4:$K$275,7,FALSE)="","",VLOOKUP(A22,'Débit - Abfluss'!$A$4:$M$275,7,FALSE))</f>
        <v/>
      </c>
      <c r="AP22" s="766" t="str">
        <f>IF(VLOOKUP(A22,'Débit - Abfluss'!$A$4:$K$275,8,FALSE)="","",VLOOKUP(A22,'Débit - Abfluss'!$A$4:$M$275,8,FALSE))</f>
        <v>81-100%</v>
      </c>
      <c r="AQ22" s="742" t="str">
        <f>IF(VLOOKUP(A22,'Débit - Abfluss'!$A$4:$K$275,9,FALSE)="","",VLOOKUP(A22,'Débit - Abfluss'!$A$4:$M$275,9,FALSE))</f>
        <v>-</v>
      </c>
      <c r="AR22" s="767" t="str">
        <f>IF(VLOOKUP(A22,'Débit - Abfluss'!$A$4:$K$275,10,FALSE)="","",VLOOKUP(A22,'Débit - Abfluss'!$A$4:$M$275,10,FALSE))</f>
        <v>81-100%</v>
      </c>
      <c r="AS22" s="767" t="str">
        <f>IF(VLOOKUP(A22,'Débit - Abfluss'!$A$4:$K$275,11,FALSE)="","",VLOOKUP(A22,'Débit - Abfluss'!$A$4:$M$275,11,FALSE))</f>
        <v/>
      </c>
      <c r="AT22" s="778" t="str">
        <f>IF(VLOOKUP(A22,'Débit - Abfluss'!$A$4:$Q$275,12,FALSE)="","",VLOOKUP(A22,'Débit - Abfluss'!$A$4:$Q$275,12,FALSE))</f>
        <v/>
      </c>
      <c r="AU22" s="779" t="str">
        <f>IF(VLOOKUP(A22,'Débit - Abfluss'!$A$4:$Q$275,13,FALSE)="","",VLOOKUP(A22,'Débit - Abfluss'!$A$4:$Q$275,13,FALSE))</f>
        <v/>
      </c>
      <c r="AV22" s="746" t="str">
        <f>IF(VLOOKUP(A22,'Débit - Abfluss'!$A$4:$Q$275,14,FALSE)="","",VLOOKUP(A22,'Débit - Abfluss'!$A$4:$Q$275,14,FALSE))</f>
        <v/>
      </c>
      <c r="AW22" s="768" t="str">
        <f>IF(VLOOKUP(A22,'Débit - Abfluss'!$A$4:$Q$275,15,FALSE)="","",VLOOKUP(A22,'Débit - Abfluss'!$A$4:$Q$275,15,FALSE))</f>
        <v/>
      </c>
      <c r="AX22" s="679" t="str">
        <f>IF(VLOOKUP(A22,'Débit - Abfluss'!$A$4:$Q$275,16,FALSE)="","",VLOOKUP(A22,'Débit - Abfluss'!$A$4:$Q$275,16,FALSE))</f>
        <v/>
      </c>
      <c r="AY22" s="769" t="str">
        <f>IF(VLOOKUP(A22,'Débit - Abfluss'!$A$4:$Q$275,17,FALSE)="","",VLOOKUP(A22,'Débit - Abfluss'!$A$4:$Q$275,17,FALSE))</f>
        <v>81-100%</v>
      </c>
      <c r="AZ22" s="749" t="str">
        <f>IF(VLOOKUP(A22,'Eclusée - Schwall-Sunk'!$A$2:$F$273,5,FALSE)="","",VLOOKUP(A22,'Eclusée - Schwall-Sunk'!$A$2:$F$273,5,FALSE))</f>
        <v>force hydraulique</v>
      </c>
      <c r="BA22" s="750" t="str">
        <f>IF(VLOOKUP(A22,'Eclusée - Schwall-Sunk'!$A$2:$F$273,6,FALSE)="","",VLOOKUP(A22,'Eclusée - Schwall-Sunk'!$A$2:$F$273,6,FALSE))</f>
        <v>Potentiellement affecté / möglicherweise betroffen</v>
      </c>
      <c r="BB22" s="751">
        <f>IF(VLOOKUP(A22,'Revitalisation-Revitalisierung'!$A$4:$Z$275,5,FALSE)="","",VLOOKUP(A22,'Revitalisation-Revitalisierung'!$A$4:$Z$275,5,FALSE))</f>
        <v>-4.9545454545454541</v>
      </c>
      <c r="BC22" s="752">
        <f>IF(VLOOKUP(A22,'Revitalisation-Revitalisierung'!$A$4:$Z$275,6,FALSE)="","",VLOOKUP(A22,'Revitalisation-Revitalisierung'!$A$4:$Z$275,6,FALSE))</f>
        <v>0.54608529534316819</v>
      </c>
      <c r="BD22" s="752">
        <f>IF(VLOOKUP(A22,'Revitalisation-Revitalisierung'!$A$4:$Z$275,7,FALSE)="","",VLOOKUP(A22,'Revitalisation-Revitalisierung'!$A$4:$Z$275,7,FALSE))</f>
        <v>5.4545454545454541</v>
      </c>
      <c r="BE22" s="753" t="str">
        <f>IF(VLOOKUP(A22,'Revitalisation-Revitalisierung'!$A$4:$Z$275,8,FALSE)="","",VLOOKUP(A22,'Revitalisation-Revitalisierung'!$A$4:$Z$275,8,FALSE))</f>
        <v>peu nécessaire, facile</v>
      </c>
      <c r="BF22" s="754" t="str">
        <f>IF(VLOOKUP(A22,'Revitalisation-Revitalisierung'!$A$4:$Z$275,9,FALSE)="","",VLOOKUP(A22,'Revitalisation-Revitalisierung'!$A$4:$Z$275,9,FALSE))</f>
        <v>nicht nötig</v>
      </c>
      <c r="BG22" s="754" t="str">
        <f>IF(VLOOKUP(A22,'Revitalisation-Revitalisierung'!$A$4:$Z$275,10,FALSE)="","",VLOOKUP(A22,'Revitalisation-Revitalisierung'!$A$4:$Z$275,10,FALSE))</f>
        <v>K3</v>
      </c>
      <c r="BH22" s="755" t="str">
        <f>IF(VLOOKUP(A22,'Revitalisation-Revitalisierung'!$A$4:$Z$275,11,FALSE)="","",VLOOKUP(A22,'Revitalisation-Revitalisierung'!$A$4:$Z$275,11,FALSE))</f>
        <v/>
      </c>
      <c r="BI22" s="756" t="str">
        <f>IF(VLOOKUP(A22,'Revitalisation-Revitalisierung'!$A$4:$Z$275,12,FALSE)="","",VLOOKUP(A22,'Revitalisation-Revitalisierung'!$A$4:$Z$275,12,FALSE))</f>
        <v/>
      </c>
      <c r="BJ22" s="757" t="str">
        <f>IF(VLOOKUP(A22,'Revitalisation-Revitalisierung'!$A$4:$Z$275,13,FALSE)="","",VLOOKUP(A22,'Revitalisation-Revitalisierung'!$A$4:$Z$275,13,FALSE))</f>
        <v>Non nécessaire / nicht nötig</v>
      </c>
      <c r="BK22" s="870" t="str">
        <f>IF(VLOOKUP(A22,'Revitalisation-Revitalisierung'!$A$4:$Z$275,14,FALSE)="","",VLOOKUP(A22,'Revitalisation-Revitalisierung'!$A$4:$Z$275,14,FALSE))</f>
        <v>b</v>
      </c>
      <c r="BL22" s="758" t="str">
        <f>IF(VLOOKUP(A22,'Revitalisation-Revitalisierung'!$A$4:$Z$275,15,FALSE)="","",VLOOKUP(A22,'Revitalisation-Revitalisierung'!$A$4:$Z$275,15,FALSE))</f>
        <v>gross</v>
      </c>
      <c r="BM22" s="759" t="str">
        <f>IF(VLOOKUP(A22,'Revitalisation-Revitalisierung'!$A$4:$Z$275,16,FALSE)="","",VLOOKUP(A22,'Revitalisation-Revitalisierung'!$A$4:$Z$275,16,FALSE))</f>
        <v xml:space="preserve">gross/mittel/ - </v>
      </c>
      <c r="BN22" s="759" t="str">
        <f>IF(VLOOKUP(A22,'Revitalisation-Revitalisierung'!$A$4:$Z$275,17,FALSE)="","",VLOOKUP(A22,'Revitalisation-Revitalisierung'!$A$4:$Z$275,17,FALSE))</f>
        <v>mittel/gering</v>
      </c>
      <c r="BO22" s="760" t="str">
        <f>IF(VLOOKUP(A22,'Revitalisation-Revitalisierung'!$A$4:$Z$275,18,FALSE)="","",VLOOKUP(A22,'Revitalisation-Revitalisierung'!$A$4:$Z$275,18,FALSE))</f>
        <v>Partiellement nécessaire, facile / teilweise nötig, einfach</v>
      </c>
      <c r="BP22" s="761" t="str">
        <f>IF(VLOOKUP(A22,'Revitalisation-Revitalisierung'!$A$4:$Z$275,19,FALSE)="","",VLOOKUP(A22,'Revitalisation-Revitalisierung'!$A$4:$Z$275,19,FALSE))</f>
        <v>Partiellement nécessaire, facile / teilweise nötig, einfach</v>
      </c>
      <c r="BQ22" s="759" t="str">
        <f>IF(VLOOKUP(A22,'Revitalisation-Revitalisierung'!$A$4:$Z$275,20,FALSE)="","",VLOOKUP(A22,'Revitalisation-Revitalisierung'!$A$4:$Z$275,20,FALSE))</f>
        <v>c</v>
      </c>
      <c r="BR22" s="759" t="str">
        <f>IF(VLOOKUP(A22,'Revitalisation-Revitalisierung'!$A$4:$Z$275,21,FALSE)="","",VLOOKUP(A22,'Revitalisation-Revitalisierung'!$A$4:$Z$275,21,FALSE))</f>
        <v/>
      </c>
      <c r="BS22" s="762" t="str">
        <f>IF(VLOOKUP(A22,'Revitalisation-Revitalisierung'!$A$4:$Z$275,22,FALSE)="","",VLOOKUP(A22,'Revitalisation-Revitalisierung'!$A$4:$Z$275,22,FALSE))</f>
        <v/>
      </c>
      <c r="BT22" s="703" t="str">
        <f>IF(VLOOKUP(A22,'Revitalisation-Revitalisierung'!$A$4:$Z$275,23,FALSE)="","",VLOOKUP(A22,'Revitalisation-Revitalisierung'!$A$4:$Z$275,23,FALSE))</f>
        <v/>
      </c>
      <c r="BU22" s="699" t="str">
        <f>IF(VLOOKUP(A22,'Revitalisation-Revitalisierung'!$A$4:$Z$275,24,FALSE)="","",VLOOKUP(A22,'Revitalisation-Revitalisierung'!$A$4:$Z$275,24,FALSE))</f>
        <v/>
      </c>
      <c r="BV22" s="761" t="str">
        <f>IF(VLOOKUP(A22,'Revitalisation-Revitalisierung'!$A$4:$Z$275,25,FALSE)="","",VLOOKUP(A22,'Revitalisation-Revitalisierung'!$A$4:$Z$275,25,FALSE))</f>
        <v>Partiellement nécessaire, facile / teilweise nötig, einfach</v>
      </c>
      <c r="BW22" s="871" t="str">
        <f>IF(VLOOKUP(A22,'Revitalisation-Revitalisierung'!$A$4:$AA$275,27,FALSE)="","",VLOOKUP(A22,'Revitalisation-Revitalisierung'!$A$4:$AA$275,27,FALSE))</f>
        <v>a</v>
      </c>
    </row>
    <row r="23" spans="1:75" ht="75.599999999999994" customHeight="1" x14ac:dyDescent="0.25">
      <c r="A23" s="935">
        <v>30</v>
      </c>
      <c r="B23" s="856">
        <f>IF(VLOOKUP(A23,'Données de base - Grunddaten'!$A$2:$M$297,2,FALSE)="","",VLOOKUP(A23,'Données de base - Grunddaten'!$A$2:$M$297,2,FALSE))</f>
        <v>1</v>
      </c>
      <c r="C23" s="857" t="str">
        <f>IF(VLOOKUP(A23,'Données de base - Grunddaten'!$A$2:$M$297,3,FALSE)="","",VLOOKUP(A23,'Données de base - Grunddaten'!$A$2:$M$297,3,FALSE))</f>
        <v>Plaun da Foppas</v>
      </c>
      <c r="D23" s="857" t="str">
        <f>IF(VLOOKUP(A23,'Données de base - Grunddaten'!$A$2:$M$297,4,FALSE)="","",VLOOKUP(A23,'Données de base - Grunddaten'!$A$2:$M$297,4,FALSE))</f>
        <v>Vorderrhein</v>
      </c>
      <c r="E23" s="857" t="str">
        <f>IF(VLOOKUP(A23,'Données de base - Grunddaten'!$A$2:$M$297,5,FALSE)="","",VLOOKUP(A23,'Données de base - Grunddaten'!$A$2:$M$297,5,FALSE))</f>
        <v>GR</v>
      </c>
      <c r="F23" s="857" t="str">
        <f>IF(VLOOKUP(A23,'Données de base - Grunddaten'!$A$2:$M$297,6,FALSE)="","",VLOOKUP(A23,'Données de base - Grunddaten'!$A$2:$M$297,6,FALSE))</f>
        <v>Alpes centrales orientales</v>
      </c>
      <c r="G23" s="857" t="str">
        <f>IF(VLOOKUP(A23,'Données de base - Grunddaten'!$A$2:$M$297,7,FALSE)="","",VLOOKUP(A23,'Données de base - Grunddaten'!$A$2:$M$297,7,FALSE))</f>
        <v>Montagnard inf.</v>
      </c>
      <c r="H23" s="857">
        <f>IF(VLOOKUP(A23,'Données de base - Grunddaten'!$A$2:$M$297,8,FALSE)="","",VLOOKUP(A23,'Données de base - Grunddaten'!$A$2:$M$297,8,FALSE))</f>
        <v>710</v>
      </c>
      <c r="I23" s="857">
        <f>IF(VLOOKUP(A23,'Données de base - Grunddaten'!$A$2:$M$297,9,FALSE)="","",VLOOKUP(A23,'Données de base - Grunddaten'!$A$2:$M$297,9,FALSE))</f>
        <v>1992</v>
      </c>
      <c r="J23" s="857">
        <f>IF(VLOOKUP(A23,'Données de base - Grunddaten'!$A$2:$M$297,10,FALSE)="","",VLOOKUP(A23,'Données de base - Grunddaten'!$A$2:$M$297,10,FALSE))</f>
        <v>70</v>
      </c>
      <c r="K23" s="857" t="str">
        <f>IF(VLOOKUP(A23,'Données de base - Grunddaten'!$A$2:$M$297,11,FALSE)="","",VLOOKUP(A23,'Données de base - Grunddaten'!$A$2:$M$297,11,FALSE))</f>
        <v>Cours d'eau de l'étage collinéen des Alpes centrales</v>
      </c>
      <c r="L23" s="857" t="str">
        <f>IF(VLOOKUP(A23,'Données de base - Grunddaten'!$A$2:$M$297,12,FALSE)="","",VLOOKUP(A23,'Données de base - Grunddaten'!$A$2:$M$297,12,FALSE))</f>
        <v>en tresses</v>
      </c>
      <c r="M23" s="858" t="str">
        <f>IF(VLOOKUP(A23,'Données de base - Grunddaten'!$A$2:$M$297,13,FALSE)="","",VLOOKUP(A23,'Données de base - Grunddaten'!$A$2:$M$297,13,FALSE))</f>
        <v>cours rectiligne</v>
      </c>
      <c r="N23" s="872" t="str">
        <f>IF(VLOOKUP(A23,'Charriage - Geschiebehaushalt'!$A$4:$R$275,5,FALSE)="","",VLOOKUP(A23,'Charriage - Geschiebehaushalt'!$A$4:$R$275,5,FALSE))</f>
        <v>pertinent</v>
      </c>
      <c r="O23" s="873" t="str">
        <f>IF(VLOOKUP(A23,'Charriage - Geschiebehaushalt'!$A$4:$R$275,6,FALSE)="","",VLOOKUP(A23,'Charriage - Geschiebehaushalt'!$A$4:$R$275,6,FALSE))</f>
        <v>21-50%</v>
      </c>
      <c r="P23" s="874">
        <f>IF(VLOOKUP(A23,'Charriage - Geschiebehaushalt'!$A$4:$R$275,7,FALSE)="","",VLOOKUP(A23,'Charriage - Geschiebehaushalt'!$A$4:$R$275,7,FALSE))</f>
        <v>2.5263697060866099</v>
      </c>
      <c r="Q23" s="874" t="str">
        <f>IF(VLOOKUP(A23,'Charriage - Geschiebehaushalt'!$A$4:$R$275,8,FALSE)="","",VLOOKUP(A23,'Charriage - Geschiebehaushalt'!$A$4:$R$275,8,FALSE))</f>
        <v>dépôt donc pas de problème de charriage</v>
      </c>
      <c r="R23" s="875">
        <f>IF(VLOOKUP(A23,'Charriage - Geschiebehaushalt'!$A$4:$R$275,9,FALSE)="","",VLOOKUP(A23,'Charriage - Geschiebehaushalt'!$A$4:$R$275,9,FALSE))</f>
        <v>0.45579678711035598</v>
      </c>
      <c r="S23" s="876" t="str">
        <f>IF(VLOOKUP(A23,'Charriage - Geschiebehaushalt'!$A$4:$R$275,10,FALSE)="","",VLOOKUP(A23,'Charriage - Geschiebehaushalt'!$A$4:$R$275,10,FALSE))</f>
        <v>la remobilisation des sédiments est perturbée</v>
      </c>
      <c r="T23" s="875">
        <f>IF(VLOOKUP(A23,'Charriage - Geschiebehaushalt'!$A$4:$R$275,11,FALSE)="","",VLOOKUP(A23,'Charriage - Geschiebehaushalt'!$A$4:$R$275,11,FALSE))</f>
        <v>0.65996747325000005</v>
      </c>
      <c r="U23" s="876" t="str">
        <f>IF(VLOOKUP(A23,'Charriage - Geschiebehaushalt'!$A$4:$R$275,12,FALSE)="","",VLOOKUP(A23,'Charriage - Geschiebehaushalt'!$A$4:$R$275,12,FALSE))</f>
        <v>déficit non apparent en charriage ou en remobilisation des sédiments</v>
      </c>
      <c r="V23" s="877" t="str">
        <f>IF(VLOOKUP(A23,'Charriage - Geschiebehaushalt'!$A$4:$R$275,13,FALSE)="","",VLOOKUP(A23,'Charriage - Geschiebehaushalt'!$A$4:$R$275,13,FALSE))</f>
        <v/>
      </c>
      <c r="W23" s="877" t="str">
        <f>IF(VLOOKUP(A23,'Charriage - Geschiebehaushalt'!$A$4:$R$275,14,FALSE)="","",VLOOKUP(A23,'Charriage - Geschiebehaushalt'!$A$4:$R$275,14,FALSE))</f>
        <v/>
      </c>
      <c r="X23" s="877" t="str">
        <f>IF(VLOOKUP(A23,'Charriage - Geschiebehaushalt'!$A$4:$R$275,15,FALSE)="","",VLOOKUP(A23,'Charriage - Geschiebehaushalt'!$A$4:$R$275,15,FALSE))</f>
        <v/>
      </c>
      <c r="Y23" s="879" t="str">
        <f>IF(VLOOKUP(A23,'Charriage - Geschiebehaushalt'!$A$4:$R$275,16,FALSE)="","",VLOOKUP(A23,'Charriage - Geschiebehaushalt'!$A$4:$R$275,16,FALSE))</f>
        <v/>
      </c>
      <c r="Z23" s="763" t="str">
        <f>IF(VLOOKUP(A23,'Charriage - Geschiebehaushalt'!$A$4:$R$275,17,FALSE)="","",VLOOKUP(A23,'Charriage - Geschiebehaushalt'!$A$4:$R$275,17,FALSE))</f>
        <v>21-50%</v>
      </c>
      <c r="AA23" s="880" t="str">
        <f>IF(VLOOKUP(A23,'Charriage - Geschiebehaushalt'!$A$4:$R$275,18,FALSE)="","",VLOOKUP(A23,'Charriage - Geschiebehaushalt'!$A$4:$R$275,18,FALSE))</f>
        <v>a</v>
      </c>
      <c r="AB23" s="737" t="str">
        <f>IF(VLOOKUP(A23,'Charriage - Geschiebehaushalt'!$A$4:$AC$275,19,FALSE)="","",VLOOKUP(A23,'Charriage - Geschiebehaushalt'!$A$4:$AC$275,19,FALSE))</f>
        <v>vernachlässigbar</v>
      </c>
      <c r="AC23" s="738">
        <f>IF(VLOOKUP(A23,'Charriage - Geschiebehaushalt'!$A$4:$AC$275,20,FALSE)="","",VLOOKUP(A23,'Charriage - Geschiebehaushalt'!$A$4:$AC$275,20,FALSE))</f>
        <v>0</v>
      </c>
      <c r="AD23" s="764" t="str">
        <f>IF(VLOOKUP(A23,'Charriage - Geschiebehaushalt'!$A$4:$AC$275,21,FALSE)="","",VLOOKUP(A23,'Charriage - Geschiebehaushalt'!$A$4:$AC$275,21,FALSE))</f>
        <v>21-50%</v>
      </c>
      <c r="AE23" s="740" t="str">
        <f>IF(VLOOKUP(A23,'Charriage - Geschiebehaushalt'!$A$4:$AC$275,22,FALSE)="","",VLOOKUP(A23,'Charriage - Geschiebehaushalt'!$A$4:$AC$275,22,FALSE))</f>
        <v>21-50%</v>
      </c>
      <c r="AF23" s="787" t="str">
        <f>IF(VLOOKUP(A23,'Charriage - Geschiebehaushalt'!$A$4:$AC$275,23,FALSE)="","",VLOOKUP(A23,'Charriage - Geschiebehaushalt'!$A$4:$AC$275,23,FALSE))</f>
        <v>d</v>
      </c>
      <c r="AG23" s="765" t="str">
        <f>IF(VLOOKUP(A23,'Charriage - Geschiebehaushalt'!$A$4:$AC$275,24,FALSE)="","",VLOOKUP(A23,'Charriage - Geschiebehaushalt'!$A$4:$AC$275,24,FALSE))</f>
        <v/>
      </c>
      <c r="AH23" s="764" t="str">
        <f>IF(VLOOKUP(A23,'Charriage - Geschiebehaushalt'!$A$4:$AC$275,25,FALSE)="","",VLOOKUP(A23,'Charriage - Geschiebehaushalt'!$A$4:$AC$275,25,FALSE))</f>
        <v/>
      </c>
      <c r="AI23" s="435" t="str">
        <f>IF(VLOOKUP(A23,'Charriage - Geschiebehaushalt'!$A$4:$AC$275,26,FALSE)="","",VLOOKUP(A23,'Charriage - Geschiebehaushalt'!$A$4:$AC$275,26,FALSE))</f>
        <v/>
      </c>
      <c r="AJ23" s="436" t="str">
        <f>IF(VLOOKUP(A23,'Charriage - Geschiebehaushalt'!$A$4:$AC$275,27,FALSE)="","",VLOOKUP(A23,'Charriage - Geschiebehaushalt'!$A$4:$AC$275,27,FALSE))</f>
        <v/>
      </c>
      <c r="AK23" s="801" t="str">
        <f>IF(VLOOKUP(A23,'Charriage - Geschiebehaushalt'!$A$4:$AC$275,28,FALSE)="","",VLOOKUP(A23,'Charriage - Geschiebehaushalt'!$A$4:$AC$275,28,FALSE))</f>
        <v>21-50%</v>
      </c>
      <c r="AL23" s="1285" t="str">
        <f>IF(VLOOKUP(A23,'Charriage - Geschiebehaushalt'!$A$4:$AD$275,30,FALSE)="","",VLOOKUP(A23,'Charriage - Geschiebehaushalt'!$A$4:$AD$275,30,FALSE))</f>
        <v>a</v>
      </c>
      <c r="AM23" s="1279" t="str">
        <f>IF(VLOOKUP(A23,'Débit - Abfluss'!$A$4:$K$275,5,FALSE)="","",VLOOKUP(A23,'Débit - Abfluss'!$A$4:$M$275,5,FALSE))</f>
        <v>21-40%</v>
      </c>
      <c r="AN23" s="885" t="str">
        <f>IF(VLOOKUP(A23,'Débit - Abfluss'!$A$4:$K$275,6,FALSE)="","",VLOOKUP(A23,'Débit - Abfluss'!$A$4:$M$275,6,FALSE))</f>
        <v/>
      </c>
      <c r="AO23" s="889" t="str">
        <f>IF(VLOOKUP(A23,'Débit - Abfluss'!$A$4:$K$275,7,FALSE)="","",VLOOKUP(A23,'Débit - Abfluss'!$A$4:$M$275,7,FALSE))</f>
        <v/>
      </c>
      <c r="AP23" s="766" t="str">
        <f>IF(VLOOKUP(A23,'Débit - Abfluss'!$A$4:$K$275,8,FALSE)="","",VLOOKUP(A23,'Débit - Abfluss'!$A$4:$M$275,8,FALSE))</f>
        <v>21-40%</v>
      </c>
      <c r="AQ23" s="678" t="str">
        <f>IF(VLOOKUP(A23,'Débit - Abfluss'!$A$4:$K$275,9,FALSE)="","",VLOOKUP(A23,'Débit - Abfluss'!$A$4:$M$275,9,FALSE))</f>
        <v>&gt;90%</v>
      </c>
      <c r="AR23" s="773" t="str">
        <f>IF(VLOOKUP(A23,'Débit - Abfluss'!$A$4:$K$275,10,FALSE)="","",VLOOKUP(A23,'Débit - Abfluss'!$A$4:$M$275,10,FALSE))</f>
        <v>21-40%</v>
      </c>
      <c r="AS23" s="773" t="str">
        <f>IF(VLOOKUP(A23,'Débit - Abfluss'!$A$4:$K$275,11,FALSE)="","",VLOOKUP(A23,'Débit - Abfluss'!$A$4:$M$275,11,FALSE))</f>
        <v>X</v>
      </c>
      <c r="AT23" s="778" t="str">
        <f>IF(VLOOKUP(A23,'Débit - Abfluss'!$A$4:$Q$275,12,FALSE)="","",VLOOKUP(A23,'Débit - Abfluss'!$A$4:$Q$275,12,FALSE))</f>
        <v/>
      </c>
      <c r="AU23" s="779" t="str">
        <f>IF(VLOOKUP(A23,'Débit - Abfluss'!$A$4:$Q$275,13,FALSE)="","",VLOOKUP(A23,'Débit - Abfluss'!$A$4:$Q$275,13,FALSE))</f>
        <v/>
      </c>
      <c r="AV23" s="746" t="str">
        <f>IF(VLOOKUP(A23,'Débit - Abfluss'!$A$4:$Q$275,14,FALSE)="","",VLOOKUP(A23,'Débit - Abfluss'!$A$4:$Q$275,14,FALSE))</f>
        <v>GR-KWI1-1</v>
      </c>
      <c r="AW23" s="768" t="str">
        <f>IF(VLOOKUP(A23,'Débit - Abfluss'!$A$4:$Q$275,15,FALSE)="","",VLOOKUP(A23,'Débit - Abfluss'!$A$4:$Q$275,15,FALSE))</f>
        <v>Ilanz I (Stufe Tavanasa)</v>
      </c>
      <c r="AX23" s="679" t="str">
        <f>IF(VLOOKUP(A23,'Débit - Abfluss'!$A$4:$Q$275,16,FALSE)="","",VLOOKUP(A23,'Débit - Abfluss'!$A$4:$Q$275,16,FALSE))</f>
        <v/>
      </c>
      <c r="AY23" s="775" t="str">
        <f>IF(VLOOKUP(A23,'Débit - Abfluss'!$A$4:$Q$275,17,FALSE)="","",VLOOKUP(A23,'Débit - Abfluss'!$A$4:$Q$275,17,FALSE))</f>
        <v>21-40%</v>
      </c>
      <c r="AZ23" s="749" t="str">
        <f>IF(VLOOKUP(A23,'Eclusée - Schwall-Sunk'!$A$2:$F$273,5,FALSE)="","",VLOOKUP(A23,'Eclusée - Schwall-Sunk'!$A$2:$F$273,5,FALSE))</f>
        <v>force hydraulique</v>
      </c>
      <c r="BA23" s="750" t="str">
        <f>IF(VLOOKUP(A23,'Eclusée - Schwall-Sunk'!$A$2:$F$273,6,FALSE)="","",VLOOKUP(A23,'Eclusée - Schwall-Sunk'!$A$2:$F$273,6,FALSE))</f>
        <v>Non affecté / nicht betroffen</v>
      </c>
      <c r="BB23" s="751">
        <f>IF(VLOOKUP(A23,'Revitalisation-Revitalisierung'!$A$4:$Z$275,5,FALSE)="","",VLOOKUP(A23,'Revitalisation-Revitalisierung'!$A$4:$Z$275,5,FALSE))</f>
        <v>41.336363636363643</v>
      </c>
      <c r="BC23" s="752">
        <f>IF(VLOOKUP(A23,'Revitalisation-Revitalisierung'!$A$4:$Z$275,6,FALSE)="","",VLOOKUP(A23,'Revitalisation-Revitalisierung'!$A$4:$Z$275,6,FALSE))</f>
        <v>47.663346289951122</v>
      </c>
      <c r="BD23" s="752">
        <f>IF(VLOOKUP(A23,'Revitalisation-Revitalisierung'!$A$4:$Z$275,7,FALSE)="","",VLOOKUP(A23,'Revitalisation-Revitalisierung'!$A$4:$Z$275,7,FALSE))</f>
        <v>6.3636363636363633</v>
      </c>
      <c r="BE23" s="753" t="str">
        <f>IF(VLOOKUP(A23,'Revitalisation-Revitalisierung'!$A$4:$Z$275,8,FALSE)="","",VLOOKUP(A23,'Revitalisation-Revitalisierung'!$A$4:$Z$275,8,FALSE))</f>
        <v>très nécessaire, facile</v>
      </c>
      <c r="BF23" s="754" t="str">
        <f>IF(VLOOKUP(A23,'Revitalisation-Revitalisierung'!$A$4:$Z$275,9,FALSE)="","",VLOOKUP(A23,'Revitalisation-Revitalisierung'!$A$4:$Z$275,9,FALSE))</f>
        <v/>
      </c>
      <c r="BG23" s="754" t="str">
        <f>IF(VLOOKUP(A23,'Revitalisation-Revitalisierung'!$A$4:$Z$275,10,FALSE)="","",VLOOKUP(A23,'Revitalisation-Revitalisierung'!$A$4:$Z$275,10,FALSE))</f>
        <v>K1</v>
      </c>
      <c r="BH23" s="755" t="str">
        <f>IF(VLOOKUP(A23,'Revitalisation-Revitalisierung'!$A$4:$Z$275,11,FALSE)="","",VLOOKUP(A23,'Revitalisation-Revitalisierung'!$A$4:$Z$275,11,FALSE))</f>
        <v/>
      </c>
      <c r="BI23" s="756" t="str">
        <f>IF(VLOOKUP(A23,'Revitalisation-Revitalisierung'!$A$4:$Z$275,12,FALSE)="","",VLOOKUP(A23,'Revitalisation-Revitalisierung'!$A$4:$Z$275,12,FALSE))</f>
        <v/>
      </c>
      <c r="BJ23" s="757" t="str">
        <f>IF(VLOOKUP(A23,'Revitalisation-Revitalisierung'!$A$4:$Z$275,13,FALSE)="","",VLOOKUP(A23,'Revitalisation-Revitalisierung'!$A$4:$Z$275,13,FALSE))</f>
        <v>Très nécessaire, facile / unbedingt nötig, einfach</v>
      </c>
      <c r="BK23" s="870" t="str">
        <f>IF(VLOOKUP(A23,'Revitalisation-Revitalisierung'!$A$4:$Z$275,14,FALSE)="","",VLOOKUP(A23,'Revitalisation-Revitalisierung'!$A$4:$Z$275,14,FALSE))</f>
        <v>a</v>
      </c>
      <c r="BL23" s="758" t="str">
        <f>IF(VLOOKUP(A23,'Revitalisation-Revitalisierung'!$A$4:$Z$275,15,FALSE)="","",VLOOKUP(A23,'Revitalisation-Revitalisierung'!$A$4:$Z$275,15,FALSE))</f>
        <v>gross</v>
      </c>
      <c r="BM23" s="759" t="str">
        <f>IF(VLOOKUP(A23,'Revitalisation-Revitalisierung'!$A$4:$Z$275,16,FALSE)="","",VLOOKUP(A23,'Revitalisation-Revitalisierung'!$A$4:$Z$275,16,FALSE))</f>
        <v>gross</v>
      </c>
      <c r="BN23" s="759" t="str">
        <f>IF(VLOOKUP(A23,'Revitalisation-Revitalisierung'!$A$4:$Z$275,17,FALSE)="","",VLOOKUP(A23,'Revitalisation-Revitalisierung'!$A$4:$Z$275,17,FALSE))</f>
        <v>hoch</v>
      </c>
      <c r="BO23" s="760" t="str">
        <f>IF(VLOOKUP(A23,'Revitalisation-Revitalisierung'!$A$4:$Z$275,18,FALSE)="","",VLOOKUP(A23,'Revitalisation-Revitalisierung'!$A$4:$Z$275,18,FALSE))</f>
        <v>Très nécessaire, facile / unbedingt nötig, einfach</v>
      </c>
      <c r="BP23" s="761" t="str">
        <f>IF(VLOOKUP(A23,'Revitalisation-Revitalisierung'!$A$4:$Z$275,19,FALSE)="","",VLOOKUP(A23,'Revitalisation-Revitalisierung'!$A$4:$Z$275,19,FALSE))</f>
        <v>Très nécessaire, facile / unbedingt nötig, einfach</v>
      </c>
      <c r="BQ23" s="759" t="str">
        <f>IF(VLOOKUP(A23,'Revitalisation-Revitalisierung'!$A$4:$Z$275,20,FALSE)="","",VLOOKUP(A23,'Revitalisation-Revitalisierung'!$A$4:$Z$275,20,FALSE))</f>
        <v>d</v>
      </c>
      <c r="BR23" s="759" t="str">
        <f>IF(VLOOKUP(A23,'Revitalisation-Revitalisierung'!$A$4:$Z$275,21,FALSE)="","",VLOOKUP(A23,'Revitalisation-Revitalisierung'!$A$4:$Z$275,21,FALSE))</f>
        <v/>
      </c>
      <c r="BS23" s="762" t="str">
        <f>IF(VLOOKUP(A23,'Revitalisation-Revitalisierung'!$A$4:$Z$275,22,FALSE)="","",VLOOKUP(A23,'Revitalisation-Revitalisierung'!$A$4:$Z$275,22,FALSE))</f>
        <v/>
      </c>
      <c r="BT23" s="703" t="str">
        <f>IF(VLOOKUP(A23,'Revitalisation-Revitalisierung'!$A$4:$Z$275,23,FALSE)="","",VLOOKUP(A23,'Revitalisation-Revitalisierung'!$A$4:$Z$275,23,FALSE))</f>
        <v/>
      </c>
      <c r="BU23" s="699" t="str">
        <f>IF(VLOOKUP(A23,'Revitalisation-Revitalisierung'!$A$4:$Z$275,24,FALSE)="","",VLOOKUP(A23,'Revitalisation-Revitalisierung'!$A$4:$Z$275,24,FALSE))</f>
        <v/>
      </c>
      <c r="BV23" s="761" t="str">
        <f>IF(VLOOKUP(A23,'Revitalisation-Revitalisierung'!$A$4:$Z$275,25,FALSE)="","",VLOOKUP(A23,'Revitalisation-Revitalisierung'!$A$4:$Z$275,25,FALSE))</f>
        <v>Très nécessaire, facile / unbedingt nötig, einfach</v>
      </c>
      <c r="BW23" s="871" t="str">
        <f>IF(VLOOKUP(A23,'Revitalisation-Revitalisierung'!$A$4:$AA$275,27,FALSE)="","",VLOOKUP(A23,'Revitalisation-Revitalisierung'!$A$4:$AA$275,27,FALSE))</f>
        <v>a</v>
      </c>
    </row>
    <row r="24" spans="1:75" ht="75.599999999999994" customHeight="1" x14ac:dyDescent="0.25">
      <c r="A24" s="935">
        <v>31</v>
      </c>
      <c r="B24" s="856">
        <f>IF(VLOOKUP(A24,'Données de base - Grunddaten'!$A$2:$M$297,2,FALSE)="","",VLOOKUP(A24,'Données de base - Grunddaten'!$A$2:$M$297,2,FALSE))</f>
        <v>1</v>
      </c>
      <c r="C24" s="857" t="str">
        <f>IF(VLOOKUP(A24,'Données de base - Grunddaten'!$A$2:$M$297,3,FALSE)="","",VLOOKUP(A24,'Données de base - Grunddaten'!$A$2:$M$297,3,FALSE))</f>
        <v>Cahuons</v>
      </c>
      <c r="D24" s="857" t="str">
        <f>IF(VLOOKUP(A24,'Données de base - Grunddaten'!$A$2:$M$297,4,FALSE)="","",VLOOKUP(A24,'Données de base - Grunddaten'!$A$2:$M$297,4,FALSE))</f>
        <v>Vorderrhein</v>
      </c>
      <c r="E24" s="857" t="str">
        <f>IF(VLOOKUP(A24,'Données de base - Grunddaten'!$A$2:$M$297,5,FALSE)="","",VLOOKUP(A24,'Données de base - Grunddaten'!$A$2:$M$297,5,FALSE))</f>
        <v>GR</v>
      </c>
      <c r="F24" s="857" t="str">
        <f>IF(VLOOKUP(A24,'Données de base - Grunddaten'!$A$2:$M$297,6,FALSE)="","",VLOOKUP(A24,'Données de base - Grunddaten'!$A$2:$M$297,6,FALSE))</f>
        <v>Alpes centrales orientales</v>
      </c>
      <c r="G24" s="857" t="str">
        <f>IF(VLOOKUP(A24,'Données de base - Grunddaten'!$A$2:$M$297,7,FALSE)="","",VLOOKUP(A24,'Données de base - Grunddaten'!$A$2:$M$297,7,FALSE))</f>
        <v>Montagnard inf.</v>
      </c>
      <c r="H24" s="857">
        <f>IF(VLOOKUP(A24,'Données de base - Grunddaten'!$A$2:$M$297,8,FALSE)="","",VLOOKUP(A24,'Données de base - Grunddaten'!$A$2:$M$297,8,FALSE))</f>
        <v>880</v>
      </c>
      <c r="I24" s="857">
        <f>IF(VLOOKUP(A24,'Données de base - Grunddaten'!$A$2:$M$297,9,FALSE)="","",VLOOKUP(A24,'Données de base - Grunddaten'!$A$2:$M$297,9,FALSE))</f>
        <v>1992</v>
      </c>
      <c r="J24" s="857">
        <f>IF(VLOOKUP(A24,'Données de base - Grunddaten'!$A$2:$M$297,10,FALSE)="","",VLOOKUP(A24,'Données de base - Grunddaten'!$A$2:$M$297,10,FALSE))</f>
        <v>70</v>
      </c>
      <c r="K24" s="857" t="str">
        <f>IF(VLOOKUP(A24,'Données de base - Grunddaten'!$A$2:$M$297,11,FALSE)="","",VLOOKUP(A24,'Données de base - Grunddaten'!$A$2:$M$297,11,FALSE))</f>
        <v>Cours d'eau de l'étage collinéen des Alpes centrales</v>
      </c>
      <c r="L24" s="857" t="str">
        <f>IF(VLOOKUP(A24,'Données de base - Grunddaten'!$A$2:$M$297,12,FALSE)="","",VLOOKUP(A24,'Données de base - Grunddaten'!$A$2:$M$297,12,FALSE))</f>
        <v>en tresses</v>
      </c>
      <c r="M24" s="858" t="str">
        <f>IF(VLOOKUP(A24,'Données de base - Grunddaten'!$A$2:$M$297,13,FALSE)="","",VLOOKUP(A24,'Données de base - Grunddaten'!$A$2:$M$297,13,FALSE))</f>
        <v>méandres migrants</v>
      </c>
      <c r="N24" s="872" t="str">
        <f>IF(VLOOKUP(A24,'Charriage - Geschiebehaushalt'!$A$4:$R$275,5,FALSE)="","",VLOOKUP(A24,'Charriage - Geschiebehaushalt'!$A$4:$R$275,5,FALSE))</f>
        <v>pertinent</v>
      </c>
      <c r="O24" s="873" t="str">
        <f>IF(VLOOKUP(A24,'Charriage - Geschiebehaushalt'!$A$4:$R$275,6,FALSE)="","",VLOOKUP(A24,'Charriage - Geschiebehaushalt'!$A$4:$R$275,6,FALSE))</f>
        <v>21-50%</v>
      </c>
      <c r="P24" s="874" t="str">
        <f>IF(VLOOKUP(A24,'Charriage - Geschiebehaushalt'!$A$4:$R$275,7,FALSE)="","",VLOOKUP(A24,'Charriage - Geschiebehaushalt'!$A$4:$R$275,7,FALSE))</f>
        <v/>
      </c>
      <c r="Q24" s="874" t="str">
        <f>IF(VLOOKUP(A24,'Charriage - Geschiebehaushalt'!$A$4:$R$275,8,FALSE)="","",VLOOKUP(A24,'Charriage - Geschiebehaushalt'!$A$4:$R$275,8,FALSE))</f>
        <v>non documenté</v>
      </c>
      <c r="R24" s="875">
        <f>IF(VLOOKUP(A24,'Charriage - Geschiebehaushalt'!$A$4:$R$275,9,FALSE)="","",VLOOKUP(A24,'Charriage - Geschiebehaushalt'!$A$4:$R$275,9,FALSE))</f>
        <v>0.18883518988357501</v>
      </c>
      <c r="S24" s="876" t="str">
        <f>IF(VLOOKUP(A24,'Charriage - Geschiebehaushalt'!$A$4:$R$275,10,FALSE)="","",VLOOKUP(A24,'Charriage - Geschiebehaushalt'!$A$4:$R$275,10,FALSE))</f>
        <v>pas ou faiblement entravé</v>
      </c>
      <c r="T24" s="875">
        <f>IF(VLOOKUP(A24,'Charriage - Geschiebehaushalt'!$A$4:$R$275,11,FALSE)="","",VLOOKUP(A24,'Charriage - Geschiebehaushalt'!$A$4:$R$275,11,FALSE))</f>
        <v>0.41764269218</v>
      </c>
      <c r="U24" s="876" t="str">
        <f>IF(VLOOKUP(A24,'Charriage - Geschiebehaushalt'!$A$4:$R$275,12,FALSE)="","",VLOOKUP(A24,'Charriage - Geschiebehaushalt'!$A$4:$R$275,12,FALSE))</f>
        <v>déficit non apparent en charriage ou en remobilisation des sédiments</v>
      </c>
      <c r="V24" s="877" t="str">
        <f>IF(VLOOKUP(A24,'Charriage - Geschiebehaushalt'!$A$4:$R$275,13,FALSE)="","",VLOOKUP(A24,'Charriage - Geschiebehaushalt'!$A$4:$R$275,13,FALSE))</f>
        <v/>
      </c>
      <c r="W24" s="877" t="str">
        <f>IF(VLOOKUP(A24,'Charriage - Geschiebehaushalt'!$A$4:$R$275,14,FALSE)="","",VLOOKUP(A24,'Charriage - Geschiebehaushalt'!$A$4:$R$275,14,FALSE))</f>
        <v/>
      </c>
      <c r="X24" s="877" t="str">
        <f>IF(VLOOKUP(A24,'Charriage - Geschiebehaushalt'!$A$4:$R$275,15,FALSE)="","",VLOOKUP(A24,'Charriage - Geschiebehaushalt'!$A$4:$R$275,15,FALSE))</f>
        <v/>
      </c>
      <c r="Y24" s="879" t="str">
        <f>IF(VLOOKUP(A24,'Charriage - Geschiebehaushalt'!$A$4:$R$275,16,FALSE)="","",VLOOKUP(A24,'Charriage - Geschiebehaushalt'!$A$4:$R$275,16,FALSE))</f>
        <v/>
      </c>
      <c r="Z24" s="763" t="str">
        <f>IF(VLOOKUP(A24,'Charriage - Geschiebehaushalt'!$A$4:$R$275,17,FALSE)="","",VLOOKUP(A24,'Charriage - Geschiebehaushalt'!$A$4:$R$275,17,FALSE))</f>
        <v>21-50%</v>
      </c>
      <c r="AA24" s="880" t="str">
        <f>IF(VLOOKUP(A24,'Charriage - Geschiebehaushalt'!$A$4:$R$275,18,FALSE)="","",VLOOKUP(A24,'Charriage - Geschiebehaushalt'!$A$4:$R$275,18,FALSE))</f>
        <v>a</v>
      </c>
      <c r="AB24" s="737" t="str">
        <f>IF(VLOOKUP(A24,'Charriage - Geschiebehaushalt'!$A$4:$AC$275,19,FALSE)="","",VLOOKUP(A24,'Charriage - Geschiebehaushalt'!$A$4:$AC$275,19,FALSE))</f>
        <v>keine / vernachlässigbar</v>
      </c>
      <c r="AC24" s="738">
        <f>IF(VLOOKUP(A24,'Charriage - Geschiebehaushalt'!$A$4:$AC$275,20,FALSE)="","",VLOOKUP(A24,'Charriage - Geschiebehaushalt'!$A$4:$AC$275,20,FALSE))</f>
        <v>0</v>
      </c>
      <c r="AD24" s="764" t="str">
        <f>IF(VLOOKUP(A24,'Charriage - Geschiebehaushalt'!$A$4:$AC$275,21,FALSE)="","",VLOOKUP(A24,'Charriage - Geschiebehaushalt'!$A$4:$AC$275,21,FALSE))</f>
        <v>21-50%</v>
      </c>
      <c r="AE24" s="740" t="str">
        <f>IF(VLOOKUP(A24,'Charriage - Geschiebehaushalt'!$A$4:$AC$275,22,FALSE)="","",VLOOKUP(A24,'Charriage - Geschiebehaushalt'!$A$4:$AC$275,22,FALSE))</f>
        <v>21-50%</v>
      </c>
      <c r="AF24" s="787" t="str">
        <f>IF(VLOOKUP(A24,'Charriage - Geschiebehaushalt'!$A$4:$AC$275,23,FALSE)="","",VLOOKUP(A24,'Charriage - Geschiebehaushalt'!$A$4:$AC$275,23,FALSE))</f>
        <v>d</v>
      </c>
      <c r="AG24" s="765" t="str">
        <f>IF(VLOOKUP(A24,'Charriage - Geschiebehaushalt'!$A$4:$AC$275,24,FALSE)="","",VLOOKUP(A24,'Charriage - Geschiebehaushalt'!$A$4:$AC$275,24,FALSE))</f>
        <v/>
      </c>
      <c r="AH24" s="764" t="str">
        <f>IF(VLOOKUP(A24,'Charriage - Geschiebehaushalt'!$A$4:$AC$275,25,FALSE)="","",VLOOKUP(A24,'Charriage - Geschiebehaushalt'!$A$4:$AC$275,25,FALSE))</f>
        <v/>
      </c>
      <c r="AI24" s="435" t="str">
        <f>IF(VLOOKUP(A24,'Charriage - Geschiebehaushalt'!$A$4:$AC$275,26,FALSE)="","",VLOOKUP(A24,'Charriage - Geschiebehaushalt'!$A$4:$AC$275,26,FALSE))</f>
        <v/>
      </c>
      <c r="AJ24" s="436" t="str">
        <f>IF(VLOOKUP(A24,'Charriage - Geschiebehaushalt'!$A$4:$AC$275,27,FALSE)="","",VLOOKUP(A24,'Charriage - Geschiebehaushalt'!$A$4:$AC$275,27,FALSE))</f>
        <v/>
      </c>
      <c r="AK24" s="801" t="str">
        <f>IF(VLOOKUP(A24,'Charriage - Geschiebehaushalt'!$A$4:$AC$275,28,FALSE)="","",VLOOKUP(A24,'Charriage - Geschiebehaushalt'!$A$4:$AC$275,28,FALSE))</f>
        <v>21-50%</v>
      </c>
      <c r="AL24" s="1285" t="str">
        <f>IF(VLOOKUP(A24,'Charriage - Geschiebehaushalt'!$A$4:$AD$275,30,FALSE)="","",VLOOKUP(A24,'Charriage - Geschiebehaushalt'!$A$4:$AD$275,30,FALSE))</f>
        <v>a</v>
      </c>
      <c r="AM24" s="1279" t="str">
        <f>IF(VLOOKUP(A24,'Débit - Abfluss'!$A$4:$K$275,5,FALSE)="","",VLOOKUP(A24,'Débit - Abfluss'!$A$4:$M$275,5,FALSE))</f>
        <v>0-20%</v>
      </c>
      <c r="AN24" s="868" t="str">
        <f>IF(VLOOKUP(A24,'Débit - Abfluss'!$A$4:$K$275,6,FALSE)="","",VLOOKUP(A24,'Débit - Abfluss'!$A$4:$M$275,6,FALSE))</f>
        <v/>
      </c>
      <c r="AO24" s="869" t="str">
        <f>IF(VLOOKUP(A24,'Débit - Abfluss'!$A$4:$K$275,7,FALSE)="","",VLOOKUP(A24,'Débit - Abfluss'!$A$4:$M$275,7,FALSE))</f>
        <v/>
      </c>
      <c r="AP24" s="766" t="str">
        <f>IF(VLOOKUP(A24,'Débit - Abfluss'!$A$4:$K$275,8,FALSE)="","",VLOOKUP(A24,'Débit - Abfluss'!$A$4:$M$275,8,FALSE))</f>
        <v>0-20%</v>
      </c>
      <c r="AQ24" s="678" t="str">
        <f>IF(VLOOKUP(A24,'Débit - Abfluss'!$A$4:$K$275,9,FALSE)="","",VLOOKUP(A24,'Débit - Abfluss'!$A$4:$M$275,9,FALSE))</f>
        <v>Fehlende Angaben</v>
      </c>
      <c r="AR24" s="767" t="str">
        <f>IF(VLOOKUP(A24,'Débit - Abfluss'!$A$4:$K$275,10,FALSE)="","",VLOOKUP(A24,'Débit - Abfluss'!$A$4:$M$275,10,FALSE))</f>
        <v>0-20%</v>
      </c>
      <c r="AS24" s="767" t="str">
        <f>IF(VLOOKUP(A24,'Débit - Abfluss'!$A$4:$K$275,11,FALSE)="","",VLOOKUP(A24,'Débit - Abfluss'!$A$4:$M$275,11,FALSE))</f>
        <v/>
      </c>
      <c r="AT24" s="778" t="str">
        <f>IF(VLOOKUP(A24,'Débit - Abfluss'!$A$4:$Q$275,12,FALSE)="","",VLOOKUP(A24,'Débit - Abfluss'!$A$4:$Q$275,12,FALSE))</f>
        <v/>
      </c>
      <c r="AU24" s="779" t="str">
        <f>IF(VLOOKUP(A24,'Débit - Abfluss'!$A$4:$Q$275,13,FALSE)="","",VLOOKUP(A24,'Débit - Abfluss'!$A$4:$Q$275,13,FALSE))</f>
        <v/>
      </c>
      <c r="AV24" s="746" t="str">
        <f>IF(VLOOKUP(A24,'Débit - Abfluss'!$A$4:$Q$275,14,FALSE)="","",VLOOKUP(A24,'Débit - Abfluss'!$A$4:$Q$275,14,FALSE))</f>
        <v>GR-KVR3-4
GR-KVR3-10</v>
      </c>
      <c r="AW24" s="768" t="str">
        <f>IF(VLOOKUP(A24,'Débit - Abfluss'!$A$4:$Q$275,15,FALSE)="","",VLOOKUP(A24,'Débit - Abfluss'!$A$4:$Q$275,15,FALSE))</f>
        <v>Tavanasa</v>
      </c>
      <c r="AX24" s="679" t="str">
        <f>IF(VLOOKUP(A24,'Débit - Abfluss'!$A$4:$Q$275,16,FALSE)="","",VLOOKUP(A24,'Débit - Abfluss'!$A$4:$Q$275,16,FALSE))</f>
        <v/>
      </c>
      <c r="AY24" s="769" t="str">
        <f>IF(VLOOKUP(A24,'Débit - Abfluss'!$A$4:$Q$275,17,FALSE)="","",VLOOKUP(A24,'Débit - Abfluss'!$A$4:$Q$275,17,FALSE))</f>
        <v>0-20%</v>
      </c>
      <c r="AZ24" s="749" t="str">
        <f>IF(VLOOKUP(A24,'Eclusée - Schwall-Sunk'!$A$2:$F$273,5,FALSE)="","",VLOOKUP(A24,'Eclusée - Schwall-Sunk'!$A$2:$F$273,5,FALSE))</f>
        <v>force hydraulique</v>
      </c>
      <c r="BA24" s="750" t="str">
        <f>IF(VLOOKUP(A24,'Eclusée - Schwall-Sunk'!$A$2:$F$273,6,FALSE)="","",VLOOKUP(A24,'Eclusée - Schwall-Sunk'!$A$2:$F$273,6,FALSE))</f>
        <v>Non affecté / nicht betroffen</v>
      </c>
      <c r="BB24" s="751">
        <f>IF(VLOOKUP(A24,'Revitalisation-Revitalisierung'!$A$4:$Z$275,5,FALSE)="","",VLOOKUP(A24,'Revitalisation-Revitalisierung'!$A$4:$Z$275,5,FALSE))</f>
        <v>16.136363636363637</v>
      </c>
      <c r="BC24" s="752">
        <f>IF(VLOOKUP(A24,'Revitalisation-Revitalisierung'!$A$4:$Z$275,6,FALSE)="","",VLOOKUP(A24,'Revitalisation-Revitalisierung'!$A$4:$Z$275,6,FALSE))</f>
        <v>17.483865041673265</v>
      </c>
      <c r="BD24" s="752">
        <f>IF(VLOOKUP(A24,'Revitalisation-Revitalisierung'!$A$4:$Z$275,7,FALSE)="","",VLOOKUP(A24,'Revitalisation-Revitalisierung'!$A$4:$Z$275,7,FALSE))</f>
        <v>1.3636363636363635</v>
      </c>
      <c r="BE24" s="753" t="str">
        <f>IF(VLOOKUP(A24,'Revitalisation-Revitalisierung'!$A$4:$Z$275,8,FALSE)="","",VLOOKUP(A24,'Revitalisation-Revitalisierung'!$A$4:$Z$275,8,FALSE))</f>
        <v>peu nécessaire, facile</v>
      </c>
      <c r="BF24" s="754" t="str">
        <f>IF(VLOOKUP(A24,'Revitalisation-Revitalisierung'!$A$4:$Z$275,9,FALSE)="","",VLOOKUP(A24,'Revitalisation-Revitalisierung'!$A$4:$Z$275,9,FALSE))</f>
        <v/>
      </c>
      <c r="BG24" s="754" t="str">
        <f>IF(VLOOKUP(A24,'Revitalisation-Revitalisierung'!$A$4:$Z$275,10,FALSE)="","",VLOOKUP(A24,'Revitalisation-Revitalisierung'!$A$4:$Z$275,10,FALSE))</f>
        <v>K1</v>
      </c>
      <c r="BH24" s="755" t="str">
        <f>IF(VLOOKUP(A24,'Revitalisation-Revitalisierung'!$A$4:$Z$275,11,FALSE)="","",VLOOKUP(A24,'Revitalisation-Revitalisierung'!$A$4:$Z$275,11,FALSE))</f>
        <v/>
      </c>
      <c r="BI24" s="756" t="str">
        <f>IF(VLOOKUP(A24,'Revitalisation-Revitalisierung'!$A$4:$Z$275,12,FALSE)="","",VLOOKUP(A24,'Revitalisation-Revitalisierung'!$A$4:$Z$275,12,FALSE))</f>
        <v/>
      </c>
      <c r="BJ24" s="757" t="str">
        <f>IF(VLOOKUP(A24,'Revitalisation-Revitalisierung'!$A$4:$Z$275,13,FALSE)="","",VLOOKUP(A24,'Revitalisation-Revitalisierung'!$A$4:$Z$275,13,FALSE))</f>
        <v>Partiellement nécessaire, facile / teilweise nötig, einfach</v>
      </c>
      <c r="BK24" s="870" t="str">
        <f>IF(VLOOKUP(A24,'Revitalisation-Revitalisierung'!$A$4:$Z$275,14,FALSE)="","",VLOOKUP(A24,'Revitalisation-Revitalisierung'!$A$4:$Z$275,14,FALSE))</f>
        <v>a</v>
      </c>
      <c r="BL24" s="758" t="str">
        <f>IF(VLOOKUP(A24,'Revitalisation-Revitalisierung'!$A$4:$Z$275,15,FALSE)="","",VLOOKUP(A24,'Revitalisation-Revitalisierung'!$A$4:$Z$275,15,FALSE))</f>
        <v>gross</v>
      </c>
      <c r="BM24" s="759" t="str">
        <f>IF(VLOOKUP(A24,'Revitalisation-Revitalisierung'!$A$4:$Z$275,16,FALSE)="","",VLOOKUP(A24,'Revitalisation-Revitalisierung'!$A$4:$Z$275,16,FALSE))</f>
        <v xml:space="preserve">gross/mittel/gering/ - </v>
      </c>
      <c r="BN24" s="759" t="str">
        <f>IF(VLOOKUP(A24,'Revitalisation-Revitalisierung'!$A$4:$Z$275,17,FALSE)="","",VLOOKUP(A24,'Revitalisation-Revitalisierung'!$A$4:$Z$275,17,FALSE))</f>
        <v>hoch</v>
      </c>
      <c r="BO24" s="760" t="str">
        <f>IF(VLOOKUP(A24,'Revitalisation-Revitalisierung'!$A$4:$Z$275,18,FALSE)="","",VLOOKUP(A24,'Revitalisation-Revitalisierung'!$A$4:$Z$275,18,FALSE))</f>
        <v>Très nécessaire, facile / unbedingt nötig, einfach</v>
      </c>
      <c r="BP24" s="761" t="str">
        <f>IF(VLOOKUP(A24,'Revitalisation-Revitalisierung'!$A$4:$Z$275,19,FALSE)="","",VLOOKUP(A24,'Revitalisation-Revitalisierung'!$A$4:$Z$275,19,FALSE))</f>
        <v>Partiellement nécessaire, facile / teilweise nötig, einfach</v>
      </c>
      <c r="BQ24" s="759" t="str">
        <f>IF(VLOOKUP(A24,'Revitalisation-Revitalisierung'!$A$4:$Z$275,20,FALSE)="","",VLOOKUP(A24,'Revitalisation-Revitalisierung'!$A$4:$Z$275,20,FALSE))</f>
        <v>d</v>
      </c>
      <c r="BR24" s="759" t="str">
        <f>IF(VLOOKUP(A24,'Revitalisation-Revitalisierung'!$A$4:$Z$275,21,FALSE)="","",VLOOKUP(A24,'Revitalisation-Revitalisierung'!$A$4:$Z$275,21,FALSE))</f>
        <v/>
      </c>
      <c r="BS24" s="762" t="str">
        <f>IF(VLOOKUP(A24,'Revitalisation-Revitalisierung'!$A$4:$Z$275,22,FALSE)="","",VLOOKUP(A24,'Revitalisation-Revitalisierung'!$A$4:$Z$275,22,FALSE))</f>
        <v/>
      </c>
      <c r="BT24" s="703" t="str">
        <f>IF(VLOOKUP(A24,'Revitalisation-Revitalisierung'!$A$4:$Z$275,23,FALSE)="","",VLOOKUP(A24,'Revitalisation-Revitalisierung'!$A$4:$Z$275,23,FALSE))</f>
        <v/>
      </c>
      <c r="BU24" s="699" t="str">
        <f>IF(VLOOKUP(A24,'Revitalisation-Revitalisierung'!$A$4:$Z$275,24,FALSE)="","",VLOOKUP(A24,'Revitalisation-Revitalisierung'!$A$4:$Z$275,24,FALSE))</f>
        <v/>
      </c>
      <c r="BV24" s="761" t="str">
        <f>IF(VLOOKUP(A24,'Revitalisation-Revitalisierung'!$A$4:$Z$275,25,FALSE)="","",VLOOKUP(A24,'Revitalisation-Revitalisierung'!$A$4:$Z$275,25,FALSE))</f>
        <v>Partiellement nécessaire, facile / teilweise nötig, einfach</v>
      </c>
      <c r="BW24" s="871" t="str">
        <f>IF(VLOOKUP(A24,'Revitalisation-Revitalisierung'!$A$4:$AA$275,27,FALSE)="","",VLOOKUP(A24,'Revitalisation-Revitalisierung'!$A$4:$AA$275,27,FALSE))</f>
        <v>a</v>
      </c>
    </row>
    <row r="25" spans="1:75" ht="75.599999999999994" customHeight="1" x14ac:dyDescent="0.25">
      <c r="A25" s="935">
        <v>32</v>
      </c>
      <c r="B25" s="856">
        <f>IF(VLOOKUP(A25,'Données de base - Grunddaten'!$A$2:$M$297,2,FALSE)="","",VLOOKUP(A25,'Données de base - Grunddaten'!$A$2:$M$297,2,FALSE))</f>
        <v>1</v>
      </c>
      <c r="C25" s="857" t="str">
        <f>IF(VLOOKUP(A25,'Données de base - Grunddaten'!$A$2:$M$297,3,FALSE)="","",VLOOKUP(A25,'Données de base - Grunddaten'!$A$2:$M$297,3,FALSE))</f>
        <v>Disla–Pardomat</v>
      </c>
      <c r="D25" s="857" t="str">
        <f>IF(VLOOKUP(A25,'Données de base - Grunddaten'!$A$2:$M$297,4,FALSE)="","",VLOOKUP(A25,'Données de base - Grunddaten'!$A$2:$M$297,4,FALSE))</f>
        <v>Vorderrhein</v>
      </c>
      <c r="E25" s="857" t="str">
        <f>IF(VLOOKUP(A25,'Données de base - Grunddaten'!$A$2:$M$297,5,FALSE)="","",VLOOKUP(A25,'Données de base - Grunddaten'!$A$2:$M$297,5,FALSE))</f>
        <v>GR</v>
      </c>
      <c r="F25" s="857" t="str">
        <f>IF(VLOOKUP(A25,'Données de base - Grunddaten'!$A$2:$M$297,6,FALSE)="","",VLOOKUP(A25,'Données de base - Grunddaten'!$A$2:$M$297,6,FALSE))</f>
        <v>Alpes centrales orientales</v>
      </c>
      <c r="G25" s="857" t="str">
        <f>IF(VLOOKUP(A25,'Données de base - Grunddaten'!$A$2:$M$297,7,FALSE)="","",VLOOKUP(A25,'Données de base - Grunddaten'!$A$2:$M$297,7,FALSE))</f>
        <v>Montagnard sup.</v>
      </c>
      <c r="H25" s="857">
        <f>IF(VLOOKUP(A25,'Données de base - Grunddaten'!$A$2:$M$297,8,FALSE)="","",VLOOKUP(A25,'Données de base - Grunddaten'!$A$2:$M$297,8,FALSE))</f>
        <v>980</v>
      </c>
      <c r="I25" s="857">
        <f>IF(VLOOKUP(A25,'Données de base - Grunddaten'!$A$2:$M$297,9,FALSE)="","",VLOOKUP(A25,'Données de base - Grunddaten'!$A$2:$M$297,9,FALSE))</f>
        <v>1992</v>
      </c>
      <c r="J25" s="857">
        <f>IF(VLOOKUP(A25,'Données de base - Grunddaten'!$A$2:$M$297,10,FALSE)="","",VLOOKUP(A25,'Données de base - Grunddaten'!$A$2:$M$297,10,FALSE))</f>
        <v>41</v>
      </c>
      <c r="K25" s="857" t="str">
        <f>IF(VLOOKUP(A25,'Données de base - Grunddaten'!$A$2:$M$297,11,FALSE)="","",VLOOKUP(A25,'Données de base - Grunddaten'!$A$2:$M$297,11,FALSE))</f>
        <v>Cours d'eau naturels de l'étage montagnard</v>
      </c>
      <c r="L25" s="857" t="str">
        <f>IF(VLOOKUP(A25,'Données de base - Grunddaten'!$A$2:$M$297,12,FALSE)="","",VLOOKUP(A25,'Données de base - Grunddaten'!$A$2:$M$297,12,FALSE))</f>
        <v>en tresses</v>
      </c>
      <c r="M25" s="858" t="str">
        <f>IF(VLOOKUP(A25,'Données de base - Grunddaten'!$A$2:$M$297,13,FALSE)="","",VLOOKUP(A25,'Données de base - Grunddaten'!$A$2:$M$297,13,FALSE))</f>
        <v>méandres migrants</v>
      </c>
      <c r="N25" s="872" t="str">
        <f>IF(VLOOKUP(A25,'Charriage - Geschiebehaushalt'!$A$4:$R$275,5,FALSE)="","",VLOOKUP(A25,'Charriage - Geschiebehaushalt'!$A$4:$R$275,5,FALSE))</f>
        <v>pertinent</v>
      </c>
      <c r="O25" s="873" t="str">
        <f>IF(VLOOKUP(A25,'Charriage - Geschiebehaushalt'!$A$4:$R$275,6,FALSE)="","",VLOOKUP(A25,'Charriage - Geschiebehaushalt'!$A$4:$R$275,6,FALSE))</f>
        <v>21-50%</v>
      </c>
      <c r="P25" s="874" t="str">
        <f>IF(VLOOKUP(A25,'Charriage - Geschiebehaushalt'!$A$4:$R$275,7,FALSE)="","",VLOOKUP(A25,'Charriage - Geschiebehaushalt'!$A$4:$R$275,7,FALSE))</f>
        <v/>
      </c>
      <c r="Q25" s="874" t="str">
        <f>IF(VLOOKUP(A25,'Charriage - Geschiebehaushalt'!$A$4:$R$275,8,FALSE)="","",VLOOKUP(A25,'Charriage - Geschiebehaushalt'!$A$4:$R$275,8,FALSE))</f>
        <v>non documenté</v>
      </c>
      <c r="R25" s="875">
        <f>IF(VLOOKUP(A25,'Charriage - Geschiebehaushalt'!$A$4:$R$275,9,FALSE)="","",VLOOKUP(A25,'Charriage - Geschiebehaushalt'!$A$4:$R$275,9,FALSE))</f>
        <v>7.3781989742192997E-3</v>
      </c>
      <c r="S25" s="876" t="str">
        <f>IF(VLOOKUP(A25,'Charriage - Geschiebehaushalt'!$A$4:$R$275,10,FALSE)="","",VLOOKUP(A25,'Charriage - Geschiebehaushalt'!$A$4:$R$275,10,FALSE))</f>
        <v>pas ou faiblement entravé</v>
      </c>
      <c r="T25" s="875">
        <f>IF(VLOOKUP(A25,'Charriage - Geschiebehaushalt'!$A$4:$R$275,11,FALSE)="","",VLOOKUP(A25,'Charriage - Geschiebehaushalt'!$A$4:$R$275,11,FALSE))</f>
        <v>0.63661994676</v>
      </c>
      <c r="U25" s="876" t="str">
        <f>IF(VLOOKUP(A25,'Charriage - Geschiebehaushalt'!$A$4:$R$275,12,FALSE)="","",VLOOKUP(A25,'Charriage - Geschiebehaushalt'!$A$4:$R$275,12,FALSE))</f>
        <v>déficit non apparent en charriage ou en remobilisation des sédiments</v>
      </c>
      <c r="V25" s="877" t="str">
        <f>IF(VLOOKUP(A25,'Charriage - Geschiebehaushalt'!$A$4:$R$275,13,FALSE)="","",VLOOKUP(A25,'Charriage - Geschiebehaushalt'!$A$4:$R$275,13,FALSE))</f>
        <v/>
      </c>
      <c r="W25" s="877" t="str">
        <f>IF(VLOOKUP(A25,'Charriage - Geschiebehaushalt'!$A$4:$R$275,14,FALSE)="","",VLOOKUP(A25,'Charriage - Geschiebehaushalt'!$A$4:$R$275,14,FALSE))</f>
        <v/>
      </c>
      <c r="X25" s="877" t="str">
        <f>IF(VLOOKUP(A25,'Charriage - Geschiebehaushalt'!$A$4:$R$275,15,FALSE)="","",VLOOKUP(A25,'Charriage - Geschiebehaushalt'!$A$4:$R$275,15,FALSE))</f>
        <v/>
      </c>
      <c r="Y25" s="879" t="str">
        <f>IF(VLOOKUP(A25,'Charriage - Geschiebehaushalt'!$A$4:$R$275,16,FALSE)="","",VLOOKUP(A25,'Charriage - Geschiebehaushalt'!$A$4:$R$275,16,FALSE))</f>
        <v/>
      </c>
      <c r="Z25" s="763" t="str">
        <f>IF(VLOOKUP(A25,'Charriage - Geschiebehaushalt'!$A$4:$R$275,17,FALSE)="","",VLOOKUP(A25,'Charriage - Geschiebehaushalt'!$A$4:$R$275,17,FALSE))</f>
        <v>21-50%</v>
      </c>
      <c r="AA25" s="880" t="str">
        <f>IF(VLOOKUP(A25,'Charriage - Geschiebehaushalt'!$A$4:$R$275,18,FALSE)="","",VLOOKUP(A25,'Charriage - Geschiebehaushalt'!$A$4:$R$275,18,FALSE))</f>
        <v>a</v>
      </c>
      <c r="AB25" s="737" t="str">
        <f>IF(VLOOKUP(A25,'Charriage - Geschiebehaushalt'!$A$4:$AC$275,19,FALSE)="","",VLOOKUP(A25,'Charriage - Geschiebehaushalt'!$A$4:$AC$275,19,FALSE))</f>
        <v>vernachlässigbar / besond. Verhält.</v>
      </c>
      <c r="AC25" s="738">
        <f>IF(VLOOKUP(A25,'Charriage - Geschiebehaushalt'!$A$4:$AC$275,20,FALSE)="","",VLOOKUP(A25,'Charriage - Geschiebehaushalt'!$A$4:$AC$275,20,FALSE))</f>
        <v>0</v>
      </c>
      <c r="AD25" s="764" t="str">
        <f>IF(VLOOKUP(A25,'Charriage - Geschiebehaushalt'!$A$4:$AC$275,21,FALSE)="","",VLOOKUP(A25,'Charriage - Geschiebehaushalt'!$A$4:$AC$275,21,FALSE))</f>
        <v>21-50%</v>
      </c>
      <c r="AE25" s="740" t="str">
        <f>IF(VLOOKUP(A25,'Charriage - Geschiebehaushalt'!$A$4:$AC$275,22,FALSE)="","",VLOOKUP(A25,'Charriage - Geschiebehaushalt'!$A$4:$AC$275,22,FALSE))</f>
        <v>21-50%</v>
      </c>
      <c r="AF25" s="787" t="str">
        <f>IF(VLOOKUP(A25,'Charriage - Geschiebehaushalt'!$A$4:$AC$275,23,FALSE)="","",VLOOKUP(A25,'Charriage - Geschiebehaushalt'!$A$4:$AC$275,23,FALSE))</f>
        <v>d</v>
      </c>
      <c r="AG25" s="765" t="str">
        <f>IF(VLOOKUP(A25,'Charriage - Geschiebehaushalt'!$A$4:$AC$275,24,FALSE)="","",VLOOKUP(A25,'Charriage - Geschiebehaushalt'!$A$4:$AC$275,24,FALSE))</f>
        <v/>
      </c>
      <c r="AH25" s="764" t="str">
        <f>IF(VLOOKUP(A25,'Charriage - Geschiebehaushalt'!$A$4:$AC$275,25,FALSE)="","",VLOOKUP(A25,'Charriage - Geschiebehaushalt'!$A$4:$AC$275,25,FALSE))</f>
        <v/>
      </c>
      <c r="AI25" s="435" t="str">
        <f>IF(VLOOKUP(A25,'Charriage - Geschiebehaushalt'!$A$4:$AC$275,26,FALSE)="","",VLOOKUP(A25,'Charriage - Geschiebehaushalt'!$A$4:$AC$275,26,FALSE))</f>
        <v/>
      </c>
      <c r="AJ25" s="436" t="str">
        <f>IF(VLOOKUP(A25,'Charriage - Geschiebehaushalt'!$A$4:$AC$275,27,FALSE)="","",VLOOKUP(A25,'Charriage - Geschiebehaushalt'!$A$4:$AC$275,27,FALSE))</f>
        <v/>
      </c>
      <c r="AK25" s="801" t="str">
        <f>IF(VLOOKUP(A25,'Charriage - Geschiebehaushalt'!$A$4:$AC$275,28,FALSE)="","",VLOOKUP(A25,'Charriage - Geschiebehaushalt'!$A$4:$AC$275,28,FALSE))</f>
        <v>21-50%</v>
      </c>
      <c r="AL25" s="1285" t="str">
        <f>IF(VLOOKUP(A25,'Charriage - Geschiebehaushalt'!$A$4:$AD$275,30,FALSE)="","",VLOOKUP(A25,'Charriage - Geschiebehaushalt'!$A$4:$AD$275,30,FALSE))</f>
        <v>a</v>
      </c>
      <c r="AM25" s="1279" t="str">
        <f>IF(VLOOKUP(A25,'Débit - Abfluss'!$A$4:$K$275,5,FALSE)="","",VLOOKUP(A25,'Débit - Abfluss'!$A$4:$M$275,5,FALSE))</f>
        <v>0-20%</v>
      </c>
      <c r="AN25" s="868" t="str">
        <f>IF(VLOOKUP(A25,'Débit - Abfluss'!$A$4:$K$275,6,FALSE)="","",VLOOKUP(A25,'Débit - Abfluss'!$A$4:$M$275,6,FALSE))</f>
        <v/>
      </c>
      <c r="AO25" s="869" t="str">
        <f>IF(VLOOKUP(A25,'Débit - Abfluss'!$A$4:$K$275,7,FALSE)="","",VLOOKUP(A25,'Débit - Abfluss'!$A$4:$M$275,7,FALSE))</f>
        <v/>
      </c>
      <c r="AP25" s="766" t="str">
        <f>IF(VLOOKUP(A25,'Débit - Abfluss'!$A$4:$K$275,8,FALSE)="","",VLOOKUP(A25,'Débit - Abfluss'!$A$4:$M$275,8,FALSE))</f>
        <v>0-20%</v>
      </c>
      <c r="AQ25" s="678" t="str">
        <f>IF(VLOOKUP(A25,'Débit - Abfluss'!$A$4:$K$275,9,FALSE)="","",VLOOKUP(A25,'Débit - Abfluss'!$A$4:$M$275,9,FALSE))</f>
        <v>Fehlende Angaben</v>
      </c>
      <c r="AR25" s="767" t="str">
        <f>IF(VLOOKUP(A25,'Débit - Abfluss'!$A$4:$K$275,10,FALSE)="","",VLOOKUP(A25,'Débit - Abfluss'!$A$4:$M$275,10,FALSE))</f>
        <v>0-20%</v>
      </c>
      <c r="AS25" s="767" t="str">
        <f>IF(VLOOKUP(A25,'Débit - Abfluss'!$A$4:$K$275,11,FALSE)="","",VLOOKUP(A25,'Débit - Abfluss'!$A$4:$M$275,11,FALSE))</f>
        <v/>
      </c>
      <c r="AT25" s="778" t="str">
        <f>IF(VLOOKUP(A25,'Débit - Abfluss'!$A$4:$Q$275,12,FALSE)="","",VLOOKUP(A25,'Débit - Abfluss'!$A$4:$Q$275,12,FALSE))</f>
        <v/>
      </c>
      <c r="AU25" s="779" t="str">
        <f>IF(VLOOKUP(A25,'Débit - Abfluss'!$A$4:$Q$275,13,FALSE)="","",VLOOKUP(A25,'Débit - Abfluss'!$A$4:$Q$275,13,FALSE))</f>
        <v/>
      </c>
      <c r="AV25" s="746" t="str">
        <f>IF(VLOOKUP(A25,'Débit - Abfluss'!$A$4:$Q$275,14,FALSE)="","",VLOOKUP(A25,'Débit - Abfluss'!$A$4:$Q$275,14,FALSE))</f>
        <v>GR-KVR3-4</v>
      </c>
      <c r="AW25" s="768" t="str">
        <f>IF(VLOOKUP(A25,'Débit - Abfluss'!$A$4:$Q$275,15,FALSE)="","",VLOOKUP(A25,'Débit - Abfluss'!$A$4:$Q$275,15,FALSE))</f>
        <v>Tavanasa</v>
      </c>
      <c r="AX25" s="679" t="str">
        <f>IF(VLOOKUP(A25,'Débit - Abfluss'!$A$4:$Q$275,16,FALSE)="","",VLOOKUP(A25,'Débit - Abfluss'!$A$4:$Q$275,16,FALSE))</f>
        <v/>
      </c>
      <c r="AY25" s="769" t="str">
        <f>IF(VLOOKUP(A25,'Débit - Abfluss'!$A$4:$Q$275,17,FALSE)="","",VLOOKUP(A25,'Débit - Abfluss'!$A$4:$Q$275,17,FALSE))</f>
        <v>0-20%</v>
      </c>
      <c r="AZ25" s="749" t="str">
        <f>IF(VLOOKUP(A25,'Eclusée - Schwall-Sunk'!$A$2:$F$273,5,FALSE)="","",VLOOKUP(A25,'Eclusée - Schwall-Sunk'!$A$2:$F$273,5,FALSE))</f>
        <v>force hydraulique</v>
      </c>
      <c r="BA25" s="750" t="str">
        <f>IF(VLOOKUP(A25,'Eclusée - Schwall-Sunk'!$A$2:$F$273,6,FALSE)="","",VLOOKUP(A25,'Eclusée - Schwall-Sunk'!$A$2:$F$273,6,FALSE))</f>
        <v>Non affecté / nicht betroffen</v>
      </c>
      <c r="BB25" s="751">
        <f>IF(VLOOKUP(A25,'Revitalisation-Revitalisierung'!$A$4:$Z$275,5,FALSE)="","",VLOOKUP(A25,'Revitalisation-Revitalisierung'!$A$4:$Z$275,5,FALSE))</f>
        <v>-56.363636363636367</v>
      </c>
      <c r="BC25" s="752">
        <f>IF(VLOOKUP(A25,'Revitalisation-Revitalisierung'!$A$4:$Z$275,6,FALSE)="","",VLOOKUP(A25,'Revitalisation-Revitalisierung'!$A$4:$Z$275,6,FALSE))</f>
        <v>0</v>
      </c>
      <c r="BD25" s="752">
        <f>IF(VLOOKUP(A25,'Revitalisation-Revitalisierung'!$A$4:$Z$275,7,FALSE)="","",VLOOKUP(A25,'Revitalisation-Revitalisierung'!$A$4:$Z$275,7,FALSE))</f>
        <v>56.363636363636367</v>
      </c>
      <c r="BE25" s="753" t="str">
        <f>IF(VLOOKUP(A25,'Revitalisation-Revitalisierung'!$A$4:$Z$275,8,FALSE)="","",VLOOKUP(A25,'Revitalisation-Revitalisierung'!$A$4:$Z$275,8,FALSE))</f>
        <v>non nécessaire</v>
      </c>
      <c r="BF25" s="754" t="str">
        <f>IF(VLOOKUP(A25,'Revitalisation-Revitalisierung'!$A$4:$Z$275,9,FALSE)="","",VLOOKUP(A25,'Revitalisation-Revitalisierung'!$A$4:$Z$275,9,FALSE))</f>
        <v>nicht nötig</v>
      </c>
      <c r="BG25" s="754" t="str">
        <f>IF(VLOOKUP(A25,'Revitalisation-Revitalisierung'!$A$4:$Z$275,10,FALSE)="","",VLOOKUP(A25,'Revitalisation-Revitalisierung'!$A$4:$Z$275,10,FALSE))</f>
        <v>K1</v>
      </c>
      <c r="BH25" s="755" t="str">
        <f>IF(VLOOKUP(A25,'Revitalisation-Revitalisierung'!$A$4:$Z$275,11,FALSE)="","",VLOOKUP(A25,'Revitalisation-Revitalisierung'!$A$4:$Z$275,11,FALSE))</f>
        <v/>
      </c>
      <c r="BI25" s="756" t="str">
        <f>IF(VLOOKUP(A25,'Revitalisation-Revitalisierung'!$A$4:$Z$275,12,FALSE)="","",VLOOKUP(A25,'Revitalisation-Revitalisierung'!$A$4:$Z$275,12,FALSE))</f>
        <v/>
      </c>
      <c r="BJ25" s="757" t="str">
        <f>IF(VLOOKUP(A25,'Revitalisation-Revitalisierung'!$A$4:$Z$275,13,FALSE)="","",VLOOKUP(A25,'Revitalisation-Revitalisierung'!$A$4:$Z$275,13,FALSE))</f>
        <v>Non nécessaire / nicht nötig</v>
      </c>
      <c r="BK25" s="870" t="str">
        <f>IF(VLOOKUP(A25,'Revitalisation-Revitalisierung'!$A$4:$Z$275,14,FALSE)="","",VLOOKUP(A25,'Revitalisation-Revitalisierung'!$A$4:$Z$275,14,FALSE))</f>
        <v>a</v>
      </c>
      <c r="BL25" s="758" t="str">
        <f>IF(VLOOKUP(A25,'Revitalisation-Revitalisierung'!$A$4:$Z$275,15,FALSE)="","",VLOOKUP(A25,'Revitalisation-Revitalisierung'!$A$4:$Z$275,15,FALSE))</f>
        <v>gross</v>
      </c>
      <c r="BM25" s="759" t="str">
        <f>IF(VLOOKUP(A25,'Revitalisation-Revitalisierung'!$A$4:$Z$275,16,FALSE)="","",VLOOKUP(A25,'Revitalisation-Revitalisierung'!$A$4:$Z$275,16,FALSE))</f>
        <v xml:space="preserve">gross/mittel/gering/ - </v>
      </c>
      <c r="BN25" s="759" t="str">
        <f>IF(VLOOKUP(A25,'Revitalisation-Revitalisierung'!$A$4:$Z$275,17,FALSE)="","",VLOOKUP(A25,'Revitalisation-Revitalisierung'!$A$4:$Z$275,17,FALSE))</f>
        <v>hoch/mittel/gering</v>
      </c>
      <c r="BO25" s="760" t="str">
        <f>IF(VLOOKUP(A25,'Revitalisation-Revitalisierung'!$A$4:$Z$275,18,FALSE)="","",VLOOKUP(A25,'Revitalisation-Revitalisierung'!$A$4:$Z$275,18,FALSE))</f>
        <v>Très nécessaire, difficile / unbedingt nötig, schwierig</v>
      </c>
      <c r="BP25" s="761" t="str">
        <f>IF(VLOOKUP(A25,'Revitalisation-Revitalisierung'!$A$4:$Z$275,19,FALSE)="","",VLOOKUP(A25,'Revitalisation-Revitalisierung'!$A$4:$Z$275,19,FALSE))</f>
        <v>Très nécessaire, difficile / unbedingt nötig, schwierig</v>
      </c>
      <c r="BQ25" s="759" t="str">
        <f>IF(VLOOKUP(A25,'Revitalisation-Revitalisierung'!$A$4:$Z$275,20,FALSE)="","",VLOOKUP(A25,'Revitalisation-Revitalisierung'!$A$4:$Z$275,20,FALSE))</f>
        <v>c</v>
      </c>
      <c r="BR25" s="759" t="str">
        <f>IF(VLOOKUP(A25,'Revitalisation-Revitalisierung'!$A$4:$Z$275,21,FALSE)="","",VLOOKUP(A25,'Revitalisation-Revitalisierung'!$A$4:$Z$275,21,FALSE))</f>
        <v/>
      </c>
      <c r="BS25" s="762" t="str">
        <f>IF(VLOOKUP(A25,'Revitalisation-Revitalisierung'!$A$4:$Z$275,22,FALSE)="","",VLOOKUP(A25,'Revitalisation-Revitalisierung'!$A$4:$Z$275,22,FALSE))</f>
        <v/>
      </c>
      <c r="BT25" s="703" t="str">
        <f>IF(VLOOKUP(A25,'Revitalisation-Revitalisierung'!$A$4:$Z$275,23,FALSE)="","",VLOOKUP(A25,'Revitalisation-Revitalisierung'!$A$4:$Z$275,23,FALSE))</f>
        <v/>
      </c>
      <c r="BU25" s="699" t="str">
        <f>IF(VLOOKUP(A25,'Revitalisation-Revitalisierung'!$A$4:$Z$275,24,FALSE)="","",VLOOKUP(A25,'Revitalisation-Revitalisierung'!$A$4:$Z$275,24,FALSE))</f>
        <v/>
      </c>
      <c r="BV25" s="761" t="str">
        <f>IF(VLOOKUP(A25,'Revitalisation-Revitalisierung'!$A$4:$Z$275,25,FALSE)="","",VLOOKUP(A25,'Revitalisation-Revitalisierung'!$A$4:$Z$275,25,FALSE))</f>
        <v>Très nécessaire, difficile / unbedingt nötig, schwierig</v>
      </c>
      <c r="BW25" s="871" t="str">
        <f>IF(VLOOKUP(A25,'Revitalisation-Revitalisierung'!$A$4:$AA$275,27,FALSE)="","",VLOOKUP(A25,'Revitalisation-Revitalisierung'!$A$4:$AA$275,27,FALSE))</f>
        <v>a</v>
      </c>
    </row>
    <row r="26" spans="1:75" ht="75.599999999999994" customHeight="1" x14ac:dyDescent="0.25">
      <c r="A26" s="935">
        <v>33</v>
      </c>
      <c r="B26" s="856">
        <f>IF(VLOOKUP(A26,'Données de base - Grunddaten'!$A$2:$M$297,2,FALSE)="","",VLOOKUP(A26,'Données de base - Grunddaten'!$A$2:$M$297,2,FALSE))</f>
        <v>1</v>
      </c>
      <c r="C26" s="857" t="str">
        <f>IF(VLOOKUP(A26,'Données de base - Grunddaten'!$A$2:$M$297,3,FALSE)="","",VLOOKUP(A26,'Données de base - Grunddaten'!$A$2:$M$297,3,FALSE))</f>
        <v>Fontanivas–Sonduritg</v>
      </c>
      <c r="D26" s="857" t="str">
        <f>IF(VLOOKUP(A26,'Données de base - Grunddaten'!$A$2:$M$297,4,FALSE)="","",VLOOKUP(A26,'Données de base - Grunddaten'!$A$2:$M$297,4,FALSE))</f>
        <v>Vorderrhein</v>
      </c>
      <c r="E26" s="857" t="str">
        <f>IF(VLOOKUP(A26,'Données de base - Grunddaten'!$A$2:$M$297,5,FALSE)="","",VLOOKUP(A26,'Données de base - Grunddaten'!$A$2:$M$297,5,FALSE))</f>
        <v>GR</v>
      </c>
      <c r="F26" s="857" t="str">
        <f>IF(VLOOKUP(A26,'Données de base - Grunddaten'!$A$2:$M$297,6,FALSE)="","",VLOOKUP(A26,'Données de base - Grunddaten'!$A$2:$M$297,6,FALSE))</f>
        <v>Alpes centrales orientales</v>
      </c>
      <c r="G26" s="857" t="str">
        <f>IF(VLOOKUP(A26,'Données de base - Grunddaten'!$A$2:$M$297,7,FALSE)="","",VLOOKUP(A26,'Données de base - Grunddaten'!$A$2:$M$297,7,FALSE))</f>
        <v>Montagnard sup.</v>
      </c>
      <c r="H26" s="857">
        <f>IF(VLOOKUP(A26,'Données de base - Grunddaten'!$A$2:$M$297,8,FALSE)="","",VLOOKUP(A26,'Données de base - Grunddaten'!$A$2:$M$297,8,FALSE))</f>
        <v>1040</v>
      </c>
      <c r="I26" s="857">
        <f>IF(VLOOKUP(A26,'Données de base - Grunddaten'!$A$2:$M$297,9,FALSE)="","",VLOOKUP(A26,'Données de base - Grunddaten'!$A$2:$M$297,9,FALSE))</f>
        <v>1992</v>
      </c>
      <c r="J26" s="857">
        <f>IF(VLOOKUP(A26,'Données de base - Grunddaten'!$A$2:$M$297,10,FALSE)="","",VLOOKUP(A26,'Données de base - Grunddaten'!$A$2:$M$297,10,FALSE))</f>
        <v>42</v>
      </c>
      <c r="K26" s="857" t="str">
        <f>IF(VLOOKUP(A26,'Données de base - Grunddaten'!$A$2:$M$297,11,FALSE)="","",VLOOKUP(A26,'Données de base - Grunddaten'!$A$2:$M$297,11,FALSE))</f>
        <v>Cours d'eau corrigés de l'étage montagnard</v>
      </c>
      <c r="L26" s="857" t="str">
        <f>IF(VLOOKUP(A26,'Données de base - Grunddaten'!$A$2:$M$297,12,FALSE)="","",VLOOKUP(A26,'Données de base - Grunddaten'!$A$2:$M$297,12,FALSE))</f>
        <v>en tresses</v>
      </c>
      <c r="M26" s="858" t="str">
        <f>IF(VLOOKUP(A26,'Données de base - Grunddaten'!$A$2:$M$297,13,FALSE)="","",VLOOKUP(A26,'Données de base - Grunddaten'!$A$2:$M$297,13,FALSE))</f>
        <v>en tresses</v>
      </c>
      <c r="N26" s="872" t="str">
        <f>IF(VLOOKUP(A26,'Charriage - Geschiebehaushalt'!$A$4:$R$275,5,FALSE)="","",VLOOKUP(A26,'Charriage - Geschiebehaushalt'!$A$4:$R$275,5,FALSE))</f>
        <v>pertinent</v>
      </c>
      <c r="O26" s="873" t="str">
        <f>IF(VLOOKUP(A26,'Charriage - Geschiebehaushalt'!$A$4:$R$275,6,FALSE)="","",VLOOKUP(A26,'Charriage - Geschiebehaushalt'!$A$4:$R$275,6,FALSE))</f>
        <v>21-50%</v>
      </c>
      <c r="P26" s="874" t="str">
        <f>IF(VLOOKUP(A26,'Charriage - Geschiebehaushalt'!$A$4:$R$275,7,FALSE)="","",VLOOKUP(A26,'Charriage - Geschiebehaushalt'!$A$4:$R$275,7,FALSE))</f>
        <v/>
      </c>
      <c r="Q26" s="874" t="str">
        <f>IF(VLOOKUP(A26,'Charriage - Geschiebehaushalt'!$A$4:$R$275,8,FALSE)="","",VLOOKUP(A26,'Charriage - Geschiebehaushalt'!$A$4:$R$275,8,FALSE))</f>
        <v>non documenté</v>
      </c>
      <c r="R26" s="875">
        <f>IF(VLOOKUP(A26,'Charriage - Geschiebehaushalt'!$A$4:$R$275,9,FALSE)="","",VLOOKUP(A26,'Charriage - Geschiebehaushalt'!$A$4:$R$275,9,FALSE))</f>
        <v>0.25338417377245098</v>
      </c>
      <c r="S26" s="876" t="str">
        <f>IF(VLOOKUP(A26,'Charriage - Geschiebehaushalt'!$A$4:$R$275,10,FALSE)="","",VLOOKUP(A26,'Charriage - Geschiebehaushalt'!$A$4:$R$275,10,FALSE))</f>
        <v>la remobilisation des sédiments est perturbée</v>
      </c>
      <c r="T26" s="875">
        <f>IF(VLOOKUP(A26,'Charriage - Geschiebehaushalt'!$A$4:$R$275,11,FALSE)="","",VLOOKUP(A26,'Charriage - Geschiebehaushalt'!$A$4:$R$275,11,FALSE))</f>
        <v>0.15712876894</v>
      </c>
      <c r="U26" s="876" t="str">
        <f>IF(VLOOKUP(A26,'Charriage - Geschiebehaushalt'!$A$4:$R$275,12,FALSE)="","",VLOOKUP(A26,'Charriage - Geschiebehaushalt'!$A$4:$R$275,12,FALSE))</f>
        <v>déficit dans les formations pionnières</v>
      </c>
      <c r="V26" s="877" t="str">
        <f>IF(VLOOKUP(A26,'Charriage - Geschiebehaushalt'!$A$4:$R$275,13,FALSE)="","",VLOOKUP(A26,'Charriage - Geschiebehaushalt'!$A$4:$R$275,13,FALSE))</f>
        <v/>
      </c>
      <c r="W26" s="877" t="str">
        <f>IF(VLOOKUP(A26,'Charriage - Geschiebehaushalt'!$A$4:$R$275,14,FALSE)="","",VLOOKUP(A26,'Charriage - Geschiebehaushalt'!$A$4:$R$275,14,FALSE))</f>
        <v/>
      </c>
      <c r="X26" s="877" t="str">
        <f>IF(VLOOKUP(A26,'Charriage - Geschiebehaushalt'!$A$4:$R$275,15,FALSE)="","",VLOOKUP(A26,'Charriage - Geschiebehaushalt'!$A$4:$R$275,15,FALSE))</f>
        <v/>
      </c>
      <c r="Y26" s="879" t="str">
        <f>IF(VLOOKUP(A26,'Charriage - Geschiebehaushalt'!$A$4:$R$275,16,FALSE)="","",VLOOKUP(A26,'Charriage - Geschiebehaushalt'!$A$4:$R$275,16,FALSE))</f>
        <v/>
      </c>
      <c r="Z26" s="763" t="str">
        <f>IF(VLOOKUP(A26,'Charriage - Geschiebehaushalt'!$A$4:$R$275,17,FALSE)="","",VLOOKUP(A26,'Charriage - Geschiebehaushalt'!$A$4:$R$275,17,FALSE))</f>
        <v>21-50%</v>
      </c>
      <c r="AA26" s="880" t="str">
        <f>IF(VLOOKUP(A26,'Charriage - Geschiebehaushalt'!$A$4:$R$275,18,FALSE)="","",VLOOKUP(A26,'Charriage - Geschiebehaushalt'!$A$4:$R$275,18,FALSE))</f>
        <v>a</v>
      </c>
      <c r="AB26" s="737" t="str">
        <f>IF(VLOOKUP(A26,'Charriage - Geschiebehaushalt'!$A$4:$AC$275,19,FALSE)="","",VLOOKUP(A26,'Charriage - Geschiebehaushalt'!$A$4:$AC$275,19,FALSE))</f>
        <v>vernachlässigbar</v>
      </c>
      <c r="AC26" s="738">
        <f>IF(VLOOKUP(A26,'Charriage - Geschiebehaushalt'!$A$4:$AC$275,20,FALSE)="","",VLOOKUP(A26,'Charriage - Geschiebehaushalt'!$A$4:$AC$275,20,FALSE))</f>
        <v>0</v>
      </c>
      <c r="AD26" s="764" t="str">
        <f>IF(VLOOKUP(A26,'Charriage - Geschiebehaushalt'!$A$4:$AC$275,21,FALSE)="","",VLOOKUP(A26,'Charriage - Geschiebehaushalt'!$A$4:$AC$275,21,FALSE))</f>
        <v>21-50%</v>
      </c>
      <c r="AE26" s="740" t="str">
        <f>IF(VLOOKUP(A26,'Charriage - Geschiebehaushalt'!$A$4:$AC$275,22,FALSE)="","",VLOOKUP(A26,'Charriage - Geschiebehaushalt'!$A$4:$AC$275,22,FALSE))</f>
        <v>21-50%</v>
      </c>
      <c r="AF26" s="787" t="str">
        <f>IF(VLOOKUP(A26,'Charriage - Geschiebehaushalt'!$A$4:$AC$275,23,FALSE)="","",VLOOKUP(A26,'Charriage - Geschiebehaushalt'!$A$4:$AC$275,23,FALSE))</f>
        <v>d</v>
      </c>
      <c r="AG26" s="765" t="str">
        <f>IF(VLOOKUP(A26,'Charriage - Geschiebehaushalt'!$A$4:$AC$275,24,FALSE)="","",VLOOKUP(A26,'Charriage - Geschiebehaushalt'!$A$4:$AC$275,24,FALSE))</f>
        <v/>
      </c>
      <c r="AH26" s="764" t="str">
        <f>IF(VLOOKUP(A26,'Charriage - Geschiebehaushalt'!$A$4:$AC$275,25,FALSE)="","",VLOOKUP(A26,'Charriage - Geschiebehaushalt'!$A$4:$AC$275,25,FALSE))</f>
        <v/>
      </c>
      <c r="AI26" s="435" t="str">
        <f>IF(VLOOKUP(A26,'Charriage - Geschiebehaushalt'!$A$4:$AC$275,26,FALSE)="","",VLOOKUP(A26,'Charriage - Geschiebehaushalt'!$A$4:$AC$275,26,FALSE))</f>
        <v/>
      </c>
      <c r="AJ26" s="436" t="str">
        <f>IF(VLOOKUP(A26,'Charriage - Geschiebehaushalt'!$A$4:$AC$275,27,FALSE)="","",VLOOKUP(A26,'Charriage - Geschiebehaushalt'!$A$4:$AC$275,27,FALSE))</f>
        <v/>
      </c>
      <c r="AK26" s="801" t="str">
        <f>IF(VLOOKUP(A26,'Charriage - Geschiebehaushalt'!$A$4:$AC$275,28,FALSE)="","",VLOOKUP(A26,'Charriage - Geschiebehaushalt'!$A$4:$AC$275,28,FALSE))</f>
        <v>21-50%</v>
      </c>
      <c r="AL26" s="1285" t="str">
        <f>IF(VLOOKUP(A26,'Charriage - Geschiebehaushalt'!$A$4:$AD$275,30,FALSE)="","",VLOOKUP(A26,'Charriage - Geschiebehaushalt'!$A$4:$AD$275,30,FALSE))</f>
        <v>a</v>
      </c>
      <c r="AM26" s="1279" t="str">
        <f>IF(VLOOKUP(A26,'Débit - Abfluss'!$A$4:$K$275,5,FALSE)="","",VLOOKUP(A26,'Débit - Abfluss'!$A$4:$M$275,5,FALSE))</f>
        <v>0-20%</v>
      </c>
      <c r="AN26" s="868" t="str">
        <f>IF(VLOOKUP(A26,'Débit - Abfluss'!$A$4:$K$275,6,FALSE)="","",VLOOKUP(A26,'Débit - Abfluss'!$A$4:$M$275,6,FALSE))</f>
        <v/>
      </c>
      <c r="AO26" s="869" t="str">
        <f>IF(VLOOKUP(A26,'Débit - Abfluss'!$A$4:$K$275,7,FALSE)="","",VLOOKUP(A26,'Débit - Abfluss'!$A$4:$M$275,7,FALSE))</f>
        <v/>
      </c>
      <c r="AP26" s="766" t="str">
        <f>IF(VLOOKUP(A26,'Débit - Abfluss'!$A$4:$K$275,8,FALSE)="","",VLOOKUP(A26,'Débit - Abfluss'!$A$4:$M$275,8,FALSE))</f>
        <v>0-20%</v>
      </c>
      <c r="AQ26" s="678" t="str">
        <f>IF(VLOOKUP(A26,'Débit - Abfluss'!$A$4:$K$275,9,FALSE)="","",VLOOKUP(A26,'Débit - Abfluss'!$A$4:$M$275,9,FALSE))</f>
        <v>Fehlende Angaben</v>
      </c>
      <c r="AR26" s="767" t="str">
        <f>IF(VLOOKUP(A26,'Débit - Abfluss'!$A$4:$K$275,10,FALSE)="","",VLOOKUP(A26,'Débit - Abfluss'!$A$4:$M$275,10,FALSE))</f>
        <v>0-20%</v>
      </c>
      <c r="AS26" s="767" t="str">
        <f>IF(VLOOKUP(A26,'Débit - Abfluss'!$A$4:$K$275,11,FALSE)="","",VLOOKUP(A26,'Débit - Abfluss'!$A$4:$M$275,11,FALSE))</f>
        <v/>
      </c>
      <c r="AT26" s="778" t="str">
        <f>IF(VLOOKUP(A26,'Débit - Abfluss'!$A$4:$Q$275,12,FALSE)="","",VLOOKUP(A26,'Débit - Abfluss'!$A$4:$Q$275,12,FALSE))</f>
        <v/>
      </c>
      <c r="AU26" s="779" t="str">
        <f>IF(VLOOKUP(A26,'Débit - Abfluss'!$A$4:$Q$275,13,FALSE)="","",VLOOKUP(A26,'Débit - Abfluss'!$A$4:$Q$275,13,FALSE))</f>
        <v/>
      </c>
      <c r="AV26" s="746" t="str">
        <f>IF(VLOOKUP(A26,'Débit - Abfluss'!$A$4:$Q$275,14,FALSE)="","",VLOOKUP(A26,'Débit - Abfluss'!$A$4:$Q$275,14,FALSE))</f>
        <v>GR-KVR3-4</v>
      </c>
      <c r="AW26" s="768" t="str">
        <f>IF(VLOOKUP(A26,'Débit - Abfluss'!$A$4:$Q$275,15,FALSE)="","",VLOOKUP(A26,'Débit - Abfluss'!$A$4:$Q$275,15,FALSE))</f>
        <v>Tavanasa</v>
      </c>
      <c r="AX26" s="679" t="str">
        <f>IF(VLOOKUP(A26,'Débit - Abfluss'!$A$4:$Q$275,16,FALSE)="","",VLOOKUP(A26,'Débit - Abfluss'!$A$4:$Q$275,16,FALSE))</f>
        <v/>
      </c>
      <c r="AY26" s="769" t="str">
        <f>IF(VLOOKUP(A26,'Débit - Abfluss'!$A$4:$Q$275,17,FALSE)="","",VLOOKUP(A26,'Débit - Abfluss'!$A$4:$Q$275,17,FALSE))</f>
        <v>0-20%</v>
      </c>
      <c r="AZ26" s="749" t="str">
        <f>IF(VLOOKUP(A26,'Eclusée - Schwall-Sunk'!$A$2:$F$273,5,FALSE)="","",VLOOKUP(A26,'Eclusée - Schwall-Sunk'!$A$2:$F$273,5,FALSE))</f>
        <v>force hydraulique</v>
      </c>
      <c r="BA26" s="750" t="str">
        <f>IF(VLOOKUP(A26,'Eclusée - Schwall-Sunk'!$A$2:$F$273,6,FALSE)="","",VLOOKUP(A26,'Eclusée - Schwall-Sunk'!$A$2:$F$273,6,FALSE))</f>
        <v>Non affecté / nicht betroffen</v>
      </c>
      <c r="BB26" s="751">
        <f>IF(VLOOKUP(A26,'Revitalisation-Revitalisierung'!$A$4:$Z$275,5,FALSE)="","",VLOOKUP(A26,'Revitalisation-Revitalisierung'!$A$4:$Z$275,5,FALSE))</f>
        <v>34.272727272727273</v>
      </c>
      <c r="BC26" s="752">
        <f>IF(VLOOKUP(A26,'Revitalisation-Revitalisierung'!$A$4:$Z$275,6,FALSE)="","",VLOOKUP(A26,'Revitalisation-Revitalisierung'!$A$4:$Z$275,6,FALSE))</f>
        <v>36.993320960061709</v>
      </c>
      <c r="BD26" s="752">
        <f>IF(VLOOKUP(A26,'Revitalisation-Revitalisierung'!$A$4:$Z$275,7,FALSE)="","",VLOOKUP(A26,'Revitalisation-Revitalisierung'!$A$4:$Z$275,7,FALSE))</f>
        <v>2.7272727272727271</v>
      </c>
      <c r="BE26" s="753" t="str">
        <f>IF(VLOOKUP(A26,'Revitalisation-Revitalisierung'!$A$4:$Z$275,8,FALSE)="","",VLOOKUP(A26,'Revitalisation-Revitalisierung'!$A$4:$Z$275,8,FALSE))</f>
        <v>peu nécessaire, facile</v>
      </c>
      <c r="BF26" s="754" t="str">
        <f>IF(VLOOKUP(A26,'Revitalisation-Revitalisierung'!$A$4:$Z$275,9,FALSE)="","",VLOOKUP(A26,'Revitalisation-Revitalisierung'!$A$4:$Z$275,9,FALSE))</f>
        <v/>
      </c>
      <c r="BG26" s="754" t="str">
        <f>IF(VLOOKUP(A26,'Revitalisation-Revitalisierung'!$A$4:$Z$275,10,FALSE)="","",VLOOKUP(A26,'Revitalisation-Revitalisierung'!$A$4:$Z$275,10,FALSE))</f>
        <v>K2</v>
      </c>
      <c r="BH26" s="755" t="str">
        <f>IF(VLOOKUP(A26,'Revitalisation-Revitalisierung'!$A$4:$Z$275,11,FALSE)="","",VLOOKUP(A26,'Revitalisation-Revitalisierung'!$A$4:$Z$275,11,FALSE))</f>
        <v/>
      </c>
      <c r="BI26" s="756" t="str">
        <f>IF(VLOOKUP(A26,'Revitalisation-Revitalisierung'!$A$4:$Z$275,12,FALSE)="","",VLOOKUP(A26,'Revitalisation-Revitalisierung'!$A$4:$Z$275,12,FALSE))</f>
        <v/>
      </c>
      <c r="BJ26" s="757" t="str">
        <f>IF(VLOOKUP(A26,'Revitalisation-Revitalisierung'!$A$4:$Z$275,13,FALSE)="","",VLOOKUP(A26,'Revitalisation-Revitalisierung'!$A$4:$Z$275,13,FALSE))</f>
        <v>Partiellement nécessaire, facile / teilweise nötig, einfach</v>
      </c>
      <c r="BK26" s="870" t="str">
        <f>IF(VLOOKUP(A26,'Revitalisation-Revitalisierung'!$A$4:$Z$275,14,FALSE)="","",VLOOKUP(A26,'Revitalisation-Revitalisierung'!$A$4:$Z$275,14,FALSE))</f>
        <v>a</v>
      </c>
      <c r="BL26" s="758" t="str">
        <f>IF(VLOOKUP(A26,'Revitalisation-Revitalisierung'!$A$4:$Z$275,15,FALSE)="","",VLOOKUP(A26,'Revitalisation-Revitalisierung'!$A$4:$Z$275,15,FALSE))</f>
        <v>gross</v>
      </c>
      <c r="BM26" s="759" t="str">
        <f>IF(VLOOKUP(A26,'Revitalisation-Revitalisierung'!$A$4:$Z$275,16,FALSE)="","",VLOOKUP(A26,'Revitalisation-Revitalisierung'!$A$4:$Z$275,16,FALSE))</f>
        <v>gross/ -</v>
      </c>
      <c r="BN26" s="759" t="str">
        <f>IF(VLOOKUP(A26,'Revitalisation-Revitalisierung'!$A$4:$Z$275,17,FALSE)="","",VLOOKUP(A26,'Revitalisation-Revitalisierung'!$A$4:$Z$275,17,FALSE))</f>
        <v>hoch</v>
      </c>
      <c r="BO26" s="760" t="str">
        <f>IF(VLOOKUP(A26,'Revitalisation-Revitalisierung'!$A$4:$Z$275,18,FALSE)="","",VLOOKUP(A26,'Revitalisation-Revitalisierung'!$A$4:$Z$275,18,FALSE))</f>
        <v>Très nécessaire, facile / unbedingt nötig, einfach</v>
      </c>
      <c r="BP26" s="761" t="str">
        <f>IF(VLOOKUP(A26,'Revitalisation-Revitalisierung'!$A$4:$Z$275,19,FALSE)="","",VLOOKUP(A26,'Revitalisation-Revitalisierung'!$A$4:$Z$275,19,FALSE))</f>
        <v>Partiellement nécessaire, facile / teilweise nötig, einfach</v>
      </c>
      <c r="BQ26" s="759" t="str">
        <f>IF(VLOOKUP(A26,'Revitalisation-Revitalisierung'!$A$4:$Z$275,20,FALSE)="","",VLOOKUP(A26,'Revitalisation-Revitalisierung'!$A$4:$Z$275,20,FALSE))</f>
        <v>c</v>
      </c>
      <c r="BR26" s="759" t="str">
        <f>IF(VLOOKUP(A26,'Revitalisation-Revitalisierung'!$A$4:$Z$275,21,FALSE)="","",VLOOKUP(A26,'Revitalisation-Revitalisierung'!$A$4:$Z$275,21,FALSE))</f>
        <v/>
      </c>
      <c r="BS26" s="762" t="str">
        <f>IF(VLOOKUP(A26,'Revitalisation-Revitalisierung'!$A$4:$Z$275,22,FALSE)="","",VLOOKUP(A26,'Revitalisation-Revitalisierung'!$A$4:$Z$275,22,FALSE))</f>
        <v/>
      </c>
      <c r="BT26" s="703" t="str">
        <f>IF(VLOOKUP(A26,'Revitalisation-Revitalisierung'!$A$4:$Z$275,23,FALSE)="","",VLOOKUP(A26,'Revitalisation-Revitalisierung'!$A$4:$Z$275,23,FALSE))</f>
        <v/>
      </c>
      <c r="BU26" s="699" t="str">
        <f>IF(VLOOKUP(A26,'Revitalisation-Revitalisierung'!$A$4:$Z$275,24,FALSE)="","",VLOOKUP(A26,'Revitalisation-Revitalisierung'!$A$4:$Z$275,24,FALSE))</f>
        <v/>
      </c>
      <c r="BV26" s="761" t="str">
        <f>IF(VLOOKUP(A26,'Revitalisation-Revitalisierung'!$A$4:$Z$275,25,FALSE)="","",VLOOKUP(A26,'Revitalisation-Revitalisierung'!$A$4:$Z$275,25,FALSE))</f>
        <v>Partiellement nécessaire, facile / teilweise nötig, einfach</v>
      </c>
      <c r="BW26" s="871" t="str">
        <f>IF(VLOOKUP(A26,'Revitalisation-Revitalisierung'!$A$4:$AA$275,27,FALSE)="","",VLOOKUP(A26,'Revitalisation-Revitalisierung'!$A$4:$AA$275,27,FALSE))</f>
        <v>a</v>
      </c>
    </row>
    <row r="27" spans="1:75" ht="75.599999999999994" customHeight="1" x14ac:dyDescent="0.25">
      <c r="A27" s="935">
        <v>34</v>
      </c>
      <c r="B27" s="856">
        <f>IF(VLOOKUP(A27,'Données de base - Grunddaten'!$A$2:$M$297,2,FALSE)="","",VLOOKUP(A27,'Données de base - Grunddaten'!$A$2:$M$297,2,FALSE))</f>
        <v>1</v>
      </c>
      <c r="C27" s="857" t="str">
        <f>IF(VLOOKUP(A27,'Données de base - Grunddaten'!$A$2:$M$297,3,FALSE)="","",VLOOKUP(A27,'Données de base - Grunddaten'!$A$2:$M$297,3,FALSE))</f>
        <v>Gravas</v>
      </c>
      <c r="D27" s="857" t="str">
        <f>IF(VLOOKUP(A27,'Données de base - Grunddaten'!$A$2:$M$297,4,FALSE)="","",VLOOKUP(A27,'Données de base - Grunddaten'!$A$2:$M$297,4,FALSE))</f>
        <v>Vorderrhein</v>
      </c>
      <c r="E27" s="857" t="str">
        <f>IF(VLOOKUP(A27,'Données de base - Grunddaten'!$A$2:$M$297,5,FALSE)="","",VLOOKUP(A27,'Données de base - Grunddaten'!$A$2:$M$297,5,FALSE))</f>
        <v>GR</v>
      </c>
      <c r="F27" s="857" t="str">
        <f>IF(VLOOKUP(A27,'Données de base - Grunddaten'!$A$2:$M$297,6,FALSE)="","",VLOOKUP(A27,'Données de base - Grunddaten'!$A$2:$M$297,6,FALSE))</f>
        <v>Alpes centrales orientales</v>
      </c>
      <c r="G27" s="857" t="str">
        <f>IF(VLOOKUP(A27,'Données de base - Grunddaten'!$A$2:$M$297,7,FALSE)="","",VLOOKUP(A27,'Données de base - Grunddaten'!$A$2:$M$297,7,FALSE))</f>
        <v>Subalpin inf.</v>
      </c>
      <c r="H27" s="857">
        <f>IF(VLOOKUP(A27,'Données de base - Grunddaten'!$A$2:$M$297,8,FALSE)="","",VLOOKUP(A27,'Données de base - Grunddaten'!$A$2:$M$297,8,FALSE))</f>
        <v>1250</v>
      </c>
      <c r="I27" s="857">
        <f>IF(VLOOKUP(A27,'Données de base - Grunddaten'!$A$2:$M$297,9,FALSE)="","",VLOOKUP(A27,'Données de base - Grunddaten'!$A$2:$M$297,9,FALSE))</f>
        <v>1992</v>
      </c>
      <c r="J27" s="857">
        <f>IF(VLOOKUP(A27,'Données de base - Grunddaten'!$A$2:$M$297,10,FALSE)="","",VLOOKUP(A27,'Données de base - Grunddaten'!$A$2:$M$297,10,FALSE))</f>
        <v>41</v>
      </c>
      <c r="K27" s="857" t="str">
        <f>IF(VLOOKUP(A27,'Données de base - Grunddaten'!$A$2:$M$297,11,FALSE)="","",VLOOKUP(A27,'Données de base - Grunddaten'!$A$2:$M$297,11,FALSE))</f>
        <v>Cours d'eau naturels de l'étage montagnard</v>
      </c>
      <c r="L27" s="857" t="str">
        <f>IF(VLOOKUP(A27,'Données de base - Grunddaten'!$A$2:$M$297,12,FALSE)="","",VLOOKUP(A27,'Données de base - Grunddaten'!$A$2:$M$297,12,FALSE))</f>
        <v>en tresses</v>
      </c>
      <c r="M27" s="858" t="str">
        <f>IF(VLOOKUP(A27,'Données de base - Grunddaten'!$A$2:$M$297,13,FALSE)="","",VLOOKUP(A27,'Données de base - Grunddaten'!$A$2:$M$297,13,FALSE))</f>
        <v>en tresses</v>
      </c>
      <c r="N27" s="872" t="str">
        <f>IF(VLOOKUP(A27,'Charriage - Geschiebehaushalt'!$A$4:$R$275,5,FALSE)="","",VLOOKUP(A27,'Charriage - Geschiebehaushalt'!$A$4:$R$275,5,FALSE))</f>
        <v>pertinent</v>
      </c>
      <c r="O27" s="873" t="str">
        <f>IF(VLOOKUP(A27,'Charriage - Geschiebehaushalt'!$A$4:$R$275,6,FALSE)="","",VLOOKUP(A27,'Charriage - Geschiebehaushalt'!$A$4:$R$275,6,FALSE))</f>
        <v>21-50%</v>
      </c>
      <c r="P27" s="874" t="str">
        <f>IF(VLOOKUP(A27,'Charriage - Geschiebehaushalt'!$A$4:$R$275,7,FALSE)="","",VLOOKUP(A27,'Charriage - Geschiebehaushalt'!$A$4:$R$275,7,FALSE))</f>
        <v/>
      </c>
      <c r="Q27" s="874" t="str">
        <f>IF(VLOOKUP(A27,'Charriage - Geschiebehaushalt'!$A$4:$R$275,8,FALSE)="","",VLOOKUP(A27,'Charriage - Geschiebehaushalt'!$A$4:$R$275,8,FALSE))</f>
        <v>non documenté</v>
      </c>
      <c r="R27" s="875">
        <f>IF(VLOOKUP(A27,'Charriage - Geschiebehaushalt'!$A$4:$R$275,9,FALSE)="","",VLOOKUP(A27,'Charriage - Geschiebehaushalt'!$A$4:$R$275,9,FALSE))</f>
        <v>4.6441303536508501E-2</v>
      </c>
      <c r="S27" s="876" t="str">
        <f>IF(VLOOKUP(A27,'Charriage - Geschiebehaushalt'!$A$4:$R$275,10,FALSE)="","",VLOOKUP(A27,'Charriage - Geschiebehaushalt'!$A$4:$R$275,10,FALSE))</f>
        <v>pas ou faiblement entravé</v>
      </c>
      <c r="T27" s="875">
        <f>IF(VLOOKUP(A27,'Charriage - Geschiebehaushalt'!$A$4:$R$275,11,FALSE)="","",VLOOKUP(A27,'Charriage - Geschiebehaushalt'!$A$4:$R$275,11,FALSE))</f>
        <v>0.65433831493000005</v>
      </c>
      <c r="U27" s="876" t="str">
        <f>IF(VLOOKUP(A27,'Charriage - Geschiebehaushalt'!$A$4:$R$275,12,FALSE)="","",VLOOKUP(A27,'Charriage - Geschiebehaushalt'!$A$4:$R$275,12,FALSE))</f>
        <v>déficit non apparent en charriage ou en remobilisation des sédiments</v>
      </c>
      <c r="V27" s="877" t="str">
        <f>IF(VLOOKUP(A27,'Charriage - Geschiebehaushalt'!$A$4:$R$275,13,FALSE)="","",VLOOKUP(A27,'Charriage - Geschiebehaushalt'!$A$4:$R$275,13,FALSE))</f>
        <v/>
      </c>
      <c r="W27" s="877" t="str">
        <f>IF(VLOOKUP(A27,'Charriage - Geschiebehaushalt'!$A$4:$R$275,14,FALSE)="","",VLOOKUP(A27,'Charriage - Geschiebehaushalt'!$A$4:$R$275,14,FALSE))</f>
        <v/>
      </c>
      <c r="X27" s="877" t="str">
        <f>IF(VLOOKUP(A27,'Charriage - Geschiebehaushalt'!$A$4:$R$275,15,FALSE)="","",VLOOKUP(A27,'Charriage - Geschiebehaushalt'!$A$4:$R$275,15,FALSE))</f>
        <v/>
      </c>
      <c r="Y27" s="879" t="str">
        <f>IF(VLOOKUP(A27,'Charriage - Geschiebehaushalt'!$A$4:$R$275,16,FALSE)="","",VLOOKUP(A27,'Charriage - Geschiebehaushalt'!$A$4:$R$275,16,FALSE))</f>
        <v/>
      </c>
      <c r="Z27" s="763" t="str">
        <f>IF(VLOOKUP(A27,'Charriage - Geschiebehaushalt'!$A$4:$R$275,17,FALSE)="","",VLOOKUP(A27,'Charriage - Geschiebehaushalt'!$A$4:$R$275,17,FALSE))</f>
        <v>21-50%</v>
      </c>
      <c r="AA27" s="880" t="str">
        <f>IF(VLOOKUP(A27,'Charriage - Geschiebehaushalt'!$A$4:$R$275,18,FALSE)="","",VLOOKUP(A27,'Charriage - Geschiebehaushalt'!$A$4:$R$275,18,FALSE))</f>
        <v>a</v>
      </c>
      <c r="AB27" s="737" t="str">
        <f>IF(VLOOKUP(A27,'Charriage - Geschiebehaushalt'!$A$4:$AC$275,19,FALSE)="","",VLOOKUP(A27,'Charriage - Geschiebehaushalt'!$A$4:$AC$275,19,FALSE))</f>
        <v>vernachlässigbar</v>
      </c>
      <c r="AC27" s="738">
        <f>IF(VLOOKUP(A27,'Charriage - Geschiebehaushalt'!$A$4:$AC$275,20,FALSE)="","",VLOOKUP(A27,'Charriage - Geschiebehaushalt'!$A$4:$AC$275,20,FALSE))</f>
        <v>0</v>
      </c>
      <c r="AD27" s="764" t="str">
        <f>IF(VLOOKUP(A27,'Charriage - Geschiebehaushalt'!$A$4:$AC$275,21,FALSE)="","",VLOOKUP(A27,'Charriage - Geschiebehaushalt'!$A$4:$AC$275,21,FALSE))</f>
        <v>21-50%</v>
      </c>
      <c r="AE27" s="740" t="str">
        <f>IF(VLOOKUP(A27,'Charriage - Geschiebehaushalt'!$A$4:$AC$275,22,FALSE)="","",VLOOKUP(A27,'Charriage - Geschiebehaushalt'!$A$4:$AC$275,22,FALSE))</f>
        <v>21-50%</v>
      </c>
      <c r="AF27" s="787" t="str">
        <f>IF(VLOOKUP(A27,'Charriage - Geschiebehaushalt'!$A$4:$AC$275,23,FALSE)="","",VLOOKUP(A27,'Charriage - Geschiebehaushalt'!$A$4:$AC$275,23,FALSE))</f>
        <v>d</v>
      </c>
      <c r="AG27" s="765" t="str">
        <f>IF(VLOOKUP(A27,'Charriage - Geschiebehaushalt'!$A$4:$AC$275,24,FALSE)="","",VLOOKUP(A27,'Charriage - Geschiebehaushalt'!$A$4:$AC$275,24,FALSE))</f>
        <v/>
      </c>
      <c r="AH27" s="764" t="str">
        <f>IF(VLOOKUP(A27,'Charriage - Geschiebehaushalt'!$A$4:$AC$275,25,FALSE)="","",VLOOKUP(A27,'Charriage - Geschiebehaushalt'!$A$4:$AC$275,25,FALSE))</f>
        <v/>
      </c>
      <c r="AI27" s="435" t="str">
        <f>IF(VLOOKUP(A27,'Charriage - Geschiebehaushalt'!$A$4:$AC$275,26,FALSE)="","",VLOOKUP(A27,'Charriage - Geschiebehaushalt'!$A$4:$AC$275,26,FALSE))</f>
        <v/>
      </c>
      <c r="AJ27" s="436" t="str">
        <f>IF(VLOOKUP(A27,'Charriage - Geschiebehaushalt'!$A$4:$AC$275,27,FALSE)="","",VLOOKUP(A27,'Charriage - Geschiebehaushalt'!$A$4:$AC$275,27,FALSE))</f>
        <v/>
      </c>
      <c r="AK27" s="801" t="str">
        <f>IF(VLOOKUP(A27,'Charriage - Geschiebehaushalt'!$A$4:$AC$275,28,FALSE)="","",VLOOKUP(A27,'Charriage - Geschiebehaushalt'!$A$4:$AC$275,28,FALSE))</f>
        <v>21-50%</v>
      </c>
      <c r="AL27" s="1285" t="str">
        <f>IF(VLOOKUP(A27,'Charriage - Geschiebehaushalt'!$A$4:$AD$275,30,FALSE)="","",VLOOKUP(A27,'Charriage - Geschiebehaushalt'!$A$4:$AD$275,30,FALSE))</f>
        <v>a</v>
      </c>
      <c r="AM27" s="1279" t="str">
        <f>IF(VLOOKUP(A27,'Débit - Abfluss'!$A$4:$K$275,5,FALSE)="","",VLOOKUP(A27,'Débit - Abfluss'!$A$4:$M$275,5,FALSE))</f>
        <v>0-20%</v>
      </c>
      <c r="AN27" s="868" t="str">
        <f>IF(VLOOKUP(A27,'Débit - Abfluss'!$A$4:$K$275,6,FALSE)="","",VLOOKUP(A27,'Débit - Abfluss'!$A$4:$M$275,6,FALSE))</f>
        <v/>
      </c>
      <c r="AO27" s="889" t="str">
        <f>IF(VLOOKUP(A27,'Débit - Abfluss'!$A$4:$K$275,7,FALSE)="","",VLOOKUP(A27,'Débit - Abfluss'!$A$4:$M$275,7,FALSE))</f>
        <v/>
      </c>
      <c r="AP27" s="766" t="str">
        <f>IF(VLOOKUP(A27,'Débit - Abfluss'!$A$4:$K$275,8,FALSE)="","",VLOOKUP(A27,'Débit - Abfluss'!$A$4:$M$275,8,FALSE))</f>
        <v>0-20%</v>
      </c>
      <c r="AQ27" s="678" t="str">
        <f>IF(VLOOKUP(A27,'Débit - Abfluss'!$A$4:$K$275,9,FALSE)="","",VLOOKUP(A27,'Débit - Abfluss'!$A$4:$M$275,9,FALSE))</f>
        <v>Fehlende Angaben</v>
      </c>
      <c r="AR27" s="767" t="str">
        <f>IF(VLOOKUP(A27,'Débit - Abfluss'!$A$4:$K$275,10,FALSE)="","",VLOOKUP(A27,'Débit - Abfluss'!$A$4:$M$275,10,FALSE))</f>
        <v>0-20%</v>
      </c>
      <c r="AS27" s="767" t="str">
        <f>IF(VLOOKUP(A27,'Débit - Abfluss'!$A$4:$K$275,11,FALSE)="","",VLOOKUP(A27,'Débit - Abfluss'!$A$4:$M$275,11,FALSE))</f>
        <v/>
      </c>
      <c r="AT27" s="778" t="str">
        <f>IF(VLOOKUP(A27,'Débit - Abfluss'!$A$4:$Q$275,12,FALSE)="","",VLOOKUP(A27,'Débit - Abfluss'!$A$4:$Q$275,12,FALSE))</f>
        <v/>
      </c>
      <c r="AU27" s="779" t="str">
        <f>IF(VLOOKUP(A27,'Débit - Abfluss'!$A$4:$Q$275,13,FALSE)="","",VLOOKUP(A27,'Débit - Abfluss'!$A$4:$Q$275,13,FALSE))</f>
        <v/>
      </c>
      <c r="AV27" s="746" t="str">
        <f>IF(VLOOKUP(A27,'Débit - Abfluss'!$A$4:$Q$275,14,FALSE)="","",VLOOKUP(A27,'Débit - Abfluss'!$A$4:$Q$275,14,FALSE))</f>
        <v>GR-KVR2-1</v>
      </c>
      <c r="AW27" s="768" t="str">
        <f>IF(VLOOKUP(A27,'Débit - Abfluss'!$A$4:$Q$275,15,FALSE)="","",VLOOKUP(A27,'Débit - Abfluss'!$A$4:$Q$275,15,FALSE))</f>
        <v>Sedrun, Laufwerk</v>
      </c>
      <c r="AX27" s="679" t="str">
        <f>IF(VLOOKUP(A27,'Débit - Abfluss'!$A$4:$Q$275,16,FALSE)="","",VLOOKUP(A27,'Débit - Abfluss'!$A$4:$Q$275,16,FALSE))</f>
        <v/>
      </c>
      <c r="AY27" s="769" t="str">
        <f>IF(VLOOKUP(A27,'Débit - Abfluss'!$A$4:$Q$275,17,FALSE)="","",VLOOKUP(A27,'Débit - Abfluss'!$A$4:$Q$275,17,FALSE))</f>
        <v>0-20%</v>
      </c>
      <c r="AZ27" s="749" t="str">
        <f>IF(VLOOKUP(A27,'Eclusée - Schwall-Sunk'!$A$2:$F$273,5,FALSE)="","",VLOOKUP(A27,'Eclusée - Schwall-Sunk'!$A$2:$F$273,5,FALSE))</f>
        <v>force hydraulique</v>
      </c>
      <c r="BA27" s="750" t="str">
        <f>IF(VLOOKUP(A27,'Eclusée - Schwall-Sunk'!$A$2:$F$273,6,FALSE)="","",VLOOKUP(A27,'Eclusée - Schwall-Sunk'!$A$2:$F$273,6,FALSE))</f>
        <v>Non affecté / nicht betroffen</v>
      </c>
      <c r="BB27" s="751">
        <f>IF(VLOOKUP(A27,'Revitalisation-Revitalisierung'!$A$4:$Z$275,5,FALSE)="","",VLOOKUP(A27,'Revitalisation-Revitalisierung'!$A$4:$Z$275,5,FALSE))</f>
        <v>-13.181818181818182</v>
      </c>
      <c r="BC27" s="752">
        <f>IF(VLOOKUP(A27,'Revitalisation-Revitalisierung'!$A$4:$Z$275,6,FALSE)="","",VLOOKUP(A27,'Revitalisation-Revitalisierung'!$A$4:$Z$275,6,FALSE))</f>
        <v>0</v>
      </c>
      <c r="BD27" s="752">
        <f>IF(VLOOKUP(A27,'Revitalisation-Revitalisierung'!$A$4:$Z$275,7,FALSE)="","",VLOOKUP(A27,'Revitalisation-Revitalisierung'!$A$4:$Z$275,7,FALSE))</f>
        <v>13.181818181818182</v>
      </c>
      <c r="BE27" s="753" t="str">
        <f>IF(VLOOKUP(A27,'Revitalisation-Revitalisierung'!$A$4:$Z$275,8,FALSE)="","",VLOOKUP(A27,'Revitalisation-Revitalisierung'!$A$4:$Z$275,8,FALSE))</f>
        <v>non nécessaire</v>
      </c>
      <c r="BF27" s="754" t="str">
        <f>IF(VLOOKUP(A27,'Revitalisation-Revitalisierung'!$A$4:$Z$275,9,FALSE)="","",VLOOKUP(A27,'Revitalisation-Revitalisierung'!$A$4:$Z$275,9,FALSE))</f>
        <v/>
      </c>
      <c r="BG27" s="754" t="str">
        <f>IF(VLOOKUP(A27,'Revitalisation-Revitalisierung'!$A$4:$Z$275,10,FALSE)="","",VLOOKUP(A27,'Revitalisation-Revitalisierung'!$A$4:$Z$275,10,FALSE))</f>
        <v>K1</v>
      </c>
      <c r="BH27" s="755" t="str">
        <f>IF(VLOOKUP(A27,'Revitalisation-Revitalisierung'!$A$4:$Z$275,11,FALSE)="","",VLOOKUP(A27,'Revitalisation-Revitalisierung'!$A$4:$Z$275,11,FALSE))</f>
        <v/>
      </c>
      <c r="BI27" s="756" t="str">
        <f>IF(VLOOKUP(A27,'Revitalisation-Revitalisierung'!$A$4:$Z$275,12,FALSE)="","",VLOOKUP(A27,'Revitalisation-Revitalisierung'!$A$4:$Z$275,12,FALSE))</f>
        <v/>
      </c>
      <c r="BJ27" s="757" t="str">
        <f>IF(VLOOKUP(A27,'Revitalisation-Revitalisierung'!$A$4:$Z$275,13,FALSE)="","",VLOOKUP(A27,'Revitalisation-Revitalisierung'!$A$4:$Z$275,13,FALSE))</f>
        <v>Non nécessaire / nicht nötig</v>
      </c>
      <c r="BK27" s="870" t="str">
        <f>IF(VLOOKUP(A27,'Revitalisation-Revitalisierung'!$A$4:$Z$275,14,FALSE)="","",VLOOKUP(A27,'Revitalisation-Revitalisierung'!$A$4:$Z$275,14,FALSE))</f>
        <v>a</v>
      </c>
      <c r="BL27" s="758" t="str">
        <f>IF(VLOOKUP(A27,'Revitalisation-Revitalisierung'!$A$4:$Z$275,15,FALSE)="","",VLOOKUP(A27,'Revitalisation-Revitalisierung'!$A$4:$Z$275,15,FALSE))</f>
        <v>gross</v>
      </c>
      <c r="BM27" s="759" t="str">
        <f>IF(VLOOKUP(A27,'Revitalisation-Revitalisierung'!$A$4:$Z$275,16,FALSE)="","",VLOOKUP(A27,'Revitalisation-Revitalisierung'!$A$4:$Z$275,16,FALSE))</f>
        <v>kein/nicht best.</v>
      </c>
      <c r="BN27" s="759" t="str">
        <f>IF(VLOOKUP(A27,'Revitalisation-Revitalisierung'!$A$4:$Z$275,17,FALSE)="","",VLOOKUP(A27,'Revitalisation-Revitalisierung'!$A$4:$Z$275,17,FALSE))</f>
        <v>gering</v>
      </c>
      <c r="BO27" s="760" t="str">
        <f>IF(VLOOKUP(A27,'Revitalisation-Revitalisierung'!$A$4:$Z$275,18,FALSE)="","",VLOOKUP(A27,'Revitalisation-Revitalisierung'!$A$4:$Z$275,18,FALSE))</f>
        <v>Non nécessaire / nicht nötig</v>
      </c>
      <c r="BP27" s="761" t="str">
        <f>IF(VLOOKUP(A27,'Revitalisation-Revitalisierung'!$A$4:$Z$275,19,FALSE)="","",VLOOKUP(A27,'Revitalisation-Revitalisierung'!$A$4:$Z$275,19,FALSE))</f>
        <v>Non nécessaire / nicht nötig</v>
      </c>
      <c r="BQ27" s="759" t="str">
        <f>IF(VLOOKUP(A27,'Revitalisation-Revitalisierung'!$A$4:$Z$275,20,FALSE)="","",VLOOKUP(A27,'Revitalisation-Revitalisierung'!$A$4:$Z$275,20,FALSE))</f>
        <v>d</v>
      </c>
      <c r="BR27" s="759" t="str">
        <f>IF(VLOOKUP(A27,'Revitalisation-Revitalisierung'!$A$4:$Z$275,21,FALSE)="","",VLOOKUP(A27,'Revitalisation-Revitalisierung'!$A$4:$Z$275,21,FALSE))</f>
        <v/>
      </c>
      <c r="BS27" s="762" t="str">
        <f>IF(VLOOKUP(A27,'Revitalisation-Revitalisierung'!$A$4:$Z$275,22,FALSE)="","",VLOOKUP(A27,'Revitalisation-Revitalisierung'!$A$4:$Z$275,22,FALSE))</f>
        <v/>
      </c>
      <c r="BT27" s="703" t="str">
        <f>IF(VLOOKUP(A27,'Revitalisation-Revitalisierung'!$A$4:$Z$275,23,FALSE)="","",VLOOKUP(A27,'Revitalisation-Revitalisierung'!$A$4:$Z$275,23,FALSE))</f>
        <v/>
      </c>
      <c r="BU27" s="699" t="str">
        <f>IF(VLOOKUP(A27,'Revitalisation-Revitalisierung'!$A$4:$Z$275,24,FALSE)="","",VLOOKUP(A27,'Revitalisation-Revitalisierung'!$A$4:$Z$275,24,FALSE))</f>
        <v/>
      </c>
      <c r="BV27" s="761" t="str">
        <f>IF(VLOOKUP(A27,'Revitalisation-Revitalisierung'!$A$4:$Z$275,25,FALSE)="","",VLOOKUP(A27,'Revitalisation-Revitalisierung'!$A$4:$Z$275,25,FALSE))</f>
        <v>Non nécessaire / nicht nötig</v>
      </c>
      <c r="BW27" s="871" t="str">
        <f>IF(VLOOKUP(A27,'Revitalisation-Revitalisierung'!$A$4:$AA$275,27,FALSE)="","",VLOOKUP(A27,'Revitalisation-Revitalisierung'!$A$4:$AA$275,27,FALSE))</f>
        <v>a</v>
      </c>
    </row>
    <row r="28" spans="1:75" ht="139.9" customHeight="1" x14ac:dyDescent="0.25">
      <c r="A28" s="935">
        <v>35</v>
      </c>
      <c r="B28" s="856">
        <f>IF(VLOOKUP(A28,'Données de base - Grunddaten'!$A$2:$M$297,2,FALSE)="","",VLOOKUP(A28,'Données de base - Grunddaten'!$A$2:$M$297,2,FALSE))</f>
        <v>1</v>
      </c>
      <c r="C28" s="857" t="str">
        <f>IF(VLOOKUP(A28,'Données de base - Grunddaten'!$A$2:$M$297,3,FALSE)="","",VLOOKUP(A28,'Données de base - Grunddaten'!$A$2:$M$297,3,FALSE))</f>
        <v>Ogna da Pardiala</v>
      </c>
      <c r="D28" s="857" t="str">
        <f>IF(VLOOKUP(A28,'Données de base - Grunddaten'!$A$2:$M$297,4,FALSE)="","",VLOOKUP(A28,'Données de base - Grunddaten'!$A$2:$M$297,4,FALSE))</f>
        <v>Vorderrhein</v>
      </c>
      <c r="E28" s="857" t="str">
        <f>IF(VLOOKUP(A28,'Données de base - Grunddaten'!$A$2:$M$297,5,FALSE)="","",VLOOKUP(A28,'Données de base - Grunddaten'!$A$2:$M$297,5,FALSE))</f>
        <v>GR</v>
      </c>
      <c r="F28" s="857" t="str">
        <f>IF(VLOOKUP(A28,'Données de base - Grunddaten'!$A$2:$M$297,6,FALSE)="","",VLOOKUP(A28,'Données de base - Grunddaten'!$A$2:$M$297,6,FALSE))</f>
        <v>Alpes centrales orientales</v>
      </c>
      <c r="G28" s="857" t="str">
        <f>IF(VLOOKUP(A28,'Données de base - Grunddaten'!$A$2:$M$297,7,FALSE)="","",VLOOKUP(A28,'Données de base - Grunddaten'!$A$2:$M$297,7,FALSE))</f>
        <v>Montagnard inf.</v>
      </c>
      <c r="H28" s="857">
        <f>IF(VLOOKUP(A28,'Données de base - Grunddaten'!$A$2:$M$297,8,FALSE)="","",VLOOKUP(A28,'Données de base - Grunddaten'!$A$2:$M$297,8,FALSE))</f>
        <v>750</v>
      </c>
      <c r="I28" s="857">
        <f>IF(VLOOKUP(A28,'Données de base - Grunddaten'!$A$2:$M$297,9,FALSE)="","",VLOOKUP(A28,'Données de base - Grunddaten'!$A$2:$M$297,9,FALSE))</f>
        <v>1992</v>
      </c>
      <c r="J28" s="857">
        <f>IF(VLOOKUP(A28,'Données de base - Grunddaten'!$A$2:$M$297,10,FALSE)="","",VLOOKUP(A28,'Données de base - Grunddaten'!$A$2:$M$297,10,FALSE))</f>
        <v>42</v>
      </c>
      <c r="K28" s="857" t="str">
        <f>IF(VLOOKUP(A28,'Données de base - Grunddaten'!$A$2:$M$297,11,FALSE)="","",VLOOKUP(A28,'Données de base - Grunddaten'!$A$2:$M$297,11,FALSE))</f>
        <v>Cours d'eau corrigés de l'étage montagnard</v>
      </c>
      <c r="L28" s="857" t="str">
        <f>IF(VLOOKUP(A28,'Données de base - Grunddaten'!$A$2:$M$297,12,FALSE)="","",VLOOKUP(A28,'Données de base - Grunddaten'!$A$2:$M$297,12,FALSE))</f>
        <v>en tresses</v>
      </c>
      <c r="M28" s="858" t="str">
        <f>IF(VLOOKUP(A28,'Données de base - Grunddaten'!$A$2:$M$297,13,FALSE)="","",VLOOKUP(A28,'Données de base - Grunddaten'!$A$2:$M$297,13,FALSE))</f>
        <v>cours rectiligne</v>
      </c>
      <c r="N28" s="872" t="str">
        <f>IF(VLOOKUP(A28,'Charriage - Geschiebehaushalt'!$A$4:$R$275,5,FALSE)="","",VLOOKUP(A28,'Charriage - Geschiebehaushalt'!$A$4:$R$275,5,FALSE))</f>
        <v>pertinent</v>
      </c>
      <c r="O28" s="873" t="str">
        <f>IF(VLOOKUP(A28,'Charriage - Geschiebehaushalt'!$A$4:$R$275,6,FALSE)="","",VLOOKUP(A28,'Charriage - Geschiebehaushalt'!$A$4:$R$275,6,FALSE))</f>
        <v>21-50%</v>
      </c>
      <c r="P28" s="874">
        <f>IF(VLOOKUP(A28,'Charriage - Geschiebehaushalt'!$A$4:$R$275,7,FALSE)="","",VLOOKUP(A28,'Charriage - Geschiebehaushalt'!$A$4:$R$275,7,FALSE))</f>
        <v>-2.3580359996111899</v>
      </c>
      <c r="Q28" s="874" t="str">
        <f>IF(VLOOKUP(A28,'Charriage - Geschiebehaushalt'!$A$4:$R$275,8,FALSE)="","",VLOOKUP(A28,'Charriage - Geschiebehaushalt'!$A$4:$R$275,8,FALSE))</f>
        <v>problème lié à un manque de charriage ou à un manque de remobilisation des sédiments</v>
      </c>
      <c r="R28" s="875">
        <f>IF(VLOOKUP(A28,'Charriage - Geschiebehaushalt'!$A$4:$R$275,9,FALSE)="","",VLOOKUP(A28,'Charriage - Geschiebehaushalt'!$A$4:$R$275,9,FALSE))</f>
        <v>0.40753604198434101</v>
      </c>
      <c r="S28" s="876" t="str">
        <f>IF(VLOOKUP(A28,'Charriage - Geschiebehaushalt'!$A$4:$R$275,10,FALSE)="","",VLOOKUP(A28,'Charriage - Geschiebehaushalt'!$A$4:$R$275,10,FALSE))</f>
        <v>la remobilisation des sédiments est perturbée</v>
      </c>
      <c r="T28" s="875">
        <f>IF(VLOOKUP(A28,'Charriage - Geschiebehaushalt'!$A$4:$R$275,11,FALSE)="","",VLOOKUP(A28,'Charriage - Geschiebehaushalt'!$A$4:$R$275,11,FALSE))</f>
        <v>0.38971160477</v>
      </c>
      <c r="U28" s="876" t="str">
        <f>IF(VLOOKUP(A28,'Charriage - Geschiebehaushalt'!$A$4:$R$275,12,FALSE)="","",VLOOKUP(A28,'Charriage - Geschiebehaushalt'!$A$4:$R$275,12,FALSE))</f>
        <v>déficit non apparent en charriage ou en remobilisation des sédiments</v>
      </c>
      <c r="V28" s="877" t="str">
        <f>IF(VLOOKUP(A28,'Charriage - Geschiebehaushalt'!$A$4:$R$275,13,FALSE)="","",VLOOKUP(A28,'Charriage - Geschiebehaushalt'!$A$4:$R$275,13,FALSE))</f>
        <v/>
      </c>
      <c r="W28" s="877" t="str">
        <f>IF(VLOOKUP(A28,'Charriage - Geschiebehaushalt'!$A$4:$R$275,14,FALSE)="","",VLOOKUP(A28,'Charriage - Geschiebehaushalt'!$A$4:$R$275,14,FALSE))</f>
        <v/>
      </c>
      <c r="X28" s="877" t="str">
        <f>IF(VLOOKUP(A28,'Charriage - Geschiebehaushalt'!$A$4:$R$275,15,FALSE)="","",VLOOKUP(A28,'Charriage - Geschiebehaushalt'!$A$4:$R$275,15,FALSE))</f>
        <v/>
      </c>
      <c r="Y28" s="879" t="str">
        <f>IF(VLOOKUP(A28,'Charriage - Geschiebehaushalt'!$A$4:$R$275,16,FALSE)="","",VLOOKUP(A28,'Charriage - Geschiebehaushalt'!$A$4:$R$275,16,FALSE))</f>
        <v/>
      </c>
      <c r="Z28" s="763" t="str">
        <f>IF(VLOOKUP(A28,'Charriage - Geschiebehaushalt'!$A$4:$R$275,17,FALSE)="","",VLOOKUP(A28,'Charriage - Geschiebehaushalt'!$A$4:$R$275,17,FALSE))</f>
        <v>21-50%</v>
      </c>
      <c r="AA28" s="880" t="str">
        <f>IF(VLOOKUP(A28,'Charriage - Geschiebehaushalt'!$A$4:$R$275,18,FALSE)="","",VLOOKUP(A28,'Charriage - Geschiebehaushalt'!$A$4:$R$275,18,FALSE))</f>
        <v>a</v>
      </c>
      <c r="AB28" s="737" t="str">
        <f>IF(VLOOKUP(A28,'Charriage - Geschiebehaushalt'!$A$4:$AC$275,19,FALSE)="","",VLOOKUP(A28,'Charriage - Geschiebehaushalt'!$A$4:$AC$275,19,FALSE))</f>
        <v>vernachlässigbar</v>
      </c>
      <c r="AC28" s="738">
        <f>IF(VLOOKUP(A28,'Charriage - Geschiebehaushalt'!$A$4:$AC$275,20,FALSE)="","",VLOOKUP(A28,'Charriage - Geschiebehaushalt'!$A$4:$AC$275,20,FALSE))</f>
        <v>0</v>
      </c>
      <c r="AD28" s="764" t="str">
        <f>IF(VLOOKUP(A28,'Charriage - Geschiebehaushalt'!$A$4:$AC$275,21,FALSE)="","",VLOOKUP(A28,'Charriage - Geschiebehaushalt'!$A$4:$AC$275,21,FALSE))</f>
        <v>21-50%</v>
      </c>
      <c r="AE28" s="740" t="str">
        <f>IF(VLOOKUP(A28,'Charriage - Geschiebehaushalt'!$A$4:$AC$275,22,FALSE)="","",VLOOKUP(A28,'Charriage - Geschiebehaushalt'!$A$4:$AC$275,22,FALSE))</f>
        <v>21-50%</v>
      </c>
      <c r="AF28" s="787" t="str">
        <f>IF(VLOOKUP(A28,'Charriage - Geschiebehaushalt'!$A$4:$AC$275,23,FALSE)="","",VLOOKUP(A28,'Charriage - Geschiebehaushalt'!$A$4:$AC$275,23,FALSE))</f>
        <v>d</v>
      </c>
      <c r="AG28" s="765" t="str">
        <f>IF(VLOOKUP(A28,'Charriage - Geschiebehaushalt'!$A$4:$AC$275,24,FALSE)="","",VLOOKUP(A28,'Charriage - Geschiebehaushalt'!$A$4:$AC$275,24,FALSE))</f>
        <v/>
      </c>
      <c r="AH28" s="764" t="str">
        <f>IF(VLOOKUP(A28,'Charriage - Geschiebehaushalt'!$A$4:$AC$275,25,FALSE)="","",VLOOKUP(A28,'Charriage - Geschiebehaushalt'!$A$4:$AC$275,25,FALSE))</f>
        <v/>
      </c>
      <c r="AI28" s="435" t="str">
        <f>IF(VLOOKUP(A28,'Charriage - Geschiebehaushalt'!$A$4:$AC$275,26,FALSE)="","",VLOOKUP(A28,'Charriage - Geschiebehaushalt'!$A$4:$AC$275,26,FALSE))</f>
        <v/>
      </c>
      <c r="AJ28" s="436" t="str">
        <f>IF(VLOOKUP(A28,'Charriage - Geschiebehaushalt'!$A$4:$AC$275,27,FALSE)="","",VLOOKUP(A28,'Charriage - Geschiebehaushalt'!$A$4:$AC$275,27,FALSE))</f>
        <v/>
      </c>
      <c r="AK28" s="801" t="str">
        <f>IF(VLOOKUP(A28,'Charriage - Geschiebehaushalt'!$A$4:$AC$275,28,FALSE)="","",VLOOKUP(A28,'Charriage - Geschiebehaushalt'!$A$4:$AC$275,28,FALSE))</f>
        <v>21-50%</v>
      </c>
      <c r="AL28" s="1285" t="str">
        <f>IF(VLOOKUP(A28,'Charriage - Geschiebehaushalt'!$A$4:$AD$275,30,FALSE)="","",VLOOKUP(A28,'Charriage - Geschiebehaushalt'!$A$4:$AD$275,30,FALSE))</f>
        <v>a</v>
      </c>
      <c r="AM28" s="1279" t="str">
        <f>IF(VLOOKUP(A28,'Débit - Abfluss'!$A$4:$K$275,5,FALSE)="","",VLOOKUP(A28,'Débit - Abfluss'!$A$4:$M$275,5,FALSE))</f>
        <v>21-40%</v>
      </c>
      <c r="AN28" s="885" t="str">
        <f>IF(VLOOKUP(A28,'Débit - Abfluss'!$A$4:$K$275,6,FALSE)="","",VLOOKUP(A28,'Débit - Abfluss'!$A$4:$M$275,6,FALSE))</f>
        <v/>
      </c>
      <c r="AO28" s="869" t="str">
        <f>IF(VLOOKUP(A28,'Débit - Abfluss'!$A$4:$K$275,7,FALSE)="","",VLOOKUP(A28,'Débit - Abfluss'!$A$4:$M$275,7,FALSE))</f>
        <v/>
      </c>
      <c r="AP28" s="766" t="str">
        <f>IF(VLOOKUP(A28,'Débit - Abfluss'!$A$4:$K$275,8,FALSE)="","",VLOOKUP(A28,'Débit - Abfluss'!$A$4:$M$275,8,FALSE))</f>
        <v>21-40%</v>
      </c>
      <c r="AQ28" s="678" t="str">
        <f>IF(VLOOKUP(A28,'Débit - Abfluss'!$A$4:$K$275,9,FALSE)="","",VLOOKUP(A28,'Débit - Abfluss'!$A$4:$M$275,9,FALSE))</f>
        <v>&gt;90%</v>
      </c>
      <c r="AR28" s="773" t="str">
        <f>IF(VLOOKUP(A28,'Débit - Abfluss'!$A$4:$K$275,10,FALSE)="","",VLOOKUP(A28,'Débit - Abfluss'!$A$4:$M$275,10,FALSE))</f>
        <v>21-40%</v>
      </c>
      <c r="AS28" s="773" t="str">
        <f>IF(VLOOKUP(A28,'Débit - Abfluss'!$A$4:$K$275,11,FALSE)="","",VLOOKUP(A28,'Débit - Abfluss'!$A$4:$M$275,11,FALSE))</f>
        <v>X</v>
      </c>
      <c r="AT28" s="778" t="str">
        <f>IF(VLOOKUP(A28,'Débit - Abfluss'!$A$4:$Q$275,12,FALSE)="","",VLOOKUP(A28,'Débit - Abfluss'!$A$4:$Q$275,12,FALSE))</f>
        <v/>
      </c>
      <c r="AU28" s="779" t="str">
        <f>IF(VLOOKUP(A28,'Débit - Abfluss'!$A$4:$Q$275,13,FALSE)="","",VLOOKUP(A28,'Débit - Abfluss'!$A$4:$Q$275,13,FALSE))</f>
        <v/>
      </c>
      <c r="AV28" s="746" t="str">
        <f>IF(VLOOKUP(A28,'Débit - Abfluss'!$A$4:$Q$275,14,FALSE)="","",VLOOKUP(A28,'Débit - Abfluss'!$A$4:$Q$275,14,FALSE))</f>
        <v>GR-KWI1-1</v>
      </c>
      <c r="AW28" s="768" t="str">
        <f>IF(VLOOKUP(A28,'Débit - Abfluss'!$A$4:$Q$275,15,FALSE)="","",VLOOKUP(A28,'Débit - Abfluss'!$A$4:$Q$275,15,FALSE))</f>
        <v>Ilanz I (Stufe Tavanasa)</v>
      </c>
      <c r="AX28" s="679" t="str">
        <f>IF(VLOOKUP(A28,'Débit - Abfluss'!$A$4:$Q$275,16,FALSE)="","",VLOOKUP(A28,'Débit - Abfluss'!$A$4:$Q$275,16,FALSE))</f>
        <v/>
      </c>
      <c r="AY28" s="780" t="str">
        <f>IF(VLOOKUP(A28,'Débit - Abfluss'!$A$4:$Q$275,17,FALSE)="","",VLOOKUP(A28,'Débit - Abfluss'!$A$4:$Q$275,17,FALSE))</f>
        <v>21-40%</v>
      </c>
      <c r="AZ28" s="749" t="str">
        <f>IF(VLOOKUP(A28,'Eclusée - Schwall-Sunk'!$A$2:$F$273,5,FALSE)="","",VLOOKUP(A28,'Eclusée - Schwall-Sunk'!$A$2:$F$273,5,FALSE))</f>
        <v>force hydraulique</v>
      </c>
      <c r="BA28" s="750" t="str">
        <f>IF(VLOOKUP(A28,'Eclusée - Schwall-Sunk'!$A$2:$F$273,6,FALSE)="","",VLOOKUP(A28,'Eclusée - Schwall-Sunk'!$A$2:$F$273,6,FALSE))</f>
        <v>Non affecté / nicht betroffen</v>
      </c>
      <c r="BB28" s="751">
        <f>IF(VLOOKUP(A28,'Revitalisation-Revitalisierung'!$A$4:$Z$275,5,FALSE)="","",VLOOKUP(A28,'Revitalisation-Revitalisierung'!$A$4:$Z$275,5,FALSE))</f>
        <v>-35.145454545454548</v>
      </c>
      <c r="BC28" s="752">
        <f>IF(VLOOKUP(A28,'Revitalisation-Revitalisierung'!$A$4:$Z$275,6,FALSE)="","",VLOOKUP(A28,'Revitalisation-Revitalisierung'!$A$4:$Z$275,6,FALSE))</f>
        <v>54.369993439708857</v>
      </c>
      <c r="BD28" s="752">
        <f>IF(VLOOKUP(A28,'Revitalisation-Revitalisierung'!$A$4:$Z$275,7,FALSE)="","",VLOOKUP(A28,'Revitalisation-Revitalisierung'!$A$4:$Z$275,7,FALSE))</f>
        <v>89.545454545454547</v>
      </c>
      <c r="BE28" s="753" t="str">
        <f>IF(VLOOKUP(A28,'Revitalisation-Revitalisierung'!$A$4:$Z$275,8,FALSE)="","",VLOOKUP(A28,'Revitalisation-Revitalisierung'!$A$4:$Z$275,8,FALSE))</f>
        <v>très nécessaire, difficile</v>
      </c>
      <c r="BF28" s="754" t="str">
        <f>IF(VLOOKUP(A28,'Revitalisation-Revitalisierung'!$A$4:$Z$275,9,FALSE)="","",VLOOKUP(A28,'Revitalisation-Revitalisierung'!$A$4:$Z$275,9,FALSE))</f>
        <v/>
      </c>
      <c r="BG28" s="754" t="str">
        <f>IF(VLOOKUP(A28,'Revitalisation-Revitalisierung'!$A$4:$Z$275,10,FALSE)="","",VLOOKUP(A28,'Revitalisation-Revitalisierung'!$A$4:$Z$275,10,FALSE))</f>
        <v>K1</v>
      </c>
      <c r="BH28" s="755" t="str">
        <f>IF(VLOOKUP(A28,'Revitalisation-Revitalisierung'!$A$4:$Z$275,11,FALSE)="","",VLOOKUP(A28,'Revitalisation-Revitalisierung'!$A$4:$Z$275,11,FALSE))</f>
        <v/>
      </c>
      <c r="BI28" s="756" t="str">
        <f>IF(VLOOKUP(A28,'Revitalisation-Revitalisierung'!$A$4:$Z$275,12,FALSE)="","",VLOOKUP(A28,'Revitalisation-Revitalisierung'!$A$4:$Z$275,12,FALSE))</f>
        <v/>
      </c>
      <c r="BJ28" s="757" t="str">
        <f>IF(VLOOKUP(A28,'Revitalisation-Revitalisierung'!$A$4:$Z$275,13,FALSE)="","",VLOOKUP(A28,'Revitalisation-Revitalisierung'!$A$4:$Z$275,13,FALSE))</f>
        <v>Très nécessaire, difficile</v>
      </c>
      <c r="BK28" s="870" t="str">
        <f>IF(VLOOKUP(A28,'Revitalisation-Revitalisierung'!$A$4:$Z$275,14,FALSE)="","",VLOOKUP(A28,'Revitalisation-Revitalisierung'!$A$4:$Z$275,14,FALSE))</f>
        <v>a</v>
      </c>
      <c r="BL28" s="758" t="str">
        <f>IF(VLOOKUP(A28,'Revitalisation-Revitalisierung'!$A$4:$Z$275,15,FALSE)="","",VLOOKUP(A28,'Revitalisation-Revitalisierung'!$A$4:$Z$275,15,FALSE))</f>
        <v>gross</v>
      </c>
      <c r="BM28" s="759" t="str">
        <f>IF(VLOOKUP(A28,'Revitalisation-Revitalisierung'!$A$4:$Z$275,16,FALSE)="","",VLOOKUP(A28,'Revitalisation-Revitalisierung'!$A$4:$Z$275,16,FALSE))</f>
        <v xml:space="preserve">gross/mittel/ - </v>
      </c>
      <c r="BN28" s="759" t="str">
        <f>IF(VLOOKUP(A28,'Revitalisation-Revitalisierung'!$A$4:$Z$275,17,FALSE)="","",VLOOKUP(A28,'Revitalisation-Revitalisierung'!$A$4:$Z$275,17,FALSE))</f>
        <v>hoch/gering</v>
      </c>
      <c r="BO28" s="760" t="str">
        <f>IF(VLOOKUP(A28,'Revitalisation-Revitalisierung'!$A$4:$Z$275,18,FALSE)="","",VLOOKUP(A28,'Revitalisation-Revitalisierung'!$A$4:$Z$275,18,FALSE))</f>
        <v>Très nécessaire, difficile</v>
      </c>
      <c r="BP28" s="761" t="str">
        <f>IF(VLOOKUP(A28,'Revitalisation-Revitalisierung'!$A$4:$Z$275,19,FALSE)="","",VLOOKUP(A28,'Revitalisation-Revitalisierung'!$A$4:$Z$275,19,FALSE))</f>
        <v>Très nécessaire, difficile</v>
      </c>
      <c r="BQ28" s="759" t="str">
        <f>IF(VLOOKUP(A28,'Revitalisation-Revitalisierung'!$A$4:$Z$275,20,FALSE)="","",VLOOKUP(A28,'Revitalisation-Revitalisierung'!$A$4:$Z$275,20,FALSE))</f>
        <v>d</v>
      </c>
      <c r="BR28" s="759" t="str">
        <f>IF(VLOOKUP(A28,'Revitalisation-Revitalisierung'!$A$4:$Z$275,21,FALSE)="","",VLOOKUP(A28,'Revitalisation-Revitalisierung'!$A$4:$Z$275,21,FALSE))</f>
        <v/>
      </c>
      <c r="BS28" s="762" t="str">
        <f>IF(VLOOKUP(A28,'Revitalisation-Revitalisierung'!$A$4:$Z$275,22,FALSE)="","",VLOOKUP(A28,'Revitalisation-Revitalisierung'!$A$4:$Z$275,22,FALSE))</f>
        <v/>
      </c>
      <c r="BT28" s="703" t="str">
        <f>IF(VLOOKUP(A28,'Revitalisation-Revitalisierung'!$A$4:$Z$275,23,FALSE)="","",VLOOKUP(A28,'Revitalisation-Revitalisierung'!$A$4:$Z$275,23,FALSE))</f>
        <v/>
      </c>
      <c r="BU28" s="699" t="str">
        <f>IF(VLOOKUP(A28,'Revitalisation-Revitalisierung'!$A$4:$Z$275,24,FALSE)="","",VLOOKUP(A28,'Revitalisation-Revitalisierung'!$A$4:$Z$275,24,FALSE))</f>
        <v/>
      </c>
      <c r="BV28" s="761" t="str">
        <f>IF(VLOOKUP(A28,'Revitalisation-Revitalisierung'!$A$4:$Z$275,25,FALSE)="","",VLOOKUP(A28,'Revitalisation-Revitalisierung'!$A$4:$Z$275,25,FALSE))</f>
        <v>Très nécessaire, difficile</v>
      </c>
      <c r="BW28" s="871" t="str">
        <f>IF(VLOOKUP(A28,'Revitalisation-Revitalisierung'!$A$4:$AA$275,27,FALSE)="","",VLOOKUP(A28,'Revitalisation-Revitalisierung'!$A$4:$AA$275,27,FALSE))</f>
        <v>a</v>
      </c>
    </row>
    <row r="29" spans="1:75" ht="85.15" customHeight="1" x14ac:dyDescent="0.25">
      <c r="A29" s="935">
        <v>36</v>
      </c>
      <c r="B29" s="856">
        <f>IF(VLOOKUP(A29,'Données de base - Grunddaten'!$A$2:$M$297,2,FALSE)="","",VLOOKUP(A29,'Données de base - Grunddaten'!$A$2:$M$297,2,FALSE))</f>
        <v>1</v>
      </c>
      <c r="C29" s="857" t="str">
        <f>IF(VLOOKUP(A29,'Données de base - Grunddaten'!$A$2:$M$297,3,FALSE)="","",VLOOKUP(A29,'Données de base - Grunddaten'!$A$2:$M$297,3,FALSE))</f>
        <v>Auenreste Klingnauer Stausee</v>
      </c>
      <c r="D29" s="857" t="str">
        <f>IF(VLOOKUP(A29,'Données de base - Grunddaten'!$A$2:$M$297,4,FALSE)="","",VLOOKUP(A29,'Données de base - Grunddaten'!$A$2:$M$297,4,FALSE))</f>
        <v>Aare</v>
      </c>
      <c r="E29" s="857" t="str">
        <f>IF(VLOOKUP(A29,'Données de base - Grunddaten'!$A$2:$M$297,5,FALSE)="","",VLOOKUP(A29,'Données de base - Grunddaten'!$A$2:$M$297,5,FALSE))</f>
        <v>AG</v>
      </c>
      <c r="F29" s="857" t="str">
        <f>IF(VLOOKUP(A29,'Données de base - Grunddaten'!$A$2:$M$297,6,FALSE)="","",VLOOKUP(A29,'Données de base - Grunddaten'!$A$2:$M$297,6,FALSE))</f>
        <v>Bassins lémanique et rhénan</v>
      </c>
      <c r="G29" s="857" t="str">
        <f>IF(VLOOKUP(A29,'Données de base - Grunddaten'!$A$2:$M$297,7,FALSE)="","",VLOOKUP(A29,'Données de base - Grunddaten'!$A$2:$M$297,7,FALSE))</f>
        <v>Collinéen</v>
      </c>
      <c r="H29" s="857">
        <f>IF(VLOOKUP(A29,'Données de base - Grunddaten'!$A$2:$M$297,8,FALSE)="","",VLOOKUP(A29,'Données de base - Grunddaten'!$A$2:$M$297,8,FALSE))</f>
        <v>320</v>
      </c>
      <c r="I29" s="857">
        <f>IF(VLOOKUP(A29,'Données de base - Grunddaten'!$A$2:$M$297,9,FALSE)="","",VLOOKUP(A29,'Données de base - Grunddaten'!$A$2:$M$297,9,FALSE))</f>
        <v>1992</v>
      </c>
      <c r="J29" s="857">
        <f>IF(VLOOKUP(A29,'Données de base - Grunddaten'!$A$2:$M$297,10,FALSE)="","",VLOOKUP(A29,'Données de base - Grunddaten'!$A$2:$M$297,10,FALSE))</f>
        <v>102</v>
      </c>
      <c r="K29" s="857" t="str">
        <f>IF(VLOOKUP(A29,'Données de base - Grunddaten'!$A$2:$M$297,11,FALSE)="","",VLOOKUP(A29,'Données de base - Grunddaten'!$A$2:$M$297,11,FALSE))</f>
        <v>Rives de lacs de retenue des étages collinéen et montagnard</v>
      </c>
      <c r="L29" s="857" t="str">
        <f>IF(VLOOKUP(A29,'Données de base - Grunddaten'!$A$2:$M$297,12,FALSE)="","",VLOOKUP(A29,'Données de base - Grunddaten'!$A$2:$M$297,12,FALSE))</f>
        <v>en tresses</v>
      </c>
      <c r="M29" s="858" t="str">
        <f>IF(VLOOKUP(A29,'Données de base - Grunddaten'!$A$2:$M$297,13,FALSE)="","",VLOOKUP(A29,'Données de base - Grunddaten'!$A$2:$M$297,13,FALSE))</f>
        <v>rives lacustres</v>
      </c>
      <c r="N29" s="891" t="str">
        <f>IF(VLOOKUP(A29,'Charriage - Geschiebehaushalt'!$A$4:$R$275,5,FALSE)="","",VLOOKUP(A29,'Charriage - Geschiebehaushalt'!$A$4:$R$275,5,FALSE))</f>
        <v>non pertinent</v>
      </c>
      <c r="O29" s="881" t="str">
        <f>IF(VLOOKUP(A29,'Charriage - Geschiebehaushalt'!$A$4:$R$275,6,FALSE)="","",VLOOKUP(A29,'Charriage - Geschiebehaushalt'!$A$4:$R$275,6,FALSE))</f>
        <v/>
      </c>
      <c r="P29" s="874" t="str">
        <f>IF(VLOOKUP(A29,'Charriage - Geschiebehaushalt'!$A$4:$R$275,7,FALSE)="","",VLOOKUP(A29,'Charriage - Geschiebehaushalt'!$A$4:$R$275,7,FALSE))</f>
        <v/>
      </c>
      <c r="Q29" s="874" t="str">
        <f>IF(VLOOKUP(A29,'Charriage - Geschiebehaushalt'!$A$4:$R$275,8,FALSE)="","",VLOOKUP(A29,'Charriage - Geschiebehaushalt'!$A$4:$R$275,8,FALSE))</f>
        <v>non documenté</v>
      </c>
      <c r="R29" s="875">
        <f>IF(VLOOKUP(A29,'Charriage - Geschiebehaushalt'!$A$4:$R$275,9,FALSE)="","",VLOOKUP(A29,'Charriage - Geschiebehaushalt'!$A$4:$R$275,9,FALSE))</f>
        <v>0.57791442055503695</v>
      </c>
      <c r="S29" s="876" t="str">
        <f>IF(VLOOKUP(A29,'Charriage - Geschiebehaushalt'!$A$4:$R$275,10,FALSE)="","",VLOOKUP(A29,'Charriage - Geschiebehaushalt'!$A$4:$R$275,10,FALSE))</f>
        <v>la remobilisation des sédiments est perturbée</v>
      </c>
      <c r="T29" s="875">
        <f>IF(VLOOKUP(A29,'Charriage - Geschiebehaushalt'!$A$4:$R$275,11,FALSE)="","",VLOOKUP(A29,'Charriage - Geschiebehaushalt'!$A$4:$R$275,11,FALSE))</f>
        <v>0.23298043498000001</v>
      </c>
      <c r="U29" s="876" t="str">
        <f>IF(VLOOKUP(A29,'Charriage - Geschiebehaushalt'!$A$4:$R$275,12,FALSE)="","",VLOOKUP(A29,'Charriage - Geschiebehaushalt'!$A$4:$R$275,12,FALSE))</f>
        <v>déficit dans les formations pionnières</v>
      </c>
      <c r="V29" s="877" t="str">
        <f>IF(VLOOKUP(A29,'Charriage - Geschiebehaushalt'!$A$4:$R$275,13,FALSE)="","",VLOOKUP(A29,'Charriage - Geschiebehaushalt'!$A$4:$R$275,13,FALSE))</f>
        <v/>
      </c>
      <c r="W29" s="877" t="str">
        <f>IF(VLOOKUP(A29,'Charriage - Geschiebehaushalt'!$A$4:$R$275,14,FALSE)="","",VLOOKUP(A29,'Charriage - Geschiebehaushalt'!$A$4:$R$275,14,FALSE))</f>
        <v/>
      </c>
      <c r="X29" s="877" t="str">
        <f>IF(VLOOKUP(A29,'Charriage - Geschiebehaushalt'!$A$4:$R$275,15,FALSE)="","",VLOOKUP(A29,'Charriage - Geschiebehaushalt'!$A$4:$R$275,15,FALSE))</f>
        <v/>
      </c>
      <c r="Y29" s="879" t="str">
        <f>IF(VLOOKUP(A29,'Charriage - Geschiebehaushalt'!$A$4:$R$275,16,FALSE)="","",VLOOKUP(A29,'Charriage - Geschiebehaushalt'!$A$4:$R$275,16,FALSE))</f>
        <v/>
      </c>
      <c r="Z29" s="763" t="str">
        <f>IF(VLOOKUP(A29,'Charriage - Geschiebehaushalt'!$A$4:$R$275,17,FALSE)="","",VLOOKUP(A29,'Charriage - Geschiebehaushalt'!$A$4:$R$275,17,FALSE))</f>
        <v>non pertinent / nicht relevant</v>
      </c>
      <c r="AA29" s="880" t="str">
        <f>IF(VLOOKUP(A29,'Charriage - Geschiebehaushalt'!$A$4:$R$275,18,FALSE)="","",VLOOKUP(A29,'Charriage - Geschiebehaushalt'!$A$4:$R$275,18,FALSE))</f>
        <v>a</v>
      </c>
      <c r="AB29" s="737" t="str">
        <f>IF(VLOOKUP(A29,'Charriage - Geschiebehaushalt'!$A$4:$AC$275,19,FALSE)="","",VLOOKUP(A29,'Charriage - Geschiebehaushalt'!$A$4:$AC$275,19,FALSE))</f>
        <v>sehr stark</v>
      </c>
      <c r="AC29" s="738" t="str">
        <f>IF(VLOOKUP(A29,'Charriage - Geschiebehaushalt'!$A$4:$AC$275,20,FALSE)="","",VLOOKUP(A29,'Charriage - Geschiebehaushalt'!$A$4:$AC$275,20,FALSE))</f>
        <v>Ja</v>
      </c>
      <c r="AD29" s="764" t="str">
        <f>IF(VLOOKUP(A29,'Charriage - Geschiebehaushalt'!$A$4:$AC$275,21,FALSE)="","",VLOOKUP(A29,'Charriage - Geschiebehaushalt'!$A$4:$AC$275,21,FALSE))</f>
        <v>81-100%</v>
      </c>
      <c r="AE29" s="740" t="str">
        <f>IF(VLOOKUP(A29,'Charriage - Geschiebehaushalt'!$A$4:$AC$275,22,FALSE)="","",VLOOKUP(A29,'Charriage - Geschiebehaushalt'!$A$4:$AC$275,22,FALSE))</f>
        <v>non pertinent / nicht relevant</v>
      </c>
      <c r="AF29" s="787" t="str">
        <f>IF(VLOOKUP(A29,'Charriage - Geschiebehaushalt'!$A$4:$AC$275,23,FALSE)="","",VLOOKUP(A29,'Charriage - Geschiebehaushalt'!$A$4:$AC$275,23,FALSE))</f>
        <v>a</v>
      </c>
      <c r="AG29" s="765" t="str">
        <f>IF(VLOOKUP(A29,'Charriage - Geschiebehaushalt'!$A$4:$AC$275,24,FALSE)="","",VLOOKUP(A29,'Charriage - Geschiebehaushalt'!$A$4:$AC$275,24,FALSE))</f>
        <v/>
      </c>
      <c r="AH29" s="764" t="str">
        <f>IF(VLOOKUP(A29,'Charriage - Geschiebehaushalt'!$A$4:$AC$275,25,FALSE)="","",VLOOKUP(A29,'Charriage - Geschiebehaushalt'!$A$4:$AC$275,25,FALSE))</f>
        <v/>
      </c>
      <c r="AI29" s="433" t="str">
        <f>IF(VLOOKUP(A29,'Charriage - Geschiebehaushalt'!$A$4:$AC$275,26,FALSE)="","",VLOOKUP(A29,'Charriage - Geschiebehaushalt'!$A$4:$AC$275,26,FALSE))</f>
        <v/>
      </c>
      <c r="AJ29" s="434" t="str">
        <f>IF(VLOOKUP(A29,'Charriage - Geschiebehaushalt'!$A$4:$AC$275,27,FALSE)="","",VLOOKUP(A29,'Charriage - Geschiebehaushalt'!$A$4:$AC$275,27,FALSE))</f>
        <v/>
      </c>
      <c r="AK29" s="801" t="str">
        <f>IF(VLOOKUP(A29,'Charriage - Geschiebehaushalt'!$A$4:$AC$275,28,FALSE)="","",VLOOKUP(A29,'Charriage - Geschiebehaushalt'!$A$4:$AC$275,28,FALSE))</f>
        <v>non pertinent / nicht relevant</v>
      </c>
      <c r="AL29" s="1285" t="str">
        <f>IF(VLOOKUP(A29,'Charriage - Geschiebehaushalt'!$A$4:$AD$275,30,FALSE)="","",VLOOKUP(A29,'Charriage - Geschiebehaushalt'!$A$4:$AD$275,30,FALSE))</f>
        <v>a</v>
      </c>
      <c r="AM29" s="1279" t="str">
        <f>IF(VLOOKUP(A29,'Débit - Abfluss'!$A$4:$K$275,5,FALSE)="","",VLOOKUP(A29,'Débit - Abfluss'!$A$4:$M$275,5,FALSE))</f>
        <v>non pertinent</v>
      </c>
      <c r="AN29" s="885" t="str">
        <f>IF(VLOOKUP(A29,'Débit - Abfluss'!$A$4:$K$275,6,FALSE)="","",VLOOKUP(A29,'Débit - Abfluss'!$A$4:$M$275,6,FALSE))</f>
        <v/>
      </c>
      <c r="AO29" s="889" t="str">
        <f>IF(VLOOKUP(A29,'Débit - Abfluss'!$A$4:$K$275,7,FALSE)="","",VLOOKUP(A29,'Débit - Abfluss'!$A$4:$M$275,7,FALSE))</f>
        <v/>
      </c>
      <c r="AP29" s="766" t="str">
        <f>IF(VLOOKUP(A29,'Débit - Abfluss'!$A$4:$K$275,8,FALSE)="","",VLOOKUP(A29,'Débit - Abfluss'!$A$4:$M$275,8,FALSE))</f>
        <v>non pertinent / nicht relevant</v>
      </c>
      <c r="AQ29" s="742" t="str">
        <f>IF(VLOOKUP(A29,'Débit - Abfluss'!$A$4:$K$275,9,FALSE)="","",VLOOKUP(A29,'Débit - Abfluss'!$A$4:$M$275,9,FALSE))</f>
        <v>-</v>
      </c>
      <c r="AR29" s="767" t="str">
        <f>IF(VLOOKUP(A29,'Débit - Abfluss'!$A$4:$K$275,10,FALSE)="","",VLOOKUP(A29,'Débit - Abfluss'!$A$4:$M$275,10,FALSE))</f>
        <v>non pertinent / nicht relevant</v>
      </c>
      <c r="AS29" s="767" t="str">
        <f>IF(VLOOKUP(A29,'Débit - Abfluss'!$A$4:$K$275,11,FALSE)="","",VLOOKUP(A29,'Débit - Abfluss'!$A$4:$M$275,11,FALSE))</f>
        <v/>
      </c>
      <c r="AT29" s="744" t="str">
        <f>IF(VLOOKUP(A29,'Débit - Abfluss'!$A$4:$Q$275,12,FALSE)="","",VLOOKUP(A29,'Débit - Abfluss'!$A$4:$Q$275,12,FALSE))</f>
        <v/>
      </c>
      <c r="AU29" s="745" t="str">
        <f>IF(VLOOKUP(A29,'Débit - Abfluss'!$A$4:$Q$275,13,FALSE)="","",VLOOKUP(A29,'Débit - Abfluss'!$A$4:$Q$275,13,FALSE))</f>
        <v/>
      </c>
      <c r="AV29" s="746" t="str">
        <f>IF(VLOOKUP(A29,'Débit - Abfluss'!$A$4:$Q$275,14,FALSE)="","",VLOOKUP(A29,'Débit - Abfluss'!$A$4:$Q$275,14,FALSE))</f>
        <v/>
      </c>
      <c r="AW29" s="768" t="str">
        <f>IF(VLOOKUP(A29,'Débit - Abfluss'!$A$4:$Q$275,15,FALSE)="","",VLOOKUP(A29,'Débit - Abfluss'!$A$4:$Q$275,15,FALSE))</f>
        <v/>
      </c>
      <c r="AX29" s="677" t="str">
        <f>IF(VLOOKUP(A29,'Débit - Abfluss'!$A$4:$Q$275,16,FALSE)="","",VLOOKUP(A29,'Débit - Abfluss'!$A$4:$Q$275,16,FALSE))</f>
        <v/>
      </c>
      <c r="AY29" s="769" t="str">
        <f>IF(VLOOKUP(A29,'Débit - Abfluss'!$A$4:$Q$275,17,FALSE)="","",VLOOKUP(A29,'Débit - Abfluss'!$A$4:$Q$275,17,FALSE))</f>
        <v>non pertinent / nicht relevant</v>
      </c>
      <c r="AZ29" s="749" t="str">
        <f>IF(VLOOKUP(A29,'Eclusée - Schwall-Sunk'!$A$2:$F$273,5,FALSE)="","",VLOOKUP(A29,'Eclusée - Schwall-Sunk'!$A$2:$F$273,5,FALSE))</f>
        <v/>
      </c>
      <c r="BA29" s="750" t="str">
        <f>IF(VLOOKUP(A29,'Eclusée - Schwall-Sunk'!$A$2:$F$273,6,FALSE)="","",VLOOKUP(A29,'Eclusée - Schwall-Sunk'!$A$2:$F$273,6,FALSE))</f>
        <v>Potentiellement affecté mais non plausible / möglicherweise betroffen aber nicht nachweisbar</v>
      </c>
      <c r="BB29" s="751">
        <f>IF(VLOOKUP(A29,'Revitalisation-Revitalisierung'!$A$4:$Z$275,5,FALSE)="","",VLOOKUP(A29,'Revitalisation-Revitalisierung'!$A$4:$Z$275,5,FALSE))</f>
        <v>47.036363636363632</v>
      </c>
      <c r="BC29" s="752">
        <f>IF(VLOOKUP(A29,'Revitalisation-Revitalisierung'!$A$4:$Z$275,6,FALSE)="","",VLOOKUP(A29,'Revitalisation-Revitalisierung'!$A$4:$Z$275,6,FALSE))</f>
        <v>58.414253610283616</v>
      </c>
      <c r="BD29" s="752">
        <f>IF(VLOOKUP(A29,'Revitalisation-Revitalisierung'!$A$4:$Z$275,7,FALSE)="","",VLOOKUP(A29,'Revitalisation-Revitalisierung'!$A$4:$Z$275,7,FALSE))</f>
        <v>11.363636363636363</v>
      </c>
      <c r="BE29" s="753" t="str">
        <f>IF(VLOOKUP(A29,'Revitalisation-Revitalisierung'!$A$4:$Z$275,8,FALSE)="","",VLOOKUP(A29,'Revitalisation-Revitalisierung'!$A$4:$Z$275,8,FALSE))</f>
        <v>très nécessaire, facile</v>
      </c>
      <c r="BF29" s="754" t="str">
        <f>IF(VLOOKUP(A29,'Revitalisation-Revitalisierung'!$A$4:$Z$275,9,FALSE)="","",VLOOKUP(A29,'Revitalisation-Revitalisierung'!$A$4:$Z$275,9,FALSE))</f>
        <v/>
      </c>
      <c r="BG29" s="754" t="str">
        <f>IF(VLOOKUP(A29,'Revitalisation-Revitalisierung'!$A$4:$Z$275,10,FALSE)="","",VLOOKUP(A29,'Revitalisation-Revitalisierung'!$A$4:$Z$275,10,FALSE))</f>
        <v>K2</v>
      </c>
      <c r="BH29" s="755" t="str">
        <f>IF(VLOOKUP(A29,'Revitalisation-Revitalisierung'!$A$4:$Z$275,11,FALSE)="","",VLOOKUP(A29,'Revitalisation-Revitalisierung'!$A$4:$Z$275,11,FALSE))</f>
        <v/>
      </c>
      <c r="BI29" s="756" t="str">
        <f>IF(VLOOKUP(A29,'Revitalisation-Revitalisierung'!$A$4:$Z$275,12,FALSE)="","",VLOOKUP(A29,'Revitalisation-Revitalisierung'!$A$4:$Z$275,12,FALSE))</f>
        <v/>
      </c>
      <c r="BJ29" s="757" t="str">
        <f>IF(VLOOKUP(A29,'Revitalisation-Revitalisierung'!$A$4:$Z$275,13,FALSE)="","",VLOOKUP(A29,'Revitalisation-Revitalisierung'!$A$4:$Z$275,13,FALSE))</f>
        <v>Partiellement nécessaire, facile</v>
      </c>
      <c r="BK29" s="870" t="str">
        <f>IF(VLOOKUP(A29,'Revitalisation-Revitalisierung'!$A$4:$Z$275,14,FALSE)="","",VLOOKUP(A29,'Revitalisation-Revitalisierung'!$A$4:$Z$275,14,FALSE))</f>
        <v>b</v>
      </c>
      <c r="BL29" s="758" t="str">
        <f>IF(VLOOKUP(A29,'Revitalisation-Revitalisierung'!$A$4:$Z$275,15,FALSE)="","",VLOOKUP(A29,'Revitalisation-Revitalisierung'!$A$4:$Z$275,15,FALSE))</f>
        <v>gross / mittel</v>
      </c>
      <c r="BM29" s="759" t="str">
        <f>IF(VLOOKUP(A29,'Revitalisation-Revitalisierung'!$A$4:$Z$275,16,FALSE)="","",VLOOKUP(A29,'Revitalisation-Revitalisierung'!$A$4:$Z$275,16,FALSE))</f>
        <v>gross/gering</v>
      </c>
      <c r="BN29" s="759" t="str">
        <f>IF(VLOOKUP(A29,'Revitalisation-Revitalisierung'!$A$4:$Z$275,17,FALSE)="","",VLOOKUP(A29,'Revitalisation-Revitalisierung'!$A$4:$Z$275,17,FALSE))</f>
        <v>20 Jahre: 1. Drittel</v>
      </c>
      <c r="BO29" s="760" t="str">
        <f>IF(VLOOKUP(A29,'Revitalisation-Revitalisierung'!$A$4:$Z$275,18,FALSE)="","",VLOOKUP(A29,'Revitalisation-Revitalisierung'!$A$4:$Z$275,18,FALSE))</f>
        <v>Très nécessaire, facile</v>
      </c>
      <c r="BP29" s="761" t="str">
        <f>IF(VLOOKUP(A29,'Revitalisation-Revitalisierung'!$A$4:$Z$275,19,FALSE)="","",VLOOKUP(A29,'Revitalisation-Revitalisierung'!$A$4:$Z$275,19,FALSE))</f>
        <v>Très nécessaire, facile</v>
      </c>
      <c r="BQ29" s="759" t="str">
        <f>IF(VLOOKUP(A29,'Revitalisation-Revitalisierung'!$A$4:$Z$275,20,FALSE)="","",VLOOKUP(A29,'Revitalisation-Revitalisierung'!$A$4:$Z$275,20,FALSE))</f>
        <v>d</v>
      </c>
      <c r="BR29" s="759" t="str">
        <f>IF(VLOOKUP(A29,'Revitalisation-Revitalisierung'!$A$4:$Z$275,21,FALSE)="","",VLOOKUP(A29,'Revitalisation-Revitalisierung'!$A$4:$Z$275,21,FALSE))</f>
        <v>pour une partie de la ZA uniquement</v>
      </c>
      <c r="BS29" s="762" t="str">
        <f>IF(VLOOKUP(A29,'Revitalisation-Revitalisierung'!$A$4:$Z$275,22,FALSE)="","",VLOOKUP(A29,'Revitalisation-Revitalisierung'!$A$4:$Z$275,22,FALSE))</f>
        <v/>
      </c>
      <c r="BT29" s="700" t="str">
        <f>IF(VLOOKUP(A29,'Revitalisation-Revitalisierung'!$A$4:$Z$275,23,FALSE)="","",VLOOKUP(A29,'Revitalisation-Revitalisierung'!$A$4:$Z$275,23,FALSE))</f>
        <v>Partiellement nécessaire, facile</v>
      </c>
      <c r="BU29" s="699" t="str">
        <f>IF(VLOOKUP(A29,'Revitalisation-Revitalisierung'!$A$4:$Z$275,24,FALSE)="","",VLOOKUP(A29,'Revitalisation-Revitalisierung'!$A$4:$Z$275,24,FALSE))</f>
        <v>Im Rahmen der laufenden Konzessionserneuerung sind ökologische Aufwertungsmassnahmen, zur Ergänzung des oder gar innerhalb des Auengebiets, vorgesehen. Innerhalb des Stauseebereichs haben Zugvogellebensräume Vorrang (WZVV=&gt; internat. Bed.).</v>
      </c>
      <c r="BV29" s="761" t="str">
        <f>IF(VLOOKUP(A29,'Revitalisation-Revitalisierung'!$A$4:$Z$275,25,FALSE)="","",VLOOKUP(A29,'Revitalisation-Revitalisierung'!$A$4:$Z$275,25,FALSE))</f>
        <v>Partiellement nécessaire, facile</v>
      </c>
      <c r="BW29" s="871" t="str">
        <f>IF(VLOOKUP(A29,'Revitalisation-Revitalisierung'!$A$4:$AA$275,27,FALSE)="","",VLOOKUP(A29,'Revitalisation-Revitalisierung'!$A$4:$AA$275,27,FALSE))</f>
        <v>b</v>
      </c>
    </row>
    <row r="30" spans="1:75" ht="58.15" customHeight="1" x14ac:dyDescent="0.25">
      <c r="A30" s="935">
        <v>37</v>
      </c>
      <c r="B30" s="856">
        <f>IF(VLOOKUP(A30,'Données de base - Grunddaten'!$A$2:$M$297,2,FALSE)="","",VLOOKUP(A30,'Données de base - Grunddaten'!$A$2:$M$297,2,FALSE))</f>
        <v>1</v>
      </c>
      <c r="C30" s="857" t="str">
        <f>IF(VLOOKUP(A30,'Données de base - Grunddaten'!$A$2:$M$297,3,FALSE)="","",VLOOKUP(A30,'Données de base - Grunddaten'!$A$2:$M$297,3,FALSE))</f>
        <v>Wasserschloss Brugg–Stilli</v>
      </c>
      <c r="D30" s="857" t="str">
        <f>IF(VLOOKUP(A30,'Données de base - Grunddaten'!$A$2:$M$297,4,FALSE)="","",VLOOKUP(A30,'Données de base - Grunddaten'!$A$2:$M$297,4,FALSE))</f>
        <v>Aare, Reuss</v>
      </c>
      <c r="E30" s="857" t="str">
        <f>IF(VLOOKUP(A30,'Données de base - Grunddaten'!$A$2:$M$297,5,FALSE)="","",VLOOKUP(A30,'Données de base - Grunddaten'!$A$2:$M$297,5,FALSE))</f>
        <v>AG</v>
      </c>
      <c r="F30" s="857" t="str">
        <f>IF(VLOOKUP(A30,'Données de base - Grunddaten'!$A$2:$M$297,6,FALSE)="","",VLOOKUP(A30,'Données de base - Grunddaten'!$A$2:$M$297,6,FALSE))</f>
        <v>Bassins lémanique et rhénan</v>
      </c>
      <c r="G30" s="857" t="str">
        <f>IF(VLOOKUP(A30,'Données de base - Grunddaten'!$A$2:$M$297,7,FALSE)="","",VLOOKUP(A30,'Données de base - Grunddaten'!$A$2:$M$297,7,FALSE))</f>
        <v>Collinéen</v>
      </c>
      <c r="H30" s="857">
        <f>IF(VLOOKUP(A30,'Données de base - Grunddaten'!$A$2:$M$297,8,FALSE)="","",VLOOKUP(A30,'Données de base - Grunddaten'!$A$2:$M$297,8,FALSE))</f>
        <v>330</v>
      </c>
      <c r="I30" s="857">
        <f>IF(VLOOKUP(A30,'Données de base - Grunddaten'!$A$2:$M$297,9,FALSE)="","",VLOOKUP(A30,'Données de base - Grunddaten'!$A$2:$M$297,9,FALSE))</f>
        <v>1992</v>
      </c>
      <c r="J30" s="857">
        <f>IF(VLOOKUP(A30,'Données de base - Grunddaten'!$A$2:$M$297,10,FALSE)="","",VLOOKUP(A30,'Données de base - Grunddaten'!$A$2:$M$297,10,FALSE))</f>
        <v>52</v>
      </c>
      <c r="K30" s="857" t="str">
        <f>IF(VLOOKUP(A30,'Données de base - Grunddaten'!$A$2:$M$297,11,FALSE)="","",VLOOKUP(A30,'Données de base - Grunddaten'!$A$2:$M$297,11,FALSE))</f>
        <v>Cours d'eau corrigés de l'étage collinéen du Moyen-Pays</v>
      </c>
      <c r="L30" s="857" t="str">
        <f>IF(VLOOKUP(A30,'Données de base - Grunddaten'!$A$2:$M$297,12,FALSE)="","",VLOOKUP(A30,'Données de base - Grunddaten'!$A$2:$M$297,12,FALSE))</f>
        <v>en tresses</v>
      </c>
      <c r="M30" s="858" t="str">
        <f>IF(VLOOKUP(A30,'Données de base - Grunddaten'!$A$2:$M$297,13,FALSE)="","",VLOOKUP(A30,'Données de base - Grunddaten'!$A$2:$M$297,13,FALSE))</f>
        <v>en méandres migrants</v>
      </c>
      <c r="N30" s="872" t="str">
        <f>IF(VLOOKUP(A30,'Charriage - Geschiebehaushalt'!$A$4:$R$275,5,FALSE)="","",VLOOKUP(A30,'Charriage - Geschiebehaushalt'!$A$4:$R$275,5,FALSE))</f>
        <v>pertinent</v>
      </c>
      <c r="O30" s="873" t="str">
        <f>IF(VLOOKUP(A30,'Charriage - Geschiebehaushalt'!$A$4:$R$275,6,FALSE)="","",VLOOKUP(A30,'Charriage - Geschiebehaushalt'!$A$4:$R$275,6,FALSE))</f>
        <v>81 -100%</v>
      </c>
      <c r="P30" s="874">
        <f>IF(VLOOKUP(A30,'Charriage - Geschiebehaushalt'!$A$4:$R$275,7,FALSE)="","",VLOOKUP(A30,'Charriage - Geschiebehaushalt'!$A$4:$R$275,7,FALSE))</f>
        <v>-0.15863530346399199</v>
      </c>
      <c r="Q30" s="874" t="str">
        <f>IF(VLOOKUP(A30,'Charriage - Geschiebehaushalt'!$A$4:$R$275,8,FALSE)="","",VLOOKUP(A30,'Charriage - Geschiebehaushalt'!$A$4:$R$275,8,FALSE))</f>
        <v>pas d'incision</v>
      </c>
      <c r="R30" s="875">
        <f>IF(VLOOKUP(A30,'Charriage - Geschiebehaushalt'!$A$4:$R$275,9,FALSE)="","",VLOOKUP(A30,'Charriage - Geschiebehaushalt'!$A$4:$R$275,9,FALSE))</f>
        <v>9.3782348836345994E-2</v>
      </c>
      <c r="S30" s="876" t="str">
        <f>IF(VLOOKUP(A30,'Charriage - Geschiebehaushalt'!$A$4:$R$275,10,FALSE)="","",VLOOKUP(A30,'Charriage - Geschiebehaushalt'!$A$4:$R$275,10,FALSE))</f>
        <v>pas ou faiblement entravé</v>
      </c>
      <c r="T30" s="875">
        <f>IF(VLOOKUP(A30,'Charriage - Geschiebehaushalt'!$A$4:$R$275,11,FALSE)="","",VLOOKUP(A30,'Charriage - Geschiebehaushalt'!$A$4:$R$275,11,FALSE))</f>
        <v>2.2212684214000002E-2</v>
      </c>
      <c r="U30" s="876" t="str">
        <f>IF(VLOOKUP(A30,'Charriage - Geschiebehaushalt'!$A$4:$R$275,12,FALSE)="","",VLOOKUP(A30,'Charriage - Geschiebehaushalt'!$A$4:$R$275,12,FALSE))</f>
        <v>déficit dans les formations pionnières</v>
      </c>
      <c r="V30" s="877" t="str">
        <f>IF(VLOOKUP(A30,'Charriage - Geschiebehaushalt'!$A$4:$R$275,13,FALSE)="","",VLOOKUP(A30,'Charriage - Geschiebehaushalt'!$A$4:$R$275,13,FALSE))</f>
        <v/>
      </c>
      <c r="W30" s="877" t="str">
        <f>IF(VLOOKUP(A30,'Charriage - Geschiebehaushalt'!$A$4:$R$275,14,FALSE)="","",VLOOKUP(A30,'Charriage - Geschiebehaushalt'!$A$4:$R$275,14,FALSE))</f>
        <v/>
      </c>
      <c r="X30" s="877" t="str">
        <f>IF(VLOOKUP(A30,'Charriage - Geschiebehaushalt'!$A$4:$R$275,15,FALSE)="","",VLOOKUP(A30,'Charriage - Geschiebehaushalt'!$A$4:$R$275,15,FALSE))</f>
        <v/>
      </c>
      <c r="Y30" s="879" t="str">
        <f>IF(VLOOKUP(A30,'Charriage - Geschiebehaushalt'!$A$4:$R$275,16,FALSE)="","",VLOOKUP(A30,'Charriage - Geschiebehaushalt'!$A$4:$R$275,16,FALSE))</f>
        <v/>
      </c>
      <c r="Z30" s="763" t="str">
        <f>IF(VLOOKUP(A30,'Charriage - Geschiebehaushalt'!$A$4:$R$275,17,FALSE)="","",VLOOKUP(A30,'Charriage - Geschiebehaushalt'!$A$4:$R$275,17,FALSE))</f>
        <v>81 -100%</v>
      </c>
      <c r="AA30" s="880" t="str">
        <f>IF(VLOOKUP(A30,'Charriage - Geschiebehaushalt'!$A$4:$R$275,18,FALSE)="","",VLOOKUP(A30,'Charriage - Geschiebehaushalt'!$A$4:$R$275,18,FALSE))</f>
        <v>a</v>
      </c>
      <c r="AB30" s="737" t="str">
        <f>IF(VLOOKUP(A30,'Charriage - Geschiebehaushalt'!$A$4:$AC$275,19,FALSE)="","",VLOOKUP(A30,'Charriage - Geschiebehaushalt'!$A$4:$AC$275,19,FALSE))</f>
        <v>sehr stark</v>
      </c>
      <c r="AC30" s="738" t="str">
        <f>IF(VLOOKUP(A30,'Charriage - Geschiebehaushalt'!$A$4:$AC$275,20,FALSE)="","",VLOOKUP(A30,'Charriage - Geschiebehaushalt'!$A$4:$AC$275,20,FALSE))</f>
        <v>Ja</v>
      </c>
      <c r="AD30" s="764" t="str">
        <f>IF(VLOOKUP(A30,'Charriage - Geschiebehaushalt'!$A$4:$AC$275,21,FALSE)="","",VLOOKUP(A30,'Charriage - Geschiebehaushalt'!$A$4:$AC$275,21,FALSE))</f>
        <v>81-100%</v>
      </c>
      <c r="AE30" s="740" t="str">
        <f>IF(VLOOKUP(A30,'Charriage - Geschiebehaushalt'!$A$4:$AC$275,22,FALSE)="","",VLOOKUP(A30,'Charriage - Geschiebehaushalt'!$A$4:$AC$275,22,FALSE))</f>
        <v>81-100%</v>
      </c>
      <c r="AF30" s="787" t="str">
        <f>IF(VLOOKUP(A30,'Charriage - Geschiebehaushalt'!$A$4:$AC$275,23,FALSE)="","",VLOOKUP(A30,'Charriage - Geschiebehaushalt'!$A$4:$AC$275,23,FALSE))</f>
        <v>d</v>
      </c>
      <c r="AG30" s="765" t="str">
        <f>IF(VLOOKUP(A30,'Charriage - Geschiebehaushalt'!$A$4:$AC$275,24,FALSE)="","",VLOOKUP(A30,'Charriage - Geschiebehaushalt'!$A$4:$AC$275,24,FALSE))</f>
        <v/>
      </c>
      <c r="AH30" s="764" t="str">
        <f>IF(VLOOKUP(A30,'Charriage - Geschiebehaushalt'!$A$4:$AC$275,25,FALSE)="","",VLOOKUP(A30,'Charriage - Geschiebehaushalt'!$A$4:$AC$275,25,FALSE))</f>
        <v/>
      </c>
      <c r="AI30" s="433" t="str">
        <f>IF(VLOOKUP(A30,'Charriage - Geschiebehaushalt'!$A$4:$AC$275,26,FALSE)="","",VLOOKUP(A30,'Charriage - Geschiebehaushalt'!$A$4:$AC$275,26,FALSE))</f>
        <v/>
      </c>
      <c r="AJ30" s="434" t="str">
        <f>IF(VLOOKUP(A30,'Charriage - Geschiebehaushalt'!$A$4:$AC$275,27,FALSE)="","",VLOOKUP(A30,'Charriage - Geschiebehaushalt'!$A$4:$AC$275,27,FALSE))</f>
        <v/>
      </c>
      <c r="AK30" s="801" t="str">
        <f>IF(VLOOKUP(A30,'Charriage - Geschiebehaushalt'!$A$4:$AC$275,28,FALSE)="","",VLOOKUP(A30,'Charriage - Geschiebehaushalt'!$A$4:$AC$275,28,FALSE))</f>
        <v>81-100%</v>
      </c>
      <c r="AL30" s="1285" t="str">
        <f>IF(VLOOKUP(A30,'Charriage - Geschiebehaushalt'!$A$4:$AD$275,30,FALSE)="","",VLOOKUP(A30,'Charriage - Geschiebehaushalt'!$A$4:$AD$275,30,FALSE))</f>
        <v>a</v>
      </c>
      <c r="AM30" s="1279" t="str">
        <f>IF(VLOOKUP(A30,'Débit - Abfluss'!$A$4:$K$275,5,FALSE)="","",VLOOKUP(A30,'Débit - Abfluss'!$A$4:$M$275,5,FALSE))</f>
        <v>41-60%</v>
      </c>
      <c r="AN30" s="885" t="str">
        <f>IF(VLOOKUP(A30,'Débit - Abfluss'!$A$4:$K$275,6,FALSE)="","",VLOOKUP(A30,'Débit - Abfluss'!$A$4:$M$275,6,FALSE))</f>
        <v/>
      </c>
      <c r="AO30" s="889" t="str">
        <f>IF(VLOOKUP(A30,'Débit - Abfluss'!$A$4:$K$275,7,FALSE)="","",VLOOKUP(A30,'Débit - Abfluss'!$A$4:$M$275,7,FALSE))</f>
        <v/>
      </c>
      <c r="AP30" s="766" t="str">
        <f>IF(VLOOKUP(A30,'Débit - Abfluss'!$A$4:$K$275,8,FALSE)="","",VLOOKUP(A30,'Débit - Abfluss'!$A$4:$M$275,8,FALSE))</f>
        <v>41-60%</v>
      </c>
      <c r="AQ30" s="678" t="str">
        <f>IF(VLOOKUP(A30,'Débit - Abfluss'!$A$4:$K$275,9,FALSE)="","",VLOOKUP(A30,'Débit - Abfluss'!$A$4:$M$275,9,FALSE))</f>
        <v>&gt;90%</v>
      </c>
      <c r="AR30" s="767" t="str">
        <f>IF(VLOOKUP(A30,'Débit - Abfluss'!$A$4:$K$275,10,FALSE)="","",VLOOKUP(A30,'Débit - Abfluss'!$A$4:$M$275,10,FALSE))</f>
        <v>41-60%</v>
      </c>
      <c r="AS30" s="767" t="str">
        <f>IF(VLOOKUP(A30,'Débit - Abfluss'!$A$4:$K$275,11,FALSE)="","",VLOOKUP(A30,'Débit - Abfluss'!$A$4:$M$275,11,FALSE))</f>
        <v/>
      </c>
      <c r="AT30" s="744" t="str">
        <f>IF(VLOOKUP(A30,'Débit - Abfluss'!$A$4:$Q$275,12,FALSE)="","",VLOOKUP(A30,'Débit - Abfluss'!$A$4:$Q$275,12,FALSE))</f>
        <v/>
      </c>
      <c r="AU30" s="745" t="str">
        <f>IF(VLOOKUP(A30,'Débit - Abfluss'!$A$4:$Q$275,13,FALSE)="","",VLOOKUP(A30,'Débit - Abfluss'!$A$4:$Q$275,13,FALSE))</f>
        <v/>
      </c>
      <c r="AV30" s="746" t="str">
        <f>IF(VLOOKUP(A30,'Débit - Abfluss'!$A$4:$Q$275,14,FALSE)="","",VLOOKUP(A30,'Débit - Abfluss'!$A$4:$Q$275,14,FALSE))</f>
        <v>AG-W 314</v>
      </c>
      <c r="AW30" s="768" t="str">
        <f>IF(VLOOKUP(A30,'Débit - Abfluss'!$A$4:$Q$275,15,FALSE)="","",VLOOKUP(A30,'Débit - Abfluss'!$A$4:$Q$275,15,FALSE))</f>
        <v>Windisch / Spinnerei Kunz AG</v>
      </c>
      <c r="AX30" s="681" t="str">
        <f>IF(VLOOKUP(A30,'Débit - Abfluss'!$A$4:$Q$275,16,FALSE)="","",VLOOKUP(A30,'Débit - Abfluss'!$A$4:$Q$275,16,FALSE))</f>
        <v/>
      </c>
      <c r="AY30" s="769" t="str">
        <f>IF(VLOOKUP(A30,'Débit - Abfluss'!$A$4:$Q$275,17,FALSE)="","",VLOOKUP(A30,'Débit - Abfluss'!$A$4:$Q$275,17,FALSE))</f>
        <v>41-60%</v>
      </c>
      <c r="AZ30" s="749" t="str">
        <f>IF(VLOOKUP(A30,'Eclusée - Schwall-Sunk'!$A$2:$F$273,5,FALSE)="","",VLOOKUP(A30,'Eclusée - Schwall-Sunk'!$A$2:$F$273,5,FALSE))</f>
        <v>force hydraulique</v>
      </c>
      <c r="BA30" s="750" t="str">
        <f>IF(VLOOKUP(A30,'Eclusée - Schwall-Sunk'!$A$2:$F$273,6,FALSE)="","",VLOOKUP(A30,'Eclusée - Schwall-Sunk'!$A$2:$F$273,6,FALSE))</f>
        <v>Non affecté / nicht betroffen</v>
      </c>
      <c r="BB30" s="751">
        <f>IF(VLOOKUP(A30,'Revitalisation-Revitalisierung'!$A$4:$Z$275,5,FALSE)="","",VLOOKUP(A30,'Revitalisation-Revitalisierung'!$A$4:$Z$275,5,FALSE))</f>
        <v>6.5727272727272741</v>
      </c>
      <c r="BC30" s="752">
        <f>IF(VLOOKUP(A30,'Revitalisation-Revitalisierung'!$A$4:$Z$275,6,FALSE)="","",VLOOKUP(A30,'Revitalisation-Revitalisierung'!$A$4:$Z$275,6,FALSE))</f>
        <v>9.3262553334303266</v>
      </c>
      <c r="BD30" s="752">
        <f>IF(VLOOKUP(A30,'Revitalisation-Revitalisierung'!$A$4:$Z$275,7,FALSE)="","",VLOOKUP(A30,'Revitalisation-Revitalisierung'!$A$4:$Z$275,7,FALSE))</f>
        <v>2.7272727272727271</v>
      </c>
      <c r="BE30" s="753" t="str">
        <f>IF(VLOOKUP(A30,'Revitalisation-Revitalisierung'!$A$4:$Z$275,8,FALSE)="","",VLOOKUP(A30,'Revitalisation-Revitalisierung'!$A$4:$Z$275,8,FALSE))</f>
        <v>peu nécessaire, facile</v>
      </c>
      <c r="BF30" s="754" t="str">
        <f>IF(VLOOKUP(A30,'Revitalisation-Revitalisierung'!$A$4:$Z$275,9,FALSE)="","",VLOOKUP(A30,'Revitalisation-Revitalisierung'!$A$4:$Z$275,9,FALSE))</f>
        <v/>
      </c>
      <c r="BG30" s="754" t="str">
        <f>IF(VLOOKUP(A30,'Revitalisation-Revitalisierung'!$A$4:$Z$275,10,FALSE)="","",VLOOKUP(A30,'Revitalisation-Revitalisierung'!$A$4:$Z$275,10,FALSE))</f>
        <v>K3</v>
      </c>
      <c r="BH30" s="755" t="str">
        <f>IF(VLOOKUP(A30,'Revitalisation-Revitalisierung'!$A$4:$Z$275,11,FALSE)="","",VLOOKUP(A30,'Revitalisation-Revitalisierung'!$A$4:$Z$275,11,FALSE))</f>
        <v/>
      </c>
      <c r="BI30" s="756" t="str">
        <f>IF(VLOOKUP(A30,'Revitalisation-Revitalisierung'!$A$4:$Z$275,12,FALSE)="","",VLOOKUP(A30,'Revitalisation-Revitalisierung'!$A$4:$Z$275,12,FALSE))</f>
        <v/>
      </c>
      <c r="BJ30" s="757" t="str">
        <f>IF(VLOOKUP(A30,'Revitalisation-Revitalisierung'!$A$4:$Z$275,13,FALSE)="","",VLOOKUP(A30,'Revitalisation-Revitalisierung'!$A$4:$Z$275,13,FALSE))</f>
        <v>Partiellement nécessaire, difficile</v>
      </c>
      <c r="BK30" s="870" t="str">
        <f>IF(VLOOKUP(A30,'Revitalisation-Revitalisierung'!$A$4:$Z$275,14,FALSE)="","",VLOOKUP(A30,'Revitalisation-Revitalisierung'!$A$4:$Z$275,14,FALSE))</f>
        <v>b</v>
      </c>
      <c r="BL30" s="758" t="str">
        <f>IF(VLOOKUP(A30,'Revitalisation-Revitalisierung'!$A$4:$Z$275,15,FALSE)="","",VLOOKUP(A30,'Revitalisation-Revitalisierung'!$A$4:$Z$275,15,FALSE))</f>
        <v>gross / mittel</v>
      </c>
      <c r="BM30" s="759" t="str">
        <f>IF(VLOOKUP(A30,'Revitalisation-Revitalisierung'!$A$4:$Z$275,16,FALSE)="","",VLOOKUP(A30,'Revitalisation-Revitalisierung'!$A$4:$Z$275,16,FALSE))</f>
        <v>gering</v>
      </c>
      <c r="BN30" s="759" t="str">
        <f>IF(VLOOKUP(A30,'Revitalisation-Revitalisierung'!$A$4:$Z$275,17,FALSE)="","",VLOOKUP(A30,'Revitalisation-Revitalisierung'!$A$4:$Z$275,17,FALSE))</f>
        <v>-</v>
      </c>
      <c r="BO30" s="760" t="str">
        <f>IF(VLOOKUP(A30,'Revitalisation-Revitalisierung'!$A$4:$Z$275,18,FALSE)="","",VLOOKUP(A30,'Revitalisation-Revitalisierung'!$A$4:$Z$275,18,FALSE))</f>
        <v>Non nécessaire</v>
      </c>
      <c r="BP30" s="761" t="str">
        <f>IF(VLOOKUP(A30,'Revitalisation-Revitalisierung'!$A$4:$Z$275,19,FALSE)="","",VLOOKUP(A30,'Revitalisation-Revitalisierung'!$A$4:$Z$275,19,FALSE))</f>
        <v>Non nécessaire</v>
      </c>
      <c r="BQ30" s="759" t="str">
        <f>IF(VLOOKUP(A30,'Revitalisation-Revitalisierung'!$A$4:$Z$275,20,FALSE)="","",VLOOKUP(A30,'Revitalisation-Revitalisierung'!$A$4:$Z$275,20,FALSE))</f>
        <v>c</v>
      </c>
      <c r="BR30" s="759" t="str">
        <f>IF(VLOOKUP(A30,'Revitalisation-Revitalisierung'!$A$4:$Z$275,21,FALSE)="","",VLOOKUP(A30,'Revitalisation-Revitalisierung'!$A$4:$Z$275,21,FALSE))</f>
        <v/>
      </c>
      <c r="BS30" s="762" t="str">
        <f>IF(VLOOKUP(A30,'Revitalisation-Revitalisierung'!$A$4:$Z$275,22,FALSE)="","",VLOOKUP(A30,'Revitalisation-Revitalisierung'!$A$4:$Z$275,22,FALSE))</f>
        <v/>
      </c>
      <c r="BT30" s="703" t="str">
        <f>IF(VLOOKUP(A30,'Revitalisation-Revitalisierung'!$A$4:$Z$275,23,FALSE)="","",VLOOKUP(A30,'Revitalisation-Revitalisierung'!$A$4:$Z$275,23,FALSE))</f>
        <v>Partiellement nécessaire, difficile</v>
      </c>
      <c r="BU30" s="705" t="str">
        <f>IF(VLOOKUP(A30,'Revitalisation-Revitalisierung'!$A$4:$Z$275,24,FALSE)="","",VLOOKUP(A30,'Revitalisation-Revitalisierung'!$A$4:$Z$275,24,FALSE))</f>
        <v>Die grossen Massnahmen wurden umgesetzt, der Unterhalt ist organisiert. Für weitere Revitalisierungsvorhaben wird zusätzliches Land ausserhalb des Auenperimeters benötigt.</v>
      </c>
      <c r="BV30" s="761" t="str">
        <f>IF(VLOOKUP(A30,'Revitalisation-Revitalisierung'!$A$4:$Z$275,25,FALSE)="","",VLOOKUP(A30,'Revitalisation-Revitalisierung'!$A$4:$Z$275,25,FALSE))</f>
        <v>Partiellement nécessaire, difficile</v>
      </c>
      <c r="BW30" s="871" t="str">
        <f>IF(VLOOKUP(A30,'Revitalisation-Revitalisierung'!$A$4:$AA$275,27,FALSE)="","",VLOOKUP(A30,'Revitalisation-Revitalisierung'!$A$4:$AA$275,27,FALSE))</f>
        <v>b</v>
      </c>
    </row>
    <row r="31" spans="1:75" ht="63.6" customHeight="1" x14ac:dyDescent="0.25">
      <c r="A31" s="935">
        <v>40</v>
      </c>
      <c r="B31" s="856">
        <f>IF(VLOOKUP(A31,'Données de base - Grunddaten'!$A$2:$M$297,2,FALSE)="","",VLOOKUP(A31,'Données de base - Grunddaten'!$A$2:$M$297,2,FALSE))</f>
        <v>1</v>
      </c>
      <c r="C31" s="857" t="str">
        <f>IF(VLOOKUP(A31,'Données de base - Grunddaten'!$A$2:$M$297,3,FALSE)="","",VLOOKUP(A31,'Données de base - Grunddaten'!$A$2:$M$297,3,FALSE))</f>
        <v>Umiker Schachen–Stierenhölzli</v>
      </c>
      <c r="D31" s="857" t="str">
        <f>IF(VLOOKUP(A31,'Données de base - Grunddaten'!$A$2:$M$297,4,FALSE)="","",VLOOKUP(A31,'Données de base - Grunddaten'!$A$2:$M$297,4,FALSE))</f>
        <v>Aare</v>
      </c>
      <c r="E31" s="857" t="str">
        <f>IF(VLOOKUP(A31,'Données de base - Grunddaten'!$A$2:$M$297,5,FALSE)="","",VLOOKUP(A31,'Données de base - Grunddaten'!$A$2:$M$297,5,FALSE))</f>
        <v>AG</v>
      </c>
      <c r="F31" s="857" t="str">
        <f>IF(VLOOKUP(A31,'Données de base - Grunddaten'!$A$2:$M$297,6,FALSE)="","",VLOOKUP(A31,'Données de base - Grunddaten'!$A$2:$M$297,6,FALSE))</f>
        <v>Bassins lémanique et rhénan, Jura et Randen</v>
      </c>
      <c r="G31" s="857" t="str">
        <f>IF(VLOOKUP(A31,'Données de base - Grunddaten'!$A$2:$M$297,7,FALSE)="","",VLOOKUP(A31,'Données de base - Grunddaten'!$A$2:$M$297,7,FALSE))</f>
        <v>Collinéen</v>
      </c>
      <c r="H31" s="857">
        <f>IF(VLOOKUP(A31,'Données de base - Grunddaten'!$A$2:$M$297,8,FALSE)="","",VLOOKUP(A31,'Données de base - Grunddaten'!$A$2:$M$297,8,FALSE))</f>
        <v>340</v>
      </c>
      <c r="I31" s="857">
        <f>IF(VLOOKUP(A31,'Données de base - Grunddaten'!$A$2:$M$297,9,FALSE)="","",VLOOKUP(A31,'Données de base - Grunddaten'!$A$2:$M$297,9,FALSE))</f>
        <v>1992</v>
      </c>
      <c r="J31" s="857">
        <f>IF(VLOOKUP(A31,'Données de base - Grunddaten'!$A$2:$M$297,10,FALSE)="","",VLOOKUP(A31,'Données de base - Grunddaten'!$A$2:$M$297,10,FALSE))</f>
        <v>51</v>
      </c>
      <c r="K31" s="857" t="str">
        <f>IF(VLOOKUP(A31,'Données de base - Grunddaten'!$A$2:$M$297,11,FALSE)="","",VLOOKUP(A31,'Données de base - Grunddaten'!$A$2:$M$297,11,FALSE))</f>
        <v>Cours d'eau naturels de l'étage collinéen du Moyen-Pays</v>
      </c>
      <c r="L31" s="857" t="str">
        <f>IF(VLOOKUP(A31,'Données de base - Grunddaten'!$A$2:$M$297,12,FALSE)="","",VLOOKUP(A31,'Données de base - Grunddaten'!$A$2:$M$297,12,FALSE))</f>
        <v>en tresses</v>
      </c>
      <c r="M31" s="858" t="str">
        <f>IF(VLOOKUP(A31,'Données de base - Grunddaten'!$A$2:$M$297,13,FALSE)="","",VLOOKUP(A31,'Données de base - Grunddaten'!$A$2:$M$297,13,FALSE))</f>
        <v xml:space="preserve">bras latéral en tresses </v>
      </c>
      <c r="N31" s="872" t="str">
        <f>IF(VLOOKUP(A31,'Charriage - Geschiebehaushalt'!$A$4:$R$275,5,FALSE)="","",VLOOKUP(A31,'Charriage - Geschiebehaushalt'!$A$4:$R$275,5,FALSE))</f>
        <v>pertinent</v>
      </c>
      <c r="O31" s="873" t="str">
        <f>IF(VLOOKUP(A31,'Charriage - Geschiebehaushalt'!$A$4:$R$275,6,FALSE)="","",VLOOKUP(A31,'Charriage - Geschiebehaushalt'!$A$4:$R$275,6,FALSE))</f>
        <v>81 -100%</v>
      </c>
      <c r="P31" s="874" t="str">
        <f>IF(VLOOKUP(A31,'Charriage - Geschiebehaushalt'!$A$4:$R$275,7,FALSE)="","",VLOOKUP(A31,'Charriage - Geschiebehaushalt'!$A$4:$R$275,7,FALSE))</f>
        <v/>
      </c>
      <c r="Q31" s="874" t="str">
        <f>IF(VLOOKUP(A31,'Charriage - Geschiebehaushalt'!$A$4:$R$275,8,FALSE)="","",VLOOKUP(A31,'Charriage - Geschiebehaushalt'!$A$4:$R$275,8,FALSE))</f>
        <v>non documenté</v>
      </c>
      <c r="R31" s="875">
        <f>IF(VLOOKUP(A31,'Charriage - Geschiebehaushalt'!$A$4:$R$275,9,FALSE)="","",VLOOKUP(A31,'Charriage - Geschiebehaushalt'!$A$4:$R$275,9,FALSE))</f>
        <v>2.5000000000000001E-2</v>
      </c>
      <c r="S31" s="876" t="str">
        <f>IF(VLOOKUP(A31,'Charriage - Geschiebehaushalt'!$A$4:$R$275,10,FALSE)="","",VLOOKUP(A31,'Charriage - Geschiebehaushalt'!$A$4:$R$275,10,FALSE))</f>
        <v>pas ou faiblement entravé</v>
      </c>
      <c r="T31" s="875">
        <f>IF(VLOOKUP(A31,'Charriage - Geschiebehaushalt'!$A$4:$R$275,11,FALSE)="","",VLOOKUP(A31,'Charriage - Geschiebehaushalt'!$A$4:$R$275,11,FALSE))</f>
        <v>0.34477805179999998</v>
      </c>
      <c r="U31" s="876" t="str">
        <f>IF(VLOOKUP(A31,'Charriage - Geschiebehaushalt'!$A$4:$R$275,12,FALSE)="","",VLOOKUP(A31,'Charriage - Geschiebehaushalt'!$A$4:$R$275,12,FALSE))</f>
        <v>déficit non apparent en charriage ou en remobilisation des sédiments</v>
      </c>
      <c r="V31" s="877" t="str">
        <f>IF(VLOOKUP(A31,'Charriage - Geschiebehaushalt'!$A$4:$R$275,13,FALSE)="","",VLOOKUP(A31,'Charriage - Geschiebehaushalt'!$A$4:$R$275,13,FALSE))</f>
        <v/>
      </c>
      <c r="W31" s="877" t="str">
        <f>IF(VLOOKUP(A31,'Charriage - Geschiebehaushalt'!$A$4:$R$275,14,FALSE)="","",VLOOKUP(A31,'Charriage - Geschiebehaushalt'!$A$4:$R$275,14,FALSE))</f>
        <v/>
      </c>
      <c r="X31" s="877" t="str">
        <f>IF(VLOOKUP(A31,'Charriage - Geschiebehaushalt'!$A$4:$R$275,15,FALSE)="","",VLOOKUP(A31,'Charriage - Geschiebehaushalt'!$A$4:$R$275,15,FALSE))</f>
        <v/>
      </c>
      <c r="Y31" s="879" t="str">
        <f>IF(VLOOKUP(A31,'Charriage - Geschiebehaushalt'!$A$4:$R$275,16,FALSE)="","",VLOOKUP(A31,'Charriage - Geschiebehaushalt'!$A$4:$R$275,16,FALSE))</f>
        <v/>
      </c>
      <c r="Z31" s="763" t="str">
        <f>IF(VLOOKUP(A31,'Charriage - Geschiebehaushalt'!$A$4:$R$275,17,FALSE)="","",VLOOKUP(A31,'Charriage - Geschiebehaushalt'!$A$4:$R$275,17,FALSE))</f>
        <v>81 -100%</v>
      </c>
      <c r="AA31" s="880" t="str">
        <f>IF(VLOOKUP(A31,'Charriage - Geschiebehaushalt'!$A$4:$R$275,18,FALSE)="","",VLOOKUP(A31,'Charriage - Geschiebehaushalt'!$A$4:$R$275,18,FALSE))</f>
        <v>a</v>
      </c>
      <c r="AB31" s="737" t="str">
        <f>IF(VLOOKUP(A31,'Charriage - Geschiebehaushalt'!$A$4:$AC$275,19,FALSE)="","",VLOOKUP(A31,'Charriage - Geschiebehaushalt'!$A$4:$AC$275,19,FALSE))</f>
        <v>sehr stark</v>
      </c>
      <c r="AC31" s="738" t="str">
        <f>IF(VLOOKUP(A31,'Charriage - Geschiebehaushalt'!$A$4:$AC$275,20,FALSE)="","",VLOOKUP(A31,'Charriage - Geschiebehaushalt'!$A$4:$AC$275,20,FALSE))</f>
        <v>Ja</v>
      </c>
      <c r="AD31" s="764" t="str">
        <f>IF(VLOOKUP(A31,'Charriage - Geschiebehaushalt'!$A$4:$AC$275,21,FALSE)="","",VLOOKUP(A31,'Charriage - Geschiebehaushalt'!$A$4:$AC$275,21,FALSE))</f>
        <v>81-100%</v>
      </c>
      <c r="AE31" s="740" t="str">
        <f>IF(VLOOKUP(A31,'Charriage - Geschiebehaushalt'!$A$4:$AC$275,22,FALSE)="","",VLOOKUP(A31,'Charriage - Geschiebehaushalt'!$A$4:$AC$275,22,FALSE))</f>
        <v>81-100%</v>
      </c>
      <c r="AF31" s="787" t="str">
        <f>IF(VLOOKUP(A31,'Charriage - Geschiebehaushalt'!$A$4:$AC$275,23,FALSE)="","",VLOOKUP(A31,'Charriage - Geschiebehaushalt'!$A$4:$AC$275,23,FALSE))</f>
        <v>d</v>
      </c>
      <c r="AG31" s="765" t="str">
        <f>IF(VLOOKUP(A31,'Charriage - Geschiebehaushalt'!$A$4:$AC$275,24,FALSE)="","",VLOOKUP(A31,'Charriage - Geschiebehaushalt'!$A$4:$AC$275,24,FALSE))</f>
        <v/>
      </c>
      <c r="AH31" s="764" t="str">
        <f>IF(VLOOKUP(A31,'Charriage - Geschiebehaushalt'!$A$4:$AC$275,25,FALSE)="","",VLOOKUP(A31,'Charriage - Geschiebehaushalt'!$A$4:$AC$275,25,FALSE))</f>
        <v/>
      </c>
      <c r="AI31" s="433" t="str">
        <f>IF(VLOOKUP(A31,'Charriage - Geschiebehaushalt'!$A$4:$AC$275,26,FALSE)="","",VLOOKUP(A31,'Charriage - Geschiebehaushalt'!$A$4:$AC$275,26,FALSE))</f>
        <v/>
      </c>
      <c r="AJ31" s="1282" t="str">
        <f>IF(VLOOKUP(A31,'Charriage - Geschiebehaushalt'!$A$4:$AC$275,27,FALSE)="","",VLOOKUP(A31,'Charriage - Geschiebehaushalt'!$A$4:$AC$275,27,FALSE))</f>
        <v/>
      </c>
      <c r="AK31" s="801" t="str">
        <f>IF(VLOOKUP(A31,'Charriage - Geschiebehaushalt'!$A$4:$AC$275,28,FALSE)="","",VLOOKUP(A31,'Charriage - Geschiebehaushalt'!$A$4:$AC$275,28,FALSE))</f>
        <v>81-100%</v>
      </c>
      <c r="AL31" s="1285" t="str">
        <f>IF(VLOOKUP(A31,'Charriage - Geschiebehaushalt'!$A$4:$AD$275,30,FALSE)="","",VLOOKUP(A31,'Charriage - Geschiebehaushalt'!$A$4:$AD$275,30,FALSE))</f>
        <v>a</v>
      </c>
      <c r="AM31" s="1279" t="str">
        <f>IF(VLOOKUP(A31,'Débit - Abfluss'!$A$4:$K$275,5,FALSE)="","",VLOOKUP(A31,'Débit - Abfluss'!$A$4:$M$275,5,FALSE))</f>
        <v>0-20%</v>
      </c>
      <c r="AN31" s="885" t="str">
        <f>IF(VLOOKUP(A31,'Débit - Abfluss'!$A$4:$K$275,6,FALSE)="","",VLOOKUP(A31,'Débit - Abfluss'!$A$4:$M$275,6,FALSE))</f>
        <v/>
      </c>
      <c r="AO31" s="889" t="str">
        <f>IF(VLOOKUP(A31,'Débit - Abfluss'!$A$4:$K$275,7,FALSE)="","",VLOOKUP(A31,'Débit - Abfluss'!$A$4:$M$275,7,FALSE))</f>
        <v/>
      </c>
      <c r="AP31" s="766" t="str">
        <f>IF(VLOOKUP(A31,'Débit - Abfluss'!$A$4:$K$275,8,FALSE)="","",VLOOKUP(A31,'Débit - Abfluss'!$A$4:$M$275,8,FALSE))</f>
        <v>0-20%</v>
      </c>
      <c r="AQ31" s="678" t="str">
        <f>IF(VLOOKUP(A31,'Débit - Abfluss'!$A$4:$K$275,9,FALSE)="","",VLOOKUP(A31,'Débit - Abfluss'!$A$4:$M$275,9,FALSE))</f>
        <v>50-90%</v>
      </c>
      <c r="AR31" s="773" t="str">
        <f>IF(VLOOKUP(A31,'Débit - Abfluss'!$A$4:$K$275,10,FALSE)="","",VLOOKUP(A31,'Débit - Abfluss'!$A$4:$M$275,10,FALSE))</f>
        <v>0-20%</v>
      </c>
      <c r="AS31" s="773" t="str">
        <f>IF(VLOOKUP(A31,'Débit - Abfluss'!$A$4:$K$275,11,FALSE)="","",VLOOKUP(A31,'Débit - Abfluss'!$A$4:$M$275,11,FALSE))</f>
        <v>X</v>
      </c>
      <c r="AT31" s="744" t="str">
        <f>IF(VLOOKUP(A31,'Débit - Abfluss'!$A$4:$Q$275,12,FALSE)="","",VLOOKUP(A31,'Débit - Abfluss'!$A$4:$Q$275,12,FALSE))</f>
        <v/>
      </c>
      <c r="AU31" s="745" t="str">
        <f>IF(VLOOKUP(A31,'Débit - Abfluss'!$A$4:$Q$275,13,FALSE)="","",VLOOKUP(A31,'Débit - Abfluss'!$A$4:$Q$275,13,FALSE))</f>
        <v/>
      </c>
      <c r="AV31" s="746" t="str">
        <f>IF(VLOOKUP(A31,'Débit - Abfluss'!$A$4:$Q$275,14,FALSE)="","",VLOOKUP(A31,'Débit - Abfluss'!$A$4:$Q$275,14,FALSE))</f>
        <v>AG-W 309</v>
      </c>
      <c r="AW31" s="768" t="str">
        <f>IF(VLOOKUP(A31,'Débit - Abfluss'!$A$4:$Q$275,15,FALSE)="","",VLOOKUP(A31,'Débit - Abfluss'!$A$4:$Q$275,15,FALSE))</f>
        <v>Wildegg-Brugg</v>
      </c>
      <c r="AX31" s="679" t="str">
        <f>IF(VLOOKUP(A31,'Débit - Abfluss'!$A$4:$Q$275,16,FALSE)="","",VLOOKUP(A31,'Débit - Abfluss'!$A$4:$Q$275,16,FALSE))</f>
        <v>Restwassermenge mind. 10 m3/s ganzjährig</v>
      </c>
      <c r="AY31" s="775" t="str">
        <f>IF(VLOOKUP(A31,'Débit - Abfluss'!$A$4:$Q$275,17,FALSE)="","",VLOOKUP(A31,'Débit - Abfluss'!$A$4:$Q$275,17,FALSE))</f>
        <v>0-20%</v>
      </c>
      <c r="AZ31" s="749" t="str">
        <f>IF(VLOOKUP(A31,'Eclusée - Schwall-Sunk'!$A$2:$F$273,5,FALSE)="","",VLOOKUP(A31,'Eclusée - Schwall-Sunk'!$A$2:$F$273,5,FALSE))</f>
        <v>force hydraulique</v>
      </c>
      <c r="BA31" s="750" t="str">
        <f>IF(VLOOKUP(A31,'Eclusée - Schwall-Sunk'!$A$2:$F$273,6,FALSE)="","",VLOOKUP(A31,'Eclusée - Schwall-Sunk'!$A$2:$F$273,6,FALSE))</f>
        <v>Non affecté / nicht betroffen</v>
      </c>
      <c r="BB31" s="751">
        <f>IF(VLOOKUP(A31,'Revitalisation-Revitalisierung'!$A$4:$Z$275,5,FALSE)="","",VLOOKUP(A31,'Revitalisation-Revitalisierung'!$A$4:$Z$275,5,FALSE))</f>
        <v>-10</v>
      </c>
      <c r="BC31" s="752">
        <f>IF(VLOOKUP(A31,'Revitalisation-Revitalisierung'!$A$4:$Z$275,6,FALSE)="","",VLOOKUP(A31,'Revitalisation-Revitalisierung'!$A$4:$Z$275,6,FALSE))</f>
        <v>0</v>
      </c>
      <c r="BD31" s="752">
        <f>IF(VLOOKUP(A31,'Revitalisation-Revitalisierung'!$A$4:$Z$275,7,FALSE)="","",VLOOKUP(A31,'Revitalisation-Revitalisierung'!$A$4:$Z$275,7,FALSE))</f>
        <v>10</v>
      </c>
      <c r="BE31" s="753" t="str">
        <f>IF(VLOOKUP(A31,'Revitalisation-Revitalisierung'!$A$4:$Z$275,8,FALSE)="","",VLOOKUP(A31,'Revitalisation-Revitalisierung'!$A$4:$Z$275,8,FALSE))</f>
        <v>non nécessaire</v>
      </c>
      <c r="BF31" s="754" t="str">
        <f>IF(VLOOKUP(A31,'Revitalisation-Revitalisierung'!$A$4:$Z$275,9,FALSE)="","",VLOOKUP(A31,'Revitalisation-Revitalisierung'!$A$4:$Z$275,9,FALSE))</f>
        <v/>
      </c>
      <c r="BG31" s="754" t="str">
        <f>IF(VLOOKUP(A31,'Revitalisation-Revitalisierung'!$A$4:$Z$275,10,FALSE)="","",VLOOKUP(A31,'Revitalisation-Revitalisierung'!$A$4:$Z$275,10,FALSE))</f>
        <v>K1</v>
      </c>
      <c r="BH31" s="755" t="str">
        <f>IF(VLOOKUP(A31,'Revitalisation-Revitalisierung'!$A$4:$Z$275,11,FALSE)="","",VLOOKUP(A31,'Revitalisation-Revitalisierung'!$A$4:$Z$275,11,FALSE))</f>
        <v/>
      </c>
      <c r="BI31" s="756" t="str">
        <f>IF(VLOOKUP(A31,'Revitalisation-Revitalisierung'!$A$4:$Z$275,12,FALSE)="","",VLOOKUP(A31,'Revitalisation-Revitalisierung'!$A$4:$Z$275,12,FALSE))</f>
        <v/>
      </c>
      <c r="BJ31" s="757" t="str">
        <f>IF(VLOOKUP(A31,'Revitalisation-Revitalisierung'!$A$4:$Z$275,13,FALSE)="","",VLOOKUP(A31,'Revitalisation-Revitalisierung'!$A$4:$Z$275,13,FALSE))</f>
        <v>Partiellement nécessaire, difficile / teilweise nötig, schwierig</v>
      </c>
      <c r="BK31" s="870" t="str">
        <f>IF(VLOOKUP(A31,'Revitalisation-Revitalisierung'!$A$4:$Z$275,14,FALSE)="","",VLOOKUP(A31,'Revitalisation-Revitalisierung'!$A$4:$Z$275,14,FALSE))</f>
        <v>b</v>
      </c>
      <c r="BL31" s="758" t="str">
        <f>IF(VLOOKUP(A31,'Revitalisation-Revitalisierung'!$A$4:$Z$275,15,FALSE)="","",VLOOKUP(A31,'Revitalisation-Revitalisierung'!$A$4:$Z$275,15,FALSE))</f>
        <v>gross / mittel</v>
      </c>
      <c r="BM31" s="759" t="str">
        <f>IF(VLOOKUP(A31,'Revitalisation-Revitalisierung'!$A$4:$Z$275,16,FALSE)="","",VLOOKUP(A31,'Revitalisation-Revitalisierung'!$A$4:$Z$275,16,FALSE))</f>
        <v>gross / mittel</v>
      </c>
      <c r="BN31" s="759" t="str">
        <f>IF(VLOOKUP(A31,'Revitalisation-Revitalisierung'!$A$4:$Z$275,17,FALSE)="","",VLOOKUP(A31,'Revitalisation-Revitalisierung'!$A$4:$Z$275,17,FALSE))</f>
        <v>20 Jahre: 2. Drittel</v>
      </c>
      <c r="BO31" s="760" t="str">
        <f>IF(VLOOKUP(A31,'Revitalisation-Revitalisierung'!$A$4:$Z$275,18,FALSE)="","",VLOOKUP(A31,'Revitalisation-Revitalisierung'!$A$4:$Z$275,18,FALSE))</f>
        <v>Partiellement nécessaire, difficile / teilweise nötig, schwierig</v>
      </c>
      <c r="BP31" s="761" t="str">
        <f>IF(VLOOKUP(A31,'Revitalisation-Revitalisierung'!$A$4:$Z$275,19,FALSE)="","",VLOOKUP(A31,'Revitalisation-Revitalisierung'!$A$4:$Z$275,19,FALSE))</f>
        <v>Partiellement nécessaire, difficile / teilweise nötig, schwierig</v>
      </c>
      <c r="BQ31" s="759" t="str">
        <f>IF(VLOOKUP(A31,'Revitalisation-Revitalisierung'!$A$4:$Z$275,20,FALSE)="","",VLOOKUP(A31,'Revitalisation-Revitalisierung'!$A$4:$Z$275,20,FALSE))</f>
        <v>d</v>
      </c>
      <c r="BR31" s="759" t="str">
        <f>IF(VLOOKUP(A31,'Revitalisation-Revitalisierung'!$A$4:$Z$275,21,FALSE)="","",VLOOKUP(A31,'Revitalisation-Revitalisierung'!$A$4:$Z$275,21,FALSE))</f>
        <v/>
      </c>
      <c r="BS31" s="762" t="str">
        <f>IF(VLOOKUP(A31,'Revitalisation-Revitalisierung'!$A$4:$Z$275,22,FALSE)="","",VLOOKUP(A31,'Revitalisation-Revitalisierung'!$A$4:$Z$275,22,FALSE))</f>
        <v/>
      </c>
      <c r="BT31" s="703" t="str">
        <f>IF(VLOOKUP(A31,'Revitalisation-Revitalisierung'!$A$4:$Z$275,23,FALSE)="","",VLOOKUP(A31,'Revitalisation-Revitalisierung'!$A$4:$Z$275,23,FALSE))</f>
        <v>Très nécessaire, facile / unbedingt nötig, einfach</v>
      </c>
      <c r="BU31" s="699" t="str">
        <f>IF(VLOOKUP(A31,'Revitalisation-Revitalisierung'!$A$4:$Z$275,24,FALSE)="","",VLOOKUP(A31,'Revitalisation-Revitalisierung'!$A$4:$Z$275,24,FALSE))</f>
        <v>Im Rahmen der Umsetzung GSchG ist momentan ein Baugesuch der Konzessionärin hängig, welches die Geschiebedurchgängigkeit und die Fischwanderung sicherstellen und die Restwassermenge erhöhen soll. Dies sind die Voraussetzungen für eine Auenrevitalisierung durch den ASP, wofür bereits ein Vorprojekt vorliegt.</v>
      </c>
      <c r="BV31" s="761" t="str">
        <f>IF(VLOOKUP(A31,'Revitalisation-Revitalisierung'!$A$4:$Z$275,25,FALSE)="","",VLOOKUP(A31,'Revitalisation-Revitalisierung'!$A$4:$Z$275,25,FALSE))</f>
        <v>Très nécessaire, facile / unbedingt nötig, einfach</v>
      </c>
      <c r="BW31" s="871" t="str">
        <f>IF(VLOOKUP(A31,'Revitalisation-Revitalisierung'!$A$4:$AA$275,27,FALSE)="","",VLOOKUP(A31,'Revitalisation-Revitalisierung'!$A$4:$AA$275,27,FALSE))</f>
        <v>b</v>
      </c>
    </row>
    <row r="32" spans="1:75" ht="64.900000000000006" customHeight="1" x14ac:dyDescent="0.25">
      <c r="A32" s="935">
        <v>44</v>
      </c>
      <c r="B32" s="856">
        <f>IF(VLOOKUP(A32,'Données de base - Grunddaten'!$A$2:$M$297,2,FALSE)="","",VLOOKUP(A32,'Données de base - Grunddaten'!$A$2:$M$297,2,FALSE))</f>
        <v>1</v>
      </c>
      <c r="C32" s="857" t="str">
        <f>IF(VLOOKUP(A32,'Données de base - Grunddaten'!$A$2:$M$297,3,FALSE)="","",VLOOKUP(A32,'Données de base - Grunddaten'!$A$2:$M$297,3,FALSE))</f>
        <v>Oberburger Schachen</v>
      </c>
      <c r="D32" s="857" t="str">
        <f>IF(VLOOKUP(A32,'Données de base - Grunddaten'!$A$2:$M$297,4,FALSE)="","",VLOOKUP(A32,'Données de base - Grunddaten'!$A$2:$M$297,4,FALSE))</f>
        <v>Emme</v>
      </c>
      <c r="E32" s="857" t="str">
        <f>IF(VLOOKUP(A32,'Données de base - Grunddaten'!$A$2:$M$297,5,FALSE)="","",VLOOKUP(A32,'Données de base - Grunddaten'!$A$2:$M$297,5,FALSE))</f>
        <v>BE</v>
      </c>
      <c r="F32" s="857" t="str">
        <f>IF(VLOOKUP(A32,'Données de base - Grunddaten'!$A$2:$M$297,6,FALSE)="","",VLOOKUP(A32,'Données de base - Grunddaten'!$A$2:$M$297,6,FALSE))</f>
        <v>Plateau occidental</v>
      </c>
      <c r="G32" s="857" t="str">
        <f>IF(VLOOKUP(A32,'Données de base - Grunddaten'!$A$2:$M$297,7,FALSE)="","",VLOOKUP(A32,'Données de base - Grunddaten'!$A$2:$M$297,7,FALSE))</f>
        <v>Collinéen</v>
      </c>
      <c r="H32" s="857">
        <f>IF(VLOOKUP(A32,'Données de base - Grunddaten'!$A$2:$M$297,8,FALSE)="","",VLOOKUP(A32,'Données de base - Grunddaten'!$A$2:$M$297,8,FALSE))</f>
        <v>560</v>
      </c>
      <c r="I32" s="857">
        <f>IF(VLOOKUP(A32,'Données de base - Grunddaten'!$A$2:$M$297,9,FALSE)="","",VLOOKUP(A32,'Données de base - Grunddaten'!$A$2:$M$297,9,FALSE))</f>
        <v>1992</v>
      </c>
      <c r="J32" s="857">
        <f>IF(VLOOKUP(A32,'Données de base - Grunddaten'!$A$2:$M$297,10,FALSE)="","",VLOOKUP(A32,'Données de base - Grunddaten'!$A$2:$M$297,10,FALSE))</f>
        <v>52</v>
      </c>
      <c r="K32" s="857" t="str">
        <f>IF(VLOOKUP(A32,'Données de base - Grunddaten'!$A$2:$M$297,11,FALSE)="","",VLOOKUP(A32,'Données de base - Grunddaten'!$A$2:$M$297,11,FALSE))</f>
        <v>Cours d'eau corrigés de l'étage collinéen du Moyen-Pays</v>
      </c>
      <c r="L32" s="857" t="str">
        <f>IF(VLOOKUP(A32,'Données de base - Grunddaten'!$A$2:$M$297,12,FALSE)="","",VLOOKUP(A32,'Données de base - Grunddaten'!$A$2:$M$297,12,FALSE))</f>
        <v>cours rectiligne</v>
      </c>
      <c r="M32" s="858" t="str">
        <f>IF(VLOOKUP(A32,'Données de base - Grunddaten'!$A$2:$M$297,13,FALSE)="","",VLOOKUP(A32,'Données de base - Grunddaten'!$A$2:$M$297,13,FALSE))</f>
        <v>cours rectiligne</v>
      </c>
      <c r="N32" s="872" t="str">
        <f>IF(VLOOKUP(A32,'Charriage - Geschiebehaushalt'!$A$4:$R$275,5,FALSE)="","",VLOOKUP(A32,'Charriage - Geschiebehaushalt'!$A$4:$R$275,5,FALSE))</f>
        <v>pertinent</v>
      </c>
      <c r="O32" s="873" t="str">
        <f>IF(VLOOKUP(A32,'Charriage - Geschiebehaushalt'!$A$4:$R$275,6,FALSE)="","",VLOOKUP(A32,'Charriage - Geschiebehaushalt'!$A$4:$R$275,6,FALSE))</f>
        <v>21-50%</v>
      </c>
      <c r="P32" s="874">
        <f>IF(VLOOKUP(A32,'Charriage - Geschiebehaushalt'!$A$4:$R$275,7,FALSE)="","",VLOOKUP(A32,'Charriage - Geschiebehaushalt'!$A$4:$R$275,7,FALSE))</f>
        <v>-0.66853675722874895</v>
      </c>
      <c r="Q32" s="874" t="str">
        <f>IF(VLOOKUP(A32,'Charriage - Geschiebehaushalt'!$A$4:$R$275,8,FALSE)="","",VLOOKUP(A32,'Charriage - Geschiebehaushalt'!$A$4:$R$275,8,FALSE))</f>
        <v>pas d'incision</v>
      </c>
      <c r="R32" s="875">
        <f>IF(VLOOKUP(A32,'Charriage - Geschiebehaushalt'!$A$4:$R$275,9,FALSE)="","",VLOOKUP(A32,'Charriage - Geschiebehaushalt'!$A$4:$R$275,9,FALSE))</f>
        <v>1.3593108732085899</v>
      </c>
      <c r="S32" s="876" t="str">
        <f>IF(VLOOKUP(A32,'Charriage - Geschiebehaushalt'!$A$4:$R$275,10,FALSE)="","",VLOOKUP(A32,'Charriage - Geschiebehaushalt'!$A$4:$R$275,10,FALSE))</f>
        <v>la remobilisation des sédiments est perturbée</v>
      </c>
      <c r="T32" s="875">
        <f>IF(VLOOKUP(A32,'Charriage - Geschiebehaushalt'!$A$4:$R$275,11,FALSE)="","",VLOOKUP(A32,'Charriage - Geschiebehaushalt'!$A$4:$R$275,11,FALSE))</f>
        <v>3.3483626385999998E-2</v>
      </c>
      <c r="U32" s="876" t="str">
        <f>IF(VLOOKUP(A32,'Charriage - Geschiebehaushalt'!$A$4:$R$275,12,FALSE)="","",VLOOKUP(A32,'Charriage - Geschiebehaushalt'!$A$4:$R$275,12,FALSE))</f>
        <v>déficit dans les formations pionnières</v>
      </c>
      <c r="V32" s="877" t="str">
        <f>IF(VLOOKUP(A32,'Charriage - Geschiebehaushalt'!$A$4:$R$275,13,FALSE)="","",VLOOKUP(A32,'Charriage - Geschiebehaushalt'!$A$4:$R$275,13,FALSE))</f>
        <v/>
      </c>
      <c r="W32" s="877" t="str">
        <f>IF(VLOOKUP(A32,'Charriage - Geschiebehaushalt'!$A$4:$R$275,14,FALSE)="","",VLOOKUP(A32,'Charriage - Geschiebehaushalt'!$A$4:$R$275,14,FALSE))</f>
        <v/>
      </c>
      <c r="X32" s="877" t="str">
        <f>IF(VLOOKUP(A32,'Charriage - Geschiebehaushalt'!$A$4:$R$275,15,FALSE)="","",VLOOKUP(A32,'Charriage - Geschiebehaushalt'!$A$4:$R$275,15,FALSE))</f>
        <v/>
      </c>
      <c r="Y32" s="879" t="str">
        <f>IF(VLOOKUP(A32,'Charriage - Geschiebehaushalt'!$A$4:$R$275,16,FALSE)="","",VLOOKUP(A32,'Charriage - Geschiebehaushalt'!$A$4:$R$275,16,FALSE))</f>
        <v/>
      </c>
      <c r="Z32" s="763" t="str">
        <f>IF(VLOOKUP(A32,'Charriage - Geschiebehaushalt'!$A$4:$R$275,17,FALSE)="","",VLOOKUP(A32,'Charriage - Geschiebehaushalt'!$A$4:$R$275,17,FALSE))</f>
        <v>21-50%</v>
      </c>
      <c r="AA32" s="880" t="str">
        <f>IF(VLOOKUP(A32,'Charriage - Geschiebehaushalt'!$A$4:$R$275,18,FALSE)="","",VLOOKUP(A32,'Charriage - Geschiebehaushalt'!$A$4:$R$275,18,FALSE))</f>
        <v>a</v>
      </c>
      <c r="AB32" s="737" t="str">
        <f>IF(VLOOKUP(A32,'Charriage - Geschiebehaushalt'!$A$4:$AC$275,19,FALSE)="","",VLOOKUP(A32,'Charriage - Geschiebehaushalt'!$A$4:$AC$275,19,FALSE))</f>
        <v>wesentlich</v>
      </c>
      <c r="AC32" s="738" t="str">
        <f>IF(VLOOKUP(A32,'Charriage - Geschiebehaushalt'!$A$4:$AC$275,20,FALSE)="","",VLOOKUP(A32,'Charriage - Geschiebehaushalt'!$A$4:$AC$275,20,FALSE))</f>
        <v>Ja (gering)</v>
      </c>
      <c r="AD32" s="764" t="str">
        <f>IF(VLOOKUP(A32,'Charriage - Geschiebehaushalt'!$A$4:$AC$275,21,FALSE)="","",VLOOKUP(A32,'Charriage - Geschiebehaushalt'!$A$4:$AC$275,21,FALSE))</f>
        <v>21-50%</v>
      </c>
      <c r="AE32" s="740" t="str">
        <f>IF(VLOOKUP(A32,'Charriage - Geschiebehaushalt'!$A$4:$AC$275,22,FALSE)="","",VLOOKUP(A32,'Charriage - Geschiebehaushalt'!$A$4:$AC$275,22,FALSE))</f>
        <v>21-50%</v>
      </c>
      <c r="AF32" s="787" t="str">
        <f>IF(VLOOKUP(A32,'Charriage - Geschiebehaushalt'!$A$4:$AC$275,23,FALSE)="","",VLOOKUP(A32,'Charriage - Geschiebehaushalt'!$A$4:$AC$275,23,FALSE))</f>
        <v>d</v>
      </c>
      <c r="AG32" s="765" t="str">
        <f>IF(VLOOKUP(A32,'Charriage - Geschiebehaushalt'!$A$4:$AC$275,24,FALSE)="","",VLOOKUP(A32,'Charriage - Geschiebehaushalt'!$A$4:$AC$275,24,FALSE))</f>
        <v/>
      </c>
      <c r="AH32" s="764" t="str">
        <f>IF(VLOOKUP(A32,'Charriage - Geschiebehaushalt'!$A$4:$AC$275,25,FALSE)="","",VLOOKUP(A32,'Charriage - Geschiebehaushalt'!$A$4:$AC$275,25,FALSE))</f>
        <v/>
      </c>
      <c r="AI32" s="433" t="str">
        <f>IF(VLOOKUP(A32,'Charriage - Geschiebehaushalt'!$A$4:$AC$275,26,FALSE)="","",VLOOKUP(A32,'Charriage - Geschiebehaushalt'!$A$4:$AC$275,26,FALSE))</f>
        <v/>
      </c>
      <c r="AJ32" s="434" t="str">
        <f>IF(VLOOKUP(A32,'Charriage - Geschiebehaushalt'!$A$4:$AC$275,27,FALSE)="","",VLOOKUP(A32,'Charriage - Geschiebehaushalt'!$A$4:$AC$275,27,FALSE))</f>
        <v/>
      </c>
      <c r="AK32" s="801" t="str">
        <f>IF(VLOOKUP(A32,'Charriage - Geschiebehaushalt'!$A$4:$AC$275,28,FALSE)="","",VLOOKUP(A32,'Charriage - Geschiebehaushalt'!$A$4:$AC$275,28,FALSE))</f>
        <v>21-50%</v>
      </c>
      <c r="AL32" s="1285" t="str">
        <f>IF(VLOOKUP(A32,'Charriage - Geschiebehaushalt'!$A$4:$AD$275,30,FALSE)="","",VLOOKUP(A32,'Charriage - Geschiebehaushalt'!$A$4:$AD$275,30,FALSE))</f>
        <v>a</v>
      </c>
      <c r="AM32" s="1279" t="str">
        <f>IF(VLOOKUP(A32,'Débit - Abfluss'!$A$4:$K$275,5,FALSE)="","",VLOOKUP(A32,'Débit - Abfluss'!$A$4:$M$275,5,FALSE))</f>
        <v>100%</v>
      </c>
      <c r="AN32" s="868" t="str">
        <f>IF(VLOOKUP(A32,'Débit - Abfluss'!$A$4:$K$275,6,FALSE)="","",VLOOKUP(A32,'Débit - Abfluss'!$A$4:$M$275,6,FALSE))</f>
        <v>aucune information supplémentaire</v>
      </c>
      <c r="AO32" s="869" t="str">
        <f>IF(VLOOKUP(A32,'Débit - Abfluss'!$A$4:$K$275,7,FALSE)="","",VLOOKUP(A32,'Débit - Abfluss'!$A$4:$M$275,7,FALSE))</f>
        <v>aucune information supplémentaire</v>
      </c>
      <c r="AP32" s="766" t="str">
        <f>IF(VLOOKUP(A32,'Débit - Abfluss'!$A$4:$K$275,8,FALSE)="","",VLOOKUP(A32,'Débit - Abfluss'!$A$4:$M$275,8,FALSE))</f>
        <v>100%</v>
      </c>
      <c r="AQ32" s="742" t="str">
        <f>IF(VLOOKUP(A32,'Débit - Abfluss'!$A$4:$K$275,9,FALSE)="","",VLOOKUP(A32,'Débit - Abfluss'!$A$4:$M$275,9,FALSE))</f>
        <v>-</v>
      </c>
      <c r="AR32" s="767" t="str">
        <f>IF(VLOOKUP(A32,'Débit - Abfluss'!$A$4:$K$275,10,FALSE)="","",VLOOKUP(A32,'Débit - Abfluss'!$A$4:$M$275,10,FALSE))</f>
        <v>100%</v>
      </c>
      <c r="AS32" s="767" t="str">
        <f>IF(VLOOKUP(A32,'Débit - Abfluss'!$A$4:$K$275,11,FALSE)="","",VLOOKUP(A32,'Débit - Abfluss'!$A$4:$M$275,11,FALSE))</f>
        <v/>
      </c>
      <c r="AT32" s="744" t="str">
        <f>IF(VLOOKUP(A32,'Débit - Abfluss'!$A$4:$Q$275,12,FALSE)="","",VLOOKUP(A32,'Débit - Abfluss'!$A$4:$Q$275,12,FALSE))</f>
        <v/>
      </c>
      <c r="AU32" s="745" t="str">
        <f>IF(VLOOKUP(A32,'Débit - Abfluss'!$A$4:$Q$275,13,FALSE)="","",VLOOKUP(A32,'Débit - Abfluss'!$A$4:$Q$275,13,FALSE))</f>
        <v/>
      </c>
      <c r="AV32" s="746" t="str">
        <f>IF(VLOOKUP(A32,'Débit - Abfluss'!$A$4:$Q$275,14,FALSE)="","",VLOOKUP(A32,'Débit - Abfluss'!$A$4:$Q$275,14,FALSE))</f>
        <v/>
      </c>
      <c r="AW32" s="768" t="str">
        <f>IF(VLOOKUP(A32,'Débit - Abfluss'!$A$4:$Q$275,15,FALSE)="","",VLOOKUP(A32,'Débit - Abfluss'!$A$4:$Q$275,15,FALSE))</f>
        <v/>
      </c>
      <c r="AX32" s="677" t="str">
        <f>IF(VLOOKUP(A32,'Débit - Abfluss'!$A$4:$Q$275,16,FALSE)="","",VLOOKUP(A32,'Débit - Abfluss'!$A$4:$Q$275,16,FALSE))</f>
        <v/>
      </c>
      <c r="AY32" s="769" t="str">
        <f>IF(VLOOKUP(A32,'Débit - Abfluss'!$A$4:$Q$275,17,FALSE)="","",VLOOKUP(A32,'Débit - Abfluss'!$A$4:$Q$275,17,FALSE))</f>
        <v>100%</v>
      </c>
      <c r="AZ32" s="749" t="str">
        <f>IF(VLOOKUP(A32,'Eclusée - Schwall-Sunk'!$A$2:$F$273,5,FALSE)="","",VLOOKUP(A32,'Eclusée - Schwall-Sunk'!$A$2:$F$273,5,FALSE))</f>
        <v/>
      </c>
      <c r="BA32" s="750" t="str">
        <f>IF(VLOOKUP(A32,'Eclusée - Schwall-Sunk'!$A$2:$F$273,6,FALSE)="","",VLOOKUP(A32,'Eclusée - Schwall-Sunk'!$A$2:$F$273,6,FALSE))</f>
        <v>Non affecté / nicht betroffen</v>
      </c>
      <c r="BB32" s="751">
        <f>IF(VLOOKUP(A32,'Revitalisation-Revitalisierung'!$A$4:$Z$275,5,FALSE)="","",VLOOKUP(A32,'Revitalisation-Revitalisierung'!$A$4:$Z$275,5,FALSE))</f>
        <v>76.763636363636365</v>
      </c>
      <c r="BC32" s="752">
        <f>IF(VLOOKUP(A32,'Revitalisation-Revitalisierung'!$A$4:$Z$275,6,FALSE)="","",VLOOKUP(A32,'Revitalisation-Revitalisierung'!$A$4:$Z$275,6,FALSE))</f>
        <v>80.376799100354035</v>
      </c>
      <c r="BD32" s="752">
        <f>IF(VLOOKUP(A32,'Revitalisation-Revitalisierung'!$A$4:$Z$275,7,FALSE)="","",VLOOKUP(A32,'Revitalisation-Revitalisierung'!$A$4:$Z$275,7,FALSE))</f>
        <v>3.6363636363636362</v>
      </c>
      <c r="BE32" s="753" t="str">
        <f>IF(VLOOKUP(A32,'Revitalisation-Revitalisierung'!$A$4:$Z$275,8,FALSE)="","",VLOOKUP(A32,'Revitalisation-Revitalisierung'!$A$4:$Z$275,8,FALSE))</f>
        <v>très nécessaire, facile</v>
      </c>
      <c r="BF32" s="754" t="str">
        <f>IF(VLOOKUP(A32,'Revitalisation-Revitalisierung'!$A$4:$Z$275,9,FALSE)="","",VLOOKUP(A32,'Revitalisation-Revitalisierung'!$A$4:$Z$275,9,FALSE))</f>
        <v>schwierig</v>
      </c>
      <c r="BG32" s="754" t="str">
        <f>IF(VLOOKUP(A32,'Revitalisation-Revitalisierung'!$A$4:$Z$275,10,FALSE)="","",VLOOKUP(A32,'Revitalisation-Revitalisierung'!$A$4:$Z$275,10,FALSE))</f>
        <v>K1</v>
      </c>
      <c r="BH32" s="755" t="str">
        <f>IF(VLOOKUP(A32,'Revitalisation-Revitalisierung'!$A$4:$Z$275,11,FALSE)="","",VLOOKUP(A32,'Revitalisation-Revitalisierung'!$A$4:$Z$275,11,FALSE))</f>
        <v/>
      </c>
      <c r="BI32" s="756" t="str">
        <f>IF(VLOOKUP(A32,'Revitalisation-Revitalisierung'!$A$4:$Z$275,12,FALSE)="","",VLOOKUP(A32,'Revitalisation-Revitalisierung'!$A$4:$Z$275,12,FALSE))</f>
        <v/>
      </c>
      <c r="BJ32" s="757" t="str">
        <f>IF(VLOOKUP(A32,'Revitalisation-Revitalisierung'!$A$4:$Z$275,13,FALSE)="","",VLOOKUP(A32,'Revitalisation-Revitalisierung'!$A$4:$Z$275,13,FALSE))</f>
        <v>Très nécessaire, facile / unbedingt nötig, einfach</v>
      </c>
      <c r="BK32" s="870" t="str">
        <f>IF(VLOOKUP(A32,'Revitalisation-Revitalisierung'!$A$4:$Z$275,14,FALSE)="","",VLOOKUP(A32,'Revitalisation-Revitalisierung'!$A$4:$Z$275,14,FALSE))</f>
        <v>a</v>
      </c>
      <c r="BL32" s="758" t="str">
        <f>IF(VLOOKUP(A32,'Revitalisation-Revitalisierung'!$A$4:$Z$275,15,FALSE)="","",VLOOKUP(A32,'Revitalisation-Revitalisierung'!$A$4:$Z$275,15,FALSE))</f>
        <v>gross</v>
      </c>
      <c r="BM32" s="759" t="str">
        <f>IF(VLOOKUP(A32,'Revitalisation-Revitalisierung'!$A$4:$Z$275,16,FALSE)="","",VLOOKUP(A32,'Revitalisation-Revitalisierung'!$A$4:$Z$275,16,FALSE))</f>
        <v>gross</v>
      </c>
      <c r="BN32" s="759" t="str">
        <f>IF(VLOOKUP(A32,'Revitalisation-Revitalisierung'!$A$4:$Z$275,17,FALSE)="","",VLOOKUP(A32,'Revitalisation-Revitalisierung'!$A$4:$Z$275,17,FALSE))</f>
        <v>hoch</v>
      </c>
      <c r="BO32" s="760" t="str">
        <f>IF(VLOOKUP(A32,'Revitalisation-Revitalisierung'!$A$4:$Z$275,18,FALSE)="","",VLOOKUP(A32,'Revitalisation-Revitalisierung'!$A$4:$Z$275,18,FALSE))</f>
        <v>Très nécessaire, facile / unbedingt nötig, einfach</v>
      </c>
      <c r="BP32" s="761" t="str">
        <f>IF(VLOOKUP(A32,'Revitalisation-Revitalisierung'!$A$4:$Z$275,19,FALSE)="","",VLOOKUP(A32,'Revitalisation-Revitalisierung'!$A$4:$Z$275,19,FALSE))</f>
        <v>Très nécessaire, facile / unbedingt nötig, einfach</v>
      </c>
      <c r="BQ32" s="759" t="str">
        <f>IF(VLOOKUP(A32,'Revitalisation-Revitalisierung'!$A$4:$Z$275,20,FALSE)="","",VLOOKUP(A32,'Revitalisation-Revitalisierung'!$A$4:$Z$275,20,FALSE))</f>
        <v>d</v>
      </c>
      <c r="BR32" s="759" t="str">
        <f>IF(VLOOKUP(A32,'Revitalisation-Revitalisierung'!$A$4:$Z$275,21,FALSE)="","",VLOOKUP(A32,'Revitalisation-Revitalisierung'!$A$4:$Z$275,21,FALSE))</f>
        <v/>
      </c>
      <c r="BS32" s="762" t="str">
        <f>IF(VLOOKUP(A32,'Revitalisation-Revitalisierung'!$A$4:$Z$275,22,FALSE)="","",VLOOKUP(A32,'Revitalisation-Revitalisierung'!$A$4:$Z$275,22,FALSE))</f>
        <v/>
      </c>
      <c r="BT32" s="703" t="str">
        <f>IF(VLOOKUP(A32,'Revitalisation-Revitalisierung'!$A$4:$Z$275,23,FALSE)="","",VLOOKUP(A32,'Revitalisation-Revitalisierung'!$A$4:$Z$275,23,FALSE))</f>
        <v/>
      </c>
      <c r="BU32" s="699" t="str">
        <f>IF(VLOOKUP(A32,'Revitalisation-Revitalisierung'!$A$4:$Z$275,24,FALSE)="","",VLOOKUP(A32,'Revitalisation-Revitalisierung'!$A$4:$Z$275,24,FALSE))</f>
        <v xml:space="preserve">unbedingt nötig, schwierig. </v>
      </c>
      <c r="BV32" s="761" t="str">
        <f>IF(VLOOKUP(A32,'Revitalisation-Revitalisierung'!$A$4:$Z$275,25,FALSE)="","",VLOOKUP(A32,'Revitalisation-Revitalisierung'!$A$4:$Z$275,25,FALSE))</f>
        <v>Très nécessaire, difficile / unbedingt nötig, schwierig</v>
      </c>
      <c r="BW32" s="871" t="str">
        <f>IF(VLOOKUP(A32,'Revitalisation-Revitalisierung'!$A$4:$AA$275,27,FALSE)="","",VLOOKUP(A32,'Revitalisation-Revitalisierung'!$A$4:$AA$275,27,FALSE))</f>
        <v>a</v>
      </c>
    </row>
    <row r="33" spans="1:75" ht="64.900000000000006" customHeight="1" x14ac:dyDescent="0.25">
      <c r="A33" s="935">
        <v>45</v>
      </c>
      <c r="B33" s="856">
        <f>IF(VLOOKUP(A33,'Données de base - Grunddaten'!$A$2:$M$297,2,FALSE)="","",VLOOKUP(A33,'Données de base - Grunddaten'!$A$2:$M$297,2,FALSE))</f>
        <v>1</v>
      </c>
      <c r="C33" s="857" t="str">
        <f>IF(VLOOKUP(A33,'Données de base - Grunddaten'!$A$2:$M$297,3,FALSE)="","",VLOOKUP(A33,'Données de base - Grunddaten'!$A$2:$M$297,3,FALSE))</f>
        <v>Emmenschachen</v>
      </c>
      <c r="D33" s="857" t="str">
        <f>IF(VLOOKUP(A33,'Données de base - Grunddaten'!$A$2:$M$297,4,FALSE)="","",VLOOKUP(A33,'Données de base - Grunddaten'!$A$2:$M$297,4,FALSE))</f>
        <v>Aare, Emme</v>
      </c>
      <c r="E33" s="857" t="str">
        <f>IF(VLOOKUP(A33,'Données de base - Grunddaten'!$A$2:$M$297,5,FALSE)="","",VLOOKUP(A33,'Données de base - Grunddaten'!$A$2:$M$297,5,FALSE))</f>
        <v>SO</v>
      </c>
      <c r="F33" s="857" t="str">
        <f>IF(VLOOKUP(A33,'Données de base - Grunddaten'!$A$2:$M$297,6,FALSE)="","",VLOOKUP(A33,'Données de base - Grunddaten'!$A$2:$M$297,6,FALSE))</f>
        <v>Plateau occidental</v>
      </c>
      <c r="G33" s="857" t="str">
        <f>IF(VLOOKUP(A33,'Données de base - Grunddaten'!$A$2:$M$297,7,FALSE)="","",VLOOKUP(A33,'Données de base - Grunddaten'!$A$2:$M$297,7,FALSE))</f>
        <v>Collinéen</v>
      </c>
      <c r="H33" s="857">
        <f>IF(VLOOKUP(A33,'Données de base - Grunddaten'!$A$2:$M$297,8,FALSE)="","",VLOOKUP(A33,'Données de base - Grunddaten'!$A$2:$M$297,8,FALSE))</f>
        <v>430</v>
      </c>
      <c r="I33" s="857">
        <f>IF(VLOOKUP(A33,'Données de base - Grunddaten'!$A$2:$M$297,9,FALSE)="","",VLOOKUP(A33,'Données de base - Grunddaten'!$A$2:$M$297,9,FALSE))</f>
        <v>1992</v>
      </c>
      <c r="J33" s="857">
        <f>IF(VLOOKUP(A33,'Données de base - Grunddaten'!$A$2:$M$297,10,FALSE)="","",VLOOKUP(A33,'Données de base - Grunddaten'!$A$2:$M$297,10,FALSE))</f>
        <v>52</v>
      </c>
      <c r="K33" s="857" t="str">
        <f>IF(VLOOKUP(A33,'Données de base - Grunddaten'!$A$2:$M$297,11,FALSE)="","",VLOOKUP(A33,'Données de base - Grunddaten'!$A$2:$M$297,11,FALSE))</f>
        <v>Cours d'eau corrigés de l'étage collinéen du Moyen-Pays</v>
      </c>
      <c r="L33" s="857" t="str">
        <f>IF(VLOOKUP(A33,'Données de base - Grunddaten'!$A$2:$M$297,12,FALSE)="","",VLOOKUP(A33,'Données de base - Grunddaten'!$A$2:$M$297,12,FALSE))</f>
        <v>en tresses</v>
      </c>
      <c r="M33" s="858" t="str">
        <f>IF(VLOOKUP(A33,'Données de base - Grunddaten'!$A$2:$M$297,13,FALSE)="","",VLOOKUP(A33,'Données de base - Grunddaten'!$A$2:$M$297,13,FALSE))</f>
        <v>cours rectiligne</v>
      </c>
      <c r="N33" s="872" t="str">
        <f>IF(VLOOKUP(A33,'Charriage - Geschiebehaushalt'!$A$4:$R$275,5,FALSE)="","",VLOOKUP(A33,'Charriage - Geschiebehaushalt'!$A$4:$R$275,5,FALSE))</f>
        <v>pertinent</v>
      </c>
      <c r="O33" s="873" t="str">
        <f>IF(VLOOKUP(A33,'Charriage - Geschiebehaushalt'!$A$4:$R$275,6,FALSE)="","",VLOOKUP(A33,'Charriage - Geschiebehaushalt'!$A$4:$R$275,6,FALSE))</f>
        <v>21-50%</v>
      </c>
      <c r="P33" s="874">
        <f>IF(VLOOKUP(A33,'Charriage - Geschiebehaushalt'!$A$4:$R$275,7,FALSE)="","",VLOOKUP(A33,'Charriage - Geschiebehaushalt'!$A$4:$R$275,7,FALSE))</f>
        <v>0.45148814228414802</v>
      </c>
      <c r="Q33" s="874" t="str">
        <f>IF(VLOOKUP(A33,'Charriage - Geschiebehaushalt'!$A$4:$R$275,8,FALSE)="","",VLOOKUP(A33,'Charriage - Geschiebehaushalt'!$A$4:$R$275,8,FALSE))</f>
        <v>pas d'incision</v>
      </c>
      <c r="R33" s="875">
        <f>IF(VLOOKUP(A33,'Charriage - Geschiebehaushalt'!$A$4:$R$275,9,FALSE)="","",VLOOKUP(A33,'Charriage - Geschiebehaushalt'!$A$4:$R$275,9,FALSE))</f>
        <v>1.2066280128763271</v>
      </c>
      <c r="S33" s="876" t="str">
        <f>IF(VLOOKUP(A33,'Charriage - Geschiebehaushalt'!$A$4:$R$275,10,FALSE)="","",VLOOKUP(A33,'Charriage - Geschiebehaushalt'!$A$4:$R$275,10,FALSE))</f>
        <v>la remobilisation des sédiments est perturbée</v>
      </c>
      <c r="T33" s="875">
        <f>IF(VLOOKUP(A33,'Charriage - Geschiebehaushalt'!$A$4:$R$275,11,FALSE)="","",VLOOKUP(A33,'Charriage - Geschiebehaushalt'!$A$4:$R$275,11,FALSE))</f>
        <v>0.34951352568999999</v>
      </c>
      <c r="U33" s="876" t="str">
        <f>IF(VLOOKUP(A33,'Charriage - Geschiebehaushalt'!$A$4:$R$275,12,FALSE)="","",VLOOKUP(A33,'Charriage - Geschiebehaushalt'!$A$4:$R$275,12,FALSE))</f>
        <v>déficit non apparent en charriage ou en remobilisation des sédiments</v>
      </c>
      <c r="V33" s="877" t="str">
        <f>IF(VLOOKUP(A33,'Charriage - Geschiebehaushalt'!$A$4:$R$275,13,FALSE)="","",VLOOKUP(A33,'Charriage - Geschiebehaushalt'!$A$4:$R$275,13,FALSE))</f>
        <v/>
      </c>
      <c r="W33" s="877" t="str">
        <f>IF(VLOOKUP(A33,'Charriage - Geschiebehaushalt'!$A$4:$R$275,14,FALSE)="","",VLOOKUP(A33,'Charriage - Geschiebehaushalt'!$A$4:$R$275,14,FALSE))</f>
        <v/>
      </c>
      <c r="X33" s="877" t="str">
        <f>IF(VLOOKUP(A33,'Charriage - Geschiebehaushalt'!$A$4:$R$275,15,FALSE)="","",VLOOKUP(A33,'Charriage - Geschiebehaushalt'!$A$4:$R$275,15,FALSE))</f>
        <v/>
      </c>
      <c r="Y33" s="879" t="str">
        <f>IF(VLOOKUP(A33,'Charriage - Geschiebehaushalt'!$A$4:$R$275,16,FALSE)="","",VLOOKUP(A33,'Charriage - Geschiebehaushalt'!$A$4:$R$275,16,FALSE))</f>
        <v/>
      </c>
      <c r="Z33" s="763" t="str">
        <f>IF(VLOOKUP(A33,'Charriage - Geschiebehaushalt'!$A$4:$R$275,17,FALSE)="","",VLOOKUP(A33,'Charriage - Geschiebehaushalt'!$A$4:$R$275,17,FALSE))</f>
        <v>21-50%</v>
      </c>
      <c r="AA33" s="880" t="str">
        <f>IF(VLOOKUP(A33,'Charriage - Geschiebehaushalt'!$A$4:$R$275,18,FALSE)="","",VLOOKUP(A33,'Charriage - Geschiebehaushalt'!$A$4:$R$275,18,FALSE))</f>
        <v>a</v>
      </c>
      <c r="AB33" s="737" t="str">
        <f>IF(VLOOKUP(A33,'Charriage - Geschiebehaushalt'!$A$4:$AC$275,19,FALSE)="","",VLOOKUP(A33,'Charriage - Geschiebehaushalt'!$A$4:$AC$275,19,FALSE))</f>
        <v>mittel/sehr stark</v>
      </c>
      <c r="AC33" s="738" t="str">
        <f>IF(VLOOKUP(A33,'Charriage - Geschiebehaushalt'!$A$4:$AC$275,20,FALSE)="","",VLOOKUP(A33,'Charriage - Geschiebehaushalt'!$A$4:$AC$275,20,FALSE))</f>
        <v>Ja (-)</v>
      </c>
      <c r="AD33" s="764" t="str">
        <f>IF(VLOOKUP(A33,'Charriage - Geschiebehaushalt'!$A$4:$AC$275,21,FALSE)="","",VLOOKUP(A33,'Charriage - Geschiebehaushalt'!$A$4:$AC$275,21,FALSE))</f>
        <v>51-80%</v>
      </c>
      <c r="AE33" s="740" t="str">
        <f>IF(VLOOKUP(A33,'Charriage - Geschiebehaushalt'!$A$4:$AC$275,22,FALSE)="","",VLOOKUP(A33,'Charriage - Geschiebehaushalt'!$A$4:$AC$275,22,FALSE))</f>
        <v>51-80%</v>
      </c>
      <c r="AF33" s="787" t="str">
        <f>IF(VLOOKUP(A33,'Charriage - Geschiebehaushalt'!$A$4:$AC$275,23,FALSE)="","",VLOOKUP(A33,'Charriage - Geschiebehaushalt'!$A$4:$AC$275,23,FALSE))</f>
        <v>c</v>
      </c>
      <c r="AG33" s="765" t="str">
        <f>IF(VLOOKUP(A33,'Charriage - Geschiebehaushalt'!$A$4:$AC$275,24,FALSE)="","",VLOOKUP(A33,'Charriage - Geschiebehaushalt'!$A$4:$AC$275,24,FALSE))</f>
        <v>Avis du canton parait  mieux fondé</v>
      </c>
      <c r="AH33" s="764" t="str">
        <f>IF(VLOOKUP(A33,'Charriage - Geschiebehaushalt'!$A$4:$AC$275,25,FALSE)="","",VLOOKUP(A33,'Charriage - Geschiebehaushalt'!$A$4:$AC$275,25,FALSE))</f>
        <v/>
      </c>
      <c r="AI33" s="433" t="str">
        <f>IF(VLOOKUP(A33,'Charriage - Geschiebehaushalt'!$A$4:$AC$275,26,FALSE)="","",VLOOKUP(A33,'Charriage - Geschiebehaushalt'!$A$4:$AC$275,26,FALSE))</f>
        <v/>
      </c>
      <c r="AJ33" s="436" t="str">
        <f>IF(VLOOKUP(A33,'Charriage - Geschiebehaushalt'!$A$4:$AC$275,27,FALSE)="","",VLOOKUP(A33,'Charriage - Geschiebehaushalt'!$A$4:$AC$275,27,FALSE))</f>
        <v>Hochwasserschutzprojekt Emme in Realisierung  (Kontakt: Ropger Dürrenmatt, Amt für Umwelt, Tel. 032 627 27 67; roger.duerrenmatt@bd.so.ch)</v>
      </c>
      <c r="AK33" s="801" t="str">
        <f>IF(VLOOKUP(A33,'Charriage - Geschiebehaushalt'!$A$4:$AC$275,28,FALSE)="","",VLOOKUP(A33,'Charriage - Geschiebehaushalt'!$A$4:$AC$275,28,FALSE))</f>
        <v>51-80%</v>
      </c>
      <c r="AL33" s="1285" t="str">
        <f>IF(VLOOKUP(A33,'Charriage - Geschiebehaushalt'!$A$4:$AD$275,30,FALSE)="","",VLOOKUP(A33,'Charriage - Geschiebehaushalt'!$A$4:$AD$275,30,FALSE))</f>
        <v>a</v>
      </c>
      <c r="AM33" s="1279" t="str">
        <f>IF(VLOOKUP(A33,'Débit - Abfluss'!$A$4:$K$275,5,FALSE)="","",VLOOKUP(A33,'Débit - Abfluss'!$A$4:$M$275,5,FALSE))</f>
        <v>61-80%</v>
      </c>
      <c r="AN33" s="885" t="str">
        <f>IF(VLOOKUP(A33,'Débit - Abfluss'!$A$4:$K$275,6,FALSE)="","",VLOOKUP(A33,'Débit - Abfluss'!$A$4:$M$275,6,FALSE))</f>
        <v/>
      </c>
      <c r="AO33" s="889" t="str">
        <f>IF(VLOOKUP(A33,'Débit - Abfluss'!$A$4:$K$275,7,FALSE)="","",VLOOKUP(A33,'Débit - Abfluss'!$A$4:$M$275,7,FALSE))</f>
        <v/>
      </c>
      <c r="AP33" s="766" t="str">
        <f>IF(VLOOKUP(A33,'Débit - Abfluss'!$A$4:$K$275,8,FALSE)="","",VLOOKUP(A33,'Débit - Abfluss'!$A$4:$M$275,8,FALSE))</f>
        <v>61-80%</v>
      </c>
      <c r="AQ33" s="678" t="str">
        <f>IF(VLOOKUP(A33,'Débit - Abfluss'!$A$4:$K$275,9,FALSE)="","",VLOOKUP(A33,'Débit - Abfluss'!$A$4:$M$275,9,FALSE))</f>
        <v>50-90%</v>
      </c>
      <c r="AR33" s="767" t="str">
        <f>IF(VLOOKUP(A33,'Débit - Abfluss'!$A$4:$K$275,10,FALSE)="","",VLOOKUP(A33,'Débit - Abfluss'!$A$4:$M$275,10,FALSE))</f>
        <v>61-80%</v>
      </c>
      <c r="AS33" s="767" t="str">
        <f>IF(VLOOKUP(A33,'Débit - Abfluss'!$A$4:$K$275,11,FALSE)="","",VLOOKUP(A33,'Débit - Abfluss'!$A$4:$M$275,11,FALSE))</f>
        <v/>
      </c>
      <c r="AT33" s="744" t="str">
        <f>IF(VLOOKUP(A33,'Débit - Abfluss'!$A$4:$Q$275,12,FALSE)="","",VLOOKUP(A33,'Débit - Abfluss'!$A$4:$Q$275,12,FALSE))</f>
        <v/>
      </c>
      <c r="AU33" s="745" t="str">
        <f>IF(VLOOKUP(A33,'Débit - Abfluss'!$A$4:$Q$275,13,FALSE)="","",VLOOKUP(A33,'Débit - Abfluss'!$A$4:$Q$275,13,FALSE))</f>
        <v/>
      </c>
      <c r="AV33" s="746" t="str">
        <f>IF(VLOOKUP(A33,'Débit - Abfluss'!$A$4:$Q$275,14,FALSE)="","",VLOOKUP(A33,'Débit - Abfluss'!$A$4:$Q$275,14,FALSE))</f>
        <v>SO-W 6</v>
      </c>
      <c r="AW33" s="768" t="str">
        <f>IF(VLOOKUP(A33,'Débit - Abfluss'!$A$4:$Q$275,15,FALSE)="","",VLOOKUP(A33,'Débit - Abfluss'!$A$4:$Q$275,15,FALSE))</f>
        <v>Biberist</v>
      </c>
      <c r="AX33" s="677" t="str">
        <f>IF(VLOOKUP(A33,'Débit - Abfluss'!$A$4:$Q$275,16,FALSE)="","",VLOOKUP(A33,'Débit - Abfluss'!$A$4:$Q$275,16,FALSE))</f>
        <v/>
      </c>
      <c r="AY33" s="769" t="str">
        <f>IF(VLOOKUP(A33,'Débit - Abfluss'!$A$4:$Q$275,17,FALSE)="","",VLOOKUP(A33,'Débit - Abfluss'!$A$4:$Q$275,17,FALSE))</f>
        <v>61-80%</v>
      </c>
      <c r="AZ33" s="749" t="str">
        <f>IF(VLOOKUP(A33,'Eclusée - Schwall-Sunk'!$A$2:$F$273,5,FALSE)="","",VLOOKUP(A33,'Eclusée - Schwall-Sunk'!$A$2:$F$273,5,FALSE))</f>
        <v>force hydraulique</v>
      </c>
      <c r="BA33" s="750" t="str">
        <f>IF(VLOOKUP(A33,'Eclusée - Schwall-Sunk'!$A$2:$F$273,6,FALSE)="","",VLOOKUP(A33,'Eclusée - Schwall-Sunk'!$A$2:$F$273,6,FALSE))</f>
        <v>Non affecté / nicht betroffen</v>
      </c>
      <c r="BB33" s="751">
        <f>IF(VLOOKUP(A33,'Revitalisation-Revitalisierung'!$A$4:$Z$275,5,FALSE)="","",VLOOKUP(A33,'Revitalisation-Revitalisierung'!$A$4:$Z$275,5,FALSE))</f>
        <v>52.63636363636364</v>
      </c>
      <c r="BC33" s="752">
        <f>IF(VLOOKUP(A33,'Revitalisation-Revitalisierung'!$A$4:$Z$275,6,FALSE)="","",VLOOKUP(A33,'Revitalisation-Revitalisierung'!$A$4:$Z$275,6,FALSE))</f>
        <v>64.010123691815977</v>
      </c>
      <c r="BD33" s="752">
        <f>IF(VLOOKUP(A33,'Revitalisation-Revitalisierung'!$A$4:$Z$275,7,FALSE)="","",VLOOKUP(A33,'Revitalisation-Revitalisierung'!$A$4:$Z$275,7,FALSE))</f>
        <v>11.363636363636363</v>
      </c>
      <c r="BE33" s="753" t="str">
        <f>IF(VLOOKUP(A33,'Revitalisation-Revitalisierung'!$A$4:$Z$275,8,FALSE)="","",VLOOKUP(A33,'Revitalisation-Revitalisierung'!$A$4:$Z$275,8,FALSE))</f>
        <v>très nécessaire, facile</v>
      </c>
      <c r="BF33" s="754" t="str">
        <f>IF(VLOOKUP(A33,'Revitalisation-Revitalisierung'!$A$4:$Z$275,9,FALSE)="","",VLOOKUP(A33,'Revitalisation-Revitalisierung'!$A$4:$Z$275,9,FALSE))</f>
        <v/>
      </c>
      <c r="BG33" s="754" t="str">
        <f>IF(VLOOKUP(A33,'Revitalisation-Revitalisierung'!$A$4:$Z$275,10,FALSE)="","",VLOOKUP(A33,'Revitalisation-Revitalisierung'!$A$4:$Z$275,10,FALSE))</f>
        <v>K1</v>
      </c>
      <c r="BH33" s="755" t="str">
        <f>IF(VLOOKUP(A33,'Revitalisation-Revitalisierung'!$A$4:$Z$275,11,FALSE)="","",VLOOKUP(A33,'Revitalisation-Revitalisierung'!$A$4:$Z$275,11,FALSE))</f>
        <v/>
      </c>
      <c r="BI33" s="756" t="str">
        <f>IF(VLOOKUP(A33,'Revitalisation-Revitalisierung'!$A$4:$Z$275,12,FALSE)="","",VLOOKUP(A33,'Revitalisation-Revitalisierung'!$A$4:$Z$275,12,FALSE))</f>
        <v/>
      </c>
      <c r="BJ33" s="757" t="str">
        <f>IF(VLOOKUP(A33,'Revitalisation-Revitalisierung'!$A$4:$Z$275,13,FALSE)="","",VLOOKUP(A33,'Revitalisation-Revitalisierung'!$A$4:$Z$275,13,FALSE))</f>
        <v>Très nécessaire, facile / unbedingt nötig, einfach</v>
      </c>
      <c r="BK33" s="870" t="str">
        <f>IF(VLOOKUP(A33,'Revitalisation-Revitalisierung'!$A$4:$Z$275,14,FALSE)="","",VLOOKUP(A33,'Revitalisation-Revitalisierung'!$A$4:$Z$275,14,FALSE))</f>
        <v>a</v>
      </c>
      <c r="BL33" s="758" t="str">
        <f>IF(VLOOKUP(A33,'Revitalisation-Revitalisierung'!$A$4:$Z$275,15,FALSE)="","",VLOOKUP(A33,'Revitalisation-Revitalisierung'!$A$4:$Z$275,15,FALSE))</f>
        <v>gross</v>
      </c>
      <c r="BM33" s="759" t="str">
        <f>IF(VLOOKUP(A33,'Revitalisation-Revitalisierung'!$A$4:$Z$275,16,FALSE)="","",VLOOKUP(A33,'Revitalisation-Revitalisierung'!$A$4:$Z$275,16,FALSE))</f>
        <v>gross</v>
      </c>
      <c r="BN33" s="759" t="str">
        <f>IF(VLOOKUP(A33,'Revitalisation-Revitalisierung'!$A$4:$Z$275,17,FALSE)="","",VLOOKUP(A33,'Revitalisation-Revitalisierung'!$A$4:$Z$275,17,FALSE))</f>
        <v>Umsetzung in den nächsten 20 Jahren</v>
      </c>
      <c r="BO33" s="760" t="str">
        <f>IF(VLOOKUP(A33,'Revitalisation-Revitalisierung'!$A$4:$Z$275,18,FALSE)="","",VLOOKUP(A33,'Revitalisation-Revitalisierung'!$A$4:$Z$275,18,FALSE))</f>
        <v>Très nécessaire, facile / unbedingt nötig, einfach</v>
      </c>
      <c r="BP33" s="761" t="str">
        <f>IF(VLOOKUP(A33,'Revitalisation-Revitalisierung'!$A$4:$Z$275,19,FALSE)="","",VLOOKUP(A33,'Revitalisation-Revitalisierung'!$A$4:$Z$275,19,FALSE))</f>
        <v>Très nécessaire, facile / unbedingt nötig, einfach</v>
      </c>
      <c r="BQ33" s="759" t="str">
        <f>IF(VLOOKUP(A33,'Revitalisation-Revitalisierung'!$A$4:$Z$275,20,FALSE)="","",VLOOKUP(A33,'Revitalisation-Revitalisierung'!$A$4:$Z$275,20,FALSE))</f>
        <v>d</v>
      </c>
      <c r="BR33" s="759" t="str">
        <f>IF(VLOOKUP(A33,'Revitalisation-Revitalisierung'!$A$4:$Z$275,21,FALSE)="","",VLOOKUP(A33,'Revitalisation-Revitalisierung'!$A$4:$Z$275,21,FALSE))</f>
        <v/>
      </c>
      <c r="BS33" s="762" t="str">
        <f>IF(VLOOKUP(A33,'Revitalisation-Revitalisierung'!$A$4:$Z$275,22,FALSE)="","",VLOOKUP(A33,'Revitalisation-Revitalisierung'!$A$4:$Z$275,22,FALSE))</f>
        <v/>
      </c>
      <c r="BT33" s="703" t="str">
        <f>IF(VLOOKUP(A33,'Revitalisation-Revitalisierung'!$A$4:$Z$275,23,FALSE)="","",VLOOKUP(A33,'Revitalisation-Revitalisierung'!$A$4:$Z$275,23,FALSE))</f>
        <v/>
      </c>
      <c r="BU33" s="699" t="str">
        <f>IF(VLOOKUP(A33,'Revitalisation-Revitalisierung'!$A$4:$Z$275,24,FALSE)="","",VLOOKUP(A33,'Revitalisation-Revitalisierung'!$A$4:$Z$275,24,FALSE))</f>
        <v>Revitalisierung im Rahmen des Hochwasserschutzprojektes genehmigt; Realisierung ab 2017.</v>
      </c>
      <c r="BV33" s="761" t="str">
        <f>IF(VLOOKUP(A33,'Revitalisation-Revitalisierung'!$A$4:$Z$275,25,FALSE)="","",VLOOKUP(A33,'Revitalisation-Revitalisierung'!$A$4:$Z$275,25,FALSE))</f>
        <v>Très nécessaire, facile / unbedingt nötig, einfach</v>
      </c>
      <c r="BW33" s="871" t="str">
        <f>IF(VLOOKUP(A33,'Revitalisation-Revitalisierung'!$A$4:$AA$275,27,FALSE)="","",VLOOKUP(A33,'Revitalisation-Revitalisierung'!$A$4:$AA$275,27,FALSE))</f>
        <v>a</v>
      </c>
    </row>
    <row r="34" spans="1:75" ht="130.9" customHeight="1" x14ac:dyDescent="0.25">
      <c r="A34" s="935">
        <v>46</v>
      </c>
      <c r="B34" s="856">
        <f>IF(VLOOKUP(A34,'Données de base - Grunddaten'!$A$2:$M$297,2,FALSE)="","",VLOOKUP(A34,'Données de base - Grunddaten'!$A$2:$M$297,2,FALSE))</f>
        <v>1</v>
      </c>
      <c r="C34" s="857" t="str">
        <f>IF(VLOOKUP(A34,'Données de base - Grunddaten'!$A$2:$M$297,3,FALSE)="","",VLOOKUP(A34,'Données de base - Grunddaten'!$A$2:$M$297,3,FALSE))</f>
        <v>Utzenstorfer Schachen</v>
      </c>
      <c r="D34" s="857" t="str">
        <f>IF(VLOOKUP(A34,'Données de base - Grunddaten'!$A$2:$M$297,4,FALSE)="","",VLOOKUP(A34,'Données de base - Grunddaten'!$A$2:$M$297,4,FALSE))</f>
        <v>Emme</v>
      </c>
      <c r="E34" s="857" t="str">
        <f>IF(VLOOKUP(A34,'Données de base - Grunddaten'!$A$2:$M$297,5,FALSE)="","",VLOOKUP(A34,'Données de base - Grunddaten'!$A$2:$M$297,5,FALSE))</f>
        <v>BE</v>
      </c>
      <c r="F34" s="857" t="str">
        <f>IF(VLOOKUP(A34,'Données de base - Grunddaten'!$A$2:$M$297,6,FALSE)="","",VLOOKUP(A34,'Données de base - Grunddaten'!$A$2:$M$297,6,FALSE))</f>
        <v>Plateau occidental</v>
      </c>
      <c r="G34" s="857" t="str">
        <f>IF(VLOOKUP(A34,'Données de base - Grunddaten'!$A$2:$M$297,7,FALSE)="","",VLOOKUP(A34,'Données de base - Grunddaten'!$A$2:$M$297,7,FALSE))</f>
        <v>Collinéen</v>
      </c>
      <c r="H34" s="857">
        <f>IF(VLOOKUP(A34,'Données de base - Grunddaten'!$A$2:$M$297,8,FALSE)="","",VLOOKUP(A34,'Données de base - Grunddaten'!$A$2:$M$297,8,FALSE))</f>
        <v>480</v>
      </c>
      <c r="I34" s="857">
        <f>IF(VLOOKUP(A34,'Données de base - Grunddaten'!$A$2:$M$297,9,FALSE)="","",VLOOKUP(A34,'Données de base - Grunddaten'!$A$2:$M$297,9,FALSE))</f>
        <v>1992</v>
      </c>
      <c r="J34" s="857">
        <f>IF(VLOOKUP(A34,'Données de base - Grunddaten'!$A$2:$M$297,10,FALSE)="","",VLOOKUP(A34,'Données de base - Grunddaten'!$A$2:$M$297,10,FALSE))</f>
        <v>52</v>
      </c>
      <c r="K34" s="857" t="str">
        <f>IF(VLOOKUP(A34,'Données de base - Grunddaten'!$A$2:$M$297,11,FALSE)="","",VLOOKUP(A34,'Données de base - Grunddaten'!$A$2:$M$297,11,FALSE))</f>
        <v>Cours d'eau corrigés de l'étage collinéen du Moyen-Pays</v>
      </c>
      <c r="L34" s="857" t="str">
        <f>IF(VLOOKUP(A34,'Données de base - Grunddaten'!$A$2:$M$297,12,FALSE)="","",VLOOKUP(A34,'Données de base - Grunddaten'!$A$2:$M$297,12,FALSE))</f>
        <v>cours rectiligne</v>
      </c>
      <c r="M34" s="858" t="str">
        <f>IF(VLOOKUP(A34,'Données de base - Grunddaten'!$A$2:$M$297,13,FALSE)="","",VLOOKUP(A34,'Données de base - Grunddaten'!$A$2:$M$297,13,FALSE))</f>
        <v>cours rectiligne</v>
      </c>
      <c r="N34" s="872" t="str">
        <f>IF(VLOOKUP(A34,'Charriage - Geschiebehaushalt'!$A$4:$R$275,5,FALSE)="","",VLOOKUP(A34,'Charriage - Geschiebehaushalt'!$A$4:$R$275,5,FALSE))</f>
        <v>pertinent</v>
      </c>
      <c r="O34" s="873" t="str">
        <f>IF(VLOOKUP(A34,'Charriage - Geschiebehaushalt'!$A$4:$R$275,6,FALSE)="","",VLOOKUP(A34,'Charriage - Geschiebehaushalt'!$A$4:$R$275,6,FALSE))</f>
        <v>21-50%</v>
      </c>
      <c r="P34" s="874">
        <f>IF(VLOOKUP(A34,'Charriage - Geschiebehaushalt'!$A$4:$R$275,7,FALSE)="","",VLOOKUP(A34,'Charriage - Geschiebehaushalt'!$A$4:$R$275,7,FALSE))</f>
        <v>-1.69615858849959</v>
      </c>
      <c r="Q34" s="874" t="str">
        <f>IF(VLOOKUP(A34,'Charriage - Geschiebehaushalt'!$A$4:$R$275,8,FALSE)="","",VLOOKUP(A34,'Charriage - Geschiebehaushalt'!$A$4:$R$275,8,FALSE))</f>
        <v>problème lié à un manque de charriage ou à un manque de remobilisation des sédiments</v>
      </c>
      <c r="R34" s="875">
        <f>IF(VLOOKUP(A34,'Charriage - Geschiebehaushalt'!$A$4:$R$275,9,FALSE)="","",VLOOKUP(A34,'Charriage - Geschiebehaushalt'!$A$4:$R$275,9,FALSE))</f>
        <v>1.35525261303477</v>
      </c>
      <c r="S34" s="876" t="str">
        <f>IF(VLOOKUP(A34,'Charriage - Geschiebehaushalt'!$A$4:$R$275,10,FALSE)="","",VLOOKUP(A34,'Charriage - Geschiebehaushalt'!$A$4:$R$275,10,FALSE))</f>
        <v>la remobilisation des sédiments est perturbée</v>
      </c>
      <c r="T34" s="875">
        <f>IF(VLOOKUP(A34,'Charriage - Geschiebehaushalt'!$A$4:$R$275,11,FALSE)="","",VLOOKUP(A34,'Charriage - Geschiebehaushalt'!$A$4:$R$275,11,FALSE))</f>
        <v>0</v>
      </c>
      <c r="U34" s="876" t="str">
        <f>IF(VLOOKUP(A34,'Charriage - Geschiebehaushalt'!$A$4:$R$275,12,FALSE)="","",VLOOKUP(A34,'Charriage - Geschiebehaushalt'!$A$4:$R$275,12,FALSE))</f>
        <v>déficit dans les formations pionnières</v>
      </c>
      <c r="V34" s="877" t="str">
        <f>IF(VLOOKUP(A34,'Charriage - Geschiebehaushalt'!$A$4:$R$275,13,FALSE)="","",VLOOKUP(A34,'Charriage - Geschiebehaushalt'!$A$4:$R$275,13,FALSE))</f>
        <v/>
      </c>
      <c r="W34" s="877" t="str">
        <f>IF(VLOOKUP(A34,'Charriage - Geschiebehaushalt'!$A$4:$R$275,14,FALSE)="","",VLOOKUP(A34,'Charriage - Geschiebehaushalt'!$A$4:$R$275,14,FALSE))</f>
        <v/>
      </c>
      <c r="X34" s="877" t="str">
        <f>IF(VLOOKUP(A34,'Charriage - Geschiebehaushalt'!$A$4:$R$275,15,FALSE)="","",VLOOKUP(A34,'Charriage - Geschiebehaushalt'!$A$4:$R$275,15,FALSE))</f>
        <v/>
      </c>
      <c r="Y34" s="879" t="str">
        <f>IF(VLOOKUP(A34,'Charriage - Geschiebehaushalt'!$A$4:$R$275,16,FALSE)="","",VLOOKUP(A34,'Charriage - Geschiebehaushalt'!$A$4:$R$275,16,FALSE))</f>
        <v/>
      </c>
      <c r="Z34" s="763" t="str">
        <f>IF(VLOOKUP(A34,'Charriage - Geschiebehaushalt'!$A$4:$R$275,17,FALSE)="","",VLOOKUP(A34,'Charriage - Geschiebehaushalt'!$A$4:$R$275,17,FALSE))</f>
        <v>21-50%</v>
      </c>
      <c r="AA34" s="880" t="str">
        <f>IF(VLOOKUP(A34,'Charriage - Geschiebehaushalt'!$A$4:$R$275,18,FALSE)="","",VLOOKUP(A34,'Charriage - Geschiebehaushalt'!$A$4:$R$275,18,FALSE))</f>
        <v>a</v>
      </c>
      <c r="AB34" s="737" t="str">
        <f>IF(VLOOKUP(A34,'Charriage - Geschiebehaushalt'!$A$4:$AC$275,19,FALSE)="","",VLOOKUP(A34,'Charriage - Geschiebehaushalt'!$A$4:$AC$275,19,FALSE))</f>
        <v>wesentlich</v>
      </c>
      <c r="AC34" s="738" t="str">
        <f>IF(VLOOKUP(A34,'Charriage - Geschiebehaushalt'!$A$4:$AC$275,20,FALSE)="","",VLOOKUP(A34,'Charriage - Geschiebehaushalt'!$A$4:$AC$275,20,FALSE))</f>
        <v>Ja (gering)</v>
      </c>
      <c r="AD34" s="764" t="str">
        <f>IF(VLOOKUP(A34,'Charriage - Geschiebehaushalt'!$A$4:$AC$275,21,FALSE)="","",VLOOKUP(A34,'Charriage - Geschiebehaushalt'!$A$4:$AC$275,21,FALSE))</f>
        <v>21-50%</v>
      </c>
      <c r="AE34" s="740" t="str">
        <f>IF(VLOOKUP(A34,'Charriage - Geschiebehaushalt'!$A$4:$AC$275,22,FALSE)="","",VLOOKUP(A34,'Charriage - Geschiebehaushalt'!$A$4:$AC$275,22,FALSE))</f>
        <v>21-50%</v>
      </c>
      <c r="AF34" s="787" t="str">
        <f>IF(VLOOKUP(A34,'Charriage - Geschiebehaushalt'!$A$4:$AC$275,23,FALSE)="","",VLOOKUP(A34,'Charriage - Geschiebehaushalt'!$A$4:$AC$275,23,FALSE))</f>
        <v>d</v>
      </c>
      <c r="AG34" s="765" t="str">
        <f>IF(VLOOKUP(A34,'Charriage - Geschiebehaushalt'!$A$4:$AC$275,24,FALSE)="","",VLOOKUP(A34,'Charriage - Geschiebehaushalt'!$A$4:$AC$275,24,FALSE))</f>
        <v/>
      </c>
      <c r="AH34" s="764" t="str">
        <f>IF(VLOOKUP(A34,'Charriage - Geschiebehaushalt'!$A$4:$AC$275,25,FALSE)="","",VLOOKUP(A34,'Charriage - Geschiebehaushalt'!$A$4:$AC$275,25,FALSE))</f>
        <v/>
      </c>
      <c r="AI34" s="433" t="str">
        <f>IF(VLOOKUP(A34,'Charriage - Geschiebehaushalt'!$A$4:$AC$275,26,FALSE)="","",VLOOKUP(A34,'Charriage - Geschiebehaushalt'!$A$4:$AC$275,26,FALSE))</f>
        <v/>
      </c>
      <c r="AJ34" s="434" t="str">
        <f>IF(VLOOKUP(A34,'Charriage - Geschiebehaushalt'!$A$4:$AC$275,27,FALSE)="","",VLOOKUP(A34,'Charriage - Geschiebehaushalt'!$A$4:$AC$275,27,FALSE))</f>
        <v/>
      </c>
      <c r="AK34" s="801" t="str">
        <f>IF(VLOOKUP(A34,'Charriage - Geschiebehaushalt'!$A$4:$AC$275,28,FALSE)="","",VLOOKUP(A34,'Charriage - Geschiebehaushalt'!$A$4:$AC$275,28,FALSE))</f>
        <v>21-50%</v>
      </c>
      <c r="AL34" s="1285" t="str">
        <f>IF(VLOOKUP(A34,'Charriage - Geschiebehaushalt'!$A$4:$AD$275,30,FALSE)="","",VLOOKUP(A34,'Charriage - Geschiebehaushalt'!$A$4:$AD$275,30,FALSE))</f>
        <v>a</v>
      </c>
      <c r="AM34" s="1279" t="str">
        <f>IF(VLOOKUP(A34,'Débit - Abfluss'!$A$4:$K$275,5,FALSE)="","",VLOOKUP(A34,'Débit - Abfluss'!$A$4:$M$275,5,FALSE))</f>
        <v>41-60%</v>
      </c>
      <c r="AN34" s="885" t="str">
        <f>IF(VLOOKUP(A34,'Débit - Abfluss'!$A$4:$K$275,6,FALSE)="","",VLOOKUP(A34,'Débit - Abfluss'!$A$4:$M$275,6,FALSE))</f>
        <v/>
      </c>
      <c r="AO34" s="889" t="str">
        <f>IF(VLOOKUP(A34,'Débit - Abfluss'!$A$4:$K$275,7,FALSE)="","",VLOOKUP(A34,'Débit - Abfluss'!$A$4:$M$275,7,FALSE))</f>
        <v/>
      </c>
      <c r="AP34" s="766" t="str">
        <f>IF(VLOOKUP(A34,'Débit - Abfluss'!$A$4:$K$275,8,FALSE)="","",VLOOKUP(A34,'Débit - Abfluss'!$A$4:$M$275,8,FALSE))</f>
        <v>41-60%</v>
      </c>
      <c r="AQ34" s="678" t="str">
        <f>IF(VLOOKUP(A34,'Débit - Abfluss'!$A$4:$K$275,9,FALSE)="","",VLOOKUP(A34,'Débit - Abfluss'!$A$4:$M$275,9,FALSE))</f>
        <v>&lt;10%</v>
      </c>
      <c r="AR34" s="773" t="str">
        <f>IF(VLOOKUP(A34,'Débit - Abfluss'!$A$4:$K$275,10,FALSE)="","",VLOOKUP(A34,'Débit - Abfluss'!$A$4:$M$275,10,FALSE))</f>
        <v>41-60%</v>
      </c>
      <c r="AS34" s="773" t="str">
        <f>IF(VLOOKUP(A34,'Débit - Abfluss'!$A$4:$K$275,11,FALSE)="","",VLOOKUP(A34,'Débit - Abfluss'!$A$4:$M$275,11,FALSE))</f>
        <v>X</v>
      </c>
      <c r="AT34" s="744" t="str">
        <f>IF(VLOOKUP(A34,'Débit - Abfluss'!$A$4:$Q$275,12,FALSE)="","",VLOOKUP(A34,'Débit - Abfluss'!$A$4:$Q$275,12,FALSE))</f>
        <v/>
      </c>
      <c r="AU34" s="745" t="str">
        <f>IF(VLOOKUP(A34,'Débit - Abfluss'!$A$4:$Q$275,13,FALSE)="","",VLOOKUP(A34,'Débit - Abfluss'!$A$4:$Q$275,13,FALSE))</f>
        <v/>
      </c>
      <c r="AV34" s="746" t="str">
        <f>IF(VLOOKUP(A34,'Débit - Abfluss'!$A$4:$Q$275,14,FALSE)="","",VLOOKUP(A34,'Débit - Abfluss'!$A$4:$Q$275,14,FALSE))</f>
        <v>BE-298</v>
      </c>
      <c r="AW34" s="768" t="str">
        <f>IF(VLOOKUP(A34,'Débit - Abfluss'!$A$4:$Q$275,15,FALSE)="","",VLOOKUP(A34,'Débit - Abfluss'!$A$4:$Q$275,15,FALSE))</f>
        <v>Hagerhüsli</v>
      </c>
      <c r="AX34" s="677" t="str">
        <f>IF(VLOOKUP(A34,'Débit - Abfluss'!$A$4:$Q$275,16,FALSE)="","",VLOOKUP(A34,'Débit - Abfluss'!$A$4:$Q$275,16,FALSE))</f>
        <v/>
      </c>
      <c r="AY34" s="775" t="str">
        <f>IF(VLOOKUP(A34,'Débit - Abfluss'!$A$4:$Q$275,17,FALSE)="","",VLOOKUP(A34,'Débit - Abfluss'!$A$4:$Q$275,17,FALSE))</f>
        <v>41-60%</v>
      </c>
      <c r="AZ34" s="749" t="str">
        <f>IF(VLOOKUP(A34,'Eclusée - Schwall-Sunk'!$A$2:$F$273,5,FALSE)="","",VLOOKUP(A34,'Eclusée - Schwall-Sunk'!$A$2:$F$273,5,FALSE))</f>
        <v>force hydraulique</v>
      </c>
      <c r="BA34" s="750" t="str">
        <f>IF(VLOOKUP(A34,'Eclusée - Schwall-Sunk'!$A$2:$F$273,6,FALSE)="","",VLOOKUP(A34,'Eclusée - Schwall-Sunk'!$A$2:$F$273,6,FALSE))</f>
        <v>Non affecté / nicht betroffen</v>
      </c>
      <c r="BB34" s="751">
        <f>IF(VLOOKUP(A34,'Revitalisation-Revitalisierung'!$A$4:$Z$275,5,FALSE)="","",VLOOKUP(A34,'Revitalisation-Revitalisierung'!$A$4:$Z$275,5,FALSE))</f>
        <v>85.8</v>
      </c>
      <c r="BC34" s="752">
        <f>IF(VLOOKUP(A34,'Revitalisation-Revitalisierung'!$A$4:$Z$275,6,FALSE)="","",VLOOKUP(A34,'Revitalisation-Revitalisierung'!$A$4:$Z$275,6,FALSE))</f>
        <v>85.833333333333343</v>
      </c>
      <c r="BD34" s="752">
        <f>IF(VLOOKUP(A34,'Revitalisation-Revitalisierung'!$A$4:$Z$275,7,FALSE)="","",VLOOKUP(A34,'Revitalisation-Revitalisierung'!$A$4:$Z$275,7,FALSE))</f>
        <v>0</v>
      </c>
      <c r="BE34" s="753" t="str">
        <f>IF(VLOOKUP(A34,'Revitalisation-Revitalisierung'!$A$4:$Z$275,8,FALSE)="","",VLOOKUP(A34,'Revitalisation-Revitalisierung'!$A$4:$Z$275,8,FALSE))</f>
        <v>très nécessaire, facile</v>
      </c>
      <c r="BF34" s="754" t="str">
        <f>IF(VLOOKUP(A34,'Revitalisation-Revitalisierung'!$A$4:$Z$275,9,FALSE)="","",VLOOKUP(A34,'Revitalisation-Revitalisierung'!$A$4:$Z$275,9,FALSE))</f>
        <v/>
      </c>
      <c r="BG34" s="754" t="str">
        <f>IF(VLOOKUP(A34,'Revitalisation-Revitalisierung'!$A$4:$Z$275,10,FALSE)="","",VLOOKUP(A34,'Revitalisation-Revitalisierung'!$A$4:$Z$275,10,FALSE))</f>
        <v>K1</v>
      </c>
      <c r="BH34" s="755" t="str">
        <f>IF(VLOOKUP(A34,'Revitalisation-Revitalisierung'!$A$4:$Z$275,11,FALSE)="","",VLOOKUP(A34,'Revitalisation-Revitalisierung'!$A$4:$Z$275,11,FALSE))</f>
        <v/>
      </c>
      <c r="BI34" s="756" t="str">
        <f>IF(VLOOKUP(A34,'Revitalisation-Revitalisierung'!$A$4:$Z$275,12,FALSE)="","",VLOOKUP(A34,'Revitalisation-Revitalisierung'!$A$4:$Z$275,12,FALSE))</f>
        <v/>
      </c>
      <c r="BJ34" s="757" t="str">
        <f>IF(VLOOKUP(A34,'Revitalisation-Revitalisierung'!$A$4:$Z$275,13,FALSE)="","",VLOOKUP(A34,'Revitalisation-Revitalisierung'!$A$4:$Z$275,13,FALSE))</f>
        <v>Très nécessaire, facile / unbedingt nötig, einfach</v>
      </c>
      <c r="BK34" s="870" t="str">
        <f>IF(VLOOKUP(A34,'Revitalisation-Revitalisierung'!$A$4:$Z$275,14,FALSE)="","",VLOOKUP(A34,'Revitalisation-Revitalisierung'!$A$4:$Z$275,14,FALSE))</f>
        <v>a</v>
      </c>
      <c r="BL34" s="758" t="str">
        <f>IF(VLOOKUP(A34,'Revitalisation-Revitalisierung'!$A$4:$Z$275,15,FALSE)="","",VLOOKUP(A34,'Revitalisation-Revitalisierung'!$A$4:$Z$275,15,FALSE))</f>
        <v>gross</v>
      </c>
      <c r="BM34" s="759" t="str">
        <f>IF(VLOOKUP(A34,'Revitalisation-Revitalisierung'!$A$4:$Z$275,16,FALSE)="","",VLOOKUP(A34,'Revitalisation-Revitalisierung'!$A$4:$Z$275,16,FALSE))</f>
        <v>gross</v>
      </c>
      <c r="BN34" s="759" t="str">
        <f>IF(VLOOKUP(A34,'Revitalisation-Revitalisierung'!$A$4:$Z$275,17,FALSE)="","",VLOOKUP(A34,'Revitalisation-Revitalisierung'!$A$4:$Z$275,17,FALSE))</f>
        <v>hoch</v>
      </c>
      <c r="BO34" s="760" t="str">
        <f>IF(VLOOKUP(A34,'Revitalisation-Revitalisierung'!$A$4:$Z$275,18,FALSE)="","",VLOOKUP(A34,'Revitalisation-Revitalisierung'!$A$4:$Z$275,18,FALSE))</f>
        <v>Très nécessaire, facile / unbedingt nötig, einfach</v>
      </c>
      <c r="BP34" s="761" t="str">
        <f>IF(VLOOKUP(A34,'Revitalisation-Revitalisierung'!$A$4:$Z$275,19,FALSE)="","",VLOOKUP(A34,'Revitalisation-Revitalisierung'!$A$4:$Z$275,19,FALSE))</f>
        <v>Très nécessaire, facile / unbedingt nötig, einfach</v>
      </c>
      <c r="BQ34" s="759" t="str">
        <f>IF(VLOOKUP(A34,'Revitalisation-Revitalisierung'!$A$4:$Z$275,20,FALSE)="","",VLOOKUP(A34,'Revitalisation-Revitalisierung'!$A$4:$Z$275,20,FALSE))</f>
        <v>d</v>
      </c>
      <c r="BR34" s="759" t="str">
        <f>IF(VLOOKUP(A34,'Revitalisation-Revitalisierung'!$A$4:$Z$275,21,FALSE)="","",VLOOKUP(A34,'Revitalisation-Revitalisierung'!$A$4:$Z$275,21,FALSE))</f>
        <v/>
      </c>
      <c r="BS34" s="762" t="str">
        <f>IF(VLOOKUP(A34,'Revitalisation-Revitalisierung'!$A$4:$Z$275,22,FALSE)="","",VLOOKUP(A34,'Revitalisation-Revitalisierung'!$A$4:$Z$275,22,FALSE))</f>
        <v/>
      </c>
      <c r="BT34" s="703" t="str">
        <f>IF(VLOOKUP(A34,'Revitalisation-Revitalisierung'!$A$4:$Z$275,23,FALSE)="","",VLOOKUP(A34,'Revitalisation-Revitalisierung'!$A$4:$Z$275,23,FALSE))</f>
        <v/>
      </c>
      <c r="BU34" s="699" t="str">
        <f>IF(VLOOKUP(A34,'Revitalisation-Revitalisierung'!$A$4:$Z$275,24,FALSE)="","",VLOOKUP(A34,'Revitalisation-Revitalisierung'!$A$4:$Z$275,24,FALSE))</f>
        <v>unbedingt nötig. Schwierig (wenn Abfluss / Geschiebe / Revitalisation verknüpft werden, sehr schwierig</v>
      </c>
      <c r="BV34" s="761" t="str">
        <f>IF(VLOOKUP(A34,'Revitalisation-Revitalisierung'!$A$4:$Z$275,25,FALSE)="","",VLOOKUP(A34,'Revitalisation-Revitalisierung'!$A$4:$Z$275,25,FALSE))</f>
        <v>Très nécessaire, difficile / unbedingt nötig, schwierig</v>
      </c>
      <c r="BW34" s="871" t="str">
        <f>IF(VLOOKUP(A34,'Revitalisation-Revitalisierung'!$A$4:$AA$275,27,FALSE)="","",VLOOKUP(A34,'Revitalisation-Revitalisierung'!$A$4:$AA$275,27,FALSE))</f>
        <v>a</v>
      </c>
    </row>
    <row r="35" spans="1:75" ht="82.15" customHeight="1" x14ac:dyDescent="0.25">
      <c r="A35" s="936">
        <v>47.1</v>
      </c>
      <c r="B35" s="856">
        <f>IF(VLOOKUP(A35,'Données de base - Grunddaten'!$A$2:$M$297,2,FALSE)="","",VLOOKUP(A35,'Données de base - Grunddaten'!$A$2:$M$297,2,FALSE))</f>
        <v>1</v>
      </c>
      <c r="C35" s="857" t="str">
        <f>IF(VLOOKUP(A35,'Données de base - Grunddaten'!$A$2:$M$297,3,FALSE)="","",VLOOKUP(A35,'Données de base - Grunddaten'!$A$2:$M$297,3,FALSE))</f>
        <v>Altwässer der Aare und der Zihl</v>
      </c>
      <c r="D35" s="857" t="str">
        <f>IF(VLOOKUP(A35,'Données de base - Grunddaten'!$A$2:$M$297,4,FALSE)="","",VLOOKUP(A35,'Données de base - Grunddaten'!$A$2:$M$297,4,FALSE))</f>
        <v>Aare</v>
      </c>
      <c r="E35" s="857" t="str">
        <f>IF(VLOOKUP(A35,'Données de base - Grunddaten'!$A$2:$M$297,5,FALSE)="","",VLOOKUP(A35,'Données de base - Grunddaten'!$A$2:$M$297,5,FALSE))</f>
        <v>BE</v>
      </c>
      <c r="F35" s="857" t="str">
        <f>IF(VLOOKUP(A35,'Données de base - Grunddaten'!$A$2:$M$297,6,FALSE)="","",VLOOKUP(A35,'Données de base - Grunddaten'!$A$2:$M$297,6,FALSE))</f>
        <v>Plateau occidental</v>
      </c>
      <c r="G35" s="857" t="str">
        <f>IF(VLOOKUP(A35,'Données de base - Grunddaten'!$A$2:$M$297,7,FALSE)="","",VLOOKUP(A35,'Données de base - Grunddaten'!$A$2:$M$297,7,FALSE))</f>
        <v>Collinéen</v>
      </c>
      <c r="H35" s="857">
        <f>IF(VLOOKUP(A35,'Données de base - Grunddaten'!$A$2:$M$297,8,FALSE)="","",VLOOKUP(A35,'Données de base - Grunddaten'!$A$2:$M$297,8,FALSE))</f>
        <v>430</v>
      </c>
      <c r="I35" s="857">
        <f>IF(VLOOKUP(A35,'Données de base - Grunddaten'!$A$2:$M$297,9,FALSE)="","",VLOOKUP(A35,'Données de base - Grunddaten'!$A$2:$M$297,9,FALSE))</f>
        <v>1992</v>
      </c>
      <c r="J35" s="857">
        <f>IF(VLOOKUP(A35,'Données de base - Grunddaten'!$A$2:$M$297,10,FALSE)="","",VLOOKUP(A35,'Données de base - Grunddaten'!$A$2:$M$297,10,FALSE))</f>
        <v>51</v>
      </c>
      <c r="K35" s="857" t="str">
        <f>IF(VLOOKUP(A35,'Données de base - Grunddaten'!$A$2:$M$297,11,FALSE)="","",VLOOKUP(A35,'Données de base - Grunddaten'!$A$2:$M$297,11,FALSE))</f>
        <v>Cours d'eau naturels de l'étage collinéen du Moyen-Pays</v>
      </c>
      <c r="L35" s="857" t="str">
        <f>IF(VLOOKUP(A35,'Données de base - Grunddaten'!$A$2:$M$297,12,FALSE)="","",VLOOKUP(A35,'Données de base - Grunddaten'!$A$2:$M$297,12,FALSE))</f>
        <v>méandres développés</v>
      </c>
      <c r="M35" s="858" t="str">
        <f>IF(VLOOKUP(A35,'Données de base - Grunddaten'!$A$2:$M$297,13,FALSE)="","",VLOOKUP(A35,'Données de base - Grunddaten'!$A$2:$M$297,13,FALSE))</f>
        <v>méandres stabilisés</v>
      </c>
      <c r="N35" s="872" t="str">
        <f>IF(VLOOKUP(A35,'Charriage - Geschiebehaushalt'!$A$4:$R$275,5,FALSE)="","",VLOOKUP(A35,'Charriage - Geschiebehaushalt'!$A$4:$R$275,5,FALSE))</f>
        <v>pertinent</v>
      </c>
      <c r="O35" s="881" t="str">
        <f>IF(VLOOKUP(A35,'Charriage - Geschiebehaushalt'!$A$4:$R$275,6,FALSE)="","",VLOOKUP(A35,'Charriage - Geschiebehaushalt'!$A$4:$R$275,6,FALSE))</f>
        <v>non documenté</v>
      </c>
      <c r="P35" s="874" t="str">
        <f>IF(VLOOKUP(A35,'Charriage - Geschiebehaushalt'!$A$4:$R$275,7,FALSE)="","",VLOOKUP(A35,'Charriage - Geschiebehaushalt'!$A$4:$R$275,7,FALSE))</f>
        <v/>
      </c>
      <c r="Q35" s="874" t="str">
        <f>IF(VLOOKUP(A35,'Charriage - Geschiebehaushalt'!$A$4:$R$275,8,FALSE)="","",VLOOKUP(A35,'Charriage - Geschiebehaushalt'!$A$4:$R$275,8,FALSE))</f>
        <v>non documenté</v>
      </c>
      <c r="R35" s="892">
        <f>IF(VLOOKUP(A35,'Charriage - Geschiebehaushalt'!$A$4:$R$275,9,FALSE)="","",VLOOKUP(A35,'Charriage - Geschiebehaushalt'!$A$4:$R$275,9,FALSE))</f>
        <v>0</v>
      </c>
      <c r="S35" s="876" t="str">
        <f>IF(VLOOKUP(A35,'Charriage - Geschiebehaushalt'!$A$4:$R$275,10,FALSE)="","",VLOOKUP(A35,'Charriage - Geschiebehaushalt'!$A$4:$R$275,10,FALSE))</f>
        <v>pas ou faiblement entravé</v>
      </c>
      <c r="T35" s="893">
        <f>IF(VLOOKUP(A35,'Charriage - Geschiebehaushalt'!$A$4:$R$275,11,FALSE)="","",VLOOKUP(A35,'Charriage - Geschiebehaushalt'!$A$4:$R$275,11,FALSE))</f>
        <v>0.317</v>
      </c>
      <c r="U35" s="894" t="str">
        <f>IF(VLOOKUP(A35,'Charriage - Geschiebehaushalt'!$A$4:$R$275,12,FALSE)="","",VLOOKUP(A35,'Charriage - Geschiebehaushalt'!$A$4:$R$275,12,FALSE))</f>
        <v>déficit non apparent en charriage ou en remobilisation des sédiments</v>
      </c>
      <c r="V35" s="877" t="str">
        <f>IF(VLOOKUP(A35,'Charriage - Geschiebehaushalt'!$A$4:$R$275,13,FALSE)="","",VLOOKUP(A35,'Charriage - Geschiebehaushalt'!$A$4:$R$275,13,FALSE))</f>
        <v/>
      </c>
      <c r="W35" s="877" t="str">
        <f>IF(VLOOKUP(A35,'Charriage - Geschiebehaushalt'!$A$4:$R$275,14,FALSE)="","",VLOOKUP(A35,'Charriage - Geschiebehaushalt'!$A$4:$R$275,14,FALSE))</f>
        <v/>
      </c>
      <c r="X35" s="877" t="str">
        <f>IF(VLOOKUP(A35,'Charriage - Geschiebehaushalt'!$A$4:$R$275,15,FALSE)="","",VLOOKUP(A35,'Charriage - Geschiebehaushalt'!$A$4:$R$275,15,FALSE))</f>
        <v/>
      </c>
      <c r="Y35" s="879" t="str">
        <f>IF(VLOOKUP(A35,'Charriage - Geschiebehaushalt'!$A$4:$R$275,16,FALSE)="","",VLOOKUP(A35,'Charriage - Geschiebehaushalt'!$A$4:$R$275,16,FALSE))</f>
        <v/>
      </c>
      <c r="Z35" s="763" t="str">
        <f>IF(VLOOKUP(A35,'Charriage - Geschiebehaushalt'!$A$4:$R$275,17,FALSE)="","",VLOOKUP(A35,'Charriage - Geschiebehaushalt'!$A$4:$R$275,17,FALSE))</f>
        <v>Déficit non apparent en charriage ou en remobilisation des sédiments</v>
      </c>
      <c r="AA35" s="880" t="str">
        <f>IF(VLOOKUP(A35,'Charriage - Geschiebehaushalt'!$A$4:$R$275,18,FALSE)="","",VLOOKUP(A35,'Charriage - Geschiebehaushalt'!$A$4:$R$275,18,FALSE))</f>
        <v>a</v>
      </c>
      <c r="AB35" s="737" t="str">
        <f>IF(VLOOKUP(A35,'Charriage - Geschiebehaushalt'!$A$4:$AC$275,19,FALSE)="","",VLOOKUP(A35,'Charriage - Geschiebehaushalt'!$A$4:$AC$275,19,FALSE))</f>
        <v>-</v>
      </c>
      <c r="AC35" s="738" t="str">
        <f>IF(VLOOKUP(A35,'Charriage - Geschiebehaushalt'!$A$4:$AC$275,20,FALSE)="","",VLOOKUP(A35,'Charriage - Geschiebehaushalt'!$A$4:$AC$275,20,FALSE))</f>
        <v>-</v>
      </c>
      <c r="AD35" s="764" t="str">
        <f>IF(VLOOKUP(A35,'Charriage - Geschiebehaushalt'!$A$4:$AC$275,21,FALSE)="","",VLOOKUP(A35,'Charriage - Geschiebehaushalt'!$A$4:$AC$275,21,FALSE))</f>
        <v/>
      </c>
      <c r="AE35" s="740" t="str">
        <f>IF(VLOOKUP(A35,'Charriage - Geschiebehaushalt'!$A$4:$AC$275,22,FALSE)="","",VLOOKUP(A35,'Charriage - Geschiebehaushalt'!$A$4:$AC$275,22,FALSE))</f>
        <v>0-20%</v>
      </c>
      <c r="AF35" s="787" t="str">
        <f>IF(VLOOKUP(A35,'Charriage - Geschiebehaushalt'!$A$4:$AC$275,23,FALSE)="","",VLOOKUP(A35,'Charriage - Geschiebehaushalt'!$A$4:$AC$275,23,FALSE))</f>
        <v>a</v>
      </c>
      <c r="AG35" s="765" t="str">
        <f>IF(VLOOKUP(A35,'Charriage - Geschiebehaushalt'!$A$4:$AC$275,24,FALSE)="","",VLOOKUP(A35,'Charriage - Geschiebehaushalt'!$A$4:$AC$275,24,FALSE))</f>
        <v/>
      </c>
      <c r="AH35" s="764" t="str">
        <f>IF(VLOOKUP(A35,'Charriage - Geschiebehaushalt'!$A$4:$AC$275,25,FALSE)="","",VLOOKUP(A35,'Charriage - Geschiebehaushalt'!$A$4:$AC$275,25,FALSE))</f>
        <v/>
      </c>
      <c r="AI35" s="433" t="str">
        <f>IF(VLOOKUP(A35,'Charriage - Geschiebehaushalt'!$A$4:$AC$275,26,FALSE)="","",VLOOKUP(A35,'Charriage - Geschiebehaushalt'!$A$4:$AC$275,26,FALSE))</f>
        <v/>
      </c>
      <c r="AJ35" s="434" t="str">
        <f>IF(VLOOKUP(A35,'Charriage - Geschiebehaushalt'!$A$4:$AC$275,27,FALSE)="","",VLOOKUP(A35,'Charriage - Geschiebehaushalt'!$A$4:$AC$275,27,FALSE))</f>
        <v/>
      </c>
      <c r="AK35" s="801" t="str">
        <f>IF(VLOOKUP(A35,'Charriage - Geschiebehaushalt'!$A$4:$AC$275,28,FALSE)="","",VLOOKUP(A35,'Charriage - Geschiebehaushalt'!$A$4:$AC$275,28,FALSE))</f>
        <v>0-20%</v>
      </c>
      <c r="AL35" s="1285" t="str">
        <f>IF(VLOOKUP(A35,'Charriage - Geschiebehaushalt'!$A$4:$AD$275,30,FALSE)="","",VLOOKUP(A35,'Charriage - Geschiebehaushalt'!$A$4:$AD$275,30,FALSE))</f>
        <v>a</v>
      </c>
      <c r="AM35" s="1279" t="str">
        <f>IF(VLOOKUP(A35,'Débit - Abfluss'!$A$4:$K$275,5,FALSE)="","",VLOOKUP(A35,'Débit - Abfluss'!$A$4:$M$275,5,FALSE))</f>
        <v>81-100%</v>
      </c>
      <c r="AN35" s="868" t="str">
        <f>IF(VLOOKUP(A35,'Débit - Abfluss'!$A$4:$K$275,6,FALSE)="","",VLOOKUP(A35,'Débit - Abfluss'!$A$4:$M$275,6,FALSE))</f>
        <v/>
      </c>
      <c r="AO35" s="869" t="str">
        <f>IF(VLOOKUP(A35,'Débit - Abfluss'!$A$4:$K$275,7,FALSE)="","",VLOOKUP(A35,'Débit - Abfluss'!$A$4:$M$275,7,FALSE))</f>
        <v/>
      </c>
      <c r="AP35" s="766" t="str">
        <f>IF(VLOOKUP(A35,'Débit - Abfluss'!$A$4:$K$275,8,FALSE)="","",VLOOKUP(A35,'Débit - Abfluss'!$A$4:$M$275,8,FALSE))</f>
        <v>81-100%</v>
      </c>
      <c r="AQ35" s="742" t="str">
        <f>IF(VLOOKUP(A35,'Débit - Abfluss'!$A$4:$K$275,9,FALSE)="","",VLOOKUP(A35,'Débit - Abfluss'!$A$4:$M$275,9,FALSE))</f>
        <v>-</v>
      </c>
      <c r="AR35" s="767" t="str">
        <f>IF(VLOOKUP(A35,'Débit - Abfluss'!$A$4:$K$275,10,FALSE)="","",VLOOKUP(A35,'Débit - Abfluss'!$A$4:$M$275,10,FALSE))</f>
        <v>81-100%</v>
      </c>
      <c r="AS35" s="767" t="str">
        <f>IF(VLOOKUP(A35,'Débit - Abfluss'!$A$4:$K$275,11,FALSE)="","",VLOOKUP(A35,'Débit - Abfluss'!$A$4:$M$275,11,FALSE))</f>
        <v/>
      </c>
      <c r="AT35" s="744" t="str">
        <f>IF(VLOOKUP(A35,'Débit - Abfluss'!$A$4:$Q$275,12,FALSE)="","",VLOOKUP(A35,'Débit - Abfluss'!$A$4:$Q$275,12,FALSE))</f>
        <v/>
      </c>
      <c r="AU35" s="745" t="str">
        <f>IF(VLOOKUP(A35,'Débit - Abfluss'!$A$4:$Q$275,13,FALSE)="","",VLOOKUP(A35,'Débit - Abfluss'!$A$4:$Q$275,13,FALSE))</f>
        <v/>
      </c>
      <c r="AV35" s="746" t="str">
        <f>IF(VLOOKUP(A35,'Débit - Abfluss'!$A$4:$Q$275,14,FALSE)="","",VLOOKUP(A35,'Débit - Abfluss'!$A$4:$Q$275,14,FALSE))</f>
        <v/>
      </c>
      <c r="AW35" s="768" t="str">
        <f>IF(VLOOKUP(A35,'Débit - Abfluss'!$A$4:$Q$275,15,FALSE)="","",VLOOKUP(A35,'Débit - Abfluss'!$A$4:$Q$275,15,FALSE))</f>
        <v/>
      </c>
      <c r="AX35" s="677" t="str">
        <f>IF(VLOOKUP(A35,'Débit - Abfluss'!$A$4:$Q$275,16,FALSE)="","",VLOOKUP(A35,'Débit - Abfluss'!$A$4:$Q$275,16,FALSE))</f>
        <v/>
      </c>
      <c r="AY35" s="769" t="str">
        <f>IF(VLOOKUP(A35,'Débit - Abfluss'!$A$4:$Q$275,17,FALSE)="","",VLOOKUP(A35,'Débit - Abfluss'!$A$4:$Q$275,17,FALSE))</f>
        <v>81-100%</v>
      </c>
      <c r="AZ35" s="749" t="str">
        <f>IF(VLOOKUP(A35,'Eclusée - Schwall-Sunk'!$A$2:$F$273,5,FALSE)="","",VLOOKUP(A35,'Eclusée - Schwall-Sunk'!$A$2:$F$273,5,FALSE))</f>
        <v>force hydraulique</v>
      </c>
      <c r="BA35" s="750" t="str">
        <f>IF(VLOOKUP(A35,'Eclusée - Schwall-Sunk'!$A$2:$F$273,6,FALSE)="","",VLOOKUP(A35,'Eclusée - Schwall-Sunk'!$A$2:$F$273,6,FALSE))</f>
        <v>Non affecté / nicht betroffen</v>
      </c>
      <c r="BB35" s="751">
        <f>IF(VLOOKUP(A35,'Revitalisation-Revitalisierung'!$A$4:$Z$275,5,FALSE)="","",VLOOKUP(A35,'Revitalisation-Revitalisierung'!$A$4:$Z$275,5,FALSE))</f>
        <v>55.25454545454545</v>
      </c>
      <c r="BC35" s="752">
        <f>IF(VLOOKUP(A35,'Revitalisation-Revitalisierung'!$A$4:$Z$275,6,FALSE)="","",VLOOKUP(A35,'Revitalisation-Revitalisierung'!$A$4:$Z$275,6,FALSE))</f>
        <v>64.845773488511327</v>
      </c>
      <c r="BD35" s="752">
        <f>IF(VLOOKUP(A35,'Revitalisation-Revitalisierung'!$A$4:$Z$275,7,FALSE)="","",VLOOKUP(A35,'Revitalisation-Revitalisierung'!$A$4:$Z$275,7,FALSE))</f>
        <v>9.545454545454545</v>
      </c>
      <c r="BE35" s="753" t="str">
        <f>IF(VLOOKUP(A35,'Revitalisation-Revitalisierung'!$A$4:$Z$275,8,FALSE)="","",VLOOKUP(A35,'Revitalisation-Revitalisierung'!$A$4:$Z$275,8,FALSE))</f>
        <v/>
      </c>
      <c r="BF35" s="754" t="str">
        <f>IF(VLOOKUP(A35,'Revitalisation-Revitalisierung'!$A$4:$Z$275,9,FALSE)="","",VLOOKUP(A35,'Revitalisation-Revitalisierung'!$A$4:$Z$275,9,FALSE))</f>
        <v/>
      </c>
      <c r="BG35" s="754" t="str">
        <f>IF(VLOOKUP(A35,'Revitalisation-Revitalisierung'!$A$4:$Z$275,10,FALSE)="","",VLOOKUP(A35,'Revitalisation-Revitalisierung'!$A$4:$Z$275,10,FALSE))</f>
        <v/>
      </c>
      <c r="BH35" s="755" t="str">
        <f>IF(VLOOKUP(A35,'Revitalisation-Revitalisierung'!$A$4:$Z$275,11,FALSE)="","",VLOOKUP(A35,'Revitalisation-Revitalisierung'!$A$4:$Z$275,11,FALSE))</f>
        <v>peu nécessaire, facile</v>
      </c>
      <c r="BI35" s="756" t="str">
        <f>IF(VLOOKUP(A35,'Revitalisation-Revitalisierung'!$A$4:$Z$275,12,FALSE)="","",VLOOKUP(A35,'Revitalisation-Revitalisierung'!$A$4:$Z$275,12,FALSE))</f>
        <v>rives stabilisées</v>
      </c>
      <c r="BJ35" s="757" t="str">
        <f>IF(VLOOKUP(A35,'Revitalisation-Revitalisierung'!$A$4:$Z$275,13,FALSE)="","",VLOOKUP(A35,'Revitalisation-Revitalisierung'!$A$4:$Z$275,13,FALSE))</f>
        <v>Très nécessaire, difficile / unbedingt nötig, schwierig</v>
      </c>
      <c r="BK35" s="870" t="str">
        <f>IF(VLOOKUP(A35,'Revitalisation-Revitalisierung'!$A$4:$Z$275,14,FALSE)="","",VLOOKUP(A35,'Revitalisation-Revitalisierung'!$A$4:$Z$275,14,FALSE))</f>
        <v>b</v>
      </c>
      <c r="BL35" s="758" t="str">
        <f>IF(VLOOKUP(A35,'Revitalisation-Revitalisierung'!$A$4:$Z$275,15,FALSE)="","",VLOOKUP(A35,'Revitalisation-Revitalisierung'!$A$4:$Z$275,15,FALSE))</f>
        <v>gross</v>
      </c>
      <c r="BM35" s="759" t="str">
        <f>IF(VLOOKUP(A35,'Revitalisation-Revitalisierung'!$A$4:$Z$275,16,FALSE)="","",VLOOKUP(A35,'Revitalisation-Revitalisierung'!$A$4:$Z$275,16,FALSE))</f>
        <v>gross/mittel</v>
      </c>
      <c r="BN35" s="759" t="str">
        <f>IF(VLOOKUP(A35,'Revitalisation-Revitalisierung'!$A$4:$Z$275,17,FALSE)="","",VLOOKUP(A35,'Revitalisation-Revitalisierung'!$A$4:$Z$275,17,FALSE))</f>
        <v>hoch / mittel</v>
      </c>
      <c r="BO35" s="1228" t="str">
        <f>IF(VLOOKUP(A35,'Revitalisation-Revitalisierung'!$A$4:$Z$275,18,FALSE)="","",VLOOKUP(A35,'Revitalisation-Revitalisierung'!$A$4:$Z$275,18,FALSE))</f>
        <v/>
      </c>
      <c r="BP35" s="761" t="str">
        <f>IF(VLOOKUP(A35,'Revitalisation-Revitalisierung'!$A$4:$Z$275,19,FALSE)="","",VLOOKUP(A35,'Revitalisation-Revitalisierung'!$A$4:$Z$275,19,FALSE))</f>
        <v>Très nécessaire, difficile / unbedingt nötig, schwierig</v>
      </c>
      <c r="BQ35" s="759" t="str">
        <f>IF(VLOOKUP(A35,'Revitalisation-Revitalisierung'!$A$4:$Z$275,20,FALSE)="","",VLOOKUP(A35,'Revitalisation-Revitalisierung'!$A$4:$Z$275,20,FALSE))</f>
        <v>b</v>
      </c>
      <c r="BR35" s="759" t="str">
        <f>IF(VLOOKUP(A35,'Revitalisation-Revitalisierung'!$A$4:$Z$275,21,FALSE)="","",VLOOKUP(A35,'Revitalisation-Revitalisierung'!$A$4:$Z$275,21,FALSE))</f>
        <v/>
      </c>
      <c r="BS35" s="762" t="str">
        <f>IF(VLOOKUP(A35,'Revitalisation-Revitalisierung'!$A$4:$Z$275,22,FALSE)="","",VLOOKUP(A35,'Revitalisation-Revitalisierung'!$A$4:$Z$275,22,FALSE))</f>
        <v/>
      </c>
      <c r="BT35" s="703" t="str">
        <f>IF(VLOOKUP(A35,'Revitalisation-Revitalisierung'!$A$4:$Z$275,23,FALSE)="","",VLOOKUP(A35,'Revitalisation-Revitalisierung'!$A$4:$Z$275,23,FALSE))</f>
        <v/>
      </c>
      <c r="BU35" s="699" t="str">
        <f>IF(VLOOKUP(A35,'Revitalisation-Revitalisierung'!$A$4:$Z$275,24,FALSE)="","",VLOOKUP(A35,'Revitalisation-Revitalisierung'!$A$4:$Z$275,24,FALSE))</f>
        <v>Welcher Teil ist 47.1 und welcher ist 47.2?</v>
      </c>
      <c r="BV35" s="761" t="str">
        <f>IF(VLOOKUP(A35,'Revitalisation-Revitalisierung'!$A$4:$Z$275,25,FALSE)="","",VLOOKUP(A35,'Revitalisation-Revitalisierung'!$A$4:$Z$275,25,FALSE))</f>
        <v>Très nécessaire, difficile / unbedingt nötig, schwierig</v>
      </c>
      <c r="BW35" s="871" t="str">
        <f>IF(VLOOKUP(A35,'Revitalisation-Revitalisierung'!$A$4:$AA$275,27,FALSE)="","",VLOOKUP(A35,'Revitalisation-Revitalisierung'!$A$4:$AA$275,27,FALSE))</f>
        <v>b</v>
      </c>
    </row>
    <row r="36" spans="1:75" ht="72" customHeight="1" x14ac:dyDescent="0.25">
      <c r="A36" s="936">
        <v>47.2</v>
      </c>
      <c r="B36" s="856">
        <f>IF(VLOOKUP(A36,'Données de base - Grunddaten'!$A$2:$M$297,2,FALSE)="","",VLOOKUP(A36,'Données de base - Grunddaten'!$A$2:$M$297,2,FALSE))</f>
        <v>2</v>
      </c>
      <c r="C36" s="857" t="str">
        <f>IF(VLOOKUP(A36,'Données de base - Grunddaten'!$A$2:$M$297,3,FALSE)="","",VLOOKUP(A36,'Données de base - Grunddaten'!$A$2:$M$297,3,FALSE))</f>
        <v>Altwässer der Aare und der Zihl</v>
      </c>
      <c r="D36" s="857" t="str">
        <f>IF(VLOOKUP(A36,'Données de base - Grunddaten'!$A$2:$M$297,4,FALSE)="","",VLOOKUP(A36,'Données de base - Grunddaten'!$A$2:$M$297,4,FALSE))</f>
        <v>Aare</v>
      </c>
      <c r="E36" s="857" t="str">
        <f>IF(VLOOKUP(A36,'Données de base - Grunddaten'!$A$2:$M$297,5,FALSE)="","",VLOOKUP(A36,'Données de base - Grunddaten'!$A$2:$M$297,5,FALSE))</f>
        <v>BE</v>
      </c>
      <c r="F36" s="857" t="str">
        <f>IF(VLOOKUP(A36,'Données de base - Grunddaten'!$A$2:$M$297,6,FALSE)="","",VLOOKUP(A36,'Données de base - Grunddaten'!$A$2:$M$297,6,FALSE))</f>
        <v>Plateau occidental</v>
      </c>
      <c r="G36" s="857" t="str">
        <f>IF(VLOOKUP(A36,'Données de base - Grunddaten'!$A$2:$M$297,7,FALSE)="","",VLOOKUP(A36,'Données de base - Grunddaten'!$A$2:$M$297,7,FALSE))</f>
        <v>Collinéen</v>
      </c>
      <c r="H36" s="857">
        <f>IF(VLOOKUP(A36,'Données de base - Grunddaten'!$A$2:$M$297,8,FALSE)="","",VLOOKUP(A36,'Données de base - Grunddaten'!$A$2:$M$297,8,FALSE))</f>
        <v>430</v>
      </c>
      <c r="I36" s="857">
        <f>IF(VLOOKUP(A36,'Données de base - Grunddaten'!$A$2:$M$297,9,FALSE)="","",VLOOKUP(A36,'Données de base - Grunddaten'!$A$2:$M$297,9,FALSE))</f>
        <v>1992</v>
      </c>
      <c r="J36" s="857">
        <f>IF(VLOOKUP(A36,'Données de base - Grunddaten'!$A$2:$M$297,10,FALSE)="","",VLOOKUP(A36,'Données de base - Grunddaten'!$A$2:$M$297,10,FALSE))</f>
        <v>51</v>
      </c>
      <c r="K36" s="857" t="str">
        <f>IF(VLOOKUP(A36,'Données de base - Grunddaten'!$A$2:$M$297,11,FALSE)="","",VLOOKUP(A36,'Données de base - Grunddaten'!$A$2:$M$297,11,FALSE))</f>
        <v>Cours d'eau naturels de l'étage collinéen du Moyen-Pays</v>
      </c>
      <c r="L36" s="857" t="str">
        <f>IF(VLOOKUP(A36,'Données de base - Grunddaten'!$A$2:$M$297,12,FALSE)="","",VLOOKUP(A36,'Données de base - Grunddaten'!$A$2:$M$297,12,FALSE))</f>
        <v>méandres migrants</v>
      </c>
      <c r="M36" s="858" t="str">
        <f>IF(VLOOKUP(A36,'Données de base - Grunddaten'!$A$2:$M$297,13,FALSE)="","",VLOOKUP(A36,'Données de base - Grunddaten'!$A$2:$M$297,13,FALSE))</f>
        <v>en méandres migrants - bras morts</v>
      </c>
      <c r="N36" s="872" t="str">
        <f>IF(VLOOKUP(A36,'Charriage - Geschiebehaushalt'!$A$4:$R$275,5,FALSE)="","",VLOOKUP(A36,'Charriage - Geschiebehaushalt'!$A$4:$R$275,5,FALSE))</f>
        <v>pertinent</v>
      </c>
      <c r="O36" s="881" t="str">
        <f>IF(VLOOKUP(A36,'Charriage - Geschiebehaushalt'!$A$4:$R$275,6,FALSE)="","",VLOOKUP(A36,'Charriage - Geschiebehaushalt'!$A$4:$R$275,6,FALSE))</f>
        <v>non documenté</v>
      </c>
      <c r="P36" s="874" t="str">
        <f>IF(VLOOKUP(A36,'Charriage - Geschiebehaushalt'!$A$4:$R$275,7,FALSE)="","",VLOOKUP(A36,'Charriage - Geschiebehaushalt'!$A$4:$R$275,7,FALSE))</f>
        <v/>
      </c>
      <c r="Q36" s="874" t="str">
        <f>IF(VLOOKUP(A36,'Charriage - Geschiebehaushalt'!$A$4:$R$275,8,FALSE)="","",VLOOKUP(A36,'Charriage - Geschiebehaushalt'!$A$4:$R$275,8,FALSE))</f>
        <v>non documenté</v>
      </c>
      <c r="R36" s="892">
        <f>IF(VLOOKUP(A36,'Charriage - Geschiebehaushalt'!$A$4:$R$275,9,FALSE)="","",VLOOKUP(A36,'Charriage - Geschiebehaushalt'!$A$4:$R$275,9,FALSE))</f>
        <v>0.76200000000000001</v>
      </c>
      <c r="S36" s="895" t="str">
        <f>IF(VLOOKUP(A36,'Charriage - Geschiebehaushalt'!$A$4:$R$275,10,FALSE)="","",VLOOKUP(A36,'Charriage - Geschiebehaushalt'!$A$4:$R$275,10,FALSE))</f>
        <v>la remobilisation des sédiments est perturbée</v>
      </c>
      <c r="T36" s="875">
        <f>IF(VLOOKUP(A36,'Charriage - Geschiebehaushalt'!$A$4:$R$275,11,FALSE)="","",VLOOKUP(A36,'Charriage - Geschiebehaushalt'!$A$4:$R$275,11,FALSE))</f>
        <v>0.06</v>
      </c>
      <c r="U36" s="876" t="str">
        <f>IF(VLOOKUP(A36,'Charriage - Geschiebehaushalt'!$A$4:$R$275,12,FALSE)="","",VLOOKUP(A36,'Charriage - Geschiebehaushalt'!$A$4:$R$275,12,FALSE))</f>
        <v>déficit dans les formations pionnières</v>
      </c>
      <c r="V36" s="877" t="str">
        <f>IF(VLOOKUP(A36,'Charriage - Geschiebehaushalt'!$A$4:$R$275,13,FALSE)="","",VLOOKUP(A36,'Charriage - Geschiebehaushalt'!$A$4:$R$275,13,FALSE))</f>
        <v/>
      </c>
      <c r="W36" s="877" t="str">
        <f>IF(VLOOKUP(A36,'Charriage - Geschiebehaushalt'!$A$4:$R$275,14,FALSE)="","",VLOOKUP(A36,'Charriage - Geschiebehaushalt'!$A$4:$R$275,14,FALSE))</f>
        <v/>
      </c>
      <c r="X36" s="877" t="str">
        <f>IF(VLOOKUP(A36,'Charriage - Geschiebehaushalt'!$A$4:$R$275,15,FALSE)="","",VLOOKUP(A36,'Charriage - Geschiebehaushalt'!$A$4:$R$275,15,FALSE))</f>
        <v/>
      </c>
      <c r="Y36" s="879" t="str">
        <f>IF(VLOOKUP(A36,'Charriage - Geschiebehaushalt'!$A$4:$R$275,16,FALSE)="","",VLOOKUP(A36,'Charriage - Geschiebehaushalt'!$A$4:$R$275,16,FALSE))</f>
        <v/>
      </c>
      <c r="Z36" s="763" t="str">
        <f>IF(VLOOKUP(A36,'Charriage - Geschiebehaushalt'!$A$4:$R$275,17,FALSE)="","",VLOOKUP(A36,'Charriage - Geschiebehaushalt'!$A$4:$R$275,17,FALSE))</f>
        <v>La remobilisation des sédiments est perturbée</v>
      </c>
      <c r="AA36" s="880" t="str">
        <f>IF(VLOOKUP(A36,'Charriage - Geschiebehaushalt'!$A$4:$R$275,18,FALSE)="","",VLOOKUP(A36,'Charriage - Geschiebehaushalt'!$A$4:$R$275,18,FALSE))</f>
        <v>b</v>
      </c>
      <c r="AB36" s="737">
        <f>IF(VLOOKUP(A36,'Charriage - Geschiebehaushalt'!$A$4:$AC$275,19,FALSE)="","",VLOOKUP(A36,'Charriage - Geschiebehaushalt'!$A$4:$AC$275,19,FALSE))</f>
        <v>0</v>
      </c>
      <c r="AC36" s="738">
        <f>IF(VLOOKUP(A36,'Charriage - Geschiebehaushalt'!$A$4:$AC$275,20,FALSE)="","",VLOOKUP(A36,'Charriage - Geschiebehaushalt'!$A$4:$AC$275,20,FALSE))</f>
        <v>0</v>
      </c>
      <c r="AD36" s="764" t="str">
        <f>IF(VLOOKUP(A36,'Charriage - Geschiebehaushalt'!$A$4:$AC$275,21,FALSE)="","",VLOOKUP(A36,'Charriage - Geschiebehaushalt'!$A$4:$AC$275,21,FALSE))</f>
        <v/>
      </c>
      <c r="AE36" s="740" t="str">
        <f>IF(VLOOKUP(A36,'Charriage - Geschiebehaushalt'!$A$4:$AC$275,22,FALSE)="","",VLOOKUP(A36,'Charriage - Geschiebehaushalt'!$A$4:$AC$275,22,FALSE))</f>
        <v>21-50%</v>
      </c>
      <c r="AF36" s="787" t="str">
        <f>IF(VLOOKUP(A36,'Charriage - Geschiebehaushalt'!$A$4:$AC$275,23,FALSE)="","",VLOOKUP(A36,'Charriage - Geschiebehaushalt'!$A$4:$AC$275,23,FALSE))</f>
        <v>b</v>
      </c>
      <c r="AG36" s="765" t="str">
        <f>IF(VLOOKUP(A36,'Charriage - Geschiebehaushalt'!$A$4:$AC$275,24,FALSE)="","",VLOOKUP(A36,'Charriage - Geschiebehaushalt'!$A$4:$AC$275,24,FALSE))</f>
        <v/>
      </c>
      <c r="AH36" s="764" t="str">
        <f>IF(VLOOKUP(A36,'Charriage - Geschiebehaushalt'!$A$4:$AC$275,25,FALSE)="","",VLOOKUP(A36,'Charriage - Geschiebehaushalt'!$A$4:$AC$275,25,FALSE))</f>
        <v/>
      </c>
      <c r="AI36" s="433" t="str">
        <f>IF(VLOOKUP(A36,'Charriage - Geschiebehaushalt'!$A$4:$AC$275,26,FALSE)="","",VLOOKUP(A36,'Charriage - Geschiebehaushalt'!$A$4:$AC$275,26,FALSE))</f>
        <v/>
      </c>
      <c r="AJ36" s="434" t="str">
        <f>IF(VLOOKUP(A36,'Charriage - Geschiebehaushalt'!$A$4:$AC$275,27,FALSE)="","",VLOOKUP(A36,'Charriage - Geschiebehaushalt'!$A$4:$AC$275,27,FALSE))</f>
        <v/>
      </c>
      <c r="AK36" s="801" t="str">
        <f>IF(VLOOKUP(A36,'Charriage - Geschiebehaushalt'!$A$4:$AC$275,28,FALSE)="","",VLOOKUP(A36,'Charriage - Geschiebehaushalt'!$A$4:$AC$275,28,FALSE))</f>
        <v>21-50%</v>
      </c>
      <c r="AL36" s="1285" t="str">
        <f>IF(VLOOKUP(A36,'Charriage - Geschiebehaushalt'!$A$4:$AD$275,30,FALSE)="","",VLOOKUP(A36,'Charriage - Geschiebehaushalt'!$A$4:$AD$275,30,FALSE))</f>
        <v>b</v>
      </c>
      <c r="AM36" s="1279" t="str">
        <f>IF(VLOOKUP(A36,'Débit - Abfluss'!$A$4:$K$275,5,FALSE)="","",VLOOKUP(A36,'Débit - Abfluss'!$A$4:$M$275,5,FALSE))</f>
        <v>100%</v>
      </c>
      <c r="AN36" s="868" t="str">
        <f>IF(VLOOKUP(A36,'Débit - Abfluss'!$A$4:$K$275,6,FALSE)="","",VLOOKUP(A36,'Débit - Abfluss'!$A$4:$M$275,6,FALSE))</f>
        <v>aucune information supplémentaire</v>
      </c>
      <c r="AO36" s="869" t="str">
        <f>IF(VLOOKUP(A36,'Débit - Abfluss'!$A$4:$K$275,7,FALSE)="","",VLOOKUP(A36,'Débit - Abfluss'!$A$4:$M$275,7,FALSE))</f>
        <v>aucune information supplémentaire</v>
      </c>
      <c r="AP36" s="766" t="str">
        <f>IF(VLOOKUP(A36,'Débit - Abfluss'!$A$4:$K$275,8,FALSE)="","",VLOOKUP(A36,'Débit - Abfluss'!$A$4:$M$275,8,FALSE))</f>
        <v>100%</v>
      </c>
      <c r="AQ36" s="742" t="str">
        <f>IF(VLOOKUP(A36,'Débit - Abfluss'!$A$4:$K$275,9,FALSE)="","",VLOOKUP(A36,'Débit - Abfluss'!$A$4:$M$275,9,FALSE))</f>
        <v>-</v>
      </c>
      <c r="AR36" s="767" t="str">
        <f>IF(VLOOKUP(A36,'Débit - Abfluss'!$A$4:$K$275,10,FALSE)="","",VLOOKUP(A36,'Débit - Abfluss'!$A$4:$M$275,10,FALSE))</f>
        <v>100%</v>
      </c>
      <c r="AS36" s="767" t="str">
        <f>IF(VLOOKUP(A36,'Débit - Abfluss'!$A$4:$K$275,11,FALSE)="","",VLOOKUP(A36,'Débit - Abfluss'!$A$4:$M$275,11,FALSE))</f>
        <v/>
      </c>
      <c r="AT36" s="744" t="str">
        <f>IF(VLOOKUP(A36,'Débit - Abfluss'!$A$4:$Q$275,12,FALSE)="","",VLOOKUP(A36,'Débit - Abfluss'!$A$4:$Q$275,12,FALSE))</f>
        <v/>
      </c>
      <c r="AU36" s="745" t="str">
        <f>IF(VLOOKUP(A36,'Débit - Abfluss'!$A$4:$Q$275,13,FALSE)="","",VLOOKUP(A36,'Débit - Abfluss'!$A$4:$Q$275,13,FALSE))</f>
        <v/>
      </c>
      <c r="AV36" s="746" t="str">
        <f>IF(VLOOKUP(A36,'Débit - Abfluss'!$A$4:$Q$275,14,FALSE)="","",VLOOKUP(A36,'Débit - Abfluss'!$A$4:$Q$275,14,FALSE))</f>
        <v/>
      </c>
      <c r="AW36" s="768" t="str">
        <f>IF(VLOOKUP(A36,'Débit - Abfluss'!$A$4:$Q$275,15,FALSE)="","",VLOOKUP(A36,'Débit - Abfluss'!$A$4:$Q$275,15,FALSE))</f>
        <v/>
      </c>
      <c r="AX36" s="677" t="str">
        <f>IF(VLOOKUP(A36,'Débit - Abfluss'!$A$4:$Q$275,16,FALSE)="","",VLOOKUP(A36,'Débit - Abfluss'!$A$4:$Q$275,16,FALSE))</f>
        <v/>
      </c>
      <c r="AY36" s="769" t="str">
        <f>IF(VLOOKUP(A36,'Débit - Abfluss'!$A$4:$Q$275,17,FALSE)="","",VLOOKUP(A36,'Débit - Abfluss'!$A$4:$Q$275,17,FALSE))</f>
        <v>100%</v>
      </c>
      <c r="AZ36" s="749" t="str">
        <f>IF(VLOOKUP(A36,'Eclusée - Schwall-Sunk'!$A$2:$F$273,5,FALSE)="","",VLOOKUP(A36,'Eclusée - Schwall-Sunk'!$A$2:$F$273,5,FALSE))</f>
        <v/>
      </c>
      <c r="BA36" s="750" t="str">
        <f>IF(VLOOKUP(A36,'Eclusée - Schwall-Sunk'!$A$2:$F$273,6,FALSE)="","",VLOOKUP(A36,'Eclusée - Schwall-Sunk'!$A$2:$F$273,6,FALSE))</f>
        <v>Non affecté / nicht betroffen</v>
      </c>
      <c r="BB36" s="751" t="str">
        <f>IF(VLOOKUP(A36,'Revitalisation-Revitalisierung'!$A$4:$Z$275,5,FALSE)="","",VLOOKUP(A36,'Revitalisation-Revitalisierung'!$A$4:$Z$275,5,FALSE))</f>
        <v/>
      </c>
      <c r="BC36" s="752" t="str">
        <f>IF(VLOOKUP(A36,'Revitalisation-Revitalisierung'!$A$4:$Z$275,6,FALSE)="","",VLOOKUP(A36,'Revitalisation-Revitalisierung'!$A$4:$Z$275,6,FALSE))</f>
        <v/>
      </c>
      <c r="BD36" s="752" t="str">
        <f>IF(VLOOKUP(A36,'Revitalisation-Revitalisierung'!$A$4:$Z$275,7,FALSE)="","",VLOOKUP(A36,'Revitalisation-Revitalisierung'!$A$4:$Z$275,7,FALSE))</f>
        <v/>
      </c>
      <c r="BE36" s="753" t="str">
        <f>IF(VLOOKUP(A36,'Revitalisation-Revitalisierung'!$A$4:$Z$275,8,FALSE)="","",VLOOKUP(A36,'Revitalisation-Revitalisierung'!$A$4:$Z$275,8,FALSE))</f>
        <v/>
      </c>
      <c r="BF36" s="754" t="str">
        <f>IF(VLOOKUP(A36,'Revitalisation-Revitalisierung'!$A$4:$Z$275,9,FALSE)="","",VLOOKUP(A36,'Revitalisation-Revitalisierung'!$A$4:$Z$275,9,FALSE))</f>
        <v/>
      </c>
      <c r="BG36" s="754" t="str">
        <f>IF(VLOOKUP(A36,'Revitalisation-Revitalisierung'!$A$4:$Z$275,10,FALSE)="","",VLOOKUP(A36,'Revitalisation-Revitalisierung'!$A$4:$Z$275,10,FALSE))</f>
        <v/>
      </c>
      <c r="BH36" s="755" t="str">
        <f>IF(VLOOKUP(A36,'Revitalisation-Revitalisierung'!$A$4:$Z$275,11,FALSE)="","",VLOOKUP(A36,'Revitalisation-Revitalisierung'!$A$4:$Z$275,11,FALSE))</f>
        <v>très nécessaire, facile</v>
      </c>
      <c r="BI36" s="756" t="str">
        <f>IF(VLOOKUP(A36,'Revitalisation-Revitalisierung'!$A$4:$Z$275,12,FALSE)="","",VLOOKUP(A36,'Revitalisation-Revitalisierung'!$A$4:$Z$275,12,FALSE))</f>
        <v>système naturel</v>
      </c>
      <c r="BJ36" s="757" t="str">
        <f>IF(VLOOKUP(A36,'Revitalisation-Revitalisierung'!$A$4:$Z$275,13,FALSE)="","",VLOOKUP(A36,'Revitalisation-Revitalisierung'!$A$4:$Z$275,13,FALSE))</f>
        <v>Non nécessaire / nicht nötig</v>
      </c>
      <c r="BK36" s="870" t="str">
        <f>IF(VLOOKUP(A36,'Revitalisation-Revitalisierung'!$A$4:$Z$275,14,FALSE)="","",VLOOKUP(A36,'Revitalisation-Revitalisierung'!$A$4:$Z$275,14,FALSE))</f>
        <v>b</v>
      </c>
      <c r="BL36" s="758">
        <f>IF(VLOOKUP(A36,'Revitalisation-Revitalisierung'!$A$4:$Z$275,15,FALSE)="","",VLOOKUP(A36,'Revitalisation-Revitalisierung'!$A$4:$Z$275,15,FALSE))</f>
        <v>0</v>
      </c>
      <c r="BM36" s="759">
        <f>IF(VLOOKUP(A36,'Revitalisation-Revitalisierung'!$A$4:$Z$275,16,FALSE)="","",VLOOKUP(A36,'Revitalisation-Revitalisierung'!$A$4:$Z$275,16,FALSE))</f>
        <v>0</v>
      </c>
      <c r="BN36" s="759">
        <f>IF(VLOOKUP(A36,'Revitalisation-Revitalisierung'!$A$4:$Z$275,17,FALSE)="","",VLOOKUP(A36,'Revitalisation-Revitalisierung'!$A$4:$Z$275,17,FALSE))</f>
        <v>0</v>
      </c>
      <c r="BO36" s="760" t="str">
        <f>IF(VLOOKUP(A36,'Revitalisation-Revitalisierung'!$A$4:$Z$275,18,FALSE)="","",VLOOKUP(A36,'Revitalisation-Revitalisierung'!$A$4:$Z$275,18,FALSE))</f>
        <v>Très nécessaire, difficile / unbedingt nötig, schwierig</v>
      </c>
      <c r="BP36" s="761" t="str">
        <f>IF(VLOOKUP(A36,'Revitalisation-Revitalisierung'!$A$4:$Z$275,19,FALSE)="","",VLOOKUP(A36,'Revitalisation-Revitalisierung'!$A$4:$Z$275,19,FALSE))</f>
        <v>Très nécessaire, difficile / unbedingt nötig, schwierig</v>
      </c>
      <c r="BQ36" s="759" t="str">
        <f>IF(VLOOKUP(A36,'Revitalisation-Revitalisierung'!$A$4:$Z$275,20,FALSE)="","",VLOOKUP(A36,'Revitalisation-Revitalisierung'!$A$4:$Z$275,20,FALSE))</f>
        <v>c</v>
      </c>
      <c r="BR36" s="759" t="str">
        <f>IF(VLOOKUP(A36,'Revitalisation-Revitalisierung'!$A$4:$Z$275,21,FALSE)="","",VLOOKUP(A36,'Revitalisation-Revitalisierung'!$A$4:$Z$275,21,FALSE))</f>
        <v/>
      </c>
      <c r="BS36" s="762" t="str">
        <f>IF(VLOOKUP(A36,'Revitalisation-Revitalisierung'!$A$4:$Z$275,22,FALSE)="","",VLOOKUP(A36,'Revitalisation-Revitalisierung'!$A$4:$Z$275,22,FALSE))</f>
        <v/>
      </c>
      <c r="BT36" s="703" t="str">
        <f>IF(VLOOKUP(A36,'Revitalisation-Revitalisierung'!$A$4:$Z$275,23,FALSE)="","",VLOOKUP(A36,'Revitalisation-Revitalisierung'!$A$4:$Z$275,23,FALSE))</f>
        <v/>
      </c>
      <c r="BU36" s="699" t="str">
        <f>IF(VLOOKUP(A36,'Revitalisation-Revitalisierung'!$A$4:$Z$275,24,FALSE)="","",VLOOKUP(A36,'Revitalisation-Revitalisierung'!$A$4:$Z$275,24,FALSE))</f>
        <v>Welcher Teil ist 47.1 und welcher ist 47.2?</v>
      </c>
      <c r="BV36" s="761" t="str">
        <f>IF(VLOOKUP(A36,'Revitalisation-Revitalisierung'!$A$4:$Z$275,25,FALSE)="","",VLOOKUP(A36,'Revitalisation-Revitalisierung'!$A$4:$Z$275,25,FALSE))</f>
        <v>Très nécessaire, difficile / unbedingt nötig, schwierig</v>
      </c>
      <c r="BW36" s="871" t="str">
        <f>IF(VLOOKUP(A36,'Revitalisation-Revitalisierung'!$A$4:$AA$275,27,FALSE)="","",VLOOKUP(A36,'Revitalisation-Revitalisierung'!$A$4:$AA$275,27,FALSE))</f>
        <v>a</v>
      </c>
    </row>
    <row r="37" spans="1:75" ht="69.599999999999994" customHeight="1" x14ac:dyDescent="0.25">
      <c r="A37" s="935">
        <v>48</v>
      </c>
      <c r="B37" s="856">
        <f>IF(VLOOKUP(A37,'Données de base - Grunddaten'!$A$2:$M$297,2,FALSE)="","",VLOOKUP(A37,'Données de base - Grunddaten'!$A$2:$M$297,2,FALSE))</f>
        <v>1</v>
      </c>
      <c r="C37" s="857" t="str">
        <f>IF(VLOOKUP(A37,'Données de base - Grunddaten'!$A$2:$M$297,3,FALSE)="","",VLOOKUP(A37,'Données de base - Grunddaten'!$A$2:$M$297,3,FALSE))</f>
        <v>Alte Aare: Lyss–Dotzigen</v>
      </c>
      <c r="D37" s="857" t="str">
        <f>IF(VLOOKUP(A37,'Données de base - Grunddaten'!$A$2:$M$297,4,FALSE)="","",VLOOKUP(A37,'Données de base - Grunddaten'!$A$2:$M$297,4,FALSE))</f>
        <v>Alte Aare</v>
      </c>
      <c r="E37" s="857" t="str">
        <f>IF(VLOOKUP(A37,'Données de base - Grunddaten'!$A$2:$M$297,5,FALSE)="","",VLOOKUP(A37,'Données de base - Grunddaten'!$A$2:$M$297,5,FALSE))</f>
        <v>BE</v>
      </c>
      <c r="F37" s="857" t="str">
        <f>IF(VLOOKUP(A37,'Données de base - Grunddaten'!$A$2:$M$297,6,FALSE)="","",VLOOKUP(A37,'Données de base - Grunddaten'!$A$2:$M$297,6,FALSE))</f>
        <v>Plateau occidental</v>
      </c>
      <c r="G37" s="857" t="str">
        <f>IF(VLOOKUP(A37,'Données de base - Grunddaten'!$A$2:$M$297,7,FALSE)="","",VLOOKUP(A37,'Données de base - Grunddaten'!$A$2:$M$297,7,FALSE))</f>
        <v>Collinéen</v>
      </c>
      <c r="H37" s="857">
        <f>IF(VLOOKUP(A37,'Données de base - Grunddaten'!$A$2:$M$297,8,FALSE)="","",VLOOKUP(A37,'Données de base - Grunddaten'!$A$2:$M$297,8,FALSE))</f>
        <v>430</v>
      </c>
      <c r="I37" s="857">
        <f>IF(VLOOKUP(A37,'Données de base - Grunddaten'!$A$2:$M$297,9,FALSE)="","",VLOOKUP(A37,'Données de base - Grunddaten'!$A$2:$M$297,9,FALSE))</f>
        <v>1992</v>
      </c>
      <c r="J37" s="857">
        <f>IF(VLOOKUP(A37,'Données de base - Grunddaten'!$A$2:$M$297,10,FALSE)="","",VLOOKUP(A37,'Données de base - Grunddaten'!$A$2:$M$297,10,FALSE))</f>
        <v>51</v>
      </c>
      <c r="K37" s="857" t="str">
        <f>IF(VLOOKUP(A37,'Données de base - Grunddaten'!$A$2:$M$297,11,FALSE)="","",VLOOKUP(A37,'Données de base - Grunddaten'!$A$2:$M$297,11,FALSE))</f>
        <v>Cours d'eau naturels de l'étage collinéen du Moyen-Pays</v>
      </c>
      <c r="L37" s="857" t="str">
        <f>IF(VLOOKUP(A37,'Données de base - Grunddaten'!$A$2:$M$297,12,FALSE)="","",VLOOKUP(A37,'Données de base - Grunddaten'!$A$2:$M$297,12,FALSE))</f>
        <v>en tresses</v>
      </c>
      <c r="M37" s="858" t="str">
        <f>IF(VLOOKUP(A37,'Données de base - Grunddaten'!$A$2:$M$297,13,FALSE)="","",VLOOKUP(A37,'Données de base - Grunddaten'!$A$2:$M$297,13,FALSE))</f>
        <v>méandres migrants</v>
      </c>
      <c r="N37" s="872" t="str">
        <f>IF(VLOOKUP(A37,'Charriage - Geschiebehaushalt'!$A$4:$R$275,5,FALSE)="","",VLOOKUP(A37,'Charriage - Geschiebehaushalt'!$A$4:$R$275,5,FALSE))</f>
        <v>pertinent</v>
      </c>
      <c r="O37" s="881" t="str">
        <f>IF(VLOOKUP(A37,'Charriage - Geschiebehaushalt'!$A$4:$R$275,6,FALSE)="","",VLOOKUP(A37,'Charriage - Geschiebehaushalt'!$A$4:$R$275,6,FALSE))</f>
        <v>non documenté</v>
      </c>
      <c r="P37" s="874" t="str">
        <f>IF(VLOOKUP(A37,'Charriage - Geschiebehaushalt'!$A$4:$R$275,7,FALSE)="","",VLOOKUP(A37,'Charriage - Geschiebehaushalt'!$A$4:$R$275,7,FALSE))</f>
        <v/>
      </c>
      <c r="Q37" s="874" t="str">
        <f>IF(VLOOKUP(A37,'Charriage - Geschiebehaushalt'!$A$4:$R$275,8,FALSE)="","",VLOOKUP(A37,'Charriage - Geschiebehaushalt'!$A$4:$R$275,8,FALSE))</f>
        <v>non documenté</v>
      </c>
      <c r="R37" s="875">
        <f>IF(VLOOKUP(A37,'Charriage - Geschiebehaushalt'!$A$4:$R$275,9,FALSE)="","",VLOOKUP(A37,'Charriage - Geschiebehaushalt'!$A$4:$R$275,9,FALSE))</f>
        <v>4.4108513067570299E-2</v>
      </c>
      <c r="S37" s="876" t="str">
        <f>IF(VLOOKUP(A37,'Charriage - Geschiebehaushalt'!$A$4:$R$275,10,FALSE)="","",VLOOKUP(A37,'Charriage - Geschiebehaushalt'!$A$4:$R$275,10,FALSE))</f>
        <v>pas ou faiblement entravé</v>
      </c>
      <c r="T37" s="875">
        <f>IF(VLOOKUP(A37,'Charriage - Geschiebehaushalt'!$A$4:$R$275,11,FALSE)="","",VLOOKUP(A37,'Charriage - Geschiebehaushalt'!$A$4:$R$275,11,FALSE))</f>
        <v>4.8317229879000001E-2</v>
      </c>
      <c r="U37" s="876" t="str">
        <f>IF(VLOOKUP(A37,'Charriage - Geschiebehaushalt'!$A$4:$R$275,12,FALSE)="","",VLOOKUP(A37,'Charriage - Geschiebehaushalt'!$A$4:$R$275,12,FALSE))</f>
        <v>déficit dans les formations pionnières</v>
      </c>
      <c r="V37" s="877" t="str">
        <f>IF(VLOOKUP(A37,'Charriage - Geschiebehaushalt'!$A$4:$R$275,13,FALSE)="","",VLOOKUP(A37,'Charriage - Geschiebehaushalt'!$A$4:$R$275,13,FALSE))</f>
        <v>Pas de graviers à la Vieille Aar, seulement quelques sédiments fins</v>
      </c>
      <c r="W37" s="878" t="str">
        <f>IF(VLOOKUP(A37,'Charriage - Geschiebehaushalt'!$A$4:$R$275,14,FALSE)="","",VLOOKUP(A37,'Charriage - Geschiebehaushalt'!$A$4:$R$275,14,FALSE))</f>
        <v>charriage présumé perturbé</v>
      </c>
      <c r="X37" s="878" t="str">
        <f>IF(VLOOKUP(A37,'Charriage - Geschiebehaushalt'!$A$4:$R$275,15,FALSE)="","",VLOOKUP(A37,'Charriage - Geschiebehaushalt'!$A$4:$R$275,15,FALSE))</f>
        <v/>
      </c>
      <c r="Y37" s="882" t="str">
        <f>IF(VLOOKUP(A37,'Charriage - Geschiebehaushalt'!$A$4:$R$275,16,FALSE)="","",VLOOKUP(A37,'Charriage - Geschiebehaushalt'!$A$4:$R$275,16,FALSE))</f>
        <v/>
      </c>
      <c r="Z37" s="763" t="str">
        <f>IF(VLOOKUP(A37,'Charriage - Geschiebehaushalt'!$A$4:$R$275,17,FALSE)="","",VLOOKUP(A37,'Charriage - Geschiebehaushalt'!$A$4:$R$275,17,FALSE))</f>
        <v>Charriage présumé perturbé</v>
      </c>
      <c r="AA37" s="880" t="str">
        <f>IF(VLOOKUP(A37,'Charriage - Geschiebehaushalt'!$A$4:$R$275,18,FALSE)="","",VLOOKUP(A37,'Charriage - Geschiebehaushalt'!$A$4:$R$275,18,FALSE))</f>
        <v>b</v>
      </c>
      <c r="AB37" s="737" t="str">
        <f>IF(VLOOKUP(A37,'Charriage - Geschiebehaushalt'!$A$4:$AC$275,19,FALSE)="","",VLOOKUP(A37,'Charriage - Geschiebehaushalt'!$A$4:$AC$275,19,FALSE))</f>
        <v>-</v>
      </c>
      <c r="AC37" s="738" t="str">
        <f>IF(VLOOKUP(A37,'Charriage - Geschiebehaushalt'!$A$4:$AC$275,20,FALSE)="","",VLOOKUP(A37,'Charriage - Geschiebehaushalt'!$A$4:$AC$275,20,FALSE))</f>
        <v>-</v>
      </c>
      <c r="AD37" s="764" t="str">
        <f>IF(VLOOKUP(A37,'Charriage - Geschiebehaushalt'!$A$4:$AC$275,21,FALSE)="","",VLOOKUP(A37,'Charriage - Geschiebehaushalt'!$A$4:$AC$275,21,FALSE))</f>
        <v/>
      </c>
      <c r="AE37" s="740" t="str">
        <f>IF(VLOOKUP(A37,'Charriage - Geschiebehaushalt'!$A$4:$AC$275,22,FALSE)="","",VLOOKUP(A37,'Charriage - Geschiebehaushalt'!$A$4:$AC$275,22,FALSE))</f>
        <v>51-80%</v>
      </c>
      <c r="AF37" s="787" t="str">
        <f>IF(VLOOKUP(A37,'Charriage - Geschiebehaushalt'!$A$4:$AC$275,23,FALSE)="","",VLOOKUP(A37,'Charriage - Geschiebehaushalt'!$A$4:$AC$275,23,FALSE))</f>
        <v>b</v>
      </c>
      <c r="AG37" s="765" t="str">
        <f>IF(VLOOKUP(A37,'Charriage - Geschiebehaushalt'!$A$4:$AC$275,24,FALSE)="","",VLOOKUP(A37,'Charriage - Geschiebehaushalt'!$A$4:$AC$275,24,FALSE))</f>
        <v/>
      </c>
      <c r="AH37" s="764" t="str">
        <f>IF(VLOOKUP(A37,'Charriage - Geschiebehaushalt'!$A$4:$AC$275,25,FALSE)="","",VLOOKUP(A37,'Charriage - Geschiebehaushalt'!$A$4:$AC$275,25,FALSE))</f>
        <v/>
      </c>
      <c r="AI37" s="433" t="str">
        <f>IF(VLOOKUP(A37,'Charriage - Geschiebehaushalt'!$A$4:$AC$275,26,FALSE)="","",VLOOKUP(A37,'Charriage - Geschiebehaushalt'!$A$4:$AC$275,26,FALSE))</f>
        <v/>
      </c>
      <c r="AJ37" s="434" t="str">
        <f>IF(VLOOKUP(A37,'Charriage - Geschiebehaushalt'!$A$4:$AC$275,27,FALSE)="","",VLOOKUP(A37,'Charriage - Geschiebehaushalt'!$A$4:$AC$275,27,FALSE))</f>
        <v/>
      </c>
      <c r="AK37" s="801" t="str">
        <f>IF(VLOOKUP(A37,'Charriage - Geschiebehaushalt'!$A$4:$AC$275,28,FALSE)="","",VLOOKUP(A37,'Charriage - Geschiebehaushalt'!$A$4:$AC$275,28,FALSE))</f>
        <v>51-80%</v>
      </c>
      <c r="AL37" s="1285" t="str">
        <f>IF(VLOOKUP(A37,'Charriage - Geschiebehaushalt'!$A$4:$AD$275,30,FALSE)="","",VLOOKUP(A37,'Charriage - Geschiebehaushalt'!$A$4:$AD$275,30,FALSE))</f>
        <v>b</v>
      </c>
      <c r="AM37" s="1279" t="str">
        <f>IF(VLOOKUP(A37,'Débit - Abfluss'!$A$4:$K$275,5,FALSE)="","",VLOOKUP(A37,'Débit - Abfluss'!$A$4:$M$275,5,FALSE))</f>
        <v>100%</v>
      </c>
      <c r="AN37" s="868" t="str">
        <f>IF(VLOOKUP(A37,'Débit - Abfluss'!$A$4:$K$275,6,FALSE)="","",VLOOKUP(A37,'Débit - Abfluss'!$A$4:$M$275,6,FALSE))</f>
        <v>aucune information supplémentaire</v>
      </c>
      <c r="AO37" s="869" t="str">
        <f>IF(VLOOKUP(A37,'Débit - Abfluss'!$A$4:$K$275,7,FALSE)="","",VLOOKUP(A37,'Débit - Abfluss'!$A$4:$M$275,7,FALSE))</f>
        <v>aucune information supplémentaire</v>
      </c>
      <c r="AP37" s="766" t="str">
        <f>IF(VLOOKUP(A37,'Débit - Abfluss'!$A$4:$K$275,8,FALSE)="","",VLOOKUP(A37,'Débit - Abfluss'!$A$4:$M$275,8,FALSE))</f>
        <v>100%</v>
      </c>
      <c r="AQ37" s="742" t="str">
        <f>IF(VLOOKUP(A37,'Débit - Abfluss'!$A$4:$K$275,9,FALSE)="","",VLOOKUP(A37,'Débit - Abfluss'!$A$4:$M$275,9,FALSE))</f>
        <v>-</v>
      </c>
      <c r="AR37" s="767" t="str">
        <f>IF(VLOOKUP(A37,'Débit - Abfluss'!$A$4:$K$275,10,FALSE)="","",VLOOKUP(A37,'Débit - Abfluss'!$A$4:$M$275,10,FALSE))</f>
        <v>100%</v>
      </c>
      <c r="AS37" s="767" t="str">
        <f>IF(VLOOKUP(A37,'Débit - Abfluss'!$A$4:$K$275,11,FALSE)="","",VLOOKUP(A37,'Débit - Abfluss'!$A$4:$M$275,11,FALSE))</f>
        <v/>
      </c>
      <c r="AT37" s="744" t="str">
        <f>IF(VLOOKUP(A37,'Débit - Abfluss'!$A$4:$Q$275,12,FALSE)="","",VLOOKUP(A37,'Débit - Abfluss'!$A$4:$Q$275,12,FALSE))</f>
        <v/>
      </c>
      <c r="AU37" s="745" t="str">
        <f>IF(VLOOKUP(A37,'Débit - Abfluss'!$A$4:$Q$275,13,FALSE)="","",VLOOKUP(A37,'Débit - Abfluss'!$A$4:$Q$275,13,FALSE))</f>
        <v/>
      </c>
      <c r="AV37" s="746" t="str">
        <f>IF(VLOOKUP(A37,'Débit - Abfluss'!$A$4:$Q$275,14,FALSE)="","",VLOOKUP(A37,'Débit - Abfluss'!$A$4:$Q$275,14,FALSE))</f>
        <v/>
      </c>
      <c r="AW37" s="768" t="str">
        <f>IF(VLOOKUP(A37,'Débit - Abfluss'!$A$4:$Q$275,15,FALSE)="","",VLOOKUP(A37,'Débit - Abfluss'!$A$4:$Q$275,15,FALSE))</f>
        <v/>
      </c>
      <c r="AX37" s="677" t="str">
        <f>IF(VLOOKUP(A37,'Débit - Abfluss'!$A$4:$Q$275,16,FALSE)="","",VLOOKUP(A37,'Débit - Abfluss'!$A$4:$Q$275,16,FALSE))</f>
        <v/>
      </c>
      <c r="AY37" s="769" t="str">
        <f>IF(VLOOKUP(A37,'Débit - Abfluss'!$A$4:$Q$275,17,FALSE)="","",VLOOKUP(A37,'Débit - Abfluss'!$A$4:$Q$275,17,FALSE))</f>
        <v>100%</v>
      </c>
      <c r="AZ37" s="749" t="str">
        <f>IF(VLOOKUP(A37,'Eclusée - Schwall-Sunk'!$A$2:$F$273,5,FALSE)="","",VLOOKUP(A37,'Eclusée - Schwall-Sunk'!$A$2:$F$273,5,FALSE))</f>
        <v/>
      </c>
      <c r="BA37" s="750" t="str">
        <f>IF(VLOOKUP(A37,'Eclusée - Schwall-Sunk'!$A$2:$F$273,6,FALSE)="","",VLOOKUP(A37,'Eclusée - Schwall-Sunk'!$A$2:$F$273,6,FALSE))</f>
        <v>Non affecté / nicht betroffen</v>
      </c>
      <c r="BB37" s="751">
        <f>IF(VLOOKUP(A37,'Revitalisation-Revitalisierung'!$A$4:$Z$275,5,FALSE)="","",VLOOKUP(A37,'Revitalisation-Revitalisierung'!$A$4:$Z$275,5,FALSE))</f>
        <v>-56.81818181818182</v>
      </c>
      <c r="BC37" s="752">
        <f>IF(VLOOKUP(A37,'Revitalisation-Revitalisierung'!$A$4:$Z$275,6,FALSE)="","",VLOOKUP(A37,'Revitalisation-Revitalisierung'!$A$4:$Z$275,6,FALSE))</f>
        <v>0</v>
      </c>
      <c r="BD37" s="752">
        <f>IF(VLOOKUP(A37,'Revitalisation-Revitalisierung'!$A$4:$Z$275,7,FALSE)="","",VLOOKUP(A37,'Revitalisation-Revitalisierung'!$A$4:$Z$275,7,FALSE))</f>
        <v>56.81818181818182</v>
      </c>
      <c r="BE37" s="753" t="str">
        <f>IF(VLOOKUP(A37,'Revitalisation-Revitalisierung'!$A$4:$Z$275,8,FALSE)="","",VLOOKUP(A37,'Revitalisation-Revitalisierung'!$A$4:$Z$275,8,FALSE))</f>
        <v>non nécessaire</v>
      </c>
      <c r="BF37" s="754" t="str">
        <f>IF(VLOOKUP(A37,'Revitalisation-Revitalisierung'!$A$4:$Z$275,9,FALSE)="","",VLOOKUP(A37,'Revitalisation-Revitalisierung'!$A$4:$Z$275,9,FALSE))</f>
        <v/>
      </c>
      <c r="BG37" s="754" t="str">
        <f>IF(VLOOKUP(A37,'Revitalisation-Revitalisierung'!$A$4:$Z$275,10,FALSE)="","",VLOOKUP(A37,'Revitalisation-Revitalisierung'!$A$4:$Z$275,10,FALSE))</f>
        <v>K3</v>
      </c>
      <c r="BH37" s="755" t="str">
        <f>IF(VLOOKUP(A37,'Revitalisation-Revitalisierung'!$A$4:$Z$275,11,FALSE)="","",VLOOKUP(A37,'Revitalisation-Revitalisierung'!$A$4:$Z$275,11,FALSE))</f>
        <v/>
      </c>
      <c r="BI37" s="756" t="str">
        <f>IF(VLOOKUP(A37,'Revitalisation-Revitalisierung'!$A$4:$Z$275,12,FALSE)="","",VLOOKUP(A37,'Revitalisation-Revitalisierung'!$A$4:$Z$275,12,FALSE))</f>
        <v/>
      </c>
      <c r="BJ37" s="757" t="str">
        <f>IF(VLOOKUP(A37,'Revitalisation-Revitalisierung'!$A$4:$Z$275,13,FALSE)="","",VLOOKUP(A37,'Revitalisation-Revitalisierung'!$A$4:$Z$275,13,FALSE))</f>
        <v>Partiellement nécessaire, facile / teilweise nötig, einfach</v>
      </c>
      <c r="BK37" s="870" t="str">
        <f>IF(VLOOKUP(A37,'Revitalisation-Revitalisierung'!$A$4:$Z$275,14,FALSE)="","",VLOOKUP(A37,'Revitalisation-Revitalisierung'!$A$4:$Z$275,14,FALSE))</f>
        <v>b</v>
      </c>
      <c r="BL37" s="758" t="str">
        <f>IF(VLOOKUP(A37,'Revitalisation-Revitalisierung'!$A$4:$Z$275,15,FALSE)="","",VLOOKUP(A37,'Revitalisation-Revitalisierung'!$A$4:$Z$275,15,FALSE))</f>
        <v>gross</v>
      </c>
      <c r="BM37" s="759" t="str">
        <f>IF(VLOOKUP(A37,'Revitalisation-Revitalisierung'!$A$4:$Z$275,16,FALSE)="","",VLOOKUP(A37,'Revitalisation-Revitalisierung'!$A$4:$Z$275,16,FALSE))</f>
        <v>gross</v>
      </c>
      <c r="BN37" s="759" t="str">
        <f>IF(VLOOKUP(A37,'Revitalisation-Revitalisierung'!$A$4:$Z$275,17,FALSE)="","",VLOOKUP(A37,'Revitalisation-Revitalisierung'!$A$4:$Z$275,17,FALSE))</f>
        <v>hoch</v>
      </c>
      <c r="BO37" s="760" t="str">
        <f>IF(VLOOKUP(A37,'Revitalisation-Revitalisierung'!$A$4:$Z$275,18,FALSE)="","",VLOOKUP(A37,'Revitalisation-Revitalisierung'!$A$4:$Z$275,18,FALSE))</f>
        <v>Très nécessaire, facile / unbedingt nötig, einfach</v>
      </c>
      <c r="BP37" s="761" t="str">
        <f>IF(VLOOKUP(A37,'Revitalisation-Revitalisierung'!$A$4:$Z$275,19,FALSE)="","",VLOOKUP(A37,'Revitalisation-Revitalisierung'!$A$4:$Z$275,19,FALSE))</f>
        <v>Très nécessaire, facile / unbedingt nötig, einfach</v>
      </c>
      <c r="BQ37" s="759" t="str">
        <f>IF(VLOOKUP(A37,'Revitalisation-Revitalisierung'!$A$4:$Z$275,20,FALSE)="","",VLOOKUP(A37,'Revitalisation-Revitalisierung'!$A$4:$Z$275,20,FALSE))</f>
        <v>c</v>
      </c>
      <c r="BR37" s="759" t="str">
        <f>IF(VLOOKUP(A37,'Revitalisation-Revitalisierung'!$A$4:$Z$275,21,FALSE)="","",VLOOKUP(A37,'Revitalisation-Revitalisierung'!$A$4:$Z$275,21,FALSE))</f>
        <v/>
      </c>
      <c r="BS37" s="762" t="str">
        <f>IF(VLOOKUP(A37,'Revitalisation-Revitalisierung'!$A$4:$Z$275,22,FALSE)="","",VLOOKUP(A37,'Revitalisation-Revitalisierung'!$A$4:$Z$275,22,FALSE))</f>
        <v/>
      </c>
      <c r="BT37" s="700" t="str">
        <f>IF(VLOOKUP(A37,'Revitalisation-Revitalisierung'!$A$4:$Z$275,23,FALSE)="","",VLOOKUP(A37,'Revitalisation-Revitalisierung'!$A$4:$Z$275,23,FALSE))</f>
        <v/>
      </c>
      <c r="BU37" s="699" t="str">
        <f>IF(VLOOKUP(A37,'Revitalisation-Revitalisierung'!$A$4:$Z$275,24,FALSE)="","",VLOOKUP(A37,'Revitalisation-Revitalisierung'!$A$4:$Z$275,24,FALSE))</f>
        <v>ok</v>
      </c>
      <c r="BV37" s="761" t="str">
        <f>IF(VLOOKUP(A37,'Revitalisation-Revitalisierung'!$A$4:$Z$275,25,FALSE)="","",VLOOKUP(A37,'Revitalisation-Revitalisierung'!$A$4:$Z$275,25,FALSE))</f>
        <v>Très nécessaire, facile / unbedingt nötig, einfach</v>
      </c>
      <c r="BW37" s="871" t="str">
        <f>IF(VLOOKUP(A37,'Revitalisation-Revitalisierung'!$A$4:$AA$275,27,FALSE)="","",VLOOKUP(A37,'Revitalisation-Revitalisierung'!$A$4:$AA$275,27,FALSE))</f>
        <v>a</v>
      </c>
    </row>
    <row r="38" spans="1:75" ht="79.900000000000006" customHeight="1" x14ac:dyDescent="0.25">
      <c r="A38" s="935">
        <v>49</v>
      </c>
      <c r="B38" s="856">
        <f>IF(VLOOKUP(A38,'Données de base - Grunddaten'!$A$2:$M$297,2,FALSE)="","",VLOOKUP(A38,'Données de base - Grunddaten'!$A$2:$M$297,2,FALSE))</f>
        <v>1</v>
      </c>
      <c r="C38" s="857" t="str">
        <f>IF(VLOOKUP(A38,'Données de base - Grunddaten'!$A$2:$M$297,3,FALSE)="","",VLOOKUP(A38,'Données de base - Grunddaten'!$A$2:$M$297,3,FALSE))</f>
        <v>Alte Aare: Aarberg–Lyss</v>
      </c>
      <c r="D38" s="857" t="str">
        <f>IF(VLOOKUP(A38,'Données de base - Grunddaten'!$A$2:$M$297,4,FALSE)="","",VLOOKUP(A38,'Données de base - Grunddaten'!$A$2:$M$297,4,FALSE))</f>
        <v>Alte Aare</v>
      </c>
      <c r="E38" s="857" t="str">
        <f>IF(VLOOKUP(A38,'Données de base - Grunddaten'!$A$2:$M$297,5,FALSE)="","",VLOOKUP(A38,'Données de base - Grunddaten'!$A$2:$M$297,5,FALSE))</f>
        <v>BE</v>
      </c>
      <c r="F38" s="857" t="str">
        <f>IF(VLOOKUP(A38,'Données de base - Grunddaten'!$A$2:$M$297,6,FALSE)="","",VLOOKUP(A38,'Données de base - Grunddaten'!$A$2:$M$297,6,FALSE))</f>
        <v>Plateau occidental</v>
      </c>
      <c r="G38" s="857" t="str">
        <f>IF(VLOOKUP(A38,'Données de base - Grunddaten'!$A$2:$M$297,7,FALSE)="","",VLOOKUP(A38,'Données de base - Grunddaten'!$A$2:$M$297,7,FALSE))</f>
        <v>Collinéen</v>
      </c>
      <c r="H38" s="857">
        <f>IF(VLOOKUP(A38,'Données de base - Grunddaten'!$A$2:$M$297,8,FALSE)="","",VLOOKUP(A38,'Données de base - Grunddaten'!$A$2:$M$297,8,FALSE))</f>
        <v>440</v>
      </c>
      <c r="I38" s="857">
        <f>IF(VLOOKUP(A38,'Données de base - Grunddaten'!$A$2:$M$297,9,FALSE)="","",VLOOKUP(A38,'Données de base - Grunddaten'!$A$2:$M$297,9,FALSE))</f>
        <v>1992</v>
      </c>
      <c r="J38" s="857">
        <f>IF(VLOOKUP(A38,'Données de base - Grunddaten'!$A$2:$M$297,10,FALSE)="","",VLOOKUP(A38,'Données de base - Grunddaten'!$A$2:$M$297,10,FALSE))</f>
        <v>51</v>
      </c>
      <c r="K38" s="857" t="str">
        <f>IF(VLOOKUP(A38,'Données de base - Grunddaten'!$A$2:$M$297,11,FALSE)="","",VLOOKUP(A38,'Données de base - Grunddaten'!$A$2:$M$297,11,FALSE))</f>
        <v>Cours d'eau naturels de l'étage collinéen du Moyen-Pays</v>
      </c>
      <c r="L38" s="857" t="str">
        <f>IF(VLOOKUP(A38,'Données de base - Grunddaten'!$A$2:$M$297,12,FALSE)="","",VLOOKUP(A38,'Données de base - Grunddaten'!$A$2:$M$297,12,FALSE))</f>
        <v>en tresses</v>
      </c>
      <c r="M38" s="858" t="str">
        <f>IF(VLOOKUP(A38,'Données de base - Grunddaten'!$A$2:$M$297,13,FALSE)="","",VLOOKUP(A38,'Données de base - Grunddaten'!$A$2:$M$297,13,FALSE))</f>
        <v>méandres migrants</v>
      </c>
      <c r="N38" s="872" t="str">
        <f>IF(VLOOKUP(A38,'Charriage - Geschiebehaushalt'!$A$4:$R$275,5,FALSE)="","",VLOOKUP(A38,'Charriage - Geschiebehaushalt'!$A$4:$R$275,5,FALSE))</f>
        <v>pertinent</v>
      </c>
      <c r="O38" s="881" t="str">
        <f>IF(VLOOKUP(A38,'Charriage - Geschiebehaushalt'!$A$4:$R$275,6,FALSE)="","",VLOOKUP(A38,'Charriage - Geschiebehaushalt'!$A$4:$R$275,6,FALSE))</f>
        <v>non documenté</v>
      </c>
      <c r="P38" s="874" t="str">
        <f>IF(VLOOKUP(A38,'Charriage - Geschiebehaushalt'!$A$4:$R$275,7,FALSE)="","",VLOOKUP(A38,'Charriage - Geschiebehaushalt'!$A$4:$R$275,7,FALSE))</f>
        <v/>
      </c>
      <c r="Q38" s="874" t="str">
        <f>IF(VLOOKUP(A38,'Charriage - Geschiebehaushalt'!$A$4:$R$275,8,FALSE)="","",VLOOKUP(A38,'Charriage - Geschiebehaushalt'!$A$4:$R$275,8,FALSE))</f>
        <v>non documenté</v>
      </c>
      <c r="R38" s="875">
        <f>IF(VLOOKUP(A38,'Charriage - Geschiebehaushalt'!$A$4:$R$275,9,FALSE)="","",VLOOKUP(A38,'Charriage - Geschiebehaushalt'!$A$4:$R$275,9,FALSE))</f>
        <v>8.3076023394638501E-2</v>
      </c>
      <c r="S38" s="876" t="str">
        <f>IF(VLOOKUP(A38,'Charriage - Geschiebehaushalt'!$A$4:$R$275,10,FALSE)="","",VLOOKUP(A38,'Charriage - Geschiebehaushalt'!$A$4:$R$275,10,FALSE))</f>
        <v>pas ou faiblement entravé</v>
      </c>
      <c r="T38" s="875">
        <f>IF(VLOOKUP(A38,'Charriage - Geschiebehaushalt'!$A$4:$R$275,11,FALSE)="","",VLOOKUP(A38,'Charriage - Geschiebehaushalt'!$A$4:$R$275,11,FALSE))</f>
        <v>8.7633418246000003E-3</v>
      </c>
      <c r="U38" s="876" t="str">
        <f>IF(VLOOKUP(A38,'Charriage - Geschiebehaushalt'!$A$4:$R$275,12,FALSE)="","",VLOOKUP(A38,'Charriage - Geschiebehaushalt'!$A$4:$R$275,12,FALSE))</f>
        <v>déficit dans les formations pionnières</v>
      </c>
      <c r="V38" s="877" t="str">
        <f>IF(VLOOKUP(A38,'Charriage - Geschiebehaushalt'!$A$4:$R$275,13,FALSE)="","",VLOOKUP(A38,'Charriage - Geschiebehaushalt'!$A$4:$R$275,13,FALSE))</f>
        <v>Pas de graviers à la Vieille Aar, seulement quelques sédiments fins (ouvrage au niveau de la dérivation)</v>
      </c>
      <c r="W38" s="878" t="str">
        <f>IF(VLOOKUP(A38,'Charriage - Geschiebehaushalt'!$A$4:$R$275,14,FALSE)="","",VLOOKUP(A38,'Charriage - Geschiebehaushalt'!$A$4:$R$275,14,FALSE))</f>
        <v>charriage présumé perturbé</v>
      </c>
      <c r="X38" s="878" t="str">
        <f>IF(VLOOKUP(A38,'Charriage - Geschiebehaushalt'!$A$4:$R$275,15,FALSE)="","",VLOOKUP(A38,'Charriage - Geschiebehaushalt'!$A$4:$R$275,15,FALSE))</f>
        <v/>
      </c>
      <c r="Y38" s="882" t="str">
        <f>IF(VLOOKUP(A38,'Charriage - Geschiebehaushalt'!$A$4:$R$275,16,FALSE)="","",VLOOKUP(A38,'Charriage - Geschiebehaushalt'!$A$4:$R$275,16,FALSE))</f>
        <v/>
      </c>
      <c r="Z38" s="763" t="str">
        <f>IF(VLOOKUP(A38,'Charriage - Geschiebehaushalt'!$A$4:$R$275,17,FALSE)="","",VLOOKUP(A38,'Charriage - Geschiebehaushalt'!$A$4:$R$275,17,FALSE))</f>
        <v>Charriage présumé perturbé / Geschiebehaushalt vermutlich beeinträchtigt</v>
      </c>
      <c r="AA38" s="880" t="str">
        <f>IF(VLOOKUP(A38,'Charriage - Geschiebehaushalt'!$A$4:$R$275,18,FALSE)="","",VLOOKUP(A38,'Charriage - Geschiebehaushalt'!$A$4:$R$275,18,FALSE))</f>
        <v>b</v>
      </c>
      <c r="AB38" s="737" t="str">
        <f>IF(VLOOKUP(A38,'Charriage - Geschiebehaushalt'!$A$4:$AC$275,19,FALSE)="","",VLOOKUP(A38,'Charriage - Geschiebehaushalt'!$A$4:$AC$275,19,FALSE))</f>
        <v>-</v>
      </c>
      <c r="AC38" s="738" t="str">
        <f>IF(VLOOKUP(A38,'Charriage - Geschiebehaushalt'!$A$4:$AC$275,20,FALSE)="","",VLOOKUP(A38,'Charriage - Geschiebehaushalt'!$A$4:$AC$275,20,FALSE))</f>
        <v>-</v>
      </c>
      <c r="AD38" s="764" t="str">
        <f>IF(VLOOKUP(A38,'Charriage - Geschiebehaushalt'!$A$4:$AC$275,21,FALSE)="","",VLOOKUP(A38,'Charriage - Geschiebehaushalt'!$A$4:$AC$275,21,FALSE))</f>
        <v/>
      </c>
      <c r="AE38" s="740" t="str">
        <f>IF(VLOOKUP(A38,'Charriage - Geschiebehaushalt'!$A$4:$AC$275,22,FALSE)="","",VLOOKUP(A38,'Charriage - Geschiebehaushalt'!$A$4:$AC$275,22,FALSE))</f>
        <v>51-80%</v>
      </c>
      <c r="AF38" s="787" t="str">
        <f>IF(VLOOKUP(A38,'Charriage - Geschiebehaushalt'!$A$4:$AC$275,23,FALSE)="","",VLOOKUP(A38,'Charriage - Geschiebehaushalt'!$A$4:$AC$275,23,FALSE))</f>
        <v>b</v>
      </c>
      <c r="AG38" s="765" t="str">
        <f>IF(VLOOKUP(A38,'Charriage - Geschiebehaushalt'!$A$4:$AC$275,24,FALSE)="","",VLOOKUP(A38,'Charriage - Geschiebehaushalt'!$A$4:$AC$275,24,FALSE))</f>
        <v/>
      </c>
      <c r="AH38" s="764" t="str">
        <f>IF(VLOOKUP(A38,'Charriage - Geschiebehaushalt'!$A$4:$AC$275,25,FALSE)="","",VLOOKUP(A38,'Charriage - Geschiebehaushalt'!$A$4:$AC$275,25,FALSE))</f>
        <v/>
      </c>
      <c r="AI38" s="433" t="str">
        <f>IF(VLOOKUP(A38,'Charriage - Geschiebehaushalt'!$A$4:$AC$275,26,FALSE)="","",VLOOKUP(A38,'Charriage - Geschiebehaushalt'!$A$4:$AC$275,26,FALSE))</f>
        <v/>
      </c>
      <c r="AJ38" s="434" t="str">
        <f>IF(VLOOKUP(A38,'Charriage - Geschiebehaushalt'!$A$4:$AC$275,27,FALSE)="","",VLOOKUP(A38,'Charriage - Geschiebehaushalt'!$A$4:$AC$275,27,FALSE))</f>
        <v/>
      </c>
      <c r="AK38" s="801" t="str">
        <f>IF(VLOOKUP(A38,'Charriage - Geschiebehaushalt'!$A$4:$AC$275,28,FALSE)="","",VLOOKUP(A38,'Charriage - Geschiebehaushalt'!$A$4:$AC$275,28,FALSE))</f>
        <v>51-80%</v>
      </c>
      <c r="AL38" s="1285" t="str">
        <f>IF(VLOOKUP(A38,'Charriage - Geschiebehaushalt'!$A$4:$AD$275,30,FALSE)="","",VLOOKUP(A38,'Charriage - Geschiebehaushalt'!$A$4:$AD$275,30,FALSE))</f>
        <v>b</v>
      </c>
      <c r="AM38" s="1279" t="str">
        <f>IF(VLOOKUP(A38,'Débit - Abfluss'!$A$4:$K$275,5,FALSE)="","",VLOOKUP(A38,'Débit - Abfluss'!$A$4:$M$275,5,FALSE))</f>
        <v>100%</v>
      </c>
      <c r="AN38" s="868" t="str">
        <f>IF(VLOOKUP(A38,'Débit - Abfluss'!$A$4:$K$275,6,FALSE)="","",VLOOKUP(A38,'Débit - Abfluss'!$A$4:$M$275,6,FALSE))</f>
        <v>aucune information supplémentaire</v>
      </c>
      <c r="AO38" s="869" t="str">
        <f>IF(VLOOKUP(A38,'Débit - Abfluss'!$A$4:$K$275,7,FALSE)="","",VLOOKUP(A38,'Débit - Abfluss'!$A$4:$M$275,7,FALSE))</f>
        <v>aucune information supplémentaire</v>
      </c>
      <c r="AP38" s="766" t="str">
        <f>IF(VLOOKUP(A38,'Débit - Abfluss'!$A$4:$K$275,8,FALSE)="","",VLOOKUP(A38,'Débit - Abfluss'!$A$4:$M$275,8,FALSE))</f>
        <v>100%</v>
      </c>
      <c r="AQ38" s="742" t="str">
        <f>IF(VLOOKUP(A38,'Débit - Abfluss'!$A$4:$K$275,9,FALSE)="","",VLOOKUP(A38,'Débit - Abfluss'!$A$4:$M$275,9,FALSE))</f>
        <v>-</v>
      </c>
      <c r="AR38" s="767" t="str">
        <f>IF(VLOOKUP(A38,'Débit - Abfluss'!$A$4:$K$275,10,FALSE)="","",VLOOKUP(A38,'Débit - Abfluss'!$A$4:$M$275,10,FALSE))</f>
        <v>100%</v>
      </c>
      <c r="AS38" s="767" t="str">
        <f>IF(VLOOKUP(A38,'Débit - Abfluss'!$A$4:$K$275,11,FALSE)="","",VLOOKUP(A38,'Débit - Abfluss'!$A$4:$M$275,11,FALSE))</f>
        <v/>
      </c>
      <c r="AT38" s="744" t="str">
        <f>IF(VLOOKUP(A38,'Débit - Abfluss'!$A$4:$Q$275,12,FALSE)="","",VLOOKUP(A38,'Débit - Abfluss'!$A$4:$Q$275,12,FALSE))</f>
        <v/>
      </c>
      <c r="AU38" s="745" t="str">
        <f>IF(VLOOKUP(A38,'Débit - Abfluss'!$A$4:$Q$275,13,FALSE)="","",VLOOKUP(A38,'Débit - Abfluss'!$A$4:$Q$275,13,FALSE))</f>
        <v/>
      </c>
      <c r="AV38" s="746" t="str">
        <f>IF(VLOOKUP(A38,'Débit - Abfluss'!$A$4:$Q$275,14,FALSE)="","",VLOOKUP(A38,'Débit - Abfluss'!$A$4:$Q$275,14,FALSE))</f>
        <v/>
      </c>
      <c r="AW38" s="768" t="str">
        <f>IF(VLOOKUP(A38,'Débit - Abfluss'!$A$4:$Q$275,15,FALSE)="","",VLOOKUP(A38,'Débit - Abfluss'!$A$4:$Q$275,15,FALSE))</f>
        <v/>
      </c>
      <c r="AX38" s="677" t="str">
        <f>IF(VLOOKUP(A38,'Débit - Abfluss'!$A$4:$Q$275,16,FALSE)="","",VLOOKUP(A38,'Débit - Abfluss'!$A$4:$Q$275,16,FALSE))</f>
        <v/>
      </c>
      <c r="AY38" s="769" t="str">
        <f>IF(VLOOKUP(A38,'Débit - Abfluss'!$A$4:$Q$275,17,FALSE)="","",VLOOKUP(A38,'Débit - Abfluss'!$A$4:$Q$275,17,FALSE))</f>
        <v>100%</v>
      </c>
      <c r="AZ38" s="749" t="str">
        <f>IF(VLOOKUP(A38,'Eclusée - Schwall-Sunk'!$A$2:$F$273,5,FALSE)="","",VLOOKUP(A38,'Eclusée - Schwall-Sunk'!$A$2:$F$273,5,FALSE))</f>
        <v/>
      </c>
      <c r="BA38" s="750" t="str">
        <f>IF(VLOOKUP(A38,'Eclusée - Schwall-Sunk'!$A$2:$F$273,6,FALSE)="","",VLOOKUP(A38,'Eclusée - Schwall-Sunk'!$A$2:$F$273,6,FALSE))</f>
        <v>Non affecté / nicht betroffen</v>
      </c>
      <c r="BB38" s="751">
        <f>IF(VLOOKUP(A38,'Revitalisation-Revitalisierung'!$A$4:$Z$275,5,FALSE)="","",VLOOKUP(A38,'Revitalisation-Revitalisierung'!$A$4:$Z$275,5,FALSE))</f>
        <v>-19.309090909090912</v>
      </c>
      <c r="BC38" s="752">
        <f>IF(VLOOKUP(A38,'Revitalisation-Revitalisierung'!$A$4:$Z$275,6,FALSE)="","",VLOOKUP(A38,'Revitalisation-Revitalisierung'!$A$4:$Z$275,6,FALSE))</f>
        <v>6.6464047523348038</v>
      </c>
      <c r="BD38" s="752">
        <f>IF(VLOOKUP(A38,'Revitalisation-Revitalisierung'!$A$4:$Z$275,7,FALSE)="","",VLOOKUP(A38,'Revitalisation-Revitalisierung'!$A$4:$Z$275,7,FALSE))</f>
        <v>25.90909090909091</v>
      </c>
      <c r="BE38" s="753" t="str">
        <f>IF(VLOOKUP(A38,'Revitalisation-Revitalisierung'!$A$4:$Z$275,8,FALSE)="","",VLOOKUP(A38,'Revitalisation-Revitalisierung'!$A$4:$Z$275,8,FALSE))</f>
        <v>peu nécessaire, difficile</v>
      </c>
      <c r="BF38" s="754" t="str">
        <f>IF(VLOOKUP(A38,'Revitalisation-Revitalisierung'!$A$4:$Z$275,9,FALSE)="","",VLOOKUP(A38,'Revitalisation-Revitalisierung'!$A$4:$Z$275,9,FALSE))</f>
        <v/>
      </c>
      <c r="BG38" s="754" t="str">
        <f>IF(VLOOKUP(A38,'Revitalisation-Revitalisierung'!$A$4:$Z$275,10,FALSE)="","",VLOOKUP(A38,'Revitalisation-Revitalisierung'!$A$4:$Z$275,10,FALSE))</f>
        <v>K2</v>
      </c>
      <c r="BH38" s="755" t="str">
        <f>IF(VLOOKUP(A38,'Revitalisation-Revitalisierung'!$A$4:$Z$275,11,FALSE)="","",VLOOKUP(A38,'Revitalisation-Revitalisierung'!$A$4:$Z$275,11,FALSE))</f>
        <v/>
      </c>
      <c r="BI38" s="756" t="str">
        <f>IF(VLOOKUP(A38,'Revitalisation-Revitalisierung'!$A$4:$Z$275,12,FALSE)="","",VLOOKUP(A38,'Revitalisation-Revitalisierung'!$A$4:$Z$275,12,FALSE))</f>
        <v/>
      </c>
      <c r="BJ38" s="757" t="str">
        <f>IF(VLOOKUP(A38,'Revitalisation-Revitalisierung'!$A$4:$Z$275,13,FALSE)="","",VLOOKUP(A38,'Revitalisation-Revitalisierung'!$A$4:$Z$275,13,FALSE))</f>
        <v>Partiellement nécessaire, facile / teilweise nötig, einfach</v>
      </c>
      <c r="BK38" s="870" t="str">
        <f>IF(VLOOKUP(A38,'Revitalisation-Revitalisierung'!$A$4:$Z$275,14,FALSE)="","",VLOOKUP(A38,'Revitalisation-Revitalisierung'!$A$4:$Z$275,14,FALSE))</f>
        <v>b</v>
      </c>
      <c r="BL38" s="758" t="str">
        <f>IF(VLOOKUP(A38,'Revitalisation-Revitalisierung'!$A$4:$Z$275,15,FALSE)="","",VLOOKUP(A38,'Revitalisation-Revitalisierung'!$A$4:$Z$275,15,FALSE))</f>
        <v>gross</v>
      </c>
      <c r="BM38" s="759" t="str">
        <f>IF(VLOOKUP(A38,'Revitalisation-Revitalisierung'!$A$4:$Z$275,16,FALSE)="","",VLOOKUP(A38,'Revitalisation-Revitalisierung'!$A$4:$Z$275,16,FALSE))</f>
        <v>gross</v>
      </c>
      <c r="BN38" s="759" t="str">
        <f>IF(VLOOKUP(A38,'Revitalisation-Revitalisierung'!$A$4:$Z$275,17,FALSE)="","",VLOOKUP(A38,'Revitalisation-Revitalisierung'!$A$4:$Z$275,17,FALSE))</f>
        <v>hoch</v>
      </c>
      <c r="BO38" s="760" t="str">
        <f>IF(VLOOKUP(A38,'Revitalisation-Revitalisierung'!$A$4:$Z$275,18,FALSE)="","",VLOOKUP(A38,'Revitalisation-Revitalisierung'!$A$4:$Z$275,18,FALSE))</f>
        <v>Très nécessaire, facile / unbedingt nötig, einfach</v>
      </c>
      <c r="BP38" s="761" t="str">
        <f>IF(VLOOKUP(A38,'Revitalisation-Revitalisierung'!$A$4:$Z$275,19,FALSE)="","",VLOOKUP(A38,'Revitalisation-Revitalisierung'!$A$4:$Z$275,19,FALSE))</f>
        <v>Très nécessaire, facile / unbedingt nötig, einfach</v>
      </c>
      <c r="BQ38" s="759" t="str">
        <f>IF(VLOOKUP(A38,'Revitalisation-Revitalisierung'!$A$4:$Z$275,20,FALSE)="","",VLOOKUP(A38,'Revitalisation-Revitalisierung'!$A$4:$Z$275,20,FALSE))</f>
        <v>c</v>
      </c>
      <c r="BR38" s="759" t="str">
        <f>IF(VLOOKUP(A38,'Revitalisation-Revitalisierung'!$A$4:$Z$275,21,FALSE)="","",VLOOKUP(A38,'Revitalisation-Revitalisierung'!$A$4:$Z$275,21,FALSE))</f>
        <v/>
      </c>
      <c r="BS38" s="762" t="str">
        <f>IF(VLOOKUP(A38,'Revitalisation-Revitalisierung'!$A$4:$Z$275,22,FALSE)="","",VLOOKUP(A38,'Revitalisation-Revitalisierung'!$A$4:$Z$275,22,FALSE))</f>
        <v/>
      </c>
      <c r="BT38" s="700" t="str">
        <f>IF(VLOOKUP(A38,'Revitalisation-Revitalisierung'!$A$4:$Z$275,23,FALSE)="","",VLOOKUP(A38,'Revitalisation-Revitalisierung'!$A$4:$Z$275,23,FALSE))</f>
        <v/>
      </c>
      <c r="BU38" s="699" t="str">
        <f>IF(VLOOKUP(A38,'Revitalisation-Revitalisierung'!$A$4:$Z$275,24,FALSE)="","",VLOOKUP(A38,'Revitalisation-Revitalisierung'!$A$4:$Z$275,24,FALSE))</f>
        <v>ok</v>
      </c>
      <c r="BV38" s="757" t="str">
        <f>IF(VLOOKUP(A38,'Revitalisation-Revitalisierung'!$A$4:$Z$275,25,FALSE)="","",VLOOKUP(A38,'Revitalisation-Revitalisierung'!$A$4:$Z$275,25,FALSE))</f>
        <v>Très nécessaire, facile / unbedingt nötig, einfach</v>
      </c>
      <c r="BW38" s="871" t="str">
        <f>IF(VLOOKUP(A38,'Revitalisation-Revitalisierung'!$A$4:$AA$275,27,FALSE)="","",VLOOKUP(A38,'Revitalisation-Revitalisierung'!$A$4:$AA$275,27,FALSE))</f>
        <v>a</v>
      </c>
    </row>
    <row r="39" spans="1:75" ht="100.15" customHeight="1" x14ac:dyDescent="0.25">
      <c r="A39" s="935">
        <v>50</v>
      </c>
      <c r="B39" s="856">
        <f>IF(VLOOKUP(A39,'Données de base - Grunddaten'!$A$2:$M$297,2,FALSE)="","",VLOOKUP(A39,'Données de base - Grunddaten'!$A$2:$M$297,2,FALSE))</f>
        <v>1</v>
      </c>
      <c r="C39" s="857" t="str">
        <f>IF(VLOOKUP(A39,'Données de base - Grunddaten'!$A$2:$M$297,3,FALSE)="","",VLOOKUP(A39,'Données de base - Grunddaten'!$A$2:$M$297,3,FALSE))</f>
        <v>Sagnes de la Burtignière</v>
      </c>
      <c r="D39" s="857" t="str">
        <f>IF(VLOOKUP(A39,'Données de base - Grunddaten'!$A$2:$M$297,4,FALSE)="","",VLOOKUP(A39,'Données de base - Grunddaten'!$A$2:$M$297,4,FALSE))</f>
        <v>L'Orbe</v>
      </c>
      <c r="E39" s="857" t="str">
        <f>IF(VLOOKUP(A39,'Données de base - Grunddaten'!$A$2:$M$297,5,FALSE)="","",VLOOKUP(A39,'Données de base - Grunddaten'!$A$2:$M$297,5,FALSE))</f>
        <v>VD</v>
      </c>
      <c r="F39" s="857" t="str">
        <f>IF(VLOOKUP(A39,'Données de base - Grunddaten'!$A$2:$M$297,6,FALSE)="","",VLOOKUP(A39,'Données de base - Grunddaten'!$A$2:$M$297,6,FALSE))</f>
        <v>Jura et Randen</v>
      </c>
      <c r="G39" s="857" t="str">
        <f>IF(VLOOKUP(A39,'Données de base - Grunddaten'!$A$2:$M$297,7,FALSE)="","",VLOOKUP(A39,'Données de base - Grunddaten'!$A$2:$M$297,7,FALSE))</f>
        <v>Montagnard sup.</v>
      </c>
      <c r="H39" s="857">
        <f>IF(VLOOKUP(A39,'Données de base - Grunddaten'!$A$2:$M$297,8,FALSE)="","",VLOOKUP(A39,'Données de base - Grunddaten'!$A$2:$M$297,8,FALSE))</f>
        <v>1040</v>
      </c>
      <c r="I39" s="857">
        <f>IF(VLOOKUP(A39,'Données de base - Grunddaten'!$A$2:$M$297,9,FALSE)="","",VLOOKUP(A39,'Données de base - Grunddaten'!$A$2:$M$297,9,FALSE))</f>
        <v>1992</v>
      </c>
      <c r="J39" s="857">
        <f>IF(VLOOKUP(A39,'Données de base - Grunddaten'!$A$2:$M$297,10,FALSE)="","",VLOOKUP(A39,'Données de base - Grunddaten'!$A$2:$M$297,10,FALSE))</f>
        <v>82</v>
      </c>
      <c r="K39" s="857" t="str">
        <f>IF(VLOOKUP(A39,'Données de base - Grunddaten'!$A$2:$M$297,11,FALSE)="","",VLOOKUP(A39,'Données de base - Grunddaten'!$A$2:$M$297,11,FALSE))</f>
        <v>Singularité: Cours d'eau en milieu marécageux</v>
      </c>
      <c r="L39" s="857" t="str">
        <f>IF(VLOOKUP(A39,'Données de base - Grunddaten'!$A$2:$M$297,12,FALSE)="","",VLOOKUP(A39,'Données de base - Grunddaten'!$A$2:$M$297,12,FALSE))</f>
        <v>méandres migrants</v>
      </c>
      <c r="M39" s="858" t="str">
        <f>IF(VLOOKUP(A39,'Données de base - Grunddaten'!$A$2:$M$297,13,FALSE)="","",VLOOKUP(A39,'Données de base - Grunddaten'!$A$2:$M$297,13,FALSE))</f>
        <v>méandres migrants</v>
      </c>
      <c r="N39" s="872" t="str">
        <f>IF(VLOOKUP(A39,'Charriage - Geschiebehaushalt'!$A$4:$R$275,5,FALSE)="","",VLOOKUP(A39,'Charriage - Geschiebehaushalt'!$A$4:$R$275,5,FALSE))</f>
        <v>pertinent</v>
      </c>
      <c r="O39" s="881" t="str">
        <f>IF(VLOOKUP(A39,'Charriage - Geschiebehaushalt'!$A$4:$R$275,6,FALSE)="","",VLOOKUP(A39,'Charriage - Geschiebehaushalt'!$A$4:$R$275,6,FALSE))</f>
        <v>non documenté</v>
      </c>
      <c r="P39" s="874" t="str">
        <f>IF(VLOOKUP(A39,'Charriage - Geschiebehaushalt'!$A$4:$R$275,7,FALSE)="","",VLOOKUP(A39,'Charriage - Geschiebehaushalt'!$A$4:$R$275,7,FALSE))</f>
        <v/>
      </c>
      <c r="Q39" s="874" t="str">
        <f>IF(VLOOKUP(A39,'Charriage - Geschiebehaushalt'!$A$4:$R$275,8,FALSE)="","",VLOOKUP(A39,'Charriage - Geschiebehaushalt'!$A$4:$R$275,8,FALSE))</f>
        <v>non documenté</v>
      </c>
      <c r="R39" s="875">
        <f>IF(VLOOKUP(A39,'Charriage - Geschiebehaushalt'!$A$4:$R$275,9,FALSE)="","",VLOOKUP(A39,'Charriage - Geschiebehaushalt'!$A$4:$R$275,9,FALSE))</f>
        <v>0</v>
      </c>
      <c r="S39" s="876" t="str">
        <f>IF(VLOOKUP(A39,'Charriage - Geschiebehaushalt'!$A$4:$R$275,10,FALSE)="","",VLOOKUP(A39,'Charriage - Geschiebehaushalt'!$A$4:$R$275,10,FALSE))</f>
        <v>pas ou faiblement entravé</v>
      </c>
      <c r="T39" s="875">
        <f>IF(VLOOKUP(A39,'Charriage - Geschiebehaushalt'!$A$4:$R$275,11,FALSE)="","",VLOOKUP(A39,'Charriage - Geschiebehaushalt'!$A$4:$R$275,11,FALSE))</f>
        <v>0.49982881820000002</v>
      </c>
      <c r="U39" s="895" t="str">
        <f>IF(VLOOKUP(A39,'Charriage - Geschiebehaushalt'!$A$4:$R$275,12,FALSE)="","",VLOOKUP(A39,'Charriage - Geschiebehaushalt'!$A$4:$R$275,12,FALSE))</f>
        <v>déficit non apparent en charriage ou en remobilisation des sédiments</v>
      </c>
      <c r="V39" s="877" t="str">
        <f>IF(VLOOKUP(A39,'Charriage - Geschiebehaushalt'!$A$4:$R$275,13,FALSE)="","",VLOOKUP(A39,'Charriage - Geschiebehaushalt'!$A$4:$R$275,13,FALSE))</f>
        <v/>
      </c>
      <c r="W39" s="877" t="str">
        <f>IF(VLOOKUP(A39,'Charriage - Geschiebehaushalt'!$A$4:$R$275,14,FALSE)="","",VLOOKUP(A39,'Charriage - Geschiebehaushalt'!$A$4:$R$275,14,FALSE))</f>
        <v/>
      </c>
      <c r="X39" s="877" t="str">
        <f>IF(VLOOKUP(A39,'Charriage - Geschiebehaushalt'!$A$4:$R$275,15,FALSE)="","",VLOOKUP(A39,'Charriage - Geschiebehaushalt'!$A$4:$R$275,15,FALSE))</f>
        <v/>
      </c>
      <c r="Y39" s="879" t="str">
        <f>IF(VLOOKUP(A39,'Charriage - Geschiebehaushalt'!$A$4:$R$275,16,FALSE)="","",VLOOKUP(A39,'Charriage - Geschiebehaushalt'!$A$4:$R$275,16,FALSE))</f>
        <v/>
      </c>
      <c r="Z39" s="763" t="str">
        <f>IF(VLOOKUP(A39,'Charriage - Geschiebehaushalt'!$A$4:$R$275,17,FALSE)="","",VLOOKUP(A39,'Charriage - Geschiebehaushalt'!$A$4:$R$275,17,FALSE))</f>
        <v>Déficit non apparent en charriage ou en remobilisation des sédiments / kein sichtbares Defizit beim Geschiebehaushalt bzw. bei der Mobilisierung von Geschiebe</v>
      </c>
      <c r="AA39" s="880" t="str">
        <f>IF(VLOOKUP(A39,'Charriage - Geschiebehaushalt'!$A$4:$R$275,18,FALSE)="","",VLOOKUP(A39,'Charriage - Geschiebehaushalt'!$A$4:$R$275,18,FALSE))</f>
        <v>b</v>
      </c>
      <c r="AB39" s="737" t="str">
        <f>IF(VLOOKUP(A39,'Charriage - Geschiebehaushalt'!$A$4:$AC$275,19,FALSE)="","",VLOOKUP(A39,'Charriage - Geschiebehaushalt'!$A$4:$AC$275,19,FALSE))</f>
        <v>?????</v>
      </c>
      <c r="AC39" s="738">
        <f>IF(VLOOKUP(A39,'Charriage - Geschiebehaushalt'!$A$4:$AC$275,20,FALSE)="","",VLOOKUP(A39,'Charriage - Geschiebehaushalt'!$A$4:$AC$275,20,FALSE))</f>
        <v>0</v>
      </c>
      <c r="AD39" s="764" t="str">
        <f>IF(VLOOKUP(A39,'Charriage - Geschiebehaushalt'!$A$4:$AC$275,21,FALSE)="","",VLOOKUP(A39,'Charriage - Geschiebehaushalt'!$A$4:$AC$275,21,FALSE))</f>
        <v/>
      </c>
      <c r="AE39" s="740" t="str">
        <f>IF(VLOOKUP(A39,'Charriage - Geschiebehaushalt'!$A$4:$AC$275,22,FALSE)="","",VLOOKUP(A39,'Charriage - Geschiebehaushalt'!$A$4:$AC$275,22,FALSE))</f>
        <v>0-20%</v>
      </c>
      <c r="AF39" s="787" t="str">
        <f>IF(VLOOKUP(A39,'Charriage - Geschiebehaushalt'!$A$4:$AC$275,23,FALSE)="","",VLOOKUP(A39,'Charriage - Geschiebehaushalt'!$A$4:$AC$275,23,FALSE))</f>
        <v>b</v>
      </c>
      <c r="AG39" s="765" t="str">
        <f>IF(VLOOKUP(A39,'Charriage - Geschiebehaushalt'!$A$4:$AC$275,24,FALSE)="","",VLOOKUP(A39,'Charriage - Geschiebehaushalt'!$A$4:$AC$275,24,FALSE))</f>
        <v/>
      </c>
      <c r="AH39" s="764" t="str">
        <f>IF(VLOOKUP(A39,'Charriage - Geschiebehaushalt'!$A$4:$AC$275,25,FALSE)="","",VLOOKUP(A39,'Charriage - Geschiebehaushalt'!$A$4:$AC$275,25,FALSE))</f>
        <v/>
      </c>
      <c r="AI39" s="896" t="str">
        <f>IF(VLOOKUP(A39,'Charriage - Geschiebehaushalt'!$A$4:$AC$275,26,FALSE)="","",VLOOKUP(A39,'Charriage - Geschiebehaushalt'!$A$4:$AC$275,26,FALSE))</f>
        <v>non</v>
      </c>
      <c r="AJ39" s="897" t="str">
        <f>IF(VLOOKUP(A39,'Charriage - Geschiebehaushalt'!$A$4:$AC$275,27,FALSE)="","",VLOOKUP(A39,'Charriage - Geschiebehaushalt'!$A$4:$AC$275,27,FALSE))</f>
        <v>Prélèvements d'eau côté français ont une influence sur le débit de l'Orbe</v>
      </c>
      <c r="AK39" s="801" t="str">
        <f>IF(VLOOKUP(A39,'Charriage - Geschiebehaushalt'!$A$4:$AC$275,28,FALSE)="","",VLOOKUP(A39,'Charriage - Geschiebehaushalt'!$A$4:$AC$275,28,FALSE))</f>
        <v>0-20%</v>
      </c>
      <c r="AL39" s="1285" t="str">
        <f>IF(VLOOKUP(A39,'Charriage - Geschiebehaushalt'!$A$4:$AD$275,30,FALSE)="","",VLOOKUP(A39,'Charriage - Geschiebehaushalt'!$A$4:$AD$275,30,FALSE))</f>
        <v>b</v>
      </c>
      <c r="AM39" s="1279" t="str">
        <f>IF(VLOOKUP(A39,'Débit - Abfluss'!$A$4:$K$275,5,FALSE)="","",VLOOKUP(A39,'Débit - Abfluss'!$A$4:$M$275,5,FALSE))</f>
        <v>100%</v>
      </c>
      <c r="AN39" s="868" t="str">
        <f>IF(VLOOKUP(A39,'Débit - Abfluss'!$A$4:$K$275,6,FALSE)="","",VLOOKUP(A39,'Débit - Abfluss'!$A$4:$M$275,6,FALSE))</f>
        <v>aucune information supplémentaire</v>
      </c>
      <c r="AO39" s="869" t="str">
        <f>IF(VLOOKUP(A39,'Débit - Abfluss'!$A$4:$K$275,7,FALSE)="","",VLOOKUP(A39,'Débit - Abfluss'!$A$4:$M$275,7,FALSE))</f>
        <v>aucune information supplémentaire</v>
      </c>
      <c r="AP39" s="766" t="str">
        <f>IF(VLOOKUP(A39,'Débit - Abfluss'!$A$4:$K$275,8,FALSE)="","",VLOOKUP(A39,'Débit - Abfluss'!$A$4:$M$275,8,FALSE))</f>
        <v>100%</v>
      </c>
      <c r="AQ39" s="742" t="str">
        <f>IF(VLOOKUP(A39,'Débit - Abfluss'!$A$4:$K$275,9,FALSE)="","",VLOOKUP(A39,'Débit - Abfluss'!$A$4:$M$275,9,FALSE))</f>
        <v>-</v>
      </c>
      <c r="AR39" s="767" t="str">
        <f>IF(VLOOKUP(A39,'Débit - Abfluss'!$A$4:$K$275,10,FALSE)="","",VLOOKUP(A39,'Débit - Abfluss'!$A$4:$M$275,10,FALSE))</f>
        <v>100%</v>
      </c>
      <c r="AS39" s="767" t="str">
        <f>IF(VLOOKUP(A39,'Débit - Abfluss'!$A$4:$K$275,11,FALSE)="","",VLOOKUP(A39,'Débit - Abfluss'!$A$4:$M$275,11,FALSE))</f>
        <v/>
      </c>
      <c r="AT39" s="778" t="str">
        <f>IF(VLOOKUP(A39,'Débit - Abfluss'!$A$4:$Q$275,12,FALSE)="","",VLOOKUP(A39,'Débit - Abfluss'!$A$4:$Q$275,12,FALSE))</f>
        <v/>
      </c>
      <c r="AU39" s="779" t="str">
        <f>IF(VLOOKUP(A39,'Débit - Abfluss'!$A$4:$Q$275,13,FALSE)="","",VLOOKUP(A39,'Débit - Abfluss'!$A$4:$Q$275,13,FALSE))</f>
        <v/>
      </c>
      <c r="AV39" s="746" t="str">
        <f>IF(VLOOKUP(A39,'Débit - Abfluss'!$A$4:$Q$275,14,FALSE)="","",VLOOKUP(A39,'Débit - Abfluss'!$A$4:$Q$275,14,FALSE))</f>
        <v/>
      </c>
      <c r="AW39" s="768" t="str">
        <f>IF(VLOOKUP(A39,'Débit - Abfluss'!$A$4:$Q$275,15,FALSE)="","",VLOOKUP(A39,'Débit - Abfluss'!$A$4:$Q$275,15,FALSE))</f>
        <v/>
      </c>
      <c r="AX39" s="679" t="str">
        <f>IF(VLOOKUP(A39,'Débit - Abfluss'!$A$4:$Q$275,16,FALSE)="","",VLOOKUP(A39,'Débit - Abfluss'!$A$4:$Q$275,16,FALSE))</f>
        <v/>
      </c>
      <c r="AY39" s="769" t="str">
        <f>IF(VLOOKUP(A39,'Débit - Abfluss'!$A$4:$Q$275,17,FALSE)="","",VLOOKUP(A39,'Débit - Abfluss'!$A$4:$Q$275,17,FALSE))</f>
        <v>100%</v>
      </c>
      <c r="AZ39" s="749" t="str">
        <f>IF(VLOOKUP(A39,'Eclusée - Schwall-Sunk'!$A$2:$F$273,5,FALSE)="","",VLOOKUP(A39,'Eclusée - Schwall-Sunk'!$A$2:$F$273,5,FALSE))</f>
        <v/>
      </c>
      <c r="BA39" s="750" t="str">
        <f>IF(VLOOKUP(A39,'Eclusée - Schwall-Sunk'!$A$2:$F$273,6,FALSE)="","",VLOOKUP(A39,'Eclusée - Schwall-Sunk'!$A$2:$F$273,6,FALSE))</f>
        <v>Non affecté / nicht betroffen</v>
      </c>
      <c r="BB39" s="751">
        <f>IF(VLOOKUP(A39,'Revitalisation-Revitalisierung'!$A$4:$Z$275,5,FALSE)="","",VLOOKUP(A39,'Revitalisation-Revitalisierung'!$A$4:$Z$275,5,FALSE))</f>
        <v>-25</v>
      </c>
      <c r="BC39" s="752">
        <f>IF(VLOOKUP(A39,'Revitalisation-Revitalisierung'!$A$4:$Z$275,6,FALSE)="","",VLOOKUP(A39,'Revitalisation-Revitalisierung'!$A$4:$Z$275,6,FALSE))</f>
        <v>0</v>
      </c>
      <c r="BD39" s="752">
        <f>IF(VLOOKUP(A39,'Revitalisation-Revitalisierung'!$A$4:$Z$275,7,FALSE)="","",VLOOKUP(A39,'Revitalisation-Revitalisierung'!$A$4:$Z$275,7,FALSE))</f>
        <v>25</v>
      </c>
      <c r="BE39" s="753" t="str">
        <f>IF(VLOOKUP(A39,'Revitalisation-Revitalisierung'!$A$4:$Z$275,8,FALSE)="","",VLOOKUP(A39,'Revitalisation-Revitalisierung'!$A$4:$Z$275,8,FALSE))</f>
        <v>non nécessaire</v>
      </c>
      <c r="BF39" s="754" t="str">
        <f>IF(VLOOKUP(A39,'Revitalisation-Revitalisierung'!$A$4:$Z$275,9,FALSE)="","",VLOOKUP(A39,'Revitalisation-Revitalisierung'!$A$4:$Z$275,9,FALSE))</f>
        <v/>
      </c>
      <c r="BG39" s="754" t="str">
        <f>IF(VLOOKUP(A39,'Revitalisation-Revitalisierung'!$A$4:$Z$275,10,FALSE)="","",VLOOKUP(A39,'Revitalisation-Revitalisierung'!$A$4:$Z$275,10,FALSE))</f>
        <v>K1</v>
      </c>
      <c r="BH39" s="755" t="str">
        <f>IF(VLOOKUP(A39,'Revitalisation-Revitalisierung'!$A$4:$Z$275,11,FALSE)="","",VLOOKUP(A39,'Revitalisation-Revitalisierung'!$A$4:$Z$275,11,FALSE))</f>
        <v/>
      </c>
      <c r="BI39" s="756" t="str">
        <f>IF(VLOOKUP(A39,'Revitalisation-Revitalisierung'!$A$4:$Z$275,12,FALSE)="","",VLOOKUP(A39,'Revitalisation-Revitalisierung'!$A$4:$Z$275,12,FALSE))</f>
        <v/>
      </c>
      <c r="BJ39" s="757" t="str">
        <f>IF(VLOOKUP(A39,'Revitalisation-Revitalisierung'!$A$4:$Z$275,13,FALSE)="","",VLOOKUP(A39,'Revitalisation-Revitalisierung'!$A$4:$Z$275,13,FALSE))</f>
        <v>Non nécessaire / nicht nötig</v>
      </c>
      <c r="BK39" s="870" t="str">
        <f>IF(VLOOKUP(A39,'Revitalisation-Revitalisierung'!$A$4:$Z$275,14,FALSE)="","",VLOOKUP(A39,'Revitalisation-Revitalisierung'!$A$4:$Z$275,14,FALSE))</f>
        <v>a</v>
      </c>
      <c r="BL39" s="758" t="str">
        <f>IF(VLOOKUP(A39,'Revitalisation-Revitalisierung'!$A$4:$Z$275,15,FALSE)="","",VLOOKUP(A39,'Revitalisation-Revitalisierung'!$A$4:$Z$275,15,FALSE))</f>
        <v>élevé</v>
      </c>
      <c r="BM39" s="759" t="str">
        <f>IF(VLOOKUP(A39,'Revitalisation-Revitalisierung'!$A$4:$Z$275,16,FALSE)="","",VLOOKUP(A39,'Revitalisation-Revitalisierung'!$A$4:$Z$275,16,FALSE))</f>
        <v>faible</v>
      </c>
      <c r="BN39" s="759" t="str">
        <f>IF(VLOOKUP(A39,'Revitalisation-Revitalisierung'!$A$4:$Z$275,17,FALSE)="","",VLOOKUP(A39,'Revitalisation-Revitalisierung'!$A$4:$Z$275,17,FALSE))</f>
        <v>nulle à faible</v>
      </c>
      <c r="BO39" s="760" t="str">
        <f>IF(VLOOKUP(A39,'Revitalisation-Revitalisierung'!$A$4:$Z$275,18,FALSE)="","",VLOOKUP(A39,'Revitalisation-Revitalisierung'!$A$4:$Z$275,18,FALSE))</f>
        <v>Non nécessaire / nicht nötig</v>
      </c>
      <c r="BP39" s="761" t="str">
        <f>IF(VLOOKUP(A39,'Revitalisation-Revitalisierung'!$A$4:$Z$275,19,FALSE)="","",VLOOKUP(A39,'Revitalisation-Revitalisierung'!$A$4:$Z$275,19,FALSE))</f>
        <v>Non nécessaire / nicht nötig</v>
      </c>
      <c r="BQ39" s="759" t="str">
        <f>IF(VLOOKUP(A39,'Revitalisation-Revitalisierung'!$A$4:$Z$275,20,FALSE)="","",VLOOKUP(A39,'Revitalisation-Revitalisierung'!$A$4:$Z$275,20,FALSE))</f>
        <v>d</v>
      </c>
      <c r="BR39" s="759" t="str">
        <f>IF(VLOOKUP(A39,'Revitalisation-Revitalisierung'!$A$4:$Z$275,21,FALSE)="","",VLOOKUP(A39,'Revitalisation-Revitalisierung'!$A$4:$Z$275,21,FALSE))</f>
        <v/>
      </c>
      <c r="BS39" s="762" t="str">
        <f>IF(VLOOKUP(A39,'Revitalisation-Revitalisierung'!$A$4:$Z$275,22,FALSE)="","",VLOOKUP(A39,'Revitalisation-Revitalisierung'!$A$4:$Z$275,22,FALSE))</f>
        <v/>
      </c>
      <c r="BT39" s="703" t="str">
        <f>IF(VLOOKUP(A39,'Revitalisation-Revitalisierung'!$A$4:$Z$275,23,FALSE)="","",VLOOKUP(A39,'Revitalisation-Revitalisierung'!$A$4:$Z$275,23,FALSE))</f>
        <v/>
      </c>
      <c r="BU39" s="699" t="str">
        <f>IF(VLOOKUP(A39,'Revitalisation-Revitalisierung'!$A$4:$Z$275,24,FALSE)="","",VLOOKUP(A39,'Revitalisation-Revitalisierung'!$A$4:$Z$275,24,FALSE))</f>
        <v/>
      </c>
      <c r="BV39" s="761" t="str">
        <f>IF(VLOOKUP(A39,'Revitalisation-Revitalisierung'!$A$4:$Z$275,25,FALSE)="","",VLOOKUP(A39,'Revitalisation-Revitalisierung'!$A$4:$Z$275,25,FALSE))</f>
        <v>Non nécessaire / nicht nötig</v>
      </c>
      <c r="BW39" s="871" t="str">
        <f>IF(VLOOKUP(A39,'Revitalisation-Revitalisierung'!$A$4:$AA$275,27,FALSE)="","",VLOOKUP(A39,'Revitalisation-Revitalisierung'!$A$4:$AA$275,27,FALSE))</f>
        <v>a</v>
      </c>
    </row>
    <row r="40" spans="1:75" ht="58.15" customHeight="1" x14ac:dyDescent="0.25">
      <c r="A40" s="935">
        <v>51</v>
      </c>
      <c r="B40" s="856">
        <f>IF(VLOOKUP(A40,'Données de base - Grunddaten'!$A$2:$M$297,2,FALSE)="","",VLOOKUP(A40,'Données de base - Grunddaten'!$A$2:$M$297,2,FALSE))</f>
        <v>1</v>
      </c>
      <c r="C40" s="857" t="str">
        <f>IF(VLOOKUP(A40,'Données de base - Grunddaten'!$A$2:$M$297,3,FALSE)="","",VLOOKUP(A40,'Données de base - Grunddaten'!$A$2:$M$297,3,FALSE))</f>
        <v>Reussinsel Risi</v>
      </c>
      <c r="D40" s="857" t="str">
        <f>IF(VLOOKUP(A40,'Données de base - Grunddaten'!$A$2:$M$297,4,FALSE)="","",VLOOKUP(A40,'Données de base - Grunddaten'!$A$2:$M$297,4,FALSE))</f>
        <v>Reuss</v>
      </c>
      <c r="E40" s="857" t="str">
        <f>IF(VLOOKUP(A40,'Données de base - Grunddaten'!$A$2:$M$297,5,FALSE)="","",VLOOKUP(A40,'Données de base - Grunddaten'!$A$2:$M$297,5,FALSE))</f>
        <v>AG</v>
      </c>
      <c r="F40" s="857" t="str">
        <f>IF(VLOOKUP(A40,'Données de base - Grunddaten'!$A$2:$M$297,6,FALSE)="","",VLOOKUP(A40,'Données de base - Grunddaten'!$A$2:$M$297,6,FALSE))</f>
        <v>Plateau oriental</v>
      </c>
      <c r="G40" s="857" t="str">
        <f>IF(VLOOKUP(A40,'Données de base - Grunddaten'!$A$2:$M$297,7,FALSE)="","",VLOOKUP(A40,'Données de base - Grunddaten'!$A$2:$M$297,7,FALSE))</f>
        <v>Collinéen</v>
      </c>
      <c r="H40" s="857">
        <f>IF(VLOOKUP(A40,'Données de base - Grunddaten'!$A$2:$M$297,8,FALSE)="","",VLOOKUP(A40,'Données de base - Grunddaten'!$A$2:$M$297,8,FALSE))</f>
        <v>350</v>
      </c>
      <c r="I40" s="857">
        <f>IF(VLOOKUP(A40,'Données de base - Grunddaten'!$A$2:$M$297,9,FALSE)="","",VLOOKUP(A40,'Données de base - Grunddaten'!$A$2:$M$297,9,FALSE))</f>
        <v>1992</v>
      </c>
      <c r="J40" s="857">
        <f>IF(VLOOKUP(A40,'Données de base - Grunddaten'!$A$2:$M$297,10,FALSE)="","",VLOOKUP(A40,'Données de base - Grunddaten'!$A$2:$M$297,10,FALSE))</f>
        <v>52</v>
      </c>
      <c r="K40" s="857" t="str">
        <f>IF(VLOOKUP(A40,'Données de base - Grunddaten'!$A$2:$M$297,11,FALSE)="","",VLOOKUP(A40,'Données de base - Grunddaten'!$A$2:$M$297,11,FALSE))</f>
        <v>Cours d'eau corrigés de l'étage collinéen du Moyen-Pays</v>
      </c>
      <c r="L40" s="857" t="str">
        <f>IF(VLOOKUP(A40,'Données de base - Grunddaten'!$A$2:$M$297,12,FALSE)="","",VLOOKUP(A40,'Données de base - Grunddaten'!$A$2:$M$297,12,FALSE))</f>
        <v>cours rectiligne</v>
      </c>
      <c r="M40" s="858" t="str">
        <f>IF(VLOOKUP(A40,'Données de base - Grunddaten'!$A$2:$M$297,13,FALSE)="","",VLOOKUP(A40,'Données de base - Grunddaten'!$A$2:$M$297,13,FALSE))</f>
        <v>cours rectiligne</v>
      </c>
      <c r="N40" s="872" t="str">
        <f>IF(VLOOKUP(A40,'Charriage - Geschiebehaushalt'!$A$4:$R$275,5,FALSE)="","",VLOOKUP(A40,'Charriage - Geschiebehaushalt'!$A$4:$R$275,5,FALSE))</f>
        <v>pertinent</v>
      </c>
      <c r="O40" s="873" t="str">
        <f>IF(VLOOKUP(A40,'Charriage - Geschiebehaushalt'!$A$4:$R$275,6,FALSE)="","",VLOOKUP(A40,'Charriage - Geschiebehaushalt'!$A$4:$R$275,6,FALSE))</f>
        <v>81 -100%</v>
      </c>
      <c r="P40" s="874">
        <f>IF(VLOOKUP(A40,'Charriage - Geschiebehaushalt'!$A$4:$R$275,7,FALSE)="","",VLOOKUP(A40,'Charriage - Geschiebehaushalt'!$A$4:$R$275,7,FALSE))</f>
        <v>0.56094222836873497</v>
      </c>
      <c r="Q40" s="874" t="str">
        <f>IF(VLOOKUP(A40,'Charriage - Geschiebehaushalt'!$A$4:$R$275,8,FALSE)="","",VLOOKUP(A40,'Charriage - Geschiebehaushalt'!$A$4:$R$275,8,FALSE))</f>
        <v>pas d'incision</v>
      </c>
      <c r="R40" s="875">
        <f>IF(VLOOKUP(A40,'Charriage - Geschiebehaushalt'!$A$4:$R$275,9,FALSE)="","",VLOOKUP(A40,'Charriage - Geschiebehaushalt'!$A$4:$R$275,9,FALSE))</f>
        <v>0</v>
      </c>
      <c r="S40" s="876" t="str">
        <f>IF(VLOOKUP(A40,'Charriage - Geschiebehaushalt'!$A$4:$R$275,10,FALSE)="","",VLOOKUP(A40,'Charriage - Geschiebehaushalt'!$A$4:$R$275,10,FALSE))</f>
        <v>pas ou faiblement entravé</v>
      </c>
      <c r="T40" s="875">
        <f>IF(VLOOKUP(A40,'Charriage - Geschiebehaushalt'!$A$4:$R$275,11,FALSE)="","",VLOOKUP(A40,'Charriage - Geschiebehaushalt'!$A$4:$R$275,11,FALSE))</f>
        <v>2.7694473689999998E-3</v>
      </c>
      <c r="U40" s="876" t="str">
        <f>IF(VLOOKUP(A40,'Charriage - Geschiebehaushalt'!$A$4:$R$275,12,FALSE)="","",VLOOKUP(A40,'Charriage - Geschiebehaushalt'!$A$4:$R$275,12,FALSE))</f>
        <v>déficit dans les formations pionnières</v>
      </c>
      <c r="V40" s="877" t="str">
        <f>IF(VLOOKUP(A40,'Charriage - Geschiebehaushalt'!$A$4:$R$275,13,FALSE)="","",VLOOKUP(A40,'Charriage - Geschiebehaushalt'!$A$4:$R$275,13,FALSE))</f>
        <v/>
      </c>
      <c r="W40" s="877" t="str">
        <f>IF(VLOOKUP(A40,'Charriage - Geschiebehaushalt'!$A$4:$R$275,14,FALSE)="","",VLOOKUP(A40,'Charriage - Geschiebehaushalt'!$A$4:$R$275,14,FALSE))</f>
        <v/>
      </c>
      <c r="X40" s="877" t="str">
        <f>IF(VLOOKUP(A40,'Charriage - Geschiebehaushalt'!$A$4:$R$275,15,FALSE)="","",VLOOKUP(A40,'Charriage - Geschiebehaushalt'!$A$4:$R$275,15,FALSE))</f>
        <v/>
      </c>
      <c r="Y40" s="879" t="str">
        <f>IF(VLOOKUP(A40,'Charriage - Geschiebehaushalt'!$A$4:$R$275,16,FALSE)="","",VLOOKUP(A40,'Charriage - Geschiebehaushalt'!$A$4:$R$275,16,FALSE))</f>
        <v/>
      </c>
      <c r="Z40" s="763" t="str">
        <f>IF(VLOOKUP(A40,'Charriage - Geschiebehaushalt'!$A$4:$R$275,17,FALSE)="","",VLOOKUP(A40,'Charriage - Geschiebehaushalt'!$A$4:$R$275,17,FALSE))</f>
        <v>81 -100%</v>
      </c>
      <c r="AA40" s="880" t="str">
        <f>IF(VLOOKUP(A40,'Charriage - Geschiebehaushalt'!$A$4:$R$275,18,FALSE)="","",VLOOKUP(A40,'Charriage - Geschiebehaushalt'!$A$4:$R$275,18,FALSE))</f>
        <v>a</v>
      </c>
      <c r="AB40" s="737" t="str">
        <f>IF(VLOOKUP(A40,'Charriage - Geschiebehaushalt'!$A$4:$AC$275,19,FALSE)="","",VLOOKUP(A40,'Charriage - Geschiebehaushalt'!$A$4:$AC$275,19,FALSE))</f>
        <v>-</v>
      </c>
      <c r="AC40" s="738" t="str">
        <f>IF(VLOOKUP(A40,'Charriage - Geschiebehaushalt'!$A$4:$AC$275,20,FALSE)="","",VLOOKUP(A40,'Charriage - Geschiebehaushalt'!$A$4:$AC$275,20,FALSE))</f>
        <v>-</v>
      </c>
      <c r="AD40" s="764" t="str">
        <f>IF(VLOOKUP(A40,'Charriage - Geschiebehaushalt'!$A$4:$AC$275,21,FALSE)="","",VLOOKUP(A40,'Charriage - Geschiebehaushalt'!$A$4:$AC$275,21,FALSE))</f>
        <v/>
      </c>
      <c r="AE40" s="740" t="str">
        <f>IF(VLOOKUP(A40,'Charriage - Geschiebehaushalt'!$A$4:$AC$275,22,FALSE)="","",VLOOKUP(A40,'Charriage - Geschiebehaushalt'!$A$4:$AC$275,22,FALSE))</f>
        <v>81-100%</v>
      </c>
      <c r="AF40" s="787" t="str">
        <f>IF(VLOOKUP(A40,'Charriage - Geschiebehaushalt'!$A$4:$AC$275,23,FALSE)="","",VLOOKUP(A40,'Charriage - Geschiebehaushalt'!$A$4:$AC$275,23,FALSE))</f>
        <v>a</v>
      </c>
      <c r="AG40" s="765" t="str">
        <f>IF(VLOOKUP(A40,'Charriage - Geschiebehaushalt'!$A$4:$AC$275,24,FALSE)="","",VLOOKUP(A40,'Charriage - Geschiebehaushalt'!$A$4:$AC$275,24,FALSE))</f>
        <v/>
      </c>
      <c r="AH40" s="764" t="str">
        <f>IF(VLOOKUP(A40,'Charriage - Geschiebehaushalt'!$A$4:$AC$275,25,FALSE)="","",VLOOKUP(A40,'Charriage - Geschiebehaushalt'!$A$4:$AC$275,25,FALSE))</f>
        <v/>
      </c>
      <c r="AI40" s="433" t="str">
        <f>IF(VLOOKUP(A40,'Charriage - Geschiebehaushalt'!$A$4:$AC$275,26,FALSE)="","",VLOOKUP(A40,'Charriage - Geschiebehaushalt'!$A$4:$AC$275,26,FALSE))</f>
        <v/>
      </c>
      <c r="AJ40" s="434" t="str">
        <f>IF(VLOOKUP(A40,'Charriage - Geschiebehaushalt'!$A$4:$AC$275,27,FALSE)="","",VLOOKUP(A40,'Charriage - Geschiebehaushalt'!$A$4:$AC$275,27,FALSE))</f>
        <v/>
      </c>
      <c r="AK40" s="801" t="str">
        <f>IF(VLOOKUP(A40,'Charriage - Geschiebehaushalt'!$A$4:$AC$275,28,FALSE)="","",VLOOKUP(A40,'Charriage - Geschiebehaushalt'!$A$4:$AC$275,28,FALSE))</f>
        <v>81-100%</v>
      </c>
      <c r="AL40" s="1285" t="str">
        <f>IF(VLOOKUP(A40,'Charriage - Geschiebehaushalt'!$A$4:$AD$275,30,FALSE)="","",VLOOKUP(A40,'Charriage - Geschiebehaushalt'!$A$4:$AD$275,30,FALSE))</f>
        <v>a</v>
      </c>
      <c r="AM40" s="1279" t="str">
        <f>IF(VLOOKUP(A40,'Débit - Abfluss'!$A$4:$K$275,5,FALSE)="","",VLOOKUP(A40,'Débit - Abfluss'!$A$4:$M$275,5,FALSE))</f>
        <v>81-100%</v>
      </c>
      <c r="AN40" s="868" t="str">
        <f>IF(VLOOKUP(A40,'Débit - Abfluss'!$A$4:$K$275,6,FALSE)="","",VLOOKUP(A40,'Débit - Abfluss'!$A$4:$M$275,6,FALSE))</f>
        <v/>
      </c>
      <c r="AO40" s="869" t="str">
        <f>IF(VLOOKUP(A40,'Débit - Abfluss'!$A$4:$K$275,7,FALSE)="","",VLOOKUP(A40,'Débit - Abfluss'!$A$4:$M$275,7,FALSE))</f>
        <v/>
      </c>
      <c r="AP40" s="766" t="str">
        <f>IF(VLOOKUP(A40,'Débit - Abfluss'!$A$4:$K$275,8,FALSE)="","",VLOOKUP(A40,'Débit - Abfluss'!$A$4:$M$275,8,FALSE))</f>
        <v>81-100%</v>
      </c>
      <c r="AQ40" s="742" t="str">
        <f>IF(VLOOKUP(A40,'Débit - Abfluss'!$A$4:$K$275,9,FALSE)="","",VLOOKUP(A40,'Débit - Abfluss'!$A$4:$M$275,9,FALSE))</f>
        <v>-</v>
      </c>
      <c r="AR40" s="767" t="str">
        <f>IF(VLOOKUP(A40,'Débit - Abfluss'!$A$4:$K$275,10,FALSE)="","",VLOOKUP(A40,'Débit - Abfluss'!$A$4:$M$275,10,FALSE))</f>
        <v>81-100%</v>
      </c>
      <c r="AS40" s="767" t="str">
        <f>IF(VLOOKUP(A40,'Débit - Abfluss'!$A$4:$K$275,11,FALSE)="","",VLOOKUP(A40,'Débit - Abfluss'!$A$4:$M$275,11,FALSE))</f>
        <v/>
      </c>
      <c r="AT40" s="744" t="str">
        <f>IF(VLOOKUP(A40,'Débit - Abfluss'!$A$4:$Q$275,12,FALSE)="","",VLOOKUP(A40,'Débit - Abfluss'!$A$4:$Q$275,12,FALSE))</f>
        <v/>
      </c>
      <c r="AU40" s="745" t="str">
        <f>IF(VLOOKUP(A40,'Débit - Abfluss'!$A$4:$Q$275,13,FALSE)="","",VLOOKUP(A40,'Débit - Abfluss'!$A$4:$Q$275,13,FALSE))</f>
        <v/>
      </c>
      <c r="AV40" s="746" t="str">
        <f>IF(VLOOKUP(A40,'Débit - Abfluss'!$A$4:$Q$275,14,FALSE)="","",VLOOKUP(A40,'Débit - Abfluss'!$A$4:$Q$275,14,FALSE))</f>
        <v/>
      </c>
      <c r="AW40" s="768" t="str">
        <f>IF(VLOOKUP(A40,'Débit - Abfluss'!$A$4:$Q$275,15,FALSE)="","",VLOOKUP(A40,'Débit - Abfluss'!$A$4:$Q$275,15,FALSE))</f>
        <v/>
      </c>
      <c r="AX40" s="677" t="str">
        <f>IF(VLOOKUP(A40,'Débit - Abfluss'!$A$4:$Q$275,16,FALSE)="","",VLOOKUP(A40,'Débit - Abfluss'!$A$4:$Q$275,16,FALSE))</f>
        <v/>
      </c>
      <c r="AY40" s="769" t="str">
        <f>IF(VLOOKUP(A40,'Débit - Abfluss'!$A$4:$Q$275,17,FALSE)="","",VLOOKUP(A40,'Débit - Abfluss'!$A$4:$Q$275,17,FALSE))</f>
        <v>81-100%</v>
      </c>
      <c r="AZ40" s="749" t="str">
        <f>IF(VLOOKUP(A40,'Eclusée - Schwall-Sunk'!$A$2:$F$273,5,FALSE)="","",VLOOKUP(A40,'Eclusée - Schwall-Sunk'!$A$2:$F$273,5,FALSE))</f>
        <v>force hydraulique</v>
      </c>
      <c r="BA40" s="750" t="str">
        <f>IF(VLOOKUP(A40,'Eclusée - Schwall-Sunk'!$A$2:$F$273,6,FALSE)="","",VLOOKUP(A40,'Eclusée - Schwall-Sunk'!$A$2:$F$273,6,FALSE))</f>
        <v>Non affecté / nicht betroffen</v>
      </c>
      <c r="BB40" s="751">
        <f>IF(VLOOKUP(A40,'Revitalisation-Revitalisierung'!$A$4:$Z$275,5,FALSE)="","",VLOOKUP(A40,'Revitalisation-Revitalisierung'!$A$4:$Z$275,5,FALSE))</f>
        <v>-1.8181818181818181</v>
      </c>
      <c r="BC40" s="752">
        <f>IF(VLOOKUP(A40,'Revitalisation-Revitalisierung'!$A$4:$Z$275,6,FALSE)="","",VLOOKUP(A40,'Revitalisation-Revitalisierung'!$A$4:$Z$275,6,FALSE))</f>
        <v>0</v>
      </c>
      <c r="BD40" s="752">
        <f>IF(VLOOKUP(A40,'Revitalisation-Revitalisierung'!$A$4:$Z$275,7,FALSE)="","",VLOOKUP(A40,'Revitalisation-Revitalisierung'!$A$4:$Z$275,7,FALSE))</f>
        <v>1.8181818181818181</v>
      </c>
      <c r="BE40" s="753" t="str">
        <f>IF(VLOOKUP(A40,'Revitalisation-Revitalisierung'!$A$4:$Z$275,8,FALSE)="","",VLOOKUP(A40,'Revitalisation-Revitalisierung'!$A$4:$Z$275,8,FALSE))</f>
        <v>non nécessaire</v>
      </c>
      <c r="BF40" s="754" t="str">
        <f>IF(VLOOKUP(A40,'Revitalisation-Revitalisierung'!$A$4:$Z$275,9,FALSE)="","",VLOOKUP(A40,'Revitalisation-Revitalisierung'!$A$4:$Z$275,9,FALSE))</f>
        <v/>
      </c>
      <c r="BG40" s="754" t="str">
        <f>IF(VLOOKUP(A40,'Revitalisation-Revitalisierung'!$A$4:$Z$275,10,FALSE)="","",VLOOKUP(A40,'Revitalisation-Revitalisierung'!$A$4:$Z$275,10,FALSE))</f>
        <v>K3</v>
      </c>
      <c r="BH40" s="755" t="str">
        <f>IF(VLOOKUP(A40,'Revitalisation-Revitalisierung'!$A$4:$Z$275,11,FALSE)="","",VLOOKUP(A40,'Revitalisation-Revitalisierung'!$A$4:$Z$275,11,FALSE))</f>
        <v/>
      </c>
      <c r="BI40" s="756" t="str">
        <f>IF(VLOOKUP(A40,'Revitalisation-Revitalisierung'!$A$4:$Z$275,12,FALSE)="","",VLOOKUP(A40,'Revitalisation-Revitalisierung'!$A$4:$Z$275,12,FALSE))</f>
        <v/>
      </c>
      <c r="BJ40" s="757" t="str">
        <f>IF(VLOOKUP(A40,'Revitalisation-Revitalisierung'!$A$4:$Z$275,13,FALSE)="","",VLOOKUP(A40,'Revitalisation-Revitalisierung'!$A$4:$Z$275,13,FALSE))</f>
        <v>Partiellement nécessaire, facile / teilweise nötig, einfach</v>
      </c>
      <c r="BK40" s="870" t="str">
        <f>IF(VLOOKUP(A40,'Revitalisation-Revitalisierung'!$A$4:$Z$275,14,FALSE)="","",VLOOKUP(A40,'Revitalisation-Revitalisierung'!$A$4:$Z$275,14,FALSE))</f>
        <v>b</v>
      </c>
      <c r="BL40" s="758" t="str">
        <f>IF(VLOOKUP(A40,'Revitalisation-Revitalisierung'!$A$4:$Z$275,15,FALSE)="","",VLOOKUP(A40,'Revitalisation-Revitalisierung'!$A$4:$Z$275,15,FALSE))</f>
        <v>gross</v>
      </c>
      <c r="BM40" s="759" t="str">
        <f>IF(VLOOKUP(A40,'Revitalisation-Revitalisierung'!$A$4:$Z$275,16,FALSE)="","",VLOOKUP(A40,'Revitalisation-Revitalisierung'!$A$4:$Z$275,16,FALSE))</f>
        <v>gering</v>
      </c>
      <c r="BN40" s="759" t="str">
        <f>IF(VLOOKUP(A40,'Revitalisation-Revitalisierung'!$A$4:$Z$275,17,FALSE)="","",VLOOKUP(A40,'Revitalisation-Revitalisierung'!$A$4:$Z$275,17,FALSE))</f>
        <v>-</v>
      </c>
      <c r="BO40" s="760" t="str">
        <f>IF(VLOOKUP(A40,'Revitalisation-Revitalisierung'!$A$4:$Z$275,18,FALSE)="","",VLOOKUP(A40,'Revitalisation-Revitalisierung'!$A$4:$Z$275,18,FALSE))</f>
        <v>Non nécessaire / nicht nötig</v>
      </c>
      <c r="BP40" s="761" t="str">
        <f>IF(VLOOKUP(A40,'Revitalisation-Revitalisierung'!$A$4:$Z$275,19,FALSE)="","",VLOOKUP(A40,'Revitalisation-Revitalisierung'!$A$4:$Z$275,19,FALSE))</f>
        <v>Non nécessaire / nicht nötig</v>
      </c>
      <c r="BQ40" s="759" t="str">
        <f>IF(VLOOKUP(A40,'Revitalisation-Revitalisierung'!$A$4:$Z$275,20,FALSE)="","",VLOOKUP(A40,'Revitalisation-Revitalisierung'!$A$4:$Z$275,20,FALSE))</f>
        <v>c</v>
      </c>
      <c r="BR40" s="759" t="str">
        <f>IF(VLOOKUP(A40,'Revitalisation-Revitalisierung'!$A$4:$Z$275,21,FALSE)="","",VLOOKUP(A40,'Revitalisation-Revitalisierung'!$A$4:$Z$275,21,FALSE))</f>
        <v/>
      </c>
      <c r="BS40" s="762" t="str">
        <f>IF(VLOOKUP(A40,'Revitalisation-Revitalisierung'!$A$4:$Z$275,22,FALSE)="","",VLOOKUP(A40,'Revitalisation-Revitalisierung'!$A$4:$Z$275,22,FALSE))</f>
        <v/>
      </c>
      <c r="BT40" s="703" t="str">
        <f>IF(VLOOKUP(A40,'Revitalisation-Revitalisierung'!$A$4:$Z$275,23,FALSE)="","",VLOOKUP(A40,'Revitalisation-Revitalisierung'!$A$4:$Z$275,23,FALSE))</f>
        <v/>
      </c>
      <c r="BU40" s="699" t="str">
        <f>IF(VLOOKUP(A40,'Revitalisation-Revitalisierung'!$A$4:$Z$275,24,FALSE)="","",VLOOKUP(A40,'Revitalisation-Revitalisierung'!$A$4:$Z$275,24,FALSE))</f>
        <v>kein Handlungsbedarf</v>
      </c>
      <c r="BV40" s="761" t="str">
        <f>IF(VLOOKUP(A40,'Revitalisation-Revitalisierung'!$A$4:$Z$275,25,FALSE)="","",VLOOKUP(A40,'Revitalisation-Revitalisierung'!$A$4:$Z$275,25,FALSE))</f>
        <v>Non nécessaire / nicht nötig</v>
      </c>
      <c r="BW40" s="871" t="str">
        <f>IF(VLOOKUP(A40,'Revitalisation-Revitalisierung'!$A$4:$AA$275,27,FALSE)="","",VLOOKUP(A40,'Revitalisation-Revitalisierung'!$A$4:$AA$275,27,FALSE))</f>
        <v>a</v>
      </c>
    </row>
    <row r="41" spans="1:75" ht="165" customHeight="1" x14ac:dyDescent="0.25">
      <c r="A41" s="935">
        <v>52</v>
      </c>
      <c r="B41" s="856">
        <f>IF(VLOOKUP(A41,'Données de base - Grunddaten'!$A$2:$M$297,2,FALSE)="","",VLOOKUP(A41,'Données de base - Grunddaten'!$A$2:$M$297,2,FALSE))</f>
        <v>1</v>
      </c>
      <c r="C41" s="857" t="str">
        <f>IF(VLOOKUP(A41,'Données de base - Grunddaten'!$A$2:$M$297,3,FALSE)="","",VLOOKUP(A41,'Données de base - Grunddaten'!$A$2:$M$297,3,FALSE))</f>
        <v>Les Iles de Villeneuve</v>
      </c>
      <c r="D41" s="857" t="str">
        <f>IF(VLOOKUP(A41,'Données de base - Grunddaten'!$A$2:$M$297,4,FALSE)="","",VLOOKUP(A41,'Données de base - Grunddaten'!$A$2:$M$297,4,FALSE))</f>
        <v>La Broye</v>
      </c>
      <c r="E41" s="857" t="str">
        <f>IF(VLOOKUP(A41,'Données de base - Grunddaten'!$A$2:$M$297,5,FALSE)="","",VLOOKUP(A41,'Données de base - Grunddaten'!$A$2:$M$297,5,FALSE))</f>
        <v>FR/VD</v>
      </c>
      <c r="F41" s="857" t="str">
        <f>IF(VLOOKUP(A41,'Données de base - Grunddaten'!$A$2:$M$297,6,FALSE)="","",VLOOKUP(A41,'Données de base - Grunddaten'!$A$2:$M$297,6,FALSE))</f>
        <v>Plateau occidental</v>
      </c>
      <c r="G41" s="857" t="str">
        <f>IF(VLOOKUP(A41,'Données de base - Grunddaten'!$A$2:$M$297,7,FALSE)="","",VLOOKUP(A41,'Données de base - Grunddaten'!$A$2:$M$297,7,FALSE))</f>
        <v>Collinéen</v>
      </c>
      <c r="H41" s="857">
        <f>IF(VLOOKUP(A41,'Données de base - Grunddaten'!$A$2:$M$297,8,FALSE)="","",VLOOKUP(A41,'Données de base - Grunddaten'!$A$2:$M$297,8,FALSE))</f>
        <v>475</v>
      </c>
      <c r="I41" s="857">
        <f>IF(VLOOKUP(A41,'Données de base - Grunddaten'!$A$2:$M$297,9,FALSE)="","",VLOOKUP(A41,'Données de base - Grunddaten'!$A$2:$M$297,9,FALSE))</f>
        <v>1992</v>
      </c>
      <c r="J41" s="857">
        <f>IF(VLOOKUP(A41,'Données de base - Grunddaten'!$A$2:$M$297,10,FALSE)="","",VLOOKUP(A41,'Données de base - Grunddaten'!$A$2:$M$297,10,FALSE))</f>
        <v>52</v>
      </c>
      <c r="K41" s="857" t="str">
        <f>IF(VLOOKUP(A41,'Données de base - Grunddaten'!$A$2:$M$297,11,FALSE)="","",VLOOKUP(A41,'Données de base - Grunddaten'!$A$2:$M$297,11,FALSE))</f>
        <v>Cours d'eau corrigés de l'étage collinéen du Moyen-Pays</v>
      </c>
      <c r="L41" s="857" t="str">
        <f>IF(VLOOKUP(A41,'Données de base - Grunddaten'!$A$2:$M$297,12,FALSE)="","",VLOOKUP(A41,'Données de base - Grunddaten'!$A$2:$M$297,12,FALSE))</f>
        <v>cours rectiligne</v>
      </c>
      <c r="M41" s="858" t="str">
        <f>IF(VLOOKUP(A41,'Données de base - Grunddaten'!$A$2:$M$297,13,FALSE)="","",VLOOKUP(A41,'Données de base - Grunddaten'!$A$2:$M$297,13,FALSE))</f>
        <v>cours rectiligne</v>
      </c>
      <c r="N41" s="872" t="str">
        <f>IF(VLOOKUP(A41,'Charriage - Geschiebehaushalt'!$A$4:$R$275,5,FALSE)="","",VLOOKUP(A41,'Charriage - Geschiebehaushalt'!$A$4:$R$275,5,FALSE))</f>
        <v>pertinent</v>
      </c>
      <c r="O41" s="881" t="str">
        <f>IF(VLOOKUP(A41,'Charriage - Geschiebehaushalt'!$A$4:$R$275,6,FALSE)="","",VLOOKUP(A41,'Charriage - Geschiebehaushalt'!$A$4:$R$275,6,FALSE))</f>
        <v>non documenté</v>
      </c>
      <c r="P41" s="874">
        <f>IF(VLOOKUP(A41,'Charriage - Geschiebehaushalt'!$A$4:$R$275,7,FALSE)="","",VLOOKUP(A41,'Charriage - Geschiebehaushalt'!$A$4:$R$275,7,FALSE))</f>
        <v>-15</v>
      </c>
      <c r="Q41" s="898" t="str">
        <f>IF(VLOOKUP(A41,'Charriage - Geschiebehaushalt'!$A$4:$R$275,8,FALSE)="","",VLOOKUP(A41,'Charriage - Geschiebehaushalt'!$A$4:$R$275,8,FALSE))</f>
        <v>problème lié à un manque de charriage ou à un manque de remobilisation des sédiments</v>
      </c>
      <c r="R41" s="875">
        <f>IF(VLOOKUP(A41,'Charriage - Geschiebehaushalt'!$A$4:$R$275,9,FALSE)="","",VLOOKUP(A41,'Charriage - Geschiebehaushalt'!$A$4:$R$275,9,FALSE))</f>
        <v>0.53895761671085396</v>
      </c>
      <c r="S41" s="876" t="str">
        <f>IF(VLOOKUP(A41,'Charriage - Geschiebehaushalt'!$A$4:$R$275,10,FALSE)="","",VLOOKUP(A41,'Charriage - Geschiebehaushalt'!$A$4:$R$275,10,FALSE))</f>
        <v>la remobilisation des sédiments est perturbée</v>
      </c>
      <c r="T41" s="875">
        <f>IF(VLOOKUP(A41,'Charriage - Geschiebehaushalt'!$A$4:$R$275,11,FALSE)="","",VLOOKUP(A41,'Charriage - Geschiebehaushalt'!$A$4:$R$275,11,FALSE))</f>
        <v>1.1487370304999999E-2</v>
      </c>
      <c r="U41" s="876" t="str">
        <f>IF(VLOOKUP(A41,'Charriage - Geschiebehaushalt'!$A$4:$R$275,12,FALSE)="","",VLOOKUP(A41,'Charriage - Geschiebehaushalt'!$A$4:$R$275,12,FALSE))</f>
        <v>déficit dans les formations pionnières</v>
      </c>
      <c r="V41" s="877" t="str">
        <f>IF(VLOOKUP(A41,'Charriage - Geschiebehaushalt'!$A$4:$R$275,13,FALSE)="","",VLOOKUP(A41,'Charriage - Geschiebehaushalt'!$A$4:$R$275,13,FALSE))</f>
        <v/>
      </c>
      <c r="W41" s="877" t="str">
        <f>IF(VLOOKUP(A41,'Charriage - Geschiebehaushalt'!$A$4:$R$275,14,FALSE)="","",VLOOKUP(A41,'Charriage - Geschiebehaushalt'!$A$4:$R$275,14,FALSE))</f>
        <v/>
      </c>
      <c r="X41" s="877" t="str">
        <f>IF(VLOOKUP(A41,'Charriage - Geschiebehaushalt'!$A$4:$R$275,15,FALSE)="","",VLOOKUP(A41,'Charriage - Geschiebehaushalt'!$A$4:$R$275,15,FALSE))</f>
        <v/>
      </c>
      <c r="Y41" s="879" t="str">
        <f>IF(VLOOKUP(A41,'Charriage - Geschiebehaushalt'!$A$4:$R$275,16,FALSE)="","",VLOOKUP(A41,'Charriage - Geschiebehaushalt'!$A$4:$R$275,16,FALSE))</f>
        <v/>
      </c>
      <c r="Z41" s="763" t="str">
        <f>IF(VLOOKUP(A41,'Charriage - Geschiebehaushalt'!$A$4:$R$275,17,FALSE)="","",VLOOKUP(A41,'Charriage - Geschiebehaushalt'!$A$4:$R$275,17,FALSE))</f>
        <v>Problème lié à un manque de charriage ou à un manque de remobilisation des sédiments</v>
      </c>
      <c r="AA41" s="880" t="str">
        <f>IF(VLOOKUP(A41,'Charriage - Geschiebehaushalt'!$A$4:$R$275,18,FALSE)="","",VLOOKUP(A41,'Charriage - Geschiebehaushalt'!$A$4:$R$275,18,FALSE))</f>
        <v>b</v>
      </c>
      <c r="AB41" s="737" t="str">
        <f>IF(VLOOKUP(A41,'Charriage - Geschiebehaushalt'!$A$4:$AC$275,19,FALSE)="","",VLOOKUP(A41,'Charriage - Geschiebehaushalt'!$A$4:$AC$275,19,FALSE))</f>
        <v>keine /
notable (partie amont) / ??? Aval</v>
      </c>
      <c r="AC41" s="738" t="str">
        <f>IF(VLOOKUP(A41,'Charriage - Geschiebehaushalt'!$A$4:$AC$275,20,FALSE)="","",VLOOKUP(A41,'Charriage - Geschiebehaushalt'!$A$4:$AC$275,20,FALSE))</f>
        <v>- /
aucun</v>
      </c>
      <c r="AD41" s="764" t="str">
        <f>IF(VLOOKUP(A41,'Charriage - Geschiebehaushalt'!$A$4:$AC$275,21,FALSE)="","",VLOOKUP(A41,'Charriage - Geschiebehaushalt'!$A$4:$AC$275,21,FALSE))</f>
        <v>51-80%</v>
      </c>
      <c r="AE41" s="740" t="str">
        <f>IF(VLOOKUP(A41,'Charriage - Geschiebehaushalt'!$A$4:$AC$275,22,FALSE)="","",VLOOKUP(A41,'Charriage - Geschiebehaushalt'!$A$4:$AC$275,22,FALSE))</f>
        <v>51-80%</v>
      </c>
      <c r="AF41" s="787" t="str">
        <f>IF(VLOOKUP(A41,'Charriage - Geschiebehaushalt'!$A$4:$AC$275,23,FALSE)="","",VLOOKUP(A41,'Charriage - Geschiebehaushalt'!$A$4:$AC$275,23,FALSE))</f>
        <v>c</v>
      </c>
      <c r="AG41" s="765" t="str">
        <f>IF(VLOOKUP(A41,'Charriage - Geschiebehaushalt'!$A$4:$AC$275,24,FALSE)="","",VLOOKUP(A41,'Charriage - Geschiebehaushalt'!$A$4:$AC$275,24,FALSE))</f>
        <v>FR: pas d'atteinte lié aux installations sur le territoire FR.
VD: atteinte notable.</v>
      </c>
      <c r="AH41" s="764" t="str">
        <f>IF(VLOOKUP(A41,'Charriage - Geschiebehaushalt'!$A$4:$AC$275,25,FALSE)="","",VLOOKUP(A41,'Charriage - Geschiebehaushalt'!$A$4:$AC$275,25,FALSE))</f>
        <v/>
      </c>
      <c r="AI41" s="433" t="str">
        <f>IF(VLOOKUP(A41,'Charriage - Geschiebehaushalt'!$A$4:$AC$275,26,FALSE)="","",VLOOKUP(A41,'Charriage - Geschiebehaushalt'!$A$4:$AC$275,26,FALSE))</f>
        <v/>
      </c>
      <c r="AJ41" s="436" t="str">
        <f>IF(VLOOKUP(A41,'Charriage - Geschiebehaushalt'!$A$4:$AC$275,27,FALSE)="","",VLOOKUP(A41,'Charriage - Geschiebehaushalt'!$A$4:$AC$275,27,FALSE))</f>
        <v>OK</v>
      </c>
      <c r="AK41" s="801" t="str">
        <f>IF(VLOOKUP(A41,'Charriage - Geschiebehaushalt'!$A$4:$AC$275,28,FALSE)="","",VLOOKUP(A41,'Charriage - Geschiebehaushalt'!$A$4:$AC$275,28,FALSE))</f>
        <v>51-80%</v>
      </c>
      <c r="AL41" s="1285" t="str">
        <f>IF(VLOOKUP(A41,'Charriage - Geschiebehaushalt'!$A$4:$AD$275,30,FALSE)="","",VLOOKUP(A41,'Charriage - Geschiebehaushalt'!$A$4:$AD$275,30,FALSE))</f>
        <v>a</v>
      </c>
      <c r="AM41" s="1279" t="str">
        <f>IF(VLOOKUP(A41,'Débit - Abfluss'!$A$4:$K$275,5,FALSE)="","",VLOOKUP(A41,'Débit - Abfluss'!$A$4:$M$275,5,FALSE))</f>
        <v>100%</v>
      </c>
      <c r="AN41" s="868" t="str">
        <f>IF(VLOOKUP(A41,'Débit - Abfluss'!$A$4:$K$275,6,FALSE)="","",VLOOKUP(A41,'Débit - Abfluss'!$A$4:$M$275,6,FALSE))</f>
        <v>aucune information supplémentaire</v>
      </c>
      <c r="AO41" s="869" t="str">
        <f>IF(VLOOKUP(A41,'Débit - Abfluss'!$A$4:$K$275,7,FALSE)="","",VLOOKUP(A41,'Débit - Abfluss'!$A$4:$M$275,7,FALSE))</f>
        <v>aucune information supplémentaire</v>
      </c>
      <c r="AP41" s="766" t="str">
        <f>IF(VLOOKUP(A41,'Débit - Abfluss'!$A$4:$K$275,8,FALSE)="","",VLOOKUP(A41,'Débit - Abfluss'!$A$4:$M$275,8,FALSE))</f>
        <v>100%</v>
      </c>
      <c r="AQ41" s="742" t="str">
        <f>IF(VLOOKUP(A41,'Débit - Abfluss'!$A$4:$K$275,9,FALSE)="","",VLOOKUP(A41,'Débit - Abfluss'!$A$4:$M$275,9,FALSE))</f>
        <v>-</v>
      </c>
      <c r="AR41" s="767" t="str">
        <f>IF(VLOOKUP(A41,'Débit - Abfluss'!$A$4:$K$275,10,FALSE)="","",VLOOKUP(A41,'Débit - Abfluss'!$A$4:$M$275,10,FALSE))</f>
        <v>100%</v>
      </c>
      <c r="AS41" s="767" t="str">
        <f>IF(VLOOKUP(A41,'Débit - Abfluss'!$A$4:$K$275,11,FALSE)="","",VLOOKUP(A41,'Débit - Abfluss'!$A$4:$M$275,11,FALSE))</f>
        <v/>
      </c>
      <c r="AT41" s="744" t="str">
        <f>IF(VLOOKUP(A41,'Débit - Abfluss'!$A$4:$Q$275,12,FALSE)="","",VLOOKUP(A41,'Débit - Abfluss'!$A$4:$Q$275,12,FALSE))</f>
        <v/>
      </c>
      <c r="AU41" s="768" t="str">
        <f>IF(VLOOKUP(A41,'Débit - Abfluss'!$A$4:$Q$275,13,FALSE)="","",VLOOKUP(A41,'Débit - Abfluss'!$A$4:$Q$275,13,FALSE))</f>
        <v>ok</v>
      </c>
      <c r="AV41" s="746" t="str">
        <f>IF(VLOOKUP(A41,'Débit - Abfluss'!$A$4:$Q$275,14,FALSE)="","",VLOOKUP(A41,'Débit - Abfluss'!$A$4:$Q$275,14,FALSE))</f>
        <v/>
      </c>
      <c r="AW41" s="768" t="str">
        <f>IF(VLOOKUP(A41,'Débit - Abfluss'!$A$4:$Q$275,15,FALSE)="","",VLOOKUP(A41,'Débit - Abfluss'!$A$4:$Q$275,15,FALSE))</f>
        <v/>
      </c>
      <c r="AX41" s="677" t="str">
        <f>IF(VLOOKUP(A41,'Débit - Abfluss'!$A$4:$Q$275,16,FALSE)="","",VLOOKUP(A41,'Débit - Abfluss'!$A$4:$Q$275,16,FALSE))</f>
        <v/>
      </c>
      <c r="AY41" s="769" t="str">
        <f>IF(VLOOKUP(A41,'Débit - Abfluss'!$A$4:$Q$275,17,FALSE)="","",VLOOKUP(A41,'Débit - Abfluss'!$A$4:$Q$275,17,FALSE))</f>
        <v>100%</v>
      </c>
      <c r="AZ41" s="749" t="str">
        <f>IF(VLOOKUP(A41,'Eclusée - Schwall-Sunk'!$A$2:$F$273,5,FALSE)="","",VLOOKUP(A41,'Eclusée - Schwall-Sunk'!$A$2:$F$273,5,FALSE))</f>
        <v/>
      </c>
      <c r="BA41" s="750" t="str">
        <f>IF(VLOOKUP(A41,'Eclusée - Schwall-Sunk'!$A$2:$F$273,6,FALSE)="","",VLOOKUP(A41,'Eclusée - Schwall-Sunk'!$A$2:$F$273,6,FALSE))</f>
        <v>Non affecté / nicht betroffen</v>
      </c>
      <c r="BB41" s="751">
        <f>IF(VLOOKUP(A41,'Revitalisation-Revitalisierung'!$A$4:$Z$275,5,FALSE)="","",VLOOKUP(A41,'Revitalisation-Revitalisierung'!$A$4:$Z$275,5,FALSE))</f>
        <v>81.936363636363637</v>
      </c>
      <c r="BC41" s="752">
        <f>IF(VLOOKUP(A41,'Revitalisation-Revitalisierung'!$A$4:$Z$275,6,FALSE)="","",VLOOKUP(A41,'Revitalisation-Revitalisierung'!$A$4:$Z$275,6,FALSE))</f>
        <v>83.333333333333343</v>
      </c>
      <c r="BD41" s="752">
        <f>IF(VLOOKUP(A41,'Revitalisation-Revitalisierung'!$A$4:$Z$275,7,FALSE)="","",VLOOKUP(A41,'Revitalisation-Revitalisierung'!$A$4:$Z$275,7,FALSE))</f>
        <v>1.3636363636363635</v>
      </c>
      <c r="BE41" s="753" t="str">
        <f>IF(VLOOKUP(A41,'Revitalisation-Revitalisierung'!$A$4:$Z$275,8,FALSE)="","",VLOOKUP(A41,'Revitalisation-Revitalisierung'!$A$4:$Z$275,8,FALSE))</f>
        <v>très nécessaire, facile</v>
      </c>
      <c r="BF41" s="754" t="str">
        <f>IF(VLOOKUP(A41,'Revitalisation-Revitalisierung'!$A$4:$Z$275,9,FALSE)="","",VLOOKUP(A41,'Revitalisation-Revitalisierung'!$A$4:$Z$275,9,FALSE))</f>
        <v/>
      </c>
      <c r="BG41" s="754" t="str">
        <f>IF(VLOOKUP(A41,'Revitalisation-Revitalisierung'!$A$4:$Z$275,10,FALSE)="","",VLOOKUP(A41,'Revitalisation-Revitalisierung'!$A$4:$Z$275,10,FALSE))</f>
        <v>K2</v>
      </c>
      <c r="BH41" s="755" t="str">
        <f>IF(VLOOKUP(A41,'Revitalisation-Revitalisierung'!$A$4:$Z$275,11,FALSE)="","",VLOOKUP(A41,'Revitalisation-Revitalisierung'!$A$4:$Z$275,11,FALSE))</f>
        <v/>
      </c>
      <c r="BI41" s="756" t="str">
        <f>IF(VLOOKUP(A41,'Revitalisation-Revitalisierung'!$A$4:$Z$275,12,FALSE)="","",VLOOKUP(A41,'Revitalisation-Revitalisierung'!$A$4:$Z$275,12,FALSE))</f>
        <v/>
      </c>
      <c r="BJ41" s="757" t="str">
        <f>IF(VLOOKUP(A41,'Revitalisation-Revitalisierung'!$A$4:$Z$275,13,FALSE)="","",VLOOKUP(A41,'Revitalisation-Revitalisierung'!$A$4:$Z$275,13,FALSE))</f>
        <v>Très nécessaire, facile / unbedingt nötig, einfach</v>
      </c>
      <c r="BK41" s="870" t="str">
        <f>IF(VLOOKUP(A41,'Revitalisation-Revitalisierung'!$A$4:$Z$275,14,FALSE)="","",VLOOKUP(A41,'Revitalisation-Revitalisierung'!$A$4:$Z$275,14,FALSE))</f>
        <v>a</v>
      </c>
      <c r="BL41" s="758" t="str">
        <f>IF(VLOOKUP(A41,'Revitalisation-Revitalisierung'!$A$4:$Z$275,15,FALSE)="","",VLOOKUP(A41,'Revitalisation-Revitalisierung'!$A$4:$Z$275,15,FALSE))</f>
        <v>gross /
moyen à élevé</v>
      </c>
      <c r="BM41" s="759" t="str">
        <f>IF(VLOOKUP(A41,'Revitalisation-Revitalisierung'!$A$4:$Z$275,16,FALSE)="","",VLOOKUP(A41,'Revitalisation-Revitalisierung'!$A$4:$Z$275,16,FALSE))</f>
        <v>gering /
moyen à élevé</v>
      </c>
      <c r="BN41" s="759" t="str">
        <f>IF(VLOOKUP(A41,'Revitalisation-Revitalisierung'!$A$4:$Z$275,17,FALSE)="","",VLOOKUP(A41,'Revitalisation-Revitalisierung'!$A$4:$Z$275,17,FALSE))</f>
        <v>hoch /
moyen (amont); élevé (centre); moyen (aval)</v>
      </c>
      <c r="BO41" s="760" t="str">
        <f>IF(VLOOKUP(A41,'Revitalisation-Revitalisierung'!$A$4:$Z$275,18,FALSE)="","",VLOOKUP(A41,'Revitalisation-Revitalisierung'!$A$4:$Z$275,18,FALSE))</f>
        <v>Très nécessaire, facile / unbedingt nötig, einfach</v>
      </c>
      <c r="BP41" s="761" t="str">
        <f>IF(VLOOKUP(A41,'Revitalisation-Revitalisierung'!$A$4:$Z$275,19,FALSE)="","",VLOOKUP(A41,'Revitalisation-Revitalisierung'!$A$4:$Z$275,19,FALSE))</f>
        <v>Très nécessaire, facile / unbedingt nötig, einfach</v>
      </c>
      <c r="BQ41" s="759" t="str">
        <f>IF(VLOOKUP(A41,'Revitalisation-Revitalisierung'!$A$4:$Z$275,20,FALSE)="","",VLOOKUP(A41,'Revitalisation-Revitalisierung'!$A$4:$Z$275,20,FALSE))</f>
        <v>d</v>
      </c>
      <c r="BR41" s="759" t="str">
        <f>IF(VLOOKUP(A41,'Revitalisation-Revitalisierung'!$A$4:$Z$275,21,FALSE)="","",VLOOKUP(A41,'Revitalisation-Revitalisierung'!$A$4:$Z$275,21,FALSE))</f>
        <v/>
      </c>
      <c r="BS41" s="762" t="str">
        <f>IF(VLOOKUP(A41,'Revitalisation-Revitalisierung'!$A$4:$Z$275,22,FALSE)="","",VLOOKUP(A41,'Revitalisation-Revitalisierung'!$A$4:$Z$275,22,FALSE))</f>
        <v/>
      </c>
      <c r="BT41" s="703" t="str">
        <f>IF(VLOOKUP(A41,'Revitalisation-Revitalisierung'!$A$4:$Z$275,23,FALSE)="","",VLOOKUP(A41,'Revitalisation-Revitalisierung'!$A$4:$Z$275,23,FALSE))</f>
        <v/>
      </c>
      <c r="BU41" s="699" t="str">
        <f>IF(VLOOKUP(A41,'Revitalisation-Revitalisierung'!$A$4:$Z$275,24,FALSE)="","",VLOOKUP(A41,'Revitalisation-Revitalisierung'!$A$4:$Z$275,24,FALSE))</f>
        <v>Modifier Nutzen : gross</v>
      </c>
      <c r="BV41" s="761" t="str">
        <f>IF(VLOOKUP(A41,'Revitalisation-Revitalisierung'!$A$4:$Z$275,25,FALSE)="","",VLOOKUP(A41,'Revitalisation-Revitalisierung'!$A$4:$Z$275,25,FALSE))</f>
        <v>Très nécessaire, facile / unbedingt nötig, einfach</v>
      </c>
      <c r="BW41" s="871" t="str">
        <f>IF(VLOOKUP(A41,'Revitalisation-Revitalisierung'!$A$4:$AA$275,27,FALSE)="","",VLOOKUP(A41,'Revitalisation-Revitalisierung'!$A$4:$AA$275,27,FALSE))</f>
        <v>a</v>
      </c>
    </row>
    <row r="42" spans="1:75" ht="127.9" customHeight="1" x14ac:dyDescent="0.25">
      <c r="A42" s="935">
        <v>53</v>
      </c>
      <c r="B42" s="856">
        <f>IF(VLOOKUP(A42,'Données de base - Grunddaten'!$A$2:$M$297,2,FALSE)="","",VLOOKUP(A42,'Données de base - Grunddaten'!$A$2:$M$297,2,FALSE))</f>
        <v>1</v>
      </c>
      <c r="C42" s="857" t="str">
        <f>IF(VLOOKUP(A42,'Données de base - Grunddaten'!$A$2:$M$297,3,FALSE)="","",VLOOKUP(A42,'Données de base - Grunddaten'!$A$2:$M$297,3,FALSE))</f>
        <v>Niederried–Oltigenmatt</v>
      </c>
      <c r="D42" s="857" t="str">
        <f>IF(VLOOKUP(A42,'Données de base - Grunddaten'!$A$2:$M$297,4,FALSE)="","",VLOOKUP(A42,'Données de base - Grunddaten'!$A$2:$M$297,4,FALSE))</f>
        <v>Aare, Saane</v>
      </c>
      <c r="E42" s="857" t="str">
        <f>IF(VLOOKUP(A42,'Données de base - Grunddaten'!$A$2:$M$297,5,FALSE)="","",VLOOKUP(A42,'Données de base - Grunddaten'!$A$2:$M$297,5,FALSE))</f>
        <v>BE</v>
      </c>
      <c r="F42" s="857" t="str">
        <f>IF(VLOOKUP(A42,'Données de base - Grunddaten'!$A$2:$M$297,6,FALSE)="","",VLOOKUP(A42,'Données de base - Grunddaten'!$A$2:$M$297,6,FALSE))</f>
        <v>Plateau occidental</v>
      </c>
      <c r="G42" s="857" t="str">
        <f>IF(VLOOKUP(A42,'Données de base - Grunddaten'!$A$2:$M$297,7,FALSE)="","",VLOOKUP(A42,'Données de base - Grunddaten'!$A$2:$M$297,7,FALSE))</f>
        <v>Collinéen</v>
      </c>
      <c r="H42" s="857">
        <f>IF(VLOOKUP(A42,'Données de base - Grunddaten'!$A$2:$M$297,8,FALSE)="","",VLOOKUP(A42,'Données de base - Grunddaten'!$A$2:$M$297,8,FALSE))</f>
        <v>460</v>
      </c>
      <c r="I42" s="857">
        <f>IF(VLOOKUP(A42,'Données de base - Grunddaten'!$A$2:$M$297,9,FALSE)="","",VLOOKUP(A42,'Données de base - Grunddaten'!$A$2:$M$297,9,FALSE))</f>
        <v>1992</v>
      </c>
      <c r="J42" s="857">
        <f>IF(VLOOKUP(A42,'Données de base - Grunddaten'!$A$2:$M$297,10,FALSE)="","",VLOOKUP(A42,'Données de base - Grunddaten'!$A$2:$M$297,10,FALSE))</f>
        <v>102</v>
      </c>
      <c r="K42" s="857" t="str">
        <f>IF(VLOOKUP(A42,'Données de base - Grunddaten'!$A$2:$M$297,11,FALSE)="","",VLOOKUP(A42,'Données de base - Grunddaten'!$A$2:$M$297,11,FALSE))</f>
        <v>Rives de lacs de retenue des étages collinéen et montagnard</v>
      </c>
      <c r="L42" s="857" t="str">
        <f>IF(VLOOKUP(A42,'Données de base - Grunddaten'!$A$2:$M$297,12,FALSE)="","",VLOOKUP(A42,'Données de base - Grunddaten'!$A$2:$M$297,12,FALSE))</f>
        <v>en tresses</v>
      </c>
      <c r="M42" s="858" t="str">
        <f>IF(VLOOKUP(A42,'Données de base - Grunddaten'!$A$2:$M$297,13,FALSE)="","",VLOOKUP(A42,'Données de base - Grunddaten'!$A$2:$M$297,13,FALSE))</f>
        <v>rives de lacs de retenues</v>
      </c>
      <c r="N42" s="891" t="str">
        <f>IF(VLOOKUP(A42,'Charriage - Geschiebehaushalt'!$A$4:$R$275,5,FALSE)="","",VLOOKUP(A42,'Charriage - Geschiebehaushalt'!$A$4:$R$275,5,FALSE))</f>
        <v>non pertinent</v>
      </c>
      <c r="O42" s="899" t="str">
        <f>IF(VLOOKUP(A42,'Charriage - Geschiebehaushalt'!$A$4:$R$275,6,FALSE)="","",VLOOKUP(A42,'Charriage - Geschiebehaushalt'!$A$4:$R$275,6,FALSE))</f>
        <v/>
      </c>
      <c r="P42" s="900">
        <f>IF(VLOOKUP(A42,'Charriage - Geschiebehaushalt'!$A$4:$R$275,7,FALSE)="","",VLOOKUP(A42,'Charriage - Geschiebehaushalt'!$A$4:$R$275,7,FALSE))</f>
        <v>-2.4785685495602801</v>
      </c>
      <c r="Q42" s="901" t="str">
        <f>IF(VLOOKUP(A42,'Charriage - Geschiebehaushalt'!$A$4:$R$275,8,FALSE)="","",VLOOKUP(A42,'Charriage - Geschiebehaushalt'!$A$4:$R$275,8,FALSE))</f>
        <v>problème lié à un manque de charriage ou à un manque de remobilisation des sédiments</v>
      </c>
      <c r="R42" s="875">
        <f>IF(VLOOKUP(A42,'Charriage - Geschiebehaushalt'!$A$4:$R$275,9,FALSE)="","",VLOOKUP(A42,'Charriage - Geschiebehaushalt'!$A$4:$R$275,9,FALSE))</f>
        <v>0.188001034076937</v>
      </c>
      <c r="S42" s="876" t="str">
        <f>IF(VLOOKUP(A42,'Charriage - Geschiebehaushalt'!$A$4:$R$275,10,FALSE)="","",VLOOKUP(A42,'Charriage - Geschiebehaushalt'!$A$4:$R$275,10,FALSE))</f>
        <v>pas ou faiblement entravé</v>
      </c>
      <c r="T42" s="875">
        <f>IF(VLOOKUP(A42,'Charriage - Geschiebehaushalt'!$A$4:$R$275,11,FALSE)="","",VLOOKUP(A42,'Charriage - Geschiebehaushalt'!$A$4:$R$275,11,FALSE))</f>
        <v>0.26657362384</v>
      </c>
      <c r="U42" s="876" t="str">
        <f>IF(VLOOKUP(A42,'Charriage - Geschiebehaushalt'!$A$4:$R$275,12,FALSE)="","",VLOOKUP(A42,'Charriage - Geschiebehaushalt'!$A$4:$R$275,12,FALSE))</f>
        <v>déficit dans les formations pionnières</v>
      </c>
      <c r="V42" s="877" t="str">
        <f>IF(VLOOKUP(A42,'Charriage - Geschiebehaushalt'!$A$4:$R$275,13,FALSE)="","",VLOOKUP(A42,'Charriage - Geschiebehaushalt'!$A$4:$R$275,13,FALSE))</f>
        <v/>
      </c>
      <c r="W42" s="877" t="str">
        <f>IF(VLOOKUP(A42,'Charriage - Geschiebehaushalt'!$A$4:$R$275,14,FALSE)="","",VLOOKUP(A42,'Charriage - Geschiebehaushalt'!$A$4:$R$275,14,FALSE))</f>
        <v/>
      </c>
      <c r="X42" s="877" t="str">
        <f>IF(VLOOKUP(A42,'Charriage - Geschiebehaushalt'!$A$4:$R$275,15,FALSE)="","",VLOOKUP(A42,'Charriage - Geschiebehaushalt'!$A$4:$R$275,15,FALSE))</f>
        <v/>
      </c>
      <c r="Y42" s="879" t="str">
        <f>IF(VLOOKUP(A42,'Charriage - Geschiebehaushalt'!$A$4:$R$275,16,FALSE)="","",VLOOKUP(A42,'Charriage - Geschiebehaushalt'!$A$4:$R$275,16,FALSE))</f>
        <v/>
      </c>
      <c r="Z42" s="763" t="str">
        <f>IF(VLOOKUP(A42,'Charriage - Geschiebehaushalt'!$A$4:$R$275,17,FALSE)="","",VLOOKUP(A42,'Charriage - Geschiebehaushalt'!$A$4:$R$275,17,FALSE))</f>
        <v>La remobilisation des sédiments est perturbée / Mobilisierung von Geschiebe beeinträchtigt</v>
      </c>
      <c r="AA42" s="880" t="str">
        <f>IF(VLOOKUP(A42,'Charriage - Geschiebehaushalt'!$A$4:$R$275,18,FALSE)="","",VLOOKUP(A42,'Charriage - Geschiebehaushalt'!$A$4:$R$275,18,FALSE))</f>
        <v>b</v>
      </c>
      <c r="AB42" s="737" t="str">
        <f>IF(VLOOKUP(A42,'Charriage - Geschiebehaushalt'!$A$4:$AC$275,19,FALSE)="","",VLOOKUP(A42,'Charriage - Geschiebehaushalt'!$A$4:$AC$275,19,FALSE))</f>
        <v>wesentlich/stark</v>
      </c>
      <c r="AC42" s="738" t="str">
        <f>IF(VLOOKUP(A42,'Charriage - Geschiebehaushalt'!$A$4:$AC$275,20,FALSE)="","",VLOOKUP(A42,'Charriage - Geschiebehaushalt'!$A$4:$AC$275,20,FALSE))</f>
        <v>Ja (gering)</v>
      </c>
      <c r="AD42" s="764" t="str">
        <f>IF(VLOOKUP(A42,'Charriage - Geschiebehaushalt'!$A$4:$AC$275,21,FALSE)="","",VLOOKUP(A42,'Charriage - Geschiebehaushalt'!$A$4:$AC$275,21,FALSE))</f>
        <v>51-80%</v>
      </c>
      <c r="AE42" s="740" t="str">
        <f>IF(VLOOKUP(A42,'Charriage - Geschiebehaushalt'!$A$4:$AC$275,22,FALSE)="","",VLOOKUP(A42,'Charriage - Geschiebehaushalt'!$A$4:$AC$275,22,FALSE))</f>
        <v>51-80%</v>
      </c>
      <c r="AF42" s="787" t="str">
        <f>IF(VLOOKUP(A42,'Charriage - Geschiebehaushalt'!$A$4:$AC$275,23,FALSE)="","",VLOOKUP(A42,'Charriage - Geschiebehaushalt'!$A$4:$AC$275,23,FALSE))</f>
        <v>c</v>
      </c>
      <c r="AG42" s="765" t="str">
        <f>IF(VLOOKUP(A42,'Charriage - Geschiebehaushalt'!$A$4:$AC$275,24,FALSE)="","",VLOOKUP(A42,'Charriage - Geschiebehaushalt'!$A$4:$AC$275,24,FALSE))</f>
        <v/>
      </c>
      <c r="AH42" s="764" t="str">
        <f>IF(VLOOKUP(A42,'Charriage - Geschiebehaushalt'!$A$4:$AC$275,25,FALSE)="","",VLOOKUP(A42,'Charriage - Geschiebehaushalt'!$A$4:$AC$275,25,FALSE))</f>
        <v/>
      </c>
      <c r="AI42" s="433" t="str">
        <f>IF(VLOOKUP(A42,'Charriage - Geschiebehaushalt'!$A$4:$AC$275,26,FALSE)="","",VLOOKUP(A42,'Charriage - Geschiebehaushalt'!$A$4:$AC$275,26,FALSE))</f>
        <v/>
      </c>
      <c r="AJ42" s="434" t="str">
        <f>IF(VLOOKUP(A42,'Charriage - Geschiebehaushalt'!$A$4:$AC$275,27,FALSE)="","",VLOOKUP(A42,'Charriage - Geschiebehaushalt'!$A$4:$AC$275,27,FALSE))</f>
        <v/>
      </c>
      <c r="AK42" s="801" t="str">
        <f>IF(VLOOKUP(A42,'Charriage - Geschiebehaushalt'!$A$4:$AC$275,28,FALSE)="","",VLOOKUP(A42,'Charriage - Geschiebehaushalt'!$A$4:$AC$275,28,FALSE))</f>
        <v>51-80%</v>
      </c>
      <c r="AL42" s="1285" t="str">
        <f>IF(VLOOKUP(A42,'Charriage - Geschiebehaushalt'!$A$4:$AD$275,30,FALSE)="","",VLOOKUP(A42,'Charriage - Geschiebehaushalt'!$A$4:$AD$275,30,FALSE))</f>
        <v>a</v>
      </c>
      <c r="AM42" s="1279" t="str">
        <f>IF(VLOOKUP(A42,'Débit - Abfluss'!$A$4:$K$275,5,FALSE)="","",VLOOKUP(A42,'Débit - Abfluss'!$A$4:$M$275,5,FALSE))</f>
        <v>non pertinent</v>
      </c>
      <c r="AN42" s="868" t="str">
        <f>IF(VLOOKUP(A42,'Débit - Abfluss'!$A$4:$K$275,6,FALSE)="","",VLOOKUP(A42,'Débit - Abfluss'!$A$4:$M$275,6,FALSE))</f>
        <v/>
      </c>
      <c r="AO42" s="869" t="str">
        <f>IF(VLOOKUP(A42,'Débit - Abfluss'!$A$4:$K$275,7,FALSE)="","",VLOOKUP(A42,'Débit - Abfluss'!$A$4:$M$275,7,FALSE))</f>
        <v/>
      </c>
      <c r="AP42" s="766" t="str">
        <f>IF(VLOOKUP(A42,'Débit - Abfluss'!$A$4:$K$275,8,FALSE)="","",VLOOKUP(A42,'Débit - Abfluss'!$A$4:$M$275,8,FALSE))</f>
        <v>non pertinent / nicht relevant</v>
      </c>
      <c r="AQ42" s="742" t="str">
        <f>IF(VLOOKUP(A42,'Débit - Abfluss'!$A$4:$K$275,9,FALSE)="","",VLOOKUP(A42,'Débit - Abfluss'!$A$4:$M$275,9,FALSE))</f>
        <v>-</v>
      </c>
      <c r="AR42" s="770" t="str">
        <f>IF(VLOOKUP(A42,'Débit - Abfluss'!$A$4:$K$275,10,FALSE)="","",VLOOKUP(A42,'Débit - Abfluss'!$A$4:$M$275,10,FALSE))</f>
        <v>non pertinent / nicht relevant</v>
      </c>
      <c r="AS42" s="767" t="str">
        <f>IF(VLOOKUP(A42,'Débit - Abfluss'!$A$4:$K$275,11,FALSE)="","",VLOOKUP(A42,'Débit - Abfluss'!$A$4:$M$275,11,FALSE))</f>
        <v/>
      </c>
      <c r="AT42" s="744" t="str">
        <f>IF(VLOOKUP(A42,'Débit - Abfluss'!$A$4:$Q$275,12,FALSE)="","",VLOOKUP(A42,'Débit - Abfluss'!$A$4:$Q$275,12,FALSE))</f>
        <v/>
      </c>
      <c r="AU42" s="745" t="str">
        <f>IF(VLOOKUP(A42,'Débit - Abfluss'!$A$4:$Q$275,13,FALSE)="","",VLOOKUP(A42,'Débit - Abfluss'!$A$4:$Q$275,13,FALSE))</f>
        <v/>
      </c>
      <c r="AV42" s="746" t="str">
        <f>IF(VLOOKUP(A42,'Débit - Abfluss'!$A$4:$Q$275,14,FALSE)="","",VLOOKUP(A42,'Débit - Abfluss'!$A$4:$Q$275,14,FALSE))</f>
        <v/>
      </c>
      <c r="AW42" s="768" t="str">
        <f>IF(VLOOKUP(A42,'Débit - Abfluss'!$A$4:$Q$275,15,FALSE)="","",VLOOKUP(A42,'Débit - Abfluss'!$A$4:$Q$275,15,FALSE))</f>
        <v/>
      </c>
      <c r="AX42" s="677" t="str">
        <f>IF(VLOOKUP(A42,'Débit - Abfluss'!$A$4:$Q$275,16,FALSE)="","",VLOOKUP(A42,'Débit - Abfluss'!$A$4:$Q$275,16,FALSE))</f>
        <v/>
      </c>
      <c r="AY42" s="776" t="str">
        <f>IF(VLOOKUP(A42,'Débit - Abfluss'!$A$4:$Q$275,17,FALSE)="","",VLOOKUP(A42,'Débit - Abfluss'!$A$4:$Q$275,17,FALSE))</f>
        <v>non pertinent / nicht relevant</v>
      </c>
      <c r="AZ42" s="749" t="str">
        <f>IF(VLOOKUP(A42,'Eclusée - Schwall-Sunk'!$A$2:$F$273,5,FALSE)="","",VLOOKUP(A42,'Eclusée - Schwall-Sunk'!$A$2:$F$273,5,FALSE))</f>
        <v/>
      </c>
      <c r="BA42" s="750" t="str">
        <f>IF(VLOOKUP(A42,'Eclusée - Schwall-Sunk'!$A$2:$F$273,6,FALSE)="","",VLOOKUP(A42,'Eclusée - Schwall-Sunk'!$A$2:$F$273,6,FALSE))</f>
        <v>Potentiellement affecté / möglicherweise betroffen</v>
      </c>
      <c r="BB42" s="751">
        <f>IF(VLOOKUP(A42,'Revitalisation-Revitalisierung'!$A$4:$Z$275,5,FALSE)="","",VLOOKUP(A42,'Revitalisation-Revitalisierung'!$A$4:$Z$275,5,FALSE))</f>
        <v>12.890909090909091</v>
      </c>
      <c r="BC42" s="752">
        <f>IF(VLOOKUP(A42,'Revitalisation-Revitalisierung'!$A$4:$Z$275,6,FALSE)="","",VLOOKUP(A42,'Revitalisation-Revitalisierung'!$A$4:$Z$275,6,FALSE))</f>
        <v>18.842301719776469</v>
      </c>
      <c r="BD42" s="752">
        <f>IF(VLOOKUP(A42,'Revitalisation-Revitalisierung'!$A$4:$Z$275,7,FALSE)="","",VLOOKUP(A42,'Revitalisation-Revitalisierung'!$A$4:$Z$275,7,FALSE))</f>
        <v>5.9090909090909092</v>
      </c>
      <c r="BE42" s="753" t="str">
        <f>IF(VLOOKUP(A42,'Revitalisation-Revitalisierung'!$A$4:$Z$275,8,FALSE)="","",VLOOKUP(A42,'Revitalisation-Revitalisierung'!$A$4:$Z$275,8,FALSE))</f>
        <v>peu nécessaire, facile</v>
      </c>
      <c r="BF42" s="754" t="str">
        <f>IF(VLOOKUP(A42,'Revitalisation-Revitalisierung'!$A$4:$Z$275,9,FALSE)="","",VLOOKUP(A42,'Revitalisation-Revitalisierung'!$A$4:$Z$275,9,FALSE))</f>
        <v/>
      </c>
      <c r="BG42" s="754" t="str">
        <f>IF(VLOOKUP(A42,'Revitalisation-Revitalisierung'!$A$4:$Z$275,10,FALSE)="","",VLOOKUP(A42,'Revitalisation-Revitalisierung'!$A$4:$Z$275,10,FALSE))</f>
        <v>K2</v>
      </c>
      <c r="BH42" s="755" t="str">
        <f>IF(VLOOKUP(A42,'Revitalisation-Revitalisierung'!$A$4:$Z$275,11,FALSE)="","",VLOOKUP(A42,'Revitalisation-Revitalisierung'!$A$4:$Z$275,11,FALSE))</f>
        <v/>
      </c>
      <c r="BI42" s="756" t="str">
        <f>IF(VLOOKUP(A42,'Revitalisation-Revitalisierung'!$A$4:$Z$275,12,FALSE)="","",VLOOKUP(A42,'Revitalisation-Revitalisierung'!$A$4:$Z$275,12,FALSE))</f>
        <v/>
      </c>
      <c r="BJ42" s="757" t="str">
        <f>IF(VLOOKUP(A42,'Revitalisation-Revitalisierung'!$A$4:$Z$275,13,FALSE)="","",VLOOKUP(A42,'Revitalisation-Revitalisierung'!$A$4:$Z$275,13,FALSE))</f>
        <v>Très nécessaire, facile / unbedingt nötig, einfach</v>
      </c>
      <c r="BK42" s="870" t="str">
        <f>IF(VLOOKUP(A42,'Revitalisation-Revitalisierung'!$A$4:$Z$275,14,FALSE)="","",VLOOKUP(A42,'Revitalisation-Revitalisierung'!$A$4:$Z$275,14,FALSE))</f>
        <v>b</v>
      </c>
      <c r="BL42" s="758" t="str">
        <f>IF(VLOOKUP(A42,'Revitalisation-Revitalisierung'!$A$4:$Z$275,15,FALSE)="","",VLOOKUP(A42,'Revitalisation-Revitalisierung'!$A$4:$Z$275,15,FALSE))</f>
        <v>gross</v>
      </c>
      <c r="BM42" s="759" t="str">
        <f>IF(VLOOKUP(A42,'Revitalisation-Revitalisierung'!$A$4:$Z$275,16,FALSE)="","",VLOOKUP(A42,'Revitalisation-Revitalisierung'!$A$4:$Z$275,16,FALSE))</f>
        <v>gross/gering</v>
      </c>
      <c r="BN42" s="759" t="str">
        <f>IF(VLOOKUP(A42,'Revitalisation-Revitalisierung'!$A$4:$Z$275,17,FALSE)="","",VLOOKUP(A42,'Revitalisation-Revitalisierung'!$A$4:$Z$275,17,FALSE))</f>
        <v>hoch (nur im oberen Teil der Aue)</v>
      </c>
      <c r="BO42" s="760" t="str">
        <f>IF(VLOOKUP(A42,'Revitalisation-Revitalisierung'!$A$4:$Z$275,18,FALSE)="","",VLOOKUP(A42,'Revitalisation-Revitalisierung'!$A$4:$Z$275,18,FALSE))</f>
        <v>Très nécessaire, facile / unbedingt nötig, einfach</v>
      </c>
      <c r="BP42" s="761" t="str">
        <f>IF(VLOOKUP(A42,'Revitalisation-Revitalisierung'!$A$4:$Z$275,19,FALSE)="","",VLOOKUP(A42,'Revitalisation-Revitalisierung'!$A$4:$Z$275,19,FALSE))</f>
        <v>Très nécessaire, facile / unbedingt nötig, einfach</v>
      </c>
      <c r="BQ42" s="759" t="str">
        <f>IF(VLOOKUP(A42,'Revitalisation-Revitalisierung'!$A$4:$Z$275,20,FALSE)="","",VLOOKUP(A42,'Revitalisation-Revitalisierung'!$A$4:$Z$275,20,FALSE))</f>
        <v>d</v>
      </c>
      <c r="BR42" s="759" t="str">
        <f>IF(VLOOKUP(A42,'Revitalisation-Revitalisierung'!$A$4:$Z$275,21,FALSE)="","",VLOOKUP(A42,'Revitalisation-Revitalisierung'!$A$4:$Z$275,21,FALSE))</f>
        <v/>
      </c>
      <c r="BS42" s="762" t="str">
        <f>IF(VLOOKUP(A42,'Revitalisation-Revitalisierung'!$A$4:$Z$275,22,FALSE)="","",VLOOKUP(A42,'Revitalisation-Revitalisierung'!$A$4:$Z$275,22,FALSE))</f>
        <v/>
      </c>
      <c r="BT42" s="703" t="str">
        <f>IF(VLOOKUP(A42,'Revitalisation-Revitalisierung'!$A$4:$Z$275,23,FALSE)="","",VLOOKUP(A42,'Revitalisation-Revitalisierung'!$A$4:$Z$275,23,FALSE))</f>
        <v/>
      </c>
      <c r="BU42" s="699" t="str">
        <f>IF(VLOOKUP(A42,'Revitalisation-Revitalisierung'!$A$4:$Z$275,24,FALSE)="","",VLOOKUP(A42,'Revitalisation-Revitalisierung'!$A$4:$Z$275,24,FALSE))</f>
        <v xml:space="preserve">Zielkonflikte FM, ALG, Aue national. </v>
      </c>
      <c r="BV42" s="761" t="str">
        <f>IF(VLOOKUP(A42,'Revitalisation-Revitalisierung'!$A$4:$Z$275,25,FALSE)="","",VLOOKUP(A42,'Revitalisation-Revitalisierung'!$A$4:$Z$275,25,FALSE))</f>
        <v>Très nécessaire, facile / unbedingt nötig, einfach</v>
      </c>
      <c r="BW42" s="871" t="str">
        <f>IF(VLOOKUP(A42,'Revitalisation-Revitalisierung'!$A$4:$AA$275,27,FALSE)="","",VLOOKUP(A42,'Revitalisation-Revitalisierung'!$A$4:$AA$275,27,FALSE))</f>
        <v>a</v>
      </c>
    </row>
    <row r="43" spans="1:75" ht="71.45" customHeight="1" x14ac:dyDescent="0.25">
      <c r="A43" s="935">
        <v>55</v>
      </c>
      <c r="B43" s="856">
        <f>IF(VLOOKUP(A43,'Données de base - Grunddaten'!$A$2:$M$297,2,FALSE)="","",VLOOKUP(A43,'Données de base - Grunddaten'!$A$2:$M$297,2,FALSE))</f>
        <v>1</v>
      </c>
      <c r="C43" s="857" t="str">
        <f>IF(VLOOKUP(A43,'Données de base - Grunddaten'!$A$2:$M$297,3,FALSE)="","",VLOOKUP(A43,'Données de base - Grunddaten'!$A$2:$M$297,3,FALSE))</f>
        <v>Senseauen</v>
      </c>
      <c r="D43" s="857" t="str">
        <f>IF(VLOOKUP(A43,'Données de base - Grunddaten'!$A$2:$M$297,4,FALSE)="","",VLOOKUP(A43,'Données de base - Grunddaten'!$A$2:$M$297,4,FALSE))</f>
        <v>Sense</v>
      </c>
      <c r="E43" s="857" t="str">
        <f>IF(VLOOKUP(A43,'Données de base - Grunddaten'!$A$2:$M$297,5,FALSE)="","",VLOOKUP(A43,'Données de base - Grunddaten'!$A$2:$M$297,5,FALSE))</f>
        <v>BE/FR</v>
      </c>
      <c r="F43" s="857" t="str">
        <f>IF(VLOOKUP(A43,'Données de base - Grunddaten'!$A$2:$M$297,6,FALSE)="","",VLOOKUP(A43,'Données de base - Grunddaten'!$A$2:$M$297,6,FALSE))</f>
        <v>Préalpes, Plateau occidental</v>
      </c>
      <c r="G43" s="857" t="str">
        <f>IF(VLOOKUP(A43,'Données de base - Grunddaten'!$A$2:$M$297,7,FALSE)="","",VLOOKUP(A43,'Données de base - Grunddaten'!$A$2:$M$297,7,FALSE))</f>
        <v>Montagnard inf.</v>
      </c>
      <c r="H43" s="857">
        <f>IF(VLOOKUP(A43,'Données de base - Grunddaten'!$A$2:$M$297,8,FALSE)="","",VLOOKUP(A43,'Données de base - Grunddaten'!$A$2:$M$297,8,FALSE))</f>
        <v>810</v>
      </c>
      <c r="I43" s="857">
        <f>IF(VLOOKUP(A43,'Données de base - Grunddaten'!$A$2:$M$297,9,FALSE)="","",VLOOKUP(A43,'Données de base - Grunddaten'!$A$2:$M$297,9,FALSE))</f>
        <v>1992</v>
      </c>
      <c r="J43" s="857">
        <f>IF(VLOOKUP(A43,'Données de base - Grunddaten'!$A$2:$M$297,10,FALSE)="","",VLOOKUP(A43,'Données de base - Grunddaten'!$A$2:$M$297,10,FALSE))</f>
        <v>41</v>
      </c>
      <c r="K43" s="857" t="str">
        <f>IF(VLOOKUP(A43,'Données de base - Grunddaten'!$A$2:$M$297,11,FALSE)="","",VLOOKUP(A43,'Données de base - Grunddaten'!$A$2:$M$297,11,FALSE))</f>
        <v>Cours d'eau naturels de l'étage montagnard</v>
      </c>
      <c r="L43" s="857" t="str">
        <f>IF(VLOOKUP(A43,'Données de base - Grunddaten'!$A$2:$M$297,12,FALSE)="","",VLOOKUP(A43,'Données de base - Grunddaten'!$A$2:$M$297,12,FALSE))</f>
        <v>en tresses</v>
      </c>
      <c r="M43" s="858" t="str">
        <f>IF(VLOOKUP(A43,'Données de base - Grunddaten'!$A$2:$M$297,13,FALSE)="","",VLOOKUP(A43,'Données de base - Grunddaten'!$A$2:$M$297,13,FALSE))</f>
        <v>en tresses</v>
      </c>
      <c r="N43" s="872" t="str">
        <f>IF(VLOOKUP(A43,'Charriage - Geschiebehaushalt'!$A$4:$R$275,5,FALSE)="","",VLOOKUP(A43,'Charriage - Geschiebehaushalt'!$A$4:$R$275,5,FALSE))</f>
        <v>pertinent</v>
      </c>
      <c r="O43" s="873" t="str">
        <f>IF(VLOOKUP(A43,'Charriage - Geschiebehaushalt'!$A$4:$R$275,6,FALSE)="","",VLOOKUP(A43,'Charriage - Geschiebehaushalt'!$A$4:$R$275,6,FALSE))</f>
        <v>0-20%</v>
      </c>
      <c r="P43" s="874">
        <f>IF(VLOOKUP(A43,'Charriage - Geschiebehaushalt'!$A$4:$R$275,7,FALSE)="","",VLOOKUP(A43,'Charriage - Geschiebehaushalt'!$A$4:$R$275,7,FALSE))</f>
        <v>1</v>
      </c>
      <c r="Q43" s="874" t="str">
        <f>IF(VLOOKUP(A43,'Charriage - Geschiebehaushalt'!$A$4:$R$275,8,FALSE)="","",VLOOKUP(A43,'Charriage - Geschiebehaushalt'!$A$4:$R$275,8,FALSE))</f>
        <v>dépôt donc pas de problème de charriage</v>
      </c>
      <c r="R43" s="875">
        <f>IF(VLOOKUP(A43,'Charriage - Geschiebehaushalt'!$A$4:$R$275,9,FALSE)="","",VLOOKUP(A43,'Charriage - Geschiebehaushalt'!$A$4:$R$275,9,FALSE))</f>
        <v>3.39844288022009E-2</v>
      </c>
      <c r="S43" s="876" t="str">
        <f>IF(VLOOKUP(A43,'Charriage - Geschiebehaushalt'!$A$4:$R$275,10,FALSE)="","",VLOOKUP(A43,'Charriage - Geschiebehaushalt'!$A$4:$R$275,10,FALSE))</f>
        <v>pas ou faiblement entravé</v>
      </c>
      <c r="T43" s="875">
        <f>IF(VLOOKUP(A43,'Charriage - Geschiebehaushalt'!$A$4:$R$275,11,FALSE)="","",VLOOKUP(A43,'Charriage - Geschiebehaushalt'!$A$4:$R$275,11,FALSE))</f>
        <v>0.37955056141999999</v>
      </c>
      <c r="U43" s="876" t="str">
        <f>IF(VLOOKUP(A43,'Charriage - Geschiebehaushalt'!$A$4:$R$275,12,FALSE)="","",VLOOKUP(A43,'Charriage - Geschiebehaushalt'!$A$4:$R$275,12,FALSE))</f>
        <v>déficit non apparent en charriage ou en remobilisation des sédiments</v>
      </c>
      <c r="V43" s="877" t="str">
        <f>IF(VLOOKUP(A43,'Charriage - Geschiebehaushalt'!$A$4:$R$275,13,FALSE)="","",VLOOKUP(A43,'Charriage - Geschiebehaushalt'!$A$4:$R$275,13,FALSE))</f>
        <v/>
      </c>
      <c r="W43" s="877" t="str">
        <f>IF(VLOOKUP(A43,'Charriage - Geschiebehaushalt'!$A$4:$R$275,14,FALSE)="","",VLOOKUP(A43,'Charriage - Geschiebehaushalt'!$A$4:$R$275,14,FALSE))</f>
        <v/>
      </c>
      <c r="X43" s="877" t="str">
        <f>IF(VLOOKUP(A43,'Charriage - Geschiebehaushalt'!$A$4:$R$275,15,FALSE)="","",VLOOKUP(A43,'Charriage - Geschiebehaushalt'!$A$4:$R$275,15,FALSE))</f>
        <v/>
      </c>
      <c r="Y43" s="879" t="str">
        <f>IF(VLOOKUP(A43,'Charriage - Geschiebehaushalt'!$A$4:$R$275,16,FALSE)="","",VLOOKUP(A43,'Charriage - Geschiebehaushalt'!$A$4:$R$275,16,FALSE))</f>
        <v/>
      </c>
      <c r="Z43" s="763" t="str">
        <f>IF(VLOOKUP(A43,'Charriage - Geschiebehaushalt'!$A$4:$R$275,17,FALSE)="","",VLOOKUP(A43,'Charriage - Geschiebehaushalt'!$A$4:$R$275,17,FALSE))</f>
        <v>0-20%</v>
      </c>
      <c r="AA43" s="880" t="str">
        <f>IF(VLOOKUP(A43,'Charriage - Geschiebehaushalt'!$A$4:$R$275,18,FALSE)="","",VLOOKUP(A43,'Charriage - Geschiebehaushalt'!$A$4:$R$275,18,FALSE))</f>
        <v>a</v>
      </c>
      <c r="AB43" s="737" t="str">
        <f>IF(VLOOKUP(A43,'Charriage - Geschiebehaushalt'!$A$4:$AC$275,19,FALSE)="","",VLOOKUP(A43,'Charriage - Geschiebehaushalt'!$A$4:$AC$275,19,FALSE))</f>
        <v>gering/wesentlich /
keine</v>
      </c>
      <c r="AC43" s="738" t="str">
        <f>IF(VLOOKUP(A43,'Charriage - Geschiebehaushalt'!$A$4:$AC$275,20,FALSE)="","",VLOOKUP(A43,'Charriage - Geschiebehaushalt'!$A$4:$AC$275,20,FALSE))</f>
        <v>Ja (gering) /
-</v>
      </c>
      <c r="AD43" s="764" t="str">
        <f>IF(VLOOKUP(A43,'Charriage - Geschiebehaushalt'!$A$4:$AC$275,21,FALSE)="","",VLOOKUP(A43,'Charriage - Geschiebehaushalt'!$A$4:$AC$275,21,FALSE))</f>
        <v>21-50%</v>
      </c>
      <c r="AE43" s="740" t="str">
        <f>IF(VLOOKUP(A43,'Charriage - Geschiebehaushalt'!$A$4:$AC$275,22,FALSE)="","",VLOOKUP(A43,'Charriage - Geschiebehaushalt'!$A$4:$AC$275,22,FALSE))</f>
        <v>0-20%</v>
      </c>
      <c r="AF43" s="787" t="str">
        <f>IF(VLOOKUP(A43,'Charriage - Geschiebehaushalt'!$A$4:$AC$275,23,FALSE)="","",VLOOKUP(A43,'Charriage - Geschiebehaushalt'!$A$4:$AC$275,23,FALSE))</f>
        <v>d</v>
      </c>
      <c r="AG43" s="765" t="str">
        <f>IF(VLOOKUP(A43,'Charriage - Geschiebehaushalt'!$A$4:$AC$275,24,FALSE)="","",VLOOKUP(A43,'Charriage - Geschiebehaushalt'!$A$4:$AC$275,24,FALSE))</f>
        <v>FR: keine; BE: gering/wesentlich. Discordance entre les 2 cantons. Concordance entre FR et Hanus et al. 2014. On prend la valeur la plus représentée (0-20%)</v>
      </c>
      <c r="AH43" s="764" t="str">
        <f>IF(VLOOKUP(A43,'Charriage - Geschiebehaushalt'!$A$4:$AC$275,25,FALSE)="","",VLOOKUP(A43,'Charriage - Geschiebehaushalt'!$A$4:$AC$275,25,FALSE))</f>
        <v/>
      </c>
      <c r="AI43" s="433" t="str">
        <f>IF(VLOOKUP(A43,'Charriage - Geschiebehaushalt'!$A$4:$AC$275,26,FALSE)="","",VLOOKUP(A43,'Charriage - Geschiebehaushalt'!$A$4:$AC$275,26,FALSE))</f>
        <v/>
      </c>
      <c r="AJ43" s="436" t="str">
        <f>IF(VLOOKUP(A43,'Charriage - Geschiebehaushalt'!$A$4:$AC$275,27,FALSE)="","",VLOOKUP(A43,'Charriage - Geschiebehaushalt'!$A$4:$AC$275,27,FALSE))</f>
        <v>OK (FR). Pas exprimé (BE)</v>
      </c>
      <c r="AK43" s="801" t="str">
        <f>IF(VLOOKUP(A43,'Charriage - Geschiebehaushalt'!$A$4:$AC$275,28,FALSE)="","",VLOOKUP(A43,'Charriage - Geschiebehaushalt'!$A$4:$AC$275,28,FALSE))</f>
        <v>0-20%</v>
      </c>
      <c r="AL43" s="1285" t="str">
        <f>IF(VLOOKUP(A43,'Charriage - Geschiebehaushalt'!$A$4:$AD$275,30,FALSE)="","",VLOOKUP(A43,'Charriage - Geschiebehaushalt'!$A$4:$AD$275,30,FALSE))</f>
        <v>a</v>
      </c>
      <c r="AM43" s="1279" t="str">
        <f>IF(VLOOKUP(A43,'Débit - Abfluss'!$A$4:$K$275,5,FALSE)="","",VLOOKUP(A43,'Débit - Abfluss'!$A$4:$M$275,5,FALSE))</f>
        <v>100%</v>
      </c>
      <c r="AN43" s="868" t="str">
        <f>IF(VLOOKUP(A43,'Débit - Abfluss'!$A$4:$K$275,6,FALSE)="","",VLOOKUP(A43,'Débit - Abfluss'!$A$4:$M$275,6,FALSE))</f>
        <v>aucune information supplémentaire</v>
      </c>
      <c r="AO43" s="869" t="str">
        <f>IF(VLOOKUP(A43,'Débit - Abfluss'!$A$4:$K$275,7,FALSE)="","",VLOOKUP(A43,'Débit - Abfluss'!$A$4:$M$275,7,FALSE))</f>
        <v>aucune information supplémentaire</v>
      </c>
      <c r="AP43" s="766" t="str">
        <f>IF(VLOOKUP(A43,'Débit - Abfluss'!$A$4:$K$275,8,FALSE)="","",VLOOKUP(A43,'Débit - Abfluss'!$A$4:$M$275,8,FALSE))</f>
        <v>100%</v>
      </c>
      <c r="AQ43" s="742" t="str">
        <f>IF(VLOOKUP(A43,'Débit - Abfluss'!$A$4:$K$275,9,FALSE)="","",VLOOKUP(A43,'Débit - Abfluss'!$A$4:$M$275,9,FALSE))</f>
        <v>-</v>
      </c>
      <c r="AR43" s="767" t="str">
        <f>IF(VLOOKUP(A43,'Débit - Abfluss'!$A$4:$K$275,10,FALSE)="","",VLOOKUP(A43,'Débit - Abfluss'!$A$4:$M$275,10,FALSE))</f>
        <v>100%</v>
      </c>
      <c r="AS43" s="767" t="str">
        <f>IF(VLOOKUP(A43,'Débit - Abfluss'!$A$4:$K$275,11,FALSE)="","",VLOOKUP(A43,'Débit - Abfluss'!$A$4:$M$275,11,FALSE))</f>
        <v/>
      </c>
      <c r="AT43" s="744" t="str">
        <f>IF(VLOOKUP(A43,'Débit - Abfluss'!$A$4:$Q$275,12,FALSE)="","",VLOOKUP(A43,'Débit - Abfluss'!$A$4:$Q$275,12,FALSE))</f>
        <v/>
      </c>
      <c r="AU43" s="768" t="str">
        <f>IF(VLOOKUP(A43,'Débit - Abfluss'!$A$4:$Q$275,13,FALSE)="","",VLOOKUP(A43,'Débit - Abfluss'!$A$4:$Q$275,13,FALSE))</f>
        <v>ok</v>
      </c>
      <c r="AV43" s="746" t="str">
        <f>IF(VLOOKUP(A43,'Débit - Abfluss'!$A$4:$Q$275,14,FALSE)="","",VLOOKUP(A43,'Débit - Abfluss'!$A$4:$Q$275,14,FALSE))</f>
        <v/>
      </c>
      <c r="AW43" s="768" t="str">
        <f>IF(VLOOKUP(A43,'Débit - Abfluss'!$A$4:$Q$275,15,FALSE)="","",VLOOKUP(A43,'Débit - Abfluss'!$A$4:$Q$275,15,FALSE))</f>
        <v/>
      </c>
      <c r="AX43" s="677" t="str">
        <f>IF(VLOOKUP(A43,'Débit - Abfluss'!$A$4:$Q$275,16,FALSE)="","",VLOOKUP(A43,'Débit - Abfluss'!$A$4:$Q$275,16,FALSE))</f>
        <v/>
      </c>
      <c r="AY43" s="769" t="str">
        <f>IF(VLOOKUP(A43,'Débit - Abfluss'!$A$4:$Q$275,17,FALSE)="","",VLOOKUP(A43,'Débit - Abfluss'!$A$4:$Q$275,17,FALSE))</f>
        <v>100%</v>
      </c>
      <c r="AZ43" s="749" t="str">
        <f>IF(VLOOKUP(A43,'Eclusée - Schwall-Sunk'!$A$2:$F$273,5,FALSE)="","",VLOOKUP(A43,'Eclusée - Schwall-Sunk'!$A$2:$F$273,5,FALSE))</f>
        <v/>
      </c>
      <c r="BA43" s="750" t="str">
        <f>IF(VLOOKUP(A43,'Eclusée - Schwall-Sunk'!$A$2:$F$273,6,FALSE)="","",VLOOKUP(A43,'Eclusée - Schwall-Sunk'!$A$2:$F$273,6,FALSE))</f>
        <v>Non affecté / nicht betroffen</v>
      </c>
      <c r="BB43" s="751">
        <f>IF(VLOOKUP(A43,'Revitalisation-Revitalisierung'!$A$4:$Z$275,5,FALSE)="","",VLOOKUP(A43,'Revitalisation-Revitalisierung'!$A$4:$Z$275,5,FALSE))</f>
        <v>-64.090909090909093</v>
      </c>
      <c r="BC43" s="752">
        <f>IF(VLOOKUP(A43,'Revitalisation-Revitalisierung'!$A$4:$Z$275,6,FALSE)="","",VLOOKUP(A43,'Revitalisation-Revitalisierung'!$A$4:$Z$275,6,FALSE))</f>
        <v>0</v>
      </c>
      <c r="BD43" s="752">
        <f>IF(VLOOKUP(A43,'Revitalisation-Revitalisierung'!$A$4:$Z$275,7,FALSE)="","",VLOOKUP(A43,'Revitalisation-Revitalisierung'!$A$4:$Z$275,7,FALSE))</f>
        <v>64.090909090909093</v>
      </c>
      <c r="BE43" s="753" t="str">
        <f>IF(VLOOKUP(A43,'Revitalisation-Revitalisierung'!$A$4:$Z$275,8,FALSE)="","",VLOOKUP(A43,'Revitalisation-Revitalisierung'!$A$4:$Z$275,8,FALSE))</f>
        <v>non nécessaire</v>
      </c>
      <c r="BF43" s="754" t="str">
        <f>IF(VLOOKUP(A43,'Revitalisation-Revitalisierung'!$A$4:$Z$275,9,FALSE)="","",VLOOKUP(A43,'Revitalisation-Revitalisierung'!$A$4:$Z$275,9,FALSE))</f>
        <v/>
      </c>
      <c r="BG43" s="754" t="str">
        <f>IF(VLOOKUP(A43,'Revitalisation-Revitalisierung'!$A$4:$Z$275,10,FALSE)="","",VLOOKUP(A43,'Revitalisation-Revitalisierung'!$A$4:$Z$275,10,FALSE))</f>
        <v>K1</v>
      </c>
      <c r="BH43" s="755" t="str">
        <f>IF(VLOOKUP(A43,'Revitalisation-Revitalisierung'!$A$4:$Z$275,11,FALSE)="","",VLOOKUP(A43,'Revitalisation-Revitalisierung'!$A$4:$Z$275,11,FALSE))</f>
        <v/>
      </c>
      <c r="BI43" s="756" t="str">
        <f>IF(VLOOKUP(A43,'Revitalisation-Revitalisierung'!$A$4:$Z$275,12,FALSE)="","",VLOOKUP(A43,'Revitalisation-Revitalisierung'!$A$4:$Z$275,12,FALSE))</f>
        <v/>
      </c>
      <c r="BJ43" s="757" t="str">
        <f>IF(VLOOKUP(A43,'Revitalisation-Revitalisierung'!$A$4:$Z$275,13,FALSE)="","",VLOOKUP(A43,'Revitalisation-Revitalisierung'!$A$4:$Z$275,13,FALSE))</f>
        <v>Non nécessaire / nicht nötig</v>
      </c>
      <c r="BK43" s="870" t="str">
        <f>IF(VLOOKUP(A43,'Revitalisation-Revitalisierung'!$A$4:$Z$275,14,FALSE)="","",VLOOKUP(A43,'Revitalisation-Revitalisierung'!$A$4:$Z$275,14,FALSE))</f>
        <v>a</v>
      </c>
      <c r="BL43" s="758" t="str">
        <f>IF(VLOOKUP(A43,'Revitalisation-Revitalisierung'!$A$4:$Z$275,15,FALSE)="","",VLOOKUP(A43,'Revitalisation-Revitalisierung'!$A$4:$Z$275,15,FALSE))</f>
        <v>gross /
gross</v>
      </c>
      <c r="BM43" s="759" t="str">
        <f>IF(VLOOKUP(A43,'Revitalisation-Revitalisierung'!$A$4:$Z$275,16,FALSE)="","",VLOOKUP(A43,'Revitalisation-Revitalisierung'!$A$4:$Z$275,16,FALSE))</f>
        <v>gross/gering</v>
      </c>
      <c r="BN43" s="759" t="str">
        <f>IF(VLOOKUP(A43,'Revitalisation-Revitalisierung'!$A$4:$Z$275,17,FALSE)="","",VLOOKUP(A43,'Revitalisation-Revitalisierung'!$A$4:$Z$275,17,FALSE))</f>
        <v>hoch (nur im untersten Abschnitt)</v>
      </c>
      <c r="BO43" s="760" t="str">
        <f>IF(VLOOKUP(A43,'Revitalisation-Revitalisierung'!$A$4:$Z$275,18,FALSE)="","",VLOOKUP(A43,'Revitalisation-Revitalisierung'!$A$4:$Z$275,18,FALSE))</f>
        <v>Non nécessaire / nicht nötig</v>
      </c>
      <c r="BP43" s="761" t="str">
        <f>IF(VLOOKUP(A43,'Revitalisation-Revitalisierung'!$A$4:$Z$275,19,FALSE)="","",VLOOKUP(A43,'Revitalisation-Revitalisierung'!$A$4:$Z$275,19,FALSE))</f>
        <v>Non nécessaire / nicht nötig</v>
      </c>
      <c r="BQ43" s="759" t="str">
        <f>IF(VLOOKUP(A43,'Revitalisation-Revitalisierung'!$A$4:$Z$275,20,FALSE)="","",VLOOKUP(A43,'Revitalisation-Revitalisierung'!$A$4:$Z$275,20,FALSE))</f>
        <v>d</v>
      </c>
      <c r="BR43" s="759" t="str">
        <f>IF(VLOOKUP(A43,'Revitalisation-Revitalisierung'!$A$4:$Z$275,21,FALSE)="","",VLOOKUP(A43,'Revitalisation-Revitalisierung'!$A$4:$Z$275,21,FALSE))</f>
        <v>Tronçon aval à revitaliser selon BE</v>
      </c>
      <c r="BS43" s="762" t="str">
        <f>IF(VLOOKUP(A43,'Revitalisation-Revitalisierung'!$A$4:$Z$275,22,FALSE)="","",VLOOKUP(A43,'Revitalisation-Revitalisierung'!$A$4:$Z$275,22,FALSE))</f>
        <v/>
      </c>
      <c r="BT43" s="703" t="str">
        <f>IF(VLOOKUP(A43,'Revitalisation-Revitalisierung'!$A$4:$Z$275,23,FALSE)="","",VLOOKUP(A43,'Revitalisation-Revitalisierung'!$A$4:$Z$275,23,FALSE))</f>
        <v/>
      </c>
      <c r="BU43" s="699" t="str">
        <f>IF(VLOOKUP(A43,'Revitalisation-Revitalisierung'!$A$4:$Z$275,24,FALSE)="","",VLOOKUP(A43,'Revitalisation-Revitalisierung'!$A$4:$Z$275,24,FALSE))</f>
        <v>nur punktuell nötig (z.B. Sodbachbrücke), technisch sehr einfach aber politisch sehr schwierig</v>
      </c>
      <c r="BV43" s="761" t="str">
        <f>IF(VLOOKUP(A43,'Revitalisation-Revitalisierung'!$A$4:$Z$275,25,FALSE)="","",VLOOKUP(A43,'Revitalisation-Revitalisierung'!$A$4:$Z$275,25,FALSE))</f>
        <v>Non nécessaire / nicht nötig</v>
      </c>
      <c r="BW43" s="871" t="str">
        <f>IF(VLOOKUP(A43,'Revitalisation-Revitalisierung'!$A$4:$AA$275,27,FALSE)="","",VLOOKUP(A43,'Revitalisation-Revitalisierung'!$A$4:$AA$275,27,FALSE))</f>
        <v>a</v>
      </c>
    </row>
    <row r="44" spans="1:75" ht="58.15" customHeight="1" x14ac:dyDescent="0.25">
      <c r="A44" s="935">
        <v>58</v>
      </c>
      <c r="B44" s="856">
        <f>IF(VLOOKUP(A44,'Données de base - Grunddaten'!$A$2:$M$297,2,FALSE)="","",VLOOKUP(A44,'Données de base - Grunddaten'!$A$2:$M$297,2,FALSE))</f>
        <v>1</v>
      </c>
      <c r="C44" s="857" t="str">
        <f>IF(VLOOKUP(A44,'Données de base - Grunddaten'!$A$2:$M$297,3,FALSE)="","",VLOOKUP(A44,'Données de base - Grunddaten'!$A$2:$M$297,3,FALSE))</f>
        <v>Teuffengraben–Sackau</v>
      </c>
      <c r="D44" s="857" t="str">
        <f>IF(VLOOKUP(A44,'Données de base - Grunddaten'!$A$2:$M$297,4,FALSE)="","",VLOOKUP(A44,'Données de base - Grunddaten'!$A$2:$M$297,4,FALSE))</f>
        <v>Schwarzwasser</v>
      </c>
      <c r="E44" s="857" t="str">
        <f>IF(VLOOKUP(A44,'Données de base - Grunddaten'!$A$2:$M$297,5,FALSE)="","",VLOOKUP(A44,'Données de base - Grunddaten'!$A$2:$M$297,5,FALSE))</f>
        <v>BE</v>
      </c>
      <c r="F44" s="857" t="str">
        <f>IF(VLOOKUP(A44,'Données de base - Grunddaten'!$A$2:$M$297,6,FALSE)="","",VLOOKUP(A44,'Données de base - Grunddaten'!$A$2:$M$297,6,FALSE))</f>
        <v>Préalpes, Plateau occidental</v>
      </c>
      <c r="G44" s="857" t="str">
        <f>IF(VLOOKUP(A44,'Données de base - Grunddaten'!$A$2:$M$297,7,FALSE)="","",VLOOKUP(A44,'Données de base - Grunddaten'!$A$2:$M$297,7,FALSE))</f>
        <v>Montagnard inf.</v>
      </c>
      <c r="H44" s="857">
        <f>IF(VLOOKUP(A44,'Données de base - Grunddaten'!$A$2:$M$297,8,FALSE)="","",VLOOKUP(A44,'Données de base - Grunddaten'!$A$2:$M$297,8,FALSE))</f>
        <v>750</v>
      </c>
      <c r="I44" s="857">
        <f>IF(VLOOKUP(A44,'Données de base - Grunddaten'!$A$2:$M$297,9,FALSE)="","",VLOOKUP(A44,'Données de base - Grunddaten'!$A$2:$M$297,9,FALSE))</f>
        <v>1992</v>
      </c>
      <c r="J44" s="857">
        <f>IF(VLOOKUP(A44,'Données de base - Grunddaten'!$A$2:$M$297,10,FALSE)="","",VLOOKUP(A44,'Données de base - Grunddaten'!$A$2:$M$297,10,FALSE))</f>
        <v>41</v>
      </c>
      <c r="K44" s="857" t="str">
        <f>IF(VLOOKUP(A44,'Données de base - Grunddaten'!$A$2:$M$297,11,FALSE)="","",VLOOKUP(A44,'Données de base - Grunddaten'!$A$2:$M$297,11,FALSE))</f>
        <v>Cours d'eau naturels de l'étage montagnard</v>
      </c>
      <c r="L44" s="857" t="str">
        <f>IF(VLOOKUP(A44,'Données de base - Grunddaten'!$A$2:$M$297,12,FALSE)="","",VLOOKUP(A44,'Données de base - Grunddaten'!$A$2:$M$297,12,FALSE))</f>
        <v>en tresses</v>
      </c>
      <c r="M44" s="858" t="str">
        <f>IF(VLOOKUP(A44,'Données de base - Grunddaten'!$A$2:$M$297,13,FALSE)="","",VLOOKUP(A44,'Données de base - Grunddaten'!$A$2:$M$297,13,FALSE))</f>
        <v>en tresses</v>
      </c>
      <c r="N44" s="872" t="str">
        <f>IF(VLOOKUP(A44,'Charriage - Geschiebehaushalt'!$A$4:$R$275,5,FALSE)="","",VLOOKUP(A44,'Charriage - Geschiebehaushalt'!$A$4:$R$275,5,FALSE))</f>
        <v>pertinent</v>
      </c>
      <c r="O44" s="873" t="str">
        <f>IF(VLOOKUP(A44,'Charriage - Geschiebehaushalt'!$A$4:$R$275,6,FALSE)="","",VLOOKUP(A44,'Charriage - Geschiebehaushalt'!$A$4:$R$275,6,FALSE))</f>
        <v>0-20%</v>
      </c>
      <c r="P44" s="874" t="str">
        <f>IF(VLOOKUP(A44,'Charriage - Geschiebehaushalt'!$A$4:$R$275,7,FALSE)="","",VLOOKUP(A44,'Charriage - Geschiebehaushalt'!$A$4:$R$275,7,FALSE))</f>
        <v/>
      </c>
      <c r="Q44" s="874" t="str">
        <f>IF(VLOOKUP(A44,'Charriage - Geschiebehaushalt'!$A$4:$R$275,8,FALSE)="","",VLOOKUP(A44,'Charriage - Geschiebehaushalt'!$A$4:$R$275,8,FALSE))</f>
        <v>non documenté</v>
      </c>
      <c r="R44" s="875">
        <f>IF(VLOOKUP(A44,'Charriage - Geschiebehaushalt'!$A$4:$R$275,9,FALSE)="","",VLOOKUP(A44,'Charriage - Geschiebehaushalt'!$A$4:$R$275,9,FALSE))</f>
        <v>9.8335333479352E-2</v>
      </c>
      <c r="S44" s="876" t="str">
        <f>IF(VLOOKUP(A44,'Charriage - Geschiebehaushalt'!$A$4:$R$275,10,FALSE)="","",VLOOKUP(A44,'Charriage - Geschiebehaushalt'!$A$4:$R$275,10,FALSE))</f>
        <v>pas ou faiblement entravé</v>
      </c>
      <c r="T44" s="875">
        <f>IF(VLOOKUP(A44,'Charriage - Geschiebehaushalt'!$A$4:$R$275,11,FALSE)="","",VLOOKUP(A44,'Charriage - Geschiebehaushalt'!$A$4:$R$275,11,FALSE))</f>
        <v>0.30387390693999999</v>
      </c>
      <c r="U44" s="876" t="str">
        <f>IF(VLOOKUP(A44,'Charriage - Geschiebehaushalt'!$A$4:$R$275,12,FALSE)="","",VLOOKUP(A44,'Charriage - Geschiebehaushalt'!$A$4:$R$275,12,FALSE))</f>
        <v>déficit dans les formations pionnières</v>
      </c>
      <c r="V44" s="877" t="str">
        <f>IF(VLOOKUP(A44,'Charriage - Geschiebehaushalt'!$A$4:$R$275,13,FALSE)="","",VLOOKUP(A44,'Charriage - Geschiebehaushalt'!$A$4:$R$275,13,FALSE))</f>
        <v/>
      </c>
      <c r="W44" s="877" t="str">
        <f>IF(VLOOKUP(A44,'Charriage - Geschiebehaushalt'!$A$4:$R$275,14,FALSE)="","",VLOOKUP(A44,'Charriage - Geschiebehaushalt'!$A$4:$R$275,14,FALSE))</f>
        <v/>
      </c>
      <c r="X44" s="877" t="str">
        <f>IF(VLOOKUP(A44,'Charriage - Geschiebehaushalt'!$A$4:$R$275,15,FALSE)="","",VLOOKUP(A44,'Charriage - Geschiebehaushalt'!$A$4:$R$275,15,FALSE))</f>
        <v/>
      </c>
      <c r="Y44" s="879" t="str">
        <f>IF(VLOOKUP(A44,'Charriage - Geschiebehaushalt'!$A$4:$R$275,16,FALSE)="","",VLOOKUP(A44,'Charriage - Geschiebehaushalt'!$A$4:$R$275,16,FALSE))</f>
        <v/>
      </c>
      <c r="Z44" s="763" t="str">
        <f>IF(VLOOKUP(A44,'Charriage - Geschiebehaushalt'!$A$4:$R$275,17,FALSE)="","",VLOOKUP(A44,'Charriage - Geschiebehaushalt'!$A$4:$R$275,17,FALSE))</f>
        <v>0-20%</v>
      </c>
      <c r="AA44" s="880" t="str">
        <f>IF(VLOOKUP(A44,'Charriage - Geschiebehaushalt'!$A$4:$R$275,18,FALSE)="","",VLOOKUP(A44,'Charriage - Geschiebehaushalt'!$A$4:$R$275,18,FALSE))</f>
        <v>a</v>
      </c>
      <c r="AB44" s="737" t="str">
        <f>IF(VLOOKUP(A44,'Charriage - Geschiebehaushalt'!$A$4:$AC$275,19,FALSE)="","",VLOOKUP(A44,'Charriage - Geschiebehaushalt'!$A$4:$AC$275,19,FALSE))</f>
        <v>stark</v>
      </c>
      <c r="AC44" s="738" t="str">
        <f>IF(VLOOKUP(A44,'Charriage - Geschiebehaushalt'!$A$4:$AC$275,20,FALSE)="","",VLOOKUP(A44,'Charriage - Geschiebehaushalt'!$A$4:$AC$275,20,FALSE))</f>
        <v>Ja (gering)</v>
      </c>
      <c r="AD44" s="764" t="str">
        <f>IF(VLOOKUP(A44,'Charriage - Geschiebehaushalt'!$A$4:$AC$275,21,FALSE)="","",VLOOKUP(A44,'Charriage - Geschiebehaushalt'!$A$4:$AC$275,21,FALSE))</f>
        <v>51-80%</v>
      </c>
      <c r="AE44" s="740" t="str">
        <f>IF(VLOOKUP(A44,'Charriage - Geschiebehaushalt'!$A$4:$AC$275,22,FALSE)="","",VLOOKUP(A44,'Charriage - Geschiebehaushalt'!$A$4:$AC$275,22,FALSE))</f>
        <v>51-80%</v>
      </c>
      <c r="AF44" s="787" t="str">
        <f>IF(VLOOKUP(A44,'Charriage - Geschiebehaushalt'!$A$4:$AC$275,23,FALSE)="","",VLOOKUP(A44,'Charriage - Geschiebehaushalt'!$A$4:$AC$275,23,FALSE))</f>
        <v>c</v>
      </c>
      <c r="AG44" s="765" t="str">
        <f>IF(VLOOKUP(A44,'Charriage - Geschiebehaushalt'!$A$4:$AC$275,24,FALSE)="","",VLOOKUP(A44,'Charriage - Geschiebehaushalt'!$A$4:$AC$275,24,FALSE))</f>
        <v>Avis du canton parait  mieux fondé</v>
      </c>
      <c r="AH44" s="764" t="str">
        <f>IF(VLOOKUP(A44,'Charriage - Geschiebehaushalt'!$A$4:$AC$275,25,FALSE)="","",VLOOKUP(A44,'Charriage - Geschiebehaushalt'!$A$4:$AC$275,25,FALSE))</f>
        <v/>
      </c>
      <c r="AI44" s="433" t="str">
        <f>IF(VLOOKUP(A44,'Charriage - Geschiebehaushalt'!$A$4:$AC$275,26,FALSE)="","",VLOOKUP(A44,'Charriage - Geschiebehaushalt'!$A$4:$AC$275,26,FALSE))</f>
        <v/>
      </c>
      <c r="AJ44" s="434" t="str">
        <f>IF(VLOOKUP(A44,'Charriage - Geschiebehaushalt'!$A$4:$AC$275,27,FALSE)="","",VLOOKUP(A44,'Charriage - Geschiebehaushalt'!$A$4:$AC$275,27,FALSE))</f>
        <v/>
      </c>
      <c r="AK44" s="801" t="str">
        <f>IF(VLOOKUP(A44,'Charriage - Geschiebehaushalt'!$A$4:$AC$275,28,FALSE)="","",VLOOKUP(A44,'Charriage - Geschiebehaushalt'!$A$4:$AC$275,28,FALSE))</f>
        <v>51-80%</v>
      </c>
      <c r="AL44" s="1285" t="str">
        <f>IF(VLOOKUP(A44,'Charriage - Geschiebehaushalt'!$A$4:$AD$275,30,FALSE)="","",VLOOKUP(A44,'Charriage - Geschiebehaushalt'!$A$4:$AD$275,30,FALSE))</f>
        <v>a</v>
      </c>
      <c r="AM44" s="1279" t="str">
        <f>IF(VLOOKUP(A44,'Débit - Abfluss'!$A$4:$K$275,5,FALSE)="","",VLOOKUP(A44,'Débit - Abfluss'!$A$4:$M$275,5,FALSE))</f>
        <v>100%</v>
      </c>
      <c r="AN44" s="868" t="str">
        <f>IF(VLOOKUP(A44,'Débit - Abfluss'!$A$4:$K$275,6,FALSE)="","",VLOOKUP(A44,'Débit - Abfluss'!$A$4:$M$275,6,FALSE))</f>
        <v>aucune information supplémentaire</v>
      </c>
      <c r="AO44" s="869" t="str">
        <f>IF(VLOOKUP(A44,'Débit - Abfluss'!$A$4:$K$275,7,FALSE)="","",VLOOKUP(A44,'Débit - Abfluss'!$A$4:$M$275,7,FALSE))</f>
        <v>aucune information supplémentaire</v>
      </c>
      <c r="AP44" s="766" t="str">
        <f>IF(VLOOKUP(A44,'Débit - Abfluss'!$A$4:$K$275,8,FALSE)="","",VLOOKUP(A44,'Débit - Abfluss'!$A$4:$M$275,8,FALSE))</f>
        <v>100%</v>
      </c>
      <c r="AQ44" s="742" t="str">
        <f>IF(VLOOKUP(A44,'Débit - Abfluss'!$A$4:$K$275,9,FALSE)="","",VLOOKUP(A44,'Débit - Abfluss'!$A$4:$M$275,9,FALSE))</f>
        <v>-</v>
      </c>
      <c r="AR44" s="767" t="str">
        <f>IF(VLOOKUP(A44,'Débit - Abfluss'!$A$4:$K$275,10,FALSE)="","",VLOOKUP(A44,'Débit - Abfluss'!$A$4:$M$275,10,FALSE))</f>
        <v>100%</v>
      </c>
      <c r="AS44" s="767" t="str">
        <f>IF(VLOOKUP(A44,'Débit - Abfluss'!$A$4:$K$275,11,FALSE)="","",VLOOKUP(A44,'Débit - Abfluss'!$A$4:$M$275,11,FALSE))</f>
        <v/>
      </c>
      <c r="AT44" s="744" t="str">
        <f>IF(VLOOKUP(A44,'Débit - Abfluss'!$A$4:$Q$275,12,FALSE)="","",VLOOKUP(A44,'Débit - Abfluss'!$A$4:$Q$275,12,FALSE))</f>
        <v/>
      </c>
      <c r="AU44" s="745" t="str">
        <f>IF(VLOOKUP(A44,'Débit - Abfluss'!$A$4:$Q$275,13,FALSE)="","",VLOOKUP(A44,'Débit - Abfluss'!$A$4:$Q$275,13,FALSE))</f>
        <v/>
      </c>
      <c r="AV44" s="746" t="str">
        <f>IF(VLOOKUP(A44,'Débit - Abfluss'!$A$4:$Q$275,14,FALSE)="","",VLOOKUP(A44,'Débit - Abfluss'!$A$4:$Q$275,14,FALSE))</f>
        <v/>
      </c>
      <c r="AW44" s="768" t="str">
        <f>IF(VLOOKUP(A44,'Débit - Abfluss'!$A$4:$Q$275,15,FALSE)="","",VLOOKUP(A44,'Débit - Abfluss'!$A$4:$Q$275,15,FALSE))</f>
        <v/>
      </c>
      <c r="AX44" s="681" t="str">
        <f>IF(VLOOKUP(A44,'Débit - Abfluss'!$A$4:$Q$275,16,FALSE)="","",VLOOKUP(A44,'Débit - Abfluss'!$A$4:$Q$275,16,FALSE))</f>
        <v/>
      </c>
      <c r="AY44" s="748" t="str">
        <f>IF(VLOOKUP(A44,'Débit - Abfluss'!$A$4:$Q$275,17,FALSE)="","",VLOOKUP(A44,'Débit - Abfluss'!$A$4:$Q$275,17,FALSE))</f>
        <v>100%</v>
      </c>
      <c r="AZ44" s="749" t="str">
        <f>IF(VLOOKUP(A44,'Eclusée - Schwall-Sunk'!$A$2:$F$273,5,FALSE)="","",VLOOKUP(A44,'Eclusée - Schwall-Sunk'!$A$2:$F$273,5,FALSE))</f>
        <v/>
      </c>
      <c r="BA44" s="750" t="str">
        <f>IF(VLOOKUP(A44,'Eclusée - Schwall-Sunk'!$A$2:$F$273,6,FALSE)="","",VLOOKUP(A44,'Eclusée - Schwall-Sunk'!$A$2:$F$273,6,FALSE))</f>
        <v>Non affecté / nicht betroffen</v>
      </c>
      <c r="BB44" s="751">
        <f>IF(VLOOKUP(A44,'Revitalisation-Revitalisierung'!$A$4:$Z$275,5,FALSE)="","",VLOOKUP(A44,'Revitalisation-Revitalisierung'!$A$4:$Z$275,5,FALSE))</f>
        <v>-57.218181818181819</v>
      </c>
      <c r="BC44" s="752">
        <f>IF(VLOOKUP(A44,'Revitalisation-Revitalisierung'!$A$4:$Z$275,6,FALSE)="","",VLOOKUP(A44,'Revitalisation-Revitalisierung'!$A$4:$Z$275,6,FALSE))</f>
        <v>4.5712114522383462</v>
      </c>
      <c r="BD44" s="752">
        <f>IF(VLOOKUP(A44,'Revitalisation-Revitalisierung'!$A$4:$Z$275,7,FALSE)="","",VLOOKUP(A44,'Revitalisation-Revitalisierung'!$A$4:$Z$275,7,FALSE))</f>
        <v>61.81818181818182</v>
      </c>
      <c r="BE44" s="753" t="str">
        <f>IF(VLOOKUP(A44,'Revitalisation-Revitalisierung'!$A$4:$Z$275,8,FALSE)="","",VLOOKUP(A44,'Revitalisation-Revitalisierung'!$A$4:$Z$275,8,FALSE))</f>
        <v>peu nécessaire, difficile</v>
      </c>
      <c r="BF44" s="754" t="str">
        <f>IF(VLOOKUP(A44,'Revitalisation-Revitalisierung'!$A$4:$Z$275,9,FALSE)="","",VLOOKUP(A44,'Revitalisation-Revitalisierung'!$A$4:$Z$275,9,FALSE))</f>
        <v/>
      </c>
      <c r="BG44" s="754" t="str">
        <f>IF(VLOOKUP(A44,'Revitalisation-Revitalisierung'!$A$4:$Z$275,10,FALSE)="","",VLOOKUP(A44,'Revitalisation-Revitalisierung'!$A$4:$Z$275,10,FALSE))</f>
        <v>K3</v>
      </c>
      <c r="BH44" s="755" t="str">
        <f>IF(VLOOKUP(A44,'Revitalisation-Revitalisierung'!$A$4:$Z$275,11,FALSE)="","",VLOOKUP(A44,'Revitalisation-Revitalisierung'!$A$4:$Z$275,11,FALSE))</f>
        <v/>
      </c>
      <c r="BI44" s="756" t="str">
        <f>IF(VLOOKUP(A44,'Revitalisation-Revitalisierung'!$A$4:$Z$275,12,FALSE)="","",VLOOKUP(A44,'Revitalisation-Revitalisierung'!$A$4:$Z$275,12,FALSE))</f>
        <v/>
      </c>
      <c r="BJ44" s="757" t="str">
        <f>IF(VLOOKUP(A44,'Revitalisation-Revitalisierung'!$A$4:$Z$275,13,FALSE)="","",VLOOKUP(A44,'Revitalisation-Revitalisierung'!$A$4:$Z$275,13,FALSE))</f>
        <v>Partiellement nécessaire, difficile / teilweise nötig, schwierig</v>
      </c>
      <c r="BK44" s="870" t="str">
        <f>IF(VLOOKUP(A44,'Revitalisation-Revitalisierung'!$A$4:$Z$275,14,FALSE)="","",VLOOKUP(A44,'Revitalisation-Revitalisierung'!$A$4:$Z$275,14,FALSE))</f>
        <v>a</v>
      </c>
      <c r="BL44" s="758" t="str">
        <f>IF(VLOOKUP(A44,'Revitalisation-Revitalisierung'!$A$4:$Z$275,15,FALSE)="","",VLOOKUP(A44,'Revitalisation-Revitalisierung'!$A$4:$Z$275,15,FALSE))</f>
        <v>gross</v>
      </c>
      <c r="BM44" s="759" t="str">
        <f>IF(VLOOKUP(A44,'Revitalisation-Revitalisierung'!$A$4:$Z$275,16,FALSE)="","",VLOOKUP(A44,'Revitalisation-Revitalisierung'!$A$4:$Z$275,16,FALSE))</f>
        <v>gross/gering /
natürlich</v>
      </c>
      <c r="BN44" s="759" t="str">
        <f>IF(VLOOKUP(A44,'Revitalisation-Revitalisierung'!$A$4:$Z$275,17,FALSE)="","",VLOOKUP(A44,'Revitalisation-Revitalisierung'!$A$4:$Z$275,17,FALSE))</f>
        <v>hoch (nur im untersten Abschnitt) /
tief</v>
      </c>
      <c r="BO44" s="760" t="str">
        <f>IF(VLOOKUP(A44,'Revitalisation-Revitalisierung'!$A$4:$Z$275,18,FALSE)="","",VLOOKUP(A44,'Revitalisation-Revitalisierung'!$A$4:$Z$275,18,FALSE))</f>
        <v>Partiellement nécessaire, difficile / teilweise nötig, schwierig</v>
      </c>
      <c r="BP44" s="761" t="str">
        <f>IF(VLOOKUP(A44,'Revitalisation-Revitalisierung'!$A$4:$Z$275,19,FALSE)="","",VLOOKUP(A44,'Revitalisation-Revitalisierung'!$A$4:$Z$275,19,FALSE))</f>
        <v>Partiellement nécessaire, difficile / teilweise nötig, schwierig</v>
      </c>
      <c r="BQ44" s="759" t="str">
        <f>IF(VLOOKUP(A44,'Revitalisation-Revitalisierung'!$A$4:$Z$275,20,FALSE)="","",VLOOKUP(A44,'Revitalisation-Revitalisierung'!$A$4:$Z$275,20,FALSE))</f>
        <v>d</v>
      </c>
      <c r="BR44" s="759" t="str">
        <f>IF(VLOOKUP(A44,'Revitalisation-Revitalisierung'!$A$4:$Z$275,21,FALSE)="","",VLOOKUP(A44,'Revitalisation-Revitalisierung'!$A$4:$Z$275,21,FALSE))</f>
        <v/>
      </c>
      <c r="BS44" s="762" t="str">
        <f>IF(VLOOKUP(A44,'Revitalisation-Revitalisierung'!$A$4:$Z$275,22,FALSE)="","",VLOOKUP(A44,'Revitalisation-Revitalisierung'!$A$4:$Z$275,22,FALSE))</f>
        <v/>
      </c>
      <c r="BT44" s="703" t="str">
        <f>IF(VLOOKUP(A44,'Revitalisation-Revitalisierung'!$A$4:$Z$275,23,FALSE)="","",VLOOKUP(A44,'Revitalisation-Revitalisierung'!$A$4:$Z$275,23,FALSE))</f>
        <v/>
      </c>
      <c r="BU44" s="704" t="str">
        <f>IF(VLOOKUP(A44,'Revitalisation-Revitalisierung'!$A$4:$Z$275,24,FALSE)="","",VLOOKUP(A44,'Revitalisation-Revitalisierung'!$A$4:$Z$275,24,FALSE))</f>
        <v>mit der Revision nimmt der Handlungsbedarf stark zu (Zusammenfluss Sense bis Bütschelbach)</v>
      </c>
      <c r="BV44" s="761" t="str">
        <f>IF(VLOOKUP(A44,'Revitalisation-Revitalisierung'!$A$4:$Z$275,25,FALSE)="","",VLOOKUP(A44,'Revitalisation-Revitalisierung'!$A$4:$Z$275,25,FALSE))</f>
        <v>Très nécessaire, difficile / unbedingt nötig, schwierig</v>
      </c>
      <c r="BW44" s="871" t="str">
        <f>IF(VLOOKUP(A44,'Revitalisation-Revitalisierung'!$A$4:$AA$275,27,FALSE)="","",VLOOKUP(A44,'Revitalisation-Revitalisierung'!$A$4:$AA$275,27,FALSE))</f>
        <v>b</v>
      </c>
    </row>
    <row r="45" spans="1:75" ht="132" customHeight="1" x14ac:dyDescent="0.25">
      <c r="A45" s="935">
        <v>59</v>
      </c>
      <c r="B45" s="856">
        <f>IF(VLOOKUP(A45,'Données de base - Grunddaten'!$A$2:$M$297,2,FALSE)="","",VLOOKUP(A45,'Données de base - Grunddaten'!$A$2:$M$297,2,FALSE))</f>
        <v>1</v>
      </c>
      <c r="C45" s="857" t="str">
        <f>IF(VLOOKUP(A45,'Données de base - Grunddaten'!$A$2:$M$297,3,FALSE)="","",VLOOKUP(A45,'Données de base - Grunddaten'!$A$2:$M$297,3,FALSE))</f>
        <v>Laupenau</v>
      </c>
      <c r="D45" s="857" t="str">
        <f>IF(VLOOKUP(A45,'Données de base - Grunddaten'!$A$2:$M$297,4,FALSE)="","",VLOOKUP(A45,'Données de base - Grunddaten'!$A$2:$M$297,4,FALSE))</f>
        <v>Saane</v>
      </c>
      <c r="E45" s="857" t="str">
        <f>IF(VLOOKUP(A45,'Données de base - Grunddaten'!$A$2:$M$297,5,FALSE)="","",VLOOKUP(A45,'Données de base - Grunddaten'!$A$2:$M$297,5,FALSE))</f>
        <v>BE</v>
      </c>
      <c r="F45" s="857" t="str">
        <f>IF(VLOOKUP(A45,'Données de base - Grunddaten'!$A$2:$M$297,6,FALSE)="","",VLOOKUP(A45,'Données de base - Grunddaten'!$A$2:$M$297,6,FALSE))</f>
        <v>Plateau occidental</v>
      </c>
      <c r="G45" s="857" t="str">
        <f>IF(VLOOKUP(A45,'Données de base - Grunddaten'!$A$2:$M$297,7,FALSE)="","",VLOOKUP(A45,'Données de base - Grunddaten'!$A$2:$M$297,7,FALSE))</f>
        <v>Collinéen</v>
      </c>
      <c r="H45" s="857">
        <f>IF(VLOOKUP(A45,'Données de base - Grunddaten'!$A$2:$M$297,8,FALSE)="","",VLOOKUP(A45,'Données de base - Grunddaten'!$A$2:$M$297,8,FALSE))</f>
        <v>480</v>
      </c>
      <c r="I45" s="857">
        <f>IF(VLOOKUP(A45,'Données de base - Grunddaten'!$A$2:$M$297,9,FALSE)="","",VLOOKUP(A45,'Données de base - Grunddaten'!$A$2:$M$297,9,FALSE))</f>
        <v>1992</v>
      </c>
      <c r="J45" s="857">
        <f>IF(VLOOKUP(A45,'Données de base - Grunddaten'!$A$2:$M$297,10,FALSE)="","",VLOOKUP(A45,'Données de base - Grunddaten'!$A$2:$M$297,10,FALSE))</f>
        <v>52</v>
      </c>
      <c r="K45" s="857" t="str">
        <f>IF(VLOOKUP(A45,'Données de base - Grunddaten'!$A$2:$M$297,11,FALSE)="","",VLOOKUP(A45,'Données de base - Grunddaten'!$A$2:$M$297,11,FALSE))</f>
        <v>Cours d'eau corrigés de l'étage collinéen du Moyen-Pays</v>
      </c>
      <c r="L45" s="857" t="str">
        <f>IF(VLOOKUP(A45,'Données de base - Grunddaten'!$A$2:$M$297,12,FALSE)="","",VLOOKUP(A45,'Données de base - Grunddaten'!$A$2:$M$297,12,FALSE))</f>
        <v>cours rectiligne</v>
      </c>
      <c r="M45" s="858" t="str">
        <f>IF(VLOOKUP(A45,'Données de base - Grunddaten'!$A$2:$M$297,13,FALSE)="","",VLOOKUP(A45,'Données de base - Grunddaten'!$A$2:$M$297,13,FALSE))</f>
        <v>cours rectiligne</v>
      </c>
      <c r="N45" s="872" t="str">
        <f>IF(VLOOKUP(A45,'Charriage - Geschiebehaushalt'!$A$4:$R$275,5,FALSE)="","",VLOOKUP(A45,'Charriage - Geschiebehaushalt'!$A$4:$R$275,5,FALSE))</f>
        <v>pertinent</v>
      </c>
      <c r="O45" s="873" t="str">
        <f>IF(VLOOKUP(A45,'Charriage - Geschiebehaushalt'!$A$4:$R$275,6,FALSE)="","",VLOOKUP(A45,'Charriage - Geschiebehaushalt'!$A$4:$R$275,6,FALSE))</f>
        <v>51-80%</v>
      </c>
      <c r="P45" s="874">
        <f>IF(VLOOKUP(A45,'Charriage - Geschiebehaushalt'!$A$4:$R$275,7,FALSE)="","",VLOOKUP(A45,'Charriage - Geschiebehaushalt'!$A$4:$R$275,7,FALSE))</f>
        <v>-1.1962488253975501</v>
      </c>
      <c r="Q45" s="874" t="str">
        <f>IF(VLOOKUP(A45,'Charriage - Geschiebehaushalt'!$A$4:$R$275,8,FALSE)="","",VLOOKUP(A45,'Charriage - Geschiebehaushalt'!$A$4:$R$275,8,FALSE))</f>
        <v>problème lié à un manque de charriage ou à un manque de remobilisation des sédiments</v>
      </c>
      <c r="R45" s="875">
        <f>IF(VLOOKUP(A45,'Charriage - Geschiebehaushalt'!$A$4:$R$275,9,FALSE)="","",VLOOKUP(A45,'Charriage - Geschiebehaushalt'!$A$4:$R$275,9,FALSE))</f>
        <v>1.0022177609951299</v>
      </c>
      <c r="S45" s="876" t="str">
        <f>IF(VLOOKUP(A45,'Charriage - Geschiebehaushalt'!$A$4:$R$275,10,FALSE)="","",VLOOKUP(A45,'Charriage - Geschiebehaushalt'!$A$4:$R$275,10,FALSE))</f>
        <v>la remobilisation des sédiments est perturbée</v>
      </c>
      <c r="T45" s="875">
        <f>IF(VLOOKUP(A45,'Charriage - Geschiebehaushalt'!$A$4:$R$275,11,FALSE)="","",VLOOKUP(A45,'Charriage - Geschiebehaushalt'!$A$4:$R$275,11,FALSE))</f>
        <v>4.7362589758E-2</v>
      </c>
      <c r="U45" s="876" t="str">
        <f>IF(VLOOKUP(A45,'Charriage - Geschiebehaushalt'!$A$4:$R$275,12,FALSE)="","",VLOOKUP(A45,'Charriage - Geschiebehaushalt'!$A$4:$R$275,12,FALSE))</f>
        <v>déficit dans les formations pionnières</v>
      </c>
      <c r="V45" s="877" t="str">
        <f>IF(VLOOKUP(A45,'Charriage - Geschiebehaushalt'!$A$4:$R$275,13,FALSE)="","",VLOOKUP(A45,'Charriage - Geschiebehaushalt'!$A$4:$R$275,13,FALSE))</f>
        <v/>
      </c>
      <c r="W45" s="877" t="str">
        <f>IF(VLOOKUP(A45,'Charriage - Geschiebehaushalt'!$A$4:$R$275,14,FALSE)="","",VLOOKUP(A45,'Charriage - Geschiebehaushalt'!$A$4:$R$275,14,FALSE))</f>
        <v/>
      </c>
      <c r="X45" s="877" t="str">
        <f>IF(VLOOKUP(A45,'Charriage - Geschiebehaushalt'!$A$4:$R$275,15,FALSE)="","",VLOOKUP(A45,'Charriage - Geschiebehaushalt'!$A$4:$R$275,15,FALSE))</f>
        <v/>
      </c>
      <c r="Y45" s="879" t="str">
        <f>IF(VLOOKUP(A45,'Charriage - Geschiebehaushalt'!$A$4:$R$275,16,FALSE)="","",VLOOKUP(A45,'Charriage - Geschiebehaushalt'!$A$4:$R$275,16,FALSE))</f>
        <v/>
      </c>
      <c r="Z45" s="763" t="str">
        <f>IF(VLOOKUP(A45,'Charriage - Geschiebehaushalt'!$A$4:$R$275,17,FALSE)="","",VLOOKUP(A45,'Charriage - Geschiebehaushalt'!$A$4:$R$275,17,FALSE))</f>
        <v>51-80%</v>
      </c>
      <c r="AA45" s="880" t="str">
        <f>IF(VLOOKUP(A45,'Charriage - Geschiebehaushalt'!$A$4:$R$275,18,FALSE)="","",VLOOKUP(A45,'Charriage - Geschiebehaushalt'!$A$4:$R$275,18,FALSE))</f>
        <v>a</v>
      </c>
      <c r="AB45" s="737" t="str">
        <f>IF(VLOOKUP(A45,'Charriage - Geschiebehaushalt'!$A$4:$AC$275,19,FALSE)="","",VLOOKUP(A45,'Charriage - Geschiebehaushalt'!$A$4:$AC$275,19,FALSE))</f>
        <v>wesentlich</v>
      </c>
      <c r="AC45" s="738" t="str">
        <f>IF(VLOOKUP(A45,'Charriage - Geschiebehaushalt'!$A$4:$AC$275,20,FALSE)="","",VLOOKUP(A45,'Charriage - Geschiebehaushalt'!$A$4:$AC$275,20,FALSE))</f>
        <v>Ja (gering)</v>
      </c>
      <c r="AD45" s="764" t="str">
        <f>IF(VLOOKUP(A45,'Charriage - Geschiebehaushalt'!$A$4:$AC$275,21,FALSE)="","",VLOOKUP(A45,'Charriage - Geschiebehaushalt'!$A$4:$AC$275,21,FALSE))</f>
        <v>51-80%</v>
      </c>
      <c r="AE45" s="740" t="str">
        <f>IF(VLOOKUP(A45,'Charriage - Geschiebehaushalt'!$A$4:$AC$275,22,FALSE)="","",VLOOKUP(A45,'Charriage - Geschiebehaushalt'!$A$4:$AC$275,22,FALSE))</f>
        <v>51-80%</v>
      </c>
      <c r="AF45" s="787" t="str">
        <f>IF(VLOOKUP(A45,'Charriage - Geschiebehaushalt'!$A$4:$AC$275,23,FALSE)="","",VLOOKUP(A45,'Charriage - Geschiebehaushalt'!$A$4:$AC$275,23,FALSE))</f>
        <v>d</v>
      </c>
      <c r="AG45" s="765" t="str">
        <f>IF(VLOOKUP(A45,'Charriage - Geschiebehaushalt'!$A$4:$AC$275,24,FALSE)="","",VLOOKUP(A45,'Charriage - Geschiebehaushalt'!$A$4:$AC$275,24,FALSE))</f>
        <v/>
      </c>
      <c r="AH45" s="764" t="str">
        <f>IF(VLOOKUP(A45,'Charriage - Geschiebehaushalt'!$A$4:$AC$275,25,FALSE)="","",VLOOKUP(A45,'Charriage - Geschiebehaushalt'!$A$4:$AC$275,25,FALSE))</f>
        <v/>
      </c>
      <c r="AI45" s="433" t="str">
        <f>IF(VLOOKUP(A45,'Charriage - Geschiebehaushalt'!$A$4:$AC$275,26,FALSE)="","",VLOOKUP(A45,'Charriage - Geschiebehaushalt'!$A$4:$AC$275,26,FALSE))</f>
        <v/>
      </c>
      <c r="AJ45" s="434" t="str">
        <f>IF(VLOOKUP(A45,'Charriage - Geschiebehaushalt'!$A$4:$AC$275,27,FALSE)="","",VLOOKUP(A45,'Charriage - Geschiebehaushalt'!$A$4:$AC$275,27,FALSE))</f>
        <v/>
      </c>
      <c r="AK45" s="801" t="str">
        <f>IF(VLOOKUP(A45,'Charriage - Geschiebehaushalt'!$A$4:$AC$275,28,FALSE)="","",VLOOKUP(A45,'Charriage - Geschiebehaushalt'!$A$4:$AC$275,28,FALSE))</f>
        <v>51-80%</v>
      </c>
      <c r="AL45" s="1285" t="str">
        <f>IF(VLOOKUP(A45,'Charriage - Geschiebehaushalt'!$A$4:$AD$275,30,FALSE)="","",VLOOKUP(A45,'Charriage - Geschiebehaushalt'!$A$4:$AD$275,30,FALSE))</f>
        <v>a</v>
      </c>
      <c r="AM45" s="1279" t="str">
        <f>IF(VLOOKUP(A45,'Débit - Abfluss'!$A$4:$K$275,5,FALSE)="","",VLOOKUP(A45,'Débit - Abfluss'!$A$4:$M$275,5,FALSE))</f>
        <v>81-100%</v>
      </c>
      <c r="AN45" s="868" t="str">
        <f>IF(VLOOKUP(A45,'Débit - Abfluss'!$A$4:$K$275,6,FALSE)="","",VLOOKUP(A45,'Débit - Abfluss'!$A$4:$M$275,6,FALSE))</f>
        <v/>
      </c>
      <c r="AO45" s="869" t="str">
        <f>IF(VLOOKUP(A45,'Débit - Abfluss'!$A$4:$K$275,7,FALSE)="","",VLOOKUP(A45,'Débit - Abfluss'!$A$4:$M$275,7,FALSE))</f>
        <v/>
      </c>
      <c r="AP45" s="766" t="str">
        <f>IF(VLOOKUP(A45,'Débit - Abfluss'!$A$4:$K$275,8,FALSE)="","",VLOOKUP(A45,'Débit - Abfluss'!$A$4:$M$275,8,FALSE))</f>
        <v>81-100%</v>
      </c>
      <c r="AQ45" s="742" t="str">
        <f>IF(VLOOKUP(A45,'Débit - Abfluss'!$A$4:$K$275,9,FALSE)="","",VLOOKUP(A45,'Débit - Abfluss'!$A$4:$M$275,9,FALSE))</f>
        <v>-</v>
      </c>
      <c r="AR45" s="770" t="str">
        <f>IF(VLOOKUP(A45,'Débit - Abfluss'!$A$4:$K$275,10,FALSE)="","",VLOOKUP(A45,'Débit - Abfluss'!$A$4:$M$275,10,FALSE))</f>
        <v>81-100%</v>
      </c>
      <c r="AS45" s="767" t="str">
        <f>IF(VLOOKUP(A45,'Débit - Abfluss'!$A$4:$K$275,11,FALSE)="","",VLOOKUP(A45,'Débit - Abfluss'!$A$4:$M$275,11,FALSE))</f>
        <v/>
      </c>
      <c r="AT45" s="744" t="str">
        <f>IF(VLOOKUP(A45,'Débit - Abfluss'!$A$4:$Q$275,12,FALSE)="","",VLOOKUP(A45,'Débit - Abfluss'!$A$4:$Q$275,12,FALSE))</f>
        <v/>
      </c>
      <c r="AU45" s="745" t="str">
        <f>IF(VLOOKUP(A45,'Débit - Abfluss'!$A$4:$Q$275,13,FALSE)="","",VLOOKUP(A45,'Débit - Abfluss'!$A$4:$Q$275,13,FALSE))</f>
        <v/>
      </c>
      <c r="AV45" s="746" t="str">
        <f>IF(VLOOKUP(A45,'Débit - Abfluss'!$A$4:$Q$275,14,FALSE)="","",VLOOKUP(A45,'Débit - Abfluss'!$A$4:$Q$275,14,FALSE))</f>
        <v/>
      </c>
      <c r="AW45" s="768" t="str">
        <f>IF(VLOOKUP(A45,'Débit - Abfluss'!$A$4:$Q$275,15,FALSE)="","",VLOOKUP(A45,'Débit - Abfluss'!$A$4:$Q$275,15,FALSE))</f>
        <v/>
      </c>
      <c r="AX45" s="677" t="str">
        <f>IF(VLOOKUP(A45,'Débit - Abfluss'!$A$4:$Q$275,16,FALSE)="","",VLOOKUP(A45,'Débit - Abfluss'!$A$4:$Q$275,16,FALSE))</f>
        <v/>
      </c>
      <c r="AY45" s="769" t="str">
        <f>IF(VLOOKUP(A45,'Débit - Abfluss'!$A$4:$Q$275,17,FALSE)="","",VLOOKUP(A45,'Débit - Abfluss'!$A$4:$Q$275,17,FALSE))</f>
        <v>100%</v>
      </c>
      <c r="AZ45" s="749" t="str">
        <f>IF(VLOOKUP(A45,'Eclusée - Schwall-Sunk'!$A$2:$F$273,5,FALSE)="","",VLOOKUP(A45,'Eclusée - Schwall-Sunk'!$A$2:$F$273,5,FALSE))</f>
        <v>force hydraulique</v>
      </c>
      <c r="BA45" s="750" t="str">
        <f>IF(VLOOKUP(A45,'Eclusée - Schwall-Sunk'!$A$2:$F$273,6,FALSE)="","",VLOOKUP(A45,'Eclusée - Schwall-Sunk'!$A$2:$F$273,6,FALSE))</f>
        <v>Potentiellement affecté / möglicherweise betroffen</v>
      </c>
      <c r="BB45" s="751">
        <f>IF(VLOOKUP(A45,'Revitalisation-Revitalisierung'!$A$4:$Z$275,5,FALSE)="","",VLOOKUP(A45,'Revitalisation-Revitalisierung'!$A$4:$Z$275,5,FALSE))</f>
        <v>66.3</v>
      </c>
      <c r="BC45" s="752">
        <f>IF(VLOOKUP(A45,'Revitalisation-Revitalisierung'!$A$4:$Z$275,6,FALSE)="","",VLOOKUP(A45,'Revitalisation-Revitalisierung'!$A$4:$Z$275,6,FALSE))</f>
        <v>66.315016986919062</v>
      </c>
      <c r="BD45" s="752">
        <f>IF(VLOOKUP(A45,'Revitalisation-Revitalisierung'!$A$4:$Z$275,7,FALSE)="","",VLOOKUP(A45,'Revitalisation-Revitalisierung'!$A$4:$Z$275,7,FALSE))</f>
        <v>0</v>
      </c>
      <c r="BE45" s="753" t="str">
        <f>IF(VLOOKUP(A45,'Revitalisation-Revitalisierung'!$A$4:$Z$275,8,FALSE)="","",VLOOKUP(A45,'Revitalisation-Revitalisierung'!$A$4:$Z$275,8,FALSE))</f>
        <v>très nécessaire, facile</v>
      </c>
      <c r="BF45" s="754" t="str">
        <f>IF(VLOOKUP(A45,'Revitalisation-Revitalisierung'!$A$4:$Z$275,9,FALSE)="","",VLOOKUP(A45,'Revitalisation-Revitalisierung'!$A$4:$Z$275,9,FALSE))</f>
        <v/>
      </c>
      <c r="BG45" s="754" t="str">
        <f>IF(VLOOKUP(A45,'Revitalisation-Revitalisierung'!$A$4:$Z$275,10,FALSE)="","",VLOOKUP(A45,'Revitalisation-Revitalisierung'!$A$4:$Z$275,10,FALSE))</f>
        <v>K2</v>
      </c>
      <c r="BH45" s="755" t="str">
        <f>IF(VLOOKUP(A45,'Revitalisation-Revitalisierung'!$A$4:$Z$275,11,FALSE)="","",VLOOKUP(A45,'Revitalisation-Revitalisierung'!$A$4:$Z$275,11,FALSE))</f>
        <v/>
      </c>
      <c r="BI45" s="756" t="str">
        <f>IF(VLOOKUP(A45,'Revitalisation-Revitalisierung'!$A$4:$Z$275,12,FALSE)="","",VLOOKUP(A45,'Revitalisation-Revitalisierung'!$A$4:$Z$275,12,FALSE))</f>
        <v/>
      </c>
      <c r="BJ45" s="757" t="str">
        <f>IF(VLOOKUP(A45,'Revitalisation-Revitalisierung'!$A$4:$Z$275,13,FALSE)="","",VLOOKUP(A45,'Revitalisation-Revitalisierung'!$A$4:$Z$275,13,FALSE))</f>
        <v>Très nécessaire, facile / unbedingt nötig, einfach</v>
      </c>
      <c r="BK45" s="870" t="str">
        <f>IF(VLOOKUP(A45,'Revitalisation-Revitalisierung'!$A$4:$Z$275,14,FALSE)="","",VLOOKUP(A45,'Revitalisation-Revitalisierung'!$A$4:$Z$275,14,FALSE))</f>
        <v>a</v>
      </c>
      <c r="BL45" s="758" t="str">
        <f>IF(VLOOKUP(A45,'Revitalisation-Revitalisierung'!$A$4:$Z$275,15,FALSE)="","",VLOOKUP(A45,'Revitalisation-Revitalisierung'!$A$4:$Z$275,15,FALSE))</f>
        <v>gross/mittel</v>
      </c>
      <c r="BM45" s="759" t="str">
        <f>IF(VLOOKUP(A45,'Revitalisation-Revitalisierung'!$A$4:$Z$275,16,FALSE)="","",VLOOKUP(A45,'Revitalisation-Revitalisierung'!$A$4:$Z$275,16,FALSE))</f>
        <v>gross</v>
      </c>
      <c r="BN45" s="759" t="str">
        <f>IF(VLOOKUP(A45,'Revitalisation-Revitalisierung'!$A$4:$Z$275,17,FALSE)="","",VLOOKUP(A45,'Revitalisation-Revitalisierung'!$A$4:$Z$275,17,FALSE))</f>
        <v>mittel</v>
      </c>
      <c r="BO45" s="760" t="str">
        <f>IF(VLOOKUP(A45,'Revitalisation-Revitalisierung'!$A$4:$Z$275,18,FALSE)="","",VLOOKUP(A45,'Revitalisation-Revitalisierung'!$A$4:$Z$275,18,FALSE))</f>
        <v>Très nécessaire, facile / unbedingt nötig, einfach</v>
      </c>
      <c r="BP45" s="761" t="str">
        <f>IF(VLOOKUP(A45,'Revitalisation-Revitalisierung'!$A$4:$Z$275,19,FALSE)="","",VLOOKUP(A45,'Revitalisation-Revitalisierung'!$A$4:$Z$275,19,FALSE))</f>
        <v>Très nécessaire, facile / unbedingt nötig, einfach</v>
      </c>
      <c r="BQ45" s="759" t="str">
        <f>IF(VLOOKUP(A45,'Revitalisation-Revitalisierung'!$A$4:$Z$275,20,FALSE)="","",VLOOKUP(A45,'Revitalisation-Revitalisierung'!$A$4:$Z$275,20,FALSE))</f>
        <v>d</v>
      </c>
      <c r="BR45" s="759" t="str">
        <f>IF(VLOOKUP(A45,'Revitalisation-Revitalisierung'!$A$4:$Z$275,21,FALSE)="","",VLOOKUP(A45,'Revitalisation-Revitalisierung'!$A$4:$Z$275,21,FALSE))</f>
        <v/>
      </c>
      <c r="BS45" s="762" t="str">
        <f>IF(VLOOKUP(A45,'Revitalisation-Revitalisierung'!$A$4:$Z$275,22,FALSE)="","",VLOOKUP(A45,'Revitalisation-Revitalisierung'!$A$4:$Z$275,22,FALSE))</f>
        <v/>
      </c>
      <c r="BT45" s="703" t="str">
        <f>IF(VLOOKUP(A45,'Revitalisation-Revitalisierung'!$A$4:$Z$275,23,FALSE)="","",VLOOKUP(A45,'Revitalisation-Revitalisierung'!$A$4:$Z$275,23,FALSE))</f>
        <v/>
      </c>
      <c r="BU45" s="699" t="str">
        <f>IF(VLOOKUP(A45,'Revitalisation-Revitalisierung'!$A$4:$Z$275,24,FALSE)="","",VLOOKUP(A45,'Revitalisation-Revitalisierung'!$A$4:$Z$275,24,FALSE))</f>
        <v>Fraglich: wenn an Saane angebunden werden soll: sehr hohe Höhendifferenz Fluss/Auenwald, alles andere als einfach. Aber: Wald ist wunderschön, von Seitengewässern gespiesen… Handlungsbedarf?</v>
      </c>
      <c r="BV45" s="761" t="str">
        <f>IF(VLOOKUP(A45,'Revitalisation-Revitalisierung'!$A$4:$Z$275,25,FALSE)="","",VLOOKUP(A45,'Revitalisation-Revitalisierung'!$A$4:$Z$275,25,FALSE))</f>
        <v>Très nécessaire, facile / unbedingt nötig, einfach</v>
      </c>
      <c r="BW45" s="871" t="str">
        <f>IF(VLOOKUP(A45,'Revitalisation-Revitalisierung'!$A$4:$AA$275,27,FALSE)="","",VLOOKUP(A45,'Revitalisation-Revitalisierung'!$A$4:$AA$275,27,FALSE))</f>
        <v>a</v>
      </c>
    </row>
    <row r="46" spans="1:75" ht="141" customHeight="1" x14ac:dyDescent="0.25">
      <c r="A46" s="935">
        <v>60</v>
      </c>
      <c r="B46" s="856">
        <f>IF(VLOOKUP(A46,'Données de base - Grunddaten'!$A$2:$M$297,2,FALSE)="","",VLOOKUP(A46,'Données de base - Grunddaten'!$A$2:$M$297,2,FALSE))</f>
        <v>1</v>
      </c>
      <c r="C46" s="857" t="str">
        <f>IF(VLOOKUP(A46,'Données de base - Grunddaten'!$A$2:$M$297,3,FALSE)="","",VLOOKUP(A46,'Données de base - Grunddaten'!$A$2:$M$297,3,FALSE))</f>
        <v>Bois du Dévin</v>
      </c>
      <c r="D46" s="857" t="str">
        <f>IF(VLOOKUP(A46,'Données de base - Grunddaten'!$A$2:$M$297,4,FALSE)="","",VLOOKUP(A46,'Données de base - Grunddaten'!$A$2:$M$297,4,FALSE))</f>
        <v>La Gérine</v>
      </c>
      <c r="E46" s="857" t="str">
        <f>IF(VLOOKUP(A46,'Données de base - Grunddaten'!$A$2:$M$297,5,FALSE)="","",VLOOKUP(A46,'Données de base - Grunddaten'!$A$2:$M$297,5,FALSE))</f>
        <v>FR</v>
      </c>
      <c r="F46" s="857" t="str">
        <f>IF(VLOOKUP(A46,'Données de base - Grunddaten'!$A$2:$M$297,6,FALSE)="","",VLOOKUP(A46,'Données de base - Grunddaten'!$A$2:$M$297,6,FALSE))</f>
        <v>Plateau occidental</v>
      </c>
      <c r="G46" s="857" t="str">
        <f>IF(VLOOKUP(A46,'Données de base - Grunddaten'!$A$2:$M$297,7,FALSE)="","",VLOOKUP(A46,'Données de base - Grunddaten'!$A$2:$M$297,7,FALSE))</f>
        <v>Collinéen</v>
      </c>
      <c r="H46" s="857">
        <f>IF(VLOOKUP(A46,'Données de base - Grunddaten'!$A$2:$M$297,8,FALSE)="","",VLOOKUP(A46,'Données de base - Grunddaten'!$A$2:$M$297,8,FALSE))</f>
        <v>573</v>
      </c>
      <c r="I46" s="857">
        <f>IF(VLOOKUP(A46,'Données de base - Grunddaten'!$A$2:$M$297,9,FALSE)="","",VLOOKUP(A46,'Données de base - Grunddaten'!$A$2:$M$297,9,FALSE))</f>
        <v>1992</v>
      </c>
      <c r="J46" s="857">
        <f>IF(VLOOKUP(A46,'Données de base - Grunddaten'!$A$2:$M$297,10,FALSE)="","",VLOOKUP(A46,'Données de base - Grunddaten'!$A$2:$M$297,10,FALSE))</f>
        <v>41</v>
      </c>
      <c r="K46" s="857" t="str">
        <f>IF(VLOOKUP(A46,'Données de base - Grunddaten'!$A$2:$M$297,11,FALSE)="","",VLOOKUP(A46,'Données de base - Grunddaten'!$A$2:$M$297,11,FALSE))</f>
        <v>Cours d'eau naturels de l'étage montagnard</v>
      </c>
      <c r="L46" s="857" t="str">
        <f>IF(VLOOKUP(A46,'Données de base - Grunddaten'!$A$2:$M$297,12,FALSE)="","",VLOOKUP(A46,'Données de base - Grunddaten'!$A$2:$M$297,12,FALSE))</f>
        <v>en tresses</v>
      </c>
      <c r="M46" s="858" t="str">
        <f>IF(VLOOKUP(A46,'Données de base - Grunddaten'!$A$2:$M$297,13,FALSE)="","",VLOOKUP(A46,'Données de base - Grunddaten'!$A$2:$M$297,13,FALSE))</f>
        <v>en tresses</v>
      </c>
      <c r="N46" s="872" t="str">
        <f>IF(VLOOKUP(A46,'Charriage - Geschiebehaushalt'!$A$4:$R$275,5,FALSE)="","",VLOOKUP(A46,'Charriage - Geschiebehaushalt'!$A$4:$R$275,5,FALSE))</f>
        <v>pertinent</v>
      </c>
      <c r="O46" s="881" t="str">
        <f>IF(VLOOKUP(A46,'Charriage - Geschiebehaushalt'!$A$4:$R$275,6,FALSE)="","",VLOOKUP(A46,'Charriage - Geschiebehaushalt'!$A$4:$R$275,6,FALSE))</f>
        <v>non documenté</v>
      </c>
      <c r="P46" s="874" t="str">
        <f>IF(VLOOKUP(A46,'Charriage - Geschiebehaushalt'!$A$4:$R$275,7,FALSE)="","",VLOOKUP(A46,'Charriage - Geschiebehaushalt'!$A$4:$R$275,7,FALSE))</f>
        <v/>
      </c>
      <c r="Q46" s="874" t="str">
        <f>IF(VLOOKUP(A46,'Charriage - Geschiebehaushalt'!$A$4:$R$275,8,FALSE)="","",VLOOKUP(A46,'Charriage - Geschiebehaushalt'!$A$4:$R$275,8,FALSE))</f>
        <v>non documenté</v>
      </c>
      <c r="R46" s="875">
        <f>IF(VLOOKUP(A46,'Charriage - Geschiebehaushalt'!$A$4:$R$275,9,FALSE)="","",VLOOKUP(A46,'Charriage - Geschiebehaushalt'!$A$4:$R$275,9,FALSE))</f>
        <v>5.25680719652942E-2</v>
      </c>
      <c r="S46" s="876" t="str">
        <f>IF(VLOOKUP(A46,'Charriage - Geschiebehaushalt'!$A$4:$R$275,10,FALSE)="","",VLOOKUP(A46,'Charriage - Geschiebehaushalt'!$A$4:$R$275,10,FALSE))</f>
        <v>pas ou faiblement entravé</v>
      </c>
      <c r="T46" s="875">
        <f>IF(VLOOKUP(A46,'Charriage - Geschiebehaushalt'!$A$4:$R$275,11,FALSE)="","",VLOOKUP(A46,'Charriage - Geschiebehaushalt'!$A$4:$R$275,11,FALSE))</f>
        <v>0.27605354364000001</v>
      </c>
      <c r="U46" s="876" t="str">
        <f>IF(VLOOKUP(A46,'Charriage - Geschiebehaushalt'!$A$4:$R$275,12,FALSE)="","",VLOOKUP(A46,'Charriage - Geschiebehaushalt'!$A$4:$R$275,12,FALSE))</f>
        <v>déficit dans les formations pionnières</v>
      </c>
      <c r="V46" s="877" t="str">
        <f>IF(VLOOKUP(A46,'Charriage - Geschiebehaushalt'!$A$4:$R$275,13,FALSE)="","",VLOOKUP(A46,'Charriage - Geschiebehaushalt'!$A$4:$R$275,13,FALSE))</f>
        <v>Charriage diminué par extraction en amont (aval objet 61, 3 km amont objet 60). Cependant charriage reste actif. Preuve: cours sinueux et en tresses, développement delta de sédiments à l'embouchure dans la Sarine.</v>
      </c>
      <c r="W46" s="878" t="str">
        <f>IF(VLOOKUP(A46,'Charriage - Geschiebehaushalt'!$A$4:$R$275,14,FALSE)="","",VLOOKUP(A46,'Charriage - Geschiebehaushalt'!$A$4:$R$275,14,FALSE))</f>
        <v>charriage présumé faiblement perturbé</v>
      </c>
      <c r="X46" s="878" t="str">
        <f>IF(VLOOKUP(A46,'Charriage - Geschiebehaushalt'!$A$4:$R$275,15,FALSE)="","",VLOOKUP(A46,'Charriage - Geschiebehaushalt'!$A$4:$R$275,15,FALSE))</f>
        <v/>
      </c>
      <c r="Y46" s="882" t="str">
        <f>IF(VLOOKUP(A46,'Charriage - Geschiebehaushalt'!$A$4:$R$275,16,FALSE)="","",VLOOKUP(A46,'Charriage - Geschiebehaushalt'!$A$4:$R$275,16,FALSE))</f>
        <v/>
      </c>
      <c r="Z46" s="763" t="str">
        <f>IF(VLOOKUP(A46,'Charriage - Geschiebehaushalt'!$A$4:$R$275,17,FALSE)="","",VLOOKUP(A46,'Charriage - Geschiebehaushalt'!$A$4:$R$275,17,FALSE))</f>
        <v>Charriage présumé faiblement perturbé / Geschiebe vermutlich leicht beeinträchtigt</v>
      </c>
      <c r="AA46" s="880" t="str">
        <f>IF(VLOOKUP(A46,'Charriage - Geschiebehaushalt'!$A$4:$R$275,18,FALSE)="","",VLOOKUP(A46,'Charriage - Geschiebehaushalt'!$A$4:$R$275,18,FALSE))</f>
        <v>b</v>
      </c>
      <c r="AB46" s="737" t="str">
        <f>IF(VLOOKUP(A46,'Charriage - Geschiebehaushalt'!$A$4:$AC$275,19,FALSE)="","",VLOOKUP(A46,'Charriage - Geschiebehaushalt'!$A$4:$AC$275,19,FALSE))</f>
        <v>keine</v>
      </c>
      <c r="AC46" s="738">
        <f>IF(VLOOKUP(A46,'Charriage - Geschiebehaushalt'!$A$4:$AC$275,20,FALSE)="","",VLOOKUP(A46,'Charriage - Geschiebehaushalt'!$A$4:$AC$275,20,FALSE))</f>
        <v>0</v>
      </c>
      <c r="AD46" s="764" t="str">
        <f>IF(VLOOKUP(A46,'Charriage - Geschiebehaushalt'!$A$4:$AC$275,21,FALSE)="","",VLOOKUP(A46,'Charriage - Geschiebehaushalt'!$A$4:$AC$275,21,FALSE))</f>
        <v>0-20%</v>
      </c>
      <c r="AE46" s="740" t="str">
        <f>IF(VLOOKUP(A46,'Charriage - Geschiebehaushalt'!$A$4:$AC$275,22,FALSE)="","",VLOOKUP(A46,'Charriage - Geschiebehaushalt'!$A$4:$AC$275,22,FALSE))</f>
        <v>0-20%</v>
      </c>
      <c r="AF46" s="787" t="str">
        <f>IF(VLOOKUP(A46,'Charriage - Geschiebehaushalt'!$A$4:$AC$275,23,FALSE)="","",VLOOKUP(A46,'Charriage - Geschiebehaushalt'!$A$4:$AC$275,23,FALSE))</f>
        <v>c</v>
      </c>
      <c r="AG46" s="765" t="str">
        <f>IF(VLOOKUP(A46,'Charriage - Geschiebehaushalt'!$A$4:$AC$275,24,FALSE)="","",VLOOKUP(A46,'Charriage - Geschiebehaushalt'!$A$4:$AC$275,24,FALSE))</f>
        <v/>
      </c>
      <c r="AH46" s="764" t="str">
        <f>IF(VLOOKUP(A46,'Charriage - Geschiebehaushalt'!$A$4:$AC$275,25,FALSE)="","",VLOOKUP(A46,'Charriage - Geschiebehaushalt'!$A$4:$AC$275,25,FALSE))</f>
        <v/>
      </c>
      <c r="AI46" s="433" t="str">
        <f>IF(VLOOKUP(A46,'Charriage - Geschiebehaushalt'!$A$4:$AC$275,26,FALSE)="","",VLOOKUP(A46,'Charriage - Geschiebehaushalt'!$A$4:$AC$275,26,FALSE))</f>
        <v/>
      </c>
      <c r="AJ46" s="436" t="str">
        <f>IF(VLOOKUP(A46,'Charriage - Geschiebehaushalt'!$A$4:$AC$275,27,FALSE)="","",VLOOKUP(A46,'Charriage - Geschiebehaushalt'!$A$4:$AC$275,27,FALSE))</f>
        <v>OK</v>
      </c>
      <c r="AK46" s="801" t="str">
        <f>IF(VLOOKUP(A46,'Charriage - Geschiebehaushalt'!$A$4:$AC$275,28,FALSE)="","",VLOOKUP(A46,'Charriage - Geschiebehaushalt'!$A$4:$AC$275,28,FALSE))</f>
        <v>0-20%</v>
      </c>
      <c r="AL46" s="1285" t="str">
        <f>IF(VLOOKUP(A46,'Charriage - Geschiebehaushalt'!$A$4:$AD$275,30,FALSE)="","",VLOOKUP(A46,'Charriage - Geschiebehaushalt'!$A$4:$AD$275,30,FALSE))</f>
        <v>a</v>
      </c>
      <c r="AM46" s="1279" t="str">
        <f>IF(VLOOKUP(A46,'Débit - Abfluss'!$A$4:$K$275,5,FALSE)="","",VLOOKUP(A46,'Débit - Abfluss'!$A$4:$M$275,5,FALSE))</f>
        <v>100%</v>
      </c>
      <c r="AN46" s="868" t="str">
        <f>IF(VLOOKUP(A46,'Débit - Abfluss'!$A$4:$K$275,6,FALSE)="","",VLOOKUP(A46,'Débit - Abfluss'!$A$4:$M$275,6,FALSE))</f>
        <v>aucune information supplémentaire</v>
      </c>
      <c r="AO46" s="869" t="str">
        <f>IF(VLOOKUP(A46,'Débit - Abfluss'!$A$4:$K$275,7,FALSE)="","",VLOOKUP(A46,'Débit - Abfluss'!$A$4:$M$275,7,FALSE))</f>
        <v>aucune information supplémentaire</v>
      </c>
      <c r="AP46" s="766" t="str">
        <f>IF(VLOOKUP(A46,'Débit - Abfluss'!$A$4:$K$275,8,FALSE)="","",VLOOKUP(A46,'Débit - Abfluss'!$A$4:$M$275,8,FALSE))</f>
        <v>100%</v>
      </c>
      <c r="AQ46" s="742" t="str">
        <f>IF(VLOOKUP(A46,'Débit - Abfluss'!$A$4:$K$275,9,FALSE)="","",VLOOKUP(A46,'Débit - Abfluss'!$A$4:$M$275,9,FALSE))</f>
        <v>-</v>
      </c>
      <c r="AR46" s="767" t="str">
        <f>IF(VLOOKUP(A46,'Débit - Abfluss'!$A$4:$K$275,10,FALSE)="","",VLOOKUP(A46,'Débit - Abfluss'!$A$4:$M$275,10,FALSE))</f>
        <v>100%</v>
      </c>
      <c r="AS46" s="767" t="str">
        <f>IF(VLOOKUP(A46,'Débit - Abfluss'!$A$4:$K$275,11,FALSE)="","",VLOOKUP(A46,'Débit - Abfluss'!$A$4:$M$275,11,FALSE))</f>
        <v/>
      </c>
      <c r="AT46" s="744" t="str">
        <f>IF(VLOOKUP(A46,'Débit - Abfluss'!$A$4:$Q$275,12,FALSE)="","",VLOOKUP(A46,'Débit - Abfluss'!$A$4:$Q$275,12,FALSE))</f>
        <v/>
      </c>
      <c r="AU46" s="768" t="str">
        <f>IF(VLOOKUP(A46,'Débit - Abfluss'!$A$4:$Q$275,13,FALSE)="","",VLOOKUP(A46,'Débit - Abfluss'!$A$4:$Q$275,13,FALSE))</f>
        <v>ok</v>
      </c>
      <c r="AV46" s="746" t="str">
        <f>IF(VLOOKUP(A46,'Débit - Abfluss'!$A$4:$Q$275,14,FALSE)="","",VLOOKUP(A46,'Débit - Abfluss'!$A$4:$Q$275,14,FALSE))</f>
        <v/>
      </c>
      <c r="AW46" s="768" t="str">
        <f>IF(VLOOKUP(A46,'Débit - Abfluss'!$A$4:$Q$275,15,FALSE)="","",VLOOKUP(A46,'Débit - Abfluss'!$A$4:$Q$275,15,FALSE))</f>
        <v/>
      </c>
      <c r="AX46" s="677" t="str">
        <f>IF(VLOOKUP(A46,'Débit - Abfluss'!$A$4:$Q$275,16,FALSE)="","",VLOOKUP(A46,'Débit - Abfluss'!$A$4:$Q$275,16,FALSE))</f>
        <v/>
      </c>
      <c r="AY46" s="769" t="str">
        <f>IF(VLOOKUP(A46,'Débit - Abfluss'!$A$4:$Q$275,17,FALSE)="","",VLOOKUP(A46,'Débit - Abfluss'!$A$4:$Q$275,17,FALSE))</f>
        <v>100%</v>
      </c>
      <c r="AZ46" s="749" t="str">
        <f>IF(VLOOKUP(A46,'Eclusée - Schwall-Sunk'!$A$2:$F$273,5,FALSE)="","",VLOOKUP(A46,'Eclusée - Schwall-Sunk'!$A$2:$F$273,5,FALSE))</f>
        <v/>
      </c>
      <c r="BA46" s="750" t="str">
        <f>IF(VLOOKUP(A46,'Eclusée - Schwall-Sunk'!$A$2:$F$273,6,FALSE)="","",VLOOKUP(A46,'Eclusée - Schwall-Sunk'!$A$2:$F$273,6,FALSE))</f>
        <v>Non affecté / nicht betroffen</v>
      </c>
      <c r="BB46" s="751">
        <f>IF(VLOOKUP(A46,'Revitalisation-Revitalisierung'!$A$4:$Z$275,5,FALSE)="","",VLOOKUP(A46,'Revitalisation-Revitalisierung'!$A$4:$Z$275,5,FALSE))</f>
        <v>-7.5272727272727273</v>
      </c>
      <c r="BC46" s="752">
        <f>IF(VLOOKUP(A46,'Revitalisation-Revitalisierung'!$A$4:$Z$275,6,FALSE)="","",VLOOKUP(A46,'Revitalisation-Revitalisierung'!$A$4:$Z$275,6,FALSE))</f>
        <v>0.23268662724426875</v>
      </c>
      <c r="BD46" s="752">
        <f>IF(VLOOKUP(A46,'Revitalisation-Revitalisierung'!$A$4:$Z$275,7,FALSE)="","",VLOOKUP(A46,'Revitalisation-Revitalisierung'!$A$4:$Z$275,7,FALSE))</f>
        <v>7.7272727272727275</v>
      </c>
      <c r="BE46" s="753" t="str">
        <f>IF(VLOOKUP(A46,'Revitalisation-Revitalisierung'!$A$4:$Z$275,8,FALSE)="","",VLOOKUP(A46,'Revitalisation-Revitalisierung'!$A$4:$Z$275,8,FALSE))</f>
        <v>peu nécessaire, facile</v>
      </c>
      <c r="BF46" s="754" t="str">
        <f>IF(VLOOKUP(A46,'Revitalisation-Revitalisierung'!$A$4:$Z$275,9,FALSE)="","",VLOOKUP(A46,'Revitalisation-Revitalisierung'!$A$4:$Z$275,9,FALSE))</f>
        <v/>
      </c>
      <c r="BG46" s="754" t="str">
        <f>IF(VLOOKUP(A46,'Revitalisation-Revitalisierung'!$A$4:$Z$275,10,FALSE)="","",VLOOKUP(A46,'Revitalisation-Revitalisierung'!$A$4:$Z$275,10,FALSE))</f>
        <v>K3</v>
      </c>
      <c r="BH46" s="755" t="str">
        <f>IF(VLOOKUP(A46,'Revitalisation-Revitalisierung'!$A$4:$Z$275,11,FALSE)="","",VLOOKUP(A46,'Revitalisation-Revitalisierung'!$A$4:$Z$275,11,FALSE))</f>
        <v/>
      </c>
      <c r="BI46" s="756" t="str">
        <f>IF(VLOOKUP(A46,'Revitalisation-Revitalisierung'!$A$4:$Z$275,12,FALSE)="","",VLOOKUP(A46,'Revitalisation-Revitalisierung'!$A$4:$Z$275,12,FALSE))</f>
        <v/>
      </c>
      <c r="BJ46" s="757" t="str">
        <f>IF(VLOOKUP(A46,'Revitalisation-Revitalisierung'!$A$4:$Z$275,13,FALSE)="","",VLOOKUP(A46,'Revitalisation-Revitalisierung'!$A$4:$Z$275,13,FALSE))</f>
        <v>Non nécessaire / nicht nötig</v>
      </c>
      <c r="BK46" s="870" t="str">
        <f>IF(VLOOKUP(A46,'Revitalisation-Revitalisierung'!$A$4:$Z$275,14,FALSE)="","",VLOOKUP(A46,'Revitalisation-Revitalisierung'!$A$4:$Z$275,14,FALSE))</f>
        <v>b</v>
      </c>
      <c r="BL46" s="758" t="str">
        <f>IF(VLOOKUP(A46,'Revitalisation-Revitalisierung'!$A$4:$Z$275,15,FALSE)="","",VLOOKUP(A46,'Revitalisation-Revitalisierung'!$A$4:$Z$275,15,FALSE))</f>
        <v>gross</v>
      </c>
      <c r="BM46" s="759" t="str">
        <f>IF(VLOOKUP(A46,'Revitalisation-Revitalisierung'!$A$4:$Z$275,16,FALSE)="","",VLOOKUP(A46,'Revitalisation-Revitalisierung'!$A$4:$Z$275,16,FALSE))</f>
        <v>gross</v>
      </c>
      <c r="BN46" s="759" t="str">
        <f>IF(VLOOKUP(A46,'Revitalisation-Revitalisierung'!$A$4:$Z$275,17,FALSE)="","",VLOOKUP(A46,'Revitalisation-Revitalisierung'!$A$4:$Z$275,17,FALSE))</f>
        <v>mittel/hoch</v>
      </c>
      <c r="BO46" s="760" t="str">
        <f>IF(VLOOKUP(A46,'Revitalisation-Revitalisierung'!$A$4:$Z$275,18,FALSE)="","",VLOOKUP(A46,'Revitalisation-Revitalisierung'!$A$4:$Z$275,18,FALSE))</f>
        <v>Très nécessaire, facile / unbedingt nötig, einfach</v>
      </c>
      <c r="BP46" s="761" t="str">
        <f>IF(VLOOKUP(A46,'Revitalisation-Revitalisierung'!$A$4:$Z$275,19,FALSE)="","",VLOOKUP(A46,'Revitalisation-Revitalisierung'!$A$4:$Z$275,19,FALSE))</f>
        <v>Très nécessaire, facile / unbedingt nötig, einfach</v>
      </c>
      <c r="BQ46" s="759" t="str">
        <f>IF(VLOOKUP(A46,'Revitalisation-Revitalisierung'!$A$4:$Z$275,20,FALSE)="","",VLOOKUP(A46,'Revitalisation-Revitalisierung'!$A$4:$Z$275,20,FALSE))</f>
        <v>c</v>
      </c>
      <c r="BR46" s="759" t="str">
        <f>IF(VLOOKUP(A46,'Revitalisation-Revitalisierung'!$A$4:$Z$275,21,FALSE)="","",VLOOKUP(A46,'Revitalisation-Revitalisierung'!$A$4:$Z$275,21,FALSE))</f>
        <v/>
      </c>
      <c r="BS46" s="762" t="str">
        <f>IF(VLOOKUP(A46,'Revitalisation-Revitalisierung'!$A$4:$Z$275,22,FALSE)="","",VLOOKUP(A46,'Revitalisation-Revitalisierung'!$A$4:$Z$275,22,FALSE))</f>
        <v>X</v>
      </c>
      <c r="BT46" s="700" t="str">
        <f>IF(VLOOKUP(A46,'Revitalisation-Revitalisierung'!$A$4:$Z$275,23,FALSE)="","",VLOOKUP(A46,'Revitalisation-Revitalisierung'!$A$4:$Z$275,23,FALSE))</f>
        <v/>
      </c>
      <c r="BU46" s="699" t="str">
        <f>IF(VLOOKUP(A46,'Revitalisation-Revitalisierung'!$A$4:$Z$275,24,FALSE)="","",VLOOKUP(A46,'Revitalisation-Revitalisierung'!$A$4:$Z$275,24,FALSE))</f>
        <v>Modifier Nutzen : Mittel/gering 
Modifier Priorität : Mittel / gering</v>
      </c>
      <c r="BV46" s="761" t="str">
        <f>IF(VLOOKUP(A46,'Revitalisation-Revitalisierung'!$A$4:$Z$275,25,FALSE)="","",VLOOKUP(A46,'Revitalisation-Revitalisierung'!$A$4:$Z$275,25,FALSE))</f>
        <v>Partiellement nécessaire, facile / teilweise nötig, einfach</v>
      </c>
      <c r="BW46" s="871" t="str">
        <f>IF(VLOOKUP(A46,'Revitalisation-Revitalisierung'!$A$4:$AA$275,27,FALSE)="","",VLOOKUP(A46,'Revitalisation-Revitalisierung'!$A$4:$AA$275,27,FALSE))</f>
        <v>b</v>
      </c>
    </row>
    <row r="47" spans="1:75" ht="64.900000000000006" customHeight="1" x14ac:dyDescent="0.25">
      <c r="A47" s="935">
        <v>61</v>
      </c>
      <c r="B47" s="856">
        <f>IF(VLOOKUP(A47,'Données de base - Grunddaten'!$A$2:$M$297,2,FALSE)="","",VLOOKUP(A47,'Données de base - Grunddaten'!$A$2:$M$297,2,FALSE))</f>
        <v>1</v>
      </c>
      <c r="C47" s="857" t="str">
        <f>IF(VLOOKUP(A47,'Données de base - Grunddaten'!$A$2:$M$297,3,FALSE)="","",VLOOKUP(A47,'Données de base - Grunddaten'!$A$2:$M$297,3,FALSE))</f>
        <v>Ärgera: Plasselb–Marly</v>
      </c>
      <c r="D47" s="857" t="str">
        <f>IF(VLOOKUP(A47,'Données de base - Grunddaten'!$A$2:$M$297,4,FALSE)="","",VLOOKUP(A47,'Données de base - Grunddaten'!$A$2:$M$297,4,FALSE))</f>
        <v>Ärgera / La Gérine</v>
      </c>
      <c r="E47" s="857" t="str">
        <f>IF(VLOOKUP(A47,'Données de base - Grunddaten'!$A$2:$M$297,5,FALSE)="","",VLOOKUP(A47,'Données de base - Grunddaten'!$A$2:$M$297,5,FALSE))</f>
        <v>FR</v>
      </c>
      <c r="F47" s="857" t="str">
        <f>IF(VLOOKUP(A47,'Données de base - Grunddaten'!$A$2:$M$297,6,FALSE)="","",VLOOKUP(A47,'Données de base - Grunddaten'!$A$2:$M$297,6,FALSE))</f>
        <v>Plateau occidental, Préalpes</v>
      </c>
      <c r="G47" s="857" t="str">
        <f>IF(VLOOKUP(A47,'Données de base - Grunddaten'!$A$2:$M$297,7,FALSE)="","",VLOOKUP(A47,'Données de base - Grunddaten'!$A$2:$M$297,7,FALSE))</f>
        <v>Montagnard inf.</v>
      </c>
      <c r="H47" s="857">
        <f>IF(VLOOKUP(A47,'Données de base - Grunddaten'!$A$2:$M$297,8,FALSE)="","",VLOOKUP(A47,'Données de base - Grunddaten'!$A$2:$M$297,8,FALSE))</f>
        <v>750</v>
      </c>
      <c r="I47" s="857">
        <f>IF(VLOOKUP(A47,'Données de base - Grunddaten'!$A$2:$M$297,9,FALSE)="","",VLOOKUP(A47,'Données de base - Grunddaten'!$A$2:$M$297,9,FALSE))</f>
        <v>1992</v>
      </c>
      <c r="J47" s="857">
        <f>IF(VLOOKUP(A47,'Données de base - Grunddaten'!$A$2:$M$297,10,FALSE)="","",VLOOKUP(A47,'Données de base - Grunddaten'!$A$2:$M$297,10,FALSE))</f>
        <v>41</v>
      </c>
      <c r="K47" s="857" t="str">
        <f>IF(VLOOKUP(A47,'Données de base - Grunddaten'!$A$2:$M$297,11,FALSE)="","",VLOOKUP(A47,'Données de base - Grunddaten'!$A$2:$M$297,11,FALSE))</f>
        <v>Cours d'eau naturels de l'étage montagnard</v>
      </c>
      <c r="L47" s="857" t="str">
        <f>IF(VLOOKUP(A47,'Données de base - Grunddaten'!$A$2:$M$297,12,FALSE)="","",VLOOKUP(A47,'Données de base - Grunddaten'!$A$2:$M$297,12,FALSE))</f>
        <v>en tresses</v>
      </c>
      <c r="M47" s="858" t="str">
        <f>IF(VLOOKUP(A47,'Données de base - Grunddaten'!$A$2:$M$297,13,FALSE)="","",VLOOKUP(A47,'Données de base - Grunddaten'!$A$2:$M$297,13,FALSE))</f>
        <v>en tresses</v>
      </c>
      <c r="N47" s="872" t="str">
        <f>IF(VLOOKUP(A47,'Charriage - Geschiebehaushalt'!$A$4:$R$275,5,FALSE)="","",VLOOKUP(A47,'Charriage - Geschiebehaushalt'!$A$4:$R$275,5,FALSE))</f>
        <v>pertinent</v>
      </c>
      <c r="O47" s="881" t="str">
        <f>IF(VLOOKUP(A47,'Charriage - Geschiebehaushalt'!$A$4:$R$275,6,FALSE)="","",VLOOKUP(A47,'Charriage - Geschiebehaushalt'!$A$4:$R$275,6,FALSE))</f>
        <v>non documenté</v>
      </c>
      <c r="P47" s="874" t="str">
        <f>IF(VLOOKUP(A47,'Charriage - Geschiebehaushalt'!$A$4:$R$275,7,FALSE)="","",VLOOKUP(A47,'Charriage - Geschiebehaushalt'!$A$4:$R$275,7,FALSE))</f>
        <v/>
      </c>
      <c r="Q47" s="874" t="str">
        <f>IF(VLOOKUP(A47,'Charriage - Geschiebehaushalt'!$A$4:$R$275,8,FALSE)="","",VLOOKUP(A47,'Charriage - Geschiebehaushalt'!$A$4:$R$275,8,FALSE))</f>
        <v>non documenté</v>
      </c>
      <c r="R47" s="875">
        <f>IF(VLOOKUP(A47,'Charriage - Geschiebehaushalt'!$A$4:$R$275,9,FALSE)="","",VLOOKUP(A47,'Charriage - Geschiebehaushalt'!$A$4:$R$275,9,FALSE))</f>
        <v>0.13871811459155101</v>
      </c>
      <c r="S47" s="876" t="str">
        <f>IF(VLOOKUP(A47,'Charriage - Geschiebehaushalt'!$A$4:$R$275,10,FALSE)="","",VLOOKUP(A47,'Charriage - Geschiebehaushalt'!$A$4:$R$275,10,FALSE))</f>
        <v>pas ou faiblement entravé</v>
      </c>
      <c r="T47" s="875">
        <f>IF(VLOOKUP(A47,'Charriage - Geschiebehaushalt'!$A$4:$R$275,11,FALSE)="","",VLOOKUP(A47,'Charriage - Geschiebehaushalt'!$A$4:$R$275,11,FALSE))</f>
        <v>0.24743305757</v>
      </c>
      <c r="U47" s="876" t="str">
        <f>IF(VLOOKUP(A47,'Charriage - Geschiebehaushalt'!$A$4:$R$275,12,FALSE)="","",VLOOKUP(A47,'Charriage - Geschiebehaushalt'!$A$4:$R$275,12,FALSE))</f>
        <v>déficit dans les formations pionnières</v>
      </c>
      <c r="V47" s="765" t="str">
        <f>IF(VLOOKUP(A47,'Charriage - Geschiebehaushalt'!$A$4:$R$275,13,FALSE)="","",VLOOKUP(A47,'Charriage - Geschiebehaushalt'!$A$4:$R$275,13,FALSE))</f>
        <v/>
      </c>
      <c r="W47" s="877" t="str">
        <f>IF(VLOOKUP(A47,'Charriage - Geschiebehaushalt'!$A$4:$R$275,14,FALSE)="","",VLOOKUP(A47,'Charriage - Geschiebehaushalt'!$A$4:$R$275,14,FALSE))</f>
        <v>A vérifier</v>
      </c>
      <c r="X47" s="877" t="str">
        <f>IF(VLOOKUP(A47,'Charriage - Geschiebehaushalt'!$A$4:$R$275,15,FALSE)="","",VLOOKUP(A47,'Charriage - Geschiebehaushalt'!$A$4:$R$275,15,FALSE))</f>
        <v>pas d'ouvrages court-circuitant le charriage</v>
      </c>
      <c r="Y47" s="902" t="str">
        <f>IF(VLOOKUP(A47,'Charriage - Geschiebehaushalt'!$A$4:$R$275,16,FALSE)="","",VLOOKUP(A47,'Charriage - Geschiebehaushalt'!$A$4:$R$275,16,FALSE))</f>
        <v>charriage présumé naturel</v>
      </c>
      <c r="Z47" s="763" t="str">
        <f>IF(VLOOKUP(A47,'Charriage - Geschiebehaushalt'!$A$4:$R$275,17,FALSE)="","",VLOOKUP(A47,'Charriage - Geschiebehaushalt'!$A$4:$R$275,17,FALSE))</f>
        <v>Charriage présumé naturel</v>
      </c>
      <c r="AA47" s="880" t="str">
        <f>IF(VLOOKUP(A47,'Charriage - Geschiebehaushalt'!$A$4:$R$275,18,FALSE)="","",VLOOKUP(A47,'Charriage - Geschiebehaushalt'!$A$4:$R$275,18,FALSE))</f>
        <v>b</v>
      </c>
      <c r="AB47" s="737" t="str">
        <f>IF(VLOOKUP(A47,'Charriage - Geschiebehaushalt'!$A$4:$AC$275,19,FALSE)="","",VLOOKUP(A47,'Charriage - Geschiebehaushalt'!$A$4:$AC$275,19,FALSE))</f>
        <v>keine</v>
      </c>
      <c r="AC47" s="738">
        <f>IF(VLOOKUP(A47,'Charriage - Geschiebehaushalt'!$A$4:$AC$275,20,FALSE)="","",VLOOKUP(A47,'Charriage - Geschiebehaushalt'!$A$4:$AC$275,20,FALSE))</f>
        <v>0</v>
      </c>
      <c r="AD47" s="764" t="str">
        <f>IF(VLOOKUP(A47,'Charriage - Geschiebehaushalt'!$A$4:$AC$275,21,FALSE)="","",VLOOKUP(A47,'Charriage - Geschiebehaushalt'!$A$4:$AC$275,21,FALSE))</f>
        <v>0-20%</v>
      </c>
      <c r="AE47" s="740" t="str">
        <f>IF(VLOOKUP(A47,'Charriage - Geschiebehaushalt'!$A$4:$AC$275,22,FALSE)="","",VLOOKUP(A47,'Charriage - Geschiebehaushalt'!$A$4:$AC$275,22,FALSE))</f>
        <v>0-20%</v>
      </c>
      <c r="AF47" s="787" t="str">
        <f>IF(VLOOKUP(A47,'Charriage - Geschiebehaushalt'!$A$4:$AC$275,23,FALSE)="","",VLOOKUP(A47,'Charriage - Geschiebehaushalt'!$A$4:$AC$275,23,FALSE))</f>
        <v>d</v>
      </c>
      <c r="AG47" s="765" t="str">
        <f>IF(VLOOKUP(A47,'Charriage - Geschiebehaushalt'!$A$4:$AC$275,24,FALSE)="","",VLOOKUP(A47,'Charriage - Geschiebehaushalt'!$A$4:$AC$275,24,FALSE))</f>
        <v/>
      </c>
      <c r="AH47" s="764" t="str">
        <f>IF(VLOOKUP(A47,'Charriage - Geschiebehaushalt'!$A$4:$AC$275,25,FALSE)="","",VLOOKUP(A47,'Charriage - Geschiebehaushalt'!$A$4:$AC$275,25,FALSE))</f>
        <v/>
      </c>
      <c r="AI47" s="433" t="str">
        <f>IF(VLOOKUP(A47,'Charriage - Geschiebehaushalt'!$A$4:$AC$275,26,FALSE)="","",VLOOKUP(A47,'Charriage - Geschiebehaushalt'!$A$4:$AC$275,26,FALSE))</f>
        <v/>
      </c>
      <c r="AJ47" s="436" t="str">
        <f>IF(VLOOKUP(A47,'Charriage - Geschiebehaushalt'!$A$4:$AC$275,27,FALSE)="","",VLOOKUP(A47,'Charriage - Geschiebehaushalt'!$A$4:$AC$275,27,FALSE))</f>
        <v>OK</v>
      </c>
      <c r="AK47" s="801" t="str">
        <f>IF(VLOOKUP(A47,'Charriage - Geschiebehaushalt'!$A$4:$AC$275,28,FALSE)="","",VLOOKUP(A47,'Charriage - Geschiebehaushalt'!$A$4:$AC$275,28,FALSE))</f>
        <v>0-20%</v>
      </c>
      <c r="AL47" s="1285" t="str">
        <f>IF(VLOOKUP(A47,'Charriage - Geschiebehaushalt'!$A$4:$AD$275,30,FALSE)="","",VLOOKUP(A47,'Charriage - Geschiebehaushalt'!$A$4:$AD$275,30,FALSE))</f>
        <v>a</v>
      </c>
      <c r="AM47" s="1279" t="str">
        <f>IF(VLOOKUP(A47,'Débit - Abfluss'!$A$4:$K$275,5,FALSE)="","",VLOOKUP(A47,'Débit - Abfluss'!$A$4:$M$275,5,FALSE))</f>
        <v>100%</v>
      </c>
      <c r="AN47" s="868" t="str">
        <f>IF(VLOOKUP(A47,'Débit - Abfluss'!$A$4:$K$275,6,FALSE)="","",VLOOKUP(A47,'Débit - Abfluss'!$A$4:$M$275,6,FALSE))</f>
        <v>aucune information supplémentaire</v>
      </c>
      <c r="AO47" s="869" t="str">
        <f>IF(VLOOKUP(A47,'Débit - Abfluss'!$A$4:$K$275,7,FALSE)="","",VLOOKUP(A47,'Débit - Abfluss'!$A$4:$M$275,7,FALSE))</f>
        <v>aucune information supplémentaire</v>
      </c>
      <c r="AP47" s="766" t="str">
        <f>IF(VLOOKUP(A47,'Débit - Abfluss'!$A$4:$K$275,8,FALSE)="","",VLOOKUP(A47,'Débit - Abfluss'!$A$4:$M$275,8,FALSE))</f>
        <v>100%</v>
      </c>
      <c r="AQ47" s="742" t="str">
        <f>IF(VLOOKUP(A47,'Débit - Abfluss'!$A$4:$K$275,9,FALSE)="","",VLOOKUP(A47,'Débit - Abfluss'!$A$4:$M$275,9,FALSE))</f>
        <v>-</v>
      </c>
      <c r="AR47" s="767" t="str">
        <f>IF(VLOOKUP(A47,'Débit - Abfluss'!$A$4:$K$275,10,FALSE)="","",VLOOKUP(A47,'Débit - Abfluss'!$A$4:$M$275,10,FALSE))</f>
        <v>100%</v>
      </c>
      <c r="AS47" s="767" t="str">
        <f>IF(VLOOKUP(A47,'Débit - Abfluss'!$A$4:$K$275,11,FALSE)="","",VLOOKUP(A47,'Débit - Abfluss'!$A$4:$M$275,11,FALSE))</f>
        <v/>
      </c>
      <c r="AT47" s="744" t="str">
        <f>IF(VLOOKUP(A47,'Débit - Abfluss'!$A$4:$Q$275,12,FALSE)="","",VLOOKUP(A47,'Débit - Abfluss'!$A$4:$Q$275,12,FALSE))</f>
        <v/>
      </c>
      <c r="AU47" s="768" t="str">
        <f>IF(VLOOKUP(A47,'Débit - Abfluss'!$A$4:$Q$275,13,FALSE)="","",VLOOKUP(A47,'Débit - Abfluss'!$A$4:$Q$275,13,FALSE))</f>
        <v>ok</v>
      </c>
      <c r="AV47" s="746" t="str">
        <f>IF(VLOOKUP(A47,'Débit - Abfluss'!$A$4:$Q$275,14,FALSE)="","",VLOOKUP(A47,'Débit - Abfluss'!$A$4:$Q$275,14,FALSE))</f>
        <v/>
      </c>
      <c r="AW47" s="768" t="str">
        <f>IF(VLOOKUP(A47,'Débit - Abfluss'!$A$4:$Q$275,15,FALSE)="","",VLOOKUP(A47,'Débit - Abfluss'!$A$4:$Q$275,15,FALSE))</f>
        <v/>
      </c>
      <c r="AX47" s="677" t="str">
        <f>IF(VLOOKUP(A47,'Débit - Abfluss'!$A$4:$Q$275,16,FALSE)="","",VLOOKUP(A47,'Débit - Abfluss'!$A$4:$Q$275,16,FALSE))</f>
        <v/>
      </c>
      <c r="AY47" s="769" t="str">
        <f>IF(VLOOKUP(A47,'Débit - Abfluss'!$A$4:$Q$275,17,FALSE)="","",VLOOKUP(A47,'Débit - Abfluss'!$A$4:$Q$275,17,FALSE))</f>
        <v>100%</v>
      </c>
      <c r="AZ47" s="749" t="str">
        <f>IF(VLOOKUP(A47,'Eclusée - Schwall-Sunk'!$A$2:$F$273,5,FALSE)="","",VLOOKUP(A47,'Eclusée - Schwall-Sunk'!$A$2:$F$273,5,FALSE))</f>
        <v/>
      </c>
      <c r="BA47" s="750" t="str">
        <f>IF(VLOOKUP(A47,'Eclusée - Schwall-Sunk'!$A$2:$F$273,6,FALSE)="","",VLOOKUP(A47,'Eclusée - Schwall-Sunk'!$A$2:$F$273,6,FALSE))</f>
        <v>Non affecté / nicht betroffen</v>
      </c>
      <c r="BB47" s="751">
        <f>IF(VLOOKUP(A47,'Revitalisation-Revitalisierung'!$A$4:$Z$275,5,FALSE)="","",VLOOKUP(A47,'Revitalisation-Revitalisierung'!$A$4:$Z$275,5,FALSE))</f>
        <v>2.6454545454545446</v>
      </c>
      <c r="BC47" s="752">
        <f>IF(VLOOKUP(A47,'Revitalisation-Revitalisierung'!$A$4:$Z$275,6,FALSE)="","",VLOOKUP(A47,'Revitalisation-Revitalisierung'!$A$4:$Z$275,6,FALSE))</f>
        <v>13.117797899244012</v>
      </c>
      <c r="BD47" s="752">
        <f>IF(VLOOKUP(A47,'Revitalisation-Revitalisierung'!$A$4:$Z$275,7,FALSE)="","",VLOOKUP(A47,'Revitalisation-Revitalisierung'!$A$4:$Z$275,7,FALSE))</f>
        <v>10.454545454545455</v>
      </c>
      <c r="BE47" s="753" t="str">
        <f>IF(VLOOKUP(A47,'Revitalisation-Revitalisierung'!$A$4:$Z$275,8,FALSE)="","",VLOOKUP(A47,'Revitalisation-Revitalisierung'!$A$4:$Z$275,8,FALSE))</f>
        <v>peu nécessaire, facile</v>
      </c>
      <c r="BF47" s="754" t="str">
        <f>IF(VLOOKUP(A47,'Revitalisation-Revitalisierung'!$A$4:$Z$275,9,FALSE)="","",VLOOKUP(A47,'Revitalisation-Revitalisierung'!$A$4:$Z$275,9,FALSE))</f>
        <v/>
      </c>
      <c r="BG47" s="754" t="str">
        <f>IF(VLOOKUP(A47,'Revitalisation-Revitalisierung'!$A$4:$Z$275,10,FALSE)="","",VLOOKUP(A47,'Revitalisation-Revitalisierung'!$A$4:$Z$275,10,FALSE))</f>
        <v>K3</v>
      </c>
      <c r="BH47" s="755" t="str">
        <f>IF(VLOOKUP(A47,'Revitalisation-Revitalisierung'!$A$4:$Z$275,11,FALSE)="","",VLOOKUP(A47,'Revitalisation-Revitalisierung'!$A$4:$Z$275,11,FALSE))</f>
        <v/>
      </c>
      <c r="BI47" s="756" t="str">
        <f>IF(VLOOKUP(A47,'Revitalisation-Revitalisierung'!$A$4:$Z$275,12,FALSE)="","",VLOOKUP(A47,'Revitalisation-Revitalisierung'!$A$4:$Z$275,12,FALSE))</f>
        <v/>
      </c>
      <c r="BJ47" s="757" t="str">
        <f>IF(VLOOKUP(A47,'Revitalisation-Revitalisierung'!$A$4:$Z$275,13,FALSE)="","",VLOOKUP(A47,'Revitalisation-Revitalisierung'!$A$4:$Z$275,13,FALSE))</f>
        <v>Partiellement nécessaire, facile / teilweise nötig, einfach</v>
      </c>
      <c r="BK47" s="870" t="str">
        <f>IF(VLOOKUP(A47,'Revitalisation-Revitalisierung'!$A$4:$Z$275,14,FALSE)="","",VLOOKUP(A47,'Revitalisation-Revitalisierung'!$A$4:$Z$275,14,FALSE))</f>
        <v>a</v>
      </c>
      <c r="BL47" s="758" t="str">
        <f>IF(VLOOKUP(A47,'Revitalisation-Revitalisierung'!$A$4:$Z$275,15,FALSE)="","",VLOOKUP(A47,'Revitalisation-Revitalisierung'!$A$4:$Z$275,15,FALSE))</f>
        <v>gross</v>
      </c>
      <c r="BM47" s="759" t="str">
        <f>IF(VLOOKUP(A47,'Revitalisation-Revitalisierung'!$A$4:$Z$275,16,FALSE)="","",VLOOKUP(A47,'Revitalisation-Revitalisierung'!$A$4:$Z$275,16,FALSE))</f>
        <v>natürlich</v>
      </c>
      <c r="BN47" s="759" t="str">
        <f>IF(VLOOKUP(A47,'Revitalisation-Revitalisierung'!$A$4:$Z$275,17,FALSE)="","",VLOOKUP(A47,'Revitalisation-Revitalisierung'!$A$4:$Z$275,17,FALSE))</f>
        <v>tief</v>
      </c>
      <c r="BO47" s="760" t="str">
        <f>IF(VLOOKUP(A47,'Revitalisation-Revitalisierung'!$A$4:$Z$275,18,FALSE)="","",VLOOKUP(A47,'Revitalisation-Revitalisierung'!$A$4:$Z$275,18,FALSE))</f>
        <v>Non nécessaire / nicht nötig</v>
      </c>
      <c r="BP47" s="761" t="str">
        <f>IF(VLOOKUP(A47,'Revitalisation-Revitalisierung'!$A$4:$Z$275,19,FALSE)="","",VLOOKUP(A47,'Revitalisation-Revitalisierung'!$A$4:$Z$275,19,FALSE))</f>
        <v>Partiellement nécessaire, facile / teilweise nötig, einfach</v>
      </c>
      <c r="BQ47" s="759" t="str">
        <f>IF(VLOOKUP(A47,'Revitalisation-Revitalisierung'!$A$4:$Z$275,20,FALSE)="","",VLOOKUP(A47,'Revitalisation-Revitalisierung'!$A$4:$Z$275,20,FALSE))</f>
        <v>a</v>
      </c>
      <c r="BR47" s="759" t="str">
        <f>IF(VLOOKUP(A47,'Revitalisation-Revitalisierung'!$A$4:$Z$275,21,FALSE)="","",VLOOKUP(A47,'Revitalisation-Revitalisierung'!$A$4:$Z$275,21,FALSE))</f>
        <v>Secteurs à revitaliser: Plasselb, aval Stersmühle</v>
      </c>
      <c r="BS47" s="762" t="str">
        <f>IF(VLOOKUP(A47,'Revitalisation-Revitalisierung'!$A$4:$Z$275,22,FALSE)="","",VLOOKUP(A47,'Revitalisation-Revitalisierung'!$A$4:$Z$275,22,FALSE))</f>
        <v>X</v>
      </c>
      <c r="BT47" s="700" t="str">
        <f>IF(VLOOKUP(A47,'Revitalisation-Revitalisierung'!$A$4:$Z$275,23,FALSE)="","",VLOOKUP(A47,'Revitalisation-Revitalisierung'!$A$4:$Z$275,23,FALSE))</f>
        <v/>
      </c>
      <c r="BU47" s="699" t="str">
        <f>IF(VLOOKUP(A47,'Revitalisation-Revitalisierung'!$A$4:$Z$275,24,FALSE)="","",VLOOKUP(A47,'Revitalisation-Revitalisierung'!$A$4:$Z$275,24,FALSE))</f>
        <v>Modifier Poten éco : Gross/mittel                              Modifier Nutzen : gross/gering  
Modifier Priorität : Mittel / gering</v>
      </c>
      <c r="BV47" s="761" t="str">
        <f>IF(VLOOKUP(A47,'Revitalisation-Revitalisierung'!$A$4:$Z$275,25,FALSE)="","",VLOOKUP(A47,'Revitalisation-Revitalisierung'!$A$4:$Z$275,25,FALSE))</f>
        <v>Partiellement nécessaire, facile / teilweise nötig, einfach</v>
      </c>
      <c r="BW47" s="871" t="str">
        <f>IF(VLOOKUP(A47,'Revitalisation-Revitalisierung'!$A$4:$AA$275,27,FALSE)="","",VLOOKUP(A47,'Revitalisation-Revitalisierung'!$A$4:$AA$275,27,FALSE))</f>
        <v>a</v>
      </c>
    </row>
    <row r="48" spans="1:75" ht="54.6" customHeight="1" x14ac:dyDescent="0.25">
      <c r="A48" s="936">
        <v>62.1</v>
      </c>
      <c r="B48" s="856">
        <f>IF(VLOOKUP(A48,'Données de base - Grunddaten'!$A$2:$M$297,2,FALSE)="","",VLOOKUP(A48,'Données de base - Grunddaten'!$A$2:$M$297,2,FALSE))</f>
        <v>1</v>
      </c>
      <c r="C48" s="857" t="str">
        <f>IF(VLOOKUP(A48,'Données de base - Grunddaten'!$A$2:$M$297,3,FALSE)="","",VLOOKUP(A48,'Données de base - Grunddaten'!$A$2:$M$297,3,FALSE))</f>
        <v>La Sarine: Rossens–Fribourg</v>
      </c>
      <c r="D48" s="857" t="str">
        <f>IF(VLOOKUP(A48,'Données de base - Grunddaten'!$A$2:$M$297,4,FALSE)="","",VLOOKUP(A48,'Données de base - Grunddaten'!$A$2:$M$297,4,FALSE))</f>
        <v>La Sarine</v>
      </c>
      <c r="E48" s="857" t="str">
        <f>IF(VLOOKUP(A48,'Données de base - Grunddaten'!$A$2:$M$297,5,FALSE)="","",VLOOKUP(A48,'Données de base - Grunddaten'!$A$2:$M$297,5,FALSE))</f>
        <v>FR</v>
      </c>
      <c r="F48" s="857" t="str">
        <f>IF(VLOOKUP(A48,'Données de base - Grunddaten'!$A$2:$M$297,6,FALSE)="","",VLOOKUP(A48,'Données de base - Grunddaten'!$A$2:$M$297,6,FALSE))</f>
        <v>Préalpes, Plateau occidental</v>
      </c>
      <c r="G48" s="857" t="str">
        <f>IF(VLOOKUP(A48,'Données de base - Grunddaten'!$A$2:$M$297,7,FALSE)="","",VLOOKUP(A48,'Données de base - Grunddaten'!$A$2:$M$297,7,FALSE))</f>
        <v>Collinéen</v>
      </c>
      <c r="H48" s="857">
        <f>IF(VLOOKUP(A48,'Données de base - Grunddaten'!$A$2:$M$297,8,FALSE)="","",VLOOKUP(A48,'Données de base - Grunddaten'!$A$2:$M$297,8,FALSE))</f>
        <v>560</v>
      </c>
      <c r="I48" s="857">
        <f>IF(VLOOKUP(A48,'Données de base - Grunddaten'!$A$2:$M$297,9,FALSE)="","",VLOOKUP(A48,'Données de base - Grunddaten'!$A$2:$M$297,9,FALSE))</f>
        <v>1992</v>
      </c>
      <c r="J48" s="857">
        <f>IF(VLOOKUP(A48,'Données de base - Grunddaten'!$A$2:$M$297,10,FALSE)="","",VLOOKUP(A48,'Données de base - Grunddaten'!$A$2:$M$297,10,FALSE))</f>
        <v>41</v>
      </c>
      <c r="K48" s="857" t="str">
        <f>IF(VLOOKUP(A48,'Données de base - Grunddaten'!$A$2:$M$297,11,FALSE)="","",VLOOKUP(A48,'Données de base - Grunddaten'!$A$2:$M$297,11,FALSE))</f>
        <v>Cours d'eau naturels de l'étage montagnard</v>
      </c>
      <c r="L48" s="857" t="str">
        <f>IF(VLOOKUP(A48,'Données de base - Grunddaten'!$A$2:$M$297,12,FALSE)="","",VLOOKUP(A48,'Données de base - Grunddaten'!$A$2:$M$297,12,FALSE))</f>
        <v>méandres - cours encaissé</v>
      </c>
      <c r="M48" s="858" t="str">
        <f>IF(VLOOKUP(A48,'Données de base - Grunddaten'!$A$2:$M$297,13,FALSE)="","",VLOOKUP(A48,'Données de base - Grunddaten'!$A$2:$M$297,13,FALSE))</f>
        <v>méandres - cours encaissé</v>
      </c>
      <c r="N48" s="872" t="str">
        <f>IF(VLOOKUP(A48,'Charriage - Geschiebehaushalt'!$A$4:$R$275,5,FALSE)="","",VLOOKUP(A48,'Charriage - Geschiebehaushalt'!$A$4:$R$275,5,FALSE))</f>
        <v>pertinent</v>
      </c>
      <c r="O48" s="873" t="str">
        <f>IF(VLOOKUP(A48,'Charriage - Geschiebehaushalt'!$A$4:$R$275,6,FALSE)="","",VLOOKUP(A48,'Charriage - Geschiebehaushalt'!$A$4:$R$275,6,FALSE))</f>
        <v>81 -100%</v>
      </c>
      <c r="P48" s="874">
        <f>IF(VLOOKUP(A48,'Charriage - Geschiebehaushalt'!$A$4:$R$275,7,FALSE)="","",VLOOKUP(A48,'Charriage - Geschiebehaushalt'!$A$4:$R$275,7,FALSE))</f>
        <v>-0.4</v>
      </c>
      <c r="Q48" s="874" t="str">
        <f>IF(VLOOKUP(A48,'Charriage - Geschiebehaushalt'!$A$4:$R$275,8,FALSE)="","",VLOOKUP(A48,'Charriage - Geschiebehaushalt'!$A$4:$R$275,8,FALSE))</f>
        <v>pas d'incision</v>
      </c>
      <c r="R48" s="875">
        <f>IF(VLOOKUP(A48,'Charriage - Geschiebehaushalt'!$A$4:$R$275,9,FALSE)="","",VLOOKUP(A48,'Charriage - Geschiebehaushalt'!$A$4:$R$275,9,FALSE))</f>
        <v>2.00137896706413E-2</v>
      </c>
      <c r="S48" s="876" t="str">
        <f>IF(VLOOKUP(A48,'Charriage - Geschiebehaushalt'!$A$4:$R$275,10,FALSE)="","",VLOOKUP(A48,'Charriage - Geschiebehaushalt'!$A$4:$R$275,10,FALSE))</f>
        <v>pas ou faiblement entravé</v>
      </c>
      <c r="T48" s="875">
        <f>IF(VLOOKUP(A48,'Charriage - Geschiebehaushalt'!$A$4:$R$275,11,FALSE)="","",VLOOKUP(A48,'Charriage - Geschiebehaushalt'!$A$4:$R$275,11,FALSE))</f>
        <v>0.29117218716999999</v>
      </c>
      <c r="U48" s="876" t="str">
        <f>IF(VLOOKUP(A48,'Charriage - Geschiebehaushalt'!$A$4:$R$275,12,FALSE)="","",VLOOKUP(A48,'Charriage - Geschiebehaushalt'!$A$4:$R$275,12,FALSE))</f>
        <v>déficit dans les formations pionnières</v>
      </c>
      <c r="V48" s="877" t="str">
        <f>IF(VLOOKUP(A48,'Charriage - Geschiebehaushalt'!$A$4:$R$275,13,FALSE)="","",VLOOKUP(A48,'Charriage - Geschiebehaushalt'!$A$4:$R$275,13,FALSE))</f>
        <v/>
      </c>
      <c r="W48" s="877" t="str">
        <f>IF(VLOOKUP(A48,'Charriage - Geschiebehaushalt'!$A$4:$R$275,14,FALSE)="","",VLOOKUP(A48,'Charriage - Geschiebehaushalt'!$A$4:$R$275,14,FALSE))</f>
        <v/>
      </c>
      <c r="X48" s="877" t="str">
        <f>IF(VLOOKUP(A48,'Charriage - Geschiebehaushalt'!$A$4:$R$275,15,FALSE)="","",VLOOKUP(A48,'Charriage - Geschiebehaushalt'!$A$4:$R$275,15,FALSE))</f>
        <v/>
      </c>
      <c r="Y48" s="879" t="str">
        <f>IF(VLOOKUP(A48,'Charriage - Geschiebehaushalt'!$A$4:$R$275,16,FALSE)="","",VLOOKUP(A48,'Charriage - Geschiebehaushalt'!$A$4:$R$275,16,FALSE))</f>
        <v/>
      </c>
      <c r="Z48" s="763" t="str">
        <f>IF(VLOOKUP(A48,'Charriage - Geschiebehaushalt'!$A$4:$R$275,17,FALSE)="","",VLOOKUP(A48,'Charriage - Geschiebehaushalt'!$A$4:$R$275,17,FALSE))</f>
        <v>81 -100%</v>
      </c>
      <c r="AA48" s="880" t="str">
        <f>IF(VLOOKUP(A48,'Charriage - Geschiebehaushalt'!$A$4:$R$275,18,FALSE)="","",VLOOKUP(A48,'Charriage - Geschiebehaushalt'!$A$4:$R$275,18,FALSE))</f>
        <v>a</v>
      </c>
      <c r="AB48" s="737" t="str">
        <f>IF(VLOOKUP(A48,'Charriage - Geschiebehaushalt'!$A$4:$AC$275,19,FALSE)="","",VLOOKUP(A48,'Charriage - Geschiebehaushalt'!$A$4:$AC$275,19,FALSE))</f>
        <v>sehr stark</v>
      </c>
      <c r="AC48" s="738" t="str">
        <f>IF(VLOOKUP(A48,'Charriage - Geschiebehaushalt'!$A$4:$AC$275,20,FALSE)="","",VLOOKUP(A48,'Charriage - Geschiebehaushalt'!$A$4:$AC$275,20,FALSE))</f>
        <v>2 (2020)</v>
      </c>
      <c r="AD48" s="764" t="str">
        <f>IF(VLOOKUP(A48,'Charriage - Geschiebehaushalt'!$A$4:$AC$275,21,FALSE)="","",VLOOKUP(A48,'Charriage - Geschiebehaushalt'!$A$4:$AC$275,21,FALSE))</f>
        <v/>
      </c>
      <c r="AE48" s="740" t="str">
        <f>IF(VLOOKUP(A48,'Charriage - Geschiebehaushalt'!$A$4:$AC$275,22,FALSE)="","",VLOOKUP(A48,'Charriage - Geschiebehaushalt'!$A$4:$AC$275,22,FALSE))</f>
        <v>81-100%</v>
      </c>
      <c r="AF48" s="787" t="str">
        <f>IF(VLOOKUP(A48,'Charriage - Geschiebehaushalt'!$A$4:$AC$275,23,FALSE)="","",VLOOKUP(A48,'Charriage - Geschiebehaushalt'!$A$4:$AC$275,23,FALSE))</f>
        <v>a</v>
      </c>
      <c r="AG48" s="765" t="str">
        <f>IF(VLOOKUP(A48,'Charriage - Geschiebehaushalt'!$A$4:$AC$275,24,FALSE)="","",VLOOKUP(A48,'Charriage - Geschiebehaushalt'!$A$4:$AC$275,24,FALSE))</f>
        <v/>
      </c>
      <c r="AH48" s="764" t="str">
        <f>IF(VLOOKUP(A48,'Charriage - Geschiebehaushalt'!$A$4:$AC$275,25,FALSE)="","",VLOOKUP(A48,'Charriage - Geschiebehaushalt'!$A$4:$AC$275,25,FALSE))</f>
        <v/>
      </c>
      <c r="AI48" s="433" t="str">
        <f>IF(VLOOKUP(A48,'Charriage - Geschiebehaushalt'!$A$4:$AC$275,26,FALSE)="","",VLOOKUP(A48,'Charriage - Geschiebehaushalt'!$A$4:$AC$275,26,FALSE))</f>
        <v/>
      </c>
      <c r="AJ48" s="436" t="str">
        <f>IF(VLOOKUP(A48,'Charriage - Geschiebehaushalt'!$A$4:$AC$275,27,FALSE)="","",VLOOKUP(A48,'Charriage - Geschiebehaushalt'!$A$4:$AC$275,27,FALSE))</f>
        <v>OK</v>
      </c>
      <c r="AK48" s="801" t="str">
        <f>IF(VLOOKUP(A48,'Charriage - Geschiebehaushalt'!$A$4:$AC$275,28,FALSE)="","",VLOOKUP(A48,'Charriage - Geschiebehaushalt'!$A$4:$AC$275,28,FALSE))</f>
        <v>81-100%</v>
      </c>
      <c r="AL48" s="1285" t="str">
        <f>IF(VLOOKUP(A48,'Charriage - Geschiebehaushalt'!$A$4:$AD$275,30,FALSE)="","",VLOOKUP(A48,'Charriage - Geschiebehaushalt'!$A$4:$AD$275,30,FALSE))</f>
        <v>a</v>
      </c>
      <c r="AM48" s="1279" t="str">
        <f>IF(VLOOKUP(A48,'Débit - Abfluss'!$A$4:$K$275,5,FALSE)="","",VLOOKUP(A48,'Débit - Abfluss'!$A$4:$M$275,5,FALSE))</f>
        <v>0-20%</v>
      </c>
      <c r="AN48" s="868" t="str">
        <f>IF(VLOOKUP(A48,'Débit - Abfluss'!$A$4:$K$275,6,FALSE)="","",VLOOKUP(A48,'Débit - Abfluss'!$A$4:$M$275,6,FALSE))</f>
        <v/>
      </c>
      <c r="AO48" s="869" t="str">
        <f>IF(VLOOKUP(A48,'Débit - Abfluss'!$A$4:$K$275,7,FALSE)="","",VLOOKUP(A48,'Débit - Abfluss'!$A$4:$M$275,7,FALSE))</f>
        <v/>
      </c>
      <c r="AP48" s="766" t="str">
        <f>IF(VLOOKUP(A48,'Débit - Abfluss'!$A$4:$K$275,8,FALSE)="","",VLOOKUP(A48,'Débit - Abfluss'!$A$4:$M$275,8,FALSE))</f>
        <v>0-20%</v>
      </c>
      <c r="AQ48" s="742" t="str">
        <f>IF(VLOOKUP(A48,'Débit - Abfluss'!$A$4:$K$275,9,FALSE)="","",VLOOKUP(A48,'Débit - Abfluss'!$A$4:$M$275,9,FALSE))</f>
        <v>&gt;90%</v>
      </c>
      <c r="AR48" s="770" t="str">
        <f>IF(VLOOKUP(A48,'Débit - Abfluss'!$A$4:$K$275,10,FALSE)="","",VLOOKUP(A48,'Débit - Abfluss'!$A$4:$M$275,10,FALSE))</f>
        <v>0-20%</v>
      </c>
      <c r="AS48" s="773" t="str">
        <f>IF(VLOOKUP(A48,'Débit - Abfluss'!$A$4:$K$275,11,FALSE)="","",VLOOKUP(A48,'Débit - Abfluss'!$A$4:$M$275,11,FALSE))</f>
        <v>X</v>
      </c>
      <c r="AT48" s="744" t="str">
        <f>IF(VLOOKUP(A48,'Débit - Abfluss'!$A$4:$Q$275,12,FALSE)="","",VLOOKUP(A48,'Débit - Abfluss'!$A$4:$Q$275,12,FALSE))</f>
        <v/>
      </c>
      <c r="AU48" s="768" t="str">
        <f>IF(VLOOKUP(A48,'Débit - Abfluss'!$A$4:$Q$275,13,FALSE)="","",VLOOKUP(A48,'Débit - Abfluss'!$A$4:$Q$275,13,FALSE))</f>
        <v>ok</v>
      </c>
      <c r="AV48" s="746" t="str">
        <f>IF(VLOOKUP(A48,'Débit - Abfluss'!$A$4:$Q$275,14,FALSE)="","",VLOOKUP(A48,'Débit - Abfluss'!$A$4:$Q$275,14,FALSE))</f>
        <v>FR-W 2</v>
      </c>
      <c r="AW48" s="768" t="str">
        <f>IF(VLOOKUP(A48,'Débit - Abfluss'!$A$4:$Q$275,15,FALSE)="","",VLOOKUP(A48,'Débit - Abfluss'!$A$4:$Q$275,15,FALSE))</f>
        <v>Hauterive</v>
      </c>
      <c r="AX48" s="677" t="str">
        <f>IF(VLOOKUP(A48,'Débit - Abfluss'!$A$4:$Q$275,16,FALSE)="","",VLOOKUP(A48,'Débit - Abfluss'!$A$4:$Q$275,16,FALSE))</f>
        <v/>
      </c>
      <c r="AY48" s="776" t="str">
        <f>IF(VLOOKUP(A48,'Débit - Abfluss'!$A$4:$Q$275,17,FALSE)="","",VLOOKUP(A48,'Débit - Abfluss'!$A$4:$Q$275,17,FALSE))</f>
        <v>0-20%</v>
      </c>
      <c r="AZ48" s="749" t="str">
        <f>IF(VLOOKUP(A48,'Eclusée - Schwall-Sunk'!$A$2:$F$273,5,FALSE)="","",VLOOKUP(A48,'Eclusée - Schwall-Sunk'!$A$2:$F$273,5,FALSE))</f>
        <v>force hydraulique</v>
      </c>
      <c r="BA48" s="750" t="str">
        <f>IF(VLOOKUP(A48,'Eclusée - Schwall-Sunk'!$A$2:$F$273,6,FALSE)="","",VLOOKUP(A48,'Eclusée - Schwall-Sunk'!$A$2:$F$273,6,FALSE))</f>
        <v>Non affecté / nicht betroffen</v>
      </c>
      <c r="BB48" s="751">
        <f>IF(VLOOKUP(A48,'Revitalisation-Revitalisierung'!$A$4:$Z$275,5,FALSE)="","",VLOOKUP(A48,'Revitalisation-Revitalisierung'!$A$4:$Z$275,5,FALSE))</f>
        <v>-21.363636363636363</v>
      </c>
      <c r="BC48" s="752">
        <f>IF(VLOOKUP(A48,'Revitalisation-Revitalisierung'!$A$4:$Z$275,6,FALSE)="","",VLOOKUP(A48,'Revitalisation-Revitalisierung'!$A$4:$Z$275,6,FALSE))</f>
        <v>0</v>
      </c>
      <c r="BD48" s="752">
        <f>IF(VLOOKUP(A48,'Revitalisation-Revitalisierung'!$A$4:$Z$275,7,FALSE)="","",VLOOKUP(A48,'Revitalisation-Revitalisierung'!$A$4:$Z$275,7,FALSE))</f>
        <v>21.363636363636363</v>
      </c>
      <c r="BE48" s="753" t="str">
        <f>IF(VLOOKUP(A48,'Revitalisation-Revitalisierung'!$A$4:$Z$275,8,FALSE)="","",VLOOKUP(A48,'Revitalisation-Revitalisierung'!$A$4:$Z$275,8,FALSE))</f>
        <v>non nécessaire</v>
      </c>
      <c r="BF48" s="754" t="str">
        <f>IF(VLOOKUP(A48,'Revitalisation-Revitalisierung'!$A$4:$Z$275,9,FALSE)="","",VLOOKUP(A48,'Revitalisation-Revitalisierung'!$A$4:$Z$275,9,FALSE))</f>
        <v>schwierig</v>
      </c>
      <c r="BG48" s="754" t="str">
        <f>IF(VLOOKUP(A48,'Revitalisation-Revitalisierung'!$A$4:$Z$275,10,FALSE)="","",VLOOKUP(A48,'Revitalisation-Revitalisierung'!$A$4:$Z$275,10,FALSE))</f>
        <v>K1</v>
      </c>
      <c r="BH48" s="755" t="str">
        <f>IF(VLOOKUP(A48,'Revitalisation-Revitalisierung'!$A$4:$Z$275,11,FALSE)="","",VLOOKUP(A48,'Revitalisation-Revitalisierung'!$A$4:$Z$275,11,FALSE))</f>
        <v/>
      </c>
      <c r="BI48" s="756" t="str">
        <f>IF(VLOOKUP(A48,'Revitalisation-Revitalisierung'!$A$4:$Z$275,12,FALSE)="","",VLOOKUP(A48,'Revitalisation-Revitalisierung'!$A$4:$Z$275,12,FALSE))</f>
        <v/>
      </c>
      <c r="BJ48" s="757" t="str">
        <f>IF(VLOOKUP(A48,'Revitalisation-Revitalisierung'!$A$4:$Z$275,13,FALSE)="","",VLOOKUP(A48,'Revitalisation-Revitalisierung'!$A$4:$Z$275,13,FALSE))</f>
        <v>Non nécessaire / nicht nötig</v>
      </c>
      <c r="BK48" s="870" t="str">
        <f>IF(VLOOKUP(A48,'Revitalisation-Revitalisierung'!$A$4:$Z$275,14,FALSE)="","",VLOOKUP(A48,'Revitalisation-Revitalisierung'!$A$4:$Z$275,14,FALSE))</f>
        <v>a</v>
      </c>
      <c r="BL48" s="758" t="str">
        <f>IF(VLOOKUP(A48,'Revitalisation-Revitalisierung'!$A$4:$Z$275,15,FALSE)="","",VLOOKUP(A48,'Revitalisation-Revitalisierung'!$A$4:$Z$275,15,FALSE))</f>
        <v>gross</v>
      </c>
      <c r="BM48" s="759" t="str">
        <f>IF(VLOOKUP(A48,'Revitalisation-Revitalisierung'!$A$4:$Z$275,16,FALSE)="","",VLOOKUP(A48,'Revitalisation-Revitalisierung'!$A$4:$Z$275,16,FALSE))</f>
        <v>natürlich/mittel</v>
      </c>
      <c r="BN48" s="759" t="str">
        <f>IF(VLOOKUP(A48,'Revitalisation-Revitalisierung'!$A$4:$Z$275,17,FALSE)="","",VLOOKUP(A48,'Revitalisation-Revitalisierung'!$A$4:$Z$275,17,FALSE))</f>
        <v>tief</v>
      </c>
      <c r="BO48" s="760" t="str">
        <f>IF(VLOOKUP(A48,'Revitalisation-Revitalisierung'!$A$4:$Z$275,18,FALSE)="","",VLOOKUP(A48,'Revitalisation-Revitalisierung'!$A$4:$Z$275,18,FALSE))</f>
        <v/>
      </c>
      <c r="BP48" s="761" t="str">
        <f>IF(VLOOKUP(A48,'Revitalisation-Revitalisierung'!$A$4:$Z$275,19,FALSE)="","",VLOOKUP(A48,'Revitalisation-Revitalisierung'!$A$4:$Z$275,19,FALSE))</f>
        <v>Non nécessaire / nicht nötig</v>
      </c>
      <c r="BQ48" s="759" t="str">
        <f>IF(VLOOKUP(A48,'Revitalisation-Revitalisierung'!$A$4:$Z$275,20,FALSE)="","",VLOOKUP(A48,'Revitalisation-Revitalisierung'!$A$4:$Z$275,20,FALSE))</f>
        <v>a</v>
      </c>
      <c r="BR48" s="759" t="str">
        <f>IF(VLOOKUP(A48,'Revitalisation-Revitalisierung'!$A$4:$Z$275,21,FALSE)="","",VLOOKUP(A48,'Revitalisation-Revitalisierung'!$A$4:$Z$275,21,FALSE))</f>
        <v/>
      </c>
      <c r="BS48" s="762" t="str">
        <f>IF(VLOOKUP(A48,'Revitalisation-Revitalisierung'!$A$4:$Z$275,22,FALSE)="","",VLOOKUP(A48,'Revitalisation-Revitalisierung'!$A$4:$Z$275,22,FALSE))</f>
        <v/>
      </c>
      <c r="BT48" s="704" t="str">
        <f>IF(VLOOKUP(A48,'Revitalisation-Revitalisierung'!$A$4:$Z$275,23,FALSE)="","",VLOOKUP(A48,'Revitalisation-Revitalisierung'!$A$4:$Z$275,23,FALSE))</f>
        <v/>
      </c>
      <c r="BU48" s="699" t="str">
        <f>IF(VLOOKUP(A48,'Revitalisation-Revitalisierung'!$A$4:$Z$275,24,FALSE)="","",VLOOKUP(A48,'Revitalisation-Revitalisierung'!$A$4:$Z$275,24,FALSE))</f>
        <v/>
      </c>
      <c r="BV48" s="761" t="str">
        <f>IF(VLOOKUP(A48,'Revitalisation-Revitalisierung'!$A$4:$Z$275,25,FALSE)="","",VLOOKUP(A48,'Revitalisation-Revitalisierung'!$A$4:$Z$275,25,FALSE))</f>
        <v>Non nécessaire / nicht nötig</v>
      </c>
      <c r="BW48" s="871" t="str">
        <f>IF(VLOOKUP(A48,'Revitalisation-Revitalisierung'!$A$4:$AA$275,27,FALSE)="","",VLOOKUP(A48,'Revitalisation-Revitalisierung'!$A$4:$AA$275,27,FALSE))</f>
        <v>a</v>
      </c>
    </row>
    <row r="49" spans="1:75" ht="60.6" customHeight="1" x14ac:dyDescent="0.2">
      <c r="A49" s="936">
        <v>62.2</v>
      </c>
      <c r="B49" s="856">
        <f>IF(VLOOKUP(A49,'Données de base - Grunddaten'!$A$2:$M$297,2,FALSE)="","",VLOOKUP(A49,'Données de base - Grunddaten'!$A$2:$M$297,2,FALSE))</f>
        <v>2</v>
      </c>
      <c r="C49" s="857" t="str">
        <f>IF(VLOOKUP(A49,'Données de base - Grunddaten'!$A$2:$M$297,3,FALSE)="","",VLOOKUP(A49,'Données de base - Grunddaten'!$A$2:$M$297,3,FALSE))</f>
        <v>La Sarine: Rossens–Fribourg</v>
      </c>
      <c r="D49" s="857" t="str">
        <f>IF(VLOOKUP(A49,'Données de base - Grunddaten'!$A$2:$M$297,4,FALSE)="","",VLOOKUP(A49,'Données de base - Grunddaten'!$A$2:$M$297,4,FALSE))</f>
        <v>La Sarine</v>
      </c>
      <c r="E49" s="857" t="str">
        <f>IF(VLOOKUP(A49,'Données de base - Grunddaten'!$A$2:$M$297,5,FALSE)="","",VLOOKUP(A49,'Données de base - Grunddaten'!$A$2:$M$297,5,FALSE))</f>
        <v>FR</v>
      </c>
      <c r="F49" s="857" t="str">
        <f>IF(VLOOKUP(A49,'Données de base - Grunddaten'!$A$2:$M$297,6,FALSE)="","",VLOOKUP(A49,'Données de base - Grunddaten'!$A$2:$M$297,6,FALSE))</f>
        <v/>
      </c>
      <c r="G49" s="857" t="str">
        <f>IF(VLOOKUP(A49,'Données de base - Grunddaten'!$A$2:$M$297,7,FALSE)="","",VLOOKUP(A49,'Données de base - Grunddaten'!$A$2:$M$297,7,FALSE))</f>
        <v/>
      </c>
      <c r="H49" s="857" t="str">
        <f>IF(VLOOKUP(A49,'Données de base - Grunddaten'!$A$2:$M$297,8,FALSE)="","",VLOOKUP(A49,'Données de base - Grunddaten'!$A$2:$M$297,8,FALSE))</f>
        <v/>
      </c>
      <c r="I49" s="857" t="str">
        <f>IF(VLOOKUP(A49,'Données de base - Grunddaten'!$A$2:$M$297,9,FALSE)="","",VLOOKUP(A49,'Données de base - Grunddaten'!$A$2:$M$297,9,FALSE))</f>
        <v/>
      </c>
      <c r="J49" s="857">
        <f>IF(VLOOKUP(A49,'Données de base - Grunddaten'!$A$2:$M$297,10,FALSE)="","",VLOOKUP(A49,'Données de base - Grunddaten'!$A$2:$M$297,10,FALSE))</f>
        <v>41</v>
      </c>
      <c r="K49" s="857" t="str">
        <f>IF(VLOOKUP(A49,'Données de base - Grunddaten'!$A$2:$M$297,11,FALSE)="","",VLOOKUP(A49,'Données de base - Grunddaten'!$A$2:$M$297,11,FALSE))</f>
        <v>Cours d'eau naturels de l'étage montagnard</v>
      </c>
      <c r="L49" s="857" t="str">
        <f>IF(VLOOKUP(A49,'Données de base - Grunddaten'!$A$2:$M$297,12,FALSE)="","",VLOOKUP(A49,'Données de base - Grunddaten'!$A$2:$M$297,12,FALSE))</f>
        <v>méandres - cours encaissé</v>
      </c>
      <c r="M49" s="858" t="str">
        <f>IF(VLOOKUP(A49,'Données de base - Grunddaten'!$A$2:$M$297,13,FALSE)="","",VLOOKUP(A49,'Données de base - Grunddaten'!$A$2:$M$297,13,FALSE))</f>
        <v>méandres - cours encaissé</v>
      </c>
      <c r="N49" s="872" t="str">
        <f>IF(VLOOKUP(A49,'Charriage - Geschiebehaushalt'!$A$4:$R$275,5,FALSE)="","",VLOOKUP(A49,'Charriage - Geschiebehaushalt'!$A$4:$R$275,5,FALSE))</f>
        <v>pertinent</v>
      </c>
      <c r="O49" s="873" t="str">
        <f>IF(VLOOKUP(A49,'Charriage - Geschiebehaushalt'!$A$4:$R$275,6,FALSE)="","",VLOOKUP(A49,'Charriage - Geschiebehaushalt'!$A$4:$R$275,6,FALSE))</f>
        <v>81 -100%</v>
      </c>
      <c r="P49" s="874">
        <f>IF(VLOOKUP(A49,'Charriage - Geschiebehaushalt'!$A$4:$R$275,7,FALSE)="","",VLOOKUP(A49,'Charriage - Geschiebehaushalt'!$A$4:$R$275,7,FALSE))</f>
        <v>-0.4</v>
      </c>
      <c r="Q49" s="874" t="str">
        <f>IF(VLOOKUP(A49,'Charriage - Geschiebehaushalt'!$A$4:$R$275,8,FALSE)="","",VLOOKUP(A49,'Charriage - Geschiebehaushalt'!$A$4:$R$275,8,FALSE))</f>
        <v>pas d'incision</v>
      </c>
      <c r="R49" s="875">
        <f>IF(VLOOKUP(A49,'Charriage - Geschiebehaushalt'!$A$4:$R$275,9,FALSE)="","",VLOOKUP(A49,'Charriage - Geschiebehaushalt'!$A$4:$R$275,9,FALSE))</f>
        <v>2.00137896706413E-2</v>
      </c>
      <c r="S49" s="876" t="str">
        <f>IF(VLOOKUP(A49,'Charriage - Geschiebehaushalt'!$A$4:$R$275,10,FALSE)="","",VLOOKUP(A49,'Charriage - Geschiebehaushalt'!$A$4:$R$275,10,FALSE))</f>
        <v>pas ou faiblement entravé</v>
      </c>
      <c r="T49" s="875">
        <f>IF(VLOOKUP(A49,'Charriage - Geschiebehaushalt'!$A$4:$R$275,11,FALSE)="","",VLOOKUP(A49,'Charriage - Geschiebehaushalt'!$A$4:$R$275,11,FALSE))</f>
        <v>0.29117218716999999</v>
      </c>
      <c r="U49" s="876" t="str">
        <f>IF(VLOOKUP(A49,'Charriage - Geschiebehaushalt'!$A$4:$R$275,12,FALSE)="","",VLOOKUP(A49,'Charriage - Geschiebehaushalt'!$A$4:$R$275,12,FALSE))</f>
        <v>déficit dans les formations pionnières</v>
      </c>
      <c r="V49" s="877" t="str">
        <f>IF(VLOOKUP(A49,'Charriage - Geschiebehaushalt'!$A$4:$R$275,13,FALSE)="","",VLOOKUP(A49,'Charriage - Geschiebehaushalt'!$A$4:$R$275,13,FALSE))</f>
        <v/>
      </c>
      <c r="W49" s="877" t="str">
        <f>IF(VLOOKUP(A49,'Charriage - Geschiebehaushalt'!$A$4:$R$275,14,FALSE)="","",VLOOKUP(A49,'Charriage - Geschiebehaushalt'!$A$4:$R$275,14,FALSE))</f>
        <v/>
      </c>
      <c r="X49" s="877" t="str">
        <f>IF(VLOOKUP(A49,'Charriage - Geschiebehaushalt'!$A$4:$R$275,15,FALSE)="","",VLOOKUP(A49,'Charriage - Geschiebehaushalt'!$A$4:$R$275,15,FALSE))</f>
        <v/>
      </c>
      <c r="Y49" s="879" t="str">
        <f>IF(VLOOKUP(A49,'Charriage - Geschiebehaushalt'!$A$4:$R$275,16,FALSE)="","",VLOOKUP(A49,'Charriage - Geschiebehaushalt'!$A$4:$R$275,16,FALSE))</f>
        <v/>
      </c>
      <c r="Z49" s="763" t="str">
        <f>IF(VLOOKUP(A49,'Charriage - Geschiebehaushalt'!$A$4:$R$275,17,FALSE)="","",VLOOKUP(A49,'Charriage - Geschiebehaushalt'!$A$4:$R$275,17,FALSE))</f>
        <v>81 -100%</v>
      </c>
      <c r="AA49" s="880" t="str">
        <f>IF(VLOOKUP(A49,'Charriage - Geschiebehaushalt'!$A$4:$R$275,18,FALSE)="","",VLOOKUP(A49,'Charriage - Geschiebehaushalt'!$A$4:$R$275,18,FALSE))</f>
        <v>a</v>
      </c>
      <c r="AB49" s="737" t="str">
        <f>IF(VLOOKUP(A49,'Charriage - Geschiebehaushalt'!$A$4:$AC$275,19,FALSE)="","",VLOOKUP(A49,'Charriage - Geschiebehaushalt'!$A$4:$AC$275,19,FALSE))</f>
        <v>sehr stark</v>
      </c>
      <c r="AC49" s="738" t="str">
        <f>IF(VLOOKUP(A49,'Charriage - Geschiebehaushalt'!$A$4:$AC$275,20,FALSE)="","",VLOOKUP(A49,'Charriage - Geschiebehaushalt'!$A$4:$AC$275,20,FALSE))</f>
        <v>2 (2020)</v>
      </c>
      <c r="AD49" s="764" t="str">
        <f>IF(VLOOKUP(A49,'Charriage - Geschiebehaushalt'!$A$4:$AC$275,21,FALSE)="","",VLOOKUP(A49,'Charriage - Geschiebehaushalt'!$A$4:$AC$275,21,FALSE))</f>
        <v>81-100%</v>
      </c>
      <c r="AE49" s="740" t="str">
        <f>IF(VLOOKUP(A49,'Charriage - Geschiebehaushalt'!$A$4:$AC$275,22,FALSE)="","",VLOOKUP(A49,'Charriage - Geschiebehaushalt'!$A$4:$AC$275,22,FALSE))</f>
        <v>81-100%</v>
      </c>
      <c r="AF49" s="787" t="str">
        <f>IF(VLOOKUP(A49,'Charriage - Geschiebehaushalt'!$A$4:$AC$275,23,FALSE)="","",VLOOKUP(A49,'Charriage - Geschiebehaushalt'!$A$4:$AC$275,23,FALSE))</f>
        <v>d</v>
      </c>
      <c r="AG49" s="765" t="str">
        <f>IF(VLOOKUP(A49,'Charriage - Geschiebehaushalt'!$A$4:$AC$275,24,FALSE)="","",VLOOKUP(A49,'Charriage - Geschiebehaushalt'!$A$4:$AC$275,24,FALSE))</f>
        <v/>
      </c>
      <c r="AH49" s="764" t="str">
        <f>IF(VLOOKUP(A49,'Charriage - Geschiebehaushalt'!$A$4:$AC$275,25,FALSE)="","",VLOOKUP(A49,'Charriage - Geschiebehaushalt'!$A$4:$AC$275,25,FALSE))</f>
        <v/>
      </c>
      <c r="AI49" s="433" t="str">
        <f>IF(VLOOKUP(A49,'Charriage - Geschiebehaushalt'!$A$4:$AC$275,26,FALSE)="","",VLOOKUP(A49,'Charriage - Geschiebehaushalt'!$A$4:$AC$275,26,FALSE))</f>
        <v/>
      </c>
      <c r="AJ49" s="436" t="str">
        <f>IF(VLOOKUP(A49,'Charriage - Geschiebehaushalt'!$A$4:$AC$275,27,FALSE)="","",VLOOKUP(A49,'Charriage - Geschiebehaushalt'!$A$4:$AC$275,27,FALSE))</f>
        <v>OK</v>
      </c>
      <c r="AK49" s="801" t="str">
        <f>IF(VLOOKUP(A49,'Charriage - Geschiebehaushalt'!$A$4:$AC$275,28,FALSE)="","",VLOOKUP(A49,'Charriage - Geschiebehaushalt'!$A$4:$AC$275,28,FALSE))</f>
        <v>81-100%</v>
      </c>
      <c r="AL49" s="1285" t="str">
        <f>IF(VLOOKUP(A49,'Charriage - Geschiebehaushalt'!$A$4:$AD$275,30,FALSE)="","",VLOOKUP(A49,'Charriage - Geschiebehaushalt'!$A$4:$AD$275,30,FALSE))</f>
        <v>a</v>
      </c>
      <c r="AM49" s="1279" t="str">
        <f>IF(VLOOKUP(A49,'Débit - Abfluss'!$A$4:$K$275,5,FALSE)="","",VLOOKUP(A49,'Débit - Abfluss'!$A$4:$M$275,5,FALSE))</f>
        <v>81-100%</v>
      </c>
      <c r="AN49" s="868" t="str">
        <f>IF(VLOOKUP(A49,'Débit - Abfluss'!$A$4:$K$275,6,FALSE)="","",VLOOKUP(A49,'Débit - Abfluss'!$A$4:$M$275,6,FALSE))</f>
        <v/>
      </c>
      <c r="AO49" s="869" t="str">
        <f>IF(VLOOKUP(A49,'Débit - Abfluss'!$A$4:$K$275,7,FALSE)="","",VLOOKUP(A49,'Débit - Abfluss'!$A$4:$M$275,7,FALSE))</f>
        <v/>
      </c>
      <c r="AP49" s="781" t="str">
        <f>IF(VLOOKUP(A49,'Débit - Abfluss'!$A$4:$K$275,8,FALSE)="","",VLOOKUP(A49,'Débit - Abfluss'!$A$4:$M$275,8,FALSE))</f>
        <v>81-100%</v>
      </c>
      <c r="AQ49" s="742" t="str">
        <f>IF(VLOOKUP(A49,'Débit - Abfluss'!$A$4:$K$275,9,FALSE)="","",VLOOKUP(A49,'Débit - Abfluss'!$A$4:$M$275,9,FALSE))</f>
        <v>-</v>
      </c>
      <c r="AR49" s="767" t="str">
        <f>IF(VLOOKUP(A49,'Débit - Abfluss'!$A$4:$K$275,10,FALSE)="","",VLOOKUP(A49,'Débit - Abfluss'!$A$4:$M$275,10,FALSE))</f>
        <v>81-100%</v>
      </c>
      <c r="AS49" s="767" t="str">
        <f>IF(VLOOKUP(A49,'Débit - Abfluss'!$A$4:$K$275,11,FALSE)="","",VLOOKUP(A49,'Débit - Abfluss'!$A$4:$M$275,11,FALSE))</f>
        <v/>
      </c>
      <c r="AT49" s="782" t="str">
        <f>IF(VLOOKUP(A49,'Débit - Abfluss'!$A$4:$Q$275,12,FALSE)="","",VLOOKUP(A49,'Débit - Abfluss'!$A$4:$Q$275,12,FALSE))</f>
        <v>0-20%</v>
      </c>
      <c r="AU49" s="783" t="str">
        <f>IF(VLOOKUP(A49,'Débit - Abfluss'!$A$4:$Q$275,13,FALSE)="","",VLOOKUP(A49,'Débit - Abfluss'!$A$4:$Q$275,13,FALSE))</f>
        <v>Débit résiduel dans tronçon court-circuité</v>
      </c>
      <c r="AV49" s="746" t="str">
        <f>IF(VLOOKUP(A49,'Débit - Abfluss'!$A$4:$Q$275,14,FALSE)="","",VLOOKUP(A49,'Débit - Abfluss'!$A$4:$Q$275,14,FALSE))</f>
        <v/>
      </c>
      <c r="AW49" s="768" t="str">
        <f>IF(VLOOKUP(A49,'Débit - Abfluss'!$A$4:$Q$275,15,FALSE)="","",VLOOKUP(A49,'Débit - Abfluss'!$A$4:$Q$275,15,FALSE))</f>
        <v/>
      </c>
      <c r="AX49" s="677" t="str">
        <f>IF(VLOOKUP(A49,'Débit - Abfluss'!$A$4:$Q$275,16,FALSE)="","",VLOOKUP(A49,'Débit - Abfluss'!$A$4:$Q$275,16,FALSE))</f>
        <v/>
      </c>
      <c r="AY49" s="776" t="str">
        <f>IF(VLOOKUP(A49,'Débit - Abfluss'!$A$4:$Q$275,17,FALSE)="","",VLOOKUP(A49,'Débit - Abfluss'!$A$4:$Q$275,17,FALSE))</f>
        <v>0-20%</v>
      </c>
      <c r="AZ49" s="749" t="str">
        <f>IF(VLOOKUP(A49,'Eclusée - Schwall-Sunk'!$A$2:$F$273,5,FALSE)="","",VLOOKUP(A49,'Eclusée - Schwall-Sunk'!$A$2:$F$273,5,FALSE))</f>
        <v>force hydraulique</v>
      </c>
      <c r="BA49" s="750" t="str">
        <f>IF(VLOOKUP(A49,'Eclusée - Schwall-Sunk'!$A$2:$F$273,6,FALSE)="","",VLOOKUP(A49,'Eclusée - Schwall-Sunk'!$A$2:$F$273,6,FALSE))</f>
        <v>Potentiellement affecté / möglicherweise betroffen</v>
      </c>
      <c r="BB49" s="751" t="str">
        <f>IF(VLOOKUP(A49,'Revitalisation-Revitalisierung'!$A$4:$Z$275,5,FALSE)="","",VLOOKUP(A49,'Revitalisation-Revitalisierung'!$A$4:$Z$275,5,FALSE))</f>
        <v/>
      </c>
      <c r="BC49" s="752" t="str">
        <f>IF(VLOOKUP(A49,'Revitalisation-Revitalisierung'!$A$4:$Z$275,6,FALSE)="","",VLOOKUP(A49,'Revitalisation-Revitalisierung'!$A$4:$Z$275,6,FALSE))</f>
        <v/>
      </c>
      <c r="BD49" s="752" t="str">
        <f>IF(VLOOKUP(A49,'Revitalisation-Revitalisierung'!$A$4:$Z$275,7,FALSE)="","",VLOOKUP(A49,'Revitalisation-Revitalisierung'!$A$4:$Z$275,7,FALSE))</f>
        <v/>
      </c>
      <c r="BE49" s="920" t="str">
        <f>IF(VLOOKUP(A49,'Revitalisation-Revitalisierung'!$A$4:$Z$275,8,FALSE)="","",VLOOKUP(A49,'Revitalisation-Revitalisierung'!$A$4:$Z$275,8,FALSE))</f>
        <v/>
      </c>
      <c r="BF49" s="754" t="str">
        <f>IF(VLOOKUP(A49,'Revitalisation-Revitalisierung'!$A$4:$Z$275,9,FALSE)="","",VLOOKUP(A49,'Revitalisation-Revitalisierung'!$A$4:$Z$275,9,FALSE))</f>
        <v/>
      </c>
      <c r="BG49" s="754" t="str">
        <f>IF(VLOOKUP(A49,'Revitalisation-Revitalisierung'!$A$4:$Z$275,10,FALSE)="","",VLOOKUP(A49,'Revitalisation-Revitalisierung'!$A$4:$Z$275,10,FALSE))</f>
        <v/>
      </c>
      <c r="BH49" s="755" t="str">
        <f>IF(VLOOKUP(A49,'Revitalisation-Revitalisierung'!$A$4:$Z$275,11,FALSE)="","",VLOOKUP(A49,'Revitalisation-Revitalisierung'!$A$4:$Z$275,11,FALSE))</f>
        <v>non nécessaire</v>
      </c>
      <c r="BI49" s="756" t="str">
        <f>IF(VLOOKUP(A49,'Revitalisation-Revitalisierung'!$A$4:$Z$275,12,FALSE)="","",VLOOKUP(A49,'Revitalisation-Revitalisierung'!$A$4:$Z$275,12,FALSE))</f>
        <v>ok</v>
      </c>
      <c r="BJ49" s="757" t="str">
        <f>IF(VLOOKUP(A49,'Revitalisation-Revitalisierung'!$A$4:$Z$275,13,FALSE)="","",VLOOKUP(A49,'Revitalisation-Revitalisierung'!$A$4:$Z$275,13,FALSE))</f>
        <v>Partiellement nécessaire, facile / teilweise nötig, einfach</v>
      </c>
      <c r="BK49" s="870" t="str">
        <f>IF(VLOOKUP(A49,'Revitalisation-Revitalisierung'!$A$4:$Z$275,14,FALSE)="","",VLOOKUP(A49,'Revitalisation-Revitalisierung'!$A$4:$Z$275,14,FALSE))</f>
        <v>b</v>
      </c>
      <c r="BL49" s="758" t="str">
        <f>IF(VLOOKUP(A49,'Revitalisation-Revitalisierung'!$A$4:$Z$275,15,FALSE)="","",VLOOKUP(A49,'Revitalisation-Revitalisierung'!$A$4:$Z$275,15,FALSE))</f>
        <v>gross</v>
      </c>
      <c r="BM49" s="759" t="str">
        <f>IF(VLOOKUP(A49,'Revitalisation-Revitalisierung'!$A$4:$Z$275,16,FALSE)="","",VLOOKUP(A49,'Revitalisation-Revitalisierung'!$A$4:$Z$275,16,FALSE))</f>
        <v>natürlich/mittel</v>
      </c>
      <c r="BN49" s="759" t="str">
        <f>IF(VLOOKUP(A49,'Revitalisation-Revitalisierung'!$A$4:$Z$275,17,FALSE)="","",VLOOKUP(A49,'Revitalisation-Revitalisierung'!$A$4:$Z$275,17,FALSE))</f>
        <v>tief</v>
      </c>
      <c r="BO49" s="760" t="str">
        <f>IF(VLOOKUP(A49,'Revitalisation-Revitalisierung'!$A$4:$Z$275,18,FALSE)="","",VLOOKUP(A49,'Revitalisation-Revitalisierung'!$A$4:$Z$275,18,FALSE))</f>
        <v>Non nécessaire / nicht nötig</v>
      </c>
      <c r="BP49" s="761" t="str">
        <f>IF(VLOOKUP(A49,'Revitalisation-Revitalisierung'!$A$4:$Z$275,19,FALSE)="","",VLOOKUP(A49,'Revitalisation-Revitalisierung'!$A$4:$Z$275,19,FALSE))</f>
        <v>Non nécessaire / nicht nötig</v>
      </c>
      <c r="BQ49" s="759" t="str">
        <f>IF(VLOOKUP(A49,'Revitalisation-Revitalisierung'!$A$4:$Z$275,20,FALSE)="","",VLOOKUP(A49,'Revitalisation-Revitalisierung'!$A$4:$Z$275,20,FALSE))</f>
        <v>c</v>
      </c>
      <c r="BR49" s="759" t="str">
        <f>IF(VLOOKUP(A49,'Revitalisation-Revitalisierung'!$A$4:$Z$275,21,FALSE)="","",VLOOKUP(A49,'Revitalisation-Revitalisierung'!$A$4:$Z$275,21,FALSE))</f>
        <v/>
      </c>
      <c r="BS49" s="762" t="str">
        <f>IF(VLOOKUP(A49,'Revitalisation-Revitalisierung'!$A$4:$Z$275,22,FALSE)="","",VLOOKUP(A49,'Revitalisation-Revitalisierung'!$A$4:$Z$275,22,FALSE))</f>
        <v/>
      </c>
      <c r="BT49" s="704" t="str">
        <f>IF(VLOOKUP(A49,'Revitalisation-Revitalisierung'!$A$4:$Z$275,23,FALSE)="","",VLOOKUP(A49,'Revitalisation-Revitalisierung'!$A$4:$Z$275,23,FALSE))</f>
        <v/>
      </c>
      <c r="BU49" s="699" t="str">
        <f>IF(VLOOKUP(A49,'Revitalisation-Revitalisierung'!$A$4:$Z$275,24,FALSE)="","",VLOOKUP(A49,'Revitalisation-Revitalisierung'!$A$4:$Z$275,24,FALSE))</f>
        <v>Modifier Nutzen : gross/gering
 Modifier Priorität : gross / gering</v>
      </c>
      <c r="BV49" s="761" t="str">
        <f>IF(VLOOKUP(A49,'Revitalisation-Revitalisierung'!$A$4:$Z$275,25,FALSE)="","",VLOOKUP(A49,'Revitalisation-Revitalisierung'!$A$4:$Z$275,25,FALSE))</f>
        <v>Partiellement nécessaire, facile / teilweise nötig, einfach</v>
      </c>
      <c r="BW49" s="871" t="str">
        <f>IF(VLOOKUP(A49,'Revitalisation-Revitalisierung'!$A$4:$AA$275,27,FALSE)="","",VLOOKUP(A49,'Revitalisation-Revitalisierung'!$A$4:$AA$275,27,FALSE))</f>
        <v>b</v>
      </c>
    </row>
    <row r="50" spans="1:75" ht="55.15" customHeight="1" x14ac:dyDescent="0.25">
      <c r="A50" s="935">
        <v>64</v>
      </c>
      <c r="B50" s="856">
        <f>IF(VLOOKUP(A50,'Données de base - Grunddaten'!$A$2:$M$297,2,FALSE)="","",VLOOKUP(A50,'Données de base - Grunddaten'!$A$2:$M$297,2,FALSE))</f>
        <v>1</v>
      </c>
      <c r="C50" s="857" t="str">
        <f>IF(VLOOKUP(A50,'Données de base - Grunddaten'!$A$2:$M$297,3,FALSE)="","",VLOOKUP(A50,'Données de base - Grunddaten'!$A$2:$M$297,3,FALSE))</f>
        <v>Broc</v>
      </c>
      <c r="D50" s="857" t="str">
        <f>IF(VLOOKUP(A50,'Données de base - Grunddaten'!$A$2:$M$297,4,FALSE)="","",VLOOKUP(A50,'Données de base - Grunddaten'!$A$2:$M$297,4,FALSE))</f>
        <v>La Sarine, La Jogne, Lac de Gruyère</v>
      </c>
      <c r="E50" s="857" t="str">
        <f>IF(VLOOKUP(A50,'Données de base - Grunddaten'!$A$2:$M$297,5,FALSE)="","",VLOOKUP(A50,'Données de base - Grunddaten'!$A$2:$M$297,5,FALSE))</f>
        <v>FR</v>
      </c>
      <c r="F50" s="857" t="str">
        <f>IF(VLOOKUP(A50,'Données de base - Grunddaten'!$A$2:$M$297,6,FALSE)="","",VLOOKUP(A50,'Données de base - Grunddaten'!$A$2:$M$297,6,FALSE))</f>
        <v>Préalpes, Plateau occidental</v>
      </c>
      <c r="G50" s="857" t="str">
        <f>IF(VLOOKUP(A50,'Données de base - Grunddaten'!$A$2:$M$297,7,FALSE)="","",VLOOKUP(A50,'Données de base - Grunddaten'!$A$2:$M$297,7,FALSE))</f>
        <v>Montagnard inf.</v>
      </c>
      <c r="H50" s="857">
        <f>IF(VLOOKUP(A50,'Données de base - Grunddaten'!$A$2:$M$297,8,FALSE)="","",VLOOKUP(A50,'Données de base - Grunddaten'!$A$2:$M$297,8,FALSE))</f>
        <v>670</v>
      </c>
      <c r="I50" s="857">
        <f>IF(VLOOKUP(A50,'Données de base - Grunddaten'!$A$2:$M$297,9,FALSE)="","",VLOOKUP(A50,'Données de base - Grunddaten'!$A$2:$M$297,9,FALSE))</f>
        <v>2003</v>
      </c>
      <c r="J50" s="857">
        <f>IF(VLOOKUP(A50,'Données de base - Grunddaten'!$A$2:$M$297,10,FALSE)="","",VLOOKUP(A50,'Données de base - Grunddaten'!$A$2:$M$297,10,FALSE))</f>
        <v>102</v>
      </c>
      <c r="K50" s="857" t="str">
        <f>IF(VLOOKUP(A50,'Données de base - Grunddaten'!$A$2:$M$297,11,FALSE)="","",VLOOKUP(A50,'Données de base - Grunddaten'!$A$2:$M$297,11,FALSE))</f>
        <v>Rives de lacs de retenue des étages collinéen et montagnard</v>
      </c>
      <c r="L50" s="857" t="str">
        <f>IF(VLOOKUP(A50,'Données de base - Grunddaten'!$A$2:$M$297,12,FALSE)="","",VLOOKUP(A50,'Données de base - Grunddaten'!$A$2:$M$297,12,FALSE))</f>
        <v>cours encaissé</v>
      </c>
      <c r="M50" s="858" t="str">
        <f>IF(VLOOKUP(A50,'Données de base - Grunddaten'!$A$2:$M$297,13,FALSE)="","",VLOOKUP(A50,'Données de base - Grunddaten'!$A$2:$M$297,13,FALSE))</f>
        <v>cours encaissé</v>
      </c>
      <c r="N50" s="891" t="str">
        <f>IF(VLOOKUP(A50,'Charriage - Geschiebehaushalt'!$A$4:$R$275,5,FALSE)="","",VLOOKUP(A50,'Charriage - Geschiebehaushalt'!$A$4:$R$275,5,FALSE))</f>
        <v>non pertinent</v>
      </c>
      <c r="O50" s="881" t="str">
        <f>IF(VLOOKUP(A50,'Charriage - Geschiebehaushalt'!$A$4:$R$275,6,FALSE)="","",VLOOKUP(A50,'Charriage - Geschiebehaushalt'!$A$4:$R$275,6,FALSE))</f>
        <v/>
      </c>
      <c r="P50" s="874" t="str">
        <f>IF(VLOOKUP(A50,'Charriage - Geschiebehaushalt'!$A$4:$R$275,7,FALSE)="","",VLOOKUP(A50,'Charriage - Geschiebehaushalt'!$A$4:$R$275,7,FALSE))</f>
        <v/>
      </c>
      <c r="Q50" s="874" t="str">
        <f>IF(VLOOKUP(A50,'Charriage - Geschiebehaushalt'!$A$4:$R$275,8,FALSE)="","",VLOOKUP(A50,'Charriage - Geschiebehaushalt'!$A$4:$R$275,8,FALSE))</f>
        <v>non documenté</v>
      </c>
      <c r="R50" s="875">
        <f>IF(VLOOKUP(A50,'Charriage - Geschiebehaushalt'!$A$4:$R$275,9,FALSE)="","",VLOOKUP(A50,'Charriage - Geschiebehaushalt'!$A$4:$R$275,9,FALSE))</f>
        <v>0.269722201881334</v>
      </c>
      <c r="S50" s="876" t="str">
        <f>IF(VLOOKUP(A50,'Charriage - Geschiebehaushalt'!$A$4:$R$275,10,FALSE)="","",VLOOKUP(A50,'Charriage - Geschiebehaushalt'!$A$4:$R$275,10,FALSE))</f>
        <v>la remobilisation des sédiments est perturbée</v>
      </c>
      <c r="T50" s="875">
        <f>IF(VLOOKUP(A50,'Charriage - Geschiebehaushalt'!$A$4:$R$275,11,FALSE)="","",VLOOKUP(A50,'Charriage - Geschiebehaushalt'!$A$4:$R$275,11,FALSE))</f>
        <v>0.50057435262000005</v>
      </c>
      <c r="U50" s="876" t="str">
        <f>IF(VLOOKUP(A50,'Charriage - Geschiebehaushalt'!$A$4:$R$275,12,FALSE)="","",VLOOKUP(A50,'Charriage - Geschiebehaushalt'!$A$4:$R$275,12,FALSE))</f>
        <v>déficit non apparent en charriage ou en remobilisation des sédiments</v>
      </c>
      <c r="V50" s="877" t="str">
        <f>IF(VLOOKUP(A50,'Charriage - Geschiebehaushalt'!$A$4:$R$275,13,FALSE)="","",VLOOKUP(A50,'Charriage - Geschiebehaushalt'!$A$4:$R$275,13,FALSE))</f>
        <v/>
      </c>
      <c r="W50" s="877" t="str">
        <f>IF(VLOOKUP(A50,'Charriage - Geschiebehaushalt'!$A$4:$R$275,14,FALSE)="","",VLOOKUP(A50,'Charriage - Geschiebehaushalt'!$A$4:$R$275,14,FALSE))</f>
        <v/>
      </c>
      <c r="X50" s="877" t="str">
        <f>IF(VLOOKUP(A50,'Charriage - Geschiebehaushalt'!$A$4:$R$275,15,FALSE)="","",VLOOKUP(A50,'Charriage - Geschiebehaushalt'!$A$4:$R$275,15,FALSE))</f>
        <v/>
      </c>
      <c r="Y50" s="879" t="str">
        <f>IF(VLOOKUP(A50,'Charriage - Geschiebehaushalt'!$A$4:$R$275,16,FALSE)="","",VLOOKUP(A50,'Charriage - Geschiebehaushalt'!$A$4:$R$275,16,FALSE))</f>
        <v/>
      </c>
      <c r="Z50" s="763" t="str">
        <f>IF(VLOOKUP(A50,'Charriage - Geschiebehaushalt'!$A$4:$R$275,17,FALSE)="","",VLOOKUP(A50,'Charriage - Geschiebehaushalt'!$A$4:$R$275,17,FALSE))</f>
        <v>Charriage présumé perturbé / Geschiebehaushalt vermutlich beeinträchtigt</v>
      </c>
      <c r="AA50" s="880" t="str">
        <f>IF(VLOOKUP(A50,'Charriage - Geschiebehaushalt'!$A$4:$R$275,18,FALSE)="","",VLOOKUP(A50,'Charriage - Geschiebehaushalt'!$A$4:$R$275,18,FALSE))</f>
        <v>b</v>
      </c>
      <c r="AB50" s="737" t="str">
        <f>IF(VLOOKUP(A50,'Charriage - Geschiebehaushalt'!$A$4:$AC$275,19,FALSE)="","",VLOOKUP(A50,'Charriage - Geschiebehaushalt'!$A$4:$AC$275,19,FALSE))</f>
        <v>stark</v>
      </c>
      <c r="AC50" s="738" t="str">
        <f>IF(VLOOKUP(A50,'Charriage - Geschiebehaushalt'!$A$4:$AC$275,20,FALSE)="","",VLOOKUP(A50,'Charriage - Geschiebehaushalt'!$A$4:$AC$275,20,FALSE))</f>
        <v>1 (2020)</v>
      </c>
      <c r="AD50" s="764" t="str">
        <f>IF(VLOOKUP(A50,'Charriage - Geschiebehaushalt'!$A$4:$AC$275,21,FALSE)="","",VLOOKUP(A50,'Charriage - Geschiebehaushalt'!$A$4:$AC$275,21,FALSE))</f>
        <v>51-80%</v>
      </c>
      <c r="AE50" s="740" t="str">
        <f>IF(VLOOKUP(A50,'Charriage - Geschiebehaushalt'!$A$4:$AC$275,22,FALSE)="","",VLOOKUP(A50,'Charriage - Geschiebehaushalt'!$A$4:$AC$275,22,FALSE))</f>
        <v>51-80%</v>
      </c>
      <c r="AF50" s="787" t="str">
        <f>IF(VLOOKUP(A50,'Charriage - Geschiebehaushalt'!$A$4:$AC$275,23,FALSE)="","",VLOOKUP(A50,'Charriage - Geschiebehaushalt'!$A$4:$AC$275,23,FALSE))</f>
        <v>d</v>
      </c>
      <c r="AG50" s="765" t="str">
        <f>IF(VLOOKUP(A50,'Charriage - Geschiebehaushalt'!$A$4:$AC$275,24,FALSE)="","",VLOOKUP(A50,'Charriage - Geschiebehaushalt'!$A$4:$AC$275,24,FALSE))</f>
        <v/>
      </c>
      <c r="AH50" s="764" t="str">
        <f>IF(VLOOKUP(A50,'Charriage - Geschiebehaushalt'!$A$4:$AC$275,25,FALSE)="","",VLOOKUP(A50,'Charriage - Geschiebehaushalt'!$A$4:$AC$275,25,FALSE))</f>
        <v/>
      </c>
      <c r="AI50" s="433" t="str">
        <f>IF(VLOOKUP(A50,'Charriage - Geschiebehaushalt'!$A$4:$AC$275,26,FALSE)="","",VLOOKUP(A50,'Charriage - Geschiebehaushalt'!$A$4:$AC$275,26,FALSE))</f>
        <v/>
      </c>
      <c r="AJ50" s="436" t="str">
        <f>IF(VLOOKUP(A50,'Charriage - Geschiebehaushalt'!$A$4:$AC$275,27,FALSE)="","",VLOOKUP(A50,'Charriage - Geschiebehaushalt'!$A$4:$AC$275,27,FALSE))</f>
        <v>OK</v>
      </c>
      <c r="AK50" s="801" t="str">
        <f>IF(VLOOKUP(A50,'Charriage - Geschiebehaushalt'!$A$4:$AC$275,28,FALSE)="","",VLOOKUP(A50,'Charriage - Geschiebehaushalt'!$A$4:$AC$275,28,FALSE))</f>
        <v>51-80%</v>
      </c>
      <c r="AL50" s="1285" t="str">
        <f>IF(VLOOKUP(A50,'Charriage - Geschiebehaushalt'!$A$4:$AD$275,30,FALSE)="","",VLOOKUP(A50,'Charriage - Geschiebehaushalt'!$A$4:$AD$275,30,FALSE))</f>
        <v>a</v>
      </c>
      <c r="AM50" s="1279" t="str">
        <f>IF(VLOOKUP(A50,'Débit - Abfluss'!$A$4:$K$275,5,FALSE)="","",VLOOKUP(A50,'Débit - Abfluss'!$A$4:$M$275,5,FALSE))</f>
        <v>non pertinent</v>
      </c>
      <c r="AN50" s="868" t="str">
        <f>IF(VLOOKUP(A50,'Débit - Abfluss'!$A$4:$K$275,6,FALSE)="","",VLOOKUP(A50,'Débit - Abfluss'!$A$4:$M$275,6,FALSE))</f>
        <v/>
      </c>
      <c r="AO50" s="869" t="str">
        <f>IF(VLOOKUP(A50,'Débit - Abfluss'!$A$4:$K$275,7,FALSE)="","",VLOOKUP(A50,'Débit - Abfluss'!$A$4:$M$275,7,FALSE))</f>
        <v/>
      </c>
      <c r="AP50" s="766" t="str">
        <f>IF(VLOOKUP(A50,'Débit - Abfluss'!$A$4:$K$275,8,FALSE)="","",VLOOKUP(A50,'Débit - Abfluss'!$A$4:$M$275,8,FALSE))</f>
        <v>non pertinent / nicht relevant</v>
      </c>
      <c r="AQ50" s="742" t="str">
        <f>IF(VLOOKUP(A50,'Débit - Abfluss'!$A$4:$K$275,9,FALSE)="","",VLOOKUP(A50,'Débit - Abfluss'!$A$4:$M$275,9,FALSE))</f>
        <v>-</v>
      </c>
      <c r="AR50" s="767" t="str">
        <f>IF(VLOOKUP(A50,'Débit - Abfluss'!$A$4:$K$275,10,FALSE)="","",VLOOKUP(A50,'Débit - Abfluss'!$A$4:$M$275,10,FALSE))</f>
        <v>non pertinent / nicht relevant</v>
      </c>
      <c r="AS50" s="767" t="str">
        <f>IF(VLOOKUP(A50,'Débit - Abfluss'!$A$4:$K$275,11,FALSE)="","",VLOOKUP(A50,'Débit - Abfluss'!$A$4:$M$275,11,FALSE))</f>
        <v/>
      </c>
      <c r="AT50" s="744" t="str">
        <f>IF(VLOOKUP(A50,'Débit - Abfluss'!$A$4:$Q$275,12,FALSE)="","",VLOOKUP(A50,'Débit - Abfluss'!$A$4:$Q$275,12,FALSE))</f>
        <v/>
      </c>
      <c r="AU50" s="745" t="str">
        <f>IF(VLOOKUP(A50,'Débit - Abfluss'!$A$4:$Q$275,13,FALSE)="","",VLOOKUP(A50,'Débit - Abfluss'!$A$4:$Q$275,13,FALSE))</f>
        <v/>
      </c>
      <c r="AV50" s="746" t="str">
        <f>IF(VLOOKUP(A50,'Débit - Abfluss'!$A$4:$Q$275,14,FALSE)="","",VLOOKUP(A50,'Débit - Abfluss'!$A$4:$Q$275,14,FALSE))</f>
        <v/>
      </c>
      <c r="AW50" s="768" t="str">
        <f>IF(VLOOKUP(A50,'Débit - Abfluss'!$A$4:$Q$275,15,FALSE)="","",VLOOKUP(A50,'Débit - Abfluss'!$A$4:$Q$275,15,FALSE))</f>
        <v/>
      </c>
      <c r="AX50" s="677" t="str">
        <f>IF(VLOOKUP(A50,'Débit - Abfluss'!$A$4:$Q$275,16,FALSE)="","",VLOOKUP(A50,'Débit - Abfluss'!$A$4:$Q$275,16,FALSE))</f>
        <v/>
      </c>
      <c r="AY50" s="769" t="str">
        <f>IF(VLOOKUP(A50,'Débit - Abfluss'!$A$4:$Q$275,17,FALSE)="","",VLOOKUP(A50,'Débit - Abfluss'!$A$4:$Q$275,17,FALSE))</f>
        <v>non pertinent / nicht relevant</v>
      </c>
      <c r="AZ50" s="749" t="str">
        <f>IF(VLOOKUP(A50,'Eclusée - Schwall-Sunk'!$A$2:$F$273,5,FALSE)="","",VLOOKUP(A50,'Eclusée - Schwall-Sunk'!$A$2:$F$273,5,FALSE))</f>
        <v/>
      </c>
      <c r="BA50" s="750" t="str">
        <f>IF(VLOOKUP(A50,'Eclusée - Schwall-Sunk'!$A$2:$F$273,6,FALSE)="","",VLOOKUP(A50,'Eclusée - Schwall-Sunk'!$A$2:$F$273,6,FALSE))</f>
        <v>Potentiellement affecté / möglicherweise betroffen</v>
      </c>
      <c r="BB50" s="751">
        <f>IF(VLOOKUP(A50,'Revitalisation-Revitalisierung'!$A$4:$Z$275,5,FALSE)="","",VLOOKUP(A50,'Revitalisation-Revitalisierung'!$A$4:$Z$275,5,FALSE))</f>
        <v>6.6818181818181817</v>
      </c>
      <c r="BC50" s="752">
        <f>IF(VLOOKUP(A50,'Revitalisation-Revitalisierung'!$A$4:$Z$275,6,FALSE)="","",VLOOKUP(A50,'Revitalisation-Revitalisierung'!$A$4:$Z$275,6,FALSE))</f>
        <v>13.50376652335121</v>
      </c>
      <c r="BD50" s="752">
        <f>IF(VLOOKUP(A50,'Revitalisation-Revitalisierung'!$A$4:$Z$275,7,FALSE)="","",VLOOKUP(A50,'Revitalisation-Revitalisierung'!$A$4:$Z$275,7,FALSE))</f>
        <v>6.8181818181818183</v>
      </c>
      <c r="BE50" s="920" t="str">
        <f>IF(VLOOKUP(A50,'Revitalisation-Revitalisierung'!$A$4:$Z$275,8,FALSE)="","",VLOOKUP(A50,'Revitalisation-Revitalisierung'!$A$4:$Z$275,8,FALSE))</f>
        <v>peu nécessaire, facile</v>
      </c>
      <c r="BF50" s="754" t="str">
        <f>IF(VLOOKUP(A50,'Revitalisation-Revitalisierung'!$A$4:$Z$275,9,FALSE)="","",VLOOKUP(A50,'Revitalisation-Revitalisierung'!$A$4:$Z$275,9,FALSE))</f>
        <v>leicht</v>
      </c>
      <c r="BG50" s="754" t="str">
        <f>IF(VLOOKUP(A50,'Revitalisation-Revitalisierung'!$A$4:$Z$275,10,FALSE)="","",VLOOKUP(A50,'Revitalisation-Revitalisierung'!$A$4:$Z$275,10,FALSE))</f>
        <v>K1</v>
      </c>
      <c r="BH50" s="755" t="str">
        <f>IF(VLOOKUP(A50,'Revitalisation-Revitalisierung'!$A$4:$Z$275,11,FALSE)="","",VLOOKUP(A50,'Revitalisation-Revitalisierung'!$A$4:$Z$275,11,FALSE))</f>
        <v/>
      </c>
      <c r="BI50" s="756" t="str">
        <f>IF(VLOOKUP(A50,'Revitalisation-Revitalisierung'!$A$4:$Z$275,12,FALSE)="","",VLOOKUP(A50,'Revitalisation-Revitalisierung'!$A$4:$Z$275,12,FALSE))</f>
        <v/>
      </c>
      <c r="BJ50" s="757" t="str">
        <f>IF(VLOOKUP(A50,'Revitalisation-Revitalisierung'!$A$4:$Z$275,13,FALSE)="","",VLOOKUP(A50,'Revitalisation-Revitalisierung'!$A$4:$Z$275,13,FALSE))</f>
        <v>Partiellement nécessaire, facile / teilweise nötig, einfach</v>
      </c>
      <c r="BK50" s="870" t="str">
        <f>IF(VLOOKUP(A50,'Revitalisation-Revitalisierung'!$A$4:$Z$275,14,FALSE)="","",VLOOKUP(A50,'Revitalisation-Revitalisierung'!$A$4:$Z$275,14,FALSE))</f>
        <v>a</v>
      </c>
      <c r="BL50" s="758" t="str">
        <f>IF(VLOOKUP(A50,'Revitalisation-Revitalisierung'!$A$4:$Z$275,15,FALSE)="","",VLOOKUP(A50,'Revitalisation-Revitalisierung'!$A$4:$Z$275,15,FALSE))</f>
        <v>gross</v>
      </c>
      <c r="BM50" s="759" t="str">
        <f>IF(VLOOKUP(A50,'Revitalisation-Revitalisierung'!$A$4:$Z$275,16,FALSE)="","",VLOOKUP(A50,'Revitalisation-Revitalisierung'!$A$4:$Z$275,16,FALSE))</f>
        <v>gross/gering</v>
      </c>
      <c r="BN50" s="759" t="str">
        <f>IF(VLOOKUP(A50,'Revitalisation-Revitalisierung'!$A$4:$Z$275,17,FALSE)="","",VLOOKUP(A50,'Revitalisation-Revitalisierung'!$A$4:$Z$275,17,FALSE))</f>
        <v>hoch</v>
      </c>
      <c r="BO50" s="760" t="str">
        <f>IF(VLOOKUP(A50,'Revitalisation-Revitalisierung'!$A$4:$Z$275,18,FALSE)="","",VLOOKUP(A50,'Revitalisation-Revitalisierung'!$A$4:$Z$275,18,FALSE))</f>
        <v>Très nécessaire, facile / unbedingt nötig, einfach</v>
      </c>
      <c r="BP50" s="761" t="str">
        <f>IF(VLOOKUP(A50,'Revitalisation-Revitalisierung'!$A$4:$Z$275,19,FALSE)="","",VLOOKUP(A50,'Revitalisation-Revitalisierung'!$A$4:$Z$275,19,FALSE))</f>
        <v>Très nécessaire, facile / unbedingt nötig, einfach</v>
      </c>
      <c r="BQ50" s="759" t="str">
        <f>IF(VLOOKUP(A50,'Revitalisation-Revitalisierung'!$A$4:$Z$275,20,FALSE)="","",VLOOKUP(A50,'Revitalisation-Revitalisierung'!$A$4:$Z$275,20,FALSE))</f>
        <v>c</v>
      </c>
      <c r="BR50" s="759" t="str">
        <f>IF(VLOOKUP(A50,'Revitalisation-Revitalisierung'!$A$4:$Z$275,21,FALSE)="","",VLOOKUP(A50,'Revitalisation-Revitalisierung'!$A$4:$Z$275,21,FALSE))</f>
        <v/>
      </c>
      <c r="BS50" s="762" t="str">
        <f>IF(VLOOKUP(A50,'Revitalisation-Revitalisierung'!$A$4:$Z$275,22,FALSE)="","",VLOOKUP(A50,'Revitalisation-Revitalisierung'!$A$4:$Z$275,22,FALSE))</f>
        <v/>
      </c>
      <c r="BT50" s="703" t="str">
        <f>IF(VLOOKUP(A50,'Revitalisation-Revitalisierung'!$A$4:$Z$275,23,FALSE)="","",VLOOKUP(A50,'Revitalisation-Revitalisierung'!$A$4:$Z$275,23,FALSE))</f>
        <v/>
      </c>
      <c r="BU50" s="699" t="str">
        <f>IF(VLOOKUP(A50,'Revitalisation-Revitalisierung'!$A$4:$Z$275,24,FALSE)="","",VLOOKUP(A50,'Revitalisation-Revitalisierung'!$A$4:$Z$275,24,FALSE))</f>
        <v>Modifier Poten éco : Gross/mittel
 Modifier Priorität : hochl / gering</v>
      </c>
      <c r="BV50" s="761" t="str">
        <f>IF(VLOOKUP(A50,'Revitalisation-Revitalisierung'!$A$4:$Z$275,25,FALSE)="","",VLOOKUP(A50,'Revitalisation-Revitalisierung'!$A$4:$Z$275,25,FALSE))</f>
        <v>Très nécessaire, facile / unbedingt nötig, einfach</v>
      </c>
      <c r="BW50" s="871" t="str">
        <f>IF(VLOOKUP(A50,'Revitalisation-Revitalisierung'!$A$4:$AA$275,27,FALSE)="","",VLOOKUP(A50,'Revitalisation-Revitalisierung'!$A$4:$AA$275,27,FALSE))</f>
        <v>a</v>
      </c>
    </row>
    <row r="51" spans="1:75" ht="159.6" customHeight="1" x14ac:dyDescent="0.2">
      <c r="A51" s="935">
        <v>65</v>
      </c>
      <c r="B51" s="856">
        <f>IF(VLOOKUP(A51,'Données de base - Grunddaten'!$A$2:$M$297,2,FALSE)="","",VLOOKUP(A51,'Données de base - Grunddaten'!$A$2:$M$297,2,FALSE))</f>
        <v>1</v>
      </c>
      <c r="C51" s="857" t="str">
        <f>IF(VLOOKUP(A51,'Données de base - Grunddaten'!$A$2:$M$297,3,FALSE)="","",VLOOKUP(A51,'Données de base - Grunddaten'!$A$2:$M$297,3,FALSE))</f>
        <v>Les Auges d'Estavannens</v>
      </c>
      <c r="D51" s="857" t="str">
        <f>IF(VLOOKUP(A51,'Données de base - Grunddaten'!$A$2:$M$297,4,FALSE)="","",VLOOKUP(A51,'Données de base - Grunddaten'!$A$2:$M$297,4,FALSE))</f>
        <v>La Sarine</v>
      </c>
      <c r="E51" s="857" t="str">
        <f>IF(VLOOKUP(A51,'Données de base - Grunddaten'!$A$2:$M$297,5,FALSE)="","",VLOOKUP(A51,'Données de base - Grunddaten'!$A$2:$M$297,5,FALSE))</f>
        <v>FR</v>
      </c>
      <c r="F51" s="857" t="str">
        <f>IF(VLOOKUP(A51,'Données de base - Grunddaten'!$A$2:$M$297,6,FALSE)="","",VLOOKUP(A51,'Données de base - Grunddaten'!$A$2:$M$297,6,FALSE))</f>
        <v>Préalpes</v>
      </c>
      <c r="G51" s="857" t="str">
        <f>IF(VLOOKUP(A51,'Données de base - Grunddaten'!$A$2:$M$297,7,FALSE)="","",VLOOKUP(A51,'Données de base - Grunddaten'!$A$2:$M$297,7,FALSE))</f>
        <v>Montagnard inf.</v>
      </c>
      <c r="H51" s="857">
        <f>IF(VLOOKUP(A51,'Données de base - Grunddaten'!$A$2:$M$297,8,FALSE)="","",VLOOKUP(A51,'Données de base - Grunddaten'!$A$2:$M$297,8,FALSE))</f>
        <v>700</v>
      </c>
      <c r="I51" s="857">
        <f>IF(VLOOKUP(A51,'Données de base - Grunddaten'!$A$2:$M$297,9,FALSE)="","",VLOOKUP(A51,'Données de base - Grunddaten'!$A$2:$M$297,9,FALSE))</f>
        <v>1992</v>
      </c>
      <c r="J51" s="857">
        <f>IF(VLOOKUP(A51,'Données de base - Grunddaten'!$A$2:$M$297,10,FALSE)="","",VLOOKUP(A51,'Données de base - Grunddaten'!$A$2:$M$297,10,FALSE))</f>
        <v>42</v>
      </c>
      <c r="K51" s="857" t="str">
        <f>IF(VLOOKUP(A51,'Données de base - Grunddaten'!$A$2:$M$297,11,FALSE)="","",VLOOKUP(A51,'Données de base - Grunddaten'!$A$2:$M$297,11,FALSE))</f>
        <v>Cours d'eau corrigés de l'étage montagnard</v>
      </c>
      <c r="L51" s="857" t="str">
        <f>IF(VLOOKUP(A51,'Données de base - Grunddaten'!$A$2:$M$297,12,FALSE)="","",VLOOKUP(A51,'Données de base - Grunddaten'!$A$2:$M$297,12,FALSE))</f>
        <v>en tresses</v>
      </c>
      <c r="M51" s="858" t="str">
        <f>IF(VLOOKUP(A51,'Données de base - Grunddaten'!$A$2:$M$297,13,FALSE)="","",VLOOKUP(A51,'Données de base - Grunddaten'!$A$2:$M$297,13,FALSE))</f>
        <v>cours rectiligne</v>
      </c>
      <c r="N51" s="872" t="str">
        <f>IF(VLOOKUP(A51,'Charriage - Geschiebehaushalt'!$A$4:$R$275,5,FALSE)="","",VLOOKUP(A51,'Charriage - Geschiebehaushalt'!$A$4:$R$275,5,FALSE))</f>
        <v>pertinent</v>
      </c>
      <c r="O51" s="881" t="str">
        <f>IF(VLOOKUP(A51,'Charriage - Geschiebehaushalt'!$A$4:$R$275,6,FALSE)="","",VLOOKUP(A51,'Charriage - Geschiebehaushalt'!$A$4:$R$275,6,FALSE))</f>
        <v>non documenté</v>
      </c>
      <c r="P51" s="874">
        <f>IF(VLOOKUP(A51,'Charriage - Geschiebehaushalt'!$A$4:$R$275,7,FALSE)="","",VLOOKUP(A51,'Charriage - Geschiebehaushalt'!$A$4:$R$275,7,FALSE))</f>
        <v>-2</v>
      </c>
      <c r="Q51" s="898" t="str">
        <f>IF(VLOOKUP(A51,'Charriage - Geschiebehaushalt'!$A$4:$R$275,8,FALSE)="","",VLOOKUP(A51,'Charriage - Geschiebehaushalt'!$A$4:$R$275,8,FALSE))</f>
        <v>problème lié à un manque de charriage ou à un manque de remobilisation des sédiments</v>
      </c>
      <c r="R51" s="875">
        <f>IF(VLOOKUP(A51,'Charriage - Geschiebehaushalt'!$A$4:$R$275,9,FALSE)="","",VLOOKUP(A51,'Charriage - Geschiebehaushalt'!$A$4:$R$275,9,FALSE))</f>
        <v>0.45556250281427402</v>
      </c>
      <c r="S51" s="876" t="str">
        <f>IF(VLOOKUP(A51,'Charriage - Geschiebehaushalt'!$A$4:$R$275,10,FALSE)="","",VLOOKUP(A51,'Charriage - Geschiebehaushalt'!$A$4:$R$275,10,FALSE))</f>
        <v>la remobilisation des sédiments est perturbée</v>
      </c>
      <c r="T51" s="875">
        <f>IF(VLOOKUP(A51,'Charriage - Geschiebehaushalt'!$A$4:$R$275,11,FALSE)="","",VLOOKUP(A51,'Charriage - Geschiebehaushalt'!$A$4:$R$275,11,FALSE))</f>
        <v>3.0341068857000001E-2</v>
      </c>
      <c r="U51" s="876" t="str">
        <f>IF(VLOOKUP(A51,'Charriage - Geschiebehaushalt'!$A$4:$R$275,12,FALSE)="","",VLOOKUP(A51,'Charriage - Geschiebehaushalt'!$A$4:$R$275,12,FALSE))</f>
        <v>déficit dans les formations pionnières</v>
      </c>
      <c r="V51" s="877" t="str">
        <f>IF(VLOOKUP(A51,'Charriage - Geschiebehaushalt'!$A$4:$R$275,13,FALSE)="","",VLOOKUP(A51,'Charriage - Geschiebehaushalt'!$A$4:$R$275,13,FALSE))</f>
        <v/>
      </c>
      <c r="W51" s="877" t="str">
        <f>IF(VLOOKUP(A51,'Charriage - Geschiebehaushalt'!$A$4:$R$275,14,FALSE)="","",VLOOKUP(A51,'Charriage - Geschiebehaushalt'!$A$4:$R$275,14,FALSE))</f>
        <v/>
      </c>
      <c r="X51" s="877" t="str">
        <f>IF(VLOOKUP(A51,'Charriage - Geschiebehaushalt'!$A$4:$R$275,15,FALSE)="","",VLOOKUP(A51,'Charriage - Geschiebehaushalt'!$A$4:$R$275,15,FALSE))</f>
        <v/>
      </c>
      <c r="Y51" s="879" t="str">
        <f>IF(VLOOKUP(A51,'Charriage - Geschiebehaushalt'!$A$4:$R$275,16,FALSE)="","",VLOOKUP(A51,'Charriage - Geschiebehaushalt'!$A$4:$R$275,16,FALSE))</f>
        <v/>
      </c>
      <c r="Z51" s="763" t="str">
        <f>IF(VLOOKUP(A51,'Charriage - Geschiebehaushalt'!$A$4:$R$275,17,FALSE)="","",VLOOKUP(A51,'Charriage - Geschiebehaushalt'!$A$4:$R$275,17,FALSE))</f>
        <v>Problème lié à un manque de charriage ou à un manque de remobilisation des sédiments</v>
      </c>
      <c r="AA51" s="880" t="str">
        <f>IF(VLOOKUP(A51,'Charriage - Geschiebehaushalt'!$A$4:$R$275,18,FALSE)="","",VLOOKUP(A51,'Charriage - Geschiebehaushalt'!$A$4:$R$275,18,FALSE))</f>
        <v>a</v>
      </c>
      <c r="AB51" s="737" t="str">
        <f>IF(VLOOKUP(A51,'Charriage - Geschiebehaushalt'!$A$4:$AC$275,19,FALSE)="","",VLOOKUP(A51,'Charriage - Geschiebehaushalt'!$A$4:$AC$275,19,FALSE))</f>
        <v>sehr stark</v>
      </c>
      <c r="AC51" s="738" t="str">
        <f>IF(VLOOKUP(A51,'Charriage - Geschiebehaushalt'!$A$4:$AC$275,20,FALSE)="","",VLOOKUP(A51,'Charriage - Geschiebehaushalt'!$A$4:$AC$275,20,FALSE))</f>
        <v>1 (2020)</v>
      </c>
      <c r="AD51" s="764" t="str">
        <f>IF(VLOOKUP(A51,'Charriage - Geschiebehaushalt'!$A$4:$AC$275,21,FALSE)="","",VLOOKUP(A51,'Charriage - Geschiebehaushalt'!$A$4:$AC$275,21,FALSE))</f>
        <v>81-100%</v>
      </c>
      <c r="AE51" s="740" t="str">
        <f>IF(VLOOKUP(A51,'Charriage - Geschiebehaushalt'!$A$4:$AC$275,22,FALSE)="","",VLOOKUP(A51,'Charriage - Geschiebehaushalt'!$A$4:$AC$275,22,FALSE))</f>
        <v>81-100%</v>
      </c>
      <c r="AF51" s="787" t="str">
        <f>IF(VLOOKUP(A51,'Charriage - Geschiebehaushalt'!$A$4:$AC$275,23,FALSE)="","",VLOOKUP(A51,'Charriage - Geschiebehaushalt'!$A$4:$AC$275,23,FALSE))</f>
        <v>d</v>
      </c>
      <c r="AG51" s="765" t="str">
        <f>IF(VLOOKUP(A51,'Charriage - Geschiebehaushalt'!$A$4:$AC$275,24,FALSE)="","",VLOOKUP(A51,'Charriage - Geschiebehaushalt'!$A$4:$AC$275,24,FALSE))</f>
        <v/>
      </c>
      <c r="AH51" s="764" t="str">
        <f>IF(VLOOKUP(A51,'Charriage - Geschiebehaushalt'!$A$4:$AC$275,25,FALSE)="","",VLOOKUP(A51,'Charriage - Geschiebehaushalt'!$A$4:$AC$275,25,FALSE))</f>
        <v/>
      </c>
      <c r="AI51" s="433" t="str">
        <f>IF(VLOOKUP(A51,'Charriage - Geschiebehaushalt'!$A$4:$AC$275,26,FALSE)="","",VLOOKUP(A51,'Charriage - Geschiebehaushalt'!$A$4:$AC$275,26,FALSE))</f>
        <v/>
      </c>
      <c r="AJ51" s="436" t="str">
        <f>IF(VLOOKUP(A51,'Charriage - Geschiebehaushalt'!$A$4:$AC$275,27,FALSE)="","",VLOOKUP(A51,'Charriage - Geschiebehaushalt'!$A$4:$AC$275,27,FALSE))</f>
        <v>OK</v>
      </c>
      <c r="AK51" s="801" t="str">
        <f>IF(VLOOKUP(A51,'Charriage - Geschiebehaushalt'!$A$4:$AC$275,28,FALSE)="","",VLOOKUP(A51,'Charriage - Geschiebehaushalt'!$A$4:$AC$275,28,FALSE))</f>
        <v>81-100%</v>
      </c>
      <c r="AL51" s="1285" t="str">
        <f>IF(VLOOKUP(A51,'Charriage - Geschiebehaushalt'!$A$4:$AD$275,30,FALSE)="","",VLOOKUP(A51,'Charriage - Geschiebehaushalt'!$A$4:$AD$275,30,FALSE))</f>
        <v>a</v>
      </c>
      <c r="AM51" s="1279" t="str">
        <f>IF(VLOOKUP(A51,'Débit - Abfluss'!$A$4:$K$275,5,FALSE)="","",VLOOKUP(A51,'Débit - Abfluss'!$A$4:$M$275,5,FALSE))</f>
        <v>81-100%</v>
      </c>
      <c r="AN51" s="868" t="str">
        <f>IF(VLOOKUP(A51,'Débit - Abfluss'!$A$4:$K$275,6,FALSE)="","",VLOOKUP(A51,'Débit - Abfluss'!$A$4:$M$275,6,FALSE))</f>
        <v/>
      </c>
      <c r="AO51" s="869" t="str">
        <f>IF(VLOOKUP(A51,'Débit - Abfluss'!$A$4:$K$275,7,FALSE)="","",VLOOKUP(A51,'Débit - Abfluss'!$A$4:$M$275,7,FALSE))</f>
        <v/>
      </c>
      <c r="AP51" s="766" t="str">
        <f>IF(VLOOKUP(A51,'Débit - Abfluss'!$A$4:$K$275,8,FALSE)="","",VLOOKUP(A51,'Débit - Abfluss'!$A$4:$M$275,8,FALSE))</f>
        <v>81-100%</v>
      </c>
      <c r="AQ51" s="742" t="str">
        <f>IF(VLOOKUP(A51,'Débit - Abfluss'!$A$4:$K$275,9,FALSE)="","",VLOOKUP(A51,'Débit - Abfluss'!$A$4:$M$275,9,FALSE))</f>
        <v>-</v>
      </c>
      <c r="AR51" s="767" t="str">
        <f>IF(VLOOKUP(A51,'Débit - Abfluss'!$A$4:$K$275,10,FALSE)="","",VLOOKUP(A51,'Débit - Abfluss'!$A$4:$M$275,10,FALSE))</f>
        <v>81-100%</v>
      </c>
      <c r="AS51" s="767" t="str">
        <f>IF(VLOOKUP(A51,'Débit - Abfluss'!$A$4:$K$275,11,FALSE)="","",VLOOKUP(A51,'Débit - Abfluss'!$A$4:$M$275,11,FALSE))</f>
        <v/>
      </c>
      <c r="AT51" s="744" t="str">
        <f>IF(VLOOKUP(A51,'Débit - Abfluss'!$A$4:$Q$275,12,FALSE)="","",VLOOKUP(A51,'Débit - Abfluss'!$A$4:$Q$275,12,FALSE))</f>
        <v/>
      </c>
      <c r="AU51" s="783" t="str">
        <f>IF(VLOOKUP(A51,'Débit - Abfluss'!$A$4:$Q$275,13,FALSE)="","",VLOOKUP(A51,'Débit - Abfluss'!$A$4:$Q$275,13,FALSE))</f>
        <v>Tout le débit de la Sarine passe dans la ZA (pas de tronçon court-circuité)</v>
      </c>
      <c r="AV51" s="746" t="str">
        <f>IF(VLOOKUP(A51,'Débit - Abfluss'!$A$4:$Q$275,14,FALSE)="","",VLOOKUP(A51,'Débit - Abfluss'!$A$4:$Q$275,14,FALSE))</f>
        <v/>
      </c>
      <c r="AW51" s="768" t="str">
        <f>IF(VLOOKUP(A51,'Débit - Abfluss'!$A$4:$Q$275,15,FALSE)="","",VLOOKUP(A51,'Débit - Abfluss'!$A$4:$Q$275,15,FALSE))</f>
        <v/>
      </c>
      <c r="AX51" s="677" t="str">
        <f>IF(VLOOKUP(A51,'Débit - Abfluss'!$A$4:$Q$275,16,FALSE)="","",VLOOKUP(A51,'Débit - Abfluss'!$A$4:$Q$275,16,FALSE))</f>
        <v/>
      </c>
      <c r="AY51" s="769" t="str">
        <f>IF(VLOOKUP(A51,'Débit - Abfluss'!$A$4:$Q$275,17,FALSE)="","",VLOOKUP(A51,'Débit - Abfluss'!$A$4:$Q$275,17,FALSE))</f>
        <v>81-100%</v>
      </c>
      <c r="AZ51" s="749" t="str">
        <f>IF(VLOOKUP(A51,'Eclusée - Schwall-Sunk'!$A$2:$F$273,5,FALSE)="","",VLOOKUP(A51,'Eclusée - Schwall-Sunk'!$A$2:$F$273,5,FALSE))</f>
        <v>force hydraulique</v>
      </c>
      <c r="BA51" s="750" t="str">
        <f>IF(VLOOKUP(A51,'Eclusée - Schwall-Sunk'!$A$2:$F$273,6,FALSE)="","",VLOOKUP(A51,'Eclusée - Schwall-Sunk'!$A$2:$F$273,6,FALSE))</f>
        <v>Potentiellement affecté / möglicherweise betroffen</v>
      </c>
      <c r="BB51" s="751">
        <f>IF(VLOOKUP(A51,'Revitalisation-Revitalisierung'!$A$4:$Z$275,5,FALSE)="","",VLOOKUP(A51,'Revitalisation-Revitalisierung'!$A$4:$Z$275,5,FALSE))</f>
        <v>73.354545454545459</v>
      </c>
      <c r="BC51" s="752">
        <f>IF(VLOOKUP(A51,'Revitalisation-Revitalisierung'!$A$4:$Z$275,6,FALSE)="","",VLOOKUP(A51,'Revitalisation-Revitalisierung'!$A$4:$Z$275,6,FALSE))</f>
        <v>82.926815163333345</v>
      </c>
      <c r="BD51" s="752">
        <f>IF(VLOOKUP(A51,'Revitalisation-Revitalisierung'!$A$4:$Z$275,7,FALSE)="","",VLOOKUP(A51,'Revitalisation-Revitalisierung'!$A$4:$Z$275,7,FALSE))</f>
        <v>9.545454545454545</v>
      </c>
      <c r="BE51" s="920" t="str">
        <f>IF(VLOOKUP(A51,'Revitalisation-Revitalisierung'!$A$4:$Z$275,8,FALSE)="","",VLOOKUP(A51,'Revitalisation-Revitalisierung'!$A$4:$Z$275,8,FALSE))</f>
        <v>très nécessaire, facile</v>
      </c>
      <c r="BF51" s="754" t="str">
        <f>IF(VLOOKUP(A51,'Revitalisation-Revitalisierung'!$A$4:$Z$275,9,FALSE)="","",VLOOKUP(A51,'Revitalisation-Revitalisierung'!$A$4:$Z$275,9,FALSE))</f>
        <v/>
      </c>
      <c r="BG51" s="754" t="str">
        <f>IF(VLOOKUP(A51,'Revitalisation-Revitalisierung'!$A$4:$Z$275,10,FALSE)="","",VLOOKUP(A51,'Revitalisation-Revitalisierung'!$A$4:$Z$275,10,FALSE))</f>
        <v>K2</v>
      </c>
      <c r="BH51" s="755" t="str">
        <f>IF(VLOOKUP(A51,'Revitalisation-Revitalisierung'!$A$4:$Z$275,11,FALSE)="","",VLOOKUP(A51,'Revitalisation-Revitalisierung'!$A$4:$Z$275,11,FALSE))</f>
        <v/>
      </c>
      <c r="BI51" s="756" t="str">
        <f>IF(VLOOKUP(A51,'Revitalisation-Revitalisierung'!$A$4:$Z$275,12,FALSE)="","",VLOOKUP(A51,'Revitalisation-Revitalisierung'!$A$4:$Z$275,12,FALSE))</f>
        <v/>
      </c>
      <c r="BJ51" s="757" t="str">
        <f>IF(VLOOKUP(A51,'Revitalisation-Revitalisierung'!$A$4:$Z$275,13,FALSE)="","",VLOOKUP(A51,'Revitalisation-Revitalisierung'!$A$4:$Z$275,13,FALSE))</f>
        <v>Très nécessaire, facile / unbedingt nötig, einfach</v>
      </c>
      <c r="BK51" s="870" t="str">
        <f>IF(VLOOKUP(A51,'Revitalisation-Revitalisierung'!$A$4:$Z$275,14,FALSE)="","",VLOOKUP(A51,'Revitalisation-Revitalisierung'!$A$4:$Z$275,14,FALSE))</f>
        <v>a</v>
      </c>
      <c r="BL51" s="758" t="str">
        <f>IF(VLOOKUP(A51,'Revitalisation-Revitalisierung'!$A$4:$Z$275,15,FALSE)="","",VLOOKUP(A51,'Revitalisation-Revitalisierung'!$A$4:$Z$275,15,FALSE))</f>
        <v>gross</v>
      </c>
      <c r="BM51" s="759" t="str">
        <f>IF(VLOOKUP(A51,'Revitalisation-Revitalisierung'!$A$4:$Z$275,16,FALSE)="","",VLOOKUP(A51,'Revitalisation-Revitalisierung'!$A$4:$Z$275,16,FALSE))</f>
        <v>gross/gering</v>
      </c>
      <c r="BN51" s="759" t="str">
        <f>IF(VLOOKUP(A51,'Revitalisation-Revitalisierung'!$A$4:$Z$275,17,FALSE)="","",VLOOKUP(A51,'Revitalisation-Revitalisierung'!$A$4:$Z$275,17,FALSE))</f>
        <v>hoch</v>
      </c>
      <c r="BO51" s="760" t="str">
        <f>IF(VLOOKUP(A51,'Revitalisation-Revitalisierung'!$A$4:$Z$275,18,FALSE)="","",VLOOKUP(A51,'Revitalisation-Revitalisierung'!$A$4:$Z$275,18,FALSE))</f>
        <v>Très nécessaire, facile / unbedingt nötig, einfach</v>
      </c>
      <c r="BP51" s="761" t="str">
        <f>IF(VLOOKUP(A51,'Revitalisation-Revitalisierung'!$A$4:$Z$275,19,FALSE)="","",VLOOKUP(A51,'Revitalisation-Revitalisierung'!$A$4:$Z$275,19,FALSE))</f>
        <v>Très nécessaire, facile / unbedingt nötig, einfach</v>
      </c>
      <c r="BQ51" s="759" t="str">
        <f>IF(VLOOKUP(A51,'Revitalisation-Revitalisierung'!$A$4:$Z$275,20,FALSE)="","",VLOOKUP(A51,'Revitalisation-Revitalisierung'!$A$4:$Z$275,20,FALSE))</f>
        <v>d</v>
      </c>
      <c r="BR51" s="759" t="str">
        <f>IF(VLOOKUP(A51,'Revitalisation-Revitalisierung'!$A$4:$Z$275,21,FALSE)="","",VLOOKUP(A51,'Revitalisation-Revitalisierung'!$A$4:$Z$275,21,FALSE))</f>
        <v/>
      </c>
      <c r="BS51" s="762" t="str">
        <f>IF(VLOOKUP(A51,'Revitalisation-Revitalisierung'!$A$4:$Z$275,22,FALSE)="","",VLOOKUP(A51,'Revitalisation-Revitalisierung'!$A$4:$Z$275,22,FALSE))</f>
        <v/>
      </c>
      <c r="BT51" s="703" t="str">
        <f>IF(VLOOKUP(A51,'Revitalisation-Revitalisierung'!$A$4:$Z$275,23,FALSE)="","",VLOOKUP(A51,'Revitalisation-Revitalisierung'!$A$4:$Z$275,23,FALSE))</f>
        <v/>
      </c>
      <c r="BU51" s="699" t="str">
        <f>IF(VLOOKUP(A51,'Revitalisation-Revitalisierung'!$A$4:$Z$275,24,FALSE)="","",VLOOKUP(A51,'Revitalisation-Revitalisierung'!$A$4:$Z$275,24,FALSE))</f>
        <v>Modifier Priorität : hoch / gering</v>
      </c>
      <c r="BV51" s="761" t="str">
        <f>IF(VLOOKUP(A51,'Revitalisation-Revitalisierung'!$A$4:$Z$275,25,FALSE)="","",VLOOKUP(A51,'Revitalisation-Revitalisierung'!$A$4:$Z$275,25,FALSE))</f>
        <v>Très nécessaire, facile / unbedingt nötig, einfach</v>
      </c>
      <c r="BW51" s="871" t="str">
        <f>IF(VLOOKUP(A51,'Revitalisation-Revitalisierung'!$A$4:$AA$275,27,FALSE)="","",VLOOKUP(A51,'Revitalisation-Revitalisierung'!$A$4:$AA$275,27,FALSE))</f>
        <v>a</v>
      </c>
    </row>
    <row r="52" spans="1:75" ht="67.900000000000006" customHeight="1" x14ac:dyDescent="0.2">
      <c r="A52" s="935">
        <v>66</v>
      </c>
      <c r="B52" s="856">
        <f>IF(VLOOKUP(A52,'Données de base - Grunddaten'!$A$2:$M$297,2,FALSE)="","",VLOOKUP(A52,'Données de base - Grunddaten'!$A$2:$M$297,2,FALSE))</f>
        <v>1</v>
      </c>
      <c r="C52" s="857" t="str">
        <f>IF(VLOOKUP(A52,'Données de base - Grunddaten'!$A$2:$M$297,3,FALSE)="","",VLOOKUP(A52,'Données de base - Grunddaten'!$A$2:$M$297,3,FALSE))</f>
        <v>Les Auges de Neirivue</v>
      </c>
      <c r="D52" s="857" t="str">
        <f>IF(VLOOKUP(A52,'Données de base - Grunddaten'!$A$2:$M$297,4,FALSE)="","",VLOOKUP(A52,'Données de base - Grunddaten'!$A$2:$M$297,4,FALSE))</f>
        <v>La Sarine</v>
      </c>
      <c r="E52" s="857" t="str">
        <f>IF(VLOOKUP(A52,'Données de base - Grunddaten'!$A$2:$M$297,5,FALSE)="","",VLOOKUP(A52,'Données de base - Grunddaten'!$A$2:$M$297,5,FALSE))</f>
        <v>FR</v>
      </c>
      <c r="F52" s="857" t="str">
        <f>IF(VLOOKUP(A52,'Données de base - Grunddaten'!$A$2:$M$297,6,FALSE)="","",VLOOKUP(A52,'Données de base - Grunddaten'!$A$2:$M$297,6,FALSE))</f>
        <v>Préalpes</v>
      </c>
      <c r="G52" s="857" t="str">
        <f>IF(VLOOKUP(A52,'Données de base - Grunddaten'!$A$2:$M$297,7,FALSE)="","",VLOOKUP(A52,'Données de base - Grunddaten'!$A$2:$M$297,7,FALSE))</f>
        <v>Montagnard inf.</v>
      </c>
      <c r="H52" s="857">
        <f>IF(VLOOKUP(A52,'Données de base - Grunddaten'!$A$2:$M$297,8,FALSE)="","",VLOOKUP(A52,'Données de base - Grunddaten'!$A$2:$M$297,8,FALSE))</f>
        <v>750</v>
      </c>
      <c r="I52" s="857">
        <f>IF(VLOOKUP(A52,'Données de base - Grunddaten'!$A$2:$M$297,9,FALSE)="","",VLOOKUP(A52,'Données de base - Grunddaten'!$A$2:$M$297,9,FALSE))</f>
        <v>1992</v>
      </c>
      <c r="J52" s="857">
        <f>IF(VLOOKUP(A52,'Données de base - Grunddaten'!$A$2:$M$297,10,FALSE)="","",VLOOKUP(A52,'Données de base - Grunddaten'!$A$2:$M$297,10,FALSE))</f>
        <v>41</v>
      </c>
      <c r="K52" s="857" t="str">
        <f>IF(VLOOKUP(A52,'Données de base - Grunddaten'!$A$2:$M$297,11,FALSE)="","",VLOOKUP(A52,'Données de base - Grunddaten'!$A$2:$M$297,11,FALSE))</f>
        <v>Cours d'eau naturels de l'étage montagnard</v>
      </c>
      <c r="L52" s="857" t="str">
        <f>IF(VLOOKUP(A52,'Données de base - Grunddaten'!$A$2:$M$297,12,FALSE)="","",VLOOKUP(A52,'Données de base - Grunddaten'!$A$2:$M$297,12,FALSE))</f>
        <v>en tresses</v>
      </c>
      <c r="M52" s="858" t="str">
        <f>IF(VLOOKUP(A52,'Données de base - Grunddaten'!$A$2:$M$297,13,FALSE)="","",VLOOKUP(A52,'Données de base - Grunddaten'!$A$2:$M$297,13,FALSE))</f>
        <v>en méandres migrants</v>
      </c>
      <c r="N52" s="872" t="str">
        <f>IF(VLOOKUP(A52,'Charriage - Geschiebehaushalt'!$A$4:$R$275,5,FALSE)="","",VLOOKUP(A52,'Charriage - Geschiebehaushalt'!$A$4:$R$275,5,FALSE))</f>
        <v>pertinent</v>
      </c>
      <c r="O52" s="881" t="str">
        <f>IF(VLOOKUP(A52,'Charriage - Geschiebehaushalt'!$A$4:$R$275,6,FALSE)="","",VLOOKUP(A52,'Charriage - Geschiebehaushalt'!$A$4:$R$275,6,FALSE))</f>
        <v>non documenté</v>
      </c>
      <c r="P52" s="874" t="str">
        <f>IF(VLOOKUP(A52,'Charriage - Geschiebehaushalt'!$A$4:$R$275,7,FALSE)="","",VLOOKUP(A52,'Charriage - Geschiebehaushalt'!$A$4:$R$275,7,FALSE))</f>
        <v/>
      </c>
      <c r="Q52" s="874" t="str">
        <f>IF(VLOOKUP(A52,'Charriage - Geschiebehaushalt'!$A$4:$R$275,8,FALSE)="","",VLOOKUP(A52,'Charriage - Geschiebehaushalt'!$A$4:$R$275,8,FALSE))</f>
        <v>non documenté</v>
      </c>
      <c r="R52" s="875">
        <f>IF(VLOOKUP(A52,'Charriage - Geschiebehaushalt'!$A$4:$R$275,9,FALSE)="","",VLOOKUP(A52,'Charriage - Geschiebehaushalt'!$A$4:$R$275,9,FALSE))</f>
        <v>0.45299590766787201</v>
      </c>
      <c r="S52" s="895" t="str">
        <f>IF(VLOOKUP(A52,'Charriage - Geschiebehaushalt'!$A$4:$R$275,10,FALSE)="","",VLOOKUP(A52,'Charriage - Geschiebehaushalt'!$A$4:$R$275,10,FALSE))</f>
        <v>la remobilisation des sédiments est perturbée</v>
      </c>
      <c r="T52" s="875">
        <f>IF(VLOOKUP(A52,'Charriage - Geschiebehaushalt'!$A$4:$R$275,11,FALSE)="","",VLOOKUP(A52,'Charriage - Geschiebehaushalt'!$A$4:$R$275,11,FALSE))</f>
        <v>0.12505689522999999</v>
      </c>
      <c r="U52" s="876" t="str">
        <f>IF(VLOOKUP(A52,'Charriage - Geschiebehaushalt'!$A$4:$R$275,12,FALSE)="","",VLOOKUP(A52,'Charriage - Geschiebehaushalt'!$A$4:$R$275,12,FALSE))</f>
        <v>déficit dans les formations pionnières</v>
      </c>
      <c r="V52" s="877" t="str">
        <f>IF(VLOOKUP(A52,'Charriage - Geschiebehaushalt'!$A$4:$R$275,13,FALSE)="","",VLOOKUP(A52,'Charriage - Geschiebehaushalt'!$A$4:$R$275,13,FALSE))</f>
        <v/>
      </c>
      <c r="W52" s="877" t="str">
        <f>IF(VLOOKUP(A52,'Charriage - Geschiebehaushalt'!$A$4:$R$275,14,FALSE)="","",VLOOKUP(A52,'Charriage - Geschiebehaushalt'!$A$4:$R$275,14,FALSE))</f>
        <v/>
      </c>
      <c r="X52" s="877" t="str">
        <f>IF(VLOOKUP(A52,'Charriage - Geschiebehaushalt'!$A$4:$R$275,15,FALSE)="","",VLOOKUP(A52,'Charriage - Geschiebehaushalt'!$A$4:$R$275,15,FALSE))</f>
        <v/>
      </c>
      <c r="Y52" s="879" t="str">
        <f>IF(VLOOKUP(A52,'Charriage - Geschiebehaushalt'!$A$4:$R$275,16,FALSE)="","",VLOOKUP(A52,'Charriage - Geschiebehaushalt'!$A$4:$R$275,16,FALSE))</f>
        <v/>
      </c>
      <c r="Z52" s="763" t="str">
        <f>IF(VLOOKUP(A52,'Charriage - Geschiebehaushalt'!$A$4:$R$275,17,FALSE)="","",VLOOKUP(A52,'Charriage - Geschiebehaushalt'!$A$4:$R$275,17,FALSE))</f>
        <v>Problème lié à un manque de charriage ou à un manque de remobilisation des sédiments</v>
      </c>
      <c r="AA52" s="880" t="str">
        <f>IF(VLOOKUP(A52,'Charriage - Geschiebehaushalt'!$A$4:$R$275,18,FALSE)="","",VLOOKUP(A52,'Charriage - Geschiebehaushalt'!$A$4:$R$275,18,FALSE))</f>
        <v>a</v>
      </c>
      <c r="AB52" s="737" t="str">
        <f>IF(VLOOKUP(A52,'Charriage - Geschiebehaushalt'!$A$4:$AC$275,19,FALSE)="","",VLOOKUP(A52,'Charriage - Geschiebehaushalt'!$A$4:$AC$275,19,FALSE))</f>
        <v>sehr stark</v>
      </c>
      <c r="AC52" s="738" t="str">
        <f>IF(VLOOKUP(A52,'Charriage - Geschiebehaushalt'!$A$4:$AC$275,20,FALSE)="","",VLOOKUP(A52,'Charriage - Geschiebehaushalt'!$A$4:$AC$275,20,FALSE))</f>
        <v>1 (2020)</v>
      </c>
      <c r="AD52" s="764" t="str">
        <f>IF(VLOOKUP(A52,'Charriage - Geschiebehaushalt'!$A$4:$AC$275,21,FALSE)="","",VLOOKUP(A52,'Charriage - Geschiebehaushalt'!$A$4:$AC$275,21,FALSE))</f>
        <v>81-100%</v>
      </c>
      <c r="AE52" s="740" t="str">
        <f>IF(VLOOKUP(A52,'Charriage - Geschiebehaushalt'!$A$4:$AC$275,22,FALSE)="","",VLOOKUP(A52,'Charriage - Geschiebehaushalt'!$A$4:$AC$275,22,FALSE))</f>
        <v>81-100%</v>
      </c>
      <c r="AF52" s="787" t="str">
        <f>IF(VLOOKUP(A52,'Charriage - Geschiebehaushalt'!$A$4:$AC$275,23,FALSE)="","",VLOOKUP(A52,'Charriage - Geschiebehaushalt'!$A$4:$AC$275,23,FALSE))</f>
        <v>d</v>
      </c>
      <c r="AG52" s="765" t="str">
        <f>IF(VLOOKUP(A52,'Charriage - Geschiebehaushalt'!$A$4:$AC$275,24,FALSE)="","",VLOOKUP(A52,'Charriage - Geschiebehaushalt'!$A$4:$AC$275,24,FALSE))</f>
        <v/>
      </c>
      <c r="AH52" s="764" t="str">
        <f>IF(VLOOKUP(A52,'Charriage - Geschiebehaushalt'!$A$4:$AC$275,25,FALSE)="","",VLOOKUP(A52,'Charriage - Geschiebehaushalt'!$A$4:$AC$275,25,FALSE))</f>
        <v/>
      </c>
      <c r="AI52" s="433" t="str">
        <f>IF(VLOOKUP(A52,'Charriage - Geschiebehaushalt'!$A$4:$AC$275,26,FALSE)="","",VLOOKUP(A52,'Charriage - Geschiebehaushalt'!$A$4:$AC$275,26,FALSE))</f>
        <v/>
      </c>
      <c r="AJ52" s="436" t="str">
        <f>IF(VLOOKUP(A52,'Charriage - Geschiebehaushalt'!$A$4:$AC$275,27,FALSE)="","",VLOOKUP(A52,'Charriage - Geschiebehaushalt'!$A$4:$AC$275,27,FALSE))</f>
        <v>OK</v>
      </c>
      <c r="AK52" s="801" t="str">
        <f>IF(VLOOKUP(A52,'Charriage - Geschiebehaushalt'!$A$4:$AC$275,28,FALSE)="","",VLOOKUP(A52,'Charriage - Geschiebehaushalt'!$A$4:$AC$275,28,FALSE))</f>
        <v>81-100%</v>
      </c>
      <c r="AL52" s="1285" t="str">
        <f>IF(VLOOKUP(A52,'Charriage - Geschiebehaushalt'!$A$4:$AD$275,30,FALSE)="","",VLOOKUP(A52,'Charriage - Geschiebehaushalt'!$A$4:$AD$275,30,FALSE))</f>
        <v>a</v>
      </c>
      <c r="AM52" s="1279" t="str">
        <f>IF(VLOOKUP(A52,'Débit - Abfluss'!$A$4:$K$275,5,FALSE)="","",VLOOKUP(A52,'Débit - Abfluss'!$A$4:$M$275,5,FALSE))</f>
        <v>81-100%</v>
      </c>
      <c r="AN52" s="868" t="str">
        <f>IF(VLOOKUP(A52,'Débit - Abfluss'!$A$4:$K$275,6,FALSE)="","",VLOOKUP(A52,'Débit - Abfluss'!$A$4:$M$275,6,FALSE))</f>
        <v/>
      </c>
      <c r="AO52" s="869" t="str">
        <f>IF(VLOOKUP(A52,'Débit - Abfluss'!$A$4:$K$275,7,FALSE)="","",VLOOKUP(A52,'Débit - Abfluss'!$A$4:$M$275,7,FALSE))</f>
        <v/>
      </c>
      <c r="AP52" s="766" t="str">
        <f>IF(VLOOKUP(A52,'Débit - Abfluss'!$A$4:$K$275,8,FALSE)="","",VLOOKUP(A52,'Débit - Abfluss'!$A$4:$M$275,8,FALSE))</f>
        <v>81-100%</v>
      </c>
      <c r="AQ52" s="742" t="str">
        <f>IF(VLOOKUP(A52,'Débit - Abfluss'!$A$4:$K$275,9,FALSE)="","",VLOOKUP(A52,'Débit - Abfluss'!$A$4:$M$275,9,FALSE))</f>
        <v>-</v>
      </c>
      <c r="AR52" s="767" t="str">
        <f>IF(VLOOKUP(A52,'Débit - Abfluss'!$A$4:$K$275,10,FALSE)="","",VLOOKUP(A52,'Débit - Abfluss'!$A$4:$M$275,10,FALSE))</f>
        <v>81-100%</v>
      </c>
      <c r="AS52" s="767" t="str">
        <f>IF(VLOOKUP(A52,'Débit - Abfluss'!$A$4:$K$275,11,FALSE)="","",VLOOKUP(A52,'Débit - Abfluss'!$A$4:$M$275,11,FALSE))</f>
        <v/>
      </c>
      <c r="AT52" s="744" t="str">
        <f>IF(VLOOKUP(A52,'Débit - Abfluss'!$A$4:$Q$275,12,FALSE)="","",VLOOKUP(A52,'Débit - Abfluss'!$A$4:$Q$275,12,FALSE))</f>
        <v/>
      </c>
      <c r="AU52" s="783" t="str">
        <f>IF(VLOOKUP(A52,'Débit - Abfluss'!$A$4:$Q$275,13,FALSE)="","",VLOOKUP(A52,'Débit - Abfluss'!$A$4:$Q$275,13,FALSE))</f>
        <v>Tout le débit de la Sarine passe dans la ZA (pas de tronçon court-circuité)</v>
      </c>
      <c r="AV52" s="746" t="str">
        <f>IF(VLOOKUP(A52,'Débit - Abfluss'!$A$4:$Q$275,14,FALSE)="","",VLOOKUP(A52,'Débit - Abfluss'!$A$4:$Q$275,14,FALSE))</f>
        <v/>
      </c>
      <c r="AW52" s="768" t="str">
        <f>IF(VLOOKUP(A52,'Débit - Abfluss'!$A$4:$Q$275,15,FALSE)="","",VLOOKUP(A52,'Débit - Abfluss'!$A$4:$Q$275,15,FALSE))</f>
        <v/>
      </c>
      <c r="AX52" s="677" t="str">
        <f>IF(VLOOKUP(A52,'Débit - Abfluss'!$A$4:$Q$275,16,FALSE)="","",VLOOKUP(A52,'Débit - Abfluss'!$A$4:$Q$275,16,FALSE))</f>
        <v/>
      </c>
      <c r="AY52" s="769" t="str">
        <f>IF(VLOOKUP(A52,'Débit - Abfluss'!$A$4:$Q$275,17,FALSE)="","",VLOOKUP(A52,'Débit - Abfluss'!$A$4:$Q$275,17,FALSE))</f>
        <v>81-100%</v>
      </c>
      <c r="AZ52" s="749" t="str">
        <f>IF(VLOOKUP(A52,'Eclusée - Schwall-Sunk'!$A$2:$F$273,5,FALSE)="","",VLOOKUP(A52,'Eclusée - Schwall-Sunk'!$A$2:$F$273,5,FALSE))</f>
        <v>force hydraulique</v>
      </c>
      <c r="BA52" s="750" t="str">
        <f>IF(VLOOKUP(A52,'Eclusée - Schwall-Sunk'!$A$2:$F$273,6,FALSE)="","",VLOOKUP(A52,'Eclusée - Schwall-Sunk'!$A$2:$F$273,6,FALSE))</f>
        <v>Potentiellement affecté / möglicherweise betroffen</v>
      </c>
      <c r="BB52" s="751">
        <f>IF(VLOOKUP(A52,'Revitalisation-Revitalisierung'!$A$4:$Z$275,5,FALSE)="","",VLOOKUP(A52,'Revitalisation-Revitalisierung'!$A$4:$Z$275,5,FALSE))</f>
        <v>66.509090909090901</v>
      </c>
      <c r="BC52" s="752">
        <f>IF(VLOOKUP(A52,'Revitalisation-Revitalisierung'!$A$4:$Z$275,6,FALSE)="","",VLOOKUP(A52,'Revitalisation-Revitalisierung'!$A$4:$Z$275,6,FALSE))</f>
        <v>80.609310676666666</v>
      </c>
      <c r="BD52" s="752">
        <f>IF(VLOOKUP(A52,'Revitalisation-Revitalisierung'!$A$4:$Z$275,7,FALSE)="","",VLOOKUP(A52,'Revitalisation-Revitalisierung'!$A$4:$Z$275,7,FALSE))</f>
        <v>14.090909090909092</v>
      </c>
      <c r="BE52" s="753" t="str">
        <f>IF(VLOOKUP(A52,'Revitalisation-Revitalisierung'!$A$4:$Z$275,8,FALSE)="","",VLOOKUP(A52,'Revitalisation-Revitalisierung'!$A$4:$Z$275,8,FALSE))</f>
        <v>très nécessaire, facile</v>
      </c>
      <c r="BF52" s="754" t="str">
        <f>IF(VLOOKUP(A52,'Revitalisation-Revitalisierung'!$A$4:$Z$275,9,FALSE)="","",VLOOKUP(A52,'Revitalisation-Revitalisierung'!$A$4:$Z$275,9,FALSE))</f>
        <v/>
      </c>
      <c r="BG52" s="754" t="str">
        <f>IF(VLOOKUP(A52,'Revitalisation-Revitalisierung'!$A$4:$Z$275,10,FALSE)="","",VLOOKUP(A52,'Revitalisation-Revitalisierung'!$A$4:$Z$275,10,FALSE))</f>
        <v>K1</v>
      </c>
      <c r="BH52" s="755" t="str">
        <f>IF(VLOOKUP(A52,'Revitalisation-Revitalisierung'!$A$4:$Z$275,11,FALSE)="","",VLOOKUP(A52,'Revitalisation-Revitalisierung'!$A$4:$Z$275,11,FALSE))</f>
        <v/>
      </c>
      <c r="BI52" s="756" t="str">
        <f>IF(VLOOKUP(A52,'Revitalisation-Revitalisierung'!$A$4:$Z$275,12,FALSE)="","",VLOOKUP(A52,'Revitalisation-Revitalisierung'!$A$4:$Z$275,12,FALSE))</f>
        <v/>
      </c>
      <c r="BJ52" s="757" t="str">
        <f>IF(VLOOKUP(A52,'Revitalisation-Revitalisierung'!$A$4:$Z$275,13,FALSE)="","",VLOOKUP(A52,'Revitalisation-Revitalisierung'!$A$4:$Z$275,13,FALSE))</f>
        <v>Très nécessaire, facile / unbedingt nötig, einfach</v>
      </c>
      <c r="BK52" s="870" t="str">
        <f>IF(VLOOKUP(A52,'Revitalisation-Revitalisierung'!$A$4:$Z$275,14,FALSE)="","",VLOOKUP(A52,'Revitalisation-Revitalisierung'!$A$4:$Z$275,14,FALSE))</f>
        <v>a</v>
      </c>
      <c r="BL52" s="758" t="str">
        <f>IF(VLOOKUP(A52,'Revitalisation-Revitalisierung'!$A$4:$Z$275,15,FALSE)="","",VLOOKUP(A52,'Revitalisation-Revitalisierung'!$A$4:$Z$275,15,FALSE))</f>
        <v>gross</v>
      </c>
      <c r="BM52" s="759" t="str">
        <f>IF(VLOOKUP(A52,'Revitalisation-Revitalisierung'!$A$4:$Z$275,16,FALSE)="","",VLOOKUP(A52,'Revitalisation-Revitalisierung'!$A$4:$Z$275,16,FALSE))</f>
        <v>gross/gering</v>
      </c>
      <c r="BN52" s="759" t="str">
        <f>IF(VLOOKUP(A52,'Revitalisation-Revitalisierung'!$A$4:$Z$275,17,FALSE)="","",VLOOKUP(A52,'Revitalisation-Revitalisierung'!$A$4:$Z$275,17,FALSE))</f>
        <v>hoch</v>
      </c>
      <c r="BO52" s="760" t="str">
        <f>IF(VLOOKUP(A52,'Revitalisation-Revitalisierung'!$A$4:$Z$275,18,FALSE)="","",VLOOKUP(A52,'Revitalisation-Revitalisierung'!$A$4:$Z$275,18,FALSE))</f>
        <v>Très nécessaire, facile / unbedingt nötig, einfach</v>
      </c>
      <c r="BP52" s="761" t="str">
        <f>IF(VLOOKUP(A52,'Revitalisation-Revitalisierung'!$A$4:$Z$275,19,FALSE)="","",VLOOKUP(A52,'Revitalisation-Revitalisierung'!$A$4:$Z$275,19,FALSE))</f>
        <v>Très nécessaire, facile / unbedingt nötig, einfach</v>
      </c>
      <c r="BQ52" s="759" t="str">
        <f>IF(VLOOKUP(A52,'Revitalisation-Revitalisierung'!$A$4:$Z$275,20,FALSE)="","",VLOOKUP(A52,'Revitalisation-Revitalisierung'!$A$4:$Z$275,20,FALSE))</f>
        <v>d</v>
      </c>
      <c r="BR52" s="759" t="str">
        <f>IF(VLOOKUP(A52,'Revitalisation-Revitalisierung'!$A$4:$Z$275,21,FALSE)="","",VLOOKUP(A52,'Revitalisation-Revitalisierung'!$A$4:$Z$275,21,FALSE))</f>
        <v/>
      </c>
      <c r="BS52" s="762" t="str">
        <f>IF(VLOOKUP(A52,'Revitalisation-Revitalisierung'!$A$4:$Z$275,22,FALSE)="","",VLOOKUP(A52,'Revitalisation-Revitalisierung'!$A$4:$Z$275,22,FALSE))</f>
        <v/>
      </c>
      <c r="BT52" s="703" t="str">
        <f>IF(VLOOKUP(A52,'Revitalisation-Revitalisierung'!$A$4:$Z$275,23,FALSE)="","",VLOOKUP(A52,'Revitalisation-Revitalisierung'!$A$4:$Z$275,23,FALSE))</f>
        <v/>
      </c>
      <c r="BU52" s="699" t="str">
        <f>IF(VLOOKUP(A52,'Revitalisation-Revitalisierung'!$A$4:$Z$275,24,FALSE)="","",VLOOKUP(A52,'Revitalisation-Revitalisierung'!$A$4:$Z$275,24,FALSE))</f>
        <v/>
      </c>
      <c r="BV52" s="761" t="str">
        <f>IF(VLOOKUP(A52,'Revitalisation-Revitalisierung'!$A$4:$Z$275,25,FALSE)="","",VLOOKUP(A52,'Revitalisation-Revitalisierung'!$A$4:$Z$275,25,FALSE))</f>
        <v>Très nécessaire, facile / unbedingt nötig, einfach</v>
      </c>
      <c r="BW52" s="871" t="str">
        <f>IF(VLOOKUP(A52,'Revitalisation-Revitalisierung'!$A$4:$AA$275,27,FALSE)="","",VLOOKUP(A52,'Revitalisation-Revitalisierung'!$A$4:$AA$275,27,FALSE))</f>
        <v>a</v>
      </c>
    </row>
    <row r="53" spans="1:75" ht="94.15" customHeight="1" x14ac:dyDescent="0.25">
      <c r="A53" s="935">
        <v>68</v>
      </c>
      <c r="B53" s="856">
        <f>IF(VLOOKUP(A53,'Données de base - Grunddaten'!$A$2:$M$297,2,FALSE)="","",VLOOKUP(A53,'Données de base - Grunddaten'!$A$2:$M$297,2,FALSE))</f>
        <v>1</v>
      </c>
      <c r="C53" s="857" t="str">
        <f>IF(VLOOKUP(A53,'Données de base - Grunddaten'!$A$2:$M$297,3,FALSE)="","",VLOOKUP(A53,'Données de base - Grunddaten'!$A$2:$M$297,3,FALSE))</f>
        <v>La Sarine près Château-d'Oex</v>
      </c>
      <c r="D53" s="857" t="str">
        <f>IF(VLOOKUP(A53,'Données de base - Grunddaten'!$A$2:$M$297,4,FALSE)="","",VLOOKUP(A53,'Données de base - Grunddaten'!$A$2:$M$297,4,FALSE))</f>
        <v>La Sarine</v>
      </c>
      <c r="E53" s="857" t="str">
        <f>IF(VLOOKUP(A53,'Données de base - Grunddaten'!$A$2:$M$297,5,FALSE)="","",VLOOKUP(A53,'Données de base - Grunddaten'!$A$2:$M$297,5,FALSE))</f>
        <v>VD</v>
      </c>
      <c r="F53" s="857" t="str">
        <f>IF(VLOOKUP(A53,'Données de base - Grunddaten'!$A$2:$M$297,6,FALSE)="","",VLOOKUP(A53,'Données de base - Grunddaten'!$A$2:$M$297,6,FALSE))</f>
        <v>Alpes septentrionales</v>
      </c>
      <c r="G53" s="857" t="str">
        <f>IF(VLOOKUP(A53,'Données de base - Grunddaten'!$A$2:$M$297,7,FALSE)="","",VLOOKUP(A53,'Données de base - Grunddaten'!$A$2:$M$297,7,FALSE))</f>
        <v>Montagnard sup.</v>
      </c>
      <c r="H53" s="857">
        <f>IF(VLOOKUP(A53,'Données de base - Grunddaten'!$A$2:$M$297,8,FALSE)="","",VLOOKUP(A53,'Données de base - Grunddaten'!$A$2:$M$297,8,FALSE))</f>
        <v>910</v>
      </c>
      <c r="I53" s="857">
        <f>IF(VLOOKUP(A53,'Données de base - Grunddaten'!$A$2:$M$297,9,FALSE)="","",VLOOKUP(A53,'Données de base - Grunddaten'!$A$2:$M$297,9,FALSE))</f>
        <v>1992</v>
      </c>
      <c r="J53" s="857">
        <f>IF(VLOOKUP(A53,'Données de base - Grunddaten'!$A$2:$M$297,10,FALSE)="","",VLOOKUP(A53,'Données de base - Grunddaten'!$A$2:$M$297,10,FALSE))</f>
        <v>41</v>
      </c>
      <c r="K53" s="857" t="str">
        <f>IF(VLOOKUP(A53,'Données de base - Grunddaten'!$A$2:$M$297,11,FALSE)="","",VLOOKUP(A53,'Données de base - Grunddaten'!$A$2:$M$297,11,FALSE))</f>
        <v>Cours d'eau naturels de l'étage montagnard</v>
      </c>
      <c r="L53" s="857" t="str">
        <f>IF(VLOOKUP(A53,'Données de base - Grunddaten'!$A$2:$M$297,12,FALSE)="","",VLOOKUP(A53,'Données de base - Grunddaten'!$A$2:$M$297,12,FALSE))</f>
        <v>en tresses</v>
      </c>
      <c r="M53" s="858" t="str">
        <f>IF(VLOOKUP(A53,'Données de base - Grunddaten'!$A$2:$M$297,13,FALSE)="","",VLOOKUP(A53,'Données de base - Grunddaten'!$A$2:$M$297,13,FALSE))</f>
        <v>en tresses</v>
      </c>
      <c r="N53" s="872" t="str">
        <f>IF(VLOOKUP(A53,'Charriage - Geschiebehaushalt'!$A$4:$R$275,5,FALSE)="","",VLOOKUP(A53,'Charriage - Geschiebehaushalt'!$A$4:$R$275,5,FALSE))</f>
        <v>pertinent</v>
      </c>
      <c r="O53" s="881" t="str">
        <f>IF(VLOOKUP(A53,'Charriage - Geschiebehaushalt'!$A$4:$R$275,6,FALSE)="","",VLOOKUP(A53,'Charriage - Geschiebehaushalt'!$A$4:$R$275,6,FALSE))</f>
        <v>non documenté</v>
      </c>
      <c r="P53" s="874" t="str">
        <f>IF(VLOOKUP(A53,'Charriage - Geschiebehaushalt'!$A$4:$R$275,7,FALSE)="","",VLOOKUP(A53,'Charriage - Geschiebehaushalt'!$A$4:$R$275,7,FALSE))</f>
        <v/>
      </c>
      <c r="Q53" s="874" t="str">
        <f>IF(VLOOKUP(A53,'Charriage - Geschiebehaushalt'!$A$4:$R$275,8,FALSE)="","",VLOOKUP(A53,'Charriage - Geschiebehaushalt'!$A$4:$R$275,8,FALSE))</f>
        <v>non documenté</v>
      </c>
      <c r="R53" s="875">
        <f>IF(VLOOKUP(A53,'Charriage - Geschiebehaushalt'!$A$4:$R$275,9,FALSE)="","",VLOOKUP(A53,'Charriage - Geschiebehaushalt'!$A$4:$R$275,9,FALSE))</f>
        <v>0.207027468305717</v>
      </c>
      <c r="S53" s="876" t="str">
        <f>IF(VLOOKUP(A53,'Charriage - Geschiebehaushalt'!$A$4:$R$275,10,FALSE)="","",VLOOKUP(A53,'Charriage - Geschiebehaushalt'!$A$4:$R$275,10,FALSE))</f>
        <v>pas ou faiblement entravé</v>
      </c>
      <c r="T53" s="875">
        <f>IF(VLOOKUP(A53,'Charriage - Geschiebehaushalt'!$A$4:$R$275,11,FALSE)="","",VLOOKUP(A53,'Charriage - Geschiebehaushalt'!$A$4:$R$275,11,FALSE))</f>
        <v>0.41019369326999999</v>
      </c>
      <c r="U53" s="895" t="str">
        <f>IF(VLOOKUP(A53,'Charriage - Geschiebehaushalt'!$A$4:$R$275,12,FALSE)="","",VLOOKUP(A53,'Charriage - Geschiebehaushalt'!$A$4:$R$275,12,FALSE))</f>
        <v>déficit non apparent en charriage ou en remobilisation des sédiments</v>
      </c>
      <c r="V53" s="877" t="str">
        <f>IF(VLOOKUP(A53,'Charriage - Geschiebehaushalt'!$A$4:$R$275,13,FALSE)="","",VLOOKUP(A53,'Charriage - Geschiebehaushalt'!$A$4:$R$275,13,FALSE))</f>
        <v/>
      </c>
      <c r="W53" s="877" t="str">
        <f>IF(VLOOKUP(A53,'Charriage - Geschiebehaushalt'!$A$4:$R$275,14,FALSE)="","",VLOOKUP(A53,'Charriage - Geschiebehaushalt'!$A$4:$R$275,14,FALSE))</f>
        <v/>
      </c>
      <c r="X53" s="877" t="str">
        <f>IF(VLOOKUP(A53,'Charriage - Geschiebehaushalt'!$A$4:$R$275,15,FALSE)="","",VLOOKUP(A53,'Charriage - Geschiebehaushalt'!$A$4:$R$275,15,FALSE))</f>
        <v/>
      </c>
      <c r="Y53" s="879" t="str">
        <f>IF(VLOOKUP(A53,'Charriage - Geschiebehaushalt'!$A$4:$R$275,16,FALSE)="","",VLOOKUP(A53,'Charriage - Geschiebehaushalt'!$A$4:$R$275,16,FALSE))</f>
        <v/>
      </c>
      <c r="Z53" s="763" t="str">
        <f>IF(VLOOKUP(A53,'Charriage - Geschiebehaushalt'!$A$4:$R$275,17,FALSE)="","",VLOOKUP(A53,'Charriage - Geschiebehaushalt'!$A$4:$R$275,17,FALSE))</f>
        <v>Déficit non apparent en charriage ou en remobilisation des sédiments / kein sichtbares Defizit beim Geschiebehaushalt bzw. bei der Mobilisierung von Geschiebe</v>
      </c>
      <c r="AA53" s="880" t="str">
        <f>IF(VLOOKUP(A53,'Charriage - Geschiebehaushalt'!$A$4:$R$275,18,FALSE)="","",VLOOKUP(A53,'Charriage - Geschiebehaushalt'!$A$4:$R$275,18,FALSE))</f>
        <v>b</v>
      </c>
      <c r="AB53" s="737" t="str">
        <f>IF(VLOOKUP(A53,'Charriage - Geschiebehaushalt'!$A$4:$AC$275,19,FALSE)="","",VLOOKUP(A53,'Charriage - Geschiebehaushalt'!$A$4:$AC$275,19,FALSE))</f>
        <v>faible</v>
      </c>
      <c r="AC53" s="738" t="str">
        <f>IF(VLOOKUP(A53,'Charriage - Geschiebehaushalt'!$A$4:$AC$275,20,FALSE)="","",VLOOKUP(A53,'Charriage - Geschiebehaushalt'!$A$4:$AC$275,20,FALSE))</f>
        <v>aucun</v>
      </c>
      <c r="AD53" s="764" t="str">
        <f>IF(VLOOKUP(A53,'Charriage - Geschiebehaushalt'!$A$4:$AC$275,21,FALSE)="","",VLOOKUP(A53,'Charriage - Geschiebehaushalt'!$A$4:$AC$275,21,FALSE))</f>
        <v>21-50%</v>
      </c>
      <c r="AE53" s="740" t="str">
        <f>IF(VLOOKUP(A53,'Charriage - Geschiebehaushalt'!$A$4:$AC$275,22,FALSE)="","",VLOOKUP(A53,'Charriage - Geschiebehaushalt'!$A$4:$AC$275,22,FALSE))</f>
        <v>21-50%</v>
      </c>
      <c r="AF53" s="787" t="str">
        <f>IF(VLOOKUP(A53,'Charriage - Geschiebehaushalt'!$A$4:$AC$275,23,FALSE)="","",VLOOKUP(A53,'Charriage - Geschiebehaushalt'!$A$4:$AC$275,23,FALSE))</f>
        <v>c</v>
      </c>
      <c r="AG53" s="765" t="str">
        <f>IF(VLOOKUP(A53,'Charriage - Geschiebehaushalt'!$A$4:$AC$275,24,FALSE)="","",VLOOKUP(A53,'Charriage - Geschiebehaushalt'!$A$4:$AC$275,24,FALSE))</f>
        <v/>
      </c>
      <c r="AH53" s="764" t="str">
        <f>IF(VLOOKUP(A53,'Charriage - Geschiebehaushalt'!$A$4:$AC$275,25,FALSE)="","",VLOOKUP(A53,'Charriage - Geschiebehaushalt'!$A$4:$AC$275,25,FALSE))</f>
        <v/>
      </c>
      <c r="AI53" s="896" t="str">
        <f>IF(VLOOKUP(A53,'Charriage - Geschiebehaushalt'!$A$4:$AC$275,26,FALSE)="","",VLOOKUP(A53,'Charriage - Geschiebehaushalt'!$A$4:$AC$275,26,FALSE))</f>
        <v>non</v>
      </c>
      <c r="AJ53" s="897" t="str">
        <f>IF(VLOOKUP(A53,'Charriage - Geschiebehaushalt'!$A$4:$AC$275,27,FALSE)="","",VLOOKUP(A53,'Charriage - Geschiebehaushalt'!$A$4:$AC$275,27,FALSE))</f>
        <v>Plan de gestion fait</v>
      </c>
      <c r="AK53" s="801" t="str">
        <f>IF(VLOOKUP(A53,'Charriage - Geschiebehaushalt'!$A$4:$AC$275,28,FALSE)="","",VLOOKUP(A53,'Charriage - Geschiebehaushalt'!$A$4:$AC$275,28,FALSE))</f>
        <v>21-50%</v>
      </c>
      <c r="AL53" s="1285" t="str">
        <f>IF(VLOOKUP(A53,'Charriage - Geschiebehaushalt'!$A$4:$AD$275,30,FALSE)="","",VLOOKUP(A53,'Charriage - Geschiebehaushalt'!$A$4:$AD$275,30,FALSE))</f>
        <v>a</v>
      </c>
      <c r="AM53" s="1279" t="str">
        <f>IF(VLOOKUP(A53,'Débit - Abfluss'!$A$4:$K$275,5,FALSE)="","",VLOOKUP(A53,'Débit - Abfluss'!$A$4:$M$275,5,FALSE))</f>
        <v>81-100%</v>
      </c>
      <c r="AN53" s="868" t="str">
        <f>IF(VLOOKUP(A53,'Débit - Abfluss'!$A$4:$K$275,6,FALSE)="","",VLOOKUP(A53,'Débit - Abfluss'!$A$4:$M$275,6,FALSE))</f>
        <v/>
      </c>
      <c r="AO53" s="869" t="str">
        <f>IF(VLOOKUP(A53,'Débit - Abfluss'!$A$4:$K$275,7,FALSE)="","",VLOOKUP(A53,'Débit - Abfluss'!$A$4:$M$275,7,FALSE))</f>
        <v/>
      </c>
      <c r="AP53" s="766" t="str">
        <f>IF(VLOOKUP(A53,'Débit - Abfluss'!$A$4:$K$275,8,FALSE)="","",VLOOKUP(A53,'Débit - Abfluss'!$A$4:$M$275,8,FALSE))</f>
        <v>81-100%</v>
      </c>
      <c r="AQ53" s="742" t="str">
        <f>IF(VLOOKUP(A53,'Débit - Abfluss'!$A$4:$K$275,9,FALSE)="","",VLOOKUP(A53,'Débit - Abfluss'!$A$4:$M$275,9,FALSE))</f>
        <v>-</v>
      </c>
      <c r="AR53" s="767" t="str">
        <f>IF(VLOOKUP(A53,'Débit - Abfluss'!$A$4:$K$275,10,FALSE)="","",VLOOKUP(A53,'Débit - Abfluss'!$A$4:$M$275,10,FALSE))</f>
        <v>81-100%</v>
      </c>
      <c r="AS53" s="767" t="str">
        <f>IF(VLOOKUP(A53,'Débit - Abfluss'!$A$4:$K$275,11,FALSE)="","",VLOOKUP(A53,'Débit - Abfluss'!$A$4:$M$275,11,FALSE))</f>
        <v/>
      </c>
      <c r="AT53" s="778" t="str">
        <f>IF(VLOOKUP(A53,'Débit - Abfluss'!$A$4:$Q$275,12,FALSE)="","",VLOOKUP(A53,'Débit - Abfluss'!$A$4:$Q$275,12,FALSE))</f>
        <v/>
      </c>
      <c r="AU53" s="779" t="str">
        <f>IF(VLOOKUP(A53,'Débit - Abfluss'!$A$4:$Q$275,13,FALSE)="","",VLOOKUP(A53,'Débit - Abfluss'!$A$4:$Q$275,13,FALSE))</f>
        <v/>
      </c>
      <c r="AV53" s="746" t="str">
        <f>IF(VLOOKUP(A53,'Débit - Abfluss'!$A$4:$Q$275,14,FALSE)="","",VLOOKUP(A53,'Débit - Abfluss'!$A$4:$Q$275,14,FALSE))</f>
        <v/>
      </c>
      <c r="AW53" s="768" t="str">
        <f>IF(VLOOKUP(A53,'Débit - Abfluss'!$A$4:$Q$275,15,FALSE)="","",VLOOKUP(A53,'Débit - Abfluss'!$A$4:$Q$275,15,FALSE))</f>
        <v/>
      </c>
      <c r="AX53" s="679" t="str">
        <f>IF(VLOOKUP(A53,'Débit - Abfluss'!$A$4:$Q$275,16,FALSE)="","",VLOOKUP(A53,'Débit - Abfluss'!$A$4:$Q$275,16,FALSE))</f>
        <v/>
      </c>
      <c r="AY53" s="769" t="str">
        <f>IF(VLOOKUP(A53,'Débit - Abfluss'!$A$4:$Q$275,17,FALSE)="","",VLOOKUP(A53,'Débit - Abfluss'!$A$4:$Q$275,17,FALSE))</f>
        <v>81-100%</v>
      </c>
      <c r="AZ53" s="749" t="str">
        <f>IF(VLOOKUP(A53,'Eclusée - Schwall-Sunk'!$A$2:$F$273,5,FALSE)="","",VLOOKUP(A53,'Eclusée - Schwall-Sunk'!$A$2:$F$273,5,FALSE))</f>
        <v>force hydraulique</v>
      </c>
      <c r="BA53" s="750" t="str">
        <f>IF(VLOOKUP(A53,'Eclusée - Schwall-Sunk'!$A$2:$F$273,6,FALSE)="","",VLOOKUP(A53,'Eclusée - Schwall-Sunk'!$A$2:$F$273,6,FALSE))</f>
        <v>Potentiellement affecté / möglicherweise betroffen</v>
      </c>
      <c r="BB53" s="751">
        <f>IF(VLOOKUP(A53,'Revitalisation-Revitalisierung'!$A$4:$Z$275,5,FALSE)="","",VLOOKUP(A53,'Revitalisation-Revitalisierung'!$A$4:$Z$275,5,FALSE))</f>
        <v>22.072727272727274</v>
      </c>
      <c r="BC53" s="752">
        <f>IF(VLOOKUP(A53,'Revitalisation-Revitalisierung'!$A$4:$Z$275,6,FALSE)="","",VLOOKUP(A53,'Revitalisation-Revitalisierung'!$A$4:$Z$275,6,FALSE))</f>
        <v>24.809925255785867</v>
      </c>
      <c r="BD53" s="752">
        <f>IF(VLOOKUP(A53,'Revitalisation-Revitalisierung'!$A$4:$Z$275,7,FALSE)="","",VLOOKUP(A53,'Revitalisation-Revitalisierung'!$A$4:$Z$275,7,FALSE))</f>
        <v>2.7272727272727271</v>
      </c>
      <c r="BE53" s="920" t="str">
        <f>IF(VLOOKUP(A53,'Revitalisation-Revitalisierung'!$A$4:$Z$275,8,FALSE)="","",VLOOKUP(A53,'Revitalisation-Revitalisierung'!$A$4:$Z$275,8,FALSE))</f>
        <v>peu nécessaire, facile</v>
      </c>
      <c r="BF53" s="754" t="str">
        <f>IF(VLOOKUP(A53,'Revitalisation-Revitalisierung'!$A$4:$Z$275,9,FALSE)="","",VLOOKUP(A53,'Revitalisation-Revitalisierung'!$A$4:$Z$275,9,FALSE))</f>
        <v/>
      </c>
      <c r="BG53" s="754" t="str">
        <f>IF(VLOOKUP(A53,'Revitalisation-Revitalisierung'!$A$4:$Z$275,10,FALSE)="","",VLOOKUP(A53,'Revitalisation-Revitalisierung'!$A$4:$Z$275,10,FALSE))</f>
        <v>K2</v>
      </c>
      <c r="BH53" s="755" t="str">
        <f>IF(VLOOKUP(A53,'Revitalisation-Revitalisierung'!$A$4:$Z$275,11,FALSE)="","",VLOOKUP(A53,'Revitalisation-Revitalisierung'!$A$4:$Z$275,11,FALSE))</f>
        <v/>
      </c>
      <c r="BI53" s="756" t="str">
        <f>IF(VLOOKUP(A53,'Revitalisation-Revitalisierung'!$A$4:$Z$275,12,FALSE)="","",VLOOKUP(A53,'Revitalisation-Revitalisierung'!$A$4:$Z$275,12,FALSE))</f>
        <v/>
      </c>
      <c r="BJ53" s="757" t="str">
        <f>IF(VLOOKUP(A53,'Revitalisation-Revitalisierung'!$A$4:$Z$275,13,FALSE)="","",VLOOKUP(A53,'Revitalisation-Revitalisierung'!$A$4:$Z$275,13,FALSE))</f>
        <v>Partiellement nécessaire, facile / teilweise nötig, einfach</v>
      </c>
      <c r="BK53" s="870" t="str">
        <f>IF(VLOOKUP(A53,'Revitalisation-Revitalisierung'!$A$4:$Z$275,14,FALSE)="","",VLOOKUP(A53,'Revitalisation-Revitalisierung'!$A$4:$Z$275,14,FALSE))</f>
        <v>a</v>
      </c>
      <c r="BL53" s="758" t="str">
        <f>IF(VLOOKUP(A53,'Revitalisation-Revitalisierung'!$A$4:$Z$275,15,FALSE)="","",VLOOKUP(A53,'Revitalisation-Revitalisierung'!$A$4:$Z$275,15,FALSE))</f>
        <v>élevé</v>
      </c>
      <c r="BM53" s="759" t="str">
        <f>IF(VLOOKUP(A53,'Revitalisation-Revitalisierung'!$A$4:$Z$275,16,FALSE)="","",VLOOKUP(A53,'Revitalisation-Revitalisierung'!$A$4:$Z$275,16,FALSE))</f>
        <v>élevé (faible pour affluents et une partie de la Sarine)</v>
      </c>
      <c r="BN53" s="759" t="str">
        <f>IF(VLOOKUP(A53,'Revitalisation-Revitalisierung'!$A$4:$Z$275,17,FALSE)="","",VLOOKUP(A53,'Revitalisation-Revitalisierung'!$A$4:$Z$275,17,FALSE))</f>
        <v>élevé (nulle pour une partie de la Sarine; faible ou nulle pour les affluents)</v>
      </c>
      <c r="BO53" s="760" t="str">
        <f>IF(VLOOKUP(A53,'Revitalisation-Revitalisierung'!$A$4:$Z$275,18,FALSE)="","",VLOOKUP(A53,'Revitalisation-Revitalisierung'!$A$4:$Z$275,18,FALSE))</f>
        <v>Très nécessaire, facile / unbedingt nötig, einfach</v>
      </c>
      <c r="BP53" s="761" t="str">
        <f>IF(VLOOKUP(A53,'Revitalisation-Revitalisierung'!$A$4:$Z$275,19,FALSE)="","",VLOOKUP(A53,'Revitalisation-Revitalisierung'!$A$4:$Z$275,19,FALSE))</f>
        <v>Très nécessaire, facile / unbedingt nötig, einfach</v>
      </c>
      <c r="BQ53" s="759" t="str">
        <f>IF(VLOOKUP(A53,'Revitalisation-Revitalisierung'!$A$4:$Z$275,20,FALSE)="","",VLOOKUP(A53,'Revitalisation-Revitalisierung'!$A$4:$Z$275,20,FALSE))</f>
        <v>c</v>
      </c>
      <c r="BR53" s="759" t="str">
        <f>IF(VLOOKUP(A53,'Revitalisation-Revitalisierung'!$A$4:$Z$275,21,FALSE)="","",VLOOKUP(A53,'Revitalisation-Revitalisierung'!$A$4:$Z$275,21,FALSE))</f>
        <v/>
      </c>
      <c r="BS53" s="762" t="str">
        <f>IF(VLOOKUP(A53,'Revitalisation-Revitalisierung'!$A$4:$Z$275,22,FALSE)="","",VLOOKUP(A53,'Revitalisation-Revitalisierung'!$A$4:$Z$275,22,FALSE))</f>
        <v/>
      </c>
      <c r="BT53" s="703" t="str">
        <f>IF(VLOOKUP(A53,'Revitalisation-Revitalisierung'!$A$4:$Z$275,23,FALSE)="","",VLOOKUP(A53,'Revitalisation-Revitalisierung'!$A$4:$Z$275,23,FALSE))</f>
        <v/>
      </c>
      <c r="BU53" s="699" t="str">
        <f>IF(VLOOKUP(A53,'Revitalisation-Revitalisierung'!$A$4:$Z$275,24,FALSE)="","",VLOOKUP(A53,'Revitalisation-Revitalisierung'!$A$4:$Z$275,24,FALSE))</f>
        <v/>
      </c>
      <c r="BV53" s="761" t="str">
        <f>IF(VLOOKUP(A53,'Revitalisation-Revitalisierung'!$A$4:$Z$275,25,FALSE)="","",VLOOKUP(A53,'Revitalisation-Revitalisierung'!$A$4:$Z$275,25,FALSE))</f>
        <v>Très nécessaire, facile / unbedingt nötig, einfach</v>
      </c>
      <c r="BW53" s="871" t="str">
        <f>IF(VLOOKUP(A53,'Revitalisation-Revitalisierung'!$A$4:$AA$275,27,FALSE)="","",VLOOKUP(A53,'Revitalisation-Revitalisierung'!$A$4:$AA$275,27,FALSE))</f>
        <v>a</v>
      </c>
    </row>
    <row r="54" spans="1:75" ht="51" customHeight="1" x14ac:dyDescent="0.25">
      <c r="A54" s="937">
        <v>69</v>
      </c>
      <c r="B54" s="856">
        <f>IF(VLOOKUP(A54,'Données de base - Grunddaten'!$A$2:$M$297,2,FALSE)="","",VLOOKUP(A54,'Données de base - Grunddaten'!$A$2:$M$297,2,FALSE))</f>
        <v>1</v>
      </c>
      <c r="C54" s="857" t="str">
        <f>IF(VLOOKUP(A54,'Données de base - Grunddaten'!$A$2:$M$297,3,FALSE)="","",VLOOKUP(A54,'Données de base - Grunddaten'!$A$2:$M$297,3,FALSE))</f>
        <v>Belper Giessen</v>
      </c>
      <c r="D54" s="857" t="str">
        <f>IF(VLOOKUP(A54,'Données de base - Grunddaten'!$A$2:$M$297,4,FALSE)="","",VLOOKUP(A54,'Données de base - Grunddaten'!$A$2:$M$297,4,FALSE))</f>
        <v>Aare</v>
      </c>
      <c r="E54" s="857" t="str">
        <f>IF(VLOOKUP(A54,'Données de base - Grunddaten'!$A$2:$M$297,5,FALSE)="","",VLOOKUP(A54,'Données de base - Grunddaten'!$A$2:$M$297,5,FALSE))</f>
        <v>BE</v>
      </c>
      <c r="F54" s="857" t="str">
        <f>IF(VLOOKUP(A54,'Données de base - Grunddaten'!$A$2:$M$297,6,FALSE)="","",VLOOKUP(A54,'Données de base - Grunddaten'!$A$2:$M$297,6,FALSE))</f>
        <v>Plateau occidental</v>
      </c>
      <c r="G54" s="857" t="str">
        <f>IF(VLOOKUP(A54,'Données de base - Grunddaten'!$A$2:$M$297,7,FALSE)="","",VLOOKUP(A54,'Données de base - Grunddaten'!$A$2:$M$297,7,FALSE))</f>
        <v>Collinéen</v>
      </c>
      <c r="H54" s="857">
        <f>IF(VLOOKUP(A54,'Données de base - Grunddaten'!$A$2:$M$297,8,FALSE)="","",VLOOKUP(A54,'Données de base - Grunddaten'!$A$2:$M$297,8,FALSE))</f>
        <v>520</v>
      </c>
      <c r="I54" s="857">
        <f>IF(VLOOKUP(A54,'Données de base - Grunddaten'!$A$2:$M$297,9,FALSE)="","",VLOOKUP(A54,'Données de base - Grunddaten'!$A$2:$M$297,9,FALSE))</f>
        <v>1992</v>
      </c>
      <c r="J54" s="857">
        <f>IF(VLOOKUP(A54,'Données de base - Grunddaten'!$A$2:$M$297,10,FALSE)="","",VLOOKUP(A54,'Données de base - Grunddaten'!$A$2:$M$297,10,FALSE))</f>
        <v>52</v>
      </c>
      <c r="K54" s="857" t="str">
        <f>IF(VLOOKUP(A54,'Données de base - Grunddaten'!$A$2:$M$297,11,FALSE)="","",VLOOKUP(A54,'Données de base - Grunddaten'!$A$2:$M$297,11,FALSE))</f>
        <v>Cours d'eau corrigés de l'étage collinéen du Moyen-Pays</v>
      </c>
      <c r="L54" s="857" t="str">
        <f>IF(VLOOKUP(A54,'Données de base - Grunddaten'!$A$2:$M$297,12,FALSE)="","",VLOOKUP(A54,'Données de base - Grunddaten'!$A$2:$M$297,12,FALSE))</f>
        <v>en méandres migrants</v>
      </c>
      <c r="M54" s="858" t="str">
        <f>IF(VLOOKUP(A54,'Données de base - Grunddaten'!$A$2:$M$297,13,FALSE)="","",VLOOKUP(A54,'Données de base - Grunddaten'!$A$2:$M$297,13,FALSE))</f>
        <v>en méandres migrants</v>
      </c>
      <c r="N54" s="872" t="str">
        <f>IF(VLOOKUP(A54,'Charriage - Geschiebehaushalt'!$A$4:$R$275,5,FALSE)="","",VLOOKUP(A54,'Charriage - Geschiebehaushalt'!$A$4:$R$275,5,FALSE))</f>
        <v>pertinent</v>
      </c>
      <c r="O54" s="873" t="str">
        <f>IF(VLOOKUP(A54,'Charriage - Geschiebehaushalt'!$A$4:$R$275,6,FALSE)="","",VLOOKUP(A54,'Charriage - Geschiebehaushalt'!$A$4:$R$275,6,FALSE))</f>
        <v>21-50%</v>
      </c>
      <c r="P54" s="874">
        <f>IF(VLOOKUP(A54,'Charriage - Geschiebehaushalt'!$A$4:$R$275,7,FALSE)="","",VLOOKUP(A54,'Charriage - Geschiebehaushalt'!$A$4:$R$275,7,FALSE))</f>
        <v>-0.34211063121271401</v>
      </c>
      <c r="Q54" s="874" t="str">
        <f>IF(VLOOKUP(A54,'Charriage - Geschiebehaushalt'!$A$4:$R$275,8,FALSE)="","",VLOOKUP(A54,'Charriage - Geschiebehaushalt'!$A$4:$R$275,8,FALSE))</f>
        <v>pas d'incision</v>
      </c>
      <c r="R54" s="875">
        <f>IF(VLOOKUP(A54,'Charriage - Geschiebehaushalt'!$A$4:$R$275,9,FALSE)="","",VLOOKUP(A54,'Charriage - Geschiebehaushalt'!$A$4:$R$275,9,FALSE))</f>
        <v>1.53095073315429</v>
      </c>
      <c r="S54" s="876" t="str">
        <f>IF(VLOOKUP(A54,'Charriage - Geschiebehaushalt'!$A$4:$R$275,10,FALSE)="","",VLOOKUP(A54,'Charriage - Geschiebehaushalt'!$A$4:$R$275,10,FALSE))</f>
        <v>la remobilisation des sédiments est perturbée</v>
      </c>
      <c r="T54" s="875">
        <f>IF(VLOOKUP(A54,'Charriage - Geschiebehaushalt'!$A$4:$R$275,11,FALSE)="","",VLOOKUP(A54,'Charriage - Geschiebehaushalt'!$A$4:$R$275,11,FALSE))</f>
        <v>0.10298976047</v>
      </c>
      <c r="U54" s="876" t="str">
        <f>IF(VLOOKUP(A54,'Charriage - Geschiebehaushalt'!$A$4:$R$275,12,FALSE)="","",VLOOKUP(A54,'Charriage - Geschiebehaushalt'!$A$4:$R$275,12,FALSE))</f>
        <v>déficit dans les formations pionnières</v>
      </c>
      <c r="V54" s="877" t="str">
        <f>IF(VLOOKUP(A54,'Charriage - Geschiebehaushalt'!$A$4:$R$275,13,FALSE)="","",VLOOKUP(A54,'Charriage - Geschiebehaushalt'!$A$4:$R$275,13,FALSE))</f>
        <v/>
      </c>
      <c r="W54" s="877" t="str">
        <f>IF(VLOOKUP(A54,'Charriage - Geschiebehaushalt'!$A$4:$R$275,14,FALSE)="","",VLOOKUP(A54,'Charriage - Geschiebehaushalt'!$A$4:$R$275,14,FALSE))</f>
        <v/>
      </c>
      <c r="X54" s="877" t="str">
        <f>IF(VLOOKUP(A54,'Charriage - Geschiebehaushalt'!$A$4:$R$275,15,FALSE)="","",VLOOKUP(A54,'Charriage - Geschiebehaushalt'!$A$4:$R$275,15,FALSE))</f>
        <v/>
      </c>
      <c r="Y54" s="879" t="str">
        <f>IF(VLOOKUP(A54,'Charriage - Geschiebehaushalt'!$A$4:$R$275,16,FALSE)="","",VLOOKUP(A54,'Charriage - Geschiebehaushalt'!$A$4:$R$275,16,FALSE))</f>
        <v/>
      </c>
      <c r="Z54" s="763" t="str">
        <f>IF(VLOOKUP(A54,'Charriage - Geschiebehaushalt'!$A$4:$R$275,17,FALSE)="","",VLOOKUP(A54,'Charriage - Geschiebehaushalt'!$A$4:$R$275,17,FALSE))</f>
        <v>21-50%</v>
      </c>
      <c r="AA54" s="880" t="str">
        <f>IF(VLOOKUP(A54,'Charriage - Geschiebehaushalt'!$A$4:$R$275,18,FALSE)="","",VLOOKUP(A54,'Charriage - Geschiebehaushalt'!$A$4:$R$275,18,FALSE))</f>
        <v>a</v>
      </c>
      <c r="AB54" s="737" t="str">
        <f>IF(VLOOKUP(A54,'Charriage - Geschiebehaushalt'!$A$4:$AC$275,19,FALSE)="","",VLOOKUP(A54,'Charriage - Geschiebehaushalt'!$A$4:$AC$275,19,FALSE))</f>
        <v>gering</v>
      </c>
      <c r="AC54" s="738" t="str">
        <f>IF(VLOOKUP(A54,'Charriage - Geschiebehaushalt'!$A$4:$AC$275,20,FALSE)="","",VLOOKUP(A54,'Charriage - Geschiebehaushalt'!$A$4:$AC$275,20,FALSE))</f>
        <v>kein HB</v>
      </c>
      <c r="AD54" s="764" t="str">
        <f>IF(VLOOKUP(A54,'Charriage - Geschiebehaushalt'!$A$4:$AC$275,21,FALSE)="","",VLOOKUP(A54,'Charriage - Geschiebehaushalt'!$A$4:$AC$275,21,FALSE))</f>
        <v>21-50%</v>
      </c>
      <c r="AE54" s="740" t="str">
        <f>IF(VLOOKUP(A54,'Charriage - Geschiebehaushalt'!$A$4:$AC$275,22,FALSE)="","",VLOOKUP(A54,'Charriage - Geschiebehaushalt'!$A$4:$AC$275,22,FALSE))</f>
        <v>21-50%</v>
      </c>
      <c r="AF54" s="787" t="str">
        <f>IF(VLOOKUP(A54,'Charriage - Geschiebehaushalt'!$A$4:$AC$275,23,FALSE)="","",VLOOKUP(A54,'Charriage - Geschiebehaushalt'!$A$4:$AC$275,23,FALSE))</f>
        <v>d</v>
      </c>
      <c r="AG54" s="765" t="str">
        <f>IF(VLOOKUP(A54,'Charriage - Geschiebehaushalt'!$A$4:$AC$275,24,FALSE)="","",VLOOKUP(A54,'Charriage - Geschiebehaushalt'!$A$4:$AC$275,24,FALSE))</f>
        <v/>
      </c>
      <c r="AH54" s="764" t="str">
        <f>IF(VLOOKUP(A54,'Charriage - Geschiebehaushalt'!$A$4:$AC$275,25,FALSE)="","",VLOOKUP(A54,'Charriage - Geschiebehaushalt'!$A$4:$AC$275,25,FALSE))</f>
        <v/>
      </c>
      <c r="AI54" s="433" t="str">
        <f>IF(VLOOKUP(A54,'Charriage - Geschiebehaushalt'!$A$4:$AC$275,26,FALSE)="","",VLOOKUP(A54,'Charriage - Geschiebehaushalt'!$A$4:$AC$275,26,FALSE))</f>
        <v/>
      </c>
      <c r="AJ54" s="434" t="str">
        <f>IF(VLOOKUP(A54,'Charriage - Geschiebehaushalt'!$A$4:$AC$275,27,FALSE)="","",VLOOKUP(A54,'Charriage - Geschiebehaushalt'!$A$4:$AC$275,27,FALSE))</f>
        <v/>
      </c>
      <c r="AK54" s="801" t="str">
        <f>IF(VLOOKUP(A54,'Charriage - Geschiebehaushalt'!$A$4:$AC$275,28,FALSE)="","",VLOOKUP(A54,'Charriage - Geschiebehaushalt'!$A$4:$AC$275,28,FALSE))</f>
        <v>21-50%</v>
      </c>
      <c r="AL54" s="1285" t="str">
        <f>IF(VLOOKUP(A54,'Charriage - Geschiebehaushalt'!$A$4:$AD$275,30,FALSE)="","",VLOOKUP(A54,'Charriage - Geschiebehaushalt'!$A$4:$AD$275,30,FALSE))</f>
        <v>a</v>
      </c>
      <c r="AM54" s="1279" t="str">
        <f>IF(VLOOKUP(A54,'Débit - Abfluss'!$A$4:$K$275,5,FALSE)="","",VLOOKUP(A54,'Débit - Abfluss'!$A$4:$M$275,5,FALSE))</f>
        <v>81-100%</v>
      </c>
      <c r="AN54" s="868" t="str">
        <f>IF(VLOOKUP(A54,'Débit - Abfluss'!$A$4:$K$275,6,FALSE)="","",VLOOKUP(A54,'Débit - Abfluss'!$A$4:$M$275,6,FALSE))</f>
        <v/>
      </c>
      <c r="AO54" s="869" t="str">
        <f>IF(VLOOKUP(A54,'Débit - Abfluss'!$A$4:$K$275,7,FALSE)="","",VLOOKUP(A54,'Débit - Abfluss'!$A$4:$M$275,7,FALSE))</f>
        <v/>
      </c>
      <c r="AP54" s="766" t="str">
        <f>IF(VLOOKUP(A54,'Débit - Abfluss'!$A$4:$K$275,8,FALSE)="","",VLOOKUP(A54,'Débit - Abfluss'!$A$4:$M$275,8,FALSE))</f>
        <v>81-100%</v>
      </c>
      <c r="AQ54" s="742" t="str">
        <f>IF(VLOOKUP(A54,'Débit - Abfluss'!$A$4:$K$275,9,FALSE)="","",VLOOKUP(A54,'Débit - Abfluss'!$A$4:$M$275,9,FALSE))</f>
        <v>-</v>
      </c>
      <c r="AR54" s="767" t="str">
        <f>IF(VLOOKUP(A54,'Débit - Abfluss'!$A$4:$K$275,10,FALSE)="","",VLOOKUP(A54,'Débit - Abfluss'!$A$4:$M$275,10,FALSE))</f>
        <v>81-100%</v>
      </c>
      <c r="AS54" s="767" t="str">
        <f>IF(VLOOKUP(A54,'Débit - Abfluss'!$A$4:$K$275,11,FALSE)="","",VLOOKUP(A54,'Débit - Abfluss'!$A$4:$M$275,11,FALSE))</f>
        <v/>
      </c>
      <c r="AT54" s="744" t="str">
        <f>IF(VLOOKUP(A54,'Débit - Abfluss'!$A$4:$Q$275,12,FALSE)="","",VLOOKUP(A54,'Débit - Abfluss'!$A$4:$Q$275,12,FALSE))</f>
        <v/>
      </c>
      <c r="AU54" s="745" t="str">
        <f>IF(VLOOKUP(A54,'Débit - Abfluss'!$A$4:$Q$275,13,FALSE)="","",VLOOKUP(A54,'Débit - Abfluss'!$A$4:$Q$275,13,FALSE))</f>
        <v/>
      </c>
      <c r="AV54" s="746" t="str">
        <f>IF(VLOOKUP(A54,'Débit - Abfluss'!$A$4:$Q$275,14,FALSE)="","",VLOOKUP(A54,'Débit - Abfluss'!$A$4:$Q$275,14,FALSE))</f>
        <v/>
      </c>
      <c r="AW54" s="768" t="str">
        <f>IF(VLOOKUP(A54,'Débit - Abfluss'!$A$4:$Q$275,15,FALSE)="","",VLOOKUP(A54,'Débit - Abfluss'!$A$4:$Q$275,15,FALSE))</f>
        <v/>
      </c>
      <c r="AX54" s="677" t="str">
        <f>IF(VLOOKUP(A54,'Débit - Abfluss'!$A$4:$Q$275,16,FALSE)="","",VLOOKUP(A54,'Débit - Abfluss'!$A$4:$Q$275,16,FALSE))</f>
        <v/>
      </c>
      <c r="AY54" s="769" t="str">
        <f>IF(VLOOKUP(A54,'Débit - Abfluss'!$A$4:$Q$275,17,FALSE)="","",VLOOKUP(A54,'Débit - Abfluss'!$A$4:$Q$275,17,FALSE))</f>
        <v>81-100%</v>
      </c>
      <c r="AZ54" s="749" t="str">
        <f>IF(VLOOKUP(A54,'Eclusée - Schwall-Sunk'!$A$2:$F$273,5,FALSE)="","",VLOOKUP(A54,'Eclusée - Schwall-Sunk'!$A$2:$F$273,5,FALSE))</f>
        <v>force hydraulique</v>
      </c>
      <c r="BA54" s="750" t="str">
        <f>IF(VLOOKUP(A54,'Eclusée - Schwall-Sunk'!$A$2:$F$273,6,FALSE)="","",VLOOKUP(A54,'Eclusée - Schwall-Sunk'!$A$2:$F$273,6,FALSE))</f>
        <v>Non affecté / nicht betroffen</v>
      </c>
      <c r="BB54" s="751">
        <f>IF(VLOOKUP(A54,'Revitalisation-Revitalisierung'!$A$4:$Z$275,5,FALSE)="","",VLOOKUP(A54,'Revitalisation-Revitalisierung'!$A$4:$Z$275,5,FALSE))</f>
        <v>42.981818181818184</v>
      </c>
      <c r="BC54" s="752">
        <f>IF(VLOOKUP(A54,'Revitalisation-Revitalisierung'!$A$4:$Z$275,6,FALSE)="","",VLOOKUP(A54,'Revitalisation-Revitalisierung'!$A$4:$Z$275,6,FALSE))</f>
        <v>74.760643604577211</v>
      </c>
      <c r="BD54" s="752">
        <f>IF(VLOOKUP(A54,'Revitalisation-Revitalisierung'!$A$4:$Z$275,7,FALSE)="","",VLOOKUP(A54,'Revitalisation-Revitalisierung'!$A$4:$Z$275,7,FALSE))</f>
        <v>31.818181818181817</v>
      </c>
      <c r="BE54" s="753" t="str">
        <f>IF(VLOOKUP(A54,'Revitalisation-Revitalisierung'!$A$4:$Z$275,8,FALSE)="","",VLOOKUP(A54,'Revitalisation-Revitalisierung'!$A$4:$Z$275,8,FALSE))</f>
        <v>très nécessaire, difficile</v>
      </c>
      <c r="BF54" s="754" t="str">
        <f>IF(VLOOKUP(A54,'Revitalisation-Revitalisierung'!$A$4:$Z$275,9,FALSE)="","",VLOOKUP(A54,'Revitalisation-Revitalisierung'!$A$4:$Z$275,9,FALSE))</f>
        <v/>
      </c>
      <c r="BG54" s="754" t="str">
        <f>IF(VLOOKUP(A54,'Revitalisation-Revitalisierung'!$A$4:$Z$275,10,FALSE)="","",VLOOKUP(A54,'Revitalisation-Revitalisierung'!$A$4:$Z$275,10,FALSE))</f>
        <v>K1</v>
      </c>
      <c r="BH54" s="755" t="str">
        <f>IF(VLOOKUP(A54,'Revitalisation-Revitalisierung'!$A$4:$Z$275,11,FALSE)="","",VLOOKUP(A54,'Revitalisation-Revitalisierung'!$A$4:$Z$275,11,FALSE))</f>
        <v/>
      </c>
      <c r="BI54" s="756" t="str">
        <f>IF(VLOOKUP(A54,'Revitalisation-Revitalisierung'!$A$4:$Z$275,12,FALSE)="","",VLOOKUP(A54,'Revitalisation-Revitalisierung'!$A$4:$Z$275,12,FALSE))</f>
        <v/>
      </c>
      <c r="BJ54" s="757" t="str">
        <f>IF(VLOOKUP(A54,'Revitalisation-Revitalisierung'!$A$4:$Z$275,13,FALSE)="","",VLOOKUP(A54,'Revitalisation-Revitalisierung'!$A$4:$Z$275,13,FALSE))</f>
        <v>Très nécessaire, difficile / unbedingt nötig, schwierig</v>
      </c>
      <c r="BK54" s="870" t="str">
        <f>IF(VLOOKUP(A54,'Revitalisation-Revitalisierung'!$A$4:$Z$275,14,FALSE)="","",VLOOKUP(A54,'Revitalisation-Revitalisierung'!$A$4:$Z$275,14,FALSE))</f>
        <v>a</v>
      </c>
      <c r="BL54" s="758" t="str">
        <f>IF(VLOOKUP(A54,'Revitalisation-Revitalisierung'!$A$4:$Z$275,15,FALSE)="","",VLOOKUP(A54,'Revitalisation-Revitalisierung'!$A$4:$Z$275,15,FALSE))</f>
        <v>gross</v>
      </c>
      <c r="BM54" s="759" t="str">
        <f>IF(VLOOKUP(A54,'Revitalisation-Revitalisierung'!$A$4:$Z$275,16,FALSE)="","",VLOOKUP(A54,'Revitalisation-Revitalisierung'!$A$4:$Z$275,16,FALSE))</f>
        <v>gross (nur Aare)</v>
      </c>
      <c r="BN54" s="759" t="str">
        <f>IF(VLOOKUP(A54,'Revitalisation-Revitalisierung'!$A$4:$Z$275,17,FALSE)="","",VLOOKUP(A54,'Revitalisation-Revitalisierung'!$A$4:$Z$275,17,FALSE))</f>
        <v>hoch (nur Aare)</v>
      </c>
      <c r="BO54" s="760" t="str">
        <f>IF(VLOOKUP(A54,'Revitalisation-Revitalisierung'!$A$4:$Z$275,18,FALSE)="","",VLOOKUP(A54,'Revitalisation-Revitalisierung'!$A$4:$Z$275,18,FALSE))</f>
        <v>Très nécessaire, difficile / unbedingt nötig, schwierig</v>
      </c>
      <c r="BP54" s="761" t="str">
        <f>IF(VLOOKUP(A54,'Revitalisation-Revitalisierung'!$A$4:$Z$275,19,FALSE)="","",VLOOKUP(A54,'Revitalisation-Revitalisierung'!$A$4:$Z$275,19,FALSE))</f>
        <v>Très nécessaire, difficile / unbedingt nötig, schwierig</v>
      </c>
      <c r="BQ54" s="759" t="str">
        <f>IF(VLOOKUP(A54,'Revitalisation-Revitalisierung'!$A$4:$Z$275,20,FALSE)="","",VLOOKUP(A54,'Revitalisation-Revitalisierung'!$A$4:$Z$275,20,FALSE))</f>
        <v>d</v>
      </c>
      <c r="BR54" s="759" t="str">
        <f>IF(VLOOKUP(A54,'Revitalisation-Revitalisierung'!$A$4:$Z$275,21,FALSE)="","",VLOOKUP(A54,'Revitalisation-Revitalisierung'!$A$4:$Z$275,21,FALSE))</f>
        <v/>
      </c>
      <c r="BS54" s="762" t="str">
        <f>IF(VLOOKUP(A54,'Revitalisation-Revitalisierung'!$A$4:$Z$275,22,FALSE)="","",VLOOKUP(A54,'Revitalisation-Revitalisierung'!$A$4:$Z$275,22,FALSE))</f>
        <v/>
      </c>
      <c r="BT54" s="703" t="str">
        <f>IF(VLOOKUP(A54,'Revitalisation-Revitalisierung'!$A$4:$Z$275,23,FALSE)="","",VLOOKUP(A54,'Revitalisation-Revitalisierung'!$A$4:$Z$275,23,FALSE))</f>
        <v/>
      </c>
      <c r="BU54" s="699" t="str">
        <f>IF(VLOOKUP(A54,'Revitalisation-Revitalisierung'!$A$4:$Z$275,24,FALSE)="","",VLOOKUP(A54,'Revitalisation-Revitalisierung'!$A$4:$Z$275,24,FALSE))</f>
        <v>Beurteilung ok. schwierig. + Zielkonflikte Artenschutz / Auen</v>
      </c>
      <c r="BV54" s="761" t="str">
        <f>IF(VLOOKUP(A54,'Revitalisation-Revitalisierung'!$A$4:$Z$275,25,FALSE)="","",VLOOKUP(A54,'Revitalisation-Revitalisierung'!$A$4:$Z$275,25,FALSE))</f>
        <v>Très nécessaire, difficile / unbedingt nötig, schwierig</v>
      </c>
      <c r="BW54" s="871" t="str">
        <f>IF(VLOOKUP(A54,'Revitalisation-Revitalisierung'!$A$4:$AA$275,27,FALSE)="","",VLOOKUP(A54,'Revitalisation-Revitalisierung'!$A$4:$AA$275,27,FALSE))</f>
        <v>a</v>
      </c>
    </row>
    <row r="55" spans="1:75" ht="46.15" customHeight="1" x14ac:dyDescent="0.25">
      <c r="A55" s="935">
        <v>70</v>
      </c>
      <c r="B55" s="856">
        <f>IF(VLOOKUP(A55,'Données de base - Grunddaten'!$A$2:$M$297,2,FALSE)="","",VLOOKUP(A55,'Données de base - Grunddaten'!$A$2:$M$297,2,FALSE))</f>
        <v>1</v>
      </c>
      <c r="C55" s="857" t="str">
        <f>IF(VLOOKUP(A55,'Données de base - Grunddaten'!$A$2:$M$297,3,FALSE)="","",VLOOKUP(A55,'Données de base - Grunddaten'!$A$2:$M$297,3,FALSE))</f>
        <v>Chandergrien</v>
      </c>
      <c r="D55" s="857" t="str">
        <f>IF(VLOOKUP(A55,'Données de base - Grunddaten'!$A$2:$M$297,4,FALSE)="","",VLOOKUP(A55,'Données de base - Grunddaten'!$A$2:$M$297,4,FALSE))</f>
        <v>Kander, Thunersee</v>
      </c>
      <c r="E55" s="857" t="str">
        <f>IF(VLOOKUP(A55,'Données de base - Grunddaten'!$A$2:$M$297,5,FALSE)="","",VLOOKUP(A55,'Données de base - Grunddaten'!$A$2:$M$297,5,FALSE))</f>
        <v>BE</v>
      </c>
      <c r="F55" s="857" t="str">
        <f>IF(VLOOKUP(A55,'Données de base - Grunddaten'!$A$2:$M$297,6,FALSE)="","",VLOOKUP(A55,'Données de base - Grunddaten'!$A$2:$M$297,6,FALSE))</f>
        <v>Préalpes</v>
      </c>
      <c r="G55" s="857" t="str">
        <f>IF(VLOOKUP(A55,'Données de base - Grunddaten'!$A$2:$M$297,7,FALSE)="","",VLOOKUP(A55,'Données de base - Grunddaten'!$A$2:$M$297,7,FALSE))</f>
        <v>Collinéen</v>
      </c>
      <c r="H55" s="857">
        <f>IF(VLOOKUP(A55,'Données de base - Grunddaten'!$A$2:$M$297,8,FALSE)="","",VLOOKUP(A55,'Données de base - Grunddaten'!$A$2:$M$297,8,FALSE))</f>
        <v>560</v>
      </c>
      <c r="I55" s="857">
        <f>IF(VLOOKUP(A55,'Données de base - Grunddaten'!$A$2:$M$297,9,FALSE)="","",VLOOKUP(A55,'Données de base - Grunddaten'!$A$2:$M$297,9,FALSE))</f>
        <v>1992</v>
      </c>
      <c r="J55" s="857">
        <f>IF(VLOOKUP(A55,'Données de base - Grunddaten'!$A$2:$M$297,10,FALSE)="","",VLOOKUP(A55,'Données de base - Grunddaten'!$A$2:$M$297,10,FALSE))</f>
        <v>90</v>
      </c>
      <c r="K55" s="857" t="str">
        <f>IF(VLOOKUP(A55,'Données de base - Grunddaten'!$A$2:$M$297,11,FALSE)="","",VLOOKUP(A55,'Données de base - Grunddaten'!$A$2:$M$297,11,FALSE))</f>
        <v>Delta</v>
      </c>
      <c r="L55" s="857" t="str">
        <f>IF(VLOOKUP(A55,'Données de base - Grunddaten'!$A$2:$M$297,12,FALSE)="","",VLOOKUP(A55,'Données de base - Grunddaten'!$A$2:$M$297,12,FALSE))</f>
        <v>delta</v>
      </c>
      <c r="M55" s="858" t="str">
        <f>IF(VLOOKUP(A55,'Données de base - Grunddaten'!$A$2:$M$297,13,FALSE)="","",VLOOKUP(A55,'Données de base - Grunddaten'!$A$2:$M$297,13,FALSE))</f>
        <v>delta dégradé</v>
      </c>
      <c r="N55" s="872" t="str">
        <f>IF(VLOOKUP(A55,'Charriage - Geschiebehaushalt'!$A$4:$R$275,5,FALSE)="","",VLOOKUP(A55,'Charriage - Geschiebehaushalt'!$A$4:$R$275,5,FALSE))</f>
        <v>pertinent</v>
      </c>
      <c r="O55" s="873" t="str">
        <f>IF(VLOOKUP(A55,'Charriage - Geschiebehaushalt'!$A$4:$R$275,6,FALSE)="","",VLOOKUP(A55,'Charriage - Geschiebehaushalt'!$A$4:$R$275,6,FALSE))</f>
        <v>51-80%</v>
      </c>
      <c r="P55" s="874" t="str">
        <f>IF(VLOOKUP(A55,'Charriage - Geschiebehaushalt'!$A$4:$R$275,7,FALSE)="","",VLOOKUP(A55,'Charriage - Geschiebehaushalt'!$A$4:$R$275,7,FALSE))</f>
        <v/>
      </c>
      <c r="Q55" s="874" t="str">
        <f>IF(VLOOKUP(A55,'Charriage - Geschiebehaushalt'!$A$4:$R$275,8,FALSE)="","",VLOOKUP(A55,'Charriage - Geschiebehaushalt'!$A$4:$R$275,8,FALSE))</f>
        <v>non documenté</v>
      </c>
      <c r="R55" s="875">
        <f>IF(VLOOKUP(A55,'Charriage - Geschiebehaushalt'!$A$4:$R$275,9,FALSE)="","",VLOOKUP(A55,'Charriage - Geschiebehaushalt'!$A$4:$R$275,9,FALSE))</f>
        <v>0.21282576491111299</v>
      </c>
      <c r="S55" s="876" t="str">
        <f>IF(VLOOKUP(A55,'Charriage - Geschiebehaushalt'!$A$4:$R$275,10,FALSE)="","",VLOOKUP(A55,'Charriage - Geschiebehaushalt'!$A$4:$R$275,10,FALSE))</f>
        <v>pas ou faiblement entravé</v>
      </c>
      <c r="T55" s="875">
        <f>IF(VLOOKUP(A55,'Charriage - Geschiebehaushalt'!$A$4:$R$275,11,FALSE)="","",VLOOKUP(A55,'Charriage - Geschiebehaushalt'!$A$4:$R$275,11,FALSE))</f>
        <v>6.5962408447999998E-2</v>
      </c>
      <c r="U55" s="876" t="str">
        <f>IF(VLOOKUP(A55,'Charriage - Geschiebehaushalt'!$A$4:$R$275,12,FALSE)="","",VLOOKUP(A55,'Charriage - Geschiebehaushalt'!$A$4:$R$275,12,FALSE))</f>
        <v>déficit dans les formations pionnières</v>
      </c>
      <c r="V55" s="877" t="str">
        <f>IF(VLOOKUP(A55,'Charriage - Geschiebehaushalt'!$A$4:$R$275,13,FALSE)="","",VLOOKUP(A55,'Charriage - Geschiebehaushalt'!$A$4:$R$275,13,FALSE))</f>
        <v/>
      </c>
      <c r="W55" s="877" t="str">
        <f>IF(VLOOKUP(A55,'Charriage - Geschiebehaushalt'!$A$4:$R$275,14,FALSE)="","",VLOOKUP(A55,'Charriage - Geschiebehaushalt'!$A$4:$R$275,14,FALSE))</f>
        <v/>
      </c>
      <c r="X55" s="877" t="str">
        <f>IF(VLOOKUP(A55,'Charriage - Geschiebehaushalt'!$A$4:$R$275,15,FALSE)="","",VLOOKUP(A55,'Charriage - Geschiebehaushalt'!$A$4:$R$275,15,FALSE))</f>
        <v/>
      </c>
      <c r="Y55" s="879" t="str">
        <f>IF(VLOOKUP(A55,'Charriage - Geschiebehaushalt'!$A$4:$R$275,16,FALSE)="","",VLOOKUP(A55,'Charriage - Geschiebehaushalt'!$A$4:$R$275,16,FALSE))</f>
        <v/>
      </c>
      <c r="Z55" s="763" t="str">
        <f>IF(VLOOKUP(A55,'Charriage - Geschiebehaushalt'!$A$4:$R$275,17,FALSE)="","",VLOOKUP(A55,'Charriage - Geschiebehaushalt'!$A$4:$R$275,17,FALSE))</f>
        <v>51-80%</v>
      </c>
      <c r="AA55" s="880" t="str">
        <f>IF(VLOOKUP(A55,'Charriage - Geschiebehaushalt'!$A$4:$R$275,18,FALSE)="","",VLOOKUP(A55,'Charriage - Geschiebehaushalt'!$A$4:$R$275,18,FALSE))</f>
        <v>a</v>
      </c>
      <c r="AB55" s="737" t="str">
        <f>IF(VLOOKUP(A55,'Charriage - Geschiebehaushalt'!$A$4:$AC$275,19,FALSE)="","",VLOOKUP(A55,'Charriage - Geschiebehaushalt'!$A$4:$AC$275,19,FALSE))</f>
        <v>wesentlich</v>
      </c>
      <c r="AC55" s="738" t="str">
        <f>IF(VLOOKUP(A55,'Charriage - Geschiebehaushalt'!$A$4:$AC$275,20,FALSE)="","",VLOOKUP(A55,'Charriage - Geschiebehaushalt'!$A$4:$AC$275,20,FALSE))</f>
        <v>Ja (gering)</v>
      </c>
      <c r="AD55" s="764" t="str">
        <f>IF(VLOOKUP(A55,'Charriage - Geschiebehaushalt'!$A$4:$AC$275,21,FALSE)="","",VLOOKUP(A55,'Charriage - Geschiebehaushalt'!$A$4:$AC$275,21,FALSE))</f>
        <v>51-80%</v>
      </c>
      <c r="AE55" s="740" t="str">
        <f>IF(VLOOKUP(A55,'Charriage - Geschiebehaushalt'!$A$4:$AC$275,22,FALSE)="","",VLOOKUP(A55,'Charriage - Geschiebehaushalt'!$A$4:$AC$275,22,FALSE))</f>
        <v>51-80%</v>
      </c>
      <c r="AF55" s="787" t="str">
        <f>IF(VLOOKUP(A55,'Charriage - Geschiebehaushalt'!$A$4:$AC$275,23,FALSE)="","",VLOOKUP(A55,'Charriage - Geschiebehaushalt'!$A$4:$AC$275,23,FALSE))</f>
        <v>d</v>
      </c>
      <c r="AG55" s="765" t="str">
        <f>IF(VLOOKUP(A55,'Charriage - Geschiebehaushalt'!$A$4:$AC$275,24,FALSE)="","",VLOOKUP(A55,'Charriage - Geschiebehaushalt'!$A$4:$AC$275,24,FALSE))</f>
        <v/>
      </c>
      <c r="AH55" s="764" t="str">
        <f>IF(VLOOKUP(A55,'Charriage - Geschiebehaushalt'!$A$4:$AC$275,25,FALSE)="","",VLOOKUP(A55,'Charriage - Geschiebehaushalt'!$A$4:$AC$275,25,FALSE))</f>
        <v/>
      </c>
      <c r="AI55" s="433" t="str">
        <f>IF(VLOOKUP(A55,'Charriage - Geschiebehaushalt'!$A$4:$AC$275,26,FALSE)="","",VLOOKUP(A55,'Charriage - Geschiebehaushalt'!$A$4:$AC$275,26,FALSE))</f>
        <v/>
      </c>
      <c r="AJ55" s="434" t="str">
        <f>IF(VLOOKUP(A55,'Charriage - Geschiebehaushalt'!$A$4:$AC$275,27,FALSE)="","",VLOOKUP(A55,'Charriage - Geschiebehaushalt'!$A$4:$AC$275,27,FALSE))</f>
        <v/>
      </c>
      <c r="AK55" s="801" t="str">
        <f>IF(VLOOKUP(A55,'Charriage - Geschiebehaushalt'!$A$4:$AC$275,28,FALSE)="","",VLOOKUP(A55,'Charriage - Geschiebehaushalt'!$A$4:$AC$275,28,FALSE))</f>
        <v>51-80%</v>
      </c>
      <c r="AL55" s="1285" t="str">
        <f>IF(VLOOKUP(A55,'Charriage - Geschiebehaushalt'!$A$4:$AD$275,30,FALSE)="","",VLOOKUP(A55,'Charriage - Geschiebehaushalt'!$A$4:$AD$275,30,FALSE))</f>
        <v>a</v>
      </c>
      <c r="AM55" s="1279" t="str">
        <f>IF(VLOOKUP(A55,'Débit - Abfluss'!$A$4:$K$275,5,FALSE)="","",VLOOKUP(A55,'Débit - Abfluss'!$A$4:$M$275,5,FALSE))</f>
        <v>41-60%</v>
      </c>
      <c r="AN55" s="868" t="str">
        <f>IF(VLOOKUP(A55,'Débit - Abfluss'!$A$4:$K$275,6,FALSE)="","",VLOOKUP(A55,'Débit - Abfluss'!$A$4:$M$275,6,FALSE))</f>
        <v/>
      </c>
      <c r="AO55" s="869" t="str">
        <f>IF(VLOOKUP(A55,'Débit - Abfluss'!$A$4:$K$275,7,FALSE)="","",VLOOKUP(A55,'Débit - Abfluss'!$A$4:$M$275,7,FALSE))</f>
        <v/>
      </c>
      <c r="AP55" s="766" t="str">
        <f>IF(VLOOKUP(A55,'Débit - Abfluss'!$A$4:$K$275,8,FALSE)="","",VLOOKUP(A55,'Débit - Abfluss'!$A$4:$M$275,8,FALSE))</f>
        <v>41-60%</v>
      </c>
      <c r="AQ55" s="678" t="str">
        <f>IF(VLOOKUP(A55,'Débit - Abfluss'!$A$4:$K$275,9,FALSE)="","",VLOOKUP(A55,'Débit - Abfluss'!$A$4:$M$275,9,FALSE))</f>
        <v>50-90%</v>
      </c>
      <c r="AR55" s="770" t="str">
        <f>IF(VLOOKUP(A55,'Débit - Abfluss'!$A$4:$K$275,10,FALSE)="","",VLOOKUP(A55,'Débit - Abfluss'!$A$4:$M$275,10,FALSE))</f>
        <v>41-60%</v>
      </c>
      <c r="AS55" s="767" t="str">
        <f>IF(VLOOKUP(A55,'Débit - Abfluss'!$A$4:$K$275,11,FALSE)="","",VLOOKUP(A55,'Débit - Abfluss'!$A$4:$M$275,11,FALSE))</f>
        <v/>
      </c>
      <c r="AT55" s="744" t="str">
        <f>IF(VLOOKUP(A55,'Débit - Abfluss'!$A$4:$Q$275,12,FALSE)="","",VLOOKUP(A55,'Débit - Abfluss'!$A$4:$Q$275,12,FALSE))</f>
        <v/>
      </c>
      <c r="AU55" s="745" t="str">
        <f>IF(VLOOKUP(A55,'Débit - Abfluss'!$A$4:$Q$275,13,FALSE)="","",VLOOKUP(A55,'Débit - Abfluss'!$A$4:$Q$275,13,FALSE))</f>
        <v/>
      </c>
      <c r="AV55" s="746" t="str">
        <f>IF(VLOOKUP(A55,'Débit - Abfluss'!$A$4:$Q$275,14,FALSE)="","",VLOOKUP(A55,'Débit - Abfluss'!$A$4:$Q$275,14,FALSE))</f>
        <v>BE-91</v>
      </c>
      <c r="AW55" s="768" t="str">
        <f>IF(VLOOKUP(A55,'Débit - Abfluss'!$A$4:$Q$275,15,FALSE)="","",VLOOKUP(A55,'Débit - Abfluss'!$A$4:$Q$275,15,FALSE))</f>
        <v>Spiez</v>
      </c>
      <c r="AX55" s="677" t="str">
        <f>IF(VLOOKUP(A55,'Débit - Abfluss'!$A$4:$Q$275,16,FALSE)="","",VLOOKUP(A55,'Débit - Abfluss'!$A$4:$Q$275,16,FALSE))</f>
        <v/>
      </c>
      <c r="AY55" s="776" t="str">
        <f>IF(VLOOKUP(A55,'Débit - Abfluss'!$A$4:$Q$275,17,FALSE)="","",VLOOKUP(A55,'Débit - Abfluss'!$A$4:$Q$275,17,FALSE))</f>
        <v>41-60%</v>
      </c>
      <c r="AZ55" s="749" t="str">
        <f>IF(VLOOKUP(A55,'Eclusée - Schwall-Sunk'!$A$2:$F$273,5,FALSE)="","",VLOOKUP(A55,'Eclusée - Schwall-Sunk'!$A$2:$F$273,5,FALSE))</f>
        <v>force hydraulique</v>
      </c>
      <c r="BA55" s="750" t="str">
        <f>IF(VLOOKUP(A55,'Eclusée - Schwall-Sunk'!$A$2:$F$273,6,FALSE)="","",VLOOKUP(A55,'Eclusée - Schwall-Sunk'!$A$2:$F$273,6,FALSE))</f>
        <v>Non affecté / nicht betroffen</v>
      </c>
      <c r="BB55" s="751">
        <f>IF(VLOOKUP(A55,'Revitalisation-Revitalisierung'!$A$4:$Z$275,5,FALSE)="","",VLOOKUP(A55,'Revitalisation-Revitalisierung'!$A$4:$Z$275,5,FALSE))</f>
        <v>9.5363636363636353</v>
      </c>
      <c r="BC55" s="752">
        <f>IF(VLOOKUP(A55,'Revitalisation-Revitalisierung'!$A$4:$Z$275,6,FALSE)="","",VLOOKUP(A55,'Revitalisation-Revitalisierung'!$A$4:$Z$275,6,FALSE))</f>
        <v>30.906065412540574</v>
      </c>
      <c r="BD55" s="752">
        <f>IF(VLOOKUP(A55,'Revitalisation-Revitalisierung'!$A$4:$Z$275,7,FALSE)="","",VLOOKUP(A55,'Revitalisation-Revitalisierung'!$A$4:$Z$275,7,FALSE))</f>
        <v>21.363636363636363</v>
      </c>
      <c r="BE55" s="753" t="str">
        <f>IF(VLOOKUP(A55,'Revitalisation-Revitalisierung'!$A$4:$Z$275,8,FALSE)="","",VLOOKUP(A55,'Revitalisation-Revitalisierung'!$A$4:$Z$275,8,FALSE))</f>
        <v>peu nécessaire, difficile</v>
      </c>
      <c r="BF55" s="754" t="str">
        <f>IF(VLOOKUP(A55,'Revitalisation-Revitalisierung'!$A$4:$Z$275,9,FALSE)="","",VLOOKUP(A55,'Revitalisation-Revitalisierung'!$A$4:$Z$275,9,FALSE))</f>
        <v/>
      </c>
      <c r="BG55" s="754" t="str">
        <f>IF(VLOOKUP(A55,'Revitalisation-Revitalisierung'!$A$4:$Z$275,10,FALSE)="","",VLOOKUP(A55,'Revitalisation-Revitalisierung'!$A$4:$Z$275,10,FALSE))</f>
        <v>K2</v>
      </c>
      <c r="BH55" s="755" t="str">
        <f>IF(VLOOKUP(A55,'Revitalisation-Revitalisierung'!$A$4:$Z$275,11,FALSE)="","",VLOOKUP(A55,'Revitalisation-Revitalisierung'!$A$4:$Z$275,11,FALSE))</f>
        <v/>
      </c>
      <c r="BI55" s="756" t="str">
        <f>IF(VLOOKUP(A55,'Revitalisation-Revitalisierung'!$A$4:$Z$275,12,FALSE)="","",VLOOKUP(A55,'Revitalisation-Revitalisierung'!$A$4:$Z$275,12,FALSE))</f>
        <v/>
      </c>
      <c r="BJ55" s="757" t="str">
        <f>IF(VLOOKUP(A55,'Revitalisation-Revitalisierung'!$A$4:$Z$275,13,FALSE)="","",VLOOKUP(A55,'Revitalisation-Revitalisierung'!$A$4:$Z$275,13,FALSE))</f>
        <v>Très nécessaire, facile / unbedingt nötig, einfach</v>
      </c>
      <c r="BK55" s="870" t="str">
        <f>IF(VLOOKUP(A55,'Revitalisation-Revitalisierung'!$A$4:$Z$275,14,FALSE)="","",VLOOKUP(A55,'Revitalisation-Revitalisierung'!$A$4:$Z$275,14,FALSE))</f>
        <v>b</v>
      </c>
      <c r="BL55" s="758" t="str">
        <f>IF(VLOOKUP(A55,'Revitalisation-Revitalisierung'!$A$4:$Z$275,15,FALSE)="","",VLOOKUP(A55,'Revitalisation-Revitalisierung'!$A$4:$Z$275,15,FALSE))</f>
        <v>gross</v>
      </c>
      <c r="BM55" s="759" t="str">
        <f>IF(VLOOKUP(A55,'Revitalisation-Revitalisierung'!$A$4:$Z$275,16,FALSE)="","",VLOOKUP(A55,'Revitalisation-Revitalisierung'!$A$4:$Z$275,16,FALSE))</f>
        <v>gering</v>
      </c>
      <c r="BN55" s="759" t="str">
        <f>IF(VLOOKUP(A55,'Revitalisation-Revitalisierung'!$A$4:$Z$275,17,FALSE)="","",VLOOKUP(A55,'Revitalisation-Revitalisierung'!$A$4:$Z$275,17,FALSE))</f>
        <v>-</v>
      </c>
      <c r="BO55" s="760" t="str">
        <f>IF(VLOOKUP(A55,'Revitalisation-Revitalisierung'!$A$4:$Z$275,18,FALSE)="","",VLOOKUP(A55,'Revitalisation-Revitalisierung'!$A$4:$Z$275,18,FALSE))</f>
        <v>Non nécessaire / nicht nötig</v>
      </c>
      <c r="BP55" s="761" t="str">
        <f>IF(VLOOKUP(A55,'Revitalisation-Revitalisierung'!$A$4:$Z$275,19,FALSE)="","",VLOOKUP(A55,'Revitalisation-Revitalisierung'!$A$4:$Z$275,19,FALSE))</f>
        <v>Non nécessaire / nicht nötig</v>
      </c>
      <c r="BQ55" s="759" t="str">
        <f>IF(VLOOKUP(A55,'Revitalisation-Revitalisierung'!$A$4:$Z$275,20,FALSE)="","",VLOOKUP(A55,'Revitalisation-Revitalisierung'!$A$4:$Z$275,20,FALSE))</f>
        <v>c</v>
      </c>
      <c r="BR55" s="759" t="str">
        <f>IF(VLOOKUP(A55,'Revitalisation-Revitalisierung'!$A$4:$Z$275,21,FALSE)="","",VLOOKUP(A55,'Revitalisation-Revitalisierung'!$A$4:$Z$275,21,FALSE))</f>
        <v>Etat actuel(2016) satisfaisant</v>
      </c>
      <c r="BS55" s="762" t="str">
        <f>IF(VLOOKUP(A55,'Revitalisation-Revitalisierung'!$A$4:$Z$275,22,FALSE)="","",VLOOKUP(A55,'Revitalisation-Revitalisierung'!$A$4:$Z$275,22,FALSE))</f>
        <v/>
      </c>
      <c r="BT55" s="703" t="str">
        <f>IF(VLOOKUP(A55,'Revitalisation-Revitalisierung'!$A$4:$Z$275,23,FALSE)="","",VLOOKUP(A55,'Revitalisation-Revitalisierung'!$A$4:$Z$275,23,FALSE))</f>
        <v>unbedingt nötig, schwierig</v>
      </c>
      <c r="BU55" s="699" t="str">
        <f>IF(VLOOKUP(A55,'Revitalisation-Revitalisierung'!$A$4:$Z$275,24,FALSE)="","",VLOOKUP(A55,'Revitalisation-Revitalisierung'!$A$4:$Z$275,24,FALSE))</f>
        <v xml:space="preserve">Nur geringer Teil ist dynamisch (Baggerloch ist abgehängt). Handlungsbedarf unbedingt nötig  aber schwierig.. </v>
      </c>
      <c r="BV55" s="761" t="str">
        <f>IF(VLOOKUP(A55,'Revitalisation-Revitalisierung'!$A$4:$Z$275,25,FALSE)="","",VLOOKUP(A55,'Revitalisation-Revitalisierung'!$A$4:$Z$275,25,FALSE))</f>
        <v>Très nécessaire, difficile / unbedingt nötig, schwierig</v>
      </c>
      <c r="BW55" s="871" t="str">
        <f>IF(VLOOKUP(A55,'Revitalisation-Revitalisierung'!$A$4:$AA$275,27,FALSE)="","",VLOOKUP(A55,'Revitalisation-Revitalisierung'!$A$4:$AA$275,27,FALSE))</f>
        <v>b</v>
      </c>
    </row>
    <row r="56" spans="1:75" ht="57.6" customHeight="1" x14ac:dyDescent="0.25">
      <c r="A56" s="935">
        <v>71</v>
      </c>
      <c r="B56" s="856">
        <f>IF(VLOOKUP(A56,'Données de base - Grunddaten'!$A$2:$M$297,2,FALSE)="","",VLOOKUP(A56,'Données de base - Grunddaten'!$A$2:$M$297,2,FALSE))</f>
        <v>1</v>
      </c>
      <c r="C56" s="857" t="str">
        <f>IF(VLOOKUP(A56,'Données de base - Grunddaten'!$A$2:$M$297,3,FALSE)="","",VLOOKUP(A56,'Données de base - Grunddaten'!$A$2:$M$297,3,FALSE))</f>
        <v>Augand</v>
      </c>
      <c r="D56" s="857" t="str">
        <f>IF(VLOOKUP(A56,'Données de base - Grunddaten'!$A$2:$M$297,4,FALSE)="","",VLOOKUP(A56,'Données de base - Grunddaten'!$A$2:$M$297,4,FALSE))</f>
        <v>Kander, Simme</v>
      </c>
      <c r="E56" s="857" t="str">
        <f>IF(VLOOKUP(A56,'Données de base - Grunddaten'!$A$2:$M$297,5,FALSE)="","",VLOOKUP(A56,'Données de base - Grunddaten'!$A$2:$M$297,5,FALSE))</f>
        <v>BE</v>
      </c>
      <c r="F56" s="857" t="str">
        <f>IF(VLOOKUP(A56,'Données de base - Grunddaten'!$A$2:$M$297,6,FALSE)="","",VLOOKUP(A56,'Données de base - Grunddaten'!$A$2:$M$297,6,FALSE))</f>
        <v>Préalpes</v>
      </c>
      <c r="G56" s="857" t="str">
        <f>IF(VLOOKUP(A56,'Données de base - Grunddaten'!$A$2:$M$297,7,FALSE)="","",VLOOKUP(A56,'Données de base - Grunddaten'!$A$2:$M$297,7,FALSE))</f>
        <v>Collinéen</v>
      </c>
      <c r="H56" s="857">
        <f>IF(VLOOKUP(A56,'Données de base - Grunddaten'!$A$2:$M$297,8,FALSE)="","",VLOOKUP(A56,'Données de base - Grunddaten'!$A$2:$M$297,8,FALSE))</f>
        <v>580</v>
      </c>
      <c r="I56" s="857">
        <f>IF(VLOOKUP(A56,'Données de base - Grunddaten'!$A$2:$M$297,9,FALSE)="","",VLOOKUP(A56,'Données de base - Grunddaten'!$A$2:$M$297,9,FALSE))</f>
        <v>1992</v>
      </c>
      <c r="J56" s="857">
        <f>IF(VLOOKUP(A56,'Données de base - Grunddaten'!$A$2:$M$297,10,FALSE)="","",VLOOKUP(A56,'Données de base - Grunddaten'!$A$2:$M$297,10,FALSE))</f>
        <v>42</v>
      </c>
      <c r="K56" s="857" t="str">
        <f>IF(VLOOKUP(A56,'Données de base - Grunddaten'!$A$2:$M$297,11,FALSE)="","",VLOOKUP(A56,'Données de base - Grunddaten'!$A$2:$M$297,11,FALSE))</f>
        <v>Cours d'eau corrigés de l'étage montagnard</v>
      </c>
      <c r="L56" s="857" t="str">
        <f>IF(VLOOKUP(A56,'Données de base - Grunddaten'!$A$2:$M$297,12,FALSE)="","",VLOOKUP(A56,'Données de base - Grunddaten'!$A$2:$M$297,12,FALSE))</f>
        <v>en tresses</v>
      </c>
      <c r="M56" s="858" t="str">
        <f>IF(VLOOKUP(A56,'Données de base - Grunddaten'!$A$2:$M$297,13,FALSE)="","",VLOOKUP(A56,'Données de base - Grunddaten'!$A$2:$M$297,13,FALSE))</f>
        <v>en méandres migrants</v>
      </c>
      <c r="N56" s="872" t="str">
        <f>IF(VLOOKUP(A56,'Charriage - Geschiebehaushalt'!$A$4:$R$275,5,FALSE)="","",VLOOKUP(A56,'Charriage - Geschiebehaushalt'!$A$4:$R$275,5,FALSE))</f>
        <v>pertinent</v>
      </c>
      <c r="O56" s="873" t="str">
        <f>IF(VLOOKUP(A56,'Charriage - Geschiebehaushalt'!$A$4:$R$275,6,FALSE)="","",VLOOKUP(A56,'Charriage - Geschiebehaushalt'!$A$4:$R$275,6,FALSE))</f>
        <v>51-80%</v>
      </c>
      <c r="P56" s="874" t="str">
        <f>IF(VLOOKUP(A56,'Charriage - Geschiebehaushalt'!$A$4:$R$275,7,FALSE)="","",VLOOKUP(A56,'Charriage - Geschiebehaushalt'!$A$4:$R$275,7,FALSE))</f>
        <v/>
      </c>
      <c r="Q56" s="874" t="str">
        <f>IF(VLOOKUP(A56,'Charriage - Geschiebehaushalt'!$A$4:$R$275,8,FALSE)="","",VLOOKUP(A56,'Charriage - Geschiebehaushalt'!$A$4:$R$275,8,FALSE))</f>
        <v>non documenté</v>
      </c>
      <c r="R56" s="875">
        <f>IF(VLOOKUP(A56,'Charriage - Geschiebehaushalt'!$A$4:$R$275,9,FALSE)="","",VLOOKUP(A56,'Charriage - Geschiebehaushalt'!$A$4:$R$275,9,FALSE))</f>
        <v>0.32866883295163501</v>
      </c>
      <c r="S56" s="876" t="str">
        <f>IF(VLOOKUP(A56,'Charriage - Geschiebehaushalt'!$A$4:$R$275,10,FALSE)="","",VLOOKUP(A56,'Charriage - Geschiebehaushalt'!$A$4:$R$275,10,FALSE))</f>
        <v>la remobilisation des sédiments est perturbée</v>
      </c>
      <c r="T56" s="875">
        <f>IF(VLOOKUP(A56,'Charriage - Geschiebehaushalt'!$A$4:$R$275,11,FALSE)="","",VLOOKUP(A56,'Charriage - Geschiebehaushalt'!$A$4:$R$275,11,FALSE))</f>
        <v>0.29274214354</v>
      </c>
      <c r="U56" s="876" t="str">
        <f>IF(VLOOKUP(A56,'Charriage - Geschiebehaushalt'!$A$4:$R$275,12,FALSE)="","",VLOOKUP(A56,'Charriage - Geschiebehaushalt'!$A$4:$R$275,12,FALSE))</f>
        <v>déficit dans les formations pionnières</v>
      </c>
      <c r="V56" s="877" t="str">
        <f>IF(VLOOKUP(A56,'Charriage - Geschiebehaushalt'!$A$4:$R$275,13,FALSE)="","",VLOOKUP(A56,'Charriage - Geschiebehaushalt'!$A$4:$R$275,13,FALSE))</f>
        <v/>
      </c>
      <c r="W56" s="877" t="str">
        <f>IF(VLOOKUP(A56,'Charriage - Geschiebehaushalt'!$A$4:$R$275,14,FALSE)="","",VLOOKUP(A56,'Charriage - Geschiebehaushalt'!$A$4:$R$275,14,FALSE))</f>
        <v/>
      </c>
      <c r="X56" s="877" t="str">
        <f>IF(VLOOKUP(A56,'Charriage - Geschiebehaushalt'!$A$4:$R$275,15,FALSE)="","",VLOOKUP(A56,'Charriage - Geschiebehaushalt'!$A$4:$R$275,15,FALSE))</f>
        <v/>
      </c>
      <c r="Y56" s="879" t="str">
        <f>IF(VLOOKUP(A56,'Charriage - Geschiebehaushalt'!$A$4:$R$275,16,FALSE)="","",VLOOKUP(A56,'Charriage - Geschiebehaushalt'!$A$4:$R$275,16,FALSE))</f>
        <v/>
      </c>
      <c r="Z56" s="763" t="str">
        <f>IF(VLOOKUP(A56,'Charriage - Geschiebehaushalt'!$A$4:$R$275,17,FALSE)="","",VLOOKUP(A56,'Charriage - Geschiebehaushalt'!$A$4:$R$275,17,FALSE))</f>
        <v>51-80%</v>
      </c>
      <c r="AA56" s="880" t="str">
        <f>IF(VLOOKUP(A56,'Charriage - Geschiebehaushalt'!$A$4:$R$275,18,FALSE)="","",VLOOKUP(A56,'Charriage - Geschiebehaushalt'!$A$4:$R$275,18,FALSE))</f>
        <v>a</v>
      </c>
      <c r="AB56" s="737" t="str">
        <f>IF(VLOOKUP(A56,'Charriage - Geschiebehaushalt'!$A$4:$AC$275,19,FALSE)="","",VLOOKUP(A56,'Charriage - Geschiebehaushalt'!$A$4:$AC$275,19,FALSE))</f>
        <v>wesentlich</v>
      </c>
      <c r="AC56" s="738" t="str">
        <f>IF(VLOOKUP(A56,'Charriage - Geschiebehaushalt'!$A$4:$AC$275,20,FALSE)="","",VLOOKUP(A56,'Charriage - Geschiebehaushalt'!$A$4:$AC$275,20,FALSE))</f>
        <v>Ja (gering)</v>
      </c>
      <c r="AD56" s="764" t="str">
        <f>IF(VLOOKUP(A56,'Charriage - Geschiebehaushalt'!$A$4:$AC$275,21,FALSE)="","",VLOOKUP(A56,'Charriage - Geschiebehaushalt'!$A$4:$AC$275,21,FALSE))</f>
        <v>51-80%</v>
      </c>
      <c r="AE56" s="740" t="str">
        <f>IF(VLOOKUP(A56,'Charriage - Geschiebehaushalt'!$A$4:$AC$275,22,FALSE)="","",VLOOKUP(A56,'Charriage - Geschiebehaushalt'!$A$4:$AC$275,22,FALSE))</f>
        <v>51-80%</v>
      </c>
      <c r="AF56" s="787" t="str">
        <f>IF(VLOOKUP(A56,'Charriage - Geschiebehaushalt'!$A$4:$AC$275,23,FALSE)="","",VLOOKUP(A56,'Charriage - Geschiebehaushalt'!$A$4:$AC$275,23,FALSE))</f>
        <v>d</v>
      </c>
      <c r="AG56" s="765" t="str">
        <f>IF(VLOOKUP(A56,'Charriage - Geschiebehaushalt'!$A$4:$AC$275,24,FALSE)="","",VLOOKUP(A56,'Charriage - Geschiebehaushalt'!$A$4:$AC$275,24,FALSE))</f>
        <v/>
      </c>
      <c r="AH56" s="764" t="str">
        <f>IF(VLOOKUP(A56,'Charriage - Geschiebehaushalt'!$A$4:$AC$275,25,FALSE)="","",VLOOKUP(A56,'Charriage - Geschiebehaushalt'!$A$4:$AC$275,25,FALSE))</f>
        <v/>
      </c>
      <c r="AI56" s="433" t="str">
        <f>IF(VLOOKUP(A56,'Charriage - Geschiebehaushalt'!$A$4:$AC$275,26,FALSE)="","",VLOOKUP(A56,'Charriage - Geschiebehaushalt'!$A$4:$AC$275,26,FALSE))</f>
        <v/>
      </c>
      <c r="AJ56" s="434" t="str">
        <f>IF(VLOOKUP(A56,'Charriage - Geschiebehaushalt'!$A$4:$AC$275,27,FALSE)="","",VLOOKUP(A56,'Charriage - Geschiebehaushalt'!$A$4:$AC$275,27,FALSE))</f>
        <v/>
      </c>
      <c r="AK56" s="801" t="str">
        <f>IF(VLOOKUP(A56,'Charriage - Geschiebehaushalt'!$A$4:$AC$275,28,FALSE)="","",VLOOKUP(A56,'Charriage - Geschiebehaushalt'!$A$4:$AC$275,28,FALSE))</f>
        <v>51-80%</v>
      </c>
      <c r="AL56" s="1285" t="str">
        <f>IF(VLOOKUP(A56,'Charriage - Geschiebehaushalt'!$A$4:$AD$275,30,FALSE)="","",VLOOKUP(A56,'Charriage - Geschiebehaushalt'!$A$4:$AD$275,30,FALSE))</f>
        <v>a</v>
      </c>
      <c r="AM56" s="1279" t="str">
        <f>IF(VLOOKUP(A56,'Débit - Abfluss'!$A$4:$K$275,5,FALSE)="","",VLOOKUP(A56,'Débit - Abfluss'!$A$4:$M$275,5,FALSE))</f>
        <v>41-60%</v>
      </c>
      <c r="AN56" s="868" t="str">
        <f>IF(VLOOKUP(A56,'Débit - Abfluss'!$A$4:$K$275,6,FALSE)="","",VLOOKUP(A56,'Débit - Abfluss'!$A$4:$M$275,6,FALSE))</f>
        <v/>
      </c>
      <c r="AO56" s="869" t="str">
        <f>IF(VLOOKUP(A56,'Débit - Abfluss'!$A$4:$K$275,7,FALSE)="","",VLOOKUP(A56,'Débit - Abfluss'!$A$4:$M$275,7,FALSE))</f>
        <v/>
      </c>
      <c r="AP56" s="766" t="str">
        <f>IF(VLOOKUP(A56,'Débit - Abfluss'!$A$4:$K$275,8,FALSE)="","",VLOOKUP(A56,'Débit - Abfluss'!$A$4:$M$275,8,FALSE))</f>
        <v>41-60%</v>
      </c>
      <c r="AQ56" s="678" t="str">
        <f>IF(VLOOKUP(A56,'Débit - Abfluss'!$A$4:$K$275,9,FALSE)="","",VLOOKUP(A56,'Débit - Abfluss'!$A$4:$M$275,9,FALSE))</f>
        <v>10-50% / 50-90%</v>
      </c>
      <c r="AR56" s="767" t="str">
        <f>IF(VLOOKUP(A56,'Débit - Abfluss'!$A$4:$K$275,10,FALSE)="","",VLOOKUP(A56,'Débit - Abfluss'!$A$4:$M$275,10,FALSE))</f>
        <v>41-60%</v>
      </c>
      <c r="AS56" s="767" t="str">
        <f>IF(VLOOKUP(A56,'Débit - Abfluss'!$A$4:$K$275,11,FALSE)="","",VLOOKUP(A56,'Débit - Abfluss'!$A$4:$M$275,11,FALSE))</f>
        <v/>
      </c>
      <c r="AT56" s="744" t="str">
        <f>IF(VLOOKUP(A56,'Débit - Abfluss'!$A$4:$Q$275,12,FALSE)="","",VLOOKUP(A56,'Débit - Abfluss'!$A$4:$Q$275,12,FALSE))</f>
        <v/>
      </c>
      <c r="AU56" s="745" t="str">
        <f>IF(VLOOKUP(A56,'Débit - Abfluss'!$A$4:$Q$275,13,FALSE)="","",VLOOKUP(A56,'Débit - Abfluss'!$A$4:$Q$275,13,FALSE))</f>
        <v/>
      </c>
      <c r="AV56" s="746" t="str">
        <f>IF(VLOOKUP(A56,'Débit - Abfluss'!$A$4:$Q$275,14,FALSE)="","",VLOOKUP(A56,'Débit - Abfluss'!$A$4:$Q$275,14,FALSE))</f>
        <v>BE-416
BE-91</v>
      </c>
      <c r="AW56" s="768" t="str">
        <f>IF(VLOOKUP(A56,'Débit - Abfluss'!$A$4:$Q$275,15,FALSE)="","",VLOOKUP(A56,'Débit - Abfluss'!$A$4:$Q$275,15,FALSE))</f>
        <v>Spiez</v>
      </c>
      <c r="AX56" s="677" t="str">
        <f>IF(VLOOKUP(A56,'Débit - Abfluss'!$A$4:$Q$275,16,FALSE)="","",VLOOKUP(A56,'Débit - Abfluss'!$A$4:$Q$275,16,FALSE))</f>
        <v/>
      </c>
      <c r="AY56" s="769" t="str">
        <f>IF(VLOOKUP(A56,'Débit - Abfluss'!$A$4:$Q$275,17,FALSE)="","",VLOOKUP(A56,'Débit - Abfluss'!$A$4:$Q$275,17,FALSE))</f>
        <v>41-60%</v>
      </c>
      <c r="AZ56" s="749" t="str">
        <f>IF(VLOOKUP(A56,'Eclusée - Schwall-Sunk'!$A$2:$F$273,5,FALSE)="","",VLOOKUP(A56,'Eclusée - Schwall-Sunk'!$A$2:$F$273,5,FALSE))</f>
        <v>force hydraulique</v>
      </c>
      <c r="BA56" s="750" t="str">
        <f>IF(VLOOKUP(A56,'Eclusée - Schwall-Sunk'!$A$2:$F$273,6,FALSE)="","",VLOOKUP(A56,'Eclusée - Schwall-Sunk'!$A$2:$F$273,6,FALSE))</f>
        <v>Non affecté / nicht betroffen</v>
      </c>
      <c r="BB56" s="751">
        <f>IF(VLOOKUP(A56,'Revitalisation-Revitalisierung'!$A$4:$Z$275,5,FALSE)="","",VLOOKUP(A56,'Revitalisation-Revitalisierung'!$A$4:$Z$275,5,FALSE))</f>
        <v>57.736363636363635</v>
      </c>
      <c r="BC56" s="752">
        <f>IF(VLOOKUP(A56,'Revitalisation-Revitalisierung'!$A$4:$Z$275,6,FALSE)="","",VLOOKUP(A56,'Revitalisation-Revitalisierung'!$A$4:$Z$275,6,FALSE))</f>
        <v>64.060083082563622</v>
      </c>
      <c r="BD56" s="752">
        <f>IF(VLOOKUP(A56,'Revitalisation-Revitalisierung'!$A$4:$Z$275,7,FALSE)="","",VLOOKUP(A56,'Revitalisation-Revitalisierung'!$A$4:$Z$275,7,FALSE))</f>
        <v>6.3636363636363633</v>
      </c>
      <c r="BE56" s="753" t="str">
        <f>IF(VLOOKUP(A56,'Revitalisation-Revitalisierung'!$A$4:$Z$275,8,FALSE)="","",VLOOKUP(A56,'Revitalisation-Revitalisierung'!$A$4:$Z$275,8,FALSE))</f>
        <v>très nécessaire, facile</v>
      </c>
      <c r="BF56" s="754" t="str">
        <f>IF(VLOOKUP(A56,'Revitalisation-Revitalisierung'!$A$4:$Z$275,9,FALSE)="","",VLOOKUP(A56,'Revitalisation-Revitalisierung'!$A$4:$Z$275,9,FALSE))</f>
        <v>leicht</v>
      </c>
      <c r="BG56" s="754" t="str">
        <f>IF(VLOOKUP(A56,'Revitalisation-Revitalisierung'!$A$4:$Z$275,10,FALSE)="","",VLOOKUP(A56,'Revitalisation-Revitalisierung'!$A$4:$Z$275,10,FALSE))</f>
        <v>K1</v>
      </c>
      <c r="BH56" s="755" t="str">
        <f>IF(VLOOKUP(A56,'Revitalisation-Revitalisierung'!$A$4:$Z$275,11,FALSE)="","",VLOOKUP(A56,'Revitalisation-Revitalisierung'!$A$4:$Z$275,11,FALSE))</f>
        <v/>
      </c>
      <c r="BI56" s="756" t="str">
        <f>IF(VLOOKUP(A56,'Revitalisation-Revitalisierung'!$A$4:$Z$275,12,FALSE)="","",VLOOKUP(A56,'Revitalisation-Revitalisierung'!$A$4:$Z$275,12,FALSE))</f>
        <v/>
      </c>
      <c r="BJ56" s="757" t="str">
        <f>IF(VLOOKUP(A56,'Revitalisation-Revitalisierung'!$A$4:$Z$275,13,FALSE)="","",VLOOKUP(A56,'Revitalisation-Revitalisierung'!$A$4:$Z$275,13,FALSE))</f>
        <v>Non nécessaire / nicht nötig</v>
      </c>
      <c r="BK56" s="870" t="str">
        <f>IF(VLOOKUP(A56,'Revitalisation-Revitalisierung'!$A$4:$Z$275,14,FALSE)="","",VLOOKUP(A56,'Revitalisation-Revitalisierung'!$A$4:$Z$275,14,FALSE))</f>
        <v>b</v>
      </c>
      <c r="BL56" s="758" t="str">
        <f>IF(VLOOKUP(A56,'Revitalisation-Revitalisierung'!$A$4:$Z$275,15,FALSE)="","",VLOOKUP(A56,'Revitalisation-Revitalisierung'!$A$4:$Z$275,15,FALSE))</f>
        <v>gross</v>
      </c>
      <c r="BM56" s="759" t="str">
        <f>IF(VLOOKUP(A56,'Revitalisation-Revitalisierung'!$A$4:$Z$275,16,FALSE)="","",VLOOKUP(A56,'Revitalisation-Revitalisierung'!$A$4:$Z$275,16,FALSE))</f>
        <v>gering</v>
      </c>
      <c r="BN56" s="759" t="str">
        <f>IF(VLOOKUP(A56,'Revitalisation-Revitalisierung'!$A$4:$Z$275,17,FALSE)="","",VLOOKUP(A56,'Revitalisation-Revitalisierung'!$A$4:$Z$275,17,FALSE))</f>
        <v>-</v>
      </c>
      <c r="BO56" s="760" t="str">
        <f>IF(VLOOKUP(A56,'Revitalisation-Revitalisierung'!$A$4:$Z$275,18,FALSE)="","",VLOOKUP(A56,'Revitalisation-Revitalisierung'!$A$4:$Z$275,18,FALSE))</f>
        <v>Non nécessaire / nicht nötig</v>
      </c>
      <c r="BP56" s="761" t="str">
        <f>IF(VLOOKUP(A56,'Revitalisation-Revitalisierung'!$A$4:$Z$275,19,FALSE)="","",VLOOKUP(A56,'Revitalisation-Revitalisierung'!$A$4:$Z$275,19,FALSE))</f>
        <v>Non nécessaire / nicht nötig</v>
      </c>
      <c r="BQ56" s="759" t="str">
        <f>IF(VLOOKUP(A56,'Revitalisation-Revitalisierung'!$A$4:$Z$275,20,FALSE)="","",VLOOKUP(A56,'Revitalisation-Revitalisierung'!$A$4:$Z$275,20,FALSE))</f>
        <v>d</v>
      </c>
      <c r="BR56" s="759" t="str">
        <f>IF(VLOOKUP(A56,'Revitalisation-Revitalisierung'!$A$4:$Z$275,21,FALSE)="","",VLOOKUP(A56,'Revitalisation-Revitalisierung'!$A$4:$Z$275,21,FALSE))</f>
        <v/>
      </c>
      <c r="BS56" s="762" t="str">
        <f>IF(VLOOKUP(A56,'Revitalisation-Revitalisierung'!$A$4:$Z$275,22,FALSE)="","",VLOOKUP(A56,'Revitalisation-Revitalisierung'!$A$4:$Z$275,22,FALSE))</f>
        <v/>
      </c>
      <c r="BT56" s="703" t="str">
        <f>IF(VLOOKUP(A56,'Revitalisation-Revitalisierung'!$A$4:$Z$275,23,FALSE)="","",VLOOKUP(A56,'Revitalisation-Revitalisierung'!$A$4:$Z$275,23,FALSE))</f>
        <v/>
      </c>
      <c r="BU56" s="699" t="str">
        <f>IF(VLOOKUP(A56,'Revitalisation-Revitalisierung'!$A$4:$Z$275,24,FALSE)="","",VLOOKUP(A56,'Revitalisation-Revitalisierung'!$A$4:$Z$275,24,FALSE))</f>
        <v/>
      </c>
      <c r="BV56" s="757" t="str">
        <f>IF(VLOOKUP(A56,'Revitalisation-Revitalisierung'!$A$4:$Z$275,25,FALSE)="","",VLOOKUP(A56,'Revitalisation-Revitalisierung'!$A$4:$Z$275,25,FALSE))</f>
        <v>Non nécessaire / nicht nötig</v>
      </c>
      <c r="BW56" s="871" t="str">
        <f>IF(VLOOKUP(A56,'Revitalisation-Revitalisierung'!$A$4:$AA$275,27,FALSE)="","",VLOOKUP(A56,'Revitalisation-Revitalisierung'!$A$4:$AA$275,27,FALSE))</f>
        <v>a</v>
      </c>
    </row>
    <row r="57" spans="1:75" ht="69.599999999999994" customHeight="1" x14ac:dyDescent="0.25">
      <c r="A57" s="935">
        <v>72</v>
      </c>
      <c r="B57" s="856">
        <f>IF(VLOOKUP(A57,'Données de base - Grunddaten'!$A$2:$M$297,2,FALSE)="","",VLOOKUP(A57,'Données de base - Grunddaten'!$A$2:$M$297,2,FALSE))</f>
        <v>1</v>
      </c>
      <c r="C57" s="857" t="str">
        <f>IF(VLOOKUP(A57,'Données de base - Grunddaten'!$A$2:$M$297,3,FALSE)="","",VLOOKUP(A57,'Données de base - Grunddaten'!$A$2:$M$297,3,FALSE))</f>
        <v>Heustrich</v>
      </c>
      <c r="D57" s="857" t="str">
        <f>IF(VLOOKUP(A57,'Données de base - Grunddaten'!$A$2:$M$297,4,FALSE)="","",VLOOKUP(A57,'Données de base - Grunddaten'!$A$2:$M$297,4,FALSE))</f>
        <v>Kander</v>
      </c>
      <c r="E57" s="857" t="str">
        <f>IF(VLOOKUP(A57,'Données de base - Grunddaten'!$A$2:$M$297,5,FALSE)="","",VLOOKUP(A57,'Données de base - Grunddaten'!$A$2:$M$297,5,FALSE))</f>
        <v>BE</v>
      </c>
      <c r="F57" s="857" t="str">
        <f>IF(VLOOKUP(A57,'Données de base - Grunddaten'!$A$2:$M$297,6,FALSE)="","",VLOOKUP(A57,'Données de base - Grunddaten'!$A$2:$M$297,6,FALSE))</f>
        <v>Préalpes, Alpes septentrionales</v>
      </c>
      <c r="G57" s="857" t="str">
        <f>IF(VLOOKUP(A57,'Données de base - Grunddaten'!$A$2:$M$297,7,FALSE)="","",VLOOKUP(A57,'Données de base - Grunddaten'!$A$2:$M$297,7,FALSE))</f>
        <v>Montagnard inf.</v>
      </c>
      <c r="H57" s="857">
        <f>IF(VLOOKUP(A57,'Données de base - Grunddaten'!$A$2:$M$297,8,FALSE)="","",VLOOKUP(A57,'Données de base - Grunddaten'!$A$2:$M$297,8,FALSE))</f>
        <v>675</v>
      </c>
      <c r="I57" s="857">
        <f>IF(VLOOKUP(A57,'Données de base - Grunddaten'!$A$2:$M$297,9,FALSE)="","",VLOOKUP(A57,'Données de base - Grunddaten'!$A$2:$M$297,9,FALSE))</f>
        <v>1992</v>
      </c>
      <c r="J57" s="857">
        <f>IF(VLOOKUP(A57,'Données de base - Grunddaten'!$A$2:$M$297,10,FALSE)="","",VLOOKUP(A57,'Données de base - Grunddaten'!$A$2:$M$297,10,FALSE))</f>
        <v>42</v>
      </c>
      <c r="K57" s="857" t="str">
        <f>IF(VLOOKUP(A57,'Données de base - Grunddaten'!$A$2:$M$297,11,FALSE)="","",VLOOKUP(A57,'Données de base - Grunddaten'!$A$2:$M$297,11,FALSE))</f>
        <v>Cours d'eau corrigés de l'étage montagnard</v>
      </c>
      <c r="L57" s="857" t="str">
        <f>IF(VLOOKUP(A57,'Données de base - Grunddaten'!$A$2:$M$297,12,FALSE)="","",VLOOKUP(A57,'Données de base - Grunddaten'!$A$2:$M$297,12,FALSE))</f>
        <v>cours rectiligne</v>
      </c>
      <c r="M57" s="858" t="str">
        <f>IF(VLOOKUP(A57,'Données de base - Grunddaten'!$A$2:$M$297,13,FALSE)="","",VLOOKUP(A57,'Données de base - Grunddaten'!$A$2:$M$297,13,FALSE))</f>
        <v>cours rectiligne</v>
      </c>
      <c r="N57" s="872" t="str">
        <f>IF(VLOOKUP(A57,'Charriage - Geschiebehaushalt'!$A$4:$R$275,5,FALSE)="","",VLOOKUP(A57,'Charriage - Geschiebehaushalt'!$A$4:$R$275,5,FALSE))</f>
        <v>pertinent</v>
      </c>
      <c r="O57" s="873" t="str">
        <f>IF(VLOOKUP(A57,'Charriage - Geschiebehaushalt'!$A$4:$R$275,6,FALSE)="","",VLOOKUP(A57,'Charriage - Geschiebehaushalt'!$A$4:$R$275,6,FALSE))</f>
        <v>81 -100%</v>
      </c>
      <c r="P57" s="874" t="str">
        <f>IF(VLOOKUP(A57,'Charriage - Geschiebehaushalt'!$A$4:$R$275,7,FALSE)="","",VLOOKUP(A57,'Charriage - Geschiebehaushalt'!$A$4:$R$275,7,FALSE))</f>
        <v/>
      </c>
      <c r="Q57" s="874" t="str">
        <f>IF(VLOOKUP(A57,'Charriage - Geschiebehaushalt'!$A$4:$R$275,8,FALSE)="","",VLOOKUP(A57,'Charriage - Geschiebehaushalt'!$A$4:$R$275,8,FALSE))</f>
        <v>non documenté</v>
      </c>
      <c r="R57" s="875">
        <f>IF(VLOOKUP(A57,'Charriage - Geschiebehaushalt'!$A$4:$R$275,9,FALSE)="","",VLOOKUP(A57,'Charriage - Geschiebehaushalt'!$A$4:$R$275,9,FALSE))</f>
        <v>0.46878837632166198</v>
      </c>
      <c r="S57" s="876" t="str">
        <f>IF(VLOOKUP(A57,'Charriage - Geschiebehaushalt'!$A$4:$R$275,10,FALSE)="","",VLOOKUP(A57,'Charriage - Geschiebehaushalt'!$A$4:$R$275,10,FALSE))</f>
        <v>la remobilisation des sédiments est perturbée</v>
      </c>
      <c r="T57" s="875">
        <f>IF(VLOOKUP(A57,'Charriage - Geschiebehaushalt'!$A$4:$R$275,11,FALSE)="","",VLOOKUP(A57,'Charriage - Geschiebehaushalt'!$A$4:$R$275,11,FALSE))</f>
        <v>0.33813131726000001</v>
      </c>
      <c r="U57" s="876" t="str">
        <f>IF(VLOOKUP(A57,'Charriage - Geschiebehaushalt'!$A$4:$R$275,12,FALSE)="","",VLOOKUP(A57,'Charriage - Geschiebehaushalt'!$A$4:$R$275,12,FALSE))</f>
        <v>déficit dans les formations pionnières</v>
      </c>
      <c r="V57" s="877" t="str">
        <f>IF(VLOOKUP(A57,'Charriage - Geschiebehaushalt'!$A$4:$R$275,13,FALSE)="","",VLOOKUP(A57,'Charriage - Geschiebehaushalt'!$A$4:$R$275,13,FALSE))</f>
        <v/>
      </c>
      <c r="W57" s="877" t="str">
        <f>IF(VLOOKUP(A57,'Charriage - Geschiebehaushalt'!$A$4:$R$275,14,FALSE)="","",VLOOKUP(A57,'Charriage - Geschiebehaushalt'!$A$4:$R$275,14,FALSE))</f>
        <v/>
      </c>
      <c r="X57" s="877" t="str">
        <f>IF(VLOOKUP(A57,'Charriage - Geschiebehaushalt'!$A$4:$R$275,15,FALSE)="","",VLOOKUP(A57,'Charriage - Geschiebehaushalt'!$A$4:$R$275,15,FALSE))</f>
        <v/>
      </c>
      <c r="Y57" s="879" t="str">
        <f>IF(VLOOKUP(A57,'Charriage - Geschiebehaushalt'!$A$4:$R$275,16,FALSE)="","",VLOOKUP(A57,'Charriage - Geschiebehaushalt'!$A$4:$R$275,16,FALSE))</f>
        <v/>
      </c>
      <c r="Z57" s="763" t="str">
        <f>IF(VLOOKUP(A57,'Charriage - Geschiebehaushalt'!$A$4:$R$275,17,FALSE)="","",VLOOKUP(A57,'Charriage - Geschiebehaushalt'!$A$4:$R$275,17,FALSE))</f>
        <v>81 -100%</v>
      </c>
      <c r="AA57" s="880" t="str">
        <f>IF(VLOOKUP(A57,'Charriage - Geschiebehaushalt'!$A$4:$R$275,18,FALSE)="","",VLOOKUP(A57,'Charriage - Geschiebehaushalt'!$A$4:$R$275,18,FALSE))</f>
        <v>a</v>
      </c>
      <c r="AB57" s="737" t="str">
        <f>IF(VLOOKUP(A57,'Charriage - Geschiebehaushalt'!$A$4:$AC$275,19,FALSE)="","",VLOOKUP(A57,'Charriage - Geschiebehaushalt'!$A$4:$AC$275,19,FALSE))</f>
        <v>gering</v>
      </c>
      <c r="AC57" s="738" t="str">
        <f>IF(VLOOKUP(A57,'Charriage - Geschiebehaushalt'!$A$4:$AC$275,20,FALSE)="","",VLOOKUP(A57,'Charriage - Geschiebehaushalt'!$A$4:$AC$275,20,FALSE))</f>
        <v>kein HB</v>
      </c>
      <c r="AD57" s="764" t="str">
        <f>IF(VLOOKUP(A57,'Charriage - Geschiebehaushalt'!$A$4:$AC$275,21,FALSE)="","",VLOOKUP(A57,'Charriage - Geschiebehaushalt'!$A$4:$AC$275,21,FALSE))</f>
        <v>21-50%</v>
      </c>
      <c r="AE57" s="772" t="str">
        <f>IF(VLOOKUP(A57,'Charriage - Geschiebehaushalt'!$A$4:$AC$275,22,FALSE)="","",VLOOKUP(A57,'Charriage - Geschiebehaushalt'!$A$4:$AC$275,22,FALSE))</f>
        <v>21-50%</v>
      </c>
      <c r="AF57" s="787" t="str">
        <f>IF(VLOOKUP(A57,'Charriage - Geschiebehaushalt'!$A$4:$AC$275,23,FALSE)="","",VLOOKUP(A57,'Charriage - Geschiebehaushalt'!$A$4:$AC$275,23,FALSE))</f>
        <v>c</v>
      </c>
      <c r="AG57" s="765" t="str">
        <f>IF(VLOOKUP(A57,'Charriage - Geschiebehaushalt'!$A$4:$AC$275,24,FALSE)="","",VLOOKUP(A57,'Charriage - Geschiebehaushalt'!$A$4:$AC$275,24,FALSE))</f>
        <v/>
      </c>
      <c r="AH57" s="764" t="str">
        <f>IF(VLOOKUP(A57,'Charriage - Geschiebehaushalt'!$A$4:$AC$275,25,FALSE)="","",VLOOKUP(A57,'Charriage - Geschiebehaushalt'!$A$4:$AC$275,25,FALSE))</f>
        <v>X</v>
      </c>
      <c r="AI57" s="433" t="str">
        <f>IF(VLOOKUP(A57,'Charriage - Geschiebehaushalt'!$A$4:$AC$275,26,FALSE)="","",VLOOKUP(A57,'Charriage - Geschiebehaushalt'!$A$4:$AC$275,26,FALSE))</f>
        <v/>
      </c>
      <c r="AJ57" s="890" t="str">
        <f>IF(VLOOKUP(A57,'Charriage - Geschiebehaushalt'!$A$4:$AC$275,27,FALSE)="","",VLOOKUP(A57,'Charriage - Geschiebehaushalt'!$A$4:$AC$275,27,FALSE))</f>
        <v>PAS EXPRIMÉ</v>
      </c>
      <c r="AK57" s="801" t="str">
        <f>IF(VLOOKUP(A57,'Charriage - Geschiebehaushalt'!$A$4:$AC$275,28,FALSE)="","",VLOOKUP(A57,'Charriage - Geschiebehaushalt'!$A$4:$AC$275,28,FALSE))</f>
        <v>21-50%</v>
      </c>
      <c r="AL57" s="1285" t="str">
        <f>IF(VLOOKUP(A57,'Charriage - Geschiebehaushalt'!$A$4:$AD$275,30,FALSE)="","",VLOOKUP(A57,'Charriage - Geschiebehaushalt'!$A$4:$AD$275,30,FALSE))</f>
        <v>a</v>
      </c>
      <c r="AM57" s="1279" t="str">
        <f>IF(VLOOKUP(A57,'Débit - Abfluss'!$A$4:$K$275,5,FALSE)="","",VLOOKUP(A57,'Débit - Abfluss'!$A$4:$M$275,5,FALSE))</f>
        <v>100%</v>
      </c>
      <c r="AN57" s="868" t="str">
        <f>IF(VLOOKUP(A57,'Débit - Abfluss'!$A$4:$K$275,6,FALSE)="","",VLOOKUP(A57,'Débit - Abfluss'!$A$4:$M$275,6,FALSE))</f>
        <v>aucune information supplémentaire</v>
      </c>
      <c r="AO57" s="869" t="str">
        <f>IF(VLOOKUP(A57,'Débit - Abfluss'!$A$4:$K$275,7,FALSE)="","",VLOOKUP(A57,'Débit - Abfluss'!$A$4:$M$275,7,FALSE))</f>
        <v>aucune information supplémentaire</v>
      </c>
      <c r="AP57" s="766" t="str">
        <f>IF(VLOOKUP(A57,'Débit - Abfluss'!$A$4:$K$275,8,FALSE)="","",VLOOKUP(A57,'Débit - Abfluss'!$A$4:$M$275,8,FALSE))</f>
        <v>100%</v>
      </c>
      <c r="AQ57" s="742" t="str">
        <f>IF(VLOOKUP(A57,'Débit - Abfluss'!$A$4:$K$275,9,FALSE)="","",VLOOKUP(A57,'Débit - Abfluss'!$A$4:$M$275,9,FALSE))</f>
        <v>-</v>
      </c>
      <c r="AR57" s="767" t="str">
        <f>IF(VLOOKUP(A57,'Débit - Abfluss'!$A$4:$K$275,10,FALSE)="","",VLOOKUP(A57,'Débit - Abfluss'!$A$4:$M$275,10,FALSE))</f>
        <v>100%</v>
      </c>
      <c r="AS57" s="767" t="str">
        <f>IF(VLOOKUP(A57,'Débit - Abfluss'!$A$4:$K$275,11,FALSE)="","",VLOOKUP(A57,'Débit - Abfluss'!$A$4:$M$275,11,FALSE))</f>
        <v/>
      </c>
      <c r="AT57" s="744" t="str">
        <f>IF(VLOOKUP(A57,'Débit - Abfluss'!$A$4:$Q$275,12,FALSE)="","",VLOOKUP(A57,'Débit - Abfluss'!$A$4:$Q$275,12,FALSE))</f>
        <v/>
      </c>
      <c r="AU57" s="745" t="str">
        <f>IF(VLOOKUP(A57,'Débit - Abfluss'!$A$4:$Q$275,13,FALSE)="","",VLOOKUP(A57,'Débit - Abfluss'!$A$4:$Q$275,13,FALSE))</f>
        <v/>
      </c>
      <c r="AV57" s="746" t="str">
        <f>IF(VLOOKUP(A57,'Débit - Abfluss'!$A$4:$Q$275,14,FALSE)="","",VLOOKUP(A57,'Débit - Abfluss'!$A$4:$Q$275,14,FALSE))</f>
        <v/>
      </c>
      <c r="AW57" s="768" t="str">
        <f>IF(VLOOKUP(A57,'Débit - Abfluss'!$A$4:$Q$275,15,FALSE)="","",VLOOKUP(A57,'Débit - Abfluss'!$A$4:$Q$275,15,FALSE))</f>
        <v/>
      </c>
      <c r="AX57" s="677" t="str">
        <f>IF(VLOOKUP(A57,'Débit - Abfluss'!$A$4:$Q$275,16,FALSE)="","",VLOOKUP(A57,'Débit - Abfluss'!$A$4:$Q$275,16,FALSE))</f>
        <v/>
      </c>
      <c r="AY57" s="769" t="str">
        <f>IF(VLOOKUP(A57,'Débit - Abfluss'!$A$4:$Q$275,17,FALSE)="","",VLOOKUP(A57,'Débit - Abfluss'!$A$4:$Q$275,17,FALSE))</f>
        <v>100%</v>
      </c>
      <c r="AZ57" s="749" t="str">
        <f>IF(VLOOKUP(A57,'Eclusée - Schwall-Sunk'!$A$2:$F$273,5,FALSE)="","",VLOOKUP(A57,'Eclusée - Schwall-Sunk'!$A$2:$F$273,5,FALSE))</f>
        <v/>
      </c>
      <c r="BA57" s="750" t="str">
        <f>IF(VLOOKUP(A57,'Eclusée - Schwall-Sunk'!$A$2:$F$273,6,FALSE)="","",VLOOKUP(A57,'Eclusée - Schwall-Sunk'!$A$2:$F$273,6,FALSE))</f>
        <v>Non affecté / nicht betroffen</v>
      </c>
      <c r="BB57" s="751" t="str">
        <f>IF(VLOOKUP(A57,'Revitalisation-Revitalisierung'!$A$4:$Z$275,5,FALSE)="","",VLOOKUP(A57,'Revitalisation-Revitalisierung'!$A$4:$Z$275,5,FALSE))</f>
        <v/>
      </c>
      <c r="BC57" s="752" t="str">
        <f>IF(VLOOKUP(A57,'Revitalisation-Revitalisierung'!$A$4:$Z$275,6,FALSE)="","",VLOOKUP(A57,'Revitalisation-Revitalisierung'!$A$4:$Z$275,6,FALSE))</f>
        <v/>
      </c>
      <c r="BD57" s="752" t="str">
        <f>IF(VLOOKUP(A57,'Revitalisation-Revitalisierung'!$A$4:$Z$275,7,FALSE)="","",VLOOKUP(A57,'Revitalisation-Revitalisierung'!$A$4:$Z$275,7,FALSE))</f>
        <v/>
      </c>
      <c r="BE57" s="753" t="str">
        <f>IF(VLOOKUP(A57,'Revitalisation-Revitalisierung'!$A$4:$Z$275,8,FALSE)="","",VLOOKUP(A57,'Revitalisation-Revitalisierung'!$A$4:$Z$275,8,FALSE))</f>
        <v/>
      </c>
      <c r="BF57" s="754" t="str">
        <f>IF(VLOOKUP(A57,'Revitalisation-Revitalisierung'!$A$4:$Z$275,9,FALSE)="","",VLOOKUP(A57,'Revitalisation-Revitalisierung'!$A$4:$Z$275,9,FALSE))</f>
        <v/>
      </c>
      <c r="BG57" s="754" t="str">
        <f>IF(VLOOKUP(A57,'Revitalisation-Revitalisierung'!$A$4:$Z$275,10,FALSE)="","",VLOOKUP(A57,'Revitalisation-Revitalisierung'!$A$4:$Z$275,10,FALSE))</f>
        <v>K1</v>
      </c>
      <c r="BH57" s="755" t="str">
        <f>IF(VLOOKUP(A57,'Revitalisation-Revitalisierung'!$A$4:$Z$275,11,FALSE)="","",VLOOKUP(A57,'Revitalisation-Revitalisierung'!$A$4:$Z$275,11,FALSE))</f>
        <v>très nécessaire, facile</v>
      </c>
      <c r="BI57" s="756" t="str">
        <f>IF(VLOOKUP(A57,'Revitalisation-Revitalisierung'!$A$4:$Z$275,12,FALSE)="","",VLOOKUP(A57,'Revitalisation-Revitalisierung'!$A$4:$Z$275,12,FALSE))</f>
        <v/>
      </c>
      <c r="BJ57" s="757" t="str">
        <f>IF(VLOOKUP(A57,'Revitalisation-Revitalisierung'!$A$4:$Z$275,13,FALSE)="","",VLOOKUP(A57,'Revitalisation-Revitalisierung'!$A$4:$Z$275,13,FALSE))</f>
        <v>Très nécessaire, facile / unbedingt nötig, einfach</v>
      </c>
      <c r="BK57" s="870" t="str">
        <f>IF(VLOOKUP(A57,'Revitalisation-Revitalisierung'!$A$4:$Z$275,14,FALSE)="","",VLOOKUP(A57,'Revitalisation-Revitalisierung'!$A$4:$Z$275,14,FALSE))</f>
        <v>b</v>
      </c>
      <c r="BL57" s="758" t="str">
        <f>IF(VLOOKUP(A57,'Revitalisation-Revitalisierung'!$A$4:$Z$275,15,FALSE)="","",VLOOKUP(A57,'Revitalisation-Revitalisierung'!$A$4:$Z$275,15,FALSE))</f>
        <v>gross</v>
      </c>
      <c r="BM57" s="759" t="str">
        <f>IF(VLOOKUP(A57,'Revitalisation-Revitalisierung'!$A$4:$Z$275,16,FALSE)="","",VLOOKUP(A57,'Revitalisation-Revitalisierung'!$A$4:$Z$275,16,FALSE))</f>
        <v>gross (nur Kander)</v>
      </c>
      <c r="BN57" s="759" t="str">
        <f>IF(VLOOKUP(A57,'Revitalisation-Revitalisierung'!$A$4:$Z$275,17,FALSE)="","",VLOOKUP(A57,'Revitalisation-Revitalisierung'!$A$4:$Z$275,17,FALSE))</f>
        <v>hoch (nur Kander)</v>
      </c>
      <c r="BO57" s="760" t="str">
        <f>IF(VLOOKUP(A57,'Revitalisation-Revitalisierung'!$A$4:$Z$275,18,FALSE)="","",VLOOKUP(A57,'Revitalisation-Revitalisierung'!$A$4:$Z$275,18,FALSE))</f>
        <v>Très nécessaire, facile / unbedingt nötig, einfach</v>
      </c>
      <c r="BP57" s="784" t="str">
        <f>IF(VLOOKUP(A57,'Revitalisation-Revitalisierung'!$A$4:$Z$275,19,FALSE)="","",VLOOKUP(A57,'Revitalisation-Revitalisierung'!$A$4:$Z$275,19,FALSE))</f>
        <v>Très nécessaire, facile / unbedingt nötig, einfach</v>
      </c>
      <c r="BQ57" s="759" t="str">
        <f>IF(VLOOKUP(A57,'Revitalisation-Revitalisierung'!$A$4:$Z$275,20,FALSE)="","",VLOOKUP(A57,'Revitalisation-Revitalisierung'!$A$4:$Z$275,20,FALSE))</f>
        <v>d</v>
      </c>
      <c r="BR57" s="759" t="str">
        <f>IF(VLOOKUP(A57,'Revitalisation-Revitalisierung'!$A$4:$Z$275,21,FALSE)="","",VLOOKUP(A57,'Revitalisation-Revitalisierung'!$A$4:$Z$275,21,FALSE))</f>
        <v/>
      </c>
      <c r="BS57" s="762" t="str">
        <f>IF(VLOOKUP(A57,'Revitalisation-Revitalisierung'!$A$4:$Z$275,22,FALSE)="","",VLOOKUP(A57,'Revitalisation-Revitalisierung'!$A$4:$Z$275,22,FALSE))</f>
        <v/>
      </c>
      <c r="BT57" s="703" t="str">
        <f>IF(VLOOKUP(A57,'Revitalisation-Revitalisierung'!$A$4:$Z$275,23,FALSE)="","",VLOOKUP(A57,'Revitalisation-Revitalisierung'!$A$4:$Z$275,23,FALSE))</f>
        <v/>
      </c>
      <c r="BU57" s="699" t="str">
        <f>IF(VLOOKUP(A57,'Revitalisation-Revitalisierung'!$A$4:$Z$275,24,FALSE)="","",VLOOKUP(A57,'Revitalisation-Revitalisierung'!$A$4:$Z$275,24,FALSE))</f>
        <v>einfach?</v>
      </c>
      <c r="BV57" s="761" t="str">
        <f>IF(VLOOKUP(A57,'Revitalisation-Revitalisierung'!$A$4:$Z$275,25,FALSE)="","",VLOOKUP(A57,'Revitalisation-Revitalisierung'!$A$4:$Z$275,25,FALSE))</f>
        <v>Très nécessaire, facile / unbedingt nötig, einfach</v>
      </c>
      <c r="BW57" s="871" t="str">
        <f>IF(VLOOKUP(A57,'Revitalisation-Revitalisierung'!$A$4:$AA$275,27,FALSE)="","",VLOOKUP(A57,'Revitalisation-Revitalisierung'!$A$4:$AA$275,27,FALSE))</f>
        <v>a</v>
      </c>
    </row>
    <row r="58" spans="1:75" ht="66.599999999999994" customHeight="1" x14ac:dyDescent="0.25">
      <c r="A58" s="935">
        <v>74</v>
      </c>
      <c r="B58" s="856">
        <f>IF(VLOOKUP(A58,'Données de base - Grunddaten'!$A$2:$M$297,2,FALSE)="","",VLOOKUP(A58,'Données de base - Grunddaten'!$A$2:$M$297,2,FALSE))</f>
        <v>1</v>
      </c>
      <c r="C58" s="857" t="str">
        <f>IF(VLOOKUP(A58,'Données de base - Grunddaten'!$A$2:$M$297,3,FALSE)="","",VLOOKUP(A58,'Données de base - Grunddaten'!$A$2:$M$297,3,FALSE))</f>
        <v>Gastereholz</v>
      </c>
      <c r="D58" s="857" t="str">
        <f>IF(VLOOKUP(A58,'Données de base - Grunddaten'!$A$2:$M$297,4,FALSE)="","",VLOOKUP(A58,'Données de base - Grunddaten'!$A$2:$M$297,4,FALSE))</f>
        <v>Kander</v>
      </c>
      <c r="E58" s="857" t="str">
        <f>IF(VLOOKUP(A58,'Données de base - Grunddaten'!$A$2:$M$297,5,FALSE)="","",VLOOKUP(A58,'Données de base - Grunddaten'!$A$2:$M$297,5,FALSE))</f>
        <v>BE</v>
      </c>
      <c r="F58" s="857" t="str">
        <f>IF(VLOOKUP(A58,'Données de base - Grunddaten'!$A$2:$M$297,6,FALSE)="","",VLOOKUP(A58,'Données de base - Grunddaten'!$A$2:$M$297,6,FALSE))</f>
        <v>Alpes septentrionales</v>
      </c>
      <c r="G58" s="857" t="str">
        <f>IF(VLOOKUP(A58,'Données de base - Grunddaten'!$A$2:$M$297,7,FALSE)="","",VLOOKUP(A58,'Données de base - Grunddaten'!$A$2:$M$297,7,FALSE))</f>
        <v>Subalpin inf.</v>
      </c>
      <c r="H58" s="857">
        <f>IF(VLOOKUP(A58,'Données de base - Grunddaten'!$A$2:$M$297,8,FALSE)="","",VLOOKUP(A58,'Données de base - Grunddaten'!$A$2:$M$297,8,FALSE))</f>
        <v>1370</v>
      </c>
      <c r="I58" s="857">
        <f>IF(VLOOKUP(A58,'Données de base - Grunddaten'!$A$2:$M$297,9,FALSE)="","",VLOOKUP(A58,'Données de base - Grunddaten'!$A$2:$M$297,9,FALSE))</f>
        <v>1992</v>
      </c>
      <c r="J58" s="857">
        <f>IF(VLOOKUP(A58,'Données de base - Grunddaten'!$A$2:$M$297,10,FALSE)="","",VLOOKUP(A58,'Données de base - Grunddaten'!$A$2:$M$297,10,FALSE))</f>
        <v>41</v>
      </c>
      <c r="K58" s="857" t="str">
        <f>IF(VLOOKUP(A58,'Données de base - Grunddaten'!$A$2:$M$297,11,FALSE)="","",VLOOKUP(A58,'Données de base - Grunddaten'!$A$2:$M$297,11,FALSE))</f>
        <v>Cours d'eau naturels de l'étage montagnard</v>
      </c>
      <c r="L58" s="857" t="str">
        <f>IF(VLOOKUP(A58,'Données de base - Grunddaten'!$A$2:$M$297,12,FALSE)="","",VLOOKUP(A58,'Données de base - Grunddaten'!$A$2:$M$297,12,FALSE))</f>
        <v>en tresses</v>
      </c>
      <c r="M58" s="858" t="str">
        <f>IF(VLOOKUP(A58,'Données de base - Grunddaten'!$A$2:$M$297,13,FALSE)="","",VLOOKUP(A58,'Données de base - Grunddaten'!$A$2:$M$297,13,FALSE))</f>
        <v>en tresses</v>
      </c>
      <c r="N58" s="872" t="str">
        <f>IF(VLOOKUP(A58,'Charriage - Geschiebehaushalt'!$A$4:$R$275,5,FALSE)="","",VLOOKUP(A58,'Charriage - Geschiebehaushalt'!$A$4:$R$275,5,FALSE))</f>
        <v>pertinent</v>
      </c>
      <c r="O58" s="873" t="str">
        <f>IF(VLOOKUP(A58,'Charriage - Geschiebehaushalt'!$A$4:$R$275,6,FALSE)="","",VLOOKUP(A58,'Charriage - Geschiebehaushalt'!$A$4:$R$275,6,FALSE))</f>
        <v>0-20%</v>
      </c>
      <c r="P58" s="874" t="str">
        <f>IF(VLOOKUP(A58,'Charriage - Geschiebehaushalt'!$A$4:$R$275,7,FALSE)="","",VLOOKUP(A58,'Charriage - Geschiebehaushalt'!$A$4:$R$275,7,FALSE))</f>
        <v/>
      </c>
      <c r="Q58" s="874" t="str">
        <f>IF(VLOOKUP(A58,'Charriage - Geschiebehaushalt'!$A$4:$R$275,8,FALSE)="","",VLOOKUP(A58,'Charriage - Geschiebehaushalt'!$A$4:$R$275,8,FALSE))</f>
        <v>non documenté</v>
      </c>
      <c r="R58" s="875">
        <f>IF(VLOOKUP(A58,'Charriage - Geschiebehaushalt'!$A$4:$R$275,9,FALSE)="","",VLOOKUP(A58,'Charriage - Geschiebehaushalt'!$A$4:$R$275,9,FALSE))</f>
        <v>0.10384826159254799</v>
      </c>
      <c r="S58" s="876" t="str">
        <f>IF(VLOOKUP(A58,'Charriage - Geschiebehaushalt'!$A$4:$R$275,10,FALSE)="","",VLOOKUP(A58,'Charriage - Geschiebehaushalt'!$A$4:$R$275,10,FALSE))</f>
        <v>pas ou faiblement entravé</v>
      </c>
      <c r="T58" s="875">
        <f>IF(VLOOKUP(A58,'Charriage - Geschiebehaushalt'!$A$4:$R$275,11,FALSE)="","",VLOOKUP(A58,'Charriage - Geschiebehaushalt'!$A$4:$R$275,11,FALSE))</f>
        <v>0.27647094793999999</v>
      </c>
      <c r="U58" s="876" t="str">
        <f>IF(VLOOKUP(A58,'Charriage - Geschiebehaushalt'!$A$4:$R$275,12,FALSE)="","",VLOOKUP(A58,'Charriage - Geschiebehaushalt'!$A$4:$R$275,12,FALSE))</f>
        <v>déficit dans les formations pionnières</v>
      </c>
      <c r="V58" s="877" t="str">
        <f>IF(VLOOKUP(A58,'Charriage - Geschiebehaushalt'!$A$4:$R$275,13,FALSE)="","",VLOOKUP(A58,'Charriage - Geschiebehaushalt'!$A$4:$R$275,13,FALSE))</f>
        <v/>
      </c>
      <c r="W58" s="877" t="str">
        <f>IF(VLOOKUP(A58,'Charriage - Geschiebehaushalt'!$A$4:$R$275,14,FALSE)="","",VLOOKUP(A58,'Charriage - Geschiebehaushalt'!$A$4:$R$275,14,FALSE))</f>
        <v/>
      </c>
      <c r="X58" s="877" t="str">
        <f>IF(VLOOKUP(A58,'Charriage - Geschiebehaushalt'!$A$4:$R$275,15,FALSE)="","",VLOOKUP(A58,'Charriage - Geschiebehaushalt'!$A$4:$R$275,15,FALSE))</f>
        <v/>
      </c>
      <c r="Y58" s="879" t="str">
        <f>IF(VLOOKUP(A58,'Charriage - Geschiebehaushalt'!$A$4:$R$275,16,FALSE)="","",VLOOKUP(A58,'Charriage - Geschiebehaushalt'!$A$4:$R$275,16,FALSE))</f>
        <v/>
      </c>
      <c r="Z58" s="763" t="str">
        <f>IF(VLOOKUP(A58,'Charriage - Geschiebehaushalt'!$A$4:$R$275,17,FALSE)="","",VLOOKUP(A58,'Charriage - Geschiebehaushalt'!$A$4:$R$275,17,FALSE))</f>
        <v>0-20%</v>
      </c>
      <c r="AA58" s="880" t="str">
        <f>IF(VLOOKUP(A58,'Charriage - Geschiebehaushalt'!$A$4:$R$275,18,FALSE)="","",VLOOKUP(A58,'Charriage - Geschiebehaushalt'!$A$4:$R$275,18,FALSE))</f>
        <v>a</v>
      </c>
      <c r="AB58" s="737" t="str">
        <f>IF(VLOOKUP(A58,'Charriage - Geschiebehaushalt'!$A$4:$AC$275,19,FALSE)="","",VLOOKUP(A58,'Charriage - Geschiebehaushalt'!$A$4:$AC$275,19,FALSE))</f>
        <v>-</v>
      </c>
      <c r="AC58" s="738" t="str">
        <f>IF(VLOOKUP(A58,'Charriage - Geschiebehaushalt'!$A$4:$AC$275,20,FALSE)="","",VLOOKUP(A58,'Charriage - Geschiebehaushalt'!$A$4:$AC$275,20,FALSE))</f>
        <v>-</v>
      </c>
      <c r="AD58" s="764" t="str">
        <f>IF(VLOOKUP(A58,'Charriage - Geschiebehaushalt'!$A$4:$AC$275,21,FALSE)="","",VLOOKUP(A58,'Charriage - Geschiebehaushalt'!$A$4:$AC$275,21,FALSE))</f>
        <v/>
      </c>
      <c r="AE58" s="740" t="str">
        <f>IF(VLOOKUP(A58,'Charriage - Geschiebehaushalt'!$A$4:$AC$275,22,FALSE)="","",VLOOKUP(A58,'Charriage - Geschiebehaushalt'!$A$4:$AC$275,22,FALSE))</f>
        <v>0-20%</v>
      </c>
      <c r="AF58" s="787" t="str">
        <f>IF(VLOOKUP(A58,'Charriage - Geschiebehaushalt'!$A$4:$AC$275,23,FALSE)="","",VLOOKUP(A58,'Charriage - Geschiebehaushalt'!$A$4:$AC$275,23,FALSE))</f>
        <v>a</v>
      </c>
      <c r="AG58" s="765" t="str">
        <f>IF(VLOOKUP(A58,'Charriage - Geschiebehaushalt'!$A$4:$AC$275,24,FALSE)="","",VLOOKUP(A58,'Charriage - Geschiebehaushalt'!$A$4:$AC$275,24,FALSE))</f>
        <v/>
      </c>
      <c r="AH58" s="764" t="str">
        <f>IF(VLOOKUP(A58,'Charriage - Geschiebehaushalt'!$A$4:$AC$275,25,FALSE)="","",VLOOKUP(A58,'Charriage - Geschiebehaushalt'!$A$4:$AC$275,25,FALSE))</f>
        <v/>
      </c>
      <c r="AI58" s="433" t="str">
        <f>IF(VLOOKUP(A58,'Charriage - Geschiebehaushalt'!$A$4:$AC$275,26,FALSE)="","",VLOOKUP(A58,'Charriage - Geschiebehaushalt'!$A$4:$AC$275,26,FALSE))</f>
        <v/>
      </c>
      <c r="AJ58" s="434" t="str">
        <f>IF(VLOOKUP(A58,'Charriage - Geschiebehaushalt'!$A$4:$AC$275,27,FALSE)="","",VLOOKUP(A58,'Charriage - Geschiebehaushalt'!$A$4:$AC$275,27,FALSE))</f>
        <v/>
      </c>
      <c r="AK58" s="801" t="str">
        <f>IF(VLOOKUP(A58,'Charriage - Geschiebehaushalt'!$A$4:$AC$275,28,FALSE)="","",VLOOKUP(A58,'Charriage - Geschiebehaushalt'!$A$4:$AC$275,28,FALSE))</f>
        <v>0-20%</v>
      </c>
      <c r="AL58" s="1285" t="str">
        <f>IF(VLOOKUP(A58,'Charriage - Geschiebehaushalt'!$A$4:$AD$275,30,FALSE)="","",VLOOKUP(A58,'Charriage - Geschiebehaushalt'!$A$4:$AD$275,30,FALSE))</f>
        <v>a</v>
      </c>
      <c r="AM58" s="1279" t="str">
        <f>IF(VLOOKUP(A58,'Débit - Abfluss'!$A$4:$K$275,5,FALSE)="","",VLOOKUP(A58,'Débit - Abfluss'!$A$4:$M$275,5,FALSE))</f>
        <v>100%</v>
      </c>
      <c r="AN58" s="868" t="str">
        <f>IF(VLOOKUP(A58,'Débit - Abfluss'!$A$4:$K$275,6,FALSE)="","",VLOOKUP(A58,'Débit - Abfluss'!$A$4:$M$275,6,FALSE))</f>
        <v>aucune information supplémentaire</v>
      </c>
      <c r="AO58" s="869" t="str">
        <f>IF(VLOOKUP(A58,'Débit - Abfluss'!$A$4:$K$275,7,FALSE)="","",VLOOKUP(A58,'Débit - Abfluss'!$A$4:$M$275,7,FALSE))</f>
        <v>aucune information supplémentaire</v>
      </c>
      <c r="AP58" s="766" t="str">
        <f>IF(VLOOKUP(A58,'Débit - Abfluss'!$A$4:$K$275,8,FALSE)="","",VLOOKUP(A58,'Débit - Abfluss'!$A$4:$M$275,8,FALSE))</f>
        <v>100%</v>
      </c>
      <c r="AQ58" s="742" t="str">
        <f>IF(VLOOKUP(A58,'Débit - Abfluss'!$A$4:$K$275,9,FALSE)="","",VLOOKUP(A58,'Débit - Abfluss'!$A$4:$M$275,9,FALSE))</f>
        <v>-</v>
      </c>
      <c r="AR58" s="767" t="str">
        <f>IF(VLOOKUP(A58,'Débit - Abfluss'!$A$4:$K$275,10,FALSE)="","",VLOOKUP(A58,'Débit - Abfluss'!$A$4:$M$275,10,FALSE))</f>
        <v>100%</v>
      </c>
      <c r="AS58" s="767" t="str">
        <f>IF(VLOOKUP(A58,'Débit - Abfluss'!$A$4:$K$275,11,FALSE)="","",VLOOKUP(A58,'Débit - Abfluss'!$A$4:$M$275,11,FALSE))</f>
        <v/>
      </c>
      <c r="AT58" s="744" t="str">
        <f>IF(VLOOKUP(A58,'Débit - Abfluss'!$A$4:$Q$275,12,FALSE)="","",VLOOKUP(A58,'Débit - Abfluss'!$A$4:$Q$275,12,FALSE))</f>
        <v/>
      </c>
      <c r="AU58" s="745" t="str">
        <f>IF(VLOOKUP(A58,'Débit - Abfluss'!$A$4:$Q$275,13,FALSE)="","",VLOOKUP(A58,'Débit - Abfluss'!$A$4:$Q$275,13,FALSE))</f>
        <v/>
      </c>
      <c r="AV58" s="746" t="str">
        <f>IF(VLOOKUP(A58,'Débit - Abfluss'!$A$4:$Q$275,14,FALSE)="","",VLOOKUP(A58,'Débit - Abfluss'!$A$4:$Q$275,14,FALSE))</f>
        <v/>
      </c>
      <c r="AW58" s="768" t="str">
        <f>IF(VLOOKUP(A58,'Débit - Abfluss'!$A$4:$Q$275,15,FALSE)="","",VLOOKUP(A58,'Débit - Abfluss'!$A$4:$Q$275,15,FALSE))</f>
        <v/>
      </c>
      <c r="AX58" s="677" t="str">
        <f>IF(VLOOKUP(A58,'Débit - Abfluss'!$A$4:$Q$275,16,FALSE)="","",VLOOKUP(A58,'Débit - Abfluss'!$A$4:$Q$275,16,FALSE))</f>
        <v/>
      </c>
      <c r="AY58" s="769" t="str">
        <f>IF(VLOOKUP(A58,'Débit - Abfluss'!$A$4:$Q$275,17,FALSE)="","",VLOOKUP(A58,'Débit - Abfluss'!$A$4:$Q$275,17,FALSE))</f>
        <v>100%</v>
      </c>
      <c r="AZ58" s="749" t="str">
        <f>IF(VLOOKUP(A58,'Eclusée - Schwall-Sunk'!$A$2:$F$273,5,FALSE)="","",VLOOKUP(A58,'Eclusée - Schwall-Sunk'!$A$2:$F$273,5,FALSE))</f>
        <v/>
      </c>
      <c r="BA58" s="750" t="str">
        <f>IF(VLOOKUP(A58,'Eclusée - Schwall-Sunk'!$A$2:$F$273,6,FALSE)="","",VLOOKUP(A58,'Eclusée - Schwall-Sunk'!$A$2:$F$273,6,FALSE))</f>
        <v>Non affecté / nicht betroffen</v>
      </c>
      <c r="BB58" s="751">
        <f>IF(VLOOKUP(A58,'Revitalisation-Revitalisierung'!$A$4:$Z$275,5,FALSE)="","",VLOOKUP(A58,'Revitalisation-Revitalisierung'!$A$4:$Z$275,5,FALSE))</f>
        <v>-7.3545454545454554</v>
      </c>
      <c r="BC58" s="752">
        <f>IF(VLOOKUP(A58,'Revitalisation-Revitalisierung'!$A$4:$Z$275,6,FALSE)="","",VLOOKUP(A58,'Revitalisation-Revitalisierung'!$A$4:$Z$275,6,FALSE))</f>
        <v>8.0796876009794474</v>
      </c>
      <c r="BD58" s="752">
        <f>IF(VLOOKUP(A58,'Revitalisation-Revitalisierung'!$A$4:$Z$275,7,FALSE)="","",VLOOKUP(A58,'Revitalisation-Revitalisierung'!$A$4:$Z$275,7,FALSE))</f>
        <v>15.454545454545455</v>
      </c>
      <c r="BE58" s="753" t="str">
        <f>IF(VLOOKUP(A58,'Revitalisation-Revitalisierung'!$A$4:$Z$275,8,FALSE)="","",VLOOKUP(A58,'Revitalisation-Revitalisierung'!$A$4:$Z$275,8,FALSE))</f>
        <v>peu nécessaire, facile</v>
      </c>
      <c r="BF58" s="754" t="str">
        <f>IF(VLOOKUP(A58,'Revitalisation-Revitalisierung'!$A$4:$Z$275,9,FALSE)="","",VLOOKUP(A58,'Revitalisation-Revitalisierung'!$A$4:$Z$275,9,FALSE))</f>
        <v/>
      </c>
      <c r="BG58" s="754" t="str">
        <f>IF(VLOOKUP(A58,'Revitalisation-Revitalisierung'!$A$4:$Z$275,10,FALSE)="","",VLOOKUP(A58,'Revitalisation-Revitalisierung'!$A$4:$Z$275,10,FALSE))</f>
        <v>K2</v>
      </c>
      <c r="BH58" s="755" t="str">
        <f>IF(VLOOKUP(A58,'Revitalisation-Revitalisierung'!$A$4:$Z$275,11,FALSE)="","",VLOOKUP(A58,'Revitalisation-Revitalisierung'!$A$4:$Z$275,11,FALSE))</f>
        <v/>
      </c>
      <c r="BI58" s="756" t="str">
        <f>IF(VLOOKUP(A58,'Revitalisation-Revitalisierung'!$A$4:$Z$275,12,FALSE)="","",VLOOKUP(A58,'Revitalisation-Revitalisierung'!$A$4:$Z$275,12,FALSE))</f>
        <v/>
      </c>
      <c r="BJ58" s="757" t="str">
        <f>IF(VLOOKUP(A58,'Revitalisation-Revitalisierung'!$A$4:$Z$275,13,FALSE)="","",VLOOKUP(A58,'Revitalisation-Revitalisierung'!$A$4:$Z$275,13,FALSE))</f>
        <v>Non nécessaire / nicht nötig</v>
      </c>
      <c r="BK58" s="870" t="str">
        <f>IF(VLOOKUP(A58,'Revitalisation-Revitalisierung'!$A$4:$Z$275,14,FALSE)="","",VLOOKUP(A58,'Revitalisation-Revitalisierung'!$A$4:$Z$275,14,FALSE))</f>
        <v>b</v>
      </c>
      <c r="BL58" s="758" t="str">
        <f>IF(VLOOKUP(A58,'Revitalisation-Revitalisierung'!$A$4:$Z$275,15,FALSE)="","",VLOOKUP(A58,'Revitalisation-Revitalisierung'!$A$4:$Z$275,15,FALSE))</f>
        <v>mittel (nur Kander)</v>
      </c>
      <c r="BM58" s="759" t="str">
        <f>IF(VLOOKUP(A58,'Revitalisation-Revitalisierung'!$A$4:$Z$275,16,FALSE)="","",VLOOKUP(A58,'Revitalisation-Revitalisierung'!$A$4:$Z$275,16,FALSE))</f>
        <v>gering</v>
      </c>
      <c r="BN58" s="759" t="str">
        <f>IF(VLOOKUP(A58,'Revitalisation-Revitalisierung'!$A$4:$Z$275,17,FALSE)="","",VLOOKUP(A58,'Revitalisation-Revitalisierung'!$A$4:$Z$275,17,FALSE))</f>
        <v>-</v>
      </c>
      <c r="BO58" s="760" t="str">
        <f>IF(VLOOKUP(A58,'Revitalisation-Revitalisierung'!$A$4:$Z$275,18,FALSE)="","",VLOOKUP(A58,'Revitalisation-Revitalisierung'!$A$4:$Z$275,18,FALSE))</f>
        <v>Non nécessaire / nicht nötig</v>
      </c>
      <c r="BP58" s="761" t="str">
        <f>IF(VLOOKUP(A58,'Revitalisation-Revitalisierung'!$A$4:$Z$275,19,FALSE)="","",VLOOKUP(A58,'Revitalisation-Revitalisierung'!$A$4:$Z$275,19,FALSE))</f>
        <v>Non nécessaire / nicht nötig</v>
      </c>
      <c r="BQ58" s="759" t="str">
        <f>IF(VLOOKUP(A58,'Revitalisation-Revitalisierung'!$A$4:$Z$275,20,FALSE)="","",VLOOKUP(A58,'Revitalisation-Revitalisierung'!$A$4:$Z$275,20,FALSE))</f>
        <v>d</v>
      </c>
      <c r="BR58" s="759" t="str">
        <f>IF(VLOOKUP(A58,'Revitalisation-Revitalisierung'!$A$4:$Z$275,21,FALSE)="","",VLOOKUP(A58,'Revitalisation-Revitalisierung'!$A$4:$Z$275,21,FALSE))</f>
        <v/>
      </c>
      <c r="BS58" s="762" t="str">
        <f>IF(VLOOKUP(A58,'Revitalisation-Revitalisierung'!$A$4:$Z$275,22,FALSE)="","",VLOOKUP(A58,'Revitalisation-Revitalisierung'!$A$4:$Z$275,22,FALSE))</f>
        <v/>
      </c>
      <c r="BT58" s="703" t="str">
        <f>IF(VLOOKUP(A58,'Revitalisation-Revitalisierung'!$A$4:$Z$275,23,FALSE)="","",VLOOKUP(A58,'Revitalisation-Revitalisierung'!$A$4:$Z$275,23,FALSE))</f>
        <v/>
      </c>
      <c r="BU58" s="699" t="str">
        <f>IF(VLOOKUP(A58,'Revitalisation-Revitalisierung'!$A$4:$Z$275,24,FALSE)="","",VLOOKUP(A58,'Revitalisation-Revitalisierung'!$A$4:$Z$275,24,FALSE))</f>
        <v>ok</v>
      </c>
      <c r="BV58" s="761" t="str">
        <f>IF(VLOOKUP(A58,'Revitalisation-Revitalisierung'!$A$4:$Z$275,25,FALSE)="","",VLOOKUP(A58,'Revitalisation-Revitalisierung'!$A$4:$Z$275,25,FALSE))</f>
        <v>Non nécessaire / nicht nötig</v>
      </c>
      <c r="BW58" s="871" t="str">
        <f>IF(VLOOKUP(A58,'Revitalisation-Revitalisierung'!$A$4:$AA$275,27,FALSE)="","",VLOOKUP(A58,'Revitalisation-Revitalisierung'!$A$4:$AA$275,27,FALSE))</f>
        <v>a</v>
      </c>
    </row>
    <row r="59" spans="1:75" ht="60.6" customHeight="1" x14ac:dyDescent="0.25">
      <c r="A59" s="935">
        <v>75</v>
      </c>
      <c r="B59" s="856">
        <f>IF(VLOOKUP(A59,'Données de base - Grunddaten'!$A$2:$M$297,2,FALSE)="","",VLOOKUP(A59,'Données de base - Grunddaten'!$A$2:$M$297,2,FALSE))</f>
        <v>1</v>
      </c>
      <c r="C59" s="857" t="str">
        <f>IF(VLOOKUP(A59,'Données de base - Grunddaten'!$A$2:$M$297,3,FALSE)="","",VLOOKUP(A59,'Données de base - Grunddaten'!$A$2:$M$297,3,FALSE))</f>
        <v>Brünnlisau</v>
      </c>
      <c r="D59" s="857" t="str">
        <f>IF(VLOOKUP(A59,'Données de base - Grunddaten'!$A$2:$M$297,4,FALSE)="","",VLOOKUP(A59,'Données de base - Grunddaten'!$A$2:$M$297,4,FALSE))</f>
        <v>Simme</v>
      </c>
      <c r="E59" s="857" t="str">
        <f>IF(VLOOKUP(A59,'Données de base - Grunddaten'!$A$2:$M$297,5,FALSE)="","",VLOOKUP(A59,'Données de base - Grunddaten'!$A$2:$M$297,5,FALSE))</f>
        <v>BE</v>
      </c>
      <c r="F59" s="857" t="str">
        <f>IF(VLOOKUP(A59,'Données de base - Grunddaten'!$A$2:$M$297,6,FALSE)="","",VLOOKUP(A59,'Données de base - Grunddaten'!$A$2:$M$297,6,FALSE))</f>
        <v>Alpes septentrionales, Préalpes</v>
      </c>
      <c r="G59" s="857" t="str">
        <f>IF(VLOOKUP(A59,'Données de base - Grunddaten'!$A$2:$M$297,7,FALSE)="","",VLOOKUP(A59,'Données de base - Grunddaten'!$A$2:$M$297,7,FALSE))</f>
        <v>Montagnard inf.</v>
      </c>
      <c r="H59" s="857">
        <f>IF(VLOOKUP(A59,'Données de base - Grunddaten'!$A$2:$M$297,8,FALSE)="","",VLOOKUP(A59,'Données de base - Grunddaten'!$A$2:$M$297,8,FALSE))</f>
        <v>640</v>
      </c>
      <c r="I59" s="857">
        <f>IF(VLOOKUP(A59,'Données de base - Grunddaten'!$A$2:$M$297,9,FALSE)="","",VLOOKUP(A59,'Données de base - Grunddaten'!$A$2:$M$297,9,FALSE))</f>
        <v>1992</v>
      </c>
      <c r="J59" s="857">
        <f>IF(VLOOKUP(A59,'Données de base - Grunddaten'!$A$2:$M$297,10,FALSE)="","",VLOOKUP(A59,'Données de base - Grunddaten'!$A$2:$M$297,10,FALSE))</f>
        <v>42</v>
      </c>
      <c r="K59" s="857" t="str">
        <f>IF(VLOOKUP(A59,'Données de base - Grunddaten'!$A$2:$M$297,11,FALSE)="","",VLOOKUP(A59,'Données de base - Grunddaten'!$A$2:$M$297,11,FALSE))</f>
        <v>Cours d'eau corrigés de l'étage montagnard</v>
      </c>
      <c r="L59" s="857" t="str">
        <f>IF(VLOOKUP(A59,'Données de base - Grunddaten'!$A$2:$M$297,12,FALSE)="","",VLOOKUP(A59,'Données de base - Grunddaten'!$A$2:$M$297,12,FALSE))</f>
        <v>en tresses</v>
      </c>
      <c r="M59" s="858" t="str">
        <f>IF(VLOOKUP(A59,'Données de base - Grunddaten'!$A$2:$M$297,13,FALSE)="","",VLOOKUP(A59,'Données de base - Grunddaten'!$A$2:$M$297,13,FALSE))</f>
        <v>cours rectiligne</v>
      </c>
      <c r="N59" s="872" t="str">
        <f>IF(VLOOKUP(A59,'Charriage - Geschiebehaushalt'!$A$4:$R$275,5,FALSE)="","",VLOOKUP(A59,'Charriage - Geschiebehaushalt'!$A$4:$R$275,5,FALSE))</f>
        <v>pertinent</v>
      </c>
      <c r="O59" s="873" t="str">
        <f>IF(VLOOKUP(A59,'Charriage - Geschiebehaushalt'!$A$4:$R$275,6,FALSE)="","",VLOOKUP(A59,'Charriage - Geschiebehaushalt'!$A$4:$R$275,6,FALSE))</f>
        <v>21-50%</v>
      </c>
      <c r="P59" s="874" t="str">
        <f>IF(VLOOKUP(A59,'Charriage - Geschiebehaushalt'!$A$4:$R$275,7,FALSE)="","",VLOOKUP(A59,'Charriage - Geschiebehaushalt'!$A$4:$R$275,7,FALSE))</f>
        <v/>
      </c>
      <c r="Q59" s="874" t="str">
        <f>IF(VLOOKUP(A59,'Charriage - Geschiebehaushalt'!$A$4:$R$275,8,FALSE)="","",VLOOKUP(A59,'Charriage - Geschiebehaushalt'!$A$4:$R$275,8,FALSE))</f>
        <v>non documenté</v>
      </c>
      <c r="R59" s="875">
        <f>IF(VLOOKUP(A59,'Charriage - Geschiebehaushalt'!$A$4:$R$275,9,FALSE)="","",VLOOKUP(A59,'Charriage - Geschiebehaushalt'!$A$4:$R$275,9,FALSE))</f>
        <v>0.92325177765816102</v>
      </c>
      <c r="S59" s="876" t="str">
        <f>IF(VLOOKUP(A59,'Charriage - Geschiebehaushalt'!$A$4:$R$275,10,FALSE)="","",VLOOKUP(A59,'Charriage - Geschiebehaushalt'!$A$4:$R$275,10,FALSE))</f>
        <v>la remobilisation des sédiments est perturbée</v>
      </c>
      <c r="T59" s="875">
        <f>IF(VLOOKUP(A59,'Charriage - Geschiebehaushalt'!$A$4:$R$275,11,FALSE)="","",VLOOKUP(A59,'Charriage - Geschiebehaushalt'!$A$4:$R$275,11,FALSE))</f>
        <v>0.17909394648999999</v>
      </c>
      <c r="U59" s="876" t="str">
        <f>IF(VLOOKUP(A59,'Charriage - Geschiebehaushalt'!$A$4:$R$275,12,FALSE)="","",VLOOKUP(A59,'Charriage - Geschiebehaushalt'!$A$4:$R$275,12,FALSE))</f>
        <v>déficit dans les formations pionnières</v>
      </c>
      <c r="V59" s="877" t="str">
        <f>IF(VLOOKUP(A59,'Charriage - Geschiebehaushalt'!$A$4:$R$275,13,FALSE)="","",VLOOKUP(A59,'Charriage - Geschiebehaushalt'!$A$4:$R$275,13,FALSE))</f>
        <v/>
      </c>
      <c r="W59" s="877" t="str">
        <f>IF(VLOOKUP(A59,'Charriage - Geschiebehaushalt'!$A$4:$R$275,14,FALSE)="","",VLOOKUP(A59,'Charriage - Geschiebehaushalt'!$A$4:$R$275,14,FALSE))</f>
        <v/>
      </c>
      <c r="X59" s="877" t="str">
        <f>IF(VLOOKUP(A59,'Charriage - Geschiebehaushalt'!$A$4:$R$275,15,FALSE)="","",VLOOKUP(A59,'Charriage - Geschiebehaushalt'!$A$4:$R$275,15,FALSE))</f>
        <v/>
      </c>
      <c r="Y59" s="879" t="str">
        <f>IF(VLOOKUP(A59,'Charriage - Geschiebehaushalt'!$A$4:$R$275,16,FALSE)="","",VLOOKUP(A59,'Charriage - Geschiebehaushalt'!$A$4:$R$275,16,FALSE))</f>
        <v/>
      </c>
      <c r="Z59" s="763" t="str">
        <f>IF(VLOOKUP(A59,'Charriage - Geschiebehaushalt'!$A$4:$R$275,17,FALSE)="","",VLOOKUP(A59,'Charriage - Geschiebehaushalt'!$A$4:$R$275,17,FALSE))</f>
        <v>21-50%</v>
      </c>
      <c r="AA59" s="880" t="str">
        <f>IF(VLOOKUP(A59,'Charriage - Geschiebehaushalt'!$A$4:$R$275,18,FALSE)="","",VLOOKUP(A59,'Charriage - Geschiebehaushalt'!$A$4:$R$275,18,FALSE))</f>
        <v>a</v>
      </c>
      <c r="AB59" s="737" t="str">
        <f>IF(VLOOKUP(A59,'Charriage - Geschiebehaushalt'!$A$4:$AC$275,19,FALSE)="","",VLOOKUP(A59,'Charriage - Geschiebehaushalt'!$A$4:$AC$275,19,FALSE))</f>
        <v>gering</v>
      </c>
      <c r="AC59" s="738" t="str">
        <f>IF(VLOOKUP(A59,'Charriage - Geschiebehaushalt'!$A$4:$AC$275,20,FALSE)="","",VLOOKUP(A59,'Charriage - Geschiebehaushalt'!$A$4:$AC$275,20,FALSE))</f>
        <v>kein HB</v>
      </c>
      <c r="AD59" s="764" t="str">
        <f>IF(VLOOKUP(A59,'Charriage - Geschiebehaushalt'!$A$4:$AC$275,21,FALSE)="","",VLOOKUP(A59,'Charriage - Geschiebehaushalt'!$A$4:$AC$275,21,FALSE))</f>
        <v>21-50%</v>
      </c>
      <c r="AE59" s="772" t="str">
        <f>IF(VLOOKUP(A59,'Charriage - Geschiebehaushalt'!$A$4:$AC$275,22,FALSE)="","",VLOOKUP(A59,'Charriage - Geschiebehaushalt'!$A$4:$AC$275,22,FALSE))</f>
        <v>21-50%</v>
      </c>
      <c r="AF59" s="787" t="str">
        <f>IF(VLOOKUP(A59,'Charriage - Geschiebehaushalt'!$A$4:$AC$275,23,FALSE)="","",VLOOKUP(A59,'Charriage - Geschiebehaushalt'!$A$4:$AC$275,23,FALSE))</f>
        <v>d</v>
      </c>
      <c r="AG59" s="765" t="str">
        <f>IF(VLOOKUP(A59,'Charriage - Geschiebehaushalt'!$A$4:$AC$275,24,FALSE)="","",VLOOKUP(A59,'Charriage - Geschiebehaushalt'!$A$4:$AC$275,24,FALSE))</f>
        <v/>
      </c>
      <c r="AH59" s="764" t="str">
        <f>IF(VLOOKUP(A59,'Charriage - Geschiebehaushalt'!$A$4:$AC$275,25,FALSE)="","",VLOOKUP(A59,'Charriage - Geschiebehaushalt'!$A$4:$AC$275,25,FALSE))</f>
        <v/>
      </c>
      <c r="AI59" s="433" t="str">
        <f>IF(VLOOKUP(A59,'Charriage - Geschiebehaushalt'!$A$4:$AC$275,26,FALSE)="","",VLOOKUP(A59,'Charriage - Geschiebehaushalt'!$A$4:$AC$275,26,FALSE))</f>
        <v/>
      </c>
      <c r="AJ59" s="434" t="str">
        <f>IF(VLOOKUP(A59,'Charriage - Geschiebehaushalt'!$A$4:$AC$275,27,FALSE)="","",VLOOKUP(A59,'Charriage - Geschiebehaushalt'!$A$4:$AC$275,27,FALSE))</f>
        <v/>
      </c>
      <c r="AK59" s="801" t="str">
        <f>IF(VLOOKUP(A59,'Charriage - Geschiebehaushalt'!$A$4:$AC$275,28,FALSE)="","",VLOOKUP(A59,'Charriage - Geschiebehaushalt'!$A$4:$AC$275,28,FALSE))</f>
        <v>21-50%</v>
      </c>
      <c r="AL59" s="1285" t="str">
        <f>IF(VLOOKUP(A59,'Charriage - Geschiebehaushalt'!$A$4:$AD$275,30,FALSE)="","",VLOOKUP(A59,'Charriage - Geschiebehaushalt'!$A$4:$AD$275,30,FALSE))</f>
        <v>a</v>
      </c>
      <c r="AM59" s="1279" t="str">
        <f>IF(VLOOKUP(A59,'Débit - Abfluss'!$A$4:$K$275,5,FALSE)="","",VLOOKUP(A59,'Débit - Abfluss'!$A$4:$M$275,5,FALSE))</f>
        <v>0-20%</v>
      </c>
      <c r="AN59" s="868" t="str">
        <f>IF(VLOOKUP(A59,'Débit - Abfluss'!$A$4:$K$275,6,FALSE)="","",VLOOKUP(A59,'Débit - Abfluss'!$A$4:$M$275,6,FALSE))</f>
        <v/>
      </c>
      <c r="AO59" s="869" t="str">
        <f>IF(VLOOKUP(A59,'Débit - Abfluss'!$A$4:$K$275,7,FALSE)="","",VLOOKUP(A59,'Débit - Abfluss'!$A$4:$M$275,7,FALSE))</f>
        <v/>
      </c>
      <c r="AP59" s="766" t="str">
        <f>IF(VLOOKUP(A59,'Débit - Abfluss'!$A$4:$K$275,8,FALSE)="","",VLOOKUP(A59,'Débit - Abfluss'!$A$4:$M$275,8,FALSE))</f>
        <v>0-20%</v>
      </c>
      <c r="AQ59" s="678" t="str">
        <f>IF(VLOOKUP(A59,'Débit - Abfluss'!$A$4:$K$275,9,FALSE)="","",VLOOKUP(A59,'Débit - Abfluss'!$A$4:$M$275,9,FALSE))</f>
        <v>10-50%</v>
      </c>
      <c r="AR59" s="767" t="str">
        <f>IF(VLOOKUP(A59,'Débit - Abfluss'!$A$4:$K$275,10,FALSE)="","",VLOOKUP(A59,'Débit - Abfluss'!$A$4:$M$275,10,FALSE))</f>
        <v>0-20%</v>
      </c>
      <c r="AS59" s="767" t="str">
        <f>IF(VLOOKUP(A59,'Débit - Abfluss'!$A$4:$K$275,11,FALSE)="","",VLOOKUP(A59,'Débit - Abfluss'!$A$4:$M$275,11,FALSE))</f>
        <v/>
      </c>
      <c r="AT59" s="744" t="str">
        <f>IF(VLOOKUP(A59,'Débit - Abfluss'!$A$4:$Q$275,12,FALSE)="","",VLOOKUP(A59,'Débit - Abfluss'!$A$4:$Q$275,12,FALSE))</f>
        <v/>
      </c>
      <c r="AU59" s="745" t="str">
        <f>IF(VLOOKUP(A59,'Débit - Abfluss'!$A$4:$Q$275,13,FALSE)="","",VLOOKUP(A59,'Débit - Abfluss'!$A$4:$Q$275,13,FALSE))</f>
        <v/>
      </c>
      <c r="AV59" s="746" t="str">
        <f>IF(VLOOKUP(A59,'Débit - Abfluss'!$A$4:$Q$275,14,FALSE)="","",VLOOKUP(A59,'Débit - Abfluss'!$A$4:$Q$275,14,FALSE))</f>
        <v>BE-112</v>
      </c>
      <c r="AW59" s="768" t="str">
        <f>IF(VLOOKUP(A59,'Débit - Abfluss'!$A$4:$Q$275,15,FALSE)="","",VLOOKUP(A59,'Débit - Abfluss'!$A$4:$Q$275,15,FALSE))</f>
        <v>Simmenfluh</v>
      </c>
      <c r="AX59" s="677" t="str">
        <f>IF(VLOOKUP(A59,'Débit - Abfluss'!$A$4:$Q$275,16,FALSE)="","",VLOOKUP(A59,'Débit - Abfluss'!$A$4:$Q$275,16,FALSE))</f>
        <v/>
      </c>
      <c r="AY59" s="769" t="str">
        <f>IF(VLOOKUP(A59,'Débit - Abfluss'!$A$4:$Q$275,17,FALSE)="","",VLOOKUP(A59,'Débit - Abfluss'!$A$4:$Q$275,17,FALSE))</f>
        <v>0-20%</v>
      </c>
      <c r="AZ59" s="749" t="str">
        <f>IF(VLOOKUP(A59,'Eclusée - Schwall-Sunk'!$A$2:$F$273,5,FALSE)="","",VLOOKUP(A59,'Eclusée - Schwall-Sunk'!$A$2:$F$273,5,FALSE))</f>
        <v>force hydraulique</v>
      </c>
      <c r="BA59" s="750" t="str">
        <f>IF(VLOOKUP(A59,'Eclusée - Schwall-Sunk'!$A$2:$F$273,6,FALSE)="","",VLOOKUP(A59,'Eclusée - Schwall-Sunk'!$A$2:$F$273,6,FALSE))</f>
        <v>Non affecté / nicht betroffen</v>
      </c>
      <c r="BB59" s="751">
        <f>IF(VLOOKUP(A59,'Revitalisation-Revitalisierung'!$A$4:$Z$275,5,FALSE)="","",VLOOKUP(A59,'Revitalisation-Revitalisierung'!$A$4:$Z$275,5,FALSE))</f>
        <v>77.054545454545448</v>
      </c>
      <c r="BC59" s="752">
        <f>IF(VLOOKUP(A59,'Revitalisation-Revitalisierung'!$A$4:$Z$275,6,FALSE)="","",VLOOKUP(A59,'Revitalisation-Revitalisierung'!$A$4:$Z$275,6,FALSE))</f>
        <v>86.58993470475933</v>
      </c>
      <c r="BD59" s="752">
        <f>IF(VLOOKUP(A59,'Revitalisation-Revitalisierung'!$A$4:$Z$275,7,FALSE)="","",VLOOKUP(A59,'Revitalisation-Revitalisierung'!$A$4:$Z$275,7,FALSE))</f>
        <v>9.545454545454545</v>
      </c>
      <c r="BE59" s="753" t="str">
        <f>IF(VLOOKUP(A59,'Revitalisation-Revitalisierung'!$A$4:$Z$275,8,FALSE)="","",VLOOKUP(A59,'Revitalisation-Revitalisierung'!$A$4:$Z$275,8,FALSE))</f>
        <v>très nécessaire, facile</v>
      </c>
      <c r="BF59" s="754" t="str">
        <f>IF(VLOOKUP(A59,'Revitalisation-Revitalisierung'!$A$4:$Z$275,9,FALSE)="","",VLOOKUP(A59,'Revitalisation-Revitalisierung'!$A$4:$Z$275,9,FALSE))</f>
        <v>leicht</v>
      </c>
      <c r="BG59" s="754" t="str">
        <f>IF(VLOOKUP(A59,'Revitalisation-Revitalisierung'!$A$4:$Z$275,10,FALSE)="","",VLOOKUP(A59,'Revitalisation-Revitalisierung'!$A$4:$Z$275,10,FALSE))</f>
        <v>K1</v>
      </c>
      <c r="BH59" s="755" t="str">
        <f>IF(VLOOKUP(A59,'Revitalisation-Revitalisierung'!$A$4:$Z$275,11,FALSE)="","",VLOOKUP(A59,'Revitalisation-Revitalisierung'!$A$4:$Z$275,11,FALSE))</f>
        <v/>
      </c>
      <c r="BI59" s="756" t="str">
        <f>IF(VLOOKUP(A59,'Revitalisation-Revitalisierung'!$A$4:$Z$275,12,FALSE)="","",VLOOKUP(A59,'Revitalisation-Revitalisierung'!$A$4:$Z$275,12,FALSE))</f>
        <v/>
      </c>
      <c r="BJ59" s="757" t="str">
        <f>IF(VLOOKUP(A59,'Revitalisation-Revitalisierung'!$A$4:$Z$275,13,FALSE)="","",VLOOKUP(A59,'Revitalisation-Revitalisierung'!$A$4:$Z$275,13,FALSE))</f>
        <v>Très nécessaire, facile / unbedingt nötig, einfach</v>
      </c>
      <c r="BK59" s="870" t="str">
        <f>IF(VLOOKUP(A59,'Revitalisation-Revitalisierung'!$A$4:$Z$275,14,FALSE)="","",VLOOKUP(A59,'Revitalisation-Revitalisierung'!$A$4:$Z$275,14,FALSE))</f>
        <v>a</v>
      </c>
      <c r="BL59" s="758" t="str">
        <f>IF(VLOOKUP(A59,'Revitalisation-Revitalisierung'!$A$4:$Z$275,15,FALSE)="","",VLOOKUP(A59,'Revitalisation-Revitalisierung'!$A$4:$Z$275,15,FALSE))</f>
        <v>mittel (nur Simme)</v>
      </c>
      <c r="BM59" s="759" t="str">
        <f>IF(VLOOKUP(A59,'Revitalisation-Revitalisierung'!$A$4:$Z$275,16,FALSE)="","",VLOOKUP(A59,'Revitalisation-Revitalisierung'!$A$4:$Z$275,16,FALSE))</f>
        <v>gross/mittel</v>
      </c>
      <c r="BN59" s="759" t="str">
        <f>IF(VLOOKUP(A59,'Revitalisation-Revitalisierung'!$A$4:$Z$275,17,FALSE)="","",VLOOKUP(A59,'Revitalisation-Revitalisierung'!$A$4:$Z$275,17,FALSE))</f>
        <v>hoch</v>
      </c>
      <c r="BO59" s="760" t="str">
        <f>IF(VLOOKUP(A59,'Revitalisation-Revitalisierung'!$A$4:$Z$275,18,FALSE)="","",VLOOKUP(A59,'Revitalisation-Revitalisierung'!$A$4:$Z$275,18,FALSE))</f>
        <v>Très nécessaire, facile / unbedingt nötig, einfach</v>
      </c>
      <c r="BP59" s="761" t="str">
        <f>IF(VLOOKUP(A59,'Revitalisation-Revitalisierung'!$A$4:$Z$275,19,FALSE)="","",VLOOKUP(A59,'Revitalisation-Revitalisierung'!$A$4:$Z$275,19,FALSE))</f>
        <v>Très nécessaire, facile / unbedingt nötig, einfach</v>
      </c>
      <c r="BQ59" s="759" t="str">
        <f>IF(VLOOKUP(A59,'Revitalisation-Revitalisierung'!$A$4:$Z$275,20,FALSE)="","",VLOOKUP(A59,'Revitalisation-Revitalisierung'!$A$4:$Z$275,20,FALSE))</f>
        <v>d</v>
      </c>
      <c r="BR59" s="759" t="str">
        <f>IF(VLOOKUP(A59,'Revitalisation-Revitalisierung'!$A$4:$Z$275,21,FALSE)="","",VLOOKUP(A59,'Revitalisation-Revitalisierung'!$A$4:$Z$275,21,FALSE))</f>
        <v/>
      </c>
      <c r="BS59" s="762" t="str">
        <f>IF(VLOOKUP(A59,'Revitalisation-Revitalisierung'!$A$4:$Z$275,22,FALSE)="","",VLOOKUP(A59,'Revitalisation-Revitalisierung'!$A$4:$Z$275,22,FALSE))</f>
        <v/>
      </c>
      <c r="BT59" s="703" t="str">
        <f>IF(VLOOKUP(A59,'Revitalisation-Revitalisierung'!$A$4:$Z$275,23,FALSE)="","",VLOOKUP(A59,'Revitalisation-Revitalisierung'!$A$4:$Z$275,23,FALSE))</f>
        <v/>
      </c>
      <c r="BU59" s="699" t="str">
        <f>IF(VLOOKUP(A59,'Revitalisation-Revitalisierung'!$A$4:$Z$275,24,FALSE)="","",VLOOKUP(A59,'Revitalisation-Revitalisierung'!$A$4:$Z$275,24,FALSE))</f>
        <v>einfach?</v>
      </c>
      <c r="BV59" s="761" t="str">
        <f>IF(VLOOKUP(A59,'Revitalisation-Revitalisierung'!$A$4:$Z$275,25,FALSE)="","",VLOOKUP(A59,'Revitalisation-Revitalisierung'!$A$4:$Z$275,25,FALSE))</f>
        <v>Très nécessaire, facile / unbedingt nötig, einfach</v>
      </c>
      <c r="BW59" s="871" t="str">
        <f>IF(VLOOKUP(A59,'Revitalisation-Revitalisierung'!$A$4:$AA$275,27,FALSE)="","",VLOOKUP(A59,'Revitalisation-Revitalisierung'!$A$4:$AA$275,27,FALSE))</f>
        <v>a</v>
      </c>
    </row>
    <row r="60" spans="1:75" ht="90" customHeight="1" x14ac:dyDescent="0.25">
      <c r="A60" s="935">
        <v>76</v>
      </c>
      <c r="B60" s="856">
        <f>IF(VLOOKUP(A60,'Données de base - Grunddaten'!$A$2:$M$297,2,FALSE)="","",VLOOKUP(A60,'Données de base - Grunddaten'!$A$2:$M$297,2,FALSE))</f>
        <v>1</v>
      </c>
      <c r="C60" s="857" t="str">
        <f>IF(VLOOKUP(A60,'Données de base - Grunddaten'!$A$2:$M$297,3,FALSE)="","",VLOOKUP(A60,'Données de base - Grunddaten'!$A$2:$M$297,3,FALSE))</f>
        <v>Wilerau</v>
      </c>
      <c r="D60" s="857" t="str">
        <f>IF(VLOOKUP(A60,'Données de base - Grunddaten'!$A$2:$M$297,4,FALSE)="","",VLOOKUP(A60,'Données de base - Grunddaten'!$A$2:$M$297,4,FALSE))</f>
        <v>Simme</v>
      </c>
      <c r="E60" s="857" t="str">
        <f>IF(VLOOKUP(A60,'Données de base - Grunddaten'!$A$2:$M$297,5,FALSE)="","",VLOOKUP(A60,'Données de base - Grunddaten'!$A$2:$M$297,5,FALSE))</f>
        <v>BE</v>
      </c>
      <c r="F60" s="857" t="str">
        <f>IF(VLOOKUP(A60,'Données de base - Grunddaten'!$A$2:$M$297,6,FALSE)="","",VLOOKUP(A60,'Données de base - Grunddaten'!$A$2:$M$297,6,FALSE))</f>
        <v>Alpes septentrionales, Préalpes</v>
      </c>
      <c r="G60" s="857" t="str">
        <f>IF(VLOOKUP(A60,'Données de base - Grunddaten'!$A$2:$M$297,7,FALSE)="","",VLOOKUP(A60,'Données de base - Grunddaten'!$A$2:$M$297,7,FALSE))</f>
        <v>Montagnard inf.</v>
      </c>
      <c r="H60" s="857">
        <f>IF(VLOOKUP(A60,'Données de base - Grunddaten'!$A$2:$M$297,8,FALSE)="","",VLOOKUP(A60,'Données de base - Grunddaten'!$A$2:$M$297,8,FALSE))</f>
        <v>690</v>
      </c>
      <c r="I60" s="857">
        <f>IF(VLOOKUP(A60,'Données de base - Grunddaten'!$A$2:$M$297,9,FALSE)="","",VLOOKUP(A60,'Données de base - Grunddaten'!$A$2:$M$297,9,FALSE))</f>
        <v>1992</v>
      </c>
      <c r="J60" s="857">
        <f>IF(VLOOKUP(A60,'Données de base - Grunddaten'!$A$2:$M$297,10,FALSE)="","",VLOOKUP(A60,'Données de base - Grunddaten'!$A$2:$M$297,10,FALSE))</f>
        <v>41</v>
      </c>
      <c r="K60" s="857" t="str">
        <f>IF(VLOOKUP(A60,'Données de base - Grunddaten'!$A$2:$M$297,11,FALSE)="","",VLOOKUP(A60,'Données de base - Grunddaten'!$A$2:$M$297,11,FALSE))</f>
        <v>Cours d'eau naturels de l'étage montagnard</v>
      </c>
      <c r="L60" s="857" t="str">
        <f>IF(VLOOKUP(A60,'Données de base - Grunddaten'!$A$2:$M$297,12,FALSE)="","",VLOOKUP(A60,'Données de base - Grunddaten'!$A$2:$M$297,12,FALSE))</f>
        <v>en méandres migrants</v>
      </c>
      <c r="M60" s="858" t="str">
        <f>IF(VLOOKUP(A60,'Données de base - Grunddaten'!$A$2:$M$297,13,FALSE)="","",VLOOKUP(A60,'Données de base - Grunddaten'!$A$2:$M$297,13,FALSE))</f>
        <v>en méandres migrants</v>
      </c>
      <c r="N60" s="872" t="str">
        <f>IF(VLOOKUP(A60,'Charriage - Geschiebehaushalt'!$A$4:$R$275,5,FALSE)="","",VLOOKUP(A60,'Charriage - Geschiebehaushalt'!$A$4:$R$275,5,FALSE))</f>
        <v>pertinent</v>
      </c>
      <c r="O60" s="873" t="str">
        <f>IF(VLOOKUP(A60,'Charriage - Geschiebehaushalt'!$A$4:$R$275,6,FALSE)="","",VLOOKUP(A60,'Charriage - Geschiebehaushalt'!$A$4:$R$275,6,FALSE))</f>
        <v>21-50%</v>
      </c>
      <c r="P60" s="874">
        <f>IF(VLOOKUP(A60,'Charriage - Geschiebehaushalt'!$A$4:$R$275,7,FALSE)="","",VLOOKUP(A60,'Charriage - Geschiebehaushalt'!$A$4:$R$275,7,FALSE))</f>
        <v>5</v>
      </c>
      <c r="Q60" s="874" t="str">
        <f>IF(VLOOKUP(A60,'Charriage - Geschiebehaushalt'!$A$4:$R$275,8,FALSE)="","",VLOOKUP(A60,'Charriage - Geschiebehaushalt'!$A$4:$R$275,8,FALSE))</f>
        <v>dépôt donc pas de problème de charriage</v>
      </c>
      <c r="R60" s="875">
        <f>IF(VLOOKUP(A60,'Charriage - Geschiebehaushalt'!$A$4:$R$275,9,FALSE)="","",VLOOKUP(A60,'Charriage - Geschiebehaushalt'!$A$4:$R$275,9,FALSE))</f>
        <v>0.31456433070312401</v>
      </c>
      <c r="S60" s="876" t="str">
        <f>IF(VLOOKUP(A60,'Charriage - Geschiebehaushalt'!$A$4:$R$275,10,FALSE)="","",VLOOKUP(A60,'Charriage - Geschiebehaushalt'!$A$4:$R$275,10,FALSE))</f>
        <v>la remobilisation des sédiments est perturbée</v>
      </c>
      <c r="T60" s="875">
        <f>IF(VLOOKUP(A60,'Charriage - Geschiebehaushalt'!$A$4:$R$275,11,FALSE)="","",VLOOKUP(A60,'Charriage - Geschiebehaushalt'!$A$4:$R$275,11,FALSE))</f>
        <v>9.2981215224000005E-2</v>
      </c>
      <c r="U60" s="876" t="str">
        <f>IF(VLOOKUP(A60,'Charriage - Geschiebehaushalt'!$A$4:$R$275,12,FALSE)="","",VLOOKUP(A60,'Charriage - Geschiebehaushalt'!$A$4:$R$275,12,FALSE))</f>
        <v>déficit dans les formations pionnières</v>
      </c>
      <c r="V60" s="877" t="str">
        <f>IF(VLOOKUP(A60,'Charriage - Geschiebehaushalt'!$A$4:$R$275,13,FALSE)="","",VLOOKUP(A60,'Charriage - Geschiebehaushalt'!$A$4:$R$275,13,FALSE))</f>
        <v/>
      </c>
      <c r="W60" s="877" t="str">
        <f>IF(VLOOKUP(A60,'Charriage - Geschiebehaushalt'!$A$4:$R$275,14,FALSE)="","",VLOOKUP(A60,'Charriage - Geschiebehaushalt'!$A$4:$R$275,14,FALSE))</f>
        <v/>
      </c>
      <c r="X60" s="877" t="str">
        <f>IF(VLOOKUP(A60,'Charriage - Geschiebehaushalt'!$A$4:$R$275,15,FALSE)="","",VLOOKUP(A60,'Charriage - Geschiebehaushalt'!$A$4:$R$275,15,FALSE))</f>
        <v/>
      </c>
      <c r="Y60" s="879" t="str">
        <f>IF(VLOOKUP(A60,'Charriage - Geschiebehaushalt'!$A$4:$R$275,16,FALSE)="","",VLOOKUP(A60,'Charriage - Geschiebehaushalt'!$A$4:$R$275,16,FALSE))</f>
        <v/>
      </c>
      <c r="Z60" s="763" t="str">
        <f>IF(VLOOKUP(A60,'Charriage - Geschiebehaushalt'!$A$4:$R$275,17,FALSE)="","",VLOOKUP(A60,'Charriage - Geschiebehaushalt'!$A$4:$R$275,17,FALSE))</f>
        <v>21-50%</v>
      </c>
      <c r="AA60" s="880" t="str">
        <f>IF(VLOOKUP(A60,'Charriage - Geschiebehaushalt'!$A$4:$R$275,18,FALSE)="","",VLOOKUP(A60,'Charriage - Geschiebehaushalt'!$A$4:$R$275,18,FALSE))</f>
        <v>a</v>
      </c>
      <c r="AB60" s="737" t="str">
        <f>IF(VLOOKUP(A60,'Charriage - Geschiebehaushalt'!$A$4:$AC$275,19,FALSE)="","",VLOOKUP(A60,'Charriage - Geschiebehaushalt'!$A$4:$AC$275,19,FALSE))</f>
        <v>gering</v>
      </c>
      <c r="AC60" s="738" t="str">
        <f>IF(VLOOKUP(A60,'Charriage - Geschiebehaushalt'!$A$4:$AC$275,20,FALSE)="","",VLOOKUP(A60,'Charriage - Geschiebehaushalt'!$A$4:$AC$275,20,FALSE))</f>
        <v>kein HB</v>
      </c>
      <c r="AD60" s="764" t="str">
        <f>IF(VLOOKUP(A60,'Charriage - Geschiebehaushalt'!$A$4:$AC$275,21,FALSE)="","",VLOOKUP(A60,'Charriage - Geschiebehaushalt'!$A$4:$AC$275,21,FALSE))</f>
        <v>21-50%</v>
      </c>
      <c r="AE60" s="772" t="str">
        <f>IF(VLOOKUP(A60,'Charriage - Geschiebehaushalt'!$A$4:$AC$275,22,FALSE)="","",VLOOKUP(A60,'Charriage - Geschiebehaushalt'!$A$4:$AC$275,22,FALSE))</f>
        <v>21-50%</v>
      </c>
      <c r="AF60" s="787" t="str">
        <f>IF(VLOOKUP(A60,'Charriage - Geschiebehaushalt'!$A$4:$AC$275,23,FALSE)="","",VLOOKUP(A60,'Charriage - Geschiebehaushalt'!$A$4:$AC$275,23,FALSE))</f>
        <v>d</v>
      </c>
      <c r="AG60" s="765" t="str">
        <f>IF(VLOOKUP(A60,'Charriage - Geschiebehaushalt'!$A$4:$AC$275,24,FALSE)="","",VLOOKUP(A60,'Charriage - Geschiebehaushalt'!$A$4:$AC$275,24,FALSE))</f>
        <v/>
      </c>
      <c r="AH60" s="764" t="str">
        <f>IF(VLOOKUP(A60,'Charriage - Geschiebehaushalt'!$A$4:$AC$275,25,FALSE)="","",VLOOKUP(A60,'Charriage - Geschiebehaushalt'!$A$4:$AC$275,25,FALSE))</f>
        <v/>
      </c>
      <c r="AI60" s="433" t="str">
        <f>IF(VLOOKUP(A60,'Charriage - Geschiebehaushalt'!$A$4:$AC$275,26,FALSE)="","",VLOOKUP(A60,'Charriage - Geschiebehaushalt'!$A$4:$AC$275,26,FALSE))</f>
        <v/>
      </c>
      <c r="AJ60" s="434" t="str">
        <f>IF(VLOOKUP(A60,'Charriage - Geschiebehaushalt'!$A$4:$AC$275,27,FALSE)="","",VLOOKUP(A60,'Charriage - Geschiebehaushalt'!$A$4:$AC$275,27,FALSE))</f>
        <v/>
      </c>
      <c r="AK60" s="801" t="str">
        <f>IF(VLOOKUP(A60,'Charriage - Geschiebehaushalt'!$A$4:$AC$275,28,FALSE)="","",VLOOKUP(A60,'Charriage - Geschiebehaushalt'!$A$4:$AC$275,28,FALSE))</f>
        <v>21-50%</v>
      </c>
      <c r="AL60" s="1285" t="str">
        <f>IF(VLOOKUP(A60,'Charriage - Geschiebehaushalt'!$A$4:$AD$275,30,FALSE)="","",VLOOKUP(A60,'Charriage - Geschiebehaushalt'!$A$4:$AD$275,30,FALSE))</f>
        <v>a</v>
      </c>
      <c r="AM60" s="1279" t="str">
        <f>IF(VLOOKUP(A60,'Débit - Abfluss'!$A$4:$K$275,5,FALSE)="","",VLOOKUP(A60,'Débit - Abfluss'!$A$4:$M$275,5,FALSE))</f>
        <v>0-20%</v>
      </c>
      <c r="AN60" s="868" t="str">
        <f>IF(VLOOKUP(A60,'Débit - Abfluss'!$A$4:$K$275,6,FALSE)="","",VLOOKUP(A60,'Débit - Abfluss'!$A$4:$M$275,6,FALSE))</f>
        <v/>
      </c>
      <c r="AO60" s="869" t="str">
        <f>IF(VLOOKUP(A60,'Débit - Abfluss'!$A$4:$K$275,7,FALSE)="","",VLOOKUP(A60,'Débit - Abfluss'!$A$4:$M$275,7,FALSE))</f>
        <v/>
      </c>
      <c r="AP60" s="766" t="str">
        <f>IF(VLOOKUP(A60,'Débit - Abfluss'!$A$4:$K$275,8,FALSE)="","",VLOOKUP(A60,'Débit - Abfluss'!$A$4:$M$275,8,FALSE))</f>
        <v>0-20%</v>
      </c>
      <c r="AQ60" s="678" t="str">
        <f>IF(VLOOKUP(A60,'Débit - Abfluss'!$A$4:$K$275,9,FALSE)="","",VLOOKUP(A60,'Débit - Abfluss'!$A$4:$M$275,9,FALSE))</f>
        <v>10-50%</v>
      </c>
      <c r="AR60" s="767" t="str">
        <f>IF(VLOOKUP(A60,'Débit - Abfluss'!$A$4:$K$275,10,FALSE)="","",VLOOKUP(A60,'Débit - Abfluss'!$A$4:$M$275,10,FALSE))</f>
        <v>0-20%</v>
      </c>
      <c r="AS60" s="767" t="str">
        <f>IF(VLOOKUP(A60,'Débit - Abfluss'!$A$4:$K$275,11,FALSE)="","",VLOOKUP(A60,'Débit - Abfluss'!$A$4:$M$275,11,FALSE))</f>
        <v/>
      </c>
      <c r="AT60" s="744" t="str">
        <f>IF(VLOOKUP(A60,'Débit - Abfluss'!$A$4:$Q$275,12,FALSE)="","",VLOOKUP(A60,'Débit - Abfluss'!$A$4:$Q$275,12,FALSE))</f>
        <v/>
      </c>
      <c r="AU60" s="745" t="str">
        <f>IF(VLOOKUP(A60,'Débit - Abfluss'!$A$4:$Q$275,13,FALSE)="","",VLOOKUP(A60,'Débit - Abfluss'!$A$4:$Q$275,13,FALSE))</f>
        <v/>
      </c>
      <c r="AV60" s="746" t="str">
        <f>IF(VLOOKUP(A60,'Débit - Abfluss'!$A$4:$Q$275,14,FALSE)="","",VLOOKUP(A60,'Débit - Abfluss'!$A$4:$Q$275,14,FALSE))</f>
        <v>BE-112</v>
      </c>
      <c r="AW60" s="768" t="str">
        <f>IF(VLOOKUP(A60,'Débit - Abfluss'!$A$4:$Q$275,15,FALSE)="","",VLOOKUP(A60,'Débit - Abfluss'!$A$4:$Q$275,15,FALSE))</f>
        <v>Simmenfluh</v>
      </c>
      <c r="AX60" s="677" t="str">
        <f>IF(VLOOKUP(A60,'Débit - Abfluss'!$A$4:$Q$275,16,FALSE)="","",VLOOKUP(A60,'Débit - Abfluss'!$A$4:$Q$275,16,FALSE))</f>
        <v/>
      </c>
      <c r="AY60" s="769" t="str">
        <f>IF(VLOOKUP(A60,'Débit - Abfluss'!$A$4:$Q$275,17,FALSE)="","",VLOOKUP(A60,'Débit - Abfluss'!$A$4:$Q$275,17,FALSE))</f>
        <v>0-20%</v>
      </c>
      <c r="AZ60" s="749" t="str">
        <f>IF(VLOOKUP(A60,'Eclusée - Schwall-Sunk'!$A$2:$F$273,5,FALSE)="","",VLOOKUP(A60,'Eclusée - Schwall-Sunk'!$A$2:$F$273,5,FALSE))</f>
        <v>force hydraulique</v>
      </c>
      <c r="BA60" s="750" t="str">
        <f>IF(VLOOKUP(A60,'Eclusée - Schwall-Sunk'!$A$2:$F$273,6,FALSE)="","",VLOOKUP(A60,'Eclusée - Schwall-Sunk'!$A$2:$F$273,6,FALSE))</f>
        <v>Non affecté / nicht betroffen</v>
      </c>
      <c r="BB60" s="751">
        <f>IF(VLOOKUP(A60,'Revitalisation-Revitalisierung'!$A$4:$Z$275,5,FALSE)="","",VLOOKUP(A60,'Revitalisation-Revitalisierung'!$A$4:$Z$275,5,FALSE))</f>
        <v>57.18181818181818</v>
      </c>
      <c r="BC60" s="752">
        <f>IF(VLOOKUP(A60,'Revitalisation-Revitalisierung'!$A$4:$Z$275,6,FALSE)="","",VLOOKUP(A60,'Revitalisation-Revitalisierung'!$A$4:$Z$275,6,FALSE))</f>
        <v>64.023087550559637</v>
      </c>
      <c r="BD60" s="752">
        <f>IF(VLOOKUP(A60,'Revitalisation-Revitalisierung'!$A$4:$Z$275,7,FALSE)="","",VLOOKUP(A60,'Revitalisation-Revitalisierung'!$A$4:$Z$275,7,FALSE))</f>
        <v>6.8181818181818183</v>
      </c>
      <c r="BE60" s="753" t="str">
        <f>IF(VLOOKUP(A60,'Revitalisation-Revitalisierung'!$A$4:$Z$275,8,FALSE)="","",VLOOKUP(A60,'Revitalisation-Revitalisierung'!$A$4:$Z$275,8,FALSE))</f>
        <v>très nécessaire, facile</v>
      </c>
      <c r="BF60" s="754" t="str">
        <f>IF(VLOOKUP(A60,'Revitalisation-Revitalisierung'!$A$4:$Z$275,9,FALSE)="","",VLOOKUP(A60,'Revitalisation-Revitalisierung'!$A$4:$Z$275,9,FALSE))</f>
        <v/>
      </c>
      <c r="BG60" s="754" t="str">
        <f>IF(VLOOKUP(A60,'Revitalisation-Revitalisierung'!$A$4:$Z$275,10,FALSE)="","",VLOOKUP(A60,'Revitalisation-Revitalisierung'!$A$4:$Z$275,10,FALSE))</f>
        <v>K1</v>
      </c>
      <c r="BH60" s="755" t="str">
        <f>IF(VLOOKUP(A60,'Revitalisation-Revitalisierung'!$A$4:$Z$275,11,FALSE)="","",VLOOKUP(A60,'Revitalisation-Revitalisierung'!$A$4:$Z$275,11,FALSE))</f>
        <v/>
      </c>
      <c r="BI60" s="756" t="str">
        <f>IF(VLOOKUP(A60,'Revitalisation-Revitalisierung'!$A$4:$Z$275,12,FALSE)="","",VLOOKUP(A60,'Revitalisation-Revitalisierung'!$A$4:$Z$275,12,FALSE))</f>
        <v/>
      </c>
      <c r="BJ60" s="757" t="str">
        <f>IF(VLOOKUP(A60,'Revitalisation-Revitalisierung'!$A$4:$Z$275,13,FALSE)="","",VLOOKUP(A60,'Revitalisation-Revitalisierung'!$A$4:$Z$275,13,FALSE))</f>
        <v>Très nécessaire, facile / unbedingt nötig, einfach</v>
      </c>
      <c r="BK60" s="870" t="str">
        <f>IF(VLOOKUP(A60,'Revitalisation-Revitalisierung'!$A$4:$Z$275,14,FALSE)="","",VLOOKUP(A60,'Revitalisation-Revitalisierung'!$A$4:$Z$275,14,FALSE))</f>
        <v>a</v>
      </c>
      <c r="BL60" s="758" t="str">
        <f>IF(VLOOKUP(A60,'Revitalisation-Revitalisierung'!$A$4:$Z$275,15,FALSE)="","",VLOOKUP(A60,'Revitalisation-Revitalisierung'!$A$4:$Z$275,15,FALSE))</f>
        <v>mittel</v>
      </c>
      <c r="BM60" s="759" t="str">
        <f>IF(VLOOKUP(A60,'Revitalisation-Revitalisierung'!$A$4:$Z$275,16,FALSE)="","",VLOOKUP(A60,'Revitalisation-Revitalisierung'!$A$4:$Z$275,16,FALSE))</f>
        <v>gross</v>
      </c>
      <c r="BN60" s="759" t="str">
        <f>IF(VLOOKUP(A60,'Revitalisation-Revitalisierung'!$A$4:$Z$275,17,FALSE)="","",VLOOKUP(A60,'Revitalisation-Revitalisierung'!$A$4:$Z$275,17,FALSE))</f>
        <v>-</v>
      </c>
      <c r="BO60" s="760" t="str">
        <f>IF(VLOOKUP(A60,'Revitalisation-Revitalisierung'!$A$4:$Z$275,18,FALSE)="","",VLOOKUP(A60,'Revitalisation-Revitalisierung'!$A$4:$Z$275,18,FALSE))</f>
        <v>Très nécessaire, facile / unbedingt nötig, einfach</v>
      </c>
      <c r="BP60" s="761" t="str">
        <f>IF(VLOOKUP(A60,'Revitalisation-Revitalisierung'!$A$4:$Z$275,19,FALSE)="","",VLOOKUP(A60,'Revitalisation-Revitalisierung'!$A$4:$Z$275,19,FALSE))</f>
        <v>Très nécessaire, facile / unbedingt nötig, einfach</v>
      </c>
      <c r="BQ60" s="759" t="str">
        <f>IF(VLOOKUP(A60,'Revitalisation-Revitalisierung'!$A$4:$Z$275,20,FALSE)="","",VLOOKUP(A60,'Revitalisation-Revitalisierung'!$A$4:$Z$275,20,FALSE))</f>
        <v>d</v>
      </c>
      <c r="BR60" s="759" t="str">
        <f>IF(VLOOKUP(A60,'Revitalisation-Revitalisierung'!$A$4:$Z$275,21,FALSE)="","",VLOOKUP(A60,'Revitalisation-Revitalisierung'!$A$4:$Z$275,21,FALSE))</f>
        <v/>
      </c>
      <c r="BS60" s="762" t="str">
        <f>IF(VLOOKUP(A60,'Revitalisation-Revitalisierung'!$A$4:$Z$275,22,FALSE)="","",VLOOKUP(A60,'Revitalisation-Revitalisierung'!$A$4:$Z$275,22,FALSE))</f>
        <v/>
      </c>
      <c r="BT60" s="703" t="str">
        <f>IF(VLOOKUP(A60,'Revitalisation-Revitalisierung'!$A$4:$Z$275,23,FALSE)="","",VLOOKUP(A60,'Revitalisation-Revitalisierung'!$A$4:$Z$275,23,FALSE))</f>
        <v/>
      </c>
      <c r="BU60" s="706" t="str">
        <f>IF(VLOOKUP(A60,'Revitalisation-Revitalisierung'!$A$4:$Z$275,24,FALSE)="","",VLOOKUP(A60,'Revitalisation-Revitalisierung'!$A$4:$Z$275,24,FALSE))</f>
        <v>einfach?</v>
      </c>
      <c r="BV60" s="761" t="str">
        <f>IF(VLOOKUP(A60,'Revitalisation-Revitalisierung'!$A$4:$Z$275,25,FALSE)="","",VLOOKUP(A60,'Revitalisation-Revitalisierung'!$A$4:$Z$275,25,FALSE))</f>
        <v>Très nécessaire, facile / unbedingt nötig, einfach</v>
      </c>
      <c r="BW60" s="871" t="str">
        <f>IF(VLOOKUP(A60,'Revitalisation-Revitalisierung'!$A$4:$AA$275,27,FALSE)="","",VLOOKUP(A60,'Revitalisation-Revitalisierung'!$A$4:$AA$275,27,FALSE))</f>
        <v>a</v>
      </c>
    </row>
    <row r="61" spans="1:75" ht="66.599999999999994" customHeight="1" x14ac:dyDescent="0.25">
      <c r="A61" s="935">
        <v>77</v>
      </c>
      <c r="B61" s="856">
        <f>IF(VLOOKUP(A61,'Données de base - Grunddaten'!$A$2:$M$297,2,FALSE)="","",VLOOKUP(A61,'Données de base - Grunddaten'!$A$2:$M$297,2,FALSE))</f>
        <v>1</v>
      </c>
      <c r="C61" s="857" t="str">
        <f>IF(VLOOKUP(A61,'Données de base - Grunddaten'!$A$2:$M$297,3,FALSE)="","",VLOOKUP(A61,'Données de base - Grunddaten'!$A$2:$M$297,3,FALSE))</f>
        <v>Niedermettlisau</v>
      </c>
      <c r="D61" s="857" t="str">
        <f>IF(VLOOKUP(A61,'Données de base - Grunddaten'!$A$2:$M$297,4,FALSE)="","",VLOOKUP(A61,'Données de base - Grunddaten'!$A$2:$M$297,4,FALSE))</f>
        <v>Simme</v>
      </c>
      <c r="E61" s="857" t="str">
        <f>IF(VLOOKUP(A61,'Données de base - Grunddaten'!$A$2:$M$297,5,FALSE)="","",VLOOKUP(A61,'Données de base - Grunddaten'!$A$2:$M$297,5,FALSE))</f>
        <v>BE</v>
      </c>
      <c r="F61" s="857" t="str">
        <f>IF(VLOOKUP(A61,'Données de base - Grunddaten'!$A$2:$M$297,6,FALSE)="","",VLOOKUP(A61,'Données de base - Grunddaten'!$A$2:$M$297,6,FALSE))</f>
        <v>Préalpes</v>
      </c>
      <c r="G61" s="857" t="str">
        <f>IF(VLOOKUP(A61,'Données de base - Grunddaten'!$A$2:$M$297,7,FALSE)="","",VLOOKUP(A61,'Données de base - Grunddaten'!$A$2:$M$297,7,FALSE))</f>
        <v>Montagnard inf.</v>
      </c>
      <c r="H61" s="857">
        <f>IF(VLOOKUP(A61,'Données de base - Grunddaten'!$A$2:$M$297,8,FALSE)="","",VLOOKUP(A61,'Données de base - Grunddaten'!$A$2:$M$297,8,FALSE))</f>
        <v>710</v>
      </c>
      <c r="I61" s="857">
        <f>IF(VLOOKUP(A61,'Données de base - Grunddaten'!$A$2:$M$297,9,FALSE)="","",VLOOKUP(A61,'Données de base - Grunddaten'!$A$2:$M$297,9,FALSE))</f>
        <v>1992</v>
      </c>
      <c r="J61" s="857">
        <f>IF(VLOOKUP(A61,'Données de base - Grunddaten'!$A$2:$M$297,10,FALSE)="","",VLOOKUP(A61,'Données de base - Grunddaten'!$A$2:$M$297,10,FALSE))</f>
        <v>41</v>
      </c>
      <c r="K61" s="857" t="str">
        <f>IF(VLOOKUP(A61,'Données de base - Grunddaten'!$A$2:$M$297,11,FALSE)="","",VLOOKUP(A61,'Données de base - Grunddaten'!$A$2:$M$297,11,FALSE))</f>
        <v>Cours d'eau naturels de l'étage montagnard</v>
      </c>
      <c r="L61" s="857" t="str">
        <f>IF(VLOOKUP(A61,'Données de base - Grunddaten'!$A$2:$M$297,12,FALSE)="","",VLOOKUP(A61,'Données de base - Grunddaten'!$A$2:$M$297,12,FALSE))</f>
        <v>en méandres migrants</v>
      </c>
      <c r="M61" s="858" t="str">
        <f>IF(VLOOKUP(A61,'Données de base - Grunddaten'!$A$2:$M$297,13,FALSE)="","",VLOOKUP(A61,'Données de base - Grunddaten'!$A$2:$M$297,13,FALSE))</f>
        <v>en méandres migrants</v>
      </c>
      <c r="N61" s="872" t="str">
        <f>IF(VLOOKUP(A61,'Charriage - Geschiebehaushalt'!$A$4:$R$275,5,FALSE)="","",VLOOKUP(A61,'Charriage - Geschiebehaushalt'!$A$4:$R$275,5,FALSE))</f>
        <v>pertinent</v>
      </c>
      <c r="O61" s="873" t="str">
        <f>IF(VLOOKUP(A61,'Charriage - Geschiebehaushalt'!$A$4:$R$275,6,FALSE)="","",VLOOKUP(A61,'Charriage - Geschiebehaushalt'!$A$4:$R$275,6,FALSE))</f>
        <v>21-50%</v>
      </c>
      <c r="P61" s="874" t="str">
        <f>IF(VLOOKUP(A61,'Charriage - Geschiebehaushalt'!$A$4:$R$275,7,FALSE)="","",VLOOKUP(A61,'Charriage - Geschiebehaushalt'!$A$4:$R$275,7,FALSE))</f>
        <v/>
      </c>
      <c r="Q61" s="874" t="str">
        <f>IF(VLOOKUP(A61,'Charriage - Geschiebehaushalt'!$A$4:$R$275,8,FALSE)="","",VLOOKUP(A61,'Charriage - Geschiebehaushalt'!$A$4:$R$275,8,FALSE))</f>
        <v>non documenté</v>
      </c>
      <c r="R61" s="875">
        <f>IF(VLOOKUP(A61,'Charriage - Geschiebehaushalt'!$A$4:$R$275,9,FALSE)="","",VLOOKUP(A61,'Charriage - Geschiebehaushalt'!$A$4:$R$275,9,FALSE))</f>
        <v>0.17592207217650099</v>
      </c>
      <c r="S61" s="876" t="str">
        <f>IF(VLOOKUP(A61,'Charriage - Geschiebehaushalt'!$A$4:$R$275,10,FALSE)="","",VLOOKUP(A61,'Charriage - Geschiebehaushalt'!$A$4:$R$275,10,FALSE))</f>
        <v>pas ou faiblement entravé</v>
      </c>
      <c r="T61" s="875">
        <f>IF(VLOOKUP(A61,'Charriage - Geschiebehaushalt'!$A$4:$R$275,11,FALSE)="","",VLOOKUP(A61,'Charriage - Geschiebehaushalt'!$A$4:$R$275,11,FALSE))</f>
        <v>0.31111467747999999</v>
      </c>
      <c r="U61" s="876" t="str">
        <f>IF(VLOOKUP(A61,'Charriage - Geschiebehaushalt'!$A$4:$R$275,12,FALSE)="","",VLOOKUP(A61,'Charriage - Geschiebehaushalt'!$A$4:$R$275,12,FALSE))</f>
        <v>déficit dans les formations pionnières</v>
      </c>
      <c r="V61" s="877" t="str">
        <f>IF(VLOOKUP(A61,'Charriage - Geschiebehaushalt'!$A$4:$R$275,13,FALSE)="","",VLOOKUP(A61,'Charriage - Geschiebehaushalt'!$A$4:$R$275,13,FALSE))</f>
        <v/>
      </c>
      <c r="W61" s="877" t="str">
        <f>IF(VLOOKUP(A61,'Charriage - Geschiebehaushalt'!$A$4:$R$275,14,FALSE)="","",VLOOKUP(A61,'Charriage - Geschiebehaushalt'!$A$4:$R$275,14,FALSE))</f>
        <v/>
      </c>
      <c r="X61" s="877" t="str">
        <f>IF(VLOOKUP(A61,'Charriage - Geschiebehaushalt'!$A$4:$R$275,15,FALSE)="","",VLOOKUP(A61,'Charriage - Geschiebehaushalt'!$A$4:$R$275,15,FALSE))</f>
        <v/>
      </c>
      <c r="Y61" s="879" t="str">
        <f>IF(VLOOKUP(A61,'Charriage - Geschiebehaushalt'!$A$4:$R$275,16,FALSE)="","",VLOOKUP(A61,'Charriage - Geschiebehaushalt'!$A$4:$R$275,16,FALSE))</f>
        <v/>
      </c>
      <c r="Z61" s="763" t="str">
        <f>IF(VLOOKUP(A61,'Charriage - Geschiebehaushalt'!$A$4:$R$275,17,FALSE)="","",VLOOKUP(A61,'Charriage - Geschiebehaushalt'!$A$4:$R$275,17,FALSE))</f>
        <v>21-50%</v>
      </c>
      <c r="AA61" s="880" t="str">
        <f>IF(VLOOKUP(A61,'Charriage - Geschiebehaushalt'!$A$4:$R$275,18,FALSE)="","",VLOOKUP(A61,'Charriage - Geschiebehaushalt'!$A$4:$R$275,18,FALSE))</f>
        <v>a</v>
      </c>
      <c r="AB61" s="737" t="str">
        <f>IF(VLOOKUP(A61,'Charriage - Geschiebehaushalt'!$A$4:$AC$275,19,FALSE)="","",VLOOKUP(A61,'Charriage - Geschiebehaushalt'!$A$4:$AC$275,19,FALSE))</f>
        <v>gering</v>
      </c>
      <c r="AC61" s="738" t="str">
        <f>IF(VLOOKUP(A61,'Charriage - Geschiebehaushalt'!$A$4:$AC$275,20,FALSE)="","",VLOOKUP(A61,'Charriage - Geschiebehaushalt'!$A$4:$AC$275,20,FALSE))</f>
        <v>kein HB</v>
      </c>
      <c r="AD61" s="764" t="str">
        <f>IF(VLOOKUP(A61,'Charriage - Geschiebehaushalt'!$A$4:$AC$275,21,FALSE)="","",VLOOKUP(A61,'Charriage - Geschiebehaushalt'!$A$4:$AC$275,21,FALSE))</f>
        <v>21-50%</v>
      </c>
      <c r="AE61" s="772" t="str">
        <f>IF(VLOOKUP(A61,'Charriage - Geschiebehaushalt'!$A$4:$AC$275,22,FALSE)="","",VLOOKUP(A61,'Charriage - Geschiebehaushalt'!$A$4:$AC$275,22,FALSE))</f>
        <v>21-50%</v>
      </c>
      <c r="AF61" s="787" t="str">
        <f>IF(VLOOKUP(A61,'Charriage - Geschiebehaushalt'!$A$4:$AC$275,23,FALSE)="","",VLOOKUP(A61,'Charriage - Geschiebehaushalt'!$A$4:$AC$275,23,FALSE))</f>
        <v>d</v>
      </c>
      <c r="AG61" s="765" t="str">
        <f>IF(VLOOKUP(A61,'Charriage - Geschiebehaushalt'!$A$4:$AC$275,24,FALSE)="","",VLOOKUP(A61,'Charriage - Geschiebehaushalt'!$A$4:$AC$275,24,FALSE))</f>
        <v/>
      </c>
      <c r="AH61" s="764" t="str">
        <f>IF(VLOOKUP(A61,'Charriage - Geschiebehaushalt'!$A$4:$AC$275,25,FALSE)="","",VLOOKUP(A61,'Charriage - Geschiebehaushalt'!$A$4:$AC$275,25,FALSE))</f>
        <v/>
      </c>
      <c r="AI61" s="433" t="str">
        <f>IF(VLOOKUP(A61,'Charriage - Geschiebehaushalt'!$A$4:$AC$275,26,FALSE)="","",VLOOKUP(A61,'Charriage - Geschiebehaushalt'!$A$4:$AC$275,26,FALSE))</f>
        <v/>
      </c>
      <c r="AJ61" s="434" t="str">
        <f>IF(VLOOKUP(A61,'Charriage - Geschiebehaushalt'!$A$4:$AC$275,27,FALSE)="","",VLOOKUP(A61,'Charriage - Geschiebehaushalt'!$A$4:$AC$275,27,FALSE))</f>
        <v/>
      </c>
      <c r="AK61" s="801" t="str">
        <f>IF(VLOOKUP(A61,'Charriage - Geschiebehaushalt'!$A$4:$AC$275,28,FALSE)="","",VLOOKUP(A61,'Charriage - Geschiebehaushalt'!$A$4:$AC$275,28,FALSE))</f>
        <v>21-50%</v>
      </c>
      <c r="AL61" s="1285" t="str">
        <f>IF(VLOOKUP(A61,'Charriage - Geschiebehaushalt'!$A$4:$AD$275,30,FALSE)="","",VLOOKUP(A61,'Charriage - Geschiebehaushalt'!$A$4:$AD$275,30,FALSE))</f>
        <v>a</v>
      </c>
      <c r="AM61" s="1279" t="str">
        <f>IF(VLOOKUP(A61,'Débit - Abfluss'!$A$4:$K$275,5,FALSE)="","",VLOOKUP(A61,'Débit - Abfluss'!$A$4:$M$275,5,FALSE))</f>
        <v>100%</v>
      </c>
      <c r="AN61" s="868" t="str">
        <f>IF(VLOOKUP(A61,'Débit - Abfluss'!$A$4:$K$275,6,FALSE)="","",VLOOKUP(A61,'Débit - Abfluss'!$A$4:$M$275,6,FALSE))</f>
        <v>aucune information supplémentaire</v>
      </c>
      <c r="AO61" s="869" t="str">
        <f>IF(VLOOKUP(A61,'Débit - Abfluss'!$A$4:$K$275,7,FALSE)="","",VLOOKUP(A61,'Débit - Abfluss'!$A$4:$M$275,7,FALSE))</f>
        <v>aucune information supplémentaire</v>
      </c>
      <c r="AP61" s="766" t="str">
        <f>IF(VLOOKUP(A61,'Débit - Abfluss'!$A$4:$K$275,8,FALSE)="","",VLOOKUP(A61,'Débit - Abfluss'!$A$4:$M$275,8,FALSE))</f>
        <v>100%</v>
      </c>
      <c r="AQ61" s="742" t="str">
        <f>IF(VLOOKUP(A61,'Débit - Abfluss'!$A$4:$K$275,9,FALSE)="","",VLOOKUP(A61,'Débit - Abfluss'!$A$4:$M$275,9,FALSE))</f>
        <v>-</v>
      </c>
      <c r="AR61" s="767" t="str">
        <f>IF(VLOOKUP(A61,'Débit - Abfluss'!$A$4:$K$275,10,FALSE)="","",VLOOKUP(A61,'Débit - Abfluss'!$A$4:$M$275,10,FALSE))</f>
        <v>100%</v>
      </c>
      <c r="AS61" s="767" t="str">
        <f>IF(VLOOKUP(A61,'Débit - Abfluss'!$A$4:$K$275,11,FALSE)="","",VLOOKUP(A61,'Débit - Abfluss'!$A$4:$M$275,11,FALSE))</f>
        <v/>
      </c>
      <c r="AT61" s="744" t="str">
        <f>IF(VLOOKUP(A61,'Débit - Abfluss'!$A$4:$Q$275,12,FALSE)="","",VLOOKUP(A61,'Débit - Abfluss'!$A$4:$Q$275,12,FALSE))</f>
        <v/>
      </c>
      <c r="AU61" s="745" t="str">
        <f>IF(VLOOKUP(A61,'Débit - Abfluss'!$A$4:$Q$275,13,FALSE)="","",VLOOKUP(A61,'Débit - Abfluss'!$A$4:$Q$275,13,FALSE))</f>
        <v/>
      </c>
      <c r="AV61" s="746" t="str">
        <f>IF(VLOOKUP(A61,'Débit - Abfluss'!$A$4:$Q$275,14,FALSE)="","",VLOOKUP(A61,'Débit - Abfluss'!$A$4:$Q$275,14,FALSE))</f>
        <v/>
      </c>
      <c r="AW61" s="768" t="str">
        <f>IF(VLOOKUP(A61,'Débit - Abfluss'!$A$4:$Q$275,15,FALSE)="","",VLOOKUP(A61,'Débit - Abfluss'!$A$4:$Q$275,15,FALSE))</f>
        <v/>
      </c>
      <c r="AX61" s="677" t="str">
        <f>IF(VLOOKUP(A61,'Débit - Abfluss'!$A$4:$Q$275,16,FALSE)="","",VLOOKUP(A61,'Débit - Abfluss'!$A$4:$Q$275,16,FALSE))</f>
        <v/>
      </c>
      <c r="AY61" s="769" t="str">
        <f>IF(VLOOKUP(A61,'Débit - Abfluss'!$A$4:$Q$275,17,FALSE)="","",VLOOKUP(A61,'Débit - Abfluss'!$A$4:$Q$275,17,FALSE))</f>
        <v>100%</v>
      </c>
      <c r="AZ61" s="749" t="str">
        <f>IF(VLOOKUP(A61,'Eclusée - Schwall-Sunk'!$A$2:$F$273,5,FALSE)="","",VLOOKUP(A61,'Eclusée - Schwall-Sunk'!$A$2:$F$273,5,FALSE))</f>
        <v/>
      </c>
      <c r="BA61" s="750" t="str">
        <f>IF(VLOOKUP(A61,'Eclusée - Schwall-Sunk'!$A$2:$F$273,6,FALSE)="","",VLOOKUP(A61,'Eclusée - Schwall-Sunk'!$A$2:$F$273,6,FALSE))</f>
        <v>Non affecté / nicht betroffen</v>
      </c>
      <c r="BB61" s="751">
        <f>IF(VLOOKUP(A61,'Revitalisation-Revitalisierung'!$A$4:$Z$275,5,FALSE)="","",VLOOKUP(A61,'Revitalisation-Revitalisierung'!$A$4:$Z$275,5,FALSE))</f>
        <v>6.1363636363636367</v>
      </c>
      <c r="BC61" s="752">
        <f>IF(VLOOKUP(A61,'Revitalisation-Revitalisierung'!$A$4:$Z$275,6,FALSE)="","",VLOOKUP(A61,'Revitalisation-Revitalisierung'!$A$4:$Z$275,6,FALSE))</f>
        <v>12.491291914629956</v>
      </c>
      <c r="BD61" s="752">
        <f>IF(VLOOKUP(A61,'Revitalisation-Revitalisierung'!$A$4:$Z$275,7,FALSE)="","",VLOOKUP(A61,'Revitalisation-Revitalisierung'!$A$4:$Z$275,7,FALSE))</f>
        <v>6.3636363636363633</v>
      </c>
      <c r="BE61" s="753" t="str">
        <f>IF(VLOOKUP(A61,'Revitalisation-Revitalisierung'!$A$4:$Z$275,8,FALSE)="","",VLOOKUP(A61,'Revitalisation-Revitalisierung'!$A$4:$Z$275,8,FALSE))</f>
        <v>peu nécessaire, facile</v>
      </c>
      <c r="BF61" s="754" t="str">
        <f>IF(VLOOKUP(A61,'Revitalisation-Revitalisierung'!$A$4:$Z$275,9,FALSE)="","",VLOOKUP(A61,'Revitalisation-Revitalisierung'!$A$4:$Z$275,9,FALSE))</f>
        <v/>
      </c>
      <c r="BG61" s="754" t="str">
        <f>IF(VLOOKUP(A61,'Revitalisation-Revitalisierung'!$A$4:$Z$275,10,FALSE)="","",VLOOKUP(A61,'Revitalisation-Revitalisierung'!$A$4:$Z$275,10,FALSE))</f>
        <v>K3</v>
      </c>
      <c r="BH61" s="755" t="str">
        <f>IF(VLOOKUP(A61,'Revitalisation-Revitalisierung'!$A$4:$Z$275,11,FALSE)="","",VLOOKUP(A61,'Revitalisation-Revitalisierung'!$A$4:$Z$275,11,FALSE))</f>
        <v/>
      </c>
      <c r="BI61" s="756" t="str">
        <f>IF(VLOOKUP(A61,'Revitalisation-Revitalisierung'!$A$4:$Z$275,12,FALSE)="","",VLOOKUP(A61,'Revitalisation-Revitalisierung'!$A$4:$Z$275,12,FALSE))</f>
        <v/>
      </c>
      <c r="BJ61" s="757" t="str">
        <f>IF(VLOOKUP(A61,'Revitalisation-Revitalisierung'!$A$4:$Z$275,13,FALSE)="","",VLOOKUP(A61,'Revitalisation-Revitalisierung'!$A$4:$Z$275,13,FALSE))</f>
        <v>Partiellement nécessaire, facile / teilweise nötig, einfach</v>
      </c>
      <c r="BK61" s="870" t="str">
        <f>IF(VLOOKUP(A61,'Revitalisation-Revitalisierung'!$A$4:$Z$275,14,FALSE)="","",VLOOKUP(A61,'Revitalisation-Revitalisierung'!$A$4:$Z$275,14,FALSE))</f>
        <v>a</v>
      </c>
      <c r="BL61" s="758" t="str">
        <f>IF(VLOOKUP(A61,'Revitalisation-Revitalisierung'!$A$4:$Z$275,15,FALSE)="","",VLOOKUP(A61,'Revitalisation-Revitalisierung'!$A$4:$Z$275,15,FALSE))</f>
        <v>gross</v>
      </c>
      <c r="BM61" s="759" t="str">
        <f>IF(VLOOKUP(A61,'Revitalisation-Revitalisierung'!$A$4:$Z$275,16,FALSE)="","",VLOOKUP(A61,'Revitalisation-Revitalisierung'!$A$4:$Z$275,16,FALSE))</f>
        <v>mittel</v>
      </c>
      <c r="BN61" s="759" t="str">
        <f>IF(VLOOKUP(A61,'Revitalisation-Revitalisierung'!$A$4:$Z$275,17,FALSE)="","",VLOOKUP(A61,'Revitalisation-Revitalisierung'!$A$4:$Z$275,17,FALSE))</f>
        <v>-</v>
      </c>
      <c r="BO61" s="760" t="str">
        <f>IF(VLOOKUP(A61,'Revitalisation-Revitalisierung'!$A$4:$Z$275,18,FALSE)="","",VLOOKUP(A61,'Revitalisation-Revitalisierung'!$A$4:$Z$275,18,FALSE))</f>
        <v>Partiellement nécessaire, facile / teilweise nötig, einfach</v>
      </c>
      <c r="BP61" s="761" t="str">
        <f>IF(VLOOKUP(A61,'Revitalisation-Revitalisierung'!$A$4:$Z$275,19,FALSE)="","",VLOOKUP(A61,'Revitalisation-Revitalisierung'!$A$4:$Z$275,19,FALSE))</f>
        <v>Partiellement nécessaire, facile / teilweise nötig, einfach</v>
      </c>
      <c r="BQ61" s="759" t="str">
        <f>IF(VLOOKUP(A61,'Revitalisation-Revitalisierung'!$A$4:$Z$275,20,FALSE)="","",VLOOKUP(A61,'Revitalisation-Revitalisierung'!$A$4:$Z$275,20,FALSE))</f>
        <v>d</v>
      </c>
      <c r="BR61" s="759" t="str">
        <f>IF(VLOOKUP(A61,'Revitalisation-Revitalisierung'!$A$4:$Z$275,21,FALSE)="","",VLOOKUP(A61,'Revitalisation-Revitalisierung'!$A$4:$Z$275,21,FALSE))</f>
        <v/>
      </c>
      <c r="BS61" s="762" t="str">
        <f>IF(VLOOKUP(A61,'Revitalisation-Revitalisierung'!$A$4:$Z$275,22,FALSE)="","",VLOOKUP(A61,'Revitalisation-Revitalisierung'!$A$4:$Z$275,22,FALSE))</f>
        <v/>
      </c>
      <c r="BT61" s="703" t="str">
        <f>IF(VLOOKUP(A61,'Revitalisation-Revitalisierung'!$A$4:$Z$275,23,FALSE)="","",VLOOKUP(A61,'Revitalisation-Revitalisierung'!$A$4:$Z$275,23,FALSE))</f>
        <v/>
      </c>
      <c r="BU61" s="699" t="str">
        <f>IF(VLOOKUP(A61,'Revitalisation-Revitalisierung'!$A$4:$Z$275,24,FALSE)="","",VLOOKUP(A61,'Revitalisation-Revitalisierung'!$A$4:$Z$275,24,FALSE))</f>
        <v>einfach?</v>
      </c>
      <c r="BV61" s="761" t="str">
        <f>IF(VLOOKUP(A61,'Revitalisation-Revitalisierung'!$A$4:$Z$275,25,FALSE)="","",VLOOKUP(A61,'Revitalisation-Revitalisierung'!$A$4:$Z$275,25,FALSE))</f>
        <v>Partiellement nécessaire, facile / teilweise nötig, einfach</v>
      </c>
      <c r="BW61" s="871" t="str">
        <f>IF(VLOOKUP(A61,'Revitalisation-Revitalisierung'!$A$4:$AA$275,27,FALSE)="","",VLOOKUP(A61,'Revitalisation-Revitalisierung'!$A$4:$AA$275,27,FALSE))</f>
        <v>a</v>
      </c>
    </row>
    <row r="62" spans="1:75" ht="66.599999999999994" customHeight="1" x14ac:dyDescent="0.25">
      <c r="A62" s="935">
        <v>78</v>
      </c>
      <c r="B62" s="856">
        <f>IF(VLOOKUP(A62,'Données de base - Grunddaten'!$A$2:$M$297,2,FALSE)="","",VLOOKUP(A62,'Données de base - Grunddaten'!$A$2:$M$297,2,FALSE))</f>
        <v>1</v>
      </c>
      <c r="C62" s="857" t="str">
        <f>IF(VLOOKUP(A62,'Données de base - Grunddaten'!$A$2:$M$297,3,FALSE)="","",VLOOKUP(A62,'Données de base - Grunddaten'!$A$2:$M$297,3,FALSE))</f>
        <v>Engstlige: Bim Stei–Oybedly</v>
      </c>
      <c r="D62" s="857" t="str">
        <f>IF(VLOOKUP(A62,'Données de base - Grunddaten'!$A$2:$M$297,4,FALSE)="","",VLOOKUP(A62,'Données de base - Grunddaten'!$A$2:$M$297,4,FALSE))</f>
        <v>Engstlige</v>
      </c>
      <c r="E62" s="857" t="str">
        <f>IF(VLOOKUP(A62,'Données de base - Grunddaten'!$A$2:$M$297,5,FALSE)="","",VLOOKUP(A62,'Données de base - Grunddaten'!$A$2:$M$297,5,FALSE))</f>
        <v>BE</v>
      </c>
      <c r="F62" s="857" t="str">
        <f>IF(VLOOKUP(A62,'Données de base - Grunddaten'!$A$2:$M$297,6,FALSE)="","",VLOOKUP(A62,'Données de base - Grunddaten'!$A$2:$M$297,6,FALSE))</f>
        <v>Alpes septentrionales</v>
      </c>
      <c r="G62" s="857" t="str">
        <f>IF(VLOOKUP(A62,'Données de base - Grunddaten'!$A$2:$M$297,7,FALSE)="","",VLOOKUP(A62,'Données de base - Grunddaten'!$A$2:$M$297,7,FALSE))</f>
        <v>Montagnard sup.</v>
      </c>
      <c r="H62" s="857">
        <f>IF(VLOOKUP(A62,'Données de base - Grunddaten'!$A$2:$M$297,8,FALSE)="","",VLOOKUP(A62,'Données de base - Grunddaten'!$A$2:$M$297,8,FALSE))</f>
        <v>900</v>
      </c>
      <c r="I62" s="857">
        <f>IF(VLOOKUP(A62,'Données de base - Grunddaten'!$A$2:$M$297,9,FALSE)="","",VLOOKUP(A62,'Données de base - Grunddaten'!$A$2:$M$297,9,FALSE))</f>
        <v>1992</v>
      </c>
      <c r="J62" s="857">
        <f>IF(VLOOKUP(A62,'Données de base - Grunddaten'!$A$2:$M$297,10,FALSE)="","",VLOOKUP(A62,'Données de base - Grunddaten'!$A$2:$M$297,10,FALSE))</f>
        <v>41</v>
      </c>
      <c r="K62" s="857" t="str">
        <f>IF(VLOOKUP(A62,'Données de base - Grunddaten'!$A$2:$M$297,11,FALSE)="","",VLOOKUP(A62,'Données de base - Grunddaten'!$A$2:$M$297,11,FALSE))</f>
        <v>Cours d'eau naturels de l'étage montagnard</v>
      </c>
      <c r="L62" s="857" t="str">
        <f>IF(VLOOKUP(A62,'Données de base - Grunddaten'!$A$2:$M$297,12,FALSE)="","",VLOOKUP(A62,'Données de base - Grunddaten'!$A$2:$M$297,12,FALSE))</f>
        <v>en tresses</v>
      </c>
      <c r="M62" s="858" t="str">
        <f>IF(VLOOKUP(A62,'Données de base - Grunddaten'!$A$2:$M$297,13,FALSE)="","",VLOOKUP(A62,'Données de base - Grunddaten'!$A$2:$M$297,13,FALSE))</f>
        <v>en tresses</v>
      </c>
      <c r="N62" s="872" t="str">
        <f>IF(VLOOKUP(A62,'Charriage - Geschiebehaushalt'!$A$4:$R$275,5,FALSE)="","",VLOOKUP(A62,'Charriage - Geschiebehaushalt'!$A$4:$R$275,5,FALSE))</f>
        <v>pertinent</v>
      </c>
      <c r="O62" s="873" t="str">
        <f>IF(VLOOKUP(A62,'Charriage - Geschiebehaushalt'!$A$4:$R$275,6,FALSE)="","",VLOOKUP(A62,'Charriage - Geschiebehaushalt'!$A$4:$R$275,6,FALSE))</f>
        <v>0-20%</v>
      </c>
      <c r="P62" s="874" t="str">
        <f>IF(VLOOKUP(A62,'Charriage - Geschiebehaushalt'!$A$4:$R$275,7,FALSE)="","",VLOOKUP(A62,'Charriage - Geschiebehaushalt'!$A$4:$R$275,7,FALSE))</f>
        <v/>
      </c>
      <c r="Q62" s="874" t="str">
        <f>IF(VLOOKUP(A62,'Charriage - Geschiebehaushalt'!$A$4:$R$275,8,FALSE)="","",VLOOKUP(A62,'Charriage - Geschiebehaushalt'!$A$4:$R$275,8,FALSE))</f>
        <v>non documenté</v>
      </c>
      <c r="R62" s="875">
        <f>IF(VLOOKUP(A62,'Charriage - Geschiebehaushalt'!$A$4:$R$275,9,FALSE)="","",VLOOKUP(A62,'Charriage - Geschiebehaushalt'!$A$4:$R$275,9,FALSE))</f>
        <v>6.2442320379716899E-2</v>
      </c>
      <c r="S62" s="876" t="str">
        <f>IF(VLOOKUP(A62,'Charriage - Geschiebehaushalt'!$A$4:$R$275,10,FALSE)="","",VLOOKUP(A62,'Charriage - Geschiebehaushalt'!$A$4:$R$275,10,FALSE))</f>
        <v>pas ou faiblement entravé</v>
      </c>
      <c r="T62" s="875">
        <f>IF(VLOOKUP(A62,'Charriage - Geschiebehaushalt'!$A$4:$R$275,11,FALSE)="","",VLOOKUP(A62,'Charriage - Geschiebehaushalt'!$A$4:$R$275,11,FALSE))</f>
        <v>0.35051690992000001</v>
      </c>
      <c r="U62" s="876" t="str">
        <f>IF(VLOOKUP(A62,'Charriage - Geschiebehaushalt'!$A$4:$R$275,12,FALSE)="","",VLOOKUP(A62,'Charriage - Geschiebehaushalt'!$A$4:$R$275,12,FALSE))</f>
        <v>déficit non apparent en charriage ou en remobilisation des sédiments</v>
      </c>
      <c r="V62" s="877" t="str">
        <f>IF(VLOOKUP(A62,'Charriage - Geschiebehaushalt'!$A$4:$R$275,13,FALSE)="","",VLOOKUP(A62,'Charriage - Geschiebehaushalt'!$A$4:$R$275,13,FALSE))</f>
        <v/>
      </c>
      <c r="W62" s="877" t="str">
        <f>IF(VLOOKUP(A62,'Charriage - Geschiebehaushalt'!$A$4:$R$275,14,FALSE)="","",VLOOKUP(A62,'Charriage - Geschiebehaushalt'!$A$4:$R$275,14,FALSE))</f>
        <v/>
      </c>
      <c r="X62" s="877" t="str">
        <f>IF(VLOOKUP(A62,'Charriage - Geschiebehaushalt'!$A$4:$R$275,15,FALSE)="","",VLOOKUP(A62,'Charriage - Geschiebehaushalt'!$A$4:$R$275,15,FALSE))</f>
        <v/>
      </c>
      <c r="Y62" s="879" t="str">
        <f>IF(VLOOKUP(A62,'Charriage - Geschiebehaushalt'!$A$4:$R$275,16,FALSE)="","",VLOOKUP(A62,'Charriage - Geschiebehaushalt'!$A$4:$R$275,16,FALSE))</f>
        <v/>
      </c>
      <c r="Z62" s="763" t="str">
        <f>IF(VLOOKUP(A62,'Charriage - Geschiebehaushalt'!$A$4:$R$275,17,FALSE)="","",VLOOKUP(A62,'Charriage - Geschiebehaushalt'!$A$4:$R$275,17,FALSE))</f>
        <v>0-20%</v>
      </c>
      <c r="AA62" s="880" t="str">
        <f>IF(VLOOKUP(A62,'Charriage - Geschiebehaushalt'!$A$4:$R$275,18,FALSE)="","",VLOOKUP(A62,'Charriage - Geschiebehaushalt'!$A$4:$R$275,18,FALSE))</f>
        <v>a</v>
      </c>
      <c r="AB62" s="737" t="str">
        <f>IF(VLOOKUP(A62,'Charriage - Geschiebehaushalt'!$A$4:$AC$275,19,FALSE)="","",VLOOKUP(A62,'Charriage - Geschiebehaushalt'!$A$4:$AC$275,19,FALSE))</f>
        <v>gering</v>
      </c>
      <c r="AC62" s="738" t="str">
        <f>IF(VLOOKUP(A62,'Charriage - Geschiebehaushalt'!$A$4:$AC$275,20,FALSE)="","",VLOOKUP(A62,'Charriage - Geschiebehaushalt'!$A$4:$AC$275,20,FALSE))</f>
        <v>kein HB</v>
      </c>
      <c r="AD62" s="764" t="str">
        <f>IF(VLOOKUP(A62,'Charriage - Geschiebehaushalt'!$A$4:$AC$275,21,FALSE)="","",VLOOKUP(A62,'Charriage - Geschiebehaushalt'!$A$4:$AC$275,21,FALSE))</f>
        <v>21-50%</v>
      </c>
      <c r="AE62" s="772" t="str">
        <f>IF(VLOOKUP(A62,'Charriage - Geschiebehaushalt'!$A$4:$AC$275,22,FALSE)="","",VLOOKUP(A62,'Charriage - Geschiebehaushalt'!$A$4:$AC$275,22,FALSE))</f>
        <v>21-50%</v>
      </c>
      <c r="AF62" s="787" t="str">
        <f>IF(VLOOKUP(A62,'Charriage - Geschiebehaushalt'!$A$4:$AC$275,23,FALSE)="","",VLOOKUP(A62,'Charriage - Geschiebehaushalt'!$A$4:$AC$275,23,FALSE))</f>
        <v>c</v>
      </c>
      <c r="AG62" s="765" t="str">
        <f>IF(VLOOKUP(A62,'Charriage - Geschiebehaushalt'!$A$4:$AC$275,24,FALSE)="","",VLOOKUP(A62,'Charriage - Geschiebehaushalt'!$A$4:$AC$275,24,FALSE))</f>
        <v/>
      </c>
      <c r="AH62" s="764" t="str">
        <f>IF(VLOOKUP(A62,'Charriage - Geschiebehaushalt'!$A$4:$AC$275,25,FALSE)="","",VLOOKUP(A62,'Charriage - Geschiebehaushalt'!$A$4:$AC$275,25,FALSE))</f>
        <v/>
      </c>
      <c r="AI62" s="433" t="str">
        <f>IF(VLOOKUP(A62,'Charriage - Geschiebehaushalt'!$A$4:$AC$275,26,FALSE)="","",VLOOKUP(A62,'Charriage - Geschiebehaushalt'!$A$4:$AC$275,26,FALSE))</f>
        <v/>
      </c>
      <c r="AJ62" s="434" t="str">
        <f>IF(VLOOKUP(A62,'Charriage - Geschiebehaushalt'!$A$4:$AC$275,27,FALSE)="","",VLOOKUP(A62,'Charriage - Geschiebehaushalt'!$A$4:$AC$275,27,FALSE))</f>
        <v/>
      </c>
      <c r="AK62" s="801" t="str">
        <f>IF(VLOOKUP(A62,'Charriage - Geschiebehaushalt'!$A$4:$AC$275,28,FALSE)="","",VLOOKUP(A62,'Charriage - Geschiebehaushalt'!$A$4:$AC$275,28,FALSE))</f>
        <v>21-50%</v>
      </c>
      <c r="AL62" s="1285" t="str">
        <f>IF(VLOOKUP(A62,'Charriage - Geschiebehaushalt'!$A$4:$AD$275,30,FALSE)="","",VLOOKUP(A62,'Charriage - Geschiebehaushalt'!$A$4:$AD$275,30,FALSE))</f>
        <v>a</v>
      </c>
      <c r="AM62" s="1279" t="str">
        <f>IF(VLOOKUP(A62,'Débit - Abfluss'!$A$4:$K$275,5,FALSE)="","",VLOOKUP(A62,'Débit - Abfluss'!$A$4:$M$275,5,FALSE))</f>
        <v>100%</v>
      </c>
      <c r="AN62" s="868" t="str">
        <f>IF(VLOOKUP(A62,'Débit - Abfluss'!$A$4:$K$275,6,FALSE)="","",VLOOKUP(A62,'Débit - Abfluss'!$A$4:$M$275,6,FALSE))</f>
        <v>aucune information supplémentaire</v>
      </c>
      <c r="AO62" s="869" t="str">
        <f>IF(VLOOKUP(A62,'Débit - Abfluss'!$A$4:$K$275,7,FALSE)="","",VLOOKUP(A62,'Débit - Abfluss'!$A$4:$M$275,7,FALSE))</f>
        <v>aucune information supplémentaire</v>
      </c>
      <c r="AP62" s="766" t="str">
        <f>IF(VLOOKUP(A62,'Débit - Abfluss'!$A$4:$K$275,8,FALSE)="","",VLOOKUP(A62,'Débit - Abfluss'!$A$4:$M$275,8,FALSE))</f>
        <v>100%</v>
      </c>
      <c r="AQ62" s="742" t="str">
        <f>IF(VLOOKUP(A62,'Débit - Abfluss'!$A$4:$K$275,9,FALSE)="","",VLOOKUP(A62,'Débit - Abfluss'!$A$4:$M$275,9,FALSE))</f>
        <v>-</v>
      </c>
      <c r="AR62" s="767" t="str">
        <f>IF(VLOOKUP(A62,'Débit - Abfluss'!$A$4:$K$275,10,FALSE)="","",VLOOKUP(A62,'Débit - Abfluss'!$A$4:$M$275,10,FALSE))</f>
        <v>100%</v>
      </c>
      <c r="AS62" s="767" t="str">
        <f>IF(VLOOKUP(A62,'Débit - Abfluss'!$A$4:$K$275,11,FALSE)="","",VLOOKUP(A62,'Débit - Abfluss'!$A$4:$M$275,11,FALSE))</f>
        <v/>
      </c>
      <c r="AT62" s="744" t="str">
        <f>IF(VLOOKUP(A62,'Débit - Abfluss'!$A$4:$Q$275,12,FALSE)="","",VLOOKUP(A62,'Débit - Abfluss'!$A$4:$Q$275,12,FALSE))</f>
        <v/>
      </c>
      <c r="AU62" s="745" t="str">
        <f>IF(VLOOKUP(A62,'Débit - Abfluss'!$A$4:$Q$275,13,FALSE)="","",VLOOKUP(A62,'Débit - Abfluss'!$A$4:$Q$275,13,FALSE))</f>
        <v/>
      </c>
      <c r="AV62" s="746" t="str">
        <f>IF(VLOOKUP(A62,'Débit - Abfluss'!$A$4:$Q$275,14,FALSE)="","",VLOOKUP(A62,'Débit - Abfluss'!$A$4:$Q$275,14,FALSE))</f>
        <v/>
      </c>
      <c r="AW62" s="768" t="str">
        <f>IF(VLOOKUP(A62,'Débit - Abfluss'!$A$4:$Q$275,15,FALSE)="","",VLOOKUP(A62,'Débit - Abfluss'!$A$4:$Q$275,15,FALSE))</f>
        <v/>
      </c>
      <c r="AX62" s="677" t="str">
        <f>IF(VLOOKUP(A62,'Débit - Abfluss'!$A$4:$Q$275,16,FALSE)="","",VLOOKUP(A62,'Débit - Abfluss'!$A$4:$Q$275,16,FALSE))</f>
        <v/>
      </c>
      <c r="AY62" s="769" t="str">
        <f>IF(VLOOKUP(A62,'Débit - Abfluss'!$A$4:$Q$275,17,FALSE)="","",VLOOKUP(A62,'Débit - Abfluss'!$A$4:$Q$275,17,FALSE))</f>
        <v>100%</v>
      </c>
      <c r="AZ62" s="749" t="str">
        <f>IF(VLOOKUP(A62,'Eclusée - Schwall-Sunk'!$A$2:$F$273,5,FALSE)="","",VLOOKUP(A62,'Eclusée - Schwall-Sunk'!$A$2:$F$273,5,FALSE))</f>
        <v/>
      </c>
      <c r="BA62" s="750" t="str">
        <f>IF(VLOOKUP(A62,'Eclusée - Schwall-Sunk'!$A$2:$F$273,6,FALSE)="","",VLOOKUP(A62,'Eclusée - Schwall-Sunk'!$A$2:$F$273,6,FALSE))</f>
        <v>Non affecté / nicht betroffen</v>
      </c>
      <c r="BB62" s="751">
        <f>IF(VLOOKUP(A62,'Revitalisation-Revitalisierung'!$A$4:$Z$275,5,FALSE)="","",VLOOKUP(A62,'Revitalisation-Revitalisierung'!$A$4:$Z$275,5,FALSE))</f>
        <v>-5.9727272727272727</v>
      </c>
      <c r="BC62" s="752">
        <f>IF(VLOOKUP(A62,'Revitalisation-Revitalisierung'!$A$4:$Z$275,6,FALSE)="","",VLOOKUP(A62,'Revitalisation-Revitalisierung'!$A$4:$Z$275,6,FALSE))</f>
        <v>1.3179120329817062</v>
      </c>
      <c r="BD62" s="752">
        <f>IF(VLOOKUP(A62,'Revitalisation-Revitalisierung'!$A$4:$Z$275,7,FALSE)="","",VLOOKUP(A62,'Revitalisation-Revitalisierung'!$A$4:$Z$275,7,FALSE))</f>
        <v>7.2727272727272725</v>
      </c>
      <c r="BE62" s="753" t="str">
        <f>IF(VLOOKUP(A62,'Revitalisation-Revitalisierung'!$A$4:$Z$275,8,FALSE)="","",VLOOKUP(A62,'Revitalisation-Revitalisierung'!$A$4:$Z$275,8,FALSE))</f>
        <v>peu nécessaire, facile</v>
      </c>
      <c r="BF62" s="754" t="str">
        <f>IF(VLOOKUP(A62,'Revitalisation-Revitalisierung'!$A$4:$Z$275,9,FALSE)="","",VLOOKUP(A62,'Revitalisation-Revitalisierung'!$A$4:$Z$275,9,FALSE))</f>
        <v/>
      </c>
      <c r="BG62" s="754" t="str">
        <f>IF(VLOOKUP(A62,'Revitalisation-Revitalisierung'!$A$4:$Z$275,10,FALSE)="","",VLOOKUP(A62,'Revitalisation-Revitalisierung'!$A$4:$Z$275,10,FALSE))</f>
        <v>K3</v>
      </c>
      <c r="BH62" s="755" t="str">
        <f>IF(VLOOKUP(A62,'Revitalisation-Revitalisierung'!$A$4:$Z$275,11,FALSE)="","",VLOOKUP(A62,'Revitalisation-Revitalisierung'!$A$4:$Z$275,11,FALSE))</f>
        <v/>
      </c>
      <c r="BI62" s="756" t="str">
        <f>IF(VLOOKUP(A62,'Revitalisation-Revitalisierung'!$A$4:$Z$275,12,FALSE)="","",VLOOKUP(A62,'Revitalisation-Revitalisierung'!$A$4:$Z$275,12,FALSE))</f>
        <v/>
      </c>
      <c r="BJ62" s="757" t="str">
        <f>IF(VLOOKUP(A62,'Revitalisation-Revitalisierung'!$A$4:$Z$275,13,FALSE)="","",VLOOKUP(A62,'Revitalisation-Revitalisierung'!$A$4:$Z$275,13,FALSE))</f>
        <v>Partiellement nécessaire, facile / teilweise nötig, einfach</v>
      </c>
      <c r="BK62" s="870" t="str">
        <f>IF(VLOOKUP(A62,'Revitalisation-Revitalisierung'!$A$4:$Z$275,14,FALSE)="","",VLOOKUP(A62,'Revitalisation-Revitalisierung'!$A$4:$Z$275,14,FALSE))</f>
        <v>a</v>
      </c>
      <c r="BL62" s="758" t="str">
        <f>IF(VLOOKUP(A62,'Revitalisation-Revitalisierung'!$A$4:$Z$275,15,FALSE)="","",VLOOKUP(A62,'Revitalisation-Revitalisierung'!$A$4:$Z$275,15,FALSE))</f>
        <v>gross</v>
      </c>
      <c r="BM62" s="759" t="str">
        <f>IF(VLOOKUP(A62,'Revitalisation-Revitalisierung'!$A$4:$Z$275,16,FALSE)="","",VLOOKUP(A62,'Revitalisation-Revitalisierung'!$A$4:$Z$275,16,FALSE))</f>
        <v>gering</v>
      </c>
      <c r="BN62" s="759" t="str">
        <f>IF(VLOOKUP(A62,'Revitalisation-Revitalisierung'!$A$4:$Z$275,17,FALSE)="","",VLOOKUP(A62,'Revitalisation-Revitalisierung'!$A$4:$Z$275,17,FALSE))</f>
        <v>-</v>
      </c>
      <c r="BO62" s="760" t="str">
        <f>IF(VLOOKUP(A62,'Revitalisation-Revitalisierung'!$A$4:$Z$275,18,FALSE)="","",VLOOKUP(A62,'Revitalisation-Revitalisierung'!$A$4:$Z$275,18,FALSE))</f>
        <v>Non nécessaire / nicht nötig</v>
      </c>
      <c r="BP62" s="761" t="str">
        <f>IF(VLOOKUP(A62,'Revitalisation-Revitalisierung'!$A$4:$Z$275,19,FALSE)="","",VLOOKUP(A62,'Revitalisation-Revitalisierung'!$A$4:$Z$275,19,FALSE))</f>
        <v>Non nécessaire / nicht nötig</v>
      </c>
      <c r="BQ62" s="759" t="str">
        <f>IF(VLOOKUP(A62,'Revitalisation-Revitalisierung'!$A$4:$Z$275,20,FALSE)="","",VLOOKUP(A62,'Revitalisation-Revitalisierung'!$A$4:$Z$275,20,FALSE))</f>
        <v>c</v>
      </c>
      <c r="BR62" s="759" t="str">
        <f>IF(VLOOKUP(A62,'Revitalisation-Revitalisierung'!$A$4:$Z$275,21,FALSE)="","",VLOOKUP(A62,'Revitalisation-Revitalisierung'!$A$4:$Z$275,21,FALSE))</f>
        <v/>
      </c>
      <c r="BS62" s="762" t="str">
        <f>IF(VLOOKUP(A62,'Revitalisation-Revitalisierung'!$A$4:$Z$275,22,FALSE)="","",VLOOKUP(A62,'Revitalisation-Revitalisierung'!$A$4:$Z$275,22,FALSE))</f>
        <v/>
      </c>
      <c r="BT62" s="703" t="str">
        <f>IF(VLOOKUP(A62,'Revitalisation-Revitalisierung'!$A$4:$Z$275,23,FALSE)="","",VLOOKUP(A62,'Revitalisation-Revitalisierung'!$A$4:$Z$275,23,FALSE))</f>
        <v/>
      </c>
      <c r="BU62" s="699" t="str">
        <f>IF(VLOOKUP(A62,'Revitalisation-Revitalisierung'!$A$4:$Z$275,24,FALSE)="","",VLOOKUP(A62,'Revitalisation-Revitalisierung'!$A$4:$Z$275,24,FALSE))</f>
        <v>ok</v>
      </c>
      <c r="BV62" s="761" t="str">
        <f>IF(VLOOKUP(A62,'Revitalisation-Revitalisierung'!$A$4:$Z$275,25,FALSE)="","",VLOOKUP(A62,'Revitalisation-Revitalisierung'!$A$4:$Z$275,25,FALSE))</f>
        <v>Non nécessaire / nicht nötig</v>
      </c>
      <c r="BW62" s="871" t="str">
        <f>IF(VLOOKUP(A62,'Revitalisation-Revitalisierung'!$A$4:$AA$275,27,FALSE)="","",VLOOKUP(A62,'Revitalisation-Revitalisierung'!$A$4:$AA$275,27,FALSE))</f>
        <v>a</v>
      </c>
    </row>
    <row r="63" spans="1:75" ht="66.599999999999994" customHeight="1" x14ac:dyDescent="0.25">
      <c r="A63" s="936">
        <v>79.099999999999994</v>
      </c>
      <c r="B63" s="856">
        <f>IF(VLOOKUP(A63,'Données de base - Grunddaten'!$A$2:$M$297,2,FALSE)="","",VLOOKUP(A63,'Données de base - Grunddaten'!$A$2:$M$297,2,FALSE))</f>
        <v>1</v>
      </c>
      <c r="C63" s="857" t="str">
        <f>IF(VLOOKUP(A63,'Données de base - Grunddaten'!$A$2:$M$297,3,FALSE)="","",VLOOKUP(A63,'Données de base - Grunddaten'!$A$2:$M$297,3,FALSE))</f>
        <v>Weissenau</v>
      </c>
      <c r="D63" s="857" t="str">
        <f>IF(VLOOKUP(A63,'Données de base - Grunddaten'!$A$2:$M$297,4,FALSE)="","",VLOOKUP(A63,'Données de base - Grunddaten'!$A$2:$M$297,4,FALSE))</f>
        <v>Aare, Thunersee</v>
      </c>
      <c r="E63" s="857" t="str">
        <f>IF(VLOOKUP(A63,'Données de base - Grunddaten'!$A$2:$M$297,5,FALSE)="","",VLOOKUP(A63,'Données de base - Grunddaten'!$A$2:$M$297,5,FALSE))</f>
        <v>BE</v>
      </c>
      <c r="F63" s="857" t="str">
        <f>IF(VLOOKUP(A63,'Données de base - Grunddaten'!$A$2:$M$297,6,FALSE)="","",VLOOKUP(A63,'Données de base - Grunddaten'!$A$2:$M$297,6,FALSE))</f>
        <v>Alpes septentrionales</v>
      </c>
      <c r="G63" s="857" t="str">
        <f>IF(VLOOKUP(A63,'Données de base - Grunddaten'!$A$2:$M$297,7,FALSE)="","",VLOOKUP(A63,'Données de base - Grunddaten'!$A$2:$M$297,7,FALSE))</f>
        <v>Collinéen</v>
      </c>
      <c r="H63" s="857">
        <f>IF(VLOOKUP(A63,'Données de base - Grunddaten'!$A$2:$M$297,8,FALSE)="","",VLOOKUP(A63,'Données de base - Grunddaten'!$A$2:$M$297,8,FALSE))</f>
        <v>560</v>
      </c>
      <c r="I63" s="857">
        <f>IF(VLOOKUP(A63,'Données de base - Grunddaten'!$A$2:$M$297,9,FALSE)="","",VLOOKUP(A63,'Données de base - Grunddaten'!$A$2:$M$297,9,FALSE))</f>
        <v>1992</v>
      </c>
      <c r="J63" s="857">
        <f>IF(VLOOKUP(A63,'Données de base - Grunddaten'!$A$2:$M$297,10,FALSE)="","",VLOOKUP(A63,'Données de base - Grunddaten'!$A$2:$M$297,10,FALSE))</f>
        <v>90</v>
      </c>
      <c r="K63" s="857" t="str">
        <f>IF(VLOOKUP(A63,'Données de base - Grunddaten'!$A$2:$M$297,11,FALSE)="","",VLOOKUP(A63,'Données de base - Grunddaten'!$A$2:$M$297,11,FALSE))</f>
        <v>Delta</v>
      </c>
      <c r="L63" s="857" t="str">
        <f>IF(VLOOKUP(A63,'Données de base - Grunddaten'!$A$2:$M$297,12,FALSE)="","",VLOOKUP(A63,'Données de base - Grunddaten'!$A$2:$M$297,12,FALSE))</f>
        <v>en tresses</v>
      </c>
      <c r="M63" s="858" t="str">
        <f>IF(VLOOKUP(A63,'Données de base - Grunddaten'!$A$2:$M$297,13,FALSE)="","",VLOOKUP(A63,'Données de base - Grunddaten'!$A$2:$M$297,13,FALSE))</f>
        <v>cours rectiligne</v>
      </c>
      <c r="N63" s="872" t="str">
        <f>IF(VLOOKUP(A63,'Charriage - Geschiebehaushalt'!$A$4:$R$275,5,FALSE)="","",VLOOKUP(A63,'Charriage - Geschiebehaushalt'!$A$4:$R$275,5,FALSE))</f>
        <v>pertinent</v>
      </c>
      <c r="O63" s="881" t="str">
        <f>IF(VLOOKUP(A63,'Charriage - Geschiebehaushalt'!$A$4:$R$275,6,FALSE)="","",VLOOKUP(A63,'Charriage - Geschiebehaushalt'!$A$4:$R$275,6,FALSE))</f>
        <v>non documenté</v>
      </c>
      <c r="P63" s="874" t="str">
        <f>IF(VLOOKUP(A63,'Charriage - Geschiebehaushalt'!$A$4:$R$275,7,FALSE)="","",VLOOKUP(A63,'Charriage - Geschiebehaushalt'!$A$4:$R$275,7,FALSE))</f>
        <v/>
      </c>
      <c r="Q63" s="874" t="str">
        <f>IF(VLOOKUP(A63,'Charriage - Geschiebehaushalt'!$A$4:$R$275,8,FALSE)="","",VLOOKUP(A63,'Charriage - Geschiebehaushalt'!$A$4:$R$275,8,FALSE))</f>
        <v>non documenté</v>
      </c>
      <c r="R63" s="875">
        <f>IF(VLOOKUP(A63,'Charriage - Geschiebehaushalt'!$A$4:$R$275,9,FALSE)="","",VLOOKUP(A63,'Charriage - Geschiebehaushalt'!$A$4:$R$275,9,FALSE))</f>
        <v>0.38748341771115602</v>
      </c>
      <c r="S63" s="895" t="str">
        <f>IF(VLOOKUP(A63,'Charriage - Geschiebehaushalt'!$A$4:$R$275,10,FALSE)="","",VLOOKUP(A63,'Charriage - Geschiebehaushalt'!$A$4:$R$275,10,FALSE))</f>
        <v>la remobilisation des sédiments est perturbée</v>
      </c>
      <c r="T63" s="875">
        <f>IF(VLOOKUP(A63,'Charriage - Geschiebehaushalt'!$A$4:$R$275,11,FALSE)="","",VLOOKUP(A63,'Charriage - Geschiebehaushalt'!$A$4:$R$275,11,FALSE))</f>
        <v>0.42979403532999999</v>
      </c>
      <c r="U63" s="876" t="str">
        <f>IF(VLOOKUP(A63,'Charriage - Geschiebehaushalt'!$A$4:$R$275,12,FALSE)="","",VLOOKUP(A63,'Charriage - Geschiebehaushalt'!$A$4:$R$275,12,FALSE))</f>
        <v>déficit non apparent en charriage ou en remobilisation des sédiments</v>
      </c>
      <c r="V63" s="877" t="str">
        <f>IF(VLOOKUP(A63,'Charriage - Geschiebehaushalt'!$A$4:$R$275,13,FALSE)="","",VLOOKUP(A63,'Charriage - Geschiebehaushalt'!$A$4:$R$275,13,FALSE))</f>
        <v/>
      </c>
      <c r="W63" s="877" t="str">
        <f>IF(VLOOKUP(A63,'Charriage - Geschiebehaushalt'!$A$4:$R$275,14,FALSE)="","",VLOOKUP(A63,'Charriage - Geschiebehaushalt'!$A$4:$R$275,14,FALSE))</f>
        <v/>
      </c>
      <c r="X63" s="877" t="str">
        <f>IF(VLOOKUP(A63,'Charriage - Geschiebehaushalt'!$A$4:$R$275,15,FALSE)="","",VLOOKUP(A63,'Charriage - Geschiebehaushalt'!$A$4:$R$275,15,FALSE))</f>
        <v/>
      </c>
      <c r="Y63" s="879" t="str">
        <f>IF(VLOOKUP(A63,'Charriage - Geschiebehaushalt'!$A$4:$R$275,16,FALSE)="","",VLOOKUP(A63,'Charriage - Geschiebehaushalt'!$A$4:$R$275,16,FALSE))</f>
        <v/>
      </c>
      <c r="Z63" s="763" t="str">
        <f>IF(VLOOKUP(A63,'Charriage - Geschiebehaushalt'!$A$4:$R$275,17,FALSE)="","",VLOOKUP(A63,'Charriage - Geschiebehaushalt'!$A$4:$R$275,17,FALSE))</f>
        <v>La remobilisation des sédiments est perturbée / Mobilisierung von Geschiebe beeinträchtigt</v>
      </c>
      <c r="AA63" s="880" t="str">
        <f>IF(VLOOKUP(A63,'Charriage - Geschiebehaushalt'!$A$4:$R$275,18,FALSE)="","",VLOOKUP(A63,'Charriage - Geschiebehaushalt'!$A$4:$R$275,18,FALSE))</f>
        <v>b</v>
      </c>
      <c r="AB63" s="737" t="str">
        <f>IF(VLOOKUP(A63,'Charriage - Geschiebehaushalt'!$A$4:$AC$275,19,FALSE)="","",VLOOKUP(A63,'Charriage - Geschiebehaushalt'!$A$4:$AC$275,19,FALSE))</f>
        <v>-</v>
      </c>
      <c r="AC63" s="738" t="str">
        <f>IF(VLOOKUP(A63,'Charriage - Geschiebehaushalt'!$A$4:$AC$275,20,FALSE)="","",VLOOKUP(A63,'Charriage - Geschiebehaushalt'!$A$4:$AC$275,20,FALSE))</f>
        <v>-</v>
      </c>
      <c r="AD63" s="764" t="str">
        <f>IF(VLOOKUP(A63,'Charriage - Geschiebehaushalt'!$A$4:$AC$275,21,FALSE)="","",VLOOKUP(A63,'Charriage - Geschiebehaushalt'!$A$4:$AC$275,21,FALSE))</f>
        <v/>
      </c>
      <c r="AE63" s="740" t="str">
        <f>IF(VLOOKUP(A63,'Charriage - Geschiebehaushalt'!$A$4:$AC$275,22,FALSE)="","",VLOOKUP(A63,'Charriage - Geschiebehaushalt'!$A$4:$AC$275,22,FALSE))</f>
        <v>21-50%</v>
      </c>
      <c r="AF63" s="787" t="str">
        <f>IF(VLOOKUP(A63,'Charriage - Geschiebehaushalt'!$A$4:$AC$275,23,FALSE)="","",VLOOKUP(A63,'Charriage - Geschiebehaushalt'!$A$4:$AC$275,23,FALSE))</f>
        <v>b</v>
      </c>
      <c r="AG63" s="765" t="str">
        <f>IF(VLOOKUP(A63,'Charriage - Geschiebehaushalt'!$A$4:$AC$275,24,FALSE)="","",VLOOKUP(A63,'Charriage - Geschiebehaushalt'!$A$4:$AC$275,24,FALSE))</f>
        <v/>
      </c>
      <c r="AH63" s="764" t="str">
        <f>IF(VLOOKUP(A63,'Charriage - Geschiebehaushalt'!$A$4:$AC$275,25,FALSE)="","",VLOOKUP(A63,'Charriage - Geschiebehaushalt'!$A$4:$AC$275,25,FALSE))</f>
        <v/>
      </c>
      <c r="AI63" s="433" t="str">
        <f>IF(VLOOKUP(A63,'Charriage - Geschiebehaushalt'!$A$4:$AC$275,26,FALSE)="","",VLOOKUP(A63,'Charriage - Geschiebehaushalt'!$A$4:$AC$275,26,FALSE))</f>
        <v/>
      </c>
      <c r="AJ63" s="434" t="str">
        <f>IF(VLOOKUP(A63,'Charriage - Geschiebehaushalt'!$A$4:$AC$275,27,FALSE)="","",VLOOKUP(A63,'Charriage - Geschiebehaushalt'!$A$4:$AC$275,27,FALSE))</f>
        <v/>
      </c>
      <c r="AK63" s="801" t="str">
        <f>IF(VLOOKUP(A63,'Charriage - Geschiebehaushalt'!$A$4:$AC$275,28,FALSE)="","",VLOOKUP(A63,'Charriage - Geschiebehaushalt'!$A$4:$AC$275,28,FALSE))</f>
        <v>21-50%</v>
      </c>
      <c r="AL63" s="1285" t="str">
        <f>IF(VLOOKUP(A63,'Charriage - Geschiebehaushalt'!$A$4:$AD$275,30,FALSE)="","",VLOOKUP(A63,'Charriage - Geschiebehaushalt'!$A$4:$AD$275,30,FALSE))</f>
        <v>b</v>
      </c>
      <c r="AM63" s="1279" t="str">
        <f>IF(VLOOKUP(A63,'Débit - Abfluss'!$A$4:$K$275,5,FALSE)="","",VLOOKUP(A63,'Débit - Abfluss'!$A$4:$M$275,5,FALSE))</f>
        <v>41-60%</v>
      </c>
      <c r="AN63" s="868" t="str">
        <f>IF(VLOOKUP(A63,'Débit - Abfluss'!$A$4:$K$275,6,FALSE)="","",VLOOKUP(A63,'Débit - Abfluss'!$A$4:$M$275,6,FALSE))</f>
        <v/>
      </c>
      <c r="AO63" s="869" t="str">
        <f>IF(VLOOKUP(A63,'Débit - Abfluss'!$A$4:$K$275,7,FALSE)="","",VLOOKUP(A63,'Débit - Abfluss'!$A$4:$M$275,7,FALSE))</f>
        <v/>
      </c>
      <c r="AP63" s="766" t="str">
        <f>IF(VLOOKUP(A63,'Débit - Abfluss'!$A$4:$K$275,8,FALSE)="","",VLOOKUP(A63,'Débit - Abfluss'!$A$4:$M$275,8,FALSE))</f>
        <v>41-60%</v>
      </c>
      <c r="AQ63" s="678" t="str">
        <f>IF(VLOOKUP(A63,'Débit - Abfluss'!$A$4:$K$275,9,FALSE)="","",VLOOKUP(A63,'Débit - Abfluss'!$A$4:$M$275,9,FALSE))</f>
        <v>&gt;90%</v>
      </c>
      <c r="AR63" s="767" t="str">
        <f>IF(VLOOKUP(A63,'Débit - Abfluss'!$A$4:$K$275,10,FALSE)="","",VLOOKUP(A63,'Débit - Abfluss'!$A$4:$M$275,10,FALSE))</f>
        <v>41-60%</v>
      </c>
      <c r="AS63" s="767" t="str">
        <f>IF(VLOOKUP(A63,'Débit - Abfluss'!$A$4:$K$275,11,FALSE)="","",VLOOKUP(A63,'Débit - Abfluss'!$A$4:$M$275,11,FALSE))</f>
        <v/>
      </c>
      <c r="AT63" s="744" t="str">
        <f>IF(VLOOKUP(A63,'Débit - Abfluss'!$A$4:$Q$275,12,FALSE)="","",VLOOKUP(A63,'Débit - Abfluss'!$A$4:$Q$275,12,FALSE))</f>
        <v/>
      </c>
      <c r="AU63" s="745" t="str">
        <f>IF(VLOOKUP(A63,'Débit - Abfluss'!$A$4:$Q$275,13,FALSE)="","",VLOOKUP(A63,'Débit - Abfluss'!$A$4:$Q$275,13,FALSE))</f>
        <v/>
      </c>
      <c r="AV63" s="746" t="str">
        <f>IF(VLOOKUP(A63,'Débit - Abfluss'!$A$4:$Q$275,14,FALSE)="","",VLOOKUP(A63,'Débit - Abfluss'!$A$4:$Q$275,14,FALSE))</f>
        <v>BE-59</v>
      </c>
      <c r="AW63" s="768" t="str">
        <f>IF(VLOOKUP(A63,'Débit - Abfluss'!$A$4:$Q$275,15,FALSE)="","",VLOOKUP(A63,'Débit - Abfluss'!$A$4:$Q$275,15,FALSE))</f>
        <v>Interlaken</v>
      </c>
      <c r="AX63" s="677" t="str">
        <f>IF(VLOOKUP(A63,'Débit - Abfluss'!$A$4:$Q$275,16,FALSE)="","",VLOOKUP(A63,'Débit - Abfluss'!$A$4:$Q$275,16,FALSE))</f>
        <v/>
      </c>
      <c r="AY63" s="769" t="str">
        <f>IF(VLOOKUP(A63,'Débit - Abfluss'!$A$4:$Q$275,17,FALSE)="","",VLOOKUP(A63,'Débit - Abfluss'!$A$4:$Q$275,17,FALSE))</f>
        <v>41-60%</v>
      </c>
      <c r="AZ63" s="749" t="str">
        <f>IF(VLOOKUP(A63,'Eclusée - Schwall-Sunk'!$A$2:$F$273,5,FALSE)="","",VLOOKUP(A63,'Eclusée - Schwall-Sunk'!$A$2:$F$273,5,FALSE))</f>
        <v>force hydraulique</v>
      </c>
      <c r="BA63" s="750" t="str">
        <f>IF(VLOOKUP(A63,'Eclusée - Schwall-Sunk'!$A$2:$F$273,6,FALSE)="","",VLOOKUP(A63,'Eclusée - Schwall-Sunk'!$A$2:$F$273,6,FALSE))</f>
        <v>Non affecté / nicht betroffen</v>
      </c>
      <c r="BB63" s="751">
        <f>IF(VLOOKUP(A63,'Revitalisation-Revitalisierung'!$A$4:$Z$275,5,FALSE)="","",VLOOKUP(A63,'Revitalisation-Revitalisierung'!$A$4:$Z$275,5,FALSE))</f>
        <v>58.618181818181817</v>
      </c>
      <c r="BC63" s="752">
        <f>IF(VLOOKUP(A63,'Revitalisation-Revitalisierung'!$A$4:$Z$275,6,FALSE)="","",VLOOKUP(A63,'Revitalisation-Revitalisierung'!$A$4:$Z$275,6,FALSE))</f>
        <v>44.927850440390493</v>
      </c>
      <c r="BD63" s="752">
        <f>IF(VLOOKUP(A63,'Revitalisation-Revitalisierung'!$A$4:$Z$275,7,FALSE)="","",VLOOKUP(A63,'Revitalisation-Revitalisierung'!$A$4:$Z$275,7,FALSE))</f>
        <v>3.1818181818181817</v>
      </c>
      <c r="BE63" s="753" t="str">
        <f>IF(VLOOKUP(A63,'Revitalisation-Revitalisierung'!$A$4:$Z$275,8,FALSE)="","",VLOOKUP(A63,'Revitalisation-Revitalisierung'!$A$4:$Z$275,8,FALSE))</f>
        <v>très nécessaire, facile</v>
      </c>
      <c r="BF63" s="754" t="str">
        <f>IF(VLOOKUP(A63,'Revitalisation-Revitalisierung'!$A$4:$Z$275,9,FALSE)="","",VLOOKUP(A63,'Revitalisation-Revitalisierung'!$A$4:$Z$275,9,FALSE))</f>
        <v/>
      </c>
      <c r="BG63" s="754" t="str">
        <f>IF(VLOOKUP(A63,'Revitalisation-Revitalisierung'!$A$4:$Z$275,10,FALSE)="","",VLOOKUP(A63,'Revitalisation-Revitalisierung'!$A$4:$Z$275,10,FALSE))</f>
        <v>K1</v>
      </c>
      <c r="BH63" s="755" t="str">
        <f>IF(VLOOKUP(A63,'Revitalisation-Revitalisierung'!$A$4:$Z$275,11,FALSE)="","",VLOOKUP(A63,'Revitalisation-Revitalisierung'!$A$4:$Z$275,11,FALSE))</f>
        <v/>
      </c>
      <c r="BI63" s="756" t="str">
        <f>IF(VLOOKUP(A63,'Revitalisation-Revitalisierung'!$A$4:$Z$275,12,FALSE)="","",VLOOKUP(A63,'Revitalisation-Revitalisierung'!$A$4:$Z$275,12,FALSE))</f>
        <v/>
      </c>
      <c r="BJ63" s="757" t="str">
        <f>IF(VLOOKUP(A63,'Revitalisation-Revitalisierung'!$A$4:$Z$275,13,FALSE)="","",VLOOKUP(A63,'Revitalisation-Revitalisierung'!$A$4:$Z$275,13,FALSE))</f>
        <v>Très nécessaire, facile / unbedingt nötig, einfach</v>
      </c>
      <c r="BK63" s="870" t="str">
        <f>IF(VLOOKUP(A63,'Revitalisation-Revitalisierung'!$A$4:$Z$275,14,FALSE)="","",VLOOKUP(A63,'Revitalisation-Revitalisierung'!$A$4:$Z$275,14,FALSE))</f>
        <v>a</v>
      </c>
      <c r="BL63" s="758" t="str">
        <f>IF(VLOOKUP(A63,'Revitalisation-Revitalisierung'!$A$4:$Z$275,15,FALSE)="","",VLOOKUP(A63,'Revitalisation-Revitalisierung'!$A$4:$Z$275,15,FALSE))</f>
        <v>gross</v>
      </c>
      <c r="BM63" s="759" t="str">
        <f>IF(VLOOKUP(A63,'Revitalisation-Revitalisierung'!$A$4:$Z$275,16,FALSE)="","",VLOOKUP(A63,'Revitalisation-Revitalisierung'!$A$4:$Z$275,16,FALSE))</f>
        <v>gross (nur Aare)</v>
      </c>
      <c r="BN63" s="759" t="str">
        <f>IF(VLOOKUP(A63,'Revitalisation-Revitalisierung'!$A$4:$Z$275,17,FALSE)="","",VLOOKUP(A63,'Revitalisation-Revitalisierung'!$A$4:$Z$275,17,FALSE))</f>
        <v>hoch (nur Aare)</v>
      </c>
      <c r="BO63" s="760" t="str">
        <f>IF(VLOOKUP(A63,'Revitalisation-Revitalisierung'!$A$4:$Z$275,18,FALSE)="","",VLOOKUP(A63,'Revitalisation-Revitalisierung'!$A$4:$Z$275,18,FALSE))</f>
        <v/>
      </c>
      <c r="BP63" s="761" t="str">
        <f>IF(VLOOKUP(A63,'Revitalisation-Revitalisierung'!$A$4:$Z$275,19,FALSE)="","",VLOOKUP(A63,'Revitalisation-Revitalisierung'!$A$4:$Z$275,19,FALSE))</f>
        <v>Très nécessaire, facile / unbedingt nötig, einfach</v>
      </c>
      <c r="BQ63" s="759" t="str">
        <f>IF(VLOOKUP(A63,'Revitalisation-Revitalisierung'!$A$4:$Z$275,20,FALSE)="","",VLOOKUP(A63,'Revitalisation-Revitalisierung'!$A$4:$Z$275,20,FALSE))</f>
        <v>c</v>
      </c>
      <c r="BR63" s="759" t="str">
        <f>IF(VLOOKUP(A63,'Revitalisation-Revitalisierung'!$A$4:$Z$275,21,FALSE)="","",VLOOKUP(A63,'Revitalisation-Revitalisierung'!$A$4:$Z$275,21,FALSE))</f>
        <v>concerne le delta</v>
      </c>
      <c r="BS63" s="762" t="str">
        <f>IF(VLOOKUP(A63,'Revitalisation-Revitalisierung'!$A$4:$Z$275,22,FALSE)="","",VLOOKUP(A63,'Revitalisation-Revitalisierung'!$A$4:$Z$275,22,FALSE))</f>
        <v>X</v>
      </c>
      <c r="BT63" s="703" t="str">
        <f>IF(VLOOKUP(A63,'Revitalisation-Revitalisierung'!$A$4:$Z$275,23,FALSE)="","",VLOOKUP(A63,'Revitalisation-Revitalisierung'!$A$4:$Z$275,23,FALSE))</f>
        <v>nicht Aue</v>
      </c>
      <c r="BU63" s="699" t="str">
        <f>IF(VLOOKUP(A63,'Revitalisation-Revitalisierung'!$A$4:$Z$275,24,FALSE)="","",VLOOKUP(A63,'Revitalisation-Revitalisierung'!$A$4:$Z$275,24,FALSE))</f>
        <v>? Die Aare  gehört nicht zum Auenperimeter. Oder was ist hier gemeint?</v>
      </c>
      <c r="BV63" s="761" t="str">
        <f>IF(VLOOKUP(A63,'Revitalisation-Revitalisierung'!$A$4:$Z$275,25,FALSE)="","",VLOOKUP(A63,'Revitalisation-Revitalisierung'!$A$4:$Z$275,25,FALSE))</f>
        <v>Très nécessaire, facile / unbedingt nötig, einfach</v>
      </c>
      <c r="BW63" s="871" t="str">
        <f>IF(VLOOKUP(A63,'Revitalisation-Revitalisierung'!$A$4:$AA$275,27,FALSE)="","",VLOOKUP(A63,'Revitalisation-Revitalisierung'!$A$4:$AA$275,27,FALSE))</f>
        <v>a</v>
      </c>
    </row>
    <row r="64" spans="1:75" ht="73.900000000000006" customHeight="1" x14ac:dyDescent="0.25">
      <c r="A64" s="936">
        <v>79.2</v>
      </c>
      <c r="B64" s="856">
        <f>IF(VLOOKUP(A64,'Données de base - Grunddaten'!$A$2:$M$297,2,FALSE)="","",VLOOKUP(A64,'Données de base - Grunddaten'!$A$2:$M$297,2,FALSE))</f>
        <v>2</v>
      </c>
      <c r="C64" s="857" t="str">
        <f>IF(VLOOKUP(A64,'Données de base - Grunddaten'!$A$2:$M$297,3,FALSE)="","",VLOOKUP(A64,'Données de base - Grunddaten'!$A$2:$M$297,3,FALSE))</f>
        <v>Weissenau</v>
      </c>
      <c r="D64" s="857" t="str">
        <f>IF(VLOOKUP(A64,'Données de base - Grunddaten'!$A$2:$M$297,4,FALSE)="","",VLOOKUP(A64,'Données de base - Grunddaten'!$A$2:$M$297,4,FALSE))</f>
        <v>Aare, Thunersee</v>
      </c>
      <c r="E64" s="857" t="str">
        <f>IF(VLOOKUP(A64,'Données de base - Grunddaten'!$A$2:$M$297,5,FALSE)="","",VLOOKUP(A64,'Données de base - Grunddaten'!$A$2:$M$297,5,FALSE))</f>
        <v>BE</v>
      </c>
      <c r="F64" s="857" t="str">
        <f>IF(VLOOKUP(A64,'Données de base - Grunddaten'!$A$2:$M$297,6,FALSE)="","",VLOOKUP(A64,'Données de base - Grunddaten'!$A$2:$M$297,6,FALSE))</f>
        <v>Alpes septentrionales</v>
      </c>
      <c r="G64" s="857" t="str">
        <f>IF(VLOOKUP(A64,'Données de base - Grunddaten'!$A$2:$M$297,7,FALSE)="","",VLOOKUP(A64,'Données de base - Grunddaten'!$A$2:$M$297,7,FALSE))</f>
        <v>Collinéen</v>
      </c>
      <c r="H64" s="857">
        <f>IF(VLOOKUP(A64,'Données de base - Grunddaten'!$A$2:$M$297,8,FALSE)="","",VLOOKUP(A64,'Données de base - Grunddaten'!$A$2:$M$297,8,FALSE))</f>
        <v>560</v>
      </c>
      <c r="I64" s="857">
        <f>IF(VLOOKUP(A64,'Données de base - Grunddaten'!$A$2:$M$297,9,FALSE)="","",VLOOKUP(A64,'Données de base - Grunddaten'!$A$2:$M$297,9,FALSE))</f>
        <v>1992</v>
      </c>
      <c r="J64" s="857">
        <f>IF(VLOOKUP(A64,'Données de base - Grunddaten'!$A$2:$M$297,10,FALSE)="","",VLOOKUP(A64,'Données de base - Grunddaten'!$A$2:$M$297,10,FALSE))</f>
        <v>101</v>
      </c>
      <c r="K64" s="857" t="str">
        <f>IF(VLOOKUP(A64,'Données de base - Grunddaten'!$A$2:$M$297,11,FALSE)="","",VLOOKUP(A64,'Données de base - Grunddaten'!$A$2:$M$297,11,FALSE))</f>
        <v>Rives de lacs des étages collinéen et montagnard</v>
      </c>
      <c r="L64" s="857" t="str">
        <f>IF(VLOOKUP(A64,'Données de base - Grunddaten'!$A$2:$M$297,12,FALSE)="","",VLOOKUP(A64,'Données de base - Grunddaten'!$A$2:$M$297,12,FALSE))</f>
        <v>rives lacustres temporairement inondées</v>
      </c>
      <c r="M64" s="858" t="str">
        <f>IF(VLOOKUP(A64,'Données de base - Grunddaten'!$A$2:$M$297,13,FALSE)="","",VLOOKUP(A64,'Données de base - Grunddaten'!$A$2:$M$297,13,FALSE))</f>
        <v>rives lacustres</v>
      </c>
      <c r="N64" s="891" t="str">
        <f>IF(VLOOKUP(A64,'Charriage - Geschiebehaushalt'!$A$4:$R$275,5,FALSE)="","",VLOOKUP(A64,'Charriage - Geschiebehaushalt'!$A$4:$R$275,5,FALSE))</f>
        <v>non pertinent</v>
      </c>
      <c r="O64" s="881" t="str">
        <f>IF(VLOOKUP(A64,'Charriage - Geschiebehaushalt'!$A$4:$R$275,6,FALSE)="","",VLOOKUP(A64,'Charriage - Geschiebehaushalt'!$A$4:$R$275,6,FALSE))</f>
        <v/>
      </c>
      <c r="P64" s="874" t="str">
        <f>IF(VLOOKUP(A64,'Charriage - Geschiebehaushalt'!$A$4:$R$275,7,FALSE)="","",VLOOKUP(A64,'Charriage - Geschiebehaushalt'!$A$4:$R$275,7,FALSE))</f>
        <v/>
      </c>
      <c r="Q64" s="874" t="str">
        <f>IF(VLOOKUP(A64,'Charriage - Geschiebehaushalt'!$A$4:$R$275,8,FALSE)="","",VLOOKUP(A64,'Charriage - Geschiebehaushalt'!$A$4:$R$275,8,FALSE))</f>
        <v>non documenté</v>
      </c>
      <c r="R64" s="875">
        <f>IF(VLOOKUP(A64,'Charriage - Geschiebehaushalt'!$A$4:$R$275,9,FALSE)="","",VLOOKUP(A64,'Charriage - Geschiebehaushalt'!$A$4:$R$275,9,FALSE))</f>
        <v>1.0857306906347</v>
      </c>
      <c r="S64" s="876" t="str">
        <f>IF(VLOOKUP(A64,'Charriage - Geschiebehaushalt'!$A$4:$R$275,10,FALSE)="","",VLOOKUP(A64,'Charriage - Geschiebehaushalt'!$A$4:$R$275,10,FALSE))</f>
        <v>la remobilisation des sédiments est perturbée</v>
      </c>
      <c r="T64" s="875">
        <f>IF(VLOOKUP(A64,'Charriage - Geschiebehaushalt'!$A$4:$R$275,11,FALSE)="","",VLOOKUP(A64,'Charriage - Geschiebehaushalt'!$A$4:$R$275,11,FALSE))</f>
        <v>0.52454070108999995</v>
      </c>
      <c r="U64" s="876" t="str">
        <f>IF(VLOOKUP(A64,'Charriage - Geschiebehaushalt'!$A$4:$R$275,12,FALSE)="","",VLOOKUP(A64,'Charriage - Geschiebehaushalt'!$A$4:$R$275,12,FALSE))</f>
        <v>déficit non apparent en charriage ou en remobilisation des sédiments</v>
      </c>
      <c r="V64" s="877" t="str">
        <f>IF(VLOOKUP(A64,'Charriage - Geschiebehaushalt'!$A$4:$R$275,13,FALSE)="","",VLOOKUP(A64,'Charriage - Geschiebehaushalt'!$A$4:$R$275,13,FALSE))</f>
        <v/>
      </c>
      <c r="W64" s="877" t="str">
        <f>IF(VLOOKUP(A64,'Charriage - Geschiebehaushalt'!$A$4:$R$275,14,FALSE)="","",VLOOKUP(A64,'Charriage - Geschiebehaushalt'!$A$4:$R$275,14,FALSE))</f>
        <v/>
      </c>
      <c r="X64" s="877" t="str">
        <f>IF(VLOOKUP(A64,'Charriage - Geschiebehaushalt'!$A$4:$R$275,15,FALSE)="","",VLOOKUP(A64,'Charriage - Geschiebehaushalt'!$A$4:$R$275,15,FALSE))</f>
        <v/>
      </c>
      <c r="Y64" s="879" t="str">
        <f>IF(VLOOKUP(A64,'Charriage - Geschiebehaushalt'!$A$4:$R$275,16,FALSE)="","",VLOOKUP(A64,'Charriage - Geschiebehaushalt'!$A$4:$R$275,16,FALSE))</f>
        <v/>
      </c>
      <c r="Z64" s="763" t="str">
        <f>IF(VLOOKUP(A64,'Charriage - Geschiebehaushalt'!$A$4:$R$275,17,FALSE)="","",VLOOKUP(A64,'Charriage - Geschiebehaushalt'!$A$4:$R$275,17,FALSE))</f>
        <v>non pertinent / nicht relevant</v>
      </c>
      <c r="AA64" s="880" t="str">
        <f>IF(VLOOKUP(A64,'Charriage - Geschiebehaushalt'!$A$4:$R$275,18,FALSE)="","",VLOOKUP(A64,'Charriage - Geschiebehaushalt'!$A$4:$R$275,18,FALSE))</f>
        <v>a</v>
      </c>
      <c r="AB64" s="737">
        <f>IF(VLOOKUP(A64,'Charriage - Geschiebehaushalt'!$A$4:$AC$275,19,FALSE)="","",VLOOKUP(A64,'Charriage - Geschiebehaushalt'!$A$4:$AC$275,19,FALSE))</f>
        <v>0</v>
      </c>
      <c r="AC64" s="738">
        <f>IF(VLOOKUP(A64,'Charriage - Geschiebehaushalt'!$A$4:$AC$275,20,FALSE)="","",VLOOKUP(A64,'Charriage - Geschiebehaushalt'!$A$4:$AC$275,20,FALSE))</f>
        <v>0</v>
      </c>
      <c r="AD64" s="764" t="str">
        <f>IF(VLOOKUP(A64,'Charriage - Geschiebehaushalt'!$A$4:$AC$275,21,FALSE)="","",VLOOKUP(A64,'Charriage - Geschiebehaushalt'!$A$4:$AC$275,21,FALSE))</f>
        <v/>
      </c>
      <c r="AE64" s="740" t="str">
        <f>IF(VLOOKUP(A64,'Charriage - Geschiebehaushalt'!$A$4:$AC$275,22,FALSE)="","",VLOOKUP(A64,'Charriage - Geschiebehaushalt'!$A$4:$AC$275,22,FALSE))</f>
        <v>non pertinent / nicht relevant</v>
      </c>
      <c r="AF64" s="787" t="str">
        <f>IF(VLOOKUP(A64,'Charriage - Geschiebehaushalt'!$A$4:$AC$275,23,FALSE)="","",VLOOKUP(A64,'Charriage - Geschiebehaushalt'!$A$4:$AC$275,23,FALSE))</f>
        <v>a</v>
      </c>
      <c r="AG64" s="765" t="str">
        <f>IF(VLOOKUP(A64,'Charriage - Geschiebehaushalt'!$A$4:$AC$275,24,FALSE)="","",VLOOKUP(A64,'Charriage - Geschiebehaushalt'!$A$4:$AC$275,24,FALSE))</f>
        <v/>
      </c>
      <c r="AH64" s="764" t="str">
        <f>IF(VLOOKUP(A64,'Charriage - Geschiebehaushalt'!$A$4:$AC$275,25,FALSE)="","",VLOOKUP(A64,'Charriage - Geschiebehaushalt'!$A$4:$AC$275,25,FALSE))</f>
        <v/>
      </c>
      <c r="AI64" s="433" t="str">
        <f>IF(VLOOKUP(A64,'Charriage - Geschiebehaushalt'!$A$4:$AC$275,26,FALSE)="","",VLOOKUP(A64,'Charriage - Geschiebehaushalt'!$A$4:$AC$275,26,FALSE))</f>
        <v/>
      </c>
      <c r="AJ64" s="434" t="str">
        <f>IF(VLOOKUP(A64,'Charriage - Geschiebehaushalt'!$A$4:$AC$275,27,FALSE)="","",VLOOKUP(A64,'Charriage - Geschiebehaushalt'!$A$4:$AC$275,27,FALSE))</f>
        <v/>
      </c>
      <c r="AK64" s="801" t="str">
        <f>IF(VLOOKUP(A64,'Charriage - Geschiebehaushalt'!$A$4:$AC$275,28,FALSE)="","",VLOOKUP(A64,'Charriage - Geschiebehaushalt'!$A$4:$AC$275,28,FALSE))</f>
        <v>non pertinent / nicht relevant</v>
      </c>
      <c r="AL64" s="1285" t="str">
        <f>IF(VLOOKUP(A64,'Charriage - Geschiebehaushalt'!$A$4:$AD$275,30,FALSE)="","",VLOOKUP(A64,'Charriage - Geschiebehaushalt'!$A$4:$AD$275,30,FALSE))</f>
        <v>a</v>
      </c>
      <c r="AM64" s="1279" t="str">
        <f>IF(VLOOKUP(A64,'Débit - Abfluss'!$A$4:$K$275,5,FALSE)="","",VLOOKUP(A64,'Débit - Abfluss'!$A$4:$M$275,5,FALSE))</f>
        <v>non pertinent</v>
      </c>
      <c r="AN64" s="868" t="str">
        <f>IF(VLOOKUP(A64,'Débit - Abfluss'!$A$4:$K$275,6,FALSE)="","",VLOOKUP(A64,'Débit - Abfluss'!$A$4:$M$275,6,FALSE))</f>
        <v/>
      </c>
      <c r="AO64" s="869" t="str">
        <f>IF(VLOOKUP(A64,'Débit - Abfluss'!$A$4:$K$275,7,FALSE)="","",VLOOKUP(A64,'Débit - Abfluss'!$A$4:$M$275,7,FALSE))</f>
        <v/>
      </c>
      <c r="AP64" s="766" t="str">
        <f>IF(VLOOKUP(A64,'Débit - Abfluss'!$A$4:$K$275,8,FALSE)="","",VLOOKUP(A64,'Débit - Abfluss'!$A$4:$M$275,8,FALSE))</f>
        <v>non pertinent / nicht relevant</v>
      </c>
      <c r="AQ64" s="742" t="str">
        <f>IF(VLOOKUP(A64,'Débit - Abfluss'!$A$4:$K$275,9,FALSE)="","",VLOOKUP(A64,'Débit - Abfluss'!$A$4:$M$275,9,FALSE))</f>
        <v>-</v>
      </c>
      <c r="AR64" s="767" t="str">
        <f>IF(VLOOKUP(A64,'Débit - Abfluss'!$A$4:$K$275,10,FALSE)="","",VLOOKUP(A64,'Débit - Abfluss'!$A$4:$M$275,10,FALSE))</f>
        <v>non pertinent / nicht relevant</v>
      </c>
      <c r="AS64" s="767" t="str">
        <f>IF(VLOOKUP(A64,'Débit - Abfluss'!$A$4:$K$275,11,FALSE)="","",VLOOKUP(A64,'Débit - Abfluss'!$A$4:$M$275,11,FALSE))</f>
        <v/>
      </c>
      <c r="AT64" s="744" t="str">
        <f>IF(VLOOKUP(A64,'Débit - Abfluss'!$A$4:$Q$275,12,FALSE)="","",VLOOKUP(A64,'Débit - Abfluss'!$A$4:$Q$275,12,FALSE))</f>
        <v/>
      </c>
      <c r="AU64" s="745" t="str">
        <f>IF(VLOOKUP(A64,'Débit - Abfluss'!$A$4:$Q$275,13,FALSE)="","",VLOOKUP(A64,'Débit - Abfluss'!$A$4:$Q$275,13,FALSE))</f>
        <v/>
      </c>
      <c r="AV64" s="746" t="str">
        <f>IF(VLOOKUP(A64,'Débit - Abfluss'!$A$4:$Q$275,14,FALSE)="","",VLOOKUP(A64,'Débit - Abfluss'!$A$4:$Q$275,14,FALSE))</f>
        <v/>
      </c>
      <c r="AW64" s="768" t="str">
        <f>IF(VLOOKUP(A64,'Débit - Abfluss'!$A$4:$Q$275,15,FALSE)="","",VLOOKUP(A64,'Débit - Abfluss'!$A$4:$Q$275,15,FALSE))</f>
        <v/>
      </c>
      <c r="AX64" s="677" t="str">
        <f>IF(VLOOKUP(A64,'Débit - Abfluss'!$A$4:$Q$275,16,FALSE)="","",VLOOKUP(A64,'Débit - Abfluss'!$A$4:$Q$275,16,FALSE))</f>
        <v/>
      </c>
      <c r="AY64" s="769" t="str">
        <f>IF(VLOOKUP(A64,'Débit - Abfluss'!$A$4:$Q$275,17,FALSE)="","",VLOOKUP(A64,'Débit - Abfluss'!$A$4:$Q$275,17,FALSE))</f>
        <v>non pertinent / nicht relevant</v>
      </c>
      <c r="AZ64" s="749" t="str">
        <f>IF(VLOOKUP(A64,'Eclusée - Schwall-Sunk'!$A$2:$F$273,5,FALSE)="","",VLOOKUP(A64,'Eclusée - Schwall-Sunk'!$A$2:$F$273,5,FALSE))</f>
        <v/>
      </c>
      <c r="BA64" s="750" t="str">
        <f>IF(VLOOKUP(A64,'Eclusée - Schwall-Sunk'!$A$2:$F$273,6,FALSE)="","",VLOOKUP(A64,'Eclusée - Schwall-Sunk'!$A$2:$F$273,6,FALSE))</f>
        <v>Non affecté / nicht betroffen</v>
      </c>
      <c r="BB64" s="751" t="str">
        <f>IF(VLOOKUP(A64,'Revitalisation-Revitalisierung'!$A$4:$Z$275,5,FALSE)="","",VLOOKUP(A64,'Revitalisation-Revitalisierung'!$A$4:$Z$275,5,FALSE))</f>
        <v/>
      </c>
      <c r="BC64" s="752" t="str">
        <f>IF(VLOOKUP(A64,'Revitalisation-Revitalisierung'!$A$4:$Z$275,6,FALSE)="","",VLOOKUP(A64,'Revitalisation-Revitalisierung'!$A$4:$Z$275,6,FALSE))</f>
        <v/>
      </c>
      <c r="BD64" s="752" t="str">
        <f>IF(VLOOKUP(A64,'Revitalisation-Revitalisierung'!$A$4:$Z$275,7,FALSE)="","",VLOOKUP(A64,'Revitalisation-Revitalisierung'!$A$4:$Z$275,7,FALSE))</f>
        <v/>
      </c>
      <c r="BE64" s="753" t="str">
        <f>IF(VLOOKUP(A64,'Revitalisation-Revitalisierung'!$A$4:$Z$275,8,FALSE)="","",VLOOKUP(A64,'Revitalisation-Revitalisierung'!$A$4:$Z$275,8,FALSE))</f>
        <v/>
      </c>
      <c r="BF64" s="754" t="str">
        <f>IF(VLOOKUP(A64,'Revitalisation-Revitalisierung'!$A$4:$Z$275,9,FALSE)="","",VLOOKUP(A64,'Revitalisation-Revitalisierung'!$A$4:$Z$275,9,FALSE))</f>
        <v/>
      </c>
      <c r="BG64" s="754" t="str">
        <f>IF(VLOOKUP(A64,'Revitalisation-Revitalisierung'!$A$4:$Z$275,10,FALSE)="","",VLOOKUP(A64,'Revitalisation-Revitalisierung'!$A$4:$Z$275,10,FALSE))</f>
        <v>K1</v>
      </c>
      <c r="BH64" s="755" t="str">
        <f>IF(VLOOKUP(A64,'Revitalisation-Revitalisierung'!$A$4:$Z$275,11,FALSE)="","",VLOOKUP(A64,'Revitalisation-Revitalisierung'!$A$4:$Z$275,11,FALSE))</f>
        <v>peu nécessaire, facile</v>
      </c>
      <c r="BI64" s="756" t="str">
        <f>IF(VLOOKUP(A64,'Revitalisation-Revitalisierung'!$A$4:$Z$275,12,FALSE)="","",VLOOKUP(A64,'Revitalisation-Revitalisierung'!$A$4:$Z$275,12,FALSE))</f>
        <v>communautés de bas-marais bien présentes</v>
      </c>
      <c r="BJ64" s="757" t="str">
        <f>IF(VLOOKUP(A64,'Revitalisation-Revitalisierung'!$A$4:$Z$275,13,FALSE)="","",VLOOKUP(A64,'Revitalisation-Revitalisierung'!$A$4:$Z$275,13,FALSE))</f>
        <v>Non nécessaire / nicht nötig</v>
      </c>
      <c r="BK64" s="870" t="str">
        <f>IF(VLOOKUP(A64,'Revitalisation-Revitalisierung'!$A$4:$Z$275,14,FALSE)="","",VLOOKUP(A64,'Revitalisation-Revitalisierung'!$A$4:$Z$275,14,FALSE))</f>
        <v>b</v>
      </c>
      <c r="BL64" s="758">
        <f>IF(VLOOKUP(A64,'Revitalisation-Revitalisierung'!$A$4:$Z$275,15,FALSE)="","",VLOOKUP(A64,'Revitalisation-Revitalisierung'!$A$4:$Z$275,15,FALSE))</f>
        <v>0</v>
      </c>
      <c r="BM64" s="759">
        <f>IF(VLOOKUP(A64,'Revitalisation-Revitalisierung'!$A$4:$Z$275,16,FALSE)="","",VLOOKUP(A64,'Revitalisation-Revitalisierung'!$A$4:$Z$275,16,FALSE))</f>
        <v>0</v>
      </c>
      <c r="BN64" s="759">
        <f>IF(VLOOKUP(A64,'Revitalisation-Revitalisierung'!$A$4:$Z$275,17,FALSE)="","",VLOOKUP(A64,'Revitalisation-Revitalisierung'!$A$4:$Z$275,17,FALSE))</f>
        <v>0</v>
      </c>
      <c r="BO64" s="760" t="str">
        <f>IF(VLOOKUP(A64,'Revitalisation-Revitalisierung'!$A$4:$Z$275,18,FALSE)="","",VLOOKUP(A64,'Revitalisation-Revitalisierung'!$A$4:$Z$275,18,FALSE))</f>
        <v>Très nécessaire, facile / unbedingt nötig, einfach</v>
      </c>
      <c r="BP64" s="761" t="str">
        <f>IF(VLOOKUP(A64,'Revitalisation-Revitalisierung'!$A$4:$Z$275,19,FALSE)="","",VLOOKUP(A64,'Revitalisation-Revitalisierung'!$A$4:$Z$275,19,FALSE))</f>
        <v>Très nécessaire, facile / unbedingt nötig, einfach</v>
      </c>
      <c r="BQ64" s="759" t="str">
        <f>IF(VLOOKUP(A64,'Revitalisation-Revitalisierung'!$A$4:$Z$275,20,FALSE)="","",VLOOKUP(A64,'Revitalisation-Revitalisierung'!$A$4:$Z$275,20,FALSE))</f>
        <v>c</v>
      </c>
      <c r="BR64" s="759" t="str">
        <f>IF(VLOOKUP(A64,'Revitalisation-Revitalisierung'!$A$4:$Z$275,21,FALSE)="","",VLOOKUP(A64,'Revitalisation-Revitalisierung'!$A$4:$Z$275,21,FALSE))</f>
        <v>concerne la rive lacustre</v>
      </c>
      <c r="BS64" s="762" t="str">
        <f>IF(VLOOKUP(A64,'Revitalisation-Revitalisierung'!$A$4:$Z$275,22,FALSE)="","",VLOOKUP(A64,'Revitalisation-Revitalisierung'!$A$4:$Z$275,22,FALSE))</f>
        <v>X</v>
      </c>
      <c r="BT64" s="703" t="str">
        <f>IF(VLOOKUP(A64,'Revitalisation-Revitalisierung'!$A$4:$Z$275,23,FALSE)="","",VLOOKUP(A64,'Revitalisation-Revitalisierung'!$A$4:$Z$275,23,FALSE))</f>
        <v>nicht relevant oder nicht nötig</v>
      </c>
      <c r="BU64" s="699" t="str">
        <f>IF(VLOOKUP(A64,'Revitalisation-Revitalisierung'!$A$4:$Z$275,24,FALSE)="","",VLOOKUP(A64,'Revitalisation-Revitalisierung'!$A$4:$Z$275,24,FALSE))</f>
        <v>Zielkonflikt FM, ALG, Aue, Artenschutz.Kein Handlungsbedarf für Aue, sondern klarer Handlungsbedarf für FM und Artenschutz.</v>
      </c>
      <c r="BV64" s="761" t="str">
        <f>IF(VLOOKUP(A64,'Revitalisation-Revitalisierung'!$A$4:$Z$275,25,FALSE)="","",VLOOKUP(A64,'Revitalisation-Revitalisierung'!$A$4:$Z$275,25,FALSE))</f>
        <v>Non nécessaire / nicht nötig</v>
      </c>
      <c r="BW64" s="871" t="str">
        <f>IF(VLOOKUP(A64,'Revitalisation-Revitalisierung'!$A$4:$AA$275,27,FALSE)="","",VLOOKUP(A64,'Revitalisation-Revitalisierung'!$A$4:$AA$275,27,FALSE))</f>
        <v>b</v>
      </c>
    </row>
    <row r="65" spans="1:75" ht="76.150000000000006" customHeight="1" x14ac:dyDescent="0.25">
      <c r="A65" s="935">
        <v>80</v>
      </c>
      <c r="B65" s="856">
        <f>IF(VLOOKUP(A65,'Données de base - Grunddaten'!$A$2:$M$297,2,FALSE)="","",VLOOKUP(A65,'Données de base - Grunddaten'!$A$2:$M$297,2,FALSE))</f>
        <v>1</v>
      </c>
      <c r="C65" s="857" t="str">
        <f>IF(VLOOKUP(A65,'Données de base - Grunddaten'!$A$2:$M$297,3,FALSE)="","",VLOOKUP(A65,'Données de base - Grunddaten'!$A$2:$M$297,3,FALSE))</f>
        <v>Chappelistutz</v>
      </c>
      <c r="D65" s="857" t="str">
        <f>IF(VLOOKUP(A65,'Données de base - Grunddaten'!$A$2:$M$297,4,FALSE)="","",VLOOKUP(A65,'Données de base - Grunddaten'!$A$2:$M$297,4,FALSE))</f>
        <v>Lütschine</v>
      </c>
      <c r="E65" s="857" t="str">
        <f>IF(VLOOKUP(A65,'Données de base - Grunddaten'!$A$2:$M$297,5,FALSE)="","",VLOOKUP(A65,'Données de base - Grunddaten'!$A$2:$M$297,5,FALSE))</f>
        <v>BE</v>
      </c>
      <c r="F65" s="857" t="str">
        <f>IF(VLOOKUP(A65,'Données de base - Grunddaten'!$A$2:$M$297,6,FALSE)="","",VLOOKUP(A65,'Données de base - Grunddaten'!$A$2:$M$297,6,FALSE))</f>
        <v>Alpes septentrionales</v>
      </c>
      <c r="G65" s="857" t="str">
        <f>IF(VLOOKUP(A65,'Données de base - Grunddaten'!$A$2:$M$297,7,FALSE)="","",VLOOKUP(A65,'Données de base - Grunddaten'!$A$2:$M$297,7,FALSE))</f>
        <v>Montagnard inf.</v>
      </c>
      <c r="H65" s="857">
        <f>IF(VLOOKUP(A65,'Données de base - Grunddaten'!$A$2:$M$297,8,FALSE)="","",VLOOKUP(A65,'Données de base - Grunddaten'!$A$2:$M$297,8,FALSE))</f>
        <v>640</v>
      </c>
      <c r="I65" s="857">
        <f>IF(VLOOKUP(A65,'Données de base - Grunddaten'!$A$2:$M$297,9,FALSE)="","",VLOOKUP(A65,'Données de base - Grunddaten'!$A$2:$M$297,9,FALSE))</f>
        <v>1992</v>
      </c>
      <c r="J65" s="857">
        <f>IF(VLOOKUP(A65,'Données de base - Grunddaten'!$A$2:$M$297,10,FALSE)="","",VLOOKUP(A65,'Données de base - Grunddaten'!$A$2:$M$297,10,FALSE))</f>
        <v>42</v>
      </c>
      <c r="K65" s="857" t="str">
        <f>IF(VLOOKUP(A65,'Données de base - Grunddaten'!$A$2:$M$297,11,FALSE)="","",VLOOKUP(A65,'Données de base - Grunddaten'!$A$2:$M$297,11,FALSE))</f>
        <v>Cours d'eau corrigés de l'étage montagnard</v>
      </c>
      <c r="L65" s="857" t="str">
        <f>IF(VLOOKUP(A65,'Données de base - Grunddaten'!$A$2:$M$297,12,FALSE)="","",VLOOKUP(A65,'Données de base - Grunddaten'!$A$2:$M$297,12,FALSE))</f>
        <v>en méandres migrants</v>
      </c>
      <c r="M65" s="858" t="str">
        <f>IF(VLOOKUP(A65,'Données de base - Grunddaten'!$A$2:$M$297,13,FALSE)="","",VLOOKUP(A65,'Données de base - Grunddaten'!$A$2:$M$297,13,FALSE))</f>
        <v>en méandres migrants</v>
      </c>
      <c r="N65" s="872" t="str">
        <f>IF(VLOOKUP(A65,'Charriage - Geschiebehaushalt'!$A$4:$R$275,5,FALSE)="","",VLOOKUP(A65,'Charriage - Geschiebehaushalt'!$A$4:$R$275,5,FALSE))</f>
        <v>pertinent</v>
      </c>
      <c r="O65" s="881" t="str">
        <f>IF(VLOOKUP(A65,'Charriage - Geschiebehaushalt'!$A$4:$R$275,6,FALSE)="","",VLOOKUP(A65,'Charriage - Geschiebehaushalt'!$A$4:$R$275,6,FALSE))</f>
        <v>non documenté</v>
      </c>
      <c r="P65" s="874" t="str">
        <f>IF(VLOOKUP(A65,'Charriage - Geschiebehaushalt'!$A$4:$R$275,7,FALSE)="","",VLOOKUP(A65,'Charriage - Geschiebehaushalt'!$A$4:$R$275,7,FALSE))</f>
        <v/>
      </c>
      <c r="Q65" s="874" t="str">
        <f>IF(VLOOKUP(A65,'Charriage - Geschiebehaushalt'!$A$4:$R$275,8,FALSE)="","",VLOOKUP(A65,'Charriage - Geschiebehaushalt'!$A$4:$R$275,8,FALSE))</f>
        <v>non documenté</v>
      </c>
      <c r="R65" s="875">
        <f>IF(VLOOKUP(A65,'Charriage - Geschiebehaushalt'!$A$4:$R$275,9,FALSE)="","",VLOOKUP(A65,'Charriage - Geschiebehaushalt'!$A$4:$R$275,9,FALSE))</f>
        <v>0.37634819072995501</v>
      </c>
      <c r="S65" s="895" t="str">
        <f>IF(VLOOKUP(A65,'Charriage - Geschiebehaushalt'!$A$4:$R$275,10,FALSE)="","",VLOOKUP(A65,'Charriage - Geschiebehaushalt'!$A$4:$R$275,10,FALSE))</f>
        <v>la remobilisation des sédiments est perturbée</v>
      </c>
      <c r="T65" s="875">
        <f>IF(VLOOKUP(A65,'Charriage - Geschiebehaushalt'!$A$4:$R$275,11,FALSE)="","",VLOOKUP(A65,'Charriage - Geschiebehaushalt'!$A$4:$R$275,11,FALSE))</f>
        <v>8.0401557449000002E-2</v>
      </c>
      <c r="U65" s="876" t="str">
        <f>IF(VLOOKUP(A65,'Charriage - Geschiebehaushalt'!$A$4:$R$275,12,FALSE)="","",VLOOKUP(A65,'Charriage - Geschiebehaushalt'!$A$4:$R$275,12,FALSE))</f>
        <v>déficit dans les formations pionnières</v>
      </c>
      <c r="V65" s="877" t="str">
        <f>IF(VLOOKUP(A65,'Charriage - Geschiebehaushalt'!$A$4:$R$275,13,FALSE)="","",VLOOKUP(A65,'Charriage - Geschiebehaushalt'!$A$4:$R$275,13,FALSE))</f>
        <v/>
      </c>
      <c r="W65" s="877" t="str">
        <f>IF(VLOOKUP(A65,'Charriage - Geschiebehaushalt'!$A$4:$R$275,14,FALSE)="","",VLOOKUP(A65,'Charriage - Geschiebehaushalt'!$A$4:$R$275,14,FALSE))</f>
        <v/>
      </c>
      <c r="X65" s="877" t="str">
        <f>IF(VLOOKUP(A65,'Charriage - Geschiebehaushalt'!$A$4:$R$275,15,FALSE)="","",VLOOKUP(A65,'Charriage - Geschiebehaushalt'!$A$4:$R$275,15,FALSE))</f>
        <v/>
      </c>
      <c r="Y65" s="879" t="str">
        <f>IF(VLOOKUP(A65,'Charriage - Geschiebehaushalt'!$A$4:$R$275,16,FALSE)="","",VLOOKUP(A65,'Charriage - Geschiebehaushalt'!$A$4:$R$275,16,FALSE))</f>
        <v/>
      </c>
      <c r="Z65" s="763" t="str">
        <f>IF(VLOOKUP(A65,'Charriage - Geschiebehaushalt'!$A$4:$R$275,17,FALSE)="","",VLOOKUP(A65,'Charriage - Geschiebehaushalt'!$A$4:$R$275,17,FALSE))</f>
        <v>La remobilisation des sédiments est perturbée / Mobilisierung von Geschiebe beeinträchtigt</v>
      </c>
      <c r="AA65" s="880" t="str">
        <f>IF(VLOOKUP(A65,'Charriage - Geschiebehaushalt'!$A$4:$R$275,18,FALSE)="","",VLOOKUP(A65,'Charriage - Geschiebehaushalt'!$A$4:$R$275,18,FALSE))</f>
        <v>b</v>
      </c>
      <c r="AB65" s="737" t="str">
        <f>IF(VLOOKUP(A65,'Charriage - Geschiebehaushalt'!$A$4:$AC$275,19,FALSE)="","",VLOOKUP(A65,'Charriage - Geschiebehaushalt'!$A$4:$AC$275,19,FALSE))</f>
        <v>gering</v>
      </c>
      <c r="AC65" s="738" t="str">
        <f>IF(VLOOKUP(A65,'Charriage - Geschiebehaushalt'!$A$4:$AC$275,20,FALSE)="","",VLOOKUP(A65,'Charriage - Geschiebehaushalt'!$A$4:$AC$275,20,FALSE))</f>
        <v>kein HB</v>
      </c>
      <c r="AD65" s="764" t="str">
        <f>IF(VLOOKUP(A65,'Charriage - Geschiebehaushalt'!$A$4:$AC$275,21,FALSE)="","",VLOOKUP(A65,'Charriage - Geschiebehaushalt'!$A$4:$AC$275,21,FALSE))</f>
        <v>21-50%</v>
      </c>
      <c r="AE65" s="772" t="str">
        <f>IF(VLOOKUP(A65,'Charriage - Geschiebehaushalt'!$A$4:$AC$275,22,FALSE)="","",VLOOKUP(A65,'Charriage - Geschiebehaushalt'!$A$4:$AC$275,22,FALSE))</f>
        <v>21-50%</v>
      </c>
      <c r="AF65" s="787" t="str">
        <f>IF(VLOOKUP(A65,'Charriage - Geschiebehaushalt'!$A$4:$AC$275,23,FALSE)="","",VLOOKUP(A65,'Charriage - Geschiebehaushalt'!$A$4:$AC$275,23,FALSE))</f>
        <v>d</v>
      </c>
      <c r="AG65" s="765" t="str">
        <f>IF(VLOOKUP(A65,'Charriage - Geschiebehaushalt'!$A$4:$AC$275,24,FALSE)="","",VLOOKUP(A65,'Charriage - Geschiebehaushalt'!$A$4:$AC$275,24,FALSE))</f>
        <v/>
      </c>
      <c r="AH65" s="764" t="str">
        <f>IF(VLOOKUP(A65,'Charriage - Geschiebehaushalt'!$A$4:$AC$275,25,FALSE)="","",VLOOKUP(A65,'Charriage - Geschiebehaushalt'!$A$4:$AC$275,25,FALSE))</f>
        <v/>
      </c>
      <c r="AI65" s="433" t="str">
        <f>IF(VLOOKUP(A65,'Charriage - Geschiebehaushalt'!$A$4:$AC$275,26,FALSE)="","",VLOOKUP(A65,'Charriage - Geschiebehaushalt'!$A$4:$AC$275,26,FALSE))</f>
        <v/>
      </c>
      <c r="AJ65" s="434" t="str">
        <f>IF(VLOOKUP(A65,'Charriage - Geschiebehaushalt'!$A$4:$AC$275,27,FALSE)="","",VLOOKUP(A65,'Charriage - Geschiebehaushalt'!$A$4:$AC$275,27,FALSE))</f>
        <v/>
      </c>
      <c r="AK65" s="814" t="str">
        <f>IF(VLOOKUP(A65,'Charriage - Geschiebehaushalt'!$A$4:$AC$275,28,FALSE)="","",VLOOKUP(A65,'Charriage - Geschiebehaushalt'!$A$4:$AC$275,28,FALSE))</f>
        <v>21-50%</v>
      </c>
      <c r="AL65" s="1285" t="str">
        <f>IF(VLOOKUP(A65,'Charriage - Geschiebehaushalt'!$A$4:$AD$275,30,FALSE)="","",VLOOKUP(A65,'Charriage - Geschiebehaushalt'!$A$4:$AD$275,30,FALSE))</f>
        <v>a</v>
      </c>
      <c r="AM65" s="1279" t="str">
        <f>IF(VLOOKUP(A65,'Débit - Abfluss'!$A$4:$K$275,5,FALSE)="","",VLOOKUP(A65,'Débit - Abfluss'!$A$4:$M$275,5,FALSE))</f>
        <v>100%</v>
      </c>
      <c r="AN65" s="868" t="str">
        <f>IF(VLOOKUP(A65,'Débit - Abfluss'!$A$4:$K$275,6,FALSE)="","",VLOOKUP(A65,'Débit - Abfluss'!$A$4:$M$275,6,FALSE))</f>
        <v>aucune information supplémentaire</v>
      </c>
      <c r="AO65" s="869" t="str">
        <f>IF(VLOOKUP(A65,'Débit - Abfluss'!$A$4:$K$275,7,FALSE)="","",VLOOKUP(A65,'Débit - Abfluss'!$A$4:$M$275,7,FALSE))</f>
        <v>aucune information supplémentaire</v>
      </c>
      <c r="AP65" s="766" t="str">
        <f>IF(VLOOKUP(A65,'Débit - Abfluss'!$A$4:$K$275,8,FALSE)="","",VLOOKUP(A65,'Débit - Abfluss'!$A$4:$M$275,8,FALSE))</f>
        <v>100%</v>
      </c>
      <c r="AQ65" s="742" t="str">
        <f>IF(VLOOKUP(A65,'Débit - Abfluss'!$A$4:$K$275,9,FALSE)="","",VLOOKUP(A65,'Débit - Abfluss'!$A$4:$M$275,9,FALSE))</f>
        <v>-</v>
      </c>
      <c r="AR65" s="767" t="str">
        <f>IF(VLOOKUP(A65,'Débit - Abfluss'!$A$4:$K$275,10,FALSE)="","",VLOOKUP(A65,'Débit - Abfluss'!$A$4:$M$275,10,FALSE))</f>
        <v>100%</v>
      </c>
      <c r="AS65" s="767" t="str">
        <f>IF(VLOOKUP(A65,'Débit - Abfluss'!$A$4:$K$275,11,FALSE)="","",VLOOKUP(A65,'Débit - Abfluss'!$A$4:$M$275,11,FALSE))</f>
        <v/>
      </c>
      <c r="AT65" s="744" t="str">
        <f>IF(VLOOKUP(A65,'Débit - Abfluss'!$A$4:$Q$275,12,FALSE)="","",VLOOKUP(A65,'Débit - Abfluss'!$A$4:$Q$275,12,FALSE))</f>
        <v/>
      </c>
      <c r="AU65" s="745" t="str">
        <f>IF(VLOOKUP(A65,'Débit - Abfluss'!$A$4:$Q$275,13,FALSE)="","",VLOOKUP(A65,'Débit - Abfluss'!$A$4:$Q$275,13,FALSE))</f>
        <v/>
      </c>
      <c r="AV65" s="746" t="str">
        <f>IF(VLOOKUP(A65,'Débit - Abfluss'!$A$4:$Q$275,14,FALSE)="","",VLOOKUP(A65,'Débit - Abfluss'!$A$4:$Q$275,14,FALSE))</f>
        <v/>
      </c>
      <c r="AW65" s="768" t="str">
        <f>IF(VLOOKUP(A65,'Débit - Abfluss'!$A$4:$Q$275,15,FALSE)="","",VLOOKUP(A65,'Débit - Abfluss'!$A$4:$Q$275,15,FALSE))</f>
        <v/>
      </c>
      <c r="AX65" s="677" t="str">
        <f>IF(VLOOKUP(A65,'Débit - Abfluss'!$A$4:$Q$275,16,FALSE)="","",VLOOKUP(A65,'Débit - Abfluss'!$A$4:$Q$275,16,FALSE))</f>
        <v/>
      </c>
      <c r="AY65" s="769" t="str">
        <f>IF(VLOOKUP(A65,'Débit - Abfluss'!$A$4:$Q$275,17,FALSE)="","",VLOOKUP(A65,'Débit - Abfluss'!$A$4:$Q$275,17,FALSE))</f>
        <v>100%</v>
      </c>
      <c r="AZ65" s="749" t="str">
        <f>IF(VLOOKUP(A65,'Eclusée - Schwall-Sunk'!$A$2:$F$273,5,FALSE)="","",VLOOKUP(A65,'Eclusée - Schwall-Sunk'!$A$2:$F$273,5,FALSE))</f>
        <v/>
      </c>
      <c r="BA65" s="750" t="str">
        <f>IF(VLOOKUP(A65,'Eclusée - Schwall-Sunk'!$A$2:$F$273,6,FALSE)="","",VLOOKUP(A65,'Eclusée - Schwall-Sunk'!$A$2:$F$273,6,FALSE))</f>
        <v>Non affecté / nicht betroffen</v>
      </c>
      <c r="BB65" s="751" t="str">
        <f>IF(VLOOKUP(A65,'Revitalisation-Revitalisierung'!$A$4:$Z$275,5,FALSE)="","",VLOOKUP(A65,'Revitalisation-Revitalisierung'!$A$4:$Z$275,5,FALSE))</f>
        <v/>
      </c>
      <c r="BC65" s="752" t="str">
        <f>IF(VLOOKUP(A65,'Revitalisation-Revitalisierung'!$A$4:$Z$275,6,FALSE)="","",VLOOKUP(A65,'Revitalisation-Revitalisierung'!$A$4:$Z$275,6,FALSE))</f>
        <v/>
      </c>
      <c r="BD65" s="752" t="str">
        <f>IF(VLOOKUP(A65,'Revitalisation-Revitalisierung'!$A$4:$Z$275,7,FALSE)="","",VLOOKUP(A65,'Revitalisation-Revitalisierung'!$A$4:$Z$275,7,FALSE))</f>
        <v/>
      </c>
      <c r="BE65" s="753" t="str">
        <f>IF(VLOOKUP(A65,'Revitalisation-Revitalisierung'!$A$4:$Z$275,8,FALSE)="","",VLOOKUP(A65,'Revitalisation-Revitalisierung'!$A$4:$Z$275,8,FALSE))</f>
        <v/>
      </c>
      <c r="BF65" s="754" t="str">
        <f>IF(VLOOKUP(A65,'Revitalisation-Revitalisierung'!$A$4:$Z$275,9,FALSE)="","",VLOOKUP(A65,'Revitalisation-Revitalisierung'!$A$4:$Z$275,9,FALSE))</f>
        <v/>
      </c>
      <c r="BG65" s="754" t="str">
        <f>IF(VLOOKUP(A65,'Revitalisation-Revitalisierung'!$A$4:$Z$275,10,FALSE)="","",VLOOKUP(A65,'Revitalisation-Revitalisierung'!$A$4:$Z$275,10,FALSE))</f>
        <v>K3</v>
      </c>
      <c r="BH65" s="755" t="str">
        <f>IF(VLOOKUP(A65,'Revitalisation-Revitalisierung'!$A$4:$Z$275,11,FALSE)="","",VLOOKUP(A65,'Revitalisation-Revitalisierung'!$A$4:$Z$275,11,FALSE))</f>
        <v>très nécessaire, difficile</v>
      </c>
      <c r="BI65" s="756" t="str">
        <f>IF(VLOOKUP(A65,'Revitalisation-Revitalisierung'!$A$4:$Z$275,12,FALSE)="","",VLOOKUP(A65,'Revitalisation-Revitalisierung'!$A$4:$Z$275,12,FALSE))</f>
        <v>méandres qui ne migrent plus vraiment.</v>
      </c>
      <c r="BJ65" s="757" t="str">
        <f>IF(VLOOKUP(A65,'Revitalisation-Revitalisierung'!$A$4:$Z$275,13,FALSE)="","",VLOOKUP(A65,'Revitalisation-Revitalisierung'!$A$4:$Z$275,13,FALSE))</f>
        <v>Très nécessaire, difficile / unbedingt nötig, schwierig</v>
      </c>
      <c r="BK65" s="870" t="str">
        <f>IF(VLOOKUP(A65,'Revitalisation-Revitalisierung'!$A$4:$Z$275,14,FALSE)="","",VLOOKUP(A65,'Revitalisation-Revitalisierung'!$A$4:$Z$275,14,FALSE))</f>
        <v>b</v>
      </c>
      <c r="BL65" s="758" t="str">
        <f>IF(VLOOKUP(A65,'Revitalisation-Revitalisierung'!$A$4:$Z$275,15,FALSE)="","",VLOOKUP(A65,'Revitalisation-Revitalisierung'!$A$4:$Z$275,15,FALSE))</f>
        <v>gross</v>
      </c>
      <c r="BM65" s="759" t="str">
        <f>IF(VLOOKUP(A65,'Revitalisation-Revitalisierung'!$A$4:$Z$275,16,FALSE)="","",VLOOKUP(A65,'Revitalisation-Revitalisierung'!$A$4:$Z$275,16,FALSE))</f>
        <v>gross</v>
      </c>
      <c r="BN65" s="759" t="str">
        <f>IF(VLOOKUP(A65,'Revitalisation-Revitalisierung'!$A$4:$Z$275,17,FALSE)="","",VLOOKUP(A65,'Revitalisation-Revitalisierung'!$A$4:$Z$275,17,FALSE))</f>
        <v>hoch</v>
      </c>
      <c r="BO65" s="760" t="str">
        <f>IF(VLOOKUP(A65,'Revitalisation-Revitalisierung'!$A$4:$Z$275,18,FALSE)="","",VLOOKUP(A65,'Revitalisation-Revitalisierung'!$A$4:$Z$275,18,FALSE))</f>
        <v>Très nécessaire, difficile / unbedingt nötig, schwierig</v>
      </c>
      <c r="BP65" s="761" t="str">
        <f>IF(VLOOKUP(A65,'Revitalisation-Revitalisierung'!$A$4:$Z$275,19,FALSE)="","",VLOOKUP(A65,'Revitalisation-Revitalisierung'!$A$4:$Z$275,19,FALSE))</f>
        <v>Très nécessaire, difficile / unbedingt nötig, schwierig</v>
      </c>
      <c r="BQ65" s="759" t="str">
        <f>IF(VLOOKUP(A65,'Revitalisation-Revitalisierung'!$A$4:$Z$275,20,FALSE)="","",VLOOKUP(A65,'Revitalisation-Revitalisierung'!$A$4:$Z$275,20,FALSE))</f>
        <v>d</v>
      </c>
      <c r="BR65" s="759" t="str">
        <f>IF(VLOOKUP(A65,'Revitalisation-Revitalisierung'!$A$4:$Z$275,21,FALSE)="","",VLOOKUP(A65,'Revitalisation-Revitalisierung'!$A$4:$Z$275,21,FALSE))</f>
        <v/>
      </c>
      <c r="BS65" s="762" t="str">
        <f>IF(VLOOKUP(A65,'Revitalisation-Revitalisierung'!$A$4:$Z$275,22,FALSE)="","",VLOOKUP(A65,'Revitalisation-Revitalisierung'!$A$4:$Z$275,22,FALSE))</f>
        <v/>
      </c>
      <c r="BT65" s="703" t="str">
        <f>IF(VLOOKUP(A65,'Revitalisation-Revitalisierung'!$A$4:$Z$275,23,FALSE)="","",VLOOKUP(A65,'Revitalisation-Revitalisierung'!$A$4:$Z$275,23,FALSE))</f>
        <v/>
      </c>
      <c r="BU65" s="704" t="str">
        <f>IF(VLOOKUP(A65,'Revitalisation-Revitalisierung'!$A$4:$Z$275,24,FALSE)="","",VLOOKUP(A65,'Revitalisation-Revitalisierung'!$A$4:$Z$275,24,FALSE))</f>
        <v>ok</v>
      </c>
      <c r="BV65" s="761" t="str">
        <f>IF(VLOOKUP(A65,'Revitalisation-Revitalisierung'!$A$4:$Z$275,25,FALSE)="","",VLOOKUP(A65,'Revitalisation-Revitalisierung'!$A$4:$Z$275,25,FALSE))</f>
        <v>Très nécessaire, difficile / unbedingt nötig, schwierig</v>
      </c>
      <c r="BW65" s="871" t="str">
        <f>IF(VLOOKUP(A65,'Revitalisation-Revitalisierung'!$A$4:$AA$275,27,FALSE)="","",VLOOKUP(A65,'Revitalisation-Revitalisierung'!$A$4:$AA$275,27,FALSE))</f>
        <v>a</v>
      </c>
    </row>
    <row r="66" spans="1:75" ht="60.6" customHeight="1" x14ac:dyDescent="0.25">
      <c r="A66" s="935">
        <v>81</v>
      </c>
      <c r="B66" s="856">
        <f>IF(VLOOKUP(A66,'Données de base - Grunddaten'!$A$2:$M$297,2,FALSE)="","",VLOOKUP(A66,'Données de base - Grunddaten'!$A$2:$M$297,2,FALSE))</f>
        <v>1</v>
      </c>
      <c r="C66" s="857" t="str">
        <f>IF(VLOOKUP(A66,'Données de base - Grunddaten'!$A$2:$M$297,3,FALSE)="","",VLOOKUP(A66,'Données de base - Grunddaten'!$A$2:$M$297,3,FALSE))</f>
        <v>In Erlen</v>
      </c>
      <c r="D66" s="857" t="str">
        <f>IF(VLOOKUP(A66,'Données de base - Grunddaten'!$A$2:$M$297,4,FALSE)="","",VLOOKUP(A66,'Données de base - Grunddaten'!$A$2:$M$297,4,FALSE))</f>
        <v>Weisse Lütschine, Schwarze Lütschine</v>
      </c>
      <c r="E66" s="857" t="str">
        <f>IF(VLOOKUP(A66,'Données de base - Grunddaten'!$A$2:$M$297,5,FALSE)="","",VLOOKUP(A66,'Données de base - Grunddaten'!$A$2:$M$297,5,FALSE))</f>
        <v>BE</v>
      </c>
      <c r="F66" s="857" t="str">
        <f>IF(VLOOKUP(A66,'Données de base - Grunddaten'!$A$2:$M$297,6,FALSE)="","",VLOOKUP(A66,'Données de base - Grunddaten'!$A$2:$M$297,6,FALSE))</f>
        <v>Alpes septentrionales</v>
      </c>
      <c r="G66" s="857" t="str">
        <f>IF(VLOOKUP(A66,'Données de base - Grunddaten'!$A$2:$M$297,7,FALSE)="","",VLOOKUP(A66,'Données de base - Grunddaten'!$A$2:$M$297,7,FALSE))</f>
        <v>Montagnard sup.</v>
      </c>
      <c r="H66" s="857">
        <f>IF(VLOOKUP(A66,'Données de base - Grunddaten'!$A$2:$M$297,8,FALSE)="","",VLOOKUP(A66,'Données de base - Grunddaten'!$A$2:$M$297,8,FALSE))</f>
        <v>960</v>
      </c>
      <c r="I66" s="857">
        <f>IF(VLOOKUP(A66,'Données de base - Grunddaten'!$A$2:$M$297,9,FALSE)="","",VLOOKUP(A66,'Données de base - Grunddaten'!$A$2:$M$297,9,FALSE))</f>
        <v>1992</v>
      </c>
      <c r="J66" s="857">
        <f>IF(VLOOKUP(A66,'Données de base - Grunddaten'!$A$2:$M$297,10,FALSE)="","",VLOOKUP(A66,'Données de base - Grunddaten'!$A$2:$M$297,10,FALSE))</f>
        <v>42</v>
      </c>
      <c r="K66" s="857" t="str">
        <f>IF(VLOOKUP(A66,'Données de base - Grunddaten'!$A$2:$M$297,11,FALSE)="","",VLOOKUP(A66,'Données de base - Grunddaten'!$A$2:$M$297,11,FALSE))</f>
        <v>Cours d'eau corrigés de l'étage montagnard</v>
      </c>
      <c r="L66" s="857" t="str">
        <f>IF(VLOOKUP(A66,'Données de base - Grunddaten'!$A$2:$M$297,12,FALSE)="","",VLOOKUP(A66,'Données de base - Grunddaten'!$A$2:$M$297,12,FALSE))</f>
        <v>en tresses</v>
      </c>
      <c r="M66" s="858" t="str">
        <f>IF(VLOOKUP(A66,'Données de base - Grunddaten'!$A$2:$M$297,13,FALSE)="","",VLOOKUP(A66,'Données de base - Grunddaten'!$A$2:$M$297,13,FALSE))</f>
        <v>cours rectiligne (en bancs alternés)</v>
      </c>
      <c r="N66" s="872" t="str">
        <f>IF(VLOOKUP(A66,'Charriage - Geschiebehaushalt'!$A$4:$R$275,5,FALSE)="","",VLOOKUP(A66,'Charriage - Geschiebehaushalt'!$A$4:$R$275,5,FALSE))</f>
        <v>pertinent</v>
      </c>
      <c r="O66" s="873" t="str">
        <f>IF(VLOOKUP(A66,'Charriage - Geschiebehaushalt'!$A$4:$R$275,6,FALSE)="","",VLOOKUP(A66,'Charriage - Geschiebehaushalt'!$A$4:$R$275,6,FALSE))</f>
        <v>51-80%</v>
      </c>
      <c r="P66" s="874" t="str">
        <f>IF(VLOOKUP(A66,'Charriage - Geschiebehaushalt'!$A$4:$R$275,7,FALSE)="","",VLOOKUP(A66,'Charriage - Geschiebehaushalt'!$A$4:$R$275,7,FALSE))</f>
        <v/>
      </c>
      <c r="Q66" s="874" t="str">
        <f>IF(VLOOKUP(A66,'Charriage - Geschiebehaushalt'!$A$4:$R$275,8,FALSE)="","",VLOOKUP(A66,'Charriage - Geschiebehaushalt'!$A$4:$R$275,8,FALSE))</f>
        <v>non documenté</v>
      </c>
      <c r="R66" s="875">
        <f>IF(VLOOKUP(A66,'Charriage - Geschiebehaushalt'!$A$4:$R$275,9,FALSE)="","",VLOOKUP(A66,'Charriage - Geschiebehaushalt'!$A$4:$R$275,9,FALSE))</f>
        <v>0.67431905567536299</v>
      </c>
      <c r="S66" s="876" t="str">
        <f>IF(VLOOKUP(A66,'Charriage - Geschiebehaushalt'!$A$4:$R$275,10,FALSE)="","",VLOOKUP(A66,'Charriage - Geschiebehaushalt'!$A$4:$R$275,10,FALSE))</f>
        <v>la remobilisation des sédiments est perturbée</v>
      </c>
      <c r="T66" s="875">
        <f>IF(VLOOKUP(A66,'Charriage - Geschiebehaushalt'!$A$4:$R$275,11,FALSE)="","",VLOOKUP(A66,'Charriage - Geschiebehaushalt'!$A$4:$R$275,11,FALSE))</f>
        <v>0.68492681112999998</v>
      </c>
      <c r="U66" s="876" t="str">
        <f>IF(VLOOKUP(A66,'Charriage - Geschiebehaushalt'!$A$4:$R$275,12,FALSE)="","",VLOOKUP(A66,'Charriage - Geschiebehaushalt'!$A$4:$R$275,12,FALSE))</f>
        <v>déficit non apparent en charriage ou en remobilisation des sédiments</v>
      </c>
      <c r="V66" s="877" t="str">
        <f>IF(VLOOKUP(A66,'Charriage - Geschiebehaushalt'!$A$4:$R$275,13,FALSE)="","",VLOOKUP(A66,'Charriage - Geschiebehaushalt'!$A$4:$R$275,13,FALSE))</f>
        <v/>
      </c>
      <c r="W66" s="877" t="str">
        <f>IF(VLOOKUP(A66,'Charriage - Geschiebehaushalt'!$A$4:$R$275,14,FALSE)="","",VLOOKUP(A66,'Charriage - Geschiebehaushalt'!$A$4:$R$275,14,FALSE))</f>
        <v/>
      </c>
      <c r="X66" s="877" t="str">
        <f>IF(VLOOKUP(A66,'Charriage - Geschiebehaushalt'!$A$4:$R$275,15,FALSE)="","",VLOOKUP(A66,'Charriage - Geschiebehaushalt'!$A$4:$R$275,15,FALSE))</f>
        <v/>
      </c>
      <c r="Y66" s="879" t="str">
        <f>IF(VLOOKUP(A66,'Charriage - Geschiebehaushalt'!$A$4:$R$275,16,FALSE)="","",VLOOKUP(A66,'Charriage - Geschiebehaushalt'!$A$4:$R$275,16,FALSE))</f>
        <v/>
      </c>
      <c r="Z66" s="763" t="str">
        <f>IF(VLOOKUP(A66,'Charriage - Geschiebehaushalt'!$A$4:$R$275,17,FALSE)="","",VLOOKUP(A66,'Charriage - Geschiebehaushalt'!$A$4:$R$275,17,FALSE))</f>
        <v>51-80%</v>
      </c>
      <c r="AA66" s="880" t="str">
        <f>IF(VLOOKUP(A66,'Charriage - Geschiebehaushalt'!$A$4:$R$275,18,FALSE)="","",VLOOKUP(A66,'Charriage - Geschiebehaushalt'!$A$4:$R$275,18,FALSE))</f>
        <v>a</v>
      </c>
      <c r="AB66" s="737" t="str">
        <f>IF(VLOOKUP(A66,'Charriage - Geschiebehaushalt'!$A$4:$AC$275,19,FALSE)="","",VLOOKUP(A66,'Charriage - Geschiebehaushalt'!$A$4:$AC$275,19,FALSE))</f>
        <v>gering</v>
      </c>
      <c r="AC66" s="738" t="str">
        <f>IF(VLOOKUP(A66,'Charriage - Geschiebehaushalt'!$A$4:$AC$275,20,FALSE)="","",VLOOKUP(A66,'Charriage - Geschiebehaushalt'!$A$4:$AC$275,20,FALSE))</f>
        <v>kein HB</v>
      </c>
      <c r="AD66" s="764" t="str">
        <f>IF(VLOOKUP(A66,'Charriage - Geschiebehaushalt'!$A$4:$AC$275,21,FALSE)="","",VLOOKUP(A66,'Charriage - Geschiebehaushalt'!$A$4:$AC$275,21,FALSE))</f>
        <v>21-50%</v>
      </c>
      <c r="AE66" s="772" t="str">
        <f>IF(VLOOKUP(A66,'Charriage - Geschiebehaushalt'!$A$4:$AC$275,22,FALSE)="","",VLOOKUP(A66,'Charriage - Geschiebehaushalt'!$A$4:$AC$275,22,FALSE))</f>
        <v>21-50%</v>
      </c>
      <c r="AF66" s="787" t="str">
        <f>IF(VLOOKUP(A66,'Charriage - Geschiebehaushalt'!$A$4:$AC$275,23,FALSE)="","",VLOOKUP(A66,'Charriage - Geschiebehaushalt'!$A$4:$AC$275,23,FALSE))</f>
        <v>c</v>
      </c>
      <c r="AG66" s="765" t="str">
        <f>IF(VLOOKUP(A66,'Charriage - Geschiebehaushalt'!$A$4:$AC$275,24,FALSE)="","",VLOOKUP(A66,'Charriage - Geschiebehaushalt'!$A$4:$AC$275,24,FALSE))</f>
        <v/>
      </c>
      <c r="AH66" s="764" t="str">
        <f>IF(VLOOKUP(A66,'Charriage - Geschiebehaushalt'!$A$4:$AC$275,25,FALSE)="","",VLOOKUP(A66,'Charriage - Geschiebehaushalt'!$A$4:$AC$275,25,FALSE))</f>
        <v/>
      </c>
      <c r="AI66" s="433" t="str">
        <f>IF(VLOOKUP(A66,'Charriage - Geschiebehaushalt'!$A$4:$AC$275,26,FALSE)="","",VLOOKUP(A66,'Charriage - Geschiebehaushalt'!$A$4:$AC$275,26,FALSE))</f>
        <v/>
      </c>
      <c r="AJ66" s="434" t="str">
        <f>IF(VLOOKUP(A66,'Charriage - Geschiebehaushalt'!$A$4:$AC$275,27,FALSE)="","",VLOOKUP(A66,'Charriage - Geschiebehaushalt'!$A$4:$AC$275,27,FALSE))</f>
        <v/>
      </c>
      <c r="AK66" s="814" t="str">
        <f>IF(VLOOKUP(A66,'Charriage - Geschiebehaushalt'!$A$4:$AC$275,28,FALSE)="","",VLOOKUP(A66,'Charriage - Geschiebehaushalt'!$A$4:$AC$275,28,FALSE))</f>
        <v>21-50%</v>
      </c>
      <c r="AL66" s="1285" t="str">
        <f>IF(VLOOKUP(A66,'Charriage - Geschiebehaushalt'!$A$4:$AD$275,30,FALSE)="","",VLOOKUP(A66,'Charriage - Geschiebehaushalt'!$A$4:$AD$275,30,FALSE))</f>
        <v>a</v>
      </c>
      <c r="AM66" s="1279" t="str">
        <f>IF(VLOOKUP(A66,'Débit - Abfluss'!$A$4:$K$275,5,FALSE)="","",VLOOKUP(A66,'Débit - Abfluss'!$A$4:$M$275,5,FALSE))</f>
        <v>100%</v>
      </c>
      <c r="AN66" s="868" t="str">
        <f>IF(VLOOKUP(A66,'Débit - Abfluss'!$A$4:$K$275,6,FALSE)="","",VLOOKUP(A66,'Débit - Abfluss'!$A$4:$M$275,6,FALSE))</f>
        <v>aucune information supplémentaire</v>
      </c>
      <c r="AO66" s="869" t="str">
        <f>IF(VLOOKUP(A66,'Débit - Abfluss'!$A$4:$K$275,7,FALSE)="","",VLOOKUP(A66,'Débit - Abfluss'!$A$4:$M$275,7,FALSE))</f>
        <v>aucune information supplémentaire</v>
      </c>
      <c r="AP66" s="766" t="str">
        <f>IF(VLOOKUP(A66,'Débit - Abfluss'!$A$4:$K$275,8,FALSE)="","",VLOOKUP(A66,'Débit - Abfluss'!$A$4:$M$275,8,FALSE))</f>
        <v>100%</v>
      </c>
      <c r="AQ66" s="742" t="str">
        <f>IF(VLOOKUP(A66,'Débit - Abfluss'!$A$4:$K$275,9,FALSE)="","",VLOOKUP(A66,'Débit - Abfluss'!$A$4:$M$275,9,FALSE))</f>
        <v>-</v>
      </c>
      <c r="AR66" s="767" t="str">
        <f>IF(VLOOKUP(A66,'Débit - Abfluss'!$A$4:$K$275,10,FALSE)="","",VLOOKUP(A66,'Débit - Abfluss'!$A$4:$M$275,10,FALSE))</f>
        <v>100%</v>
      </c>
      <c r="AS66" s="767" t="str">
        <f>IF(VLOOKUP(A66,'Débit - Abfluss'!$A$4:$K$275,11,FALSE)="","",VLOOKUP(A66,'Débit - Abfluss'!$A$4:$M$275,11,FALSE))</f>
        <v/>
      </c>
      <c r="AT66" s="744" t="str">
        <f>IF(VLOOKUP(A66,'Débit - Abfluss'!$A$4:$Q$275,12,FALSE)="","",VLOOKUP(A66,'Débit - Abfluss'!$A$4:$Q$275,12,FALSE))</f>
        <v/>
      </c>
      <c r="AU66" s="745" t="str">
        <f>IF(VLOOKUP(A66,'Débit - Abfluss'!$A$4:$Q$275,13,FALSE)="","",VLOOKUP(A66,'Débit - Abfluss'!$A$4:$Q$275,13,FALSE))</f>
        <v/>
      </c>
      <c r="AV66" s="746" t="str">
        <f>IF(VLOOKUP(A66,'Débit - Abfluss'!$A$4:$Q$275,14,FALSE)="","",VLOOKUP(A66,'Débit - Abfluss'!$A$4:$Q$275,14,FALSE))</f>
        <v/>
      </c>
      <c r="AW66" s="768" t="str">
        <f>IF(VLOOKUP(A66,'Débit - Abfluss'!$A$4:$Q$275,15,FALSE)="","",VLOOKUP(A66,'Débit - Abfluss'!$A$4:$Q$275,15,FALSE))</f>
        <v/>
      </c>
      <c r="AX66" s="677" t="str">
        <f>IF(VLOOKUP(A66,'Débit - Abfluss'!$A$4:$Q$275,16,FALSE)="","",VLOOKUP(A66,'Débit - Abfluss'!$A$4:$Q$275,16,FALSE))</f>
        <v/>
      </c>
      <c r="AY66" s="769" t="str">
        <f>IF(VLOOKUP(A66,'Débit - Abfluss'!$A$4:$Q$275,17,FALSE)="","",VLOOKUP(A66,'Débit - Abfluss'!$A$4:$Q$275,17,FALSE))</f>
        <v>100%</v>
      </c>
      <c r="AZ66" s="749" t="str">
        <f>IF(VLOOKUP(A66,'Eclusée - Schwall-Sunk'!$A$2:$F$273,5,FALSE)="","",VLOOKUP(A66,'Eclusée - Schwall-Sunk'!$A$2:$F$273,5,FALSE))</f>
        <v/>
      </c>
      <c r="BA66" s="750" t="str">
        <f>IF(VLOOKUP(A66,'Eclusée - Schwall-Sunk'!$A$2:$F$273,6,FALSE)="","",VLOOKUP(A66,'Eclusée - Schwall-Sunk'!$A$2:$F$273,6,FALSE))</f>
        <v>Non affecté / nicht betroffen</v>
      </c>
      <c r="BB66" s="751">
        <f>IF(VLOOKUP(A66,'Revitalisation-Revitalisierung'!$A$4:$Z$275,5,FALSE)="","",VLOOKUP(A66,'Revitalisation-Revitalisierung'!$A$4:$Z$275,5,FALSE))</f>
        <v>38.200000000000003</v>
      </c>
      <c r="BC66" s="752">
        <f>IF(VLOOKUP(A66,'Revitalisation-Revitalisierung'!$A$4:$Z$275,6,FALSE)="","",VLOOKUP(A66,'Revitalisation-Revitalisierung'!$A$4:$Z$275,6,FALSE))</f>
        <v>48.15407313300333</v>
      </c>
      <c r="BD66" s="752">
        <f>IF(VLOOKUP(A66,'Revitalisation-Revitalisierung'!$A$4:$Z$275,7,FALSE)="","",VLOOKUP(A66,'Revitalisation-Revitalisierung'!$A$4:$Z$275,7,FALSE))</f>
        <v>10</v>
      </c>
      <c r="BE66" s="753" t="str">
        <f>IF(VLOOKUP(A66,'Revitalisation-Revitalisierung'!$A$4:$Z$275,8,FALSE)="","",VLOOKUP(A66,'Revitalisation-Revitalisierung'!$A$4:$Z$275,8,FALSE))</f>
        <v>très nécessaire, facile</v>
      </c>
      <c r="BF66" s="754" t="str">
        <f>IF(VLOOKUP(A66,'Revitalisation-Revitalisierung'!$A$4:$Z$275,9,FALSE)="","",VLOOKUP(A66,'Revitalisation-Revitalisierung'!$A$4:$Z$275,9,FALSE))</f>
        <v/>
      </c>
      <c r="BG66" s="754" t="str">
        <f>IF(VLOOKUP(A66,'Revitalisation-Revitalisierung'!$A$4:$Z$275,10,FALSE)="","",VLOOKUP(A66,'Revitalisation-Revitalisierung'!$A$4:$Z$275,10,FALSE))</f>
        <v>K1</v>
      </c>
      <c r="BH66" s="755" t="str">
        <f>IF(VLOOKUP(A66,'Revitalisation-Revitalisierung'!$A$4:$Z$275,11,FALSE)="","",VLOOKUP(A66,'Revitalisation-Revitalisierung'!$A$4:$Z$275,11,FALSE))</f>
        <v/>
      </c>
      <c r="BI66" s="756" t="str">
        <f>IF(VLOOKUP(A66,'Revitalisation-Revitalisierung'!$A$4:$Z$275,12,FALSE)="","",VLOOKUP(A66,'Revitalisation-Revitalisierung'!$A$4:$Z$275,12,FALSE))</f>
        <v/>
      </c>
      <c r="BJ66" s="757" t="str">
        <f>IF(VLOOKUP(A66,'Revitalisation-Revitalisierung'!$A$4:$Z$275,13,FALSE)="","",VLOOKUP(A66,'Revitalisation-Revitalisierung'!$A$4:$Z$275,13,FALSE))</f>
        <v>Très nécessaire, facile / unbedingt nötig, einfach</v>
      </c>
      <c r="BK66" s="870" t="str">
        <f>IF(VLOOKUP(A66,'Revitalisation-Revitalisierung'!$A$4:$Z$275,14,FALSE)="","",VLOOKUP(A66,'Revitalisation-Revitalisierung'!$A$4:$Z$275,14,FALSE))</f>
        <v>a</v>
      </c>
      <c r="BL66" s="758" t="str">
        <f>IF(VLOOKUP(A66,'Revitalisation-Revitalisierung'!$A$4:$Z$275,15,FALSE)="","",VLOOKUP(A66,'Revitalisation-Revitalisierung'!$A$4:$Z$275,15,FALSE))</f>
        <v>mittel</v>
      </c>
      <c r="BM66" s="759" t="str">
        <f>IF(VLOOKUP(A66,'Revitalisation-Revitalisierung'!$A$4:$Z$275,16,FALSE)="","",VLOOKUP(A66,'Revitalisation-Revitalisierung'!$A$4:$Z$275,16,FALSE))</f>
        <v>gross</v>
      </c>
      <c r="BN66" s="759" t="str">
        <f>IF(VLOOKUP(A66,'Revitalisation-Revitalisierung'!$A$4:$Z$275,17,FALSE)="","",VLOOKUP(A66,'Revitalisation-Revitalisierung'!$A$4:$Z$275,17,FALSE))</f>
        <v>hoch</v>
      </c>
      <c r="BO66" s="760" t="str">
        <f>IF(VLOOKUP(A66,'Revitalisation-Revitalisierung'!$A$4:$Z$275,18,FALSE)="","",VLOOKUP(A66,'Revitalisation-Revitalisierung'!$A$4:$Z$275,18,FALSE))</f>
        <v>Très nécessaire, facile / unbedingt nötig, einfach</v>
      </c>
      <c r="BP66" s="761" t="str">
        <f>IF(VLOOKUP(A66,'Revitalisation-Revitalisierung'!$A$4:$Z$275,19,FALSE)="","",VLOOKUP(A66,'Revitalisation-Revitalisierung'!$A$4:$Z$275,19,FALSE))</f>
        <v>Très nécessaire, facile / unbedingt nötig, einfach</v>
      </c>
      <c r="BQ66" s="759" t="str">
        <f>IF(VLOOKUP(A66,'Revitalisation-Revitalisierung'!$A$4:$Z$275,20,FALSE)="","",VLOOKUP(A66,'Revitalisation-Revitalisierung'!$A$4:$Z$275,20,FALSE))</f>
        <v>d</v>
      </c>
      <c r="BR66" s="759" t="str">
        <f>IF(VLOOKUP(A66,'Revitalisation-Revitalisierung'!$A$4:$Z$275,21,FALSE)="","",VLOOKUP(A66,'Revitalisation-Revitalisierung'!$A$4:$Z$275,21,FALSE))</f>
        <v/>
      </c>
      <c r="BS66" s="762" t="str">
        <f>IF(VLOOKUP(A66,'Revitalisation-Revitalisierung'!$A$4:$Z$275,22,FALSE)="","",VLOOKUP(A66,'Revitalisation-Revitalisierung'!$A$4:$Z$275,22,FALSE))</f>
        <v/>
      </c>
      <c r="BT66" s="703" t="str">
        <f>IF(VLOOKUP(A66,'Revitalisation-Revitalisierung'!$A$4:$Z$275,23,FALSE)="","",VLOOKUP(A66,'Revitalisation-Revitalisierung'!$A$4:$Z$275,23,FALSE))</f>
        <v/>
      </c>
      <c r="BU66" s="700" t="str">
        <f>IF(VLOOKUP(A66,'Revitalisation-Revitalisierung'!$A$4:$Z$275,24,FALSE)="","",VLOOKUP(A66,'Revitalisation-Revitalisierung'!$A$4:$Z$275,24,FALSE))</f>
        <v>dringend nötig aber nicht einfach: Kieswerk, Hochwasserschutz…</v>
      </c>
      <c r="BV66" s="761" t="str">
        <f>IF(VLOOKUP(A66,'Revitalisation-Revitalisierung'!$A$4:$Z$275,25,FALSE)="","",VLOOKUP(A66,'Revitalisation-Revitalisierung'!$A$4:$Z$275,25,FALSE))</f>
        <v>Très nécessaire, difficile / unbedingt nötig, schwierig</v>
      </c>
      <c r="BW66" s="871" t="str">
        <f>IF(VLOOKUP(A66,'Revitalisation-Revitalisierung'!$A$4:$AA$275,27,FALSE)="","",VLOOKUP(A66,'Revitalisation-Revitalisierung'!$A$4:$AA$275,27,FALSE))</f>
        <v>a</v>
      </c>
    </row>
    <row r="67" spans="1:75" ht="169.15" customHeight="1" x14ac:dyDescent="0.25">
      <c r="A67" s="935">
        <v>83</v>
      </c>
      <c r="B67" s="856">
        <f>IF(VLOOKUP(A67,'Données de base - Grunddaten'!$A$2:$M$297,2,FALSE)="","",VLOOKUP(A67,'Données de base - Grunddaten'!$A$2:$M$297,2,FALSE))</f>
        <v>1</v>
      </c>
      <c r="C67" s="857" t="str">
        <f>IF(VLOOKUP(A67,'Données de base - Grunddaten'!$A$2:$M$297,3,FALSE)="","",VLOOKUP(A67,'Données de base - Grunddaten'!$A$2:$M$297,3,FALSE))</f>
        <v>Jägglisglunte</v>
      </c>
      <c r="D67" s="857" t="str">
        <f>IF(VLOOKUP(A67,'Données de base - Grunddaten'!$A$2:$M$297,4,FALSE)="","",VLOOKUP(A67,'Données de base - Grunddaten'!$A$2:$M$297,4,FALSE))</f>
        <v>Aare</v>
      </c>
      <c r="E67" s="857" t="str">
        <f>IF(VLOOKUP(A67,'Données de base - Grunddaten'!$A$2:$M$297,5,FALSE)="","",VLOOKUP(A67,'Données de base - Grunddaten'!$A$2:$M$297,5,FALSE))</f>
        <v>BE</v>
      </c>
      <c r="F67" s="857" t="str">
        <f>IF(VLOOKUP(A67,'Données de base - Grunddaten'!$A$2:$M$297,6,FALSE)="","",VLOOKUP(A67,'Données de base - Grunddaten'!$A$2:$M$297,6,FALSE))</f>
        <v>Alpes septentrionales</v>
      </c>
      <c r="G67" s="857" t="str">
        <f>IF(VLOOKUP(A67,'Données de base - Grunddaten'!$A$2:$M$297,7,FALSE)="","",VLOOKUP(A67,'Données de base - Grunddaten'!$A$2:$M$297,7,FALSE))</f>
        <v>Collinéen</v>
      </c>
      <c r="H67" s="857">
        <f>IF(VLOOKUP(A67,'Données de base - Grunddaten'!$A$2:$M$297,8,FALSE)="","",VLOOKUP(A67,'Données de base - Grunddaten'!$A$2:$M$297,8,FALSE))</f>
        <v>567</v>
      </c>
      <c r="I67" s="857">
        <f>IF(VLOOKUP(A67,'Données de base - Grunddaten'!$A$2:$M$297,9,FALSE)="","",VLOOKUP(A67,'Données de base - Grunddaten'!$A$2:$M$297,9,FALSE))</f>
        <v>1992</v>
      </c>
      <c r="J67" s="857">
        <f>IF(VLOOKUP(A67,'Données de base - Grunddaten'!$A$2:$M$297,10,FALSE)="","",VLOOKUP(A67,'Données de base - Grunddaten'!$A$2:$M$297,10,FALSE))</f>
        <v>51</v>
      </c>
      <c r="K67" s="857" t="str">
        <f>IF(VLOOKUP(A67,'Données de base - Grunddaten'!$A$2:$M$297,11,FALSE)="","",VLOOKUP(A67,'Données de base - Grunddaten'!$A$2:$M$297,11,FALSE))</f>
        <v>Cours d'eau naturels de l'étage collinéen du Moyen-Pays</v>
      </c>
      <c r="L67" s="857" t="str">
        <f>IF(VLOOKUP(A67,'Données de base - Grunddaten'!$A$2:$M$297,12,FALSE)="","",VLOOKUP(A67,'Données de base - Grunddaten'!$A$2:$M$297,12,FALSE))</f>
        <v>en méandres migrants</v>
      </c>
      <c r="M67" s="858" t="str">
        <f>IF(VLOOKUP(A67,'Données de base - Grunddaten'!$A$2:$M$297,13,FALSE)="","",VLOOKUP(A67,'Données de base - Grunddaten'!$A$2:$M$297,13,FALSE))</f>
        <v>cours rectiligne (bras mort)</v>
      </c>
      <c r="N67" s="872" t="str">
        <f>IF(VLOOKUP(A67,'Charriage - Geschiebehaushalt'!$A$4:$R$275,5,FALSE)="","",VLOOKUP(A67,'Charriage - Geschiebehaushalt'!$A$4:$R$275,5,FALSE))</f>
        <v>pertinent</v>
      </c>
      <c r="O67" s="881" t="str">
        <f>IF(VLOOKUP(A67,'Charriage - Geschiebehaushalt'!$A$4:$R$275,6,FALSE)="","",VLOOKUP(A67,'Charriage - Geschiebehaushalt'!$A$4:$R$275,6,FALSE))</f>
        <v>non documenté</v>
      </c>
      <c r="P67" s="874">
        <f>IF(VLOOKUP(A67,'Charriage - Geschiebehaushalt'!$A$4:$R$275,7,FALSE)="","",VLOOKUP(A67,'Charriage - Geschiebehaushalt'!$A$4:$R$275,7,FALSE))</f>
        <v>-1.3137277028201899</v>
      </c>
      <c r="Q67" s="898" t="str">
        <f>IF(VLOOKUP(A67,'Charriage - Geschiebehaushalt'!$A$4:$R$275,8,FALSE)="","",VLOOKUP(A67,'Charriage - Geschiebehaushalt'!$A$4:$R$275,8,FALSE))</f>
        <v>problème lié à un manque de charriage ou à un manque de remobilisation des sédiments</v>
      </c>
      <c r="R67" s="875">
        <f>IF(VLOOKUP(A67,'Charriage - Geschiebehaushalt'!$A$4:$R$275,9,FALSE)="","",VLOOKUP(A67,'Charriage - Geschiebehaushalt'!$A$4:$R$275,9,FALSE))</f>
        <v>0</v>
      </c>
      <c r="S67" s="876" t="str">
        <f>IF(VLOOKUP(A67,'Charriage - Geschiebehaushalt'!$A$4:$R$275,10,FALSE)="","",VLOOKUP(A67,'Charriage - Geschiebehaushalt'!$A$4:$R$275,10,FALSE))</f>
        <v>pas ou faiblement entravé</v>
      </c>
      <c r="T67" s="875">
        <f>IF(VLOOKUP(A67,'Charriage - Geschiebehaushalt'!$A$4:$R$275,11,FALSE)="","",VLOOKUP(A67,'Charriage - Geschiebehaushalt'!$A$4:$R$275,11,FALSE))</f>
        <v>0.41249757369000001</v>
      </c>
      <c r="U67" s="876" t="str">
        <f>IF(VLOOKUP(A67,'Charriage - Geschiebehaushalt'!$A$4:$R$275,12,FALSE)="","",VLOOKUP(A67,'Charriage - Geschiebehaushalt'!$A$4:$R$275,12,FALSE))</f>
        <v>déficit non apparent en charriage ou en remobilisation des sédiments</v>
      </c>
      <c r="V67" s="877" t="str">
        <f>IF(VLOOKUP(A67,'Charriage - Geschiebehaushalt'!$A$4:$R$275,13,FALSE)="","",VLOOKUP(A67,'Charriage - Geschiebehaushalt'!$A$4:$R$275,13,FALSE))</f>
        <v/>
      </c>
      <c r="W67" s="877" t="str">
        <f>IF(VLOOKUP(A67,'Charriage - Geschiebehaushalt'!$A$4:$R$275,14,FALSE)="","",VLOOKUP(A67,'Charriage - Geschiebehaushalt'!$A$4:$R$275,14,FALSE))</f>
        <v/>
      </c>
      <c r="X67" s="877" t="str">
        <f>IF(VLOOKUP(A67,'Charriage - Geschiebehaushalt'!$A$4:$R$275,15,FALSE)="","",VLOOKUP(A67,'Charriage - Geschiebehaushalt'!$A$4:$R$275,15,FALSE))</f>
        <v/>
      </c>
      <c r="Y67" s="879" t="str">
        <f>IF(VLOOKUP(A67,'Charriage - Geschiebehaushalt'!$A$4:$R$275,16,FALSE)="","",VLOOKUP(A67,'Charriage - Geschiebehaushalt'!$A$4:$R$275,16,FALSE))</f>
        <v/>
      </c>
      <c r="Z67" s="763" t="str">
        <f>IF(VLOOKUP(A67,'Charriage - Geschiebehaushalt'!$A$4:$R$275,17,FALSE)="","",VLOOKUP(A67,'Charriage - Geschiebehaushalt'!$A$4:$R$275,17,FALSE))</f>
        <v>non pertinent / nicht relevant</v>
      </c>
      <c r="AA67" s="880" t="str">
        <f>IF(VLOOKUP(A67,'Charriage - Geschiebehaushalt'!$A$4:$R$275,18,FALSE)="","",VLOOKUP(A67,'Charriage - Geschiebehaushalt'!$A$4:$R$275,18,FALSE))</f>
        <v>a</v>
      </c>
      <c r="AB67" s="737" t="str">
        <f>IF(VLOOKUP(A67,'Charriage - Geschiebehaushalt'!$A$4:$AC$275,19,FALSE)="","",VLOOKUP(A67,'Charriage - Geschiebehaushalt'!$A$4:$AC$275,19,FALSE))</f>
        <v>-</v>
      </c>
      <c r="AC67" s="738" t="str">
        <f>IF(VLOOKUP(A67,'Charriage - Geschiebehaushalt'!$A$4:$AC$275,20,FALSE)="","",VLOOKUP(A67,'Charriage - Geschiebehaushalt'!$A$4:$AC$275,20,FALSE))</f>
        <v>-</v>
      </c>
      <c r="AD67" s="764" t="str">
        <f>IF(VLOOKUP(A67,'Charriage - Geschiebehaushalt'!$A$4:$AC$275,21,FALSE)="","",VLOOKUP(A67,'Charriage - Geschiebehaushalt'!$A$4:$AC$275,21,FALSE))</f>
        <v/>
      </c>
      <c r="AE67" s="740" t="str">
        <f>IF(VLOOKUP(A67,'Charriage - Geschiebehaushalt'!$A$4:$AC$275,22,FALSE)="","",VLOOKUP(A67,'Charriage - Geschiebehaushalt'!$A$4:$AC$275,22,FALSE))</f>
        <v>non pertinent / nicht relevant</v>
      </c>
      <c r="AF67" s="787" t="str">
        <f>IF(VLOOKUP(A67,'Charriage - Geschiebehaushalt'!$A$4:$AC$275,23,FALSE)="","",VLOOKUP(A67,'Charriage - Geschiebehaushalt'!$A$4:$AC$275,23,FALSE))</f>
        <v>a</v>
      </c>
      <c r="AG67" s="765" t="str">
        <f>IF(VLOOKUP(A67,'Charriage - Geschiebehaushalt'!$A$4:$AC$275,24,FALSE)="","",VLOOKUP(A67,'Charriage - Geschiebehaushalt'!$A$4:$AC$275,24,FALSE))</f>
        <v/>
      </c>
      <c r="AH67" s="764" t="str">
        <f>IF(VLOOKUP(A67,'Charriage - Geschiebehaushalt'!$A$4:$AC$275,25,FALSE)="","",VLOOKUP(A67,'Charriage - Geschiebehaushalt'!$A$4:$AC$275,25,FALSE))</f>
        <v/>
      </c>
      <c r="AI67" s="433" t="str">
        <f>IF(VLOOKUP(A67,'Charriage - Geschiebehaushalt'!$A$4:$AC$275,26,FALSE)="","",VLOOKUP(A67,'Charriage - Geschiebehaushalt'!$A$4:$AC$275,26,FALSE))</f>
        <v/>
      </c>
      <c r="AJ67" s="434" t="str">
        <f>IF(VLOOKUP(A67,'Charriage - Geschiebehaushalt'!$A$4:$AC$275,27,FALSE)="","",VLOOKUP(A67,'Charriage - Geschiebehaushalt'!$A$4:$AC$275,27,FALSE))</f>
        <v/>
      </c>
      <c r="AK67" s="801" t="str">
        <f>IF(VLOOKUP(A67,'Charriage - Geschiebehaushalt'!$A$4:$AC$275,28,FALSE)="","",VLOOKUP(A67,'Charriage - Geschiebehaushalt'!$A$4:$AC$275,28,FALSE))</f>
        <v>non pertinent / nicht relevant</v>
      </c>
      <c r="AL67" s="1285" t="str">
        <f>IF(VLOOKUP(A67,'Charriage - Geschiebehaushalt'!$A$4:$AD$275,30,FALSE)="","",VLOOKUP(A67,'Charriage - Geschiebehaushalt'!$A$4:$AD$275,30,FALSE))</f>
        <v>a</v>
      </c>
      <c r="AM67" s="1279" t="str">
        <f>IF(VLOOKUP(A67,'Débit - Abfluss'!$A$4:$K$275,5,FALSE)="","",VLOOKUP(A67,'Débit - Abfluss'!$A$4:$M$275,5,FALSE))</f>
        <v>81-100%</v>
      </c>
      <c r="AN67" s="868" t="str">
        <f>IF(VLOOKUP(A67,'Débit - Abfluss'!$A$4:$K$275,6,FALSE)="","",VLOOKUP(A67,'Débit - Abfluss'!$A$4:$M$275,6,FALSE))</f>
        <v/>
      </c>
      <c r="AO67" s="869" t="str">
        <f>IF(VLOOKUP(A67,'Débit - Abfluss'!$A$4:$K$275,7,FALSE)="","",VLOOKUP(A67,'Débit - Abfluss'!$A$4:$M$275,7,FALSE))</f>
        <v/>
      </c>
      <c r="AP67" s="766" t="str">
        <f>IF(VLOOKUP(A67,'Débit - Abfluss'!$A$4:$K$275,8,FALSE)="","",VLOOKUP(A67,'Débit - Abfluss'!$A$4:$M$275,8,FALSE))</f>
        <v>81-100%</v>
      </c>
      <c r="AQ67" s="742" t="str">
        <f>IF(VLOOKUP(A67,'Débit - Abfluss'!$A$4:$K$275,9,FALSE)="","",VLOOKUP(A67,'Débit - Abfluss'!$A$4:$M$275,9,FALSE))</f>
        <v>-</v>
      </c>
      <c r="AR67" s="767" t="str">
        <f>IF(VLOOKUP(A67,'Débit - Abfluss'!$A$4:$K$275,10,FALSE)="","",VLOOKUP(A67,'Débit - Abfluss'!$A$4:$M$275,10,FALSE))</f>
        <v>81-100%</v>
      </c>
      <c r="AS67" s="767" t="str">
        <f>IF(VLOOKUP(A67,'Débit - Abfluss'!$A$4:$K$275,11,FALSE)="","",VLOOKUP(A67,'Débit - Abfluss'!$A$4:$M$275,11,FALSE))</f>
        <v/>
      </c>
      <c r="AT67" s="744" t="str">
        <f>IF(VLOOKUP(A67,'Débit - Abfluss'!$A$4:$Q$275,12,FALSE)="","",VLOOKUP(A67,'Débit - Abfluss'!$A$4:$Q$275,12,FALSE))</f>
        <v/>
      </c>
      <c r="AU67" s="745" t="str">
        <f>IF(VLOOKUP(A67,'Débit - Abfluss'!$A$4:$Q$275,13,FALSE)="","",VLOOKUP(A67,'Débit - Abfluss'!$A$4:$Q$275,13,FALSE))</f>
        <v/>
      </c>
      <c r="AV67" s="746" t="str">
        <f>IF(VLOOKUP(A67,'Débit - Abfluss'!$A$4:$Q$275,14,FALSE)="","",VLOOKUP(A67,'Débit - Abfluss'!$A$4:$Q$275,14,FALSE))</f>
        <v/>
      </c>
      <c r="AW67" s="768" t="str">
        <f>IF(VLOOKUP(A67,'Débit - Abfluss'!$A$4:$Q$275,15,FALSE)="","",VLOOKUP(A67,'Débit - Abfluss'!$A$4:$Q$275,15,FALSE))</f>
        <v/>
      </c>
      <c r="AX67" s="677" t="str">
        <f>IF(VLOOKUP(A67,'Débit - Abfluss'!$A$4:$Q$275,16,FALSE)="","",VLOOKUP(A67,'Débit - Abfluss'!$A$4:$Q$275,16,FALSE))</f>
        <v/>
      </c>
      <c r="AY67" s="769" t="str">
        <f>IF(VLOOKUP(A67,'Débit - Abfluss'!$A$4:$Q$275,17,FALSE)="","",VLOOKUP(A67,'Débit - Abfluss'!$A$4:$Q$275,17,FALSE))</f>
        <v>81-100%</v>
      </c>
      <c r="AZ67" s="749" t="str">
        <f>IF(VLOOKUP(A67,'Eclusée - Schwall-Sunk'!$A$2:$F$273,5,FALSE)="","",VLOOKUP(A67,'Eclusée - Schwall-Sunk'!$A$2:$F$273,5,FALSE))</f>
        <v>force hydraulique</v>
      </c>
      <c r="BA67" s="750" t="str">
        <f>IF(VLOOKUP(A67,'Eclusée - Schwall-Sunk'!$A$2:$F$273,6,FALSE)="","",VLOOKUP(A67,'Eclusée - Schwall-Sunk'!$A$2:$F$273,6,FALSE))</f>
        <v>Potentiellement affecté / möglicherweise betroffen</v>
      </c>
      <c r="BB67" s="751">
        <f>IF(VLOOKUP(A67,'Revitalisation-Revitalisierung'!$A$4:$Z$275,5,FALSE)="","",VLOOKUP(A67,'Revitalisation-Revitalisierung'!$A$4:$Z$275,5,FALSE))</f>
        <v>-1.3636363636363635</v>
      </c>
      <c r="BC67" s="752">
        <f>IF(VLOOKUP(A67,'Revitalisation-Revitalisierung'!$A$4:$Z$275,6,FALSE)="","",VLOOKUP(A67,'Revitalisation-Revitalisierung'!$A$4:$Z$275,6,FALSE))</f>
        <v>0</v>
      </c>
      <c r="BD67" s="752">
        <f>IF(VLOOKUP(A67,'Revitalisation-Revitalisierung'!$A$4:$Z$275,7,FALSE)="","",VLOOKUP(A67,'Revitalisation-Revitalisierung'!$A$4:$Z$275,7,FALSE))</f>
        <v>1.3636363636363635</v>
      </c>
      <c r="BE67" s="753" t="str">
        <f>IF(VLOOKUP(A67,'Revitalisation-Revitalisierung'!$A$4:$Z$275,8,FALSE)="","",VLOOKUP(A67,'Revitalisation-Revitalisierung'!$A$4:$Z$275,8,FALSE))</f>
        <v>non nécessaire</v>
      </c>
      <c r="BF67" s="754" t="str">
        <f>IF(VLOOKUP(A67,'Revitalisation-Revitalisierung'!$A$4:$Z$275,9,FALSE)="","",VLOOKUP(A67,'Revitalisation-Revitalisierung'!$A$4:$Z$275,9,FALSE))</f>
        <v/>
      </c>
      <c r="BG67" s="754" t="str">
        <f>IF(VLOOKUP(A67,'Revitalisation-Revitalisierung'!$A$4:$Z$275,10,FALSE)="","",VLOOKUP(A67,'Revitalisation-Revitalisierung'!$A$4:$Z$275,10,FALSE))</f>
        <v>K3</v>
      </c>
      <c r="BH67" s="755" t="str">
        <f>IF(VLOOKUP(A67,'Revitalisation-Revitalisierung'!$A$4:$Z$275,11,FALSE)="","",VLOOKUP(A67,'Revitalisation-Revitalisierung'!$A$4:$Z$275,11,FALSE))</f>
        <v/>
      </c>
      <c r="BI67" s="756" t="str">
        <f>IF(VLOOKUP(A67,'Revitalisation-Revitalisierung'!$A$4:$Z$275,12,FALSE)="","",VLOOKUP(A67,'Revitalisation-Revitalisierung'!$A$4:$Z$275,12,FALSE))</f>
        <v/>
      </c>
      <c r="BJ67" s="757" t="str">
        <f>IF(VLOOKUP(A67,'Revitalisation-Revitalisierung'!$A$4:$Z$275,13,FALSE)="","",VLOOKUP(A67,'Revitalisation-Revitalisierung'!$A$4:$Z$275,13,FALSE))</f>
        <v>Non nécessaire / nicht nötig</v>
      </c>
      <c r="BK67" s="870" t="str">
        <f>IF(VLOOKUP(A67,'Revitalisation-Revitalisierung'!$A$4:$Z$275,14,FALSE)="","",VLOOKUP(A67,'Revitalisation-Revitalisierung'!$A$4:$Z$275,14,FALSE))</f>
        <v>a</v>
      </c>
      <c r="BL67" s="758" t="str">
        <f>IF(VLOOKUP(A67,'Revitalisation-Revitalisierung'!$A$4:$Z$275,15,FALSE)="","",VLOOKUP(A67,'Revitalisation-Revitalisierung'!$A$4:$Z$275,15,FALSE))</f>
        <v>gross</v>
      </c>
      <c r="BM67" s="759" t="str">
        <f>IF(VLOOKUP(A67,'Revitalisation-Revitalisierung'!$A$4:$Z$275,16,FALSE)="","",VLOOKUP(A67,'Revitalisation-Revitalisierung'!$A$4:$Z$275,16,FALSE))</f>
        <v>gross</v>
      </c>
      <c r="BN67" s="759" t="str">
        <f>IF(VLOOKUP(A67,'Revitalisation-Revitalisierung'!$A$4:$Z$275,17,FALSE)="","",VLOOKUP(A67,'Revitalisation-Revitalisierung'!$A$4:$Z$275,17,FALSE))</f>
        <v>-</v>
      </c>
      <c r="BO67" s="760" t="str">
        <f>IF(VLOOKUP(A67,'Revitalisation-Revitalisierung'!$A$4:$Z$275,18,FALSE)="","",VLOOKUP(A67,'Revitalisation-Revitalisierung'!$A$4:$Z$275,18,FALSE))</f>
        <v>Très nécessaire, facile / unbedingt nötig, einfach</v>
      </c>
      <c r="BP67" s="760" t="str">
        <f>IF(VLOOKUP(A67,'Revitalisation-Revitalisierung'!$A$4:$Z$275,19,FALSE)="","",VLOOKUP(A67,'Revitalisation-Revitalisierung'!$A$4:$Z$275,19,FALSE))</f>
        <v>Très nécessaire, facile / unbedingt nötig, einfach</v>
      </c>
      <c r="BQ67" s="759" t="str">
        <f>IF(VLOOKUP(A67,'Revitalisation-Revitalisierung'!$A$4:$Z$275,20,FALSE)="","",VLOOKUP(A67,'Revitalisation-Revitalisierung'!$A$4:$Z$275,20,FALSE))</f>
        <v>c</v>
      </c>
      <c r="BR67" s="759" t="str">
        <f>IF(VLOOKUP(A67,'Revitalisation-Revitalisierung'!$A$4:$Z$275,21,FALSE)="","",VLOOKUP(A67,'Revitalisation-Revitalisierung'!$A$4:$Z$275,21,FALSE))</f>
        <v/>
      </c>
      <c r="BS67" s="762" t="str">
        <f>IF(VLOOKUP(A67,'Revitalisation-Revitalisierung'!$A$4:$Z$275,22,FALSE)="","",VLOOKUP(A67,'Revitalisation-Revitalisierung'!$A$4:$Z$275,22,FALSE))</f>
        <v>X</v>
      </c>
      <c r="BT67" s="703" t="str">
        <f>IF(VLOOKUP(A67,'Revitalisation-Revitalisierung'!$A$4:$Z$275,23,FALSE)="","",VLOOKUP(A67,'Revitalisation-Revitalisierung'!$A$4:$Z$275,23,FALSE))</f>
        <v/>
      </c>
      <c r="BU67" s="707" t="str">
        <f>IF(VLOOKUP(A67,'Revitalisation-Revitalisierung'!$A$4:$Z$275,24,FALSE)="","",VLOOKUP(A67,'Revitalisation-Revitalisierung'!$A$4:$Z$275,24,FALSE))</f>
        <v>unbedingt nötig? was kann man da überhaupt machen? Eigentlich kann man da gar nichts machen… und mitten im intensiven Landwirtschaftsland: sicher nicht einfach.</v>
      </c>
      <c r="BV67" s="761" t="str">
        <f>IF(VLOOKUP(A67,'Revitalisation-Revitalisierung'!$A$4:$Z$275,25,FALSE)="","",VLOOKUP(A67,'Revitalisation-Revitalisierung'!$A$4:$Z$275,25,FALSE))</f>
        <v>Partiellement nécessaire, difficile / teilweise nötig, schwierig</v>
      </c>
      <c r="BW67" s="871" t="str">
        <f>IF(VLOOKUP(A67,'Revitalisation-Revitalisierung'!$A$4:$AA$275,27,FALSE)="","",VLOOKUP(A67,'Revitalisation-Revitalisierung'!$A$4:$AA$275,27,FALSE))</f>
        <v>b</v>
      </c>
    </row>
    <row r="68" spans="1:75" ht="59.45" customHeight="1" x14ac:dyDescent="0.25">
      <c r="A68" s="935">
        <v>84</v>
      </c>
      <c r="B68" s="856">
        <f>IF(VLOOKUP(A68,'Données de base - Grunddaten'!$A$2:$M$297,2,FALSE)="","",VLOOKUP(A68,'Données de base - Grunddaten'!$A$2:$M$297,2,FALSE))</f>
        <v>1</v>
      </c>
      <c r="C68" s="857" t="str">
        <f>IF(VLOOKUP(A68,'Données de base - Grunddaten'!$A$2:$M$297,3,FALSE)="","",VLOOKUP(A68,'Données de base - Grunddaten'!$A$2:$M$297,3,FALSE))</f>
        <v>Sytenwald</v>
      </c>
      <c r="D68" s="857" t="str">
        <f>IF(VLOOKUP(A68,'Données de base - Grunddaten'!$A$2:$M$297,4,FALSE)="","",VLOOKUP(A68,'Données de base - Grunddaten'!$A$2:$M$297,4,FALSE))</f>
        <v>Aare</v>
      </c>
      <c r="E68" s="857" t="str">
        <f>IF(VLOOKUP(A68,'Données de base - Grunddaten'!$A$2:$M$297,5,FALSE)="","",VLOOKUP(A68,'Données de base - Grunddaten'!$A$2:$M$297,5,FALSE))</f>
        <v>BE</v>
      </c>
      <c r="F68" s="857" t="str">
        <f>IF(VLOOKUP(A68,'Données de base - Grunddaten'!$A$2:$M$297,6,FALSE)="","",VLOOKUP(A68,'Données de base - Grunddaten'!$A$2:$M$297,6,FALSE))</f>
        <v>Alpes septentrionales</v>
      </c>
      <c r="G68" s="857" t="str">
        <f>IF(VLOOKUP(A68,'Données de base - Grunddaten'!$A$2:$M$297,7,FALSE)="","",VLOOKUP(A68,'Données de base - Grunddaten'!$A$2:$M$297,7,FALSE))</f>
        <v>Collinéen</v>
      </c>
      <c r="H68" s="857">
        <f>IF(VLOOKUP(A68,'Données de base - Grunddaten'!$A$2:$M$297,8,FALSE)="","",VLOOKUP(A68,'Données de base - Grunddaten'!$A$2:$M$297,8,FALSE))</f>
        <v>580</v>
      </c>
      <c r="I68" s="857">
        <f>IF(VLOOKUP(A68,'Données de base - Grunddaten'!$A$2:$M$297,9,FALSE)="","",VLOOKUP(A68,'Données de base - Grunddaten'!$A$2:$M$297,9,FALSE))</f>
        <v>1992</v>
      </c>
      <c r="J68" s="857">
        <f>IF(VLOOKUP(A68,'Données de base - Grunddaten'!$A$2:$M$297,10,FALSE)="","",VLOOKUP(A68,'Données de base - Grunddaten'!$A$2:$M$297,10,FALSE))</f>
        <v>42</v>
      </c>
      <c r="K68" s="857" t="str">
        <f>IF(VLOOKUP(A68,'Données de base - Grunddaten'!$A$2:$M$297,11,FALSE)="","",VLOOKUP(A68,'Données de base - Grunddaten'!$A$2:$M$297,11,FALSE))</f>
        <v>Cours d'eau corrigés de l'étage montagnard</v>
      </c>
      <c r="L68" s="857" t="str">
        <f>IF(VLOOKUP(A68,'Données de base - Grunddaten'!$A$2:$M$297,12,FALSE)="","",VLOOKUP(A68,'Données de base - Grunddaten'!$A$2:$M$297,12,FALSE))</f>
        <v>cours rectiligne</v>
      </c>
      <c r="M68" s="858" t="str">
        <f>IF(VLOOKUP(A68,'Données de base - Grunddaten'!$A$2:$M$297,13,FALSE)="","",VLOOKUP(A68,'Données de base - Grunddaten'!$A$2:$M$297,13,FALSE))</f>
        <v>cours rectiligne</v>
      </c>
      <c r="N68" s="872" t="str">
        <f>IF(VLOOKUP(A68,'Charriage - Geschiebehaushalt'!$A$4:$R$275,5,FALSE)="","",VLOOKUP(A68,'Charriage - Geschiebehaushalt'!$A$4:$R$275,5,FALSE))</f>
        <v>pertinent</v>
      </c>
      <c r="O68" s="873" t="str">
        <f>IF(VLOOKUP(A68,'Charriage - Geschiebehaushalt'!$A$4:$R$275,6,FALSE)="","",VLOOKUP(A68,'Charriage - Geschiebehaushalt'!$A$4:$R$275,6,FALSE))</f>
        <v>21-50%</v>
      </c>
      <c r="P68" s="874">
        <f>IF(VLOOKUP(A68,'Charriage - Geschiebehaushalt'!$A$4:$R$275,7,FALSE)="","",VLOOKUP(A68,'Charriage - Geschiebehaushalt'!$A$4:$R$275,7,FALSE))</f>
        <v>0.15222419159425399</v>
      </c>
      <c r="Q68" s="874" t="str">
        <f>IF(VLOOKUP(A68,'Charriage - Geschiebehaushalt'!$A$4:$R$275,8,FALSE)="","",VLOOKUP(A68,'Charriage - Geschiebehaushalt'!$A$4:$R$275,8,FALSE))</f>
        <v>pas d'incision</v>
      </c>
      <c r="R68" s="875">
        <f>IF(VLOOKUP(A68,'Charriage - Geschiebehaushalt'!$A$4:$R$275,9,FALSE)="","",VLOOKUP(A68,'Charriage - Geschiebehaushalt'!$A$4:$R$275,9,FALSE))</f>
        <v>3.4295260430952004E-2</v>
      </c>
      <c r="S68" s="876" t="str">
        <f>IF(VLOOKUP(A68,'Charriage - Geschiebehaushalt'!$A$4:$R$275,10,FALSE)="","",VLOOKUP(A68,'Charriage - Geschiebehaushalt'!$A$4:$R$275,10,FALSE))</f>
        <v>pas ou faiblement entravé</v>
      </c>
      <c r="T68" s="875">
        <f>IF(VLOOKUP(A68,'Charriage - Geschiebehaushalt'!$A$4:$R$275,11,FALSE)="","",VLOOKUP(A68,'Charriage - Geschiebehaushalt'!$A$4:$R$275,11,FALSE))</f>
        <v>0.31089022440000003</v>
      </c>
      <c r="U68" s="876" t="str">
        <f>IF(VLOOKUP(A68,'Charriage - Geschiebehaushalt'!$A$4:$R$275,12,FALSE)="","",VLOOKUP(A68,'Charriage - Geschiebehaushalt'!$A$4:$R$275,12,FALSE))</f>
        <v>déficit dans les formations pionnières</v>
      </c>
      <c r="V68" s="877" t="str">
        <f>IF(VLOOKUP(A68,'Charriage - Geschiebehaushalt'!$A$4:$R$275,13,FALSE)="","",VLOOKUP(A68,'Charriage - Geschiebehaushalt'!$A$4:$R$275,13,FALSE))</f>
        <v/>
      </c>
      <c r="W68" s="877" t="str">
        <f>IF(VLOOKUP(A68,'Charriage - Geschiebehaushalt'!$A$4:$R$275,14,FALSE)="","",VLOOKUP(A68,'Charriage - Geschiebehaushalt'!$A$4:$R$275,14,FALSE))</f>
        <v/>
      </c>
      <c r="X68" s="877" t="str">
        <f>IF(VLOOKUP(A68,'Charriage - Geschiebehaushalt'!$A$4:$R$275,15,FALSE)="","",VLOOKUP(A68,'Charriage - Geschiebehaushalt'!$A$4:$R$275,15,FALSE))</f>
        <v/>
      </c>
      <c r="Y68" s="879" t="str">
        <f>IF(VLOOKUP(A68,'Charriage - Geschiebehaushalt'!$A$4:$R$275,16,FALSE)="","",VLOOKUP(A68,'Charriage - Geschiebehaushalt'!$A$4:$R$275,16,FALSE))</f>
        <v/>
      </c>
      <c r="Z68" s="763" t="str">
        <f>IF(VLOOKUP(A68,'Charriage - Geschiebehaushalt'!$A$4:$R$275,17,FALSE)="","",VLOOKUP(A68,'Charriage - Geschiebehaushalt'!$A$4:$R$275,17,FALSE))</f>
        <v>21-50%</v>
      </c>
      <c r="AA68" s="880" t="str">
        <f>IF(VLOOKUP(A68,'Charriage - Geschiebehaushalt'!$A$4:$R$275,18,FALSE)="","",VLOOKUP(A68,'Charriage - Geschiebehaushalt'!$A$4:$R$275,18,FALSE))</f>
        <v>a</v>
      </c>
      <c r="AB68" s="737" t="str">
        <f>IF(VLOOKUP(A68,'Charriage - Geschiebehaushalt'!$A$4:$AC$275,19,FALSE)="","",VLOOKUP(A68,'Charriage - Geschiebehaushalt'!$A$4:$AC$275,19,FALSE))</f>
        <v>-</v>
      </c>
      <c r="AC68" s="738" t="str">
        <f>IF(VLOOKUP(A68,'Charriage - Geschiebehaushalt'!$A$4:$AC$275,20,FALSE)="","",VLOOKUP(A68,'Charriage - Geschiebehaushalt'!$A$4:$AC$275,20,FALSE))</f>
        <v>-</v>
      </c>
      <c r="AD68" s="764" t="str">
        <f>IF(VLOOKUP(A68,'Charriage - Geschiebehaushalt'!$A$4:$AC$275,21,FALSE)="","",VLOOKUP(A68,'Charriage - Geschiebehaushalt'!$A$4:$AC$275,21,FALSE))</f>
        <v/>
      </c>
      <c r="AE68" s="740" t="str">
        <f>IF(VLOOKUP(A68,'Charriage - Geschiebehaushalt'!$A$4:$AC$275,22,FALSE)="","",VLOOKUP(A68,'Charriage - Geschiebehaushalt'!$A$4:$AC$275,22,FALSE))</f>
        <v>21-50%</v>
      </c>
      <c r="AF68" s="787" t="str">
        <f>IF(VLOOKUP(A68,'Charriage - Geschiebehaushalt'!$A$4:$AC$275,23,FALSE)="","",VLOOKUP(A68,'Charriage - Geschiebehaushalt'!$A$4:$AC$275,23,FALSE))</f>
        <v>a</v>
      </c>
      <c r="AG68" s="765" t="str">
        <f>IF(VLOOKUP(A68,'Charriage - Geschiebehaushalt'!$A$4:$AC$275,24,FALSE)="","",VLOOKUP(A68,'Charriage - Geschiebehaushalt'!$A$4:$AC$275,24,FALSE))</f>
        <v/>
      </c>
      <c r="AH68" s="764" t="str">
        <f>IF(VLOOKUP(A68,'Charriage - Geschiebehaushalt'!$A$4:$AC$275,25,FALSE)="","",VLOOKUP(A68,'Charriage - Geschiebehaushalt'!$A$4:$AC$275,25,FALSE))</f>
        <v/>
      </c>
      <c r="AI68" s="433" t="str">
        <f>IF(VLOOKUP(A68,'Charriage - Geschiebehaushalt'!$A$4:$AC$275,26,FALSE)="","",VLOOKUP(A68,'Charriage - Geschiebehaushalt'!$A$4:$AC$275,26,FALSE))</f>
        <v/>
      </c>
      <c r="AJ68" s="434" t="str">
        <f>IF(VLOOKUP(A68,'Charriage - Geschiebehaushalt'!$A$4:$AC$275,27,FALSE)="","",VLOOKUP(A68,'Charriage - Geschiebehaushalt'!$A$4:$AC$275,27,FALSE))</f>
        <v/>
      </c>
      <c r="AK68" s="814" t="str">
        <f>IF(VLOOKUP(A68,'Charriage - Geschiebehaushalt'!$A$4:$AC$275,28,FALSE)="","",VLOOKUP(A68,'Charriage - Geschiebehaushalt'!$A$4:$AC$275,28,FALSE))</f>
        <v>21-50%</v>
      </c>
      <c r="AL68" s="1285" t="str">
        <f>IF(VLOOKUP(A68,'Charriage - Geschiebehaushalt'!$A$4:$AD$275,30,FALSE)="","",VLOOKUP(A68,'Charriage - Geschiebehaushalt'!$A$4:$AD$275,30,FALSE))</f>
        <v>a</v>
      </c>
      <c r="AM68" s="1279" t="str">
        <f>IF(VLOOKUP(A68,'Débit - Abfluss'!$A$4:$K$275,5,FALSE)="","",VLOOKUP(A68,'Débit - Abfluss'!$A$4:$M$275,5,FALSE))</f>
        <v>81-100%</v>
      </c>
      <c r="AN68" s="868" t="str">
        <f>IF(VLOOKUP(A68,'Débit - Abfluss'!$A$4:$K$275,6,FALSE)="","",VLOOKUP(A68,'Débit - Abfluss'!$A$4:$M$275,6,FALSE))</f>
        <v/>
      </c>
      <c r="AO68" s="869" t="str">
        <f>IF(VLOOKUP(A68,'Débit - Abfluss'!$A$4:$K$275,7,FALSE)="","",VLOOKUP(A68,'Débit - Abfluss'!$A$4:$M$275,7,FALSE))</f>
        <v/>
      </c>
      <c r="AP68" s="766" t="str">
        <f>IF(VLOOKUP(A68,'Débit - Abfluss'!$A$4:$K$275,8,FALSE)="","",VLOOKUP(A68,'Débit - Abfluss'!$A$4:$M$275,8,FALSE))</f>
        <v>81-100%</v>
      </c>
      <c r="AQ68" s="742" t="str">
        <f>IF(VLOOKUP(A68,'Débit - Abfluss'!$A$4:$K$275,9,FALSE)="","",VLOOKUP(A68,'Débit - Abfluss'!$A$4:$M$275,9,FALSE))</f>
        <v>-</v>
      </c>
      <c r="AR68" s="767" t="str">
        <f>IF(VLOOKUP(A68,'Débit - Abfluss'!$A$4:$K$275,10,FALSE)="","",VLOOKUP(A68,'Débit - Abfluss'!$A$4:$M$275,10,FALSE))</f>
        <v>81-100%</v>
      </c>
      <c r="AS68" s="767" t="str">
        <f>IF(VLOOKUP(A68,'Débit - Abfluss'!$A$4:$K$275,11,FALSE)="","",VLOOKUP(A68,'Débit - Abfluss'!$A$4:$M$275,11,FALSE))</f>
        <v/>
      </c>
      <c r="AT68" s="744" t="str">
        <f>IF(VLOOKUP(A68,'Débit - Abfluss'!$A$4:$Q$275,12,FALSE)="","",VLOOKUP(A68,'Débit - Abfluss'!$A$4:$Q$275,12,FALSE))</f>
        <v/>
      </c>
      <c r="AU68" s="745" t="str">
        <f>IF(VLOOKUP(A68,'Débit - Abfluss'!$A$4:$Q$275,13,FALSE)="","",VLOOKUP(A68,'Débit - Abfluss'!$A$4:$Q$275,13,FALSE))</f>
        <v/>
      </c>
      <c r="AV68" s="746" t="str">
        <f>IF(VLOOKUP(A68,'Débit - Abfluss'!$A$4:$Q$275,14,FALSE)="","",VLOOKUP(A68,'Débit - Abfluss'!$A$4:$Q$275,14,FALSE))</f>
        <v/>
      </c>
      <c r="AW68" s="768" t="str">
        <f>IF(VLOOKUP(A68,'Débit - Abfluss'!$A$4:$Q$275,15,FALSE)="","",VLOOKUP(A68,'Débit - Abfluss'!$A$4:$Q$275,15,FALSE))</f>
        <v/>
      </c>
      <c r="AX68" s="677" t="str">
        <f>IF(VLOOKUP(A68,'Débit - Abfluss'!$A$4:$Q$275,16,FALSE)="","",VLOOKUP(A68,'Débit - Abfluss'!$A$4:$Q$275,16,FALSE))</f>
        <v/>
      </c>
      <c r="AY68" s="769" t="str">
        <f>IF(VLOOKUP(A68,'Débit - Abfluss'!$A$4:$Q$275,17,FALSE)="","",VLOOKUP(A68,'Débit - Abfluss'!$A$4:$Q$275,17,FALSE))</f>
        <v>81-100%</v>
      </c>
      <c r="AZ68" s="749" t="str">
        <f>IF(VLOOKUP(A68,'Eclusée - Schwall-Sunk'!$A$2:$F$273,5,FALSE)="","",VLOOKUP(A68,'Eclusée - Schwall-Sunk'!$A$2:$F$273,5,FALSE))</f>
        <v>force hydraulique</v>
      </c>
      <c r="BA68" s="750" t="str">
        <f>IF(VLOOKUP(A68,'Eclusée - Schwall-Sunk'!$A$2:$F$273,6,FALSE)="","",VLOOKUP(A68,'Eclusée - Schwall-Sunk'!$A$2:$F$273,6,FALSE))</f>
        <v>Potentiellement affecté / möglicherweise betroffen</v>
      </c>
      <c r="BB68" s="751">
        <f>IF(VLOOKUP(A68,'Revitalisation-Revitalisierung'!$A$4:$Z$275,5,FALSE)="","",VLOOKUP(A68,'Revitalisation-Revitalisierung'!$A$4:$Z$275,5,FALSE))</f>
        <v>12.909090909090908</v>
      </c>
      <c r="BC68" s="752">
        <f>IF(VLOOKUP(A68,'Revitalisation-Revitalisierung'!$A$4:$Z$275,6,FALSE)="","",VLOOKUP(A68,'Revitalisation-Revitalisierung'!$A$4:$Z$275,6,FALSE))</f>
        <v>22.017850042394038</v>
      </c>
      <c r="BD68" s="752">
        <f>IF(VLOOKUP(A68,'Revitalisation-Revitalisierung'!$A$4:$Z$275,7,FALSE)="","",VLOOKUP(A68,'Revitalisation-Revitalisierung'!$A$4:$Z$275,7,FALSE))</f>
        <v>9.0909090909090917</v>
      </c>
      <c r="BE68" s="753" t="str">
        <f>IF(VLOOKUP(A68,'Revitalisation-Revitalisierung'!$A$4:$Z$275,8,FALSE)="","",VLOOKUP(A68,'Revitalisation-Revitalisierung'!$A$4:$Z$275,8,FALSE))</f>
        <v>peu nécessaire, facile</v>
      </c>
      <c r="BF68" s="754" t="str">
        <f>IF(VLOOKUP(A68,'Revitalisation-Revitalisierung'!$A$4:$Z$275,9,FALSE)="","",VLOOKUP(A68,'Revitalisation-Revitalisierung'!$A$4:$Z$275,9,FALSE))</f>
        <v/>
      </c>
      <c r="BG68" s="754" t="str">
        <f>IF(VLOOKUP(A68,'Revitalisation-Revitalisierung'!$A$4:$Z$275,10,FALSE)="","",VLOOKUP(A68,'Revitalisation-Revitalisierung'!$A$4:$Z$275,10,FALSE))</f>
        <v>K3</v>
      </c>
      <c r="BH68" s="755" t="str">
        <f>IF(VLOOKUP(A68,'Revitalisation-Revitalisierung'!$A$4:$Z$275,11,FALSE)="","",VLOOKUP(A68,'Revitalisation-Revitalisierung'!$A$4:$Z$275,11,FALSE))</f>
        <v/>
      </c>
      <c r="BI68" s="756" t="str">
        <f>IF(VLOOKUP(A68,'Revitalisation-Revitalisierung'!$A$4:$Z$275,12,FALSE)="","",VLOOKUP(A68,'Revitalisation-Revitalisierung'!$A$4:$Z$275,12,FALSE))</f>
        <v/>
      </c>
      <c r="BJ68" s="757" t="str">
        <f>IF(VLOOKUP(A68,'Revitalisation-Revitalisierung'!$A$4:$Z$275,13,FALSE)="","",VLOOKUP(A68,'Revitalisation-Revitalisierung'!$A$4:$Z$275,13,FALSE))</f>
        <v>Très nécessaire, difficile / unbedingt nötig, schwierig</v>
      </c>
      <c r="BK68" s="870" t="str">
        <f>IF(VLOOKUP(A68,'Revitalisation-Revitalisierung'!$A$4:$Z$275,14,FALSE)="","",VLOOKUP(A68,'Revitalisation-Revitalisierung'!$A$4:$Z$275,14,FALSE))</f>
        <v>b</v>
      </c>
      <c r="BL68" s="758" t="str">
        <f>IF(VLOOKUP(A68,'Revitalisation-Revitalisierung'!$A$4:$Z$275,15,FALSE)="","",VLOOKUP(A68,'Revitalisation-Revitalisierung'!$A$4:$Z$275,15,FALSE))</f>
        <v>mittel/gering</v>
      </c>
      <c r="BM68" s="759" t="str">
        <f>IF(VLOOKUP(A68,'Revitalisation-Revitalisierung'!$A$4:$Z$275,16,FALSE)="","",VLOOKUP(A68,'Revitalisation-Revitalisierung'!$A$4:$Z$275,16,FALSE))</f>
        <v>gross</v>
      </c>
      <c r="BN68" s="759" t="str">
        <f>IF(VLOOKUP(A68,'Revitalisation-Revitalisierung'!$A$4:$Z$275,17,FALSE)="","",VLOOKUP(A68,'Revitalisation-Revitalisierung'!$A$4:$Z$275,17,FALSE))</f>
        <v>hoch / mittel</v>
      </c>
      <c r="BO68" s="760" t="str">
        <f>IF(VLOOKUP(A68,'Revitalisation-Revitalisierung'!$A$4:$Z$275,18,FALSE)="","",VLOOKUP(A68,'Revitalisation-Revitalisierung'!$A$4:$Z$275,18,FALSE))</f>
        <v>Très nécessaire, difficile / unbedingt nötig, schwierig</v>
      </c>
      <c r="BP68" s="784" t="str">
        <f>IF(VLOOKUP(A68,'Revitalisation-Revitalisierung'!$A$4:$Z$275,19,FALSE)="","",VLOOKUP(A68,'Revitalisation-Revitalisierung'!$A$4:$Z$275,19,FALSE))</f>
        <v>Très nécessaire, difficile / unbedingt nötig, schwierig</v>
      </c>
      <c r="BQ68" s="759" t="str">
        <f>IF(VLOOKUP(A68,'Revitalisation-Revitalisierung'!$A$4:$Z$275,20,FALSE)="","",VLOOKUP(A68,'Revitalisation-Revitalisierung'!$A$4:$Z$275,20,FALSE))</f>
        <v>d</v>
      </c>
      <c r="BR68" s="759" t="str">
        <f>IF(VLOOKUP(A68,'Revitalisation-Revitalisierung'!$A$4:$Z$275,21,FALSE)="","",VLOOKUP(A68,'Revitalisation-Revitalisierung'!$A$4:$Z$275,21,FALSE))</f>
        <v/>
      </c>
      <c r="BS68" s="762" t="str">
        <f>IF(VLOOKUP(A68,'Revitalisation-Revitalisierung'!$A$4:$Z$275,22,FALSE)="","",VLOOKUP(A68,'Revitalisation-Revitalisierung'!$A$4:$Z$275,22,FALSE))</f>
        <v/>
      </c>
      <c r="BT68" s="703" t="str">
        <f>IF(VLOOKUP(A68,'Revitalisation-Revitalisierung'!$A$4:$Z$275,23,FALSE)="","",VLOOKUP(A68,'Revitalisation-Revitalisierung'!$A$4:$Z$275,23,FALSE))</f>
        <v/>
      </c>
      <c r="BU68" s="707" t="str">
        <f>IF(VLOOKUP(A68,'Revitalisation-Revitalisierung'!$A$4:$Z$275,24,FALSE)="","",VLOOKUP(A68,'Revitalisation-Revitalisierung'!$A$4:$Z$275,24,FALSE))</f>
        <v>ok</v>
      </c>
      <c r="BV68" s="761" t="str">
        <f>IF(VLOOKUP(A68,'Revitalisation-Revitalisierung'!$A$4:$Z$275,25,FALSE)="","",VLOOKUP(A68,'Revitalisation-Revitalisierung'!$A$4:$Z$275,25,FALSE))</f>
        <v>Très nécessaire, difficile / unbedingt nötig, schwierig</v>
      </c>
      <c r="BW68" s="871" t="str">
        <f>IF(VLOOKUP(A68,'Revitalisation-Revitalisierung'!$A$4:$AA$275,27,FALSE)="","",VLOOKUP(A68,'Revitalisation-Revitalisierung'!$A$4:$AA$275,27,FALSE))</f>
        <v>a</v>
      </c>
    </row>
    <row r="69" spans="1:75" ht="94.9" customHeight="1" x14ac:dyDescent="0.25">
      <c r="A69" s="935">
        <v>86</v>
      </c>
      <c r="B69" s="856">
        <f>IF(VLOOKUP(A69,'Données de base - Grunddaten'!$A$2:$M$297,2,FALSE)="","",VLOOKUP(A69,'Données de base - Grunddaten'!$A$2:$M$297,2,FALSE))</f>
        <v>1</v>
      </c>
      <c r="C69" s="857" t="str">
        <f>IF(VLOOKUP(A69,'Données de base - Grunddaten'!$A$2:$M$297,3,FALSE)="","",VLOOKUP(A69,'Données de base - Grunddaten'!$A$2:$M$297,3,FALSE))</f>
        <v>Sandey</v>
      </c>
      <c r="D69" s="857" t="str">
        <f>IF(VLOOKUP(A69,'Données de base - Grunddaten'!$A$2:$M$297,4,FALSE)="","",VLOOKUP(A69,'Données de base - Grunddaten'!$A$2:$M$297,4,FALSE))</f>
        <v>Urbachwasser</v>
      </c>
      <c r="E69" s="857" t="str">
        <f>IF(VLOOKUP(A69,'Données de base - Grunddaten'!$A$2:$M$297,5,FALSE)="","",VLOOKUP(A69,'Données de base - Grunddaten'!$A$2:$M$297,5,FALSE))</f>
        <v>BE</v>
      </c>
      <c r="F69" s="857" t="str">
        <f>IF(VLOOKUP(A69,'Données de base - Grunddaten'!$A$2:$M$297,6,FALSE)="","",VLOOKUP(A69,'Données de base - Grunddaten'!$A$2:$M$297,6,FALSE))</f>
        <v>Alpes septentrionales</v>
      </c>
      <c r="G69" s="857" t="str">
        <f>IF(VLOOKUP(A69,'Données de base - Grunddaten'!$A$2:$M$297,7,FALSE)="","",VLOOKUP(A69,'Données de base - Grunddaten'!$A$2:$M$297,7,FALSE))</f>
        <v>Montagnard inf.</v>
      </c>
      <c r="H69" s="857">
        <f>IF(VLOOKUP(A69,'Données de base - Grunddaten'!$A$2:$M$297,8,FALSE)="","",VLOOKUP(A69,'Données de base - Grunddaten'!$A$2:$M$297,8,FALSE))</f>
        <v>800</v>
      </c>
      <c r="I69" s="857">
        <f>IF(VLOOKUP(A69,'Données de base - Grunddaten'!$A$2:$M$297,9,FALSE)="","",VLOOKUP(A69,'Données de base - Grunddaten'!$A$2:$M$297,9,FALSE))</f>
        <v>1992</v>
      </c>
      <c r="J69" s="857">
        <f>IF(VLOOKUP(A69,'Données de base - Grunddaten'!$A$2:$M$297,10,FALSE)="","",VLOOKUP(A69,'Données de base - Grunddaten'!$A$2:$M$297,10,FALSE))</f>
        <v>41</v>
      </c>
      <c r="K69" s="857" t="str">
        <f>IF(VLOOKUP(A69,'Données de base - Grunddaten'!$A$2:$M$297,11,FALSE)="","",VLOOKUP(A69,'Données de base - Grunddaten'!$A$2:$M$297,11,FALSE))</f>
        <v>Cours d'eau naturels de l'étage montagnard</v>
      </c>
      <c r="L69" s="857" t="str">
        <f>IF(VLOOKUP(A69,'Données de base - Grunddaten'!$A$2:$M$297,12,FALSE)="","",VLOOKUP(A69,'Données de base - Grunddaten'!$A$2:$M$297,12,FALSE))</f>
        <v>en méandres migrants</v>
      </c>
      <c r="M69" s="858" t="str">
        <f>IF(VLOOKUP(A69,'Données de base - Grunddaten'!$A$2:$M$297,13,FALSE)="","",VLOOKUP(A69,'Données de base - Grunddaten'!$A$2:$M$297,13,FALSE))</f>
        <v>en tresses</v>
      </c>
      <c r="N69" s="872" t="str">
        <f>IF(VLOOKUP(A69,'Charriage - Geschiebehaushalt'!$A$4:$R$275,5,FALSE)="","",VLOOKUP(A69,'Charriage - Geschiebehaushalt'!$A$4:$R$275,5,FALSE))</f>
        <v>pertinent</v>
      </c>
      <c r="O69" s="881" t="str">
        <f>IF(VLOOKUP(A69,'Charriage - Geschiebehaushalt'!$A$4:$R$275,6,FALSE)="","",VLOOKUP(A69,'Charriage - Geschiebehaushalt'!$A$4:$R$275,6,FALSE))</f>
        <v>non documenté</v>
      </c>
      <c r="P69" s="874" t="str">
        <f>IF(VLOOKUP(A69,'Charriage - Geschiebehaushalt'!$A$4:$R$275,7,FALSE)="","",VLOOKUP(A69,'Charriage - Geschiebehaushalt'!$A$4:$R$275,7,FALSE))</f>
        <v/>
      </c>
      <c r="Q69" s="874" t="str">
        <f>IF(VLOOKUP(A69,'Charriage - Geschiebehaushalt'!$A$4:$R$275,8,FALSE)="","",VLOOKUP(A69,'Charriage - Geschiebehaushalt'!$A$4:$R$275,8,FALSE))</f>
        <v>non documenté</v>
      </c>
      <c r="R69" s="875">
        <f>IF(VLOOKUP(A69,'Charriage - Geschiebehaushalt'!$A$4:$R$275,9,FALSE)="","",VLOOKUP(A69,'Charriage - Geschiebehaushalt'!$A$4:$R$275,9,FALSE))</f>
        <v>0.10181554361315701</v>
      </c>
      <c r="S69" s="876" t="str">
        <f>IF(VLOOKUP(A69,'Charriage - Geschiebehaushalt'!$A$4:$R$275,10,FALSE)="","",VLOOKUP(A69,'Charriage - Geschiebehaushalt'!$A$4:$R$275,10,FALSE))</f>
        <v>pas ou faiblement entravé</v>
      </c>
      <c r="T69" s="875">
        <f>IF(VLOOKUP(A69,'Charriage - Geschiebehaushalt'!$A$4:$R$275,11,FALSE)="","",VLOOKUP(A69,'Charriage - Geschiebehaushalt'!$A$4:$R$275,11,FALSE))</f>
        <v>0.44286827539000001</v>
      </c>
      <c r="U69" s="895" t="str">
        <f>IF(VLOOKUP(A69,'Charriage - Geschiebehaushalt'!$A$4:$R$275,12,FALSE)="","",VLOOKUP(A69,'Charriage - Geschiebehaushalt'!$A$4:$R$275,12,FALSE))</f>
        <v>déficit non apparent en charriage ou en remobilisation des sédiments</v>
      </c>
      <c r="V69" s="877" t="str">
        <f>IF(VLOOKUP(A69,'Charriage - Geschiebehaushalt'!$A$4:$R$275,13,FALSE)="","",VLOOKUP(A69,'Charriage - Geschiebehaushalt'!$A$4:$R$275,13,FALSE))</f>
        <v/>
      </c>
      <c r="W69" s="877" t="str">
        <f>IF(VLOOKUP(A69,'Charriage - Geschiebehaushalt'!$A$4:$R$275,14,FALSE)="","",VLOOKUP(A69,'Charriage - Geschiebehaushalt'!$A$4:$R$275,14,FALSE))</f>
        <v/>
      </c>
      <c r="X69" s="877" t="str">
        <f>IF(VLOOKUP(A69,'Charriage - Geschiebehaushalt'!$A$4:$R$275,15,FALSE)="","",VLOOKUP(A69,'Charriage - Geschiebehaushalt'!$A$4:$R$275,15,FALSE))</f>
        <v/>
      </c>
      <c r="Y69" s="879" t="str">
        <f>IF(VLOOKUP(A69,'Charriage - Geschiebehaushalt'!$A$4:$R$275,16,FALSE)="","",VLOOKUP(A69,'Charriage - Geschiebehaushalt'!$A$4:$R$275,16,FALSE))</f>
        <v/>
      </c>
      <c r="Z69" s="763" t="str">
        <f>IF(VLOOKUP(A69,'Charriage - Geschiebehaushalt'!$A$4:$R$275,17,FALSE)="","",VLOOKUP(A69,'Charriage - Geschiebehaushalt'!$A$4:$R$275,17,FALSE))</f>
        <v>Déficit non apparent en charriage ou en remobilisation des sédiments / kein sichtbares Defizit beim Geschiebehaushalt bzw. bei der Mobilisierung von Geschiebe</v>
      </c>
      <c r="AA69" s="880" t="str">
        <f>IF(VLOOKUP(A69,'Charriage - Geschiebehaushalt'!$A$4:$R$275,18,FALSE)="","",VLOOKUP(A69,'Charriage - Geschiebehaushalt'!$A$4:$R$275,18,FALSE))</f>
        <v>a</v>
      </c>
      <c r="AB69" s="737" t="str">
        <f>IF(VLOOKUP(A69,'Charriage - Geschiebehaushalt'!$A$4:$AC$275,19,FALSE)="","",VLOOKUP(A69,'Charriage - Geschiebehaushalt'!$A$4:$AC$275,19,FALSE))</f>
        <v>-</v>
      </c>
      <c r="AC69" s="738" t="str">
        <f>IF(VLOOKUP(A69,'Charriage - Geschiebehaushalt'!$A$4:$AC$275,20,FALSE)="","",VLOOKUP(A69,'Charriage - Geschiebehaushalt'!$A$4:$AC$275,20,FALSE))</f>
        <v>-</v>
      </c>
      <c r="AD69" s="764" t="str">
        <f>IF(VLOOKUP(A69,'Charriage - Geschiebehaushalt'!$A$4:$AC$275,21,FALSE)="","",VLOOKUP(A69,'Charriage - Geschiebehaushalt'!$A$4:$AC$275,21,FALSE))</f>
        <v/>
      </c>
      <c r="AE69" s="740" t="str">
        <f>IF(VLOOKUP(A69,'Charriage - Geschiebehaushalt'!$A$4:$AC$275,22,FALSE)="","",VLOOKUP(A69,'Charriage - Geschiebehaushalt'!$A$4:$AC$275,22,FALSE))</f>
        <v>0-20%</v>
      </c>
      <c r="AF69" s="787" t="str">
        <f>IF(VLOOKUP(A69,'Charriage - Geschiebehaushalt'!$A$4:$AC$275,23,FALSE)="","",VLOOKUP(A69,'Charriage - Geschiebehaushalt'!$A$4:$AC$275,23,FALSE))</f>
        <v>a</v>
      </c>
      <c r="AG69" s="765" t="str">
        <f>IF(VLOOKUP(A69,'Charriage - Geschiebehaushalt'!$A$4:$AC$275,24,FALSE)="","",VLOOKUP(A69,'Charriage - Geschiebehaushalt'!$A$4:$AC$275,24,FALSE))</f>
        <v/>
      </c>
      <c r="AH69" s="764" t="str">
        <f>IF(VLOOKUP(A69,'Charriage - Geschiebehaushalt'!$A$4:$AC$275,25,FALSE)="","",VLOOKUP(A69,'Charriage - Geschiebehaushalt'!$A$4:$AC$275,25,FALSE))</f>
        <v/>
      </c>
      <c r="AI69" s="433" t="str">
        <f>IF(VLOOKUP(A69,'Charriage - Geschiebehaushalt'!$A$4:$AC$275,26,FALSE)="","",VLOOKUP(A69,'Charriage - Geschiebehaushalt'!$A$4:$AC$275,26,FALSE))</f>
        <v/>
      </c>
      <c r="AJ69" s="434" t="str">
        <f>IF(VLOOKUP(A69,'Charriage - Geschiebehaushalt'!$A$4:$AC$275,27,FALSE)="","",VLOOKUP(A69,'Charriage - Geschiebehaushalt'!$A$4:$AC$275,27,FALSE))</f>
        <v/>
      </c>
      <c r="AK69" s="801" t="str">
        <f>IF(VLOOKUP(A69,'Charriage - Geschiebehaushalt'!$A$4:$AC$275,28,FALSE)="","",VLOOKUP(A69,'Charriage - Geschiebehaushalt'!$A$4:$AC$275,28,FALSE))</f>
        <v>0-20%</v>
      </c>
      <c r="AL69" s="1285" t="str">
        <f>IF(VLOOKUP(A69,'Charriage - Geschiebehaushalt'!$A$4:$AD$275,30,FALSE)="","",VLOOKUP(A69,'Charriage - Geschiebehaushalt'!$A$4:$AD$275,30,FALSE))</f>
        <v>a</v>
      </c>
      <c r="AM69" s="1279" t="str">
        <f>IF(VLOOKUP(A69,'Débit - Abfluss'!$A$4:$K$275,5,FALSE)="","",VLOOKUP(A69,'Débit - Abfluss'!$A$4:$M$275,5,FALSE))</f>
        <v>21-40%</v>
      </c>
      <c r="AN69" s="868" t="str">
        <f>IF(VLOOKUP(A69,'Débit - Abfluss'!$A$4:$K$275,6,FALSE)="","",VLOOKUP(A69,'Débit - Abfluss'!$A$4:$M$275,6,FALSE))</f>
        <v/>
      </c>
      <c r="AO69" s="869" t="str">
        <f>IF(VLOOKUP(A69,'Débit - Abfluss'!$A$4:$K$275,7,FALSE)="","",VLOOKUP(A69,'Débit - Abfluss'!$A$4:$M$275,7,FALSE))</f>
        <v/>
      </c>
      <c r="AP69" s="766" t="str">
        <f>IF(VLOOKUP(A69,'Débit - Abfluss'!$A$4:$K$275,8,FALSE)="","",VLOOKUP(A69,'Débit - Abfluss'!$A$4:$M$275,8,FALSE))</f>
        <v>21-40%</v>
      </c>
      <c r="AQ69" s="678" t="str">
        <f>IF(VLOOKUP(A69,'Débit - Abfluss'!$A$4:$K$275,9,FALSE)="","",VLOOKUP(A69,'Débit - Abfluss'!$A$4:$M$275,9,FALSE))</f>
        <v>50-90%</v>
      </c>
      <c r="AR69" s="773" t="str">
        <f>IF(VLOOKUP(A69,'Débit - Abfluss'!$A$4:$K$275,10,FALSE)="","",VLOOKUP(A69,'Débit - Abfluss'!$A$4:$M$275,10,FALSE))</f>
        <v>21-40%</v>
      </c>
      <c r="AS69" s="773" t="str">
        <f>IF(VLOOKUP(A69,'Débit - Abfluss'!$A$4:$K$275,11,FALSE)="","",VLOOKUP(A69,'Débit - Abfluss'!$A$4:$M$275,11,FALSE))</f>
        <v>X</v>
      </c>
      <c r="AT69" s="744" t="str">
        <f>IF(VLOOKUP(A69,'Débit - Abfluss'!$A$4:$Q$275,12,FALSE)="","",VLOOKUP(A69,'Débit - Abfluss'!$A$4:$Q$275,12,FALSE))</f>
        <v/>
      </c>
      <c r="AU69" s="745" t="str">
        <f>IF(VLOOKUP(A69,'Débit - Abfluss'!$A$4:$Q$275,13,FALSE)="","",VLOOKUP(A69,'Débit - Abfluss'!$A$4:$Q$275,13,FALSE))</f>
        <v/>
      </c>
      <c r="AV69" s="746" t="str">
        <f>IF(VLOOKUP(A69,'Débit - Abfluss'!$A$4:$Q$275,14,FALSE)="","",VLOOKUP(A69,'Débit - Abfluss'!$A$4:$Q$275,14,FALSE))</f>
        <v>BE-447c
BE-447d</v>
      </c>
      <c r="AW69" s="768" t="str">
        <f>IF(VLOOKUP(A69,'Débit - Abfluss'!$A$4:$Q$275,15,FALSE)="","",VLOOKUP(A69,'Débit - Abfluss'!$A$4:$Q$275,15,FALSE))</f>
        <v/>
      </c>
      <c r="AX69" s="677" t="str">
        <f>IF(VLOOKUP(A69,'Débit - Abfluss'!$A$4:$Q$275,16,FALSE)="","",VLOOKUP(A69,'Débit - Abfluss'!$A$4:$Q$275,16,FALSE))</f>
        <v/>
      </c>
      <c r="AY69" s="780" t="str">
        <f>IF(VLOOKUP(A69,'Débit - Abfluss'!$A$4:$Q$275,17,FALSE)="","",VLOOKUP(A69,'Débit - Abfluss'!$A$4:$Q$275,17,FALSE))</f>
        <v>21-40%</v>
      </c>
      <c r="AZ69" s="749" t="str">
        <f>IF(VLOOKUP(A69,'Eclusée - Schwall-Sunk'!$A$2:$F$273,5,FALSE)="","",VLOOKUP(A69,'Eclusée - Schwall-Sunk'!$A$2:$F$273,5,FALSE))</f>
        <v>force hydraulique</v>
      </c>
      <c r="BA69" s="750" t="str">
        <f>IF(VLOOKUP(A69,'Eclusée - Schwall-Sunk'!$A$2:$F$273,6,FALSE)="","",VLOOKUP(A69,'Eclusée - Schwall-Sunk'!$A$2:$F$273,6,FALSE))</f>
        <v>Non affecté / nicht betroffen</v>
      </c>
      <c r="BB69" s="751">
        <f>IF(VLOOKUP(A69,'Revitalisation-Revitalisierung'!$A$4:$Z$275,5,FALSE)="","",VLOOKUP(A69,'Revitalisation-Revitalisierung'!$A$4:$Z$275,5,FALSE))</f>
        <v>-11.118181818181817</v>
      </c>
      <c r="BC69" s="752">
        <f>IF(VLOOKUP(A69,'Revitalisation-Revitalisierung'!$A$4:$Z$275,6,FALSE)="","",VLOOKUP(A69,'Revitalisation-Revitalisierung'!$A$4:$Z$275,6,FALSE))</f>
        <v>5.749152288919273</v>
      </c>
      <c r="BD69" s="752">
        <f>IF(VLOOKUP(A69,'Revitalisation-Revitalisierung'!$A$4:$Z$275,7,FALSE)="","",VLOOKUP(A69,'Revitalisation-Revitalisierung'!$A$4:$Z$275,7,FALSE))</f>
        <v>16.818181818181817</v>
      </c>
      <c r="BE69" s="753" t="str">
        <f>IF(VLOOKUP(A69,'Revitalisation-Revitalisierung'!$A$4:$Z$275,8,FALSE)="","",VLOOKUP(A69,'Revitalisation-Revitalisierung'!$A$4:$Z$275,8,FALSE))</f>
        <v>peu nécessaire, facile</v>
      </c>
      <c r="BF69" s="754" t="str">
        <f>IF(VLOOKUP(A69,'Revitalisation-Revitalisierung'!$A$4:$Z$275,9,FALSE)="","",VLOOKUP(A69,'Revitalisation-Revitalisierung'!$A$4:$Z$275,9,FALSE))</f>
        <v>leicht</v>
      </c>
      <c r="BG69" s="754" t="str">
        <f>IF(VLOOKUP(A69,'Revitalisation-Revitalisierung'!$A$4:$Z$275,10,FALSE)="","",VLOOKUP(A69,'Revitalisation-Revitalisierung'!$A$4:$Z$275,10,FALSE))</f>
        <v>K1</v>
      </c>
      <c r="BH69" s="755" t="str">
        <f>IF(VLOOKUP(A69,'Revitalisation-Revitalisierung'!$A$4:$Z$275,11,FALSE)="","",VLOOKUP(A69,'Revitalisation-Revitalisierung'!$A$4:$Z$275,11,FALSE))</f>
        <v/>
      </c>
      <c r="BI69" s="756" t="str">
        <f>IF(VLOOKUP(A69,'Revitalisation-Revitalisierung'!$A$4:$Z$275,12,FALSE)="","",VLOOKUP(A69,'Revitalisation-Revitalisierung'!$A$4:$Z$275,12,FALSE))</f>
        <v/>
      </c>
      <c r="BJ69" s="757" t="str">
        <f>IF(VLOOKUP(A69,'Revitalisation-Revitalisierung'!$A$4:$Z$275,13,FALSE)="","",VLOOKUP(A69,'Revitalisation-Revitalisierung'!$A$4:$Z$275,13,FALSE))</f>
        <v>Très nécessaire, facile / unbedingt nötig, einfach</v>
      </c>
      <c r="BK69" s="870" t="str">
        <f>IF(VLOOKUP(A69,'Revitalisation-Revitalisierung'!$A$4:$Z$275,14,FALSE)="","",VLOOKUP(A69,'Revitalisation-Revitalisierung'!$A$4:$Z$275,14,FALSE))</f>
        <v>b</v>
      </c>
      <c r="BL69" s="758" t="str">
        <f>IF(VLOOKUP(A69,'Revitalisation-Revitalisierung'!$A$4:$Z$275,15,FALSE)="","",VLOOKUP(A69,'Revitalisation-Revitalisierung'!$A$4:$Z$275,15,FALSE))</f>
        <v>mittel</v>
      </c>
      <c r="BM69" s="759" t="str">
        <f>IF(VLOOKUP(A69,'Revitalisation-Revitalisierung'!$A$4:$Z$275,16,FALSE)="","",VLOOKUP(A69,'Revitalisation-Revitalisierung'!$A$4:$Z$275,16,FALSE))</f>
        <v>mittel</v>
      </c>
      <c r="BN69" s="759" t="str">
        <f>IF(VLOOKUP(A69,'Revitalisation-Revitalisierung'!$A$4:$Z$275,17,FALSE)="","",VLOOKUP(A69,'Revitalisation-Revitalisierung'!$A$4:$Z$275,17,FALSE))</f>
        <v>mittel</v>
      </c>
      <c r="BO69" s="760" t="str">
        <f>IF(VLOOKUP(A69,'Revitalisation-Revitalisierung'!$A$4:$Z$275,18,FALSE)="","",VLOOKUP(A69,'Revitalisation-Revitalisierung'!$A$4:$Z$275,18,FALSE))</f>
        <v>Partiellement nécessaire, facile / teilweise nötig, einfach</v>
      </c>
      <c r="BP69" s="761" t="str">
        <f>IF(VLOOKUP(A69,'Revitalisation-Revitalisierung'!$A$4:$Z$275,19,FALSE)="","",VLOOKUP(A69,'Revitalisation-Revitalisierung'!$A$4:$Z$275,19,FALSE))</f>
        <v>Partiellement nécessaire, facile / teilweise nötig, einfach</v>
      </c>
      <c r="BQ69" s="759" t="str">
        <f>IF(VLOOKUP(A69,'Revitalisation-Revitalisierung'!$A$4:$Z$275,20,FALSE)="","",VLOOKUP(A69,'Revitalisation-Revitalisierung'!$A$4:$Z$275,20,FALSE))</f>
        <v>c</v>
      </c>
      <c r="BR69" s="759" t="str">
        <f>IF(VLOOKUP(A69,'Revitalisation-Revitalisierung'!$A$4:$Z$275,21,FALSE)="","",VLOOKUP(A69,'Revitalisation-Revitalisierung'!$A$4:$Z$275,21,FALSE))</f>
        <v/>
      </c>
      <c r="BS69" s="762" t="str">
        <f>IF(VLOOKUP(A69,'Revitalisation-Revitalisierung'!$A$4:$Z$275,22,FALSE)="","",VLOOKUP(A69,'Revitalisation-Revitalisierung'!$A$4:$Z$275,22,FALSE))</f>
        <v/>
      </c>
      <c r="BT69" s="703" t="str">
        <f>IF(VLOOKUP(A69,'Revitalisation-Revitalisierung'!$A$4:$Z$275,23,FALSE)="","",VLOOKUP(A69,'Revitalisation-Revitalisierung'!$A$4:$Z$275,23,FALSE))</f>
        <v/>
      </c>
      <c r="BU69" s="704" t="str">
        <f>IF(VLOOKUP(A69,'Revitalisation-Revitalisierung'!$A$4:$Z$275,24,FALSE)="","",VLOOKUP(A69,'Revitalisation-Revitalisierung'!$A$4:$Z$275,24,FALSE))</f>
        <v>nur theoretisch einfach, Grundeigentümer… nicht einfach</v>
      </c>
      <c r="BV69" s="761" t="str">
        <f>IF(VLOOKUP(A69,'Revitalisation-Revitalisierung'!$A$4:$Z$275,25,FALSE)="","",VLOOKUP(A69,'Revitalisation-Revitalisierung'!$A$4:$Z$275,25,FALSE))</f>
        <v>Partiellement nécessaire, difficile / teilweise nötig, schwierig</v>
      </c>
      <c r="BW69" s="871" t="str">
        <f>IF(VLOOKUP(A69,'Revitalisation-Revitalisierung'!$A$4:$AA$275,27,FALSE)="","",VLOOKUP(A69,'Revitalisation-Revitalisierung'!$A$4:$AA$275,27,FALSE))</f>
        <v>b</v>
      </c>
    </row>
    <row r="70" spans="1:75" ht="67.150000000000006" customHeight="1" x14ac:dyDescent="0.25">
      <c r="A70" s="935">
        <v>87</v>
      </c>
      <c r="B70" s="856">
        <f>IF(VLOOKUP(A70,'Données de base - Grunddaten'!$A$2:$M$297,2,FALSE)="","",VLOOKUP(A70,'Données de base - Grunddaten'!$A$2:$M$297,2,FALSE))</f>
        <v>1</v>
      </c>
      <c r="C70" s="857" t="str">
        <f>IF(VLOOKUP(A70,'Données de base - Grunddaten'!$A$2:$M$297,3,FALSE)="","",VLOOKUP(A70,'Données de base - Grunddaten'!$A$2:$M$297,3,FALSE))</f>
        <v>Rüsshalden</v>
      </c>
      <c r="D70" s="857" t="str">
        <f>IF(VLOOKUP(A70,'Données de base - Grunddaten'!$A$2:$M$297,4,FALSE)="","",VLOOKUP(A70,'Données de base - Grunddaten'!$A$2:$M$297,4,FALSE))</f>
        <v>Reuss</v>
      </c>
      <c r="E70" s="857" t="str">
        <f>IF(VLOOKUP(A70,'Données de base - Grunddaten'!$A$2:$M$297,5,FALSE)="","",VLOOKUP(A70,'Données de base - Grunddaten'!$A$2:$M$297,5,FALSE))</f>
        <v>AG</v>
      </c>
      <c r="F70" s="857" t="str">
        <f>IF(VLOOKUP(A70,'Données de base - Grunddaten'!$A$2:$M$297,6,FALSE)="","",VLOOKUP(A70,'Données de base - Grunddaten'!$A$2:$M$297,6,FALSE))</f>
        <v>Plateau oriental</v>
      </c>
      <c r="G70" s="857" t="str">
        <f>IF(VLOOKUP(A70,'Données de base - Grunddaten'!$A$2:$M$297,7,FALSE)="","",VLOOKUP(A70,'Données de base - Grunddaten'!$A$2:$M$297,7,FALSE))</f>
        <v>Collinéen</v>
      </c>
      <c r="H70" s="857">
        <f>IF(VLOOKUP(A70,'Données de base - Grunddaten'!$A$2:$M$297,8,FALSE)="","",VLOOKUP(A70,'Données de base - Grunddaten'!$A$2:$M$297,8,FALSE))</f>
        <v>345</v>
      </c>
      <c r="I70" s="857">
        <f>IF(VLOOKUP(A70,'Données de base - Grunddaten'!$A$2:$M$297,9,FALSE)="","",VLOOKUP(A70,'Données de base - Grunddaten'!$A$2:$M$297,9,FALSE))</f>
        <v>1992</v>
      </c>
      <c r="J70" s="857">
        <f>IF(VLOOKUP(A70,'Données de base - Grunddaten'!$A$2:$M$297,10,FALSE)="","",VLOOKUP(A70,'Données de base - Grunddaten'!$A$2:$M$297,10,FALSE))</f>
        <v>51</v>
      </c>
      <c r="K70" s="857" t="str">
        <f>IF(VLOOKUP(A70,'Données de base - Grunddaten'!$A$2:$M$297,11,FALSE)="","",VLOOKUP(A70,'Données de base - Grunddaten'!$A$2:$M$297,11,FALSE))</f>
        <v>Cours d'eau naturels de l'étage collinéen du Moyen-Pays</v>
      </c>
      <c r="L70" s="857" t="str">
        <f>IF(VLOOKUP(A70,'Données de base - Grunddaten'!$A$2:$M$297,12,FALSE)="","",VLOOKUP(A70,'Données de base - Grunddaten'!$A$2:$M$297,12,FALSE))</f>
        <v>en méandres migrants</v>
      </c>
      <c r="M70" s="858" t="str">
        <f>IF(VLOOKUP(A70,'Données de base - Grunddaten'!$A$2:$M$297,13,FALSE)="","",VLOOKUP(A70,'Données de base - Grunddaten'!$A$2:$M$297,13,FALSE))</f>
        <v>en méandres migrants</v>
      </c>
      <c r="N70" s="872" t="str">
        <f>IF(VLOOKUP(A70,'Charriage - Geschiebehaushalt'!$A$4:$R$275,5,FALSE)="","",VLOOKUP(A70,'Charriage - Geschiebehaushalt'!$A$4:$R$275,5,FALSE))</f>
        <v>pertinent</v>
      </c>
      <c r="O70" s="873" t="str">
        <f>IF(VLOOKUP(A70,'Charriage - Geschiebehaushalt'!$A$4:$R$275,6,FALSE)="","",VLOOKUP(A70,'Charriage - Geschiebehaushalt'!$A$4:$R$275,6,FALSE))</f>
        <v>81 -100%</v>
      </c>
      <c r="P70" s="874">
        <f>IF(VLOOKUP(A70,'Charriage - Geschiebehaushalt'!$A$4:$R$275,7,FALSE)="","",VLOOKUP(A70,'Charriage - Geschiebehaushalt'!$A$4:$R$275,7,FALSE))</f>
        <v>-5.4526267471724302E-2</v>
      </c>
      <c r="Q70" s="874" t="str">
        <f>IF(VLOOKUP(A70,'Charriage - Geschiebehaushalt'!$A$4:$R$275,8,FALSE)="","",VLOOKUP(A70,'Charriage - Geschiebehaushalt'!$A$4:$R$275,8,FALSE))</f>
        <v>pas d'incision</v>
      </c>
      <c r="R70" s="875">
        <f>IF(VLOOKUP(A70,'Charriage - Geschiebehaushalt'!$A$4:$R$275,9,FALSE)="","",VLOOKUP(A70,'Charriage - Geschiebehaushalt'!$A$4:$R$275,9,FALSE))</f>
        <v>0</v>
      </c>
      <c r="S70" s="876" t="str">
        <f>IF(VLOOKUP(A70,'Charriage - Geschiebehaushalt'!$A$4:$R$275,10,FALSE)="","",VLOOKUP(A70,'Charriage - Geschiebehaushalt'!$A$4:$R$275,10,FALSE))</f>
        <v>pas ou faiblement entravé</v>
      </c>
      <c r="T70" s="875">
        <f>IF(VLOOKUP(A70,'Charriage - Geschiebehaushalt'!$A$4:$R$275,11,FALSE)="","",VLOOKUP(A70,'Charriage - Geschiebehaushalt'!$A$4:$R$275,11,FALSE))</f>
        <v>2.0241438026000001E-2</v>
      </c>
      <c r="U70" s="876" t="str">
        <f>IF(VLOOKUP(A70,'Charriage - Geschiebehaushalt'!$A$4:$R$275,12,FALSE)="","",VLOOKUP(A70,'Charriage - Geschiebehaushalt'!$A$4:$R$275,12,FALSE))</f>
        <v>déficit dans les formations pionnières</v>
      </c>
      <c r="V70" s="877" t="str">
        <f>IF(VLOOKUP(A70,'Charriage - Geschiebehaushalt'!$A$4:$R$275,13,FALSE)="","",VLOOKUP(A70,'Charriage - Geschiebehaushalt'!$A$4:$R$275,13,FALSE))</f>
        <v/>
      </c>
      <c r="W70" s="877" t="str">
        <f>IF(VLOOKUP(A70,'Charriage - Geschiebehaushalt'!$A$4:$R$275,14,FALSE)="","",VLOOKUP(A70,'Charriage - Geschiebehaushalt'!$A$4:$R$275,14,FALSE))</f>
        <v/>
      </c>
      <c r="X70" s="877" t="str">
        <f>IF(VLOOKUP(A70,'Charriage - Geschiebehaushalt'!$A$4:$R$275,15,FALSE)="","",VLOOKUP(A70,'Charriage - Geschiebehaushalt'!$A$4:$R$275,15,FALSE))</f>
        <v/>
      </c>
      <c r="Y70" s="879" t="str">
        <f>IF(VLOOKUP(A70,'Charriage - Geschiebehaushalt'!$A$4:$R$275,16,FALSE)="","",VLOOKUP(A70,'Charriage - Geschiebehaushalt'!$A$4:$R$275,16,FALSE))</f>
        <v/>
      </c>
      <c r="Z70" s="763" t="str">
        <f>IF(VLOOKUP(A70,'Charriage - Geschiebehaushalt'!$A$4:$R$275,17,FALSE)="","",VLOOKUP(A70,'Charriage - Geschiebehaushalt'!$A$4:$R$275,17,FALSE))</f>
        <v>81 -100%</v>
      </c>
      <c r="AA70" s="880" t="str">
        <f>IF(VLOOKUP(A70,'Charriage - Geschiebehaushalt'!$A$4:$R$275,18,FALSE)="","",VLOOKUP(A70,'Charriage - Geschiebehaushalt'!$A$4:$R$275,18,FALSE))</f>
        <v>a</v>
      </c>
      <c r="AB70" s="737" t="str">
        <f>IF(VLOOKUP(A70,'Charriage - Geschiebehaushalt'!$A$4:$AC$275,19,FALSE)="","",VLOOKUP(A70,'Charriage - Geschiebehaushalt'!$A$4:$AC$275,19,FALSE))</f>
        <v>-</v>
      </c>
      <c r="AC70" s="738" t="str">
        <f>IF(VLOOKUP(A70,'Charriage - Geschiebehaushalt'!$A$4:$AC$275,20,FALSE)="","",VLOOKUP(A70,'Charriage - Geschiebehaushalt'!$A$4:$AC$275,20,FALSE))</f>
        <v>-</v>
      </c>
      <c r="AD70" s="764" t="str">
        <f>IF(VLOOKUP(A70,'Charriage - Geschiebehaushalt'!$A$4:$AC$275,21,FALSE)="","",VLOOKUP(A70,'Charriage - Geschiebehaushalt'!$A$4:$AC$275,21,FALSE))</f>
        <v/>
      </c>
      <c r="AE70" s="740" t="str">
        <f>IF(VLOOKUP(A70,'Charriage - Geschiebehaushalt'!$A$4:$AC$275,22,FALSE)="","",VLOOKUP(A70,'Charriage - Geschiebehaushalt'!$A$4:$AC$275,22,FALSE))</f>
        <v>81-100%</v>
      </c>
      <c r="AF70" s="787" t="str">
        <f>IF(VLOOKUP(A70,'Charriage - Geschiebehaushalt'!$A$4:$AC$275,23,FALSE)="","",VLOOKUP(A70,'Charriage - Geschiebehaushalt'!$A$4:$AC$275,23,FALSE))</f>
        <v>a</v>
      </c>
      <c r="AG70" s="765" t="str">
        <f>IF(VLOOKUP(A70,'Charriage - Geschiebehaushalt'!$A$4:$AC$275,24,FALSE)="","",VLOOKUP(A70,'Charriage - Geschiebehaushalt'!$A$4:$AC$275,24,FALSE))</f>
        <v/>
      </c>
      <c r="AH70" s="764" t="str">
        <f>IF(VLOOKUP(A70,'Charriage - Geschiebehaushalt'!$A$4:$AC$275,25,FALSE)="","",VLOOKUP(A70,'Charriage - Geschiebehaushalt'!$A$4:$AC$275,25,FALSE))</f>
        <v/>
      </c>
      <c r="AI70" s="433" t="str">
        <f>IF(VLOOKUP(A70,'Charriage - Geschiebehaushalt'!$A$4:$AC$275,26,FALSE)="","",VLOOKUP(A70,'Charriage - Geschiebehaushalt'!$A$4:$AC$275,26,FALSE))</f>
        <v/>
      </c>
      <c r="AJ70" s="434" t="str">
        <f>IF(VLOOKUP(A70,'Charriage - Geschiebehaushalt'!$A$4:$AC$275,27,FALSE)="","",VLOOKUP(A70,'Charriage - Geschiebehaushalt'!$A$4:$AC$275,27,FALSE))</f>
        <v/>
      </c>
      <c r="AK70" s="801" t="str">
        <f>IF(VLOOKUP(A70,'Charriage - Geschiebehaushalt'!$A$4:$AC$275,28,FALSE)="","",VLOOKUP(A70,'Charriage - Geschiebehaushalt'!$A$4:$AC$275,28,FALSE))</f>
        <v>81-100%</v>
      </c>
      <c r="AL70" s="1285" t="str">
        <f>IF(VLOOKUP(A70,'Charriage - Geschiebehaushalt'!$A$4:$AD$275,30,FALSE)="","",VLOOKUP(A70,'Charriage - Geschiebehaushalt'!$A$4:$AD$275,30,FALSE))</f>
        <v>a</v>
      </c>
      <c r="AM70" s="1279" t="str">
        <f>IF(VLOOKUP(A70,'Débit - Abfluss'!$A$4:$K$275,5,FALSE)="","",VLOOKUP(A70,'Débit - Abfluss'!$A$4:$M$275,5,FALSE))</f>
        <v>81-100%</v>
      </c>
      <c r="AN70" s="868" t="str">
        <f>IF(VLOOKUP(A70,'Débit - Abfluss'!$A$4:$K$275,6,FALSE)="","",VLOOKUP(A70,'Débit - Abfluss'!$A$4:$M$275,6,FALSE))</f>
        <v/>
      </c>
      <c r="AO70" s="869" t="str">
        <f>IF(VLOOKUP(A70,'Débit - Abfluss'!$A$4:$K$275,7,FALSE)="","",VLOOKUP(A70,'Débit - Abfluss'!$A$4:$M$275,7,FALSE))</f>
        <v/>
      </c>
      <c r="AP70" s="766" t="str">
        <f>IF(VLOOKUP(A70,'Débit - Abfluss'!$A$4:$K$275,8,FALSE)="","",VLOOKUP(A70,'Débit - Abfluss'!$A$4:$M$275,8,FALSE))</f>
        <v>81-100%</v>
      </c>
      <c r="AQ70" s="742" t="str">
        <f>IF(VLOOKUP(A70,'Débit - Abfluss'!$A$4:$K$275,9,FALSE)="","",VLOOKUP(A70,'Débit - Abfluss'!$A$4:$M$275,9,FALSE))</f>
        <v>-</v>
      </c>
      <c r="AR70" s="767" t="str">
        <f>IF(VLOOKUP(A70,'Débit - Abfluss'!$A$4:$K$275,10,FALSE)="","",VLOOKUP(A70,'Débit - Abfluss'!$A$4:$M$275,10,FALSE))</f>
        <v>81-100%</v>
      </c>
      <c r="AS70" s="767" t="str">
        <f>IF(VLOOKUP(A70,'Débit - Abfluss'!$A$4:$K$275,11,FALSE)="","",VLOOKUP(A70,'Débit - Abfluss'!$A$4:$M$275,11,FALSE))</f>
        <v/>
      </c>
      <c r="AT70" s="744" t="str">
        <f>IF(VLOOKUP(A70,'Débit - Abfluss'!$A$4:$Q$275,12,FALSE)="","",VLOOKUP(A70,'Débit - Abfluss'!$A$4:$Q$275,12,FALSE))</f>
        <v/>
      </c>
      <c r="AU70" s="745" t="str">
        <f>IF(VLOOKUP(A70,'Débit - Abfluss'!$A$4:$Q$275,13,FALSE)="","",VLOOKUP(A70,'Débit - Abfluss'!$A$4:$Q$275,13,FALSE))</f>
        <v/>
      </c>
      <c r="AV70" s="746" t="str">
        <f>IF(VLOOKUP(A70,'Débit - Abfluss'!$A$4:$Q$275,14,FALSE)="","",VLOOKUP(A70,'Débit - Abfluss'!$A$4:$Q$275,14,FALSE))</f>
        <v/>
      </c>
      <c r="AW70" s="768" t="str">
        <f>IF(VLOOKUP(A70,'Débit - Abfluss'!$A$4:$Q$275,15,FALSE)="","",VLOOKUP(A70,'Débit - Abfluss'!$A$4:$Q$275,15,FALSE))</f>
        <v/>
      </c>
      <c r="AX70" s="677" t="str">
        <f>IF(VLOOKUP(A70,'Débit - Abfluss'!$A$4:$Q$275,16,FALSE)="","",VLOOKUP(A70,'Débit - Abfluss'!$A$4:$Q$275,16,FALSE))</f>
        <v/>
      </c>
      <c r="AY70" s="769" t="str">
        <f>IF(VLOOKUP(A70,'Débit - Abfluss'!$A$4:$Q$275,17,FALSE)="","",VLOOKUP(A70,'Débit - Abfluss'!$A$4:$Q$275,17,FALSE))</f>
        <v>81-100%</v>
      </c>
      <c r="AZ70" s="749" t="str">
        <f>IF(VLOOKUP(A70,'Eclusée - Schwall-Sunk'!$A$2:$F$273,5,FALSE)="","",VLOOKUP(A70,'Eclusée - Schwall-Sunk'!$A$2:$F$273,5,FALSE))</f>
        <v>force hydraulique</v>
      </c>
      <c r="BA70" s="750" t="str">
        <f>IF(VLOOKUP(A70,'Eclusée - Schwall-Sunk'!$A$2:$F$273,6,FALSE)="","",VLOOKUP(A70,'Eclusée - Schwall-Sunk'!$A$2:$F$273,6,FALSE))</f>
        <v>Potentiellement affecté mais non plausible / möglicherweise betroffen aber nicht nachweisbar</v>
      </c>
      <c r="BB70" s="751">
        <f>IF(VLOOKUP(A70,'Revitalisation-Revitalisierung'!$A$4:$Z$275,5,FALSE)="","",VLOOKUP(A70,'Revitalisation-Revitalisierung'!$A$4:$Z$275,5,FALSE))</f>
        <v>-2.2727272727272729</v>
      </c>
      <c r="BC70" s="752">
        <f>IF(VLOOKUP(A70,'Revitalisation-Revitalisierung'!$A$4:$Z$275,6,FALSE)="","",VLOOKUP(A70,'Revitalisation-Revitalisierung'!$A$4:$Z$275,6,FALSE))</f>
        <v>0</v>
      </c>
      <c r="BD70" s="752">
        <f>IF(VLOOKUP(A70,'Revitalisation-Revitalisierung'!$A$4:$Z$275,7,FALSE)="","",VLOOKUP(A70,'Revitalisation-Revitalisierung'!$A$4:$Z$275,7,FALSE))</f>
        <v>2.2727272727272729</v>
      </c>
      <c r="BE70" s="753" t="str">
        <f>IF(VLOOKUP(A70,'Revitalisation-Revitalisierung'!$A$4:$Z$275,8,FALSE)="","",VLOOKUP(A70,'Revitalisation-Revitalisierung'!$A$4:$Z$275,8,FALSE))</f>
        <v>non nécessaire</v>
      </c>
      <c r="BF70" s="754" t="str">
        <f>IF(VLOOKUP(A70,'Revitalisation-Revitalisierung'!$A$4:$Z$275,9,FALSE)="","",VLOOKUP(A70,'Revitalisation-Revitalisierung'!$A$4:$Z$275,9,FALSE))</f>
        <v>leicht</v>
      </c>
      <c r="BG70" s="754" t="str">
        <f>IF(VLOOKUP(A70,'Revitalisation-Revitalisierung'!$A$4:$Z$275,10,FALSE)="","",VLOOKUP(A70,'Revitalisation-Revitalisierung'!$A$4:$Z$275,10,FALSE))</f>
        <v>K3</v>
      </c>
      <c r="BH70" s="755" t="str">
        <f>IF(VLOOKUP(A70,'Revitalisation-Revitalisierung'!$A$4:$Z$275,11,FALSE)="","",VLOOKUP(A70,'Revitalisation-Revitalisierung'!$A$4:$Z$275,11,FALSE))</f>
        <v/>
      </c>
      <c r="BI70" s="756" t="str">
        <f>IF(VLOOKUP(A70,'Revitalisation-Revitalisierung'!$A$4:$Z$275,12,FALSE)="","",VLOOKUP(A70,'Revitalisation-Revitalisierung'!$A$4:$Z$275,12,FALSE))</f>
        <v/>
      </c>
      <c r="BJ70" s="757" t="str">
        <f>IF(VLOOKUP(A70,'Revitalisation-Revitalisierung'!$A$4:$Z$275,13,FALSE)="","",VLOOKUP(A70,'Revitalisation-Revitalisierung'!$A$4:$Z$275,13,FALSE))</f>
        <v>Très nécessaire, facile / unbedingt nötig, einfach</v>
      </c>
      <c r="BK70" s="870" t="str">
        <f>IF(VLOOKUP(A70,'Revitalisation-Revitalisierung'!$A$4:$Z$275,14,FALSE)="","",VLOOKUP(A70,'Revitalisation-Revitalisierung'!$A$4:$Z$275,14,FALSE))</f>
        <v>b</v>
      </c>
      <c r="BL70" s="758" t="str">
        <f>IF(VLOOKUP(A70,'Revitalisation-Revitalisierung'!$A$4:$Z$275,15,FALSE)="","",VLOOKUP(A70,'Revitalisation-Revitalisierung'!$A$4:$Z$275,15,FALSE))</f>
        <v>gross</v>
      </c>
      <c r="BM70" s="759" t="str">
        <f>IF(VLOOKUP(A70,'Revitalisation-Revitalisierung'!$A$4:$Z$275,16,FALSE)="","",VLOOKUP(A70,'Revitalisation-Revitalisierung'!$A$4:$Z$275,16,FALSE))</f>
        <v>gering</v>
      </c>
      <c r="BN70" s="759" t="str">
        <f>IF(VLOOKUP(A70,'Revitalisation-Revitalisierung'!$A$4:$Z$275,17,FALSE)="","",VLOOKUP(A70,'Revitalisation-Revitalisierung'!$A$4:$Z$275,17,FALSE))</f>
        <v>-</v>
      </c>
      <c r="BO70" s="760" t="str">
        <f>IF(VLOOKUP(A70,'Revitalisation-Revitalisierung'!$A$4:$Z$275,18,FALSE)="","",VLOOKUP(A70,'Revitalisation-Revitalisierung'!$A$4:$Z$275,18,FALSE))</f>
        <v>Non nécessaire / nicht nötig</v>
      </c>
      <c r="BP70" s="761" t="str">
        <f>IF(VLOOKUP(A70,'Revitalisation-Revitalisierung'!$A$4:$Z$275,19,FALSE)="","",VLOOKUP(A70,'Revitalisation-Revitalisierung'!$A$4:$Z$275,19,FALSE))</f>
        <v>Non nécessaire / nicht nötig</v>
      </c>
      <c r="BQ70" s="759" t="str">
        <f>IF(VLOOKUP(A70,'Revitalisation-Revitalisierung'!$A$4:$Z$275,20,FALSE)="","",VLOOKUP(A70,'Revitalisation-Revitalisierung'!$A$4:$Z$275,20,FALSE))</f>
        <v>c</v>
      </c>
      <c r="BR70" s="759" t="str">
        <f>IF(VLOOKUP(A70,'Revitalisation-Revitalisierung'!$A$4:$Z$275,21,FALSE)="","",VLOOKUP(A70,'Revitalisation-Revitalisierung'!$A$4:$Z$275,21,FALSE))</f>
        <v/>
      </c>
      <c r="BS70" s="762" t="str">
        <f>IF(VLOOKUP(A70,'Revitalisation-Revitalisierung'!$A$4:$Z$275,22,FALSE)="","",VLOOKUP(A70,'Revitalisation-Revitalisierung'!$A$4:$Z$275,22,FALSE))</f>
        <v/>
      </c>
      <c r="BT70" s="703" t="str">
        <f>IF(VLOOKUP(A70,'Revitalisation-Revitalisierung'!$A$4:$Z$275,23,FALSE)="","",VLOOKUP(A70,'Revitalisation-Revitalisierung'!$A$4:$Z$275,23,FALSE))</f>
        <v/>
      </c>
      <c r="BU70" s="699" t="str">
        <f>IF(VLOOKUP(A70,'Revitalisation-Revitalisierung'!$A$4:$Z$275,24,FALSE)="","",VLOOKUP(A70,'Revitalisation-Revitalisierung'!$A$4:$Z$275,24,FALSE))</f>
        <v>kein Handlungsbedarf</v>
      </c>
      <c r="BV70" s="757" t="str">
        <f>IF(VLOOKUP(A70,'Revitalisation-Revitalisierung'!$A$4:$Z$275,25,FALSE)="","",VLOOKUP(A70,'Revitalisation-Revitalisierung'!$A$4:$Z$275,25,FALSE))</f>
        <v>Non nécessaire / nicht nötig</v>
      </c>
      <c r="BW70" s="871" t="str">
        <f>IF(VLOOKUP(A70,'Revitalisation-Revitalisierung'!$A$4:$AA$275,27,FALSE)="","",VLOOKUP(A70,'Revitalisation-Revitalisierung'!$A$4:$AA$275,27,FALSE))</f>
        <v>a</v>
      </c>
    </row>
    <row r="71" spans="1:75" ht="69.599999999999994" customHeight="1" x14ac:dyDescent="0.25">
      <c r="A71" s="935">
        <v>88</v>
      </c>
      <c r="B71" s="856">
        <f>IF(VLOOKUP(A71,'Données de base - Grunddaten'!$A$2:$M$297,2,FALSE)="","",VLOOKUP(A71,'Données de base - Grunddaten'!$A$2:$M$297,2,FALSE))</f>
        <v>1</v>
      </c>
      <c r="C71" s="857" t="str">
        <f>IF(VLOOKUP(A71,'Données de base - Grunddaten'!$A$2:$M$297,3,FALSE)="","",VLOOKUP(A71,'Données de base - Grunddaten'!$A$2:$M$297,3,FALSE))</f>
        <v>Tote Reuss–Alte Reuss</v>
      </c>
      <c r="D71" s="857" t="str">
        <f>IF(VLOOKUP(A71,'Données de base - Grunddaten'!$A$2:$M$297,4,FALSE)="","",VLOOKUP(A71,'Données de base - Grunddaten'!$A$2:$M$297,4,FALSE))</f>
        <v>Reuss</v>
      </c>
      <c r="E71" s="857" t="str">
        <f>IF(VLOOKUP(A71,'Données de base - Grunddaten'!$A$2:$M$297,5,FALSE)="","",VLOOKUP(A71,'Données de base - Grunddaten'!$A$2:$M$297,5,FALSE))</f>
        <v>AG</v>
      </c>
      <c r="F71" s="857" t="str">
        <f>IF(VLOOKUP(A71,'Données de base - Grunddaten'!$A$2:$M$297,6,FALSE)="","",VLOOKUP(A71,'Données de base - Grunddaten'!$A$2:$M$297,6,FALSE))</f>
        <v>Plateau oriental</v>
      </c>
      <c r="G71" s="857" t="str">
        <f>IF(VLOOKUP(A71,'Données de base - Grunddaten'!$A$2:$M$297,7,FALSE)="","",VLOOKUP(A71,'Données de base - Grunddaten'!$A$2:$M$297,7,FALSE))</f>
        <v>Collinéen</v>
      </c>
      <c r="H71" s="857">
        <f>IF(VLOOKUP(A71,'Données de base - Grunddaten'!$A$2:$M$297,8,FALSE)="","",VLOOKUP(A71,'Données de base - Grunddaten'!$A$2:$M$297,8,FALSE))</f>
        <v>360</v>
      </c>
      <c r="I71" s="857">
        <f>IF(VLOOKUP(A71,'Données de base - Grunddaten'!$A$2:$M$297,9,FALSE)="","",VLOOKUP(A71,'Données de base - Grunddaten'!$A$2:$M$297,9,FALSE))</f>
        <v>1992</v>
      </c>
      <c r="J71" s="857">
        <f>IF(VLOOKUP(A71,'Données de base - Grunddaten'!$A$2:$M$297,10,FALSE)="","",VLOOKUP(A71,'Données de base - Grunddaten'!$A$2:$M$297,10,FALSE))</f>
        <v>51</v>
      </c>
      <c r="K71" s="857" t="str">
        <f>IF(VLOOKUP(A71,'Données de base - Grunddaten'!$A$2:$M$297,11,FALSE)="","",VLOOKUP(A71,'Données de base - Grunddaten'!$A$2:$M$297,11,FALSE))</f>
        <v>Cours d'eau naturels de l'étage collinéen du Moyen-Pays</v>
      </c>
      <c r="L71" s="857" t="str">
        <f>IF(VLOOKUP(A71,'Données de base - Grunddaten'!$A$2:$M$297,12,FALSE)="","",VLOOKUP(A71,'Données de base - Grunddaten'!$A$2:$M$297,12,FALSE))</f>
        <v>en méandres développés</v>
      </c>
      <c r="M71" s="858" t="str">
        <f>IF(VLOOKUP(A71,'Données de base - Grunddaten'!$A$2:$M$297,13,FALSE)="","",VLOOKUP(A71,'Données de base - Grunddaten'!$A$2:$M$297,13,FALSE))</f>
        <v>en méandres développés</v>
      </c>
      <c r="N71" s="872" t="str">
        <f>IF(VLOOKUP(A71,'Charriage - Geschiebehaushalt'!$A$4:$R$275,5,FALSE)="","",VLOOKUP(A71,'Charriage - Geschiebehaushalt'!$A$4:$R$275,5,FALSE))</f>
        <v>pertinent</v>
      </c>
      <c r="O71" s="873" t="str">
        <f>IF(VLOOKUP(A71,'Charriage - Geschiebehaushalt'!$A$4:$R$275,6,FALSE)="","",VLOOKUP(A71,'Charriage - Geschiebehaushalt'!$A$4:$R$275,6,FALSE))</f>
        <v>81 -100%</v>
      </c>
      <c r="P71" s="874">
        <f>IF(VLOOKUP(A71,'Charriage - Geschiebehaushalt'!$A$4:$R$275,7,FALSE)="","",VLOOKUP(A71,'Charriage - Geschiebehaushalt'!$A$4:$R$275,7,FALSE))</f>
        <v>-0.199710445140588</v>
      </c>
      <c r="Q71" s="874" t="str">
        <f>IF(VLOOKUP(A71,'Charriage - Geschiebehaushalt'!$A$4:$R$275,8,FALSE)="","",VLOOKUP(A71,'Charriage - Geschiebehaushalt'!$A$4:$R$275,8,FALSE))</f>
        <v>pas d'incision</v>
      </c>
      <c r="R71" s="875">
        <f>IF(VLOOKUP(A71,'Charriage - Geschiebehaushalt'!$A$4:$R$275,9,FALSE)="","",VLOOKUP(A71,'Charriage - Geschiebehaushalt'!$A$4:$R$275,9,FALSE))</f>
        <v>0.20100787882418</v>
      </c>
      <c r="S71" s="876" t="str">
        <f>IF(VLOOKUP(A71,'Charriage - Geschiebehaushalt'!$A$4:$R$275,10,FALSE)="","",VLOOKUP(A71,'Charriage - Geschiebehaushalt'!$A$4:$R$275,10,FALSE))</f>
        <v>pas ou faiblement entravé</v>
      </c>
      <c r="T71" s="875">
        <f>IF(VLOOKUP(A71,'Charriage - Geschiebehaushalt'!$A$4:$R$275,11,FALSE)="","",VLOOKUP(A71,'Charriage - Geschiebehaushalt'!$A$4:$R$275,11,FALSE))</f>
        <v>0.14920921853999999</v>
      </c>
      <c r="U71" s="876" t="str">
        <f>IF(VLOOKUP(A71,'Charriage - Geschiebehaushalt'!$A$4:$R$275,12,FALSE)="","",VLOOKUP(A71,'Charriage - Geschiebehaushalt'!$A$4:$R$275,12,FALSE))</f>
        <v>déficit dans les formations pionnières</v>
      </c>
      <c r="V71" s="877" t="str">
        <f>IF(VLOOKUP(A71,'Charriage - Geschiebehaushalt'!$A$4:$R$275,13,FALSE)="","",VLOOKUP(A71,'Charriage - Geschiebehaushalt'!$A$4:$R$275,13,FALSE))</f>
        <v/>
      </c>
      <c r="W71" s="877" t="str">
        <f>IF(VLOOKUP(A71,'Charriage - Geschiebehaushalt'!$A$4:$R$275,14,FALSE)="","",VLOOKUP(A71,'Charriage - Geschiebehaushalt'!$A$4:$R$275,14,FALSE))</f>
        <v/>
      </c>
      <c r="X71" s="877" t="str">
        <f>IF(VLOOKUP(A71,'Charriage - Geschiebehaushalt'!$A$4:$R$275,15,FALSE)="","",VLOOKUP(A71,'Charriage - Geschiebehaushalt'!$A$4:$R$275,15,FALSE))</f>
        <v/>
      </c>
      <c r="Y71" s="879" t="str">
        <f>IF(VLOOKUP(A71,'Charriage - Geschiebehaushalt'!$A$4:$R$275,16,FALSE)="","",VLOOKUP(A71,'Charriage - Geschiebehaushalt'!$A$4:$R$275,16,FALSE))</f>
        <v/>
      </c>
      <c r="Z71" s="763" t="str">
        <f>IF(VLOOKUP(A71,'Charriage - Geschiebehaushalt'!$A$4:$R$275,17,FALSE)="","",VLOOKUP(A71,'Charriage - Geschiebehaushalt'!$A$4:$R$275,17,FALSE))</f>
        <v>81 -100%</v>
      </c>
      <c r="AA71" s="880" t="str">
        <f>IF(VLOOKUP(A71,'Charriage - Geschiebehaushalt'!$A$4:$R$275,18,FALSE)="","",VLOOKUP(A71,'Charriage - Geschiebehaushalt'!$A$4:$R$275,18,FALSE))</f>
        <v>a</v>
      </c>
      <c r="AB71" s="737" t="str">
        <f>IF(VLOOKUP(A71,'Charriage - Geschiebehaushalt'!$A$4:$AC$275,19,FALSE)="","",VLOOKUP(A71,'Charriage - Geschiebehaushalt'!$A$4:$AC$275,19,FALSE))</f>
        <v>-</v>
      </c>
      <c r="AC71" s="738" t="str">
        <f>IF(VLOOKUP(A71,'Charriage - Geschiebehaushalt'!$A$4:$AC$275,20,FALSE)="","",VLOOKUP(A71,'Charriage - Geschiebehaushalt'!$A$4:$AC$275,20,FALSE))</f>
        <v>-</v>
      </c>
      <c r="AD71" s="764" t="str">
        <f>IF(VLOOKUP(A71,'Charriage - Geschiebehaushalt'!$A$4:$AC$275,21,FALSE)="","",VLOOKUP(A71,'Charriage - Geschiebehaushalt'!$A$4:$AC$275,21,FALSE))</f>
        <v/>
      </c>
      <c r="AE71" s="740" t="str">
        <f>IF(VLOOKUP(A71,'Charriage - Geschiebehaushalt'!$A$4:$AC$275,22,FALSE)="","",VLOOKUP(A71,'Charriage - Geschiebehaushalt'!$A$4:$AC$275,22,FALSE))</f>
        <v>81-100%</v>
      </c>
      <c r="AF71" s="787" t="str">
        <f>IF(VLOOKUP(A71,'Charriage - Geschiebehaushalt'!$A$4:$AC$275,23,FALSE)="","",VLOOKUP(A71,'Charriage - Geschiebehaushalt'!$A$4:$AC$275,23,FALSE))</f>
        <v>a</v>
      </c>
      <c r="AG71" s="765" t="str">
        <f>IF(VLOOKUP(A71,'Charriage - Geschiebehaushalt'!$A$4:$AC$275,24,FALSE)="","",VLOOKUP(A71,'Charriage - Geschiebehaushalt'!$A$4:$AC$275,24,FALSE))</f>
        <v/>
      </c>
      <c r="AH71" s="764" t="str">
        <f>IF(VLOOKUP(A71,'Charriage - Geschiebehaushalt'!$A$4:$AC$275,25,FALSE)="","",VLOOKUP(A71,'Charriage - Geschiebehaushalt'!$A$4:$AC$275,25,FALSE))</f>
        <v/>
      </c>
      <c r="AI71" s="433" t="str">
        <f>IF(VLOOKUP(A71,'Charriage - Geschiebehaushalt'!$A$4:$AC$275,26,FALSE)="","",VLOOKUP(A71,'Charriage - Geschiebehaushalt'!$A$4:$AC$275,26,FALSE))</f>
        <v/>
      </c>
      <c r="AJ71" s="434" t="str">
        <f>IF(VLOOKUP(A71,'Charriage - Geschiebehaushalt'!$A$4:$AC$275,27,FALSE)="","",VLOOKUP(A71,'Charriage - Geschiebehaushalt'!$A$4:$AC$275,27,FALSE))</f>
        <v/>
      </c>
      <c r="AK71" s="801" t="str">
        <f>IF(VLOOKUP(A71,'Charriage - Geschiebehaushalt'!$A$4:$AC$275,28,FALSE)="","",VLOOKUP(A71,'Charriage - Geschiebehaushalt'!$A$4:$AC$275,28,FALSE))</f>
        <v>81-100%</v>
      </c>
      <c r="AL71" s="1285" t="str">
        <f>IF(VLOOKUP(A71,'Charriage - Geschiebehaushalt'!$A$4:$AD$275,30,FALSE)="","",VLOOKUP(A71,'Charriage - Geschiebehaushalt'!$A$4:$AD$275,30,FALSE))</f>
        <v>a</v>
      </c>
      <c r="AM71" s="1279" t="str">
        <f>IF(VLOOKUP(A71,'Débit - Abfluss'!$A$4:$K$275,5,FALSE)="","",VLOOKUP(A71,'Débit - Abfluss'!$A$4:$M$275,5,FALSE))</f>
        <v>81-100%</v>
      </c>
      <c r="AN71" s="868" t="str">
        <f>IF(VLOOKUP(A71,'Débit - Abfluss'!$A$4:$K$275,6,FALSE)="","",VLOOKUP(A71,'Débit - Abfluss'!$A$4:$M$275,6,FALSE))</f>
        <v/>
      </c>
      <c r="AO71" s="869" t="str">
        <f>IF(VLOOKUP(A71,'Débit - Abfluss'!$A$4:$K$275,7,FALSE)="","",VLOOKUP(A71,'Débit - Abfluss'!$A$4:$M$275,7,FALSE))</f>
        <v/>
      </c>
      <c r="AP71" s="766" t="str">
        <f>IF(VLOOKUP(A71,'Débit - Abfluss'!$A$4:$K$275,8,FALSE)="","",VLOOKUP(A71,'Débit - Abfluss'!$A$4:$M$275,8,FALSE))</f>
        <v>81-100%</v>
      </c>
      <c r="AQ71" s="742" t="str">
        <f>IF(VLOOKUP(A71,'Débit - Abfluss'!$A$4:$K$275,9,FALSE)="","",VLOOKUP(A71,'Débit - Abfluss'!$A$4:$M$275,9,FALSE))</f>
        <v>-</v>
      </c>
      <c r="AR71" s="767" t="str">
        <f>IF(VLOOKUP(A71,'Débit - Abfluss'!$A$4:$K$275,10,FALSE)="","",VLOOKUP(A71,'Débit - Abfluss'!$A$4:$M$275,10,FALSE))</f>
        <v>81-100%</v>
      </c>
      <c r="AS71" s="767" t="str">
        <f>IF(VLOOKUP(A71,'Débit - Abfluss'!$A$4:$K$275,11,FALSE)="","",VLOOKUP(A71,'Débit - Abfluss'!$A$4:$M$275,11,FALSE))</f>
        <v/>
      </c>
      <c r="AT71" s="744" t="str">
        <f>IF(VLOOKUP(A71,'Débit - Abfluss'!$A$4:$Q$275,12,FALSE)="","",VLOOKUP(A71,'Débit - Abfluss'!$A$4:$Q$275,12,FALSE))</f>
        <v/>
      </c>
      <c r="AU71" s="785" t="str">
        <f>IF(VLOOKUP(A71,'Débit - Abfluss'!$A$4:$Q$275,13,FALSE)="","",VLOOKUP(A71,'Débit - Abfluss'!$A$4:$Q$275,13,FALSE))</f>
        <v/>
      </c>
      <c r="AV71" s="746" t="str">
        <f>IF(VLOOKUP(A71,'Débit - Abfluss'!$A$4:$Q$275,14,FALSE)="","",VLOOKUP(A71,'Débit - Abfluss'!$A$4:$Q$275,14,FALSE))</f>
        <v/>
      </c>
      <c r="AW71" s="768" t="str">
        <f>IF(VLOOKUP(A71,'Débit - Abfluss'!$A$4:$Q$275,15,FALSE)="","",VLOOKUP(A71,'Débit - Abfluss'!$A$4:$Q$275,15,FALSE))</f>
        <v/>
      </c>
      <c r="AX71" s="677" t="str">
        <f>IF(VLOOKUP(A71,'Débit - Abfluss'!$A$4:$Q$275,16,FALSE)="","",VLOOKUP(A71,'Débit - Abfluss'!$A$4:$Q$275,16,FALSE))</f>
        <v/>
      </c>
      <c r="AY71" s="769" t="str">
        <f>IF(VLOOKUP(A71,'Débit - Abfluss'!$A$4:$Q$275,17,FALSE)="","",VLOOKUP(A71,'Débit - Abfluss'!$A$4:$Q$275,17,FALSE))</f>
        <v>81-100%</v>
      </c>
      <c r="AZ71" s="749" t="str">
        <f>IF(VLOOKUP(A71,'Eclusée - Schwall-Sunk'!$A$2:$F$273,5,FALSE)="","",VLOOKUP(A71,'Eclusée - Schwall-Sunk'!$A$2:$F$273,5,FALSE))</f>
        <v>force hydraulique</v>
      </c>
      <c r="BA71" s="750" t="str">
        <f>IF(VLOOKUP(A71,'Eclusée - Schwall-Sunk'!$A$2:$F$273,6,FALSE)="","",VLOOKUP(A71,'Eclusée - Schwall-Sunk'!$A$2:$F$273,6,FALSE))</f>
        <v>Potentiellement affecté mais non plausible / möglicherweise betroffen aber nicht nachweisbar</v>
      </c>
      <c r="BB71" s="751">
        <f>IF(VLOOKUP(A71,'Revitalisation-Revitalisierung'!$A$4:$Z$275,5,FALSE)="","",VLOOKUP(A71,'Revitalisation-Revitalisierung'!$A$4:$Z$275,5,FALSE))</f>
        <v>-16.481818181818181</v>
      </c>
      <c r="BC71" s="752">
        <f>IF(VLOOKUP(A71,'Revitalisation-Revitalisierung'!$A$4:$Z$275,6,FALSE)="","",VLOOKUP(A71,'Revitalisation-Revitalisierung'!$A$4:$Z$275,6,FALSE))</f>
        <v>21.652581303106853</v>
      </c>
      <c r="BD71" s="752">
        <f>IF(VLOOKUP(A71,'Revitalisation-Revitalisierung'!$A$4:$Z$275,7,FALSE)="","",VLOOKUP(A71,'Revitalisation-Revitalisierung'!$A$4:$Z$275,7,FALSE))</f>
        <v>38.18181818181818</v>
      </c>
      <c r="BE71" s="753" t="str">
        <f>IF(VLOOKUP(A71,'Revitalisation-Revitalisierung'!$A$4:$Z$275,8,FALSE)="","",VLOOKUP(A71,'Revitalisation-Revitalisierung'!$A$4:$Z$275,8,FALSE))</f>
        <v>peu nécessaire, difficile</v>
      </c>
      <c r="BF71" s="754" t="str">
        <f>IF(VLOOKUP(A71,'Revitalisation-Revitalisierung'!$A$4:$Z$275,9,FALSE)="","",VLOOKUP(A71,'Revitalisation-Revitalisierung'!$A$4:$Z$275,9,FALSE))</f>
        <v/>
      </c>
      <c r="BG71" s="754" t="str">
        <f>IF(VLOOKUP(A71,'Revitalisation-Revitalisierung'!$A$4:$Z$275,10,FALSE)="","",VLOOKUP(A71,'Revitalisation-Revitalisierung'!$A$4:$Z$275,10,FALSE))</f>
        <v>K3</v>
      </c>
      <c r="BH71" s="755" t="str">
        <f>IF(VLOOKUP(A71,'Revitalisation-Revitalisierung'!$A$4:$Z$275,11,FALSE)="","",VLOOKUP(A71,'Revitalisation-Revitalisierung'!$A$4:$Z$275,11,FALSE))</f>
        <v/>
      </c>
      <c r="BI71" s="756" t="str">
        <f>IF(VLOOKUP(A71,'Revitalisation-Revitalisierung'!$A$4:$Z$275,12,FALSE)="","",VLOOKUP(A71,'Revitalisation-Revitalisierung'!$A$4:$Z$275,12,FALSE))</f>
        <v/>
      </c>
      <c r="BJ71" s="757" t="str">
        <f>IF(VLOOKUP(A71,'Revitalisation-Revitalisierung'!$A$4:$Z$275,13,FALSE)="","",VLOOKUP(A71,'Revitalisation-Revitalisierung'!$A$4:$Z$275,13,FALSE))</f>
        <v>Très nécessaire, difficile / unbedingt nötig, schwierig</v>
      </c>
      <c r="BK71" s="870" t="str">
        <f>IF(VLOOKUP(A71,'Revitalisation-Revitalisierung'!$A$4:$Z$275,14,FALSE)="","",VLOOKUP(A71,'Revitalisation-Revitalisierung'!$A$4:$Z$275,14,FALSE))</f>
        <v>b</v>
      </c>
      <c r="BL71" s="758" t="str">
        <f>IF(VLOOKUP(A71,'Revitalisation-Revitalisierung'!$A$4:$Z$275,15,FALSE)="","",VLOOKUP(A71,'Revitalisation-Revitalisierung'!$A$4:$Z$275,15,FALSE))</f>
        <v>gross / mittel</v>
      </c>
      <c r="BM71" s="759" t="str">
        <f>IF(VLOOKUP(A71,'Revitalisation-Revitalisierung'!$A$4:$Z$275,16,FALSE)="","",VLOOKUP(A71,'Revitalisation-Revitalisierung'!$A$4:$Z$275,16,FALSE))</f>
        <v>gross / mittel / gering</v>
      </c>
      <c r="BN71" s="759" t="str">
        <f>IF(VLOOKUP(A71,'Revitalisation-Revitalisierung'!$A$4:$Z$275,17,FALSE)="","",VLOOKUP(A71,'Revitalisation-Revitalisierung'!$A$4:$Z$275,17,FALSE))</f>
        <v>20 Jahre: 1. Drittel</v>
      </c>
      <c r="BO71" s="760" t="str">
        <f>IF(VLOOKUP(A71,'Revitalisation-Revitalisierung'!$A$4:$Z$275,18,FALSE)="","",VLOOKUP(A71,'Revitalisation-Revitalisierung'!$A$4:$Z$275,18,FALSE))</f>
        <v>Très nécessaire, difficile / unbedingt nötig, schwierig</v>
      </c>
      <c r="BP71" s="761" t="str">
        <f>IF(VLOOKUP(A71,'Revitalisation-Revitalisierung'!$A$4:$Z$275,19,FALSE)="","",VLOOKUP(A71,'Revitalisation-Revitalisierung'!$A$4:$Z$275,19,FALSE))</f>
        <v>Très nécessaire, difficile / unbedingt nötig, schwierig</v>
      </c>
      <c r="BQ71" s="759" t="str">
        <f>IF(VLOOKUP(A71,'Revitalisation-Revitalisierung'!$A$4:$Z$275,20,FALSE)="","",VLOOKUP(A71,'Revitalisation-Revitalisierung'!$A$4:$Z$275,20,FALSE))</f>
        <v>d</v>
      </c>
      <c r="BR71" s="759" t="str">
        <f>IF(VLOOKUP(A71,'Revitalisation-Revitalisierung'!$A$4:$Z$275,21,FALSE)="","",VLOOKUP(A71,'Revitalisation-Revitalisierung'!$A$4:$Z$275,21,FALSE))</f>
        <v/>
      </c>
      <c r="BS71" s="762" t="str">
        <f>IF(VLOOKUP(A71,'Revitalisation-Revitalisierung'!$A$4:$Z$275,22,FALSE)="","",VLOOKUP(A71,'Revitalisation-Revitalisierung'!$A$4:$Z$275,22,FALSE))</f>
        <v/>
      </c>
      <c r="BT71" s="703" t="str">
        <f>IF(VLOOKUP(A71,'Revitalisation-Revitalisierung'!$A$4:$Z$275,23,FALSE)="","",VLOOKUP(A71,'Revitalisation-Revitalisierung'!$A$4:$Z$275,23,FALSE))</f>
        <v/>
      </c>
      <c r="BU71" s="699" t="str">
        <f>IF(VLOOKUP(A71,'Revitalisation-Revitalisierung'!$A$4:$Z$275,24,FALSE)="","",VLOOKUP(A71,'Revitalisation-Revitalisierung'!$A$4:$Z$275,24,FALSE))</f>
        <v>wenig beeinträchtigt, Unterhalt ist organisiert, kein Handlungsbedarf. Eine grössere Revitalisierung ist projektiert, liegt unmittelbar angrenzend, wird z.Z. durch Gemeinde verzögert.</v>
      </c>
      <c r="BV71" s="761" t="str">
        <f>IF(VLOOKUP(A71,'Revitalisation-Revitalisierung'!$A$4:$Z$275,25,FALSE)="","",VLOOKUP(A71,'Revitalisation-Revitalisierung'!$A$4:$Z$275,25,FALSE))</f>
        <v>Partiellement nécessaire, facile / teilweise nötig, einfach</v>
      </c>
      <c r="BW71" s="871" t="str">
        <f>IF(VLOOKUP(A71,'Revitalisation-Revitalisierung'!$A$4:$AA$275,27,FALSE)="","",VLOOKUP(A71,'Revitalisation-Revitalisierung'!$A$4:$AA$275,27,FALSE))</f>
        <v>b</v>
      </c>
    </row>
    <row r="72" spans="1:75" ht="55.15" customHeight="1" x14ac:dyDescent="0.25">
      <c r="A72" s="935">
        <v>91</v>
      </c>
      <c r="B72" s="856">
        <f>IF(VLOOKUP(A72,'Données de base - Grunddaten'!$A$2:$M$297,2,FALSE)="","",VLOOKUP(A72,'Données de base - Grunddaten'!$A$2:$M$297,2,FALSE))</f>
        <v>1</v>
      </c>
      <c r="C72" s="857" t="str">
        <f>IF(VLOOKUP(A72,'Données de base - Grunddaten'!$A$2:$M$297,3,FALSE)="","",VLOOKUP(A72,'Données de base - Grunddaten'!$A$2:$M$297,3,FALSE))</f>
        <v>Rottenschwiler Moos</v>
      </c>
      <c r="D72" s="857" t="str">
        <f>IF(VLOOKUP(A72,'Données de base - Grunddaten'!$A$2:$M$297,4,FALSE)="","",VLOOKUP(A72,'Données de base - Grunddaten'!$A$2:$M$297,4,FALSE))</f>
        <v>Reuss</v>
      </c>
      <c r="E72" s="857" t="str">
        <f>IF(VLOOKUP(A72,'Données de base - Grunddaten'!$A$2:$M$297,5,FALSE)="","",VLOOKUP(A72,'Données de base - Grunddaten'!$A$2:$M$297,5,FALSE))</f>
        <v>AG</v>
      </c>
      <c r="F72" s="857" t="str">
        <f>IF(VLOOKUP(A72,'Données de base - Grunddaten'!$A$2:$M$297,6,FALSE)="","",VLOOKUP(A72,'Données de base - Grunddaten'!$A$2:$M$297,6,FALSE))</f>
        <v>Plateau oriental</v>
      </c>
      <c r="G72" s="857" t="str">
        <f>IF(VLOOKUP(A72,'Données de base - Grunddaten'!$A$2:$M$297,7,FALSE)="","",VLOOKUP(A72,'Données de base - Grunddaten'!$A$2:$M$297,7,FALSE))</f>
        <v>Collinéen</v>
      </c>
      <c r="H72" s="857">
        <f>IF(VLOOKUP(A72,'Données de base - Grunddaten'!$A$2:$M$297,8,FALSE)="","",VLOOKUP(A72,'Données de base - Grunddaten'!$A$2:$M$297,8,FALSE))</f>
        <v>380</v>
      </c>
      <c r="I72" s="857">
        <f>IF(VLOOKUP(A72,'Données de base - Grunddaten'!$A$2:$M$297,9,FALSE)="","",VLOOKUP(A72,'Données de base - Grunddaten'!$A$2:$M$297,9,FALSE))</f>
        <v>1992</v>
      </c>
      <c r="J72" s="857">
        <f>IF(VLOOKUP(A72,'Données de base - Grunddaten'!$A$2:$M$297,10,FALSE)="","",VLOOKUP(A72,'Données de base - Grunddaten'!$A$2:$M$297,10,FALSE))</f>
        <v>102</v>
      </c>
      <c r="K72" s="857" t="str">
        <f>IF(VLOOKUP(A72,'Données de base - Grunddaten'!$A$2:$M$297,11,FALSE)="","",VLOOKUP(A72,'Données de base - Grunddaten'!$A$2:$M$297,11,FALSE))</f>
        <v>Rives de lacs de retenue des étages collinéen et montagnard</v>
      </c>
      <c r="L72" s="857" t="str">
        <f>IF(VLOOKUP(A72,'Données de base - Grunddaten'!$A$2:$M$297,12,FALSE)="","",VLOOKUP(A72,'Données de base - Grunddaten'!$A$2:$M$297,12,FALSE))</f>
        <v>en tresses</v>
      </c>
      <c r="M72" s="858" t="str">
        <f>IF(VLOOKUP(A72,'Données de base - Grunddaten'!$A$2:$M$297,13,FALSE)="","",VLOOKUP(A72,'Données de base - Grunddaten'!$A$2:$M$297,13,FALSE))</f>
        <v>rives lacustres</v>
      </c>
      <c r="N72" s="891" t="str">
        <f>IF(VLOOKUP(A72,'Charriage - Geschiebehaushalt'!$A$4:$R$275,5,FALSE)="","",VLOOKUP(A72,'Charriage - Geschiebehaushalt'!$A$4:$R$275,5,FALSE))</f>
        <v>non pertinent</v>
      </c>
      <c r="O72" s="873" t="str">
        <f>IF(VLOOKUP(A72,'Charriage - Geschiebehaushalt'!$A$4:$R$275,6,FALSE)="","",VLOOKUP(A72,'Charriage - Geschiebehaushalt'!$A$4:$R$275,6,FALSE))</f>
        <v/>
      </c>
      <c r="P72" s="874" t="str">
        <f>IF(VLOOKUP(A72,'Charriage - Geschiebehaushalt'!$A$4:$R$275,7,FALSE)="","",VLOOKUP(A72,'Charriage - Geschiebehaushalt'!$A$4:$R$275,7,FALSE))</f>
        <v/>
      </c>
      <c r="Q72" s="874" t="str">
        <f>IF(VLOOKUP(A72,'Charriage - Geschiebehaushalt'!$A$4:$R$275,8,FALSE)="","",VLOOKUP(A72,'Charriage - Geschiebehaushalt'!$A$4:$R$275,8,FALSE))</f>
        <v>non documenté</v>
      </c>
      <c r="R72" s="875">
        <f>IF(VLOOKUP(A72,'Charriage - Geschiebehaushalt'!$A$4:$R$275,9,FALSE)="","",VLOOKUP(A72,'Charriage - Geschiebehaushalt'!$A$4:$R$275,9,FALSE))</f>
        <v>0.80031568432046596</v>
      </c>
      <c r="S72" s="876" t="str">
        <f>IF(VLOOKUP(A72,'Charriage - Geschiebehaushalt'!$A$4:$R$275,10,FALSE)="","",VLOOKUP(A72,'Charriage - Geschiebehaushalt'!$A$4:$R$275,10,FALSE))</f>
        <v>la remobilisation des sédiments est perturbée</v>
      </c>
      <c r="T72" s="875">
        <f>IF(VLOOKUP(A72,'Charriage - Geschiebehaushalt'!$A$4:$R$275,11,FALSE)="","",VLOOKUP(A72,'Charriage - Geschiebehaushalt'!$A$4:$R$275,11,FALSE))</f>
        <v>0.17406909881999999</v>
      </c>
      <c r="U72" s="876" t="str">
        <f>IF(VLOOKUP(A72,'Charriage - Geschiebehaushalt'!$A$4:$R$275,12,FALSE)="","",VLOOKUP(A72,'Charriage - Geschiebehaushalt'!$A$4:$R$275,12,FALSE))</f>
        <v>déficit dans les formations pionnières</v>
      </c>
      <c r="V72" s="877" t="str">
        <f>IF(VLOOKUP(A72,'Charriage - Geschiebehaushalt'!$A$4:$R$275,13,FALSE)="","",VLOOKUP(A72,'Charriage - Geschiebehaushalt'!$A$4:$R$275,13,FALSE))</f>
        <v/>
      </c>
      <c r="W72" s="877" t="str">
        <f>IF(VLOOKUP(A72,'Charriage - Geschiebehaushalt'!$A$4:$R$275,14,FALSE)="","",VLOOKUP(A72,'Charriage - Geschiebehaushalt'!$A$4:$R$275,14,FALSE))</f>
        <v/>
      </c>
      <c r="X72" s="877" t="str">
        <f>IF(VLOOKUP(A72,'Charriage - Geschiebehaushalt'!$A$4:$R$275,15,FALSE)="","",VLOOKUP(A72,'Charriage - Geschiebehaushalt'!$A$4:$R$275,15,FALSE))</f>
        <v/>
      </c>
      <c r="Y72" s="879" t="str">
        <f>IF(VLOOKUP(A72,'Charriage - Geschiebehaushalt'!$A$4:$R$275,16,FALSE)="","",VLOOKUP(A72,'Charriage - Geschiebehaushalt'!$A$4:$R$275,16,FALSE))</f>
        <v/>
      </c>
      <c r="Z72" s="763" t="str">
        <f>IF(VLOOKUP(A72,'Charriage - Geschiebehaushalt'!$A$4:$R$275,17,FALSE)="","",VLOOKUP(A72,'Charriage - Geschiebehaushalt'!$A$4:$R$275,17,FALSE))</f>
        <v>51-80%</v>
      </c>
      <c r="AA72" s="880" t="str">
        <f>IF(VLOOKUP(A72,'Charriage - Geschiebehaushalt'!$A$4:$R$275,18,FALSE)="","",VLOOKUP(A72,'Charriage - Geschiebehaushalt'!$A$4:$R$275,18,FALSE))</f>
        <v>a</v>
      </c>
      <c r="AB72" s="737" t="str">
        <f>IF(VLOOKUP(A72,'Charriage - Geschiebehaushalt'!$A$4:$AC$275,19,FALSE)="","",VLOOKUP(A72,'Charriage - Geschiebehaushalt'!$A$4:$AC$275,19,FALSE))</f>
        <v>-</v>
      </c>
      <c r="AC72" s="738" t="str">
        <f>IF(VLOOKUP(A72,'Charriage - Geschiebehaushalt'!$A$4:$AC$275,20,FALSE)="","",VLOOKUP(A72,'Charriage - Geschiebehaushalt'!$A$4:$AC$275,20,FALSE))</f>
        <v>-</v>
      </c>
      <c r="AD72" s="764" t="str">
        <f>IF(VLOOKUP(A72,'Charriage - Geschiebehaushalt'!$A$4:$AC$275,21,FALSE)="","",VLOOKUP(A72,'Charriage - Geschiebehaushalt'!$A$4:$AC$275,21,FALSE))</f>
        <v/>
      </c>
      <c r="AE72" s="740" t="str">
        <f>IF(VLOOKUP(A72,'Charriage - Geschiebehaushalt'!$A$4:$AC$275,22,FALSE)="","",VLOOKUP(A72,'Charriage - Geschiebehaushalt'!$A$4:$AC$275,22,FALSE))</f>
        <v>51-80%</v>
      </c>
      <c r="AF72" s="787" t="str">
        <f>IF(VLOOKUP(A72,'Charriage - Geschiebehaushalt'!$A$4:$AC$275,23,FALSE)="","",VLOOKUP(A72,'Charriage - Geschiebehaushalt'!$A$4:$AC$275,23,FALSE))</f>
        <v>a</v>
      </c>
      <c r="AG72" s="765" t="str">
        <f>IF(VLOOKUP(A72,'Charriage - Geschiebehaushalt'!$A$4:$AC$275,24,FALSE)="","",VLOOKUP(A72,'Charriage - Geschiebehaushalt'!$A$4:$AC$275,24,FALSE))</f>
        <v/>
      </c>
      <c r="AH72" s="764" t="str">
        <f>IF(VLOOKUP(A72,'Charriage - Geschiebehaushalt'!$A$4:$AC$275,25,FALSE)="","",VLOOKUP(A72,'Charriage - Geschiebehaushalt'!$A$4:$AC$275,25,FALSE))</f>
        <v/>
      </c>
      <c r="AI72" s="433" t="str">
        <f>IF(VLOOKUP(A72,'Charriage - Geschiebehaushalt'!$A$4:$AC$275,26,FALSE)="","",VLOOKUP(A72,'Charriage - Geschiebehaushalt'!$A$4:$AC$275,26,FALSE))</f>
        <v/>
      </c>
      <c r="AJ72" s="434" t="str">
        <f>IF(VLOOKUP(A72,'Charriage - Geschiebehaushalt'!$A$4:$AC$275,27,FALSE)="","",VLOOKUP(A72,'Charriage - Geschiebehaushalt'!$A$4:$AC$275,27,FALSE))</f>
        <v/>
      </c>
      <c r="AK72" s="801" t="str">
        <f>IF(VLOOKUP(A72,'Charriage - Geschiebehaushalt'!$A$4:$AC$275,28,FALSE)="","",VLOOKUP(A72,'Charriage - Geschiebehaushalt'!$A$4:$AC$275,28,FALSE))</f>
        <v>51-80%</v>
      </c>
      <c r="AL72" s="1285" t="str">
        <f>IF(VLOOKUP(A72,'Charriage - Geschiebehaushalt'!$A$4:$AD$275,30,FALSE)="","",VLOOKUP(A72,'Charriage - Geschiebehaushalt'!$A$4:$AD$275,30,FALSE))</f>
        <v>a</v>
      </c>
      <c r="AM72" s="1279" t="str">
        <f>IF(VLOOKUP(A72,'Débit - Abfluss'!$A$4:$K$275,5,FALSE)="","",VLOOKUP(A72,'Débit - Abfluss'!$A$4:$M$275,5,FALSE))</f>
        <v>non pertinent</v>
      </c>
      <c r="AN72" s="868" t="str">
        <f>IF(VLOOKUP(A72,'Débit - Abfluss'!$A$4:$K$275,6,FALSE)="","",VLOOKUP(A72,'Débit - Abfluss'!$A$4:$M$275,6,FALSE))</f>
        <v/>
      </c>
      <c r="AO72" s="869" t="str">
        <f>IF(VLOOKUP(A72,'Débit - Abfluss'!$A$4:$K$275,7,FALSE)="","",VLOOKUP(A72,'Débit - Abfluss'!$A$4:$M$275,7,FALSE))</f>
        <v/>
      </c>
      <c r="AP72" s="766" t="str">
        <f>IF(VLOOKUP(A72,'Débit - Abfluss'!$A$4:$K$275,8,FALSE)="","",VLOOKUP(A72,'Débit - Abfluss'!$A$4:$M$275,8,FALSE))</f>
        <v>non pertinent / nicht relevant</v>
      </c>
      <c r="AQ72" s="742" t="str">
        <f>IF(VLOOKUP(A72,'Débit - Abfluss'!$A$4:$K$275,9,FALSE)="","",VLOOKUP(A72,'Débit - Abfluss'!$A$4:$M$275,9,FALSE))</f>
        <v>-</v>
      </c>
      <c r="AR72" s="767" t="str">
        <f>IF(VLOOKUP(A72,'Débit - Abfluss'!$A$4:$K$275,10,FALSE)="","",VLOOKUP(A72,'Débit - Abfluss'!$A$4:$M$275,10,FALSE))</f>
        <v>non pertinent / nicht relevant</v>
      </c>
      <c r="AS72" s="767" t="str">
        <f>IF(VLOOKUP(A72,'Débit - Abfluss'!$A$4:$K$275,11,FALSE)="","",VLOOKUP(A72,'Débit - Abfluss'!$A$4:$M$275,11,FALSE))</f>
        <v/>
      </c>
      <c r="AT72" s="744" t="str">
        <f>IF(VLOOKUP(A72,'Débit - Abfluss'!$A$4:$Q$275,12,FALSE)="","",VLOOKUP(A72,'Débit - Abfluss'!$A$4:$Q$275,12,FALSE))</f>
        <v/>
      </c>
      <c r="AU72" s="785" t="str">
        <f>IF(VLOOKUP(A72,'Débit - Abfluss'!$A$4:$Q$275,13,FALSE)="","",VLOOKUP(A72,'Débit - Abfluss'!$A$4:$Q$275,13,FALSE))</f>
        <v/>
      </c>
      <c r="AV72" s="746" t="str">
        <f>IF(VLOOKUP(A72,'Débit - Abfluss'!$A$4:$Q$275,14,FALSE)="","",VLOOKUP(A72,'Débit - Abfluss'!$A$4:$Q$275,14,FALSE))</f>
        <v/>
      </c>
      <c r="AW72" s="768" t="str">
        <f>IF(VLOOKUP(A72,'Débit - Abfluss'!$A$4:$Q$275,15,FALSE)="","",VLOOKUP(A72,'Débit - Abfluss'!$A$4:$Q$275,15,FALSE))</f>
        <v/>
      </c>
      <c r="AX72" s="677" t="str">
        <f>IF(VLOOKUP(A72,'Débit - Abfluss'!$A$4:$Q$275,16,FALSE)="","",VLOOKUP(A72,'Débit - Abfluss'!$A$4:$Q$275,16,FALSE))</f>
        <v/>
      </c>
      <c r="AY72" s="769" t="str">
        <f>IF(VLOOKUP(A72,'Débit - Abfluss'!$A$4:$Q$275,17,FALSE)="","",VLOOKUP(A72,'Débit - Abfluss'!$A$4:$Q$275,17,FALSE))</f>
        <v>100%</v>
      </c>
      <c r="AZ72" s="749" t="str">
        <f>IF(VLOOKUP(A72,'Eclusée - Schwall-Sunk'!$A$2:$F$273,5,FALSE)="","",VLOOKUP(A72,'Eclusée - Schwall-Sunk'!$A$2:$F$273,5,FALSE))</f>
        <v xml:space="preserve"> - </v>
      </c>
      <c r="BA72" s="750" t="str">
        <f>IF(VLOOKUP(A72,'Eclusée - Schwall-Sunk'!$A$2:$F$273,6,FALSE)="","",VLOOKUP(A72,'Eclusée - Schwall-Sunk'!$A$2:$F$273,6,FALSE))</f>
        <v>Non affecté / nicht betroffen</v>
      </c>
      <c r="BB72" s="751" t="str">
        <f>IF(VLOOKUP(A72,'Revitalisation-Revitalisierung'!$A$4:$Z$275,5,FALSE)="","",VLOOKUP(A72,'Revitalisation-Revitalisierung'!$A$4:$Z$275,5,FALSE))</f>
        <v/>
      </c>
      <c r="BC72" s="752" t="str">
        <f>IF(VLOOKUP(A72,'Revitalisation-Revitalisierung'!$A$4:$Z$275,6,FALSE)="","",VLOOKUP(A72,'Revitalisation-Revitalisierung'!$A$4:$Z$275,6,FALSE))</f>
        <v/>
      </c>
      <c r="BD72" s="752" t="str">
        <f>IF(VLOOKUP(A72,'Revitalisation-Revitalisierung'!$A$4:$Z$275,7,FALSE)="","",VLOOKUP(A72,'Revitalisation-Revitalisierung'!$A$4:$Z$275,7,FALSE))</f>
        <v/>
      </c>
      <c r="BE72" s="753" t="str">
        <f>IF(VLOOKUP(A72,'Revitalisation-Revitalisierung'!$A$4:$Z$275,8,FALSE)="","",VLOOKUP(A72,'Revitalisation-Revitalisierung'!$A$4:$Z$275,8,FALSE))</f>
        <v/>
      </c>
      <c r="BF72" s="754" t="str">
        <f>IF(VLOOKUP(A72,'Revitalisation-Revitalisierung'!$A$4:$Z$275,9,FALSE)="","",VLOOKUP(A72,'Revitalisation-Revitalisierung'!$A$4:$Z$275,9,FALSE))</f>
        <v/>
      </c>
      <c r="BG72" s="754" t="str">
        <f>IF(VLOOKUP(A72,'Revitalisation-Revitalisierung'!$A$4:$Z$275,10,FALSE)="","",VLOOKUP(A72,'Revitalisation-Revitalisierung'!$A$4:$Z$275,10,FALSE))</f>
        <v>K1</v>
      </c>
      <c r="BH72" s="755" t="str">
        <f>IF(VLOOKUP(A72,'Revitalisation-Revitalisierung'!$A$4:$Z$275,11,FALSE)="","",VLOOKUP(A72,'Revitalisation-Revitalisierung'!$A$4:$Z$275,11,FALSE))</f>
        <v>très nécessaire, facile</v>
      </c>
      <c r="BI72" s="756" t="str">
        <f>IF(VLOOKUP(A72,'Revitalisation-Revitalisierung'!$A$4:$Z$275,12,FALSE)="","",VLOOKUP(A72,'Revitalisation-Revitalisierung'!$A$4:$Z$275,12,FALSE))</f>
        <v>car occupation du sol au-delà des entraves non dommageables</v>
      </c>
      <c r="BJ72" s="757" t="str">
        <f>IF(VLOOKUP(A72,'Revitalisation-Revitalisierung'!$A$4:$Z$275,13,FALSE)="","",VLOOKUP(A72,'Revitalisation-Revitalisierung'!$A$4:$Z$275,13,FALSE))</f>
        <v>Très nécessaire, facile / unbedingt nötig, einfach</v>
      </c>
      <c r="BK72" s="870" t="str">
        <f>IF(VLOOKUP(A72,'Revitalisation-Revitalisierung'!$A$4:$Z$275,14,FALSE)="","",VLOOKUP(A72,'Revitalisation-Revitalisierung'!$A$4:$Z$275,14,FALSE))</f>
        <v>a</v>
      </c>
      <c r="BL72" s="758" t="str">
        <f>IF(VLOOKUP(A72,'Revitalisation-Revitalisierung'!$A$4:$Z$275,15,FALSE)="","",VLOOKUP(A72,'Revitalisation-Revitalisierung'!$A$4:$Z$275,15,FALSE))</f>
        <v>gross</v>
      </c>
      <c r="BM72" s="759" t="str">
        <f>IF(VLOOKUP(A72,'Revitalisation-Revitalisierung'!$A$4:$Z$275,16,FALSE)="","",VLOOKUP(A72,'Revitalisation-Revitalisierung'!$A$4:$Z$275,16,FALSE))</f>
        <v>gering</v>
      </c>
      <c r="BN72" s="759" t="str">
        <f>IF(VLOOKUP(A72,'Revitalisation-Revitalisierung'!$A$4:$Z$275,17,FALSE)="","",VLOOKUP(A72,'Revitalisation-Revitalisierung'!$A$4:$Z$275,17,FALSE))</f>
        <v>-</v>
      </c>
      <c r="BO72" s="760" t="str">
        <f>IF(VLOOKUP(A72,'Revitalisation-Revitalisierung'!$A$4:$Z$275,18,FALSE)="","",VLOOKUP(A72,'Revitalisation-Revitalisierung'!$A$4:$Z$275,18,FALSE))</f>
        <v>Non nécessaire / nicht nötig</v>
      </c>
      <c r="BP72" s="761" t="str">
        <f>IF(VLOOKUP(A72,'Revitalisation-Revitalisierung'!$A$4:$Z$275,19,FALSE)="","",VLOOKUP(A72,'Revitalisation-Revitalisierung'!$A$4:$Z$275,19,FALSE))</f>
        <v>Très nécessaire, facile / unbedingt nötig, einfach</v>
      </c>
      <c r="BQ72" s="759" t="str">
        <f>IF(VLOOKUP(A72,'Revitalisation-Revitalisierung'!$A$4:$Z$275,20,FALSE)="","",VLOOKUP(A72,'Revitalisation-Revitalisierung'!$A$4:$Z$275,20,FALSE))</f>
        <v>a</v>
      </c>
      <c r="BR72" s="759" t="str">
        <f>IF(VLOOKUP(A72,'Revitalisation-Revitalisierung'!$A$4:$Z$275,21,FALSE)="","",VLOOKUP(A72,'Revitalisation-Revitalisierung'!$A$4:$Z$275,21,FALSE))</f>
        <v/>
      </c>
      <c r="BS72" s="762" t="str">
        <f>IF(VLOOKUP(A72,'Revitalisation-Revitalisierung'!$A$4:$Z$275,22,FALSE)="","",VLOOKUP(A72,'Revitalisation-Revitalisierung'!$A$4:$Z$275,22,FALSE))</f>
        <v>X</v>
      </c>
      <c r="BT72" s="703" t="str">
        <f>IF(VLOOKUP(A72,'Revitalisation-Revitalisierung'!$A$4:$Z$275,23,FALSE)="","",VLOOKUP(A72,'Revitalisation-Revitalisierung'!$A$4:$Z$275,23,FALSE))</f>
        <v/>
      </c>
      <c r="BU72" s="699" t="str">
        <f>IF(VLOOKUP(A72,'Revitalisation-Revitalisierung'!$A$4:$Z$275,24,FALSE)="","",VLOOKUP(A72,'Revitalisation-Revitalisierung'!$A$4:$Z$275,24,FALSE))</f>
        <v xml:space="preserve">Revitalisierung Altlauf wurde 2011 abgeschlossen, Unterhalt ist organisiert, kein Handlungsbedarf. </v>
      </c>
      <c r="BV72" s="761" t="str">
        <f>IF(VLOOKUP(A72,'Revitalisation-Revitalisierung'!$A$4:$Z$275,25,FALSE)="","",VLOOKUP(A72,'Revitalisation-Revitalisierung'!$A$4:$Z$275,25,FALSE))</f>
        <v>Partiellement nécessaire, difficile / teilweise nötig, schwierig</v>
      </c>
      <c r="BW72" s="871" t="str">
        <f>IF(VLOOKUP(A72,'Revitalisation-Revitalisierung'!$A$4:$AA$275,27,FALSE)="","",VLOOKUP(A72,'Revitalisation-Revitalisierung'!$A$4:$AA$275,27,FALSE))</f>
        <v>b</v>
      </c>
    </row>
    <row r="73" spans="1:75" ht="73.900000000000006" customHeight="1" x14ac:dyDescent="0.25">
      <c r="A73" s="935">
        <v>92</v>
      </c>
      <c r="B73" s="856">
        <f>IF(VLOOKUP(A73,'Données de base - Grunddaten'!$A$2:$M$297,2,FALSE)="","",VLOOKUP(A73,'Données de base - Grunddaten'!$A$2:$M$297,2,FALSE))</f>
        <v>1</v>
      </c>
      <c r="C73" s="857" t="str">
        <f>IF(VLOOKUP(A73,'Données de base - Grunddaten'!$A$2:$M$297,3,FALSE)="","",VLOOKUP(A73,'Données de base - Grunddaten'!$A$2:$M$297,3,FALSE))</f>
        <v>Still Rüss–Rickenbach</v>
      </c>
      <c r="D73" s="857" t="str">
        <f>IF(VLOOKUP(A73,'Données de base - Grunddaten'!$A$2:$M$297,4,FALSE)="","",VLOOKUP(A73,'Données de base - Grunddaten'!$A$2:$M$297,4,FALSE))</f>
        <v>Reuss</v>
      </c>
      <c r="E73" s="857" t="str">
        <f>IF(VLOOKUP(A73,'Données de base - Grunddaten'!$A$2:$M$297,5,FALSE)="","",VLOOKUP(A73,'Données de base - Grunddaten'!$A$2:$M$297,5,FALSE))</f>
        <v>AG/ZH</v>
      </c>
      <c r="F73" s="857" t="str">
        <f>IF(VLOOKUP(A73,'Données de base - Grunddaten'!$A$2:$M$297,6,FALSE)="","",VLOOKUP(A73,'Données de base - Grunddaten'!$A$2:$M$297,6,FALSE))</f>
        <v>Plateau oriental</v>
      </c>
      <c r="G73" s="857" t="str">
        <f>IF(VLOOKUP(A73,'Données de base - Grunddaten'!$A$2:$M$297,7,FALSE)="","",VLOOKUP(A73,'Données de base - Grunddaten'!$A$2:$M$297,7,FALSE))</f>
        <v>Collinéen</v>
      </c>
      <c r="H73" s="857">
        <f>IF(VLOOKUP(A73,'Données de base - Grunddaten'!$A$2:$M$297,8,FALSE)="","",VLOOKUP(A73,'Données de base - Grunddaten'!$A$2:$M$297,8,FALSE))</f>
        <v>380</v>
      </c>
      <c r="I73" s="857">
        <f>IF(VLOOKUP(A73,'Données de base - Grunddaten'!$A$2:$M$297,9,FALSE)="","",VLOOKUP(A73,'Données de base - Grunddaten'!$A$2:$M$297,9,FALSE))</f>
        <v>1992</v>
      </c>
      <c r="J73" s="857">
        <f>IF(VLOOKUP(A73,'Données de base - Grunddaten'!$A$2:$M$297,10,FALSE)="","",VLOOKUP(A73,'Données de base - Grunddaten'!$A$2:$M$297,10,FALSE))</f>
        <v>52</v>
      </c>
      <c r="K73" s="857" t="str">
        <f>IF(VLOOKUP(A73,'Données de base - Grunddaten'!$A$2:$M$297,11,FALSE)="","",VLOOKUP(A73,'Données de base - Grunddaten'!$A$2:$M$297,11,FALSE))</f>
        <v>Cours d'eau corrigés de l'étage collinéen du Moyen-Pays</v>
      </c>
      <c r="L73" s="857" t="str">
        <f>IF(VLOOKUP(A73,'Données de base - Grunddaten'!$A$2:$M$297,12,FALSE)="","",VLOOKUP(A73,'Données de base - Grunddaten'!$A$2:$M$297,12,FALSE))</f>
        <v>en méandres migrants</v>
      </c>
      <c r="M73" s="858" t="str">
        <f>IF(VLOOKUP(A73,'Données de base - Grunddaten'!$A$2:$M$297,13,FALSE)="","",VLOOKUP(A73,'Données de base - Grunddaten'!$A$2:$M$297,13,FALSE))</f>
        <v>en méandres migrants</v>
      </c>
      <c r="N73" s="872" t="str">
        <f>IF(VLOOKUP(A73,'Charriage - Geschiebehaushalt'!$A$4:$R$275,5,FALSE)="","",VLOOKUP(A73,'Charriage - Geschiebehaushalt'!$A$4:$R$275,5,FALSE))</f>
        <v>pertinent</v>
      </c>
      <c r="O73" s="873" t="str">
        <f>IF(VLOOKUP(A73,'Charriage - Geschiebehaushalt'!$A$4:$R$275,6,FALSE)="","",VLOOKUP(A73,'Charriage - Geschiebehaushalt'!$A$4:$R$275,6,FALSE))</f>
        <v>51-80%</v>
      </c>
      <c r="P73" s="874">
        <f>IF(VLOOKUP(A73,'Charriage - Geschiebehaushalt'!$A$4:$R$275,7,FALSE)="","",VLOOKUP(A73,'Charriage - Geschiebehaushalt'!$A$4:$R$275,7,FALSE))</f>
        <v>0.35492207072652598</v>
      </c>
      <c r="Q73" s="874" t="str">
        <f>IF(VLOOKUP(A73,'Charriage - Geschiebehaushalt'!$A$4:$R$275,8,FALSE)="","",VLOOKUP(A73,'Charriage - Geschiebehaushalt'!$A$4:$R$275,8,FALSE))</f>
        <v>pas d'incision</v>
      </c>
      <c r="R73" s="875">
        <f>IF(VLOOKUP(A73,'Charriage - Geschiebehaushalt'!$A$4:$R$275,9,FALSE)="","",VLOOKUP(A73,'Charriage - Geschiebehaushalt'!$A$4:$R$275,9,FALSE))</f>
        <v>0.79715209640276796</v>
      </c>
      <c r="S73" s="876" t="str">
        <f>IF(VLOOKUP(A73,'Charriage - Geschiebehaushalt'!$A$4:$R$275,10,FALSE)="","",VLOOKUP(A73,'Charriage - Geschiebehaushalt'!$A$4:$R$275,10,FALSE))</f>
        <v>la remobilisation des sédiments est perturbée</v>
      </c>
      <c r="T73" s="875">
        <f>IF(VLOOKUP(A73,'Charriage - Geschiebehaushalt'!$A$4:$R$275,11,FALSE)="","",VLOOKUP(A73,'Charriage - Geschiebehaushalt'!$A$4:$R$275,11,FALSE))</f>
        <v>0.25302539301999999</v>
      </c>
      <c r="U73" s="876" t="str">
        <f>IF(VLOOKUP(A73,'Charriage - Geschiebehaushalt'!$A$4:$R$275,12,FALSE)="","",VLOOKUP(A73,'Charriage - Geschiebehaushalt'!$A$4:$R$275,12,FALSE))</f>
        <v>déficit non apparent en charriage ou en remobilisation des sédiments</v>
      </c>
      <c r="V73" s="877" t="str">
        <f>IF(VLOOKUP(A73,'Charriage - Geschiebehaushalt'!$A$4:$R$275,13,FALSE)="","",VLOOKUP(A73,'Charriage - Geschiebehaushalt'!$A$4:$R$275,13,FALSE))</f>
        <v/>
      </c>
      <c r="W73" s="877" t="str">
        <f>IF(VLOOKUP(A73,'Charriage - Geschiebehaushalt'!$A$4:$R$275,14,FALSE)="","",VLOOKUP(A73,'Charriage - Geschiebehaushalt'!$A$4:$R$275,14,FALSE))</f>
        <v/>
      </c>
      <c r="X73" s="877" t="str">
        <f>IF(VLOOKUP(A73,'Charriage - Geschiebehaushalt'!$A$4:$R$275,15,FALSE)="","",VLOOKUP(A73,'Charriage - Geschiebehaushalt'!$A$4:$R$275,15,FALSE))</f>
        <v/>
      </c>
      <c r="Y73" s="879" t="str">
        <f>IF(VLOOKUP(A73,'Charriage - Geschiebehaushalt'!$A$4:$R$275,16,FALSE)="","",VLOOKUP(A73,'Charriage - Geschiebehaushalt'!$A$4:$R$275,16,FALSE))</f>
        <v/>
      </c>
      <c r="Z73" s="763" t="str">
        <f>IF(VLOOKUP(A73,'Charriage - Geschiebehaushalt'!$A$4:$R$275,17,FALSE)="","",VLOOKUP(A73,'Charriage - Geschiebehaushalt'!$A$4:$R$275,17,FALSE))</f>
        <v>51-80%</v>
      </c>
      <c r="AA73" s="880" t="str">
        <f>IF(VLOOKUP(A73,'Charriage - Geschiebehaushalt'!$A$4:$R$275,18,FALSE)="","",VLOOKUP(A73,'Charriage - Geschiebehaushalt'!$A$4:$R$275,18,FALSE))</f>
        <v>a</v>
      </c>
      <c r="AB73" s="737" t="str">
        <f>IF(VLOOKUP(A73,'Charriage - Geschiebehaushalt'!$A$4:$AC$275,19,FALSE)="","",VLOOKUP(A73,'Charriage - Geschiebehaushalt'!$A$4:$AC$275,19,FALSE))</f>
        <v>- /
OK: 35% déficit</v>
      </c>
      <c r="AC73" s="738" t="str">
        <f>IF(VLOOKUP(A73,'Charriage - Geschiebehaushalt'!$A$4:$AC$275,20,FALSE)="","",VLOOKUP(A73,'Charriage - Geschiebehaushalt'!$A$4:$AC$275,20,FALSE))</f>
        <v>- /
moyen</v>
      </c>
      <c r="AD73" s="764" t="str">
        <f>IF(VLOOKUP(A73,'Charriage - Geschiebehaushalt'!$A$4:$AC$275,21,FALSE)="","",VLOOKUP(A73,'Charriage - Geschiebehaushalt'!$A$4:$AC$275,21,FALSE))</f>
        <v/>
      </c>
      <c r="AE73" s="740" t="str">
        <f>IF(VLOOKUP(A73,'Charriage - Geschiebehaushalt'!$A$4:$AC$275,22,FALSE)="","",VLOOKUP(A73,'Charriage - Geschiebehaushalt'!$A$4:$AC$275,22,FALSE))</f>
        <v>51-80%</v>
      </c>
      <c r="AF73" s="787" t="str">
        <f>IF(VLOOKUP(A73,'Charriage - Geschiebehaushalt'!$A$4:$AC$275,23,FALSE)="","",VLOOKUP(A73,'Charriage - Geschiebehaushalt'!$A$4:$AC$275,23,FALSE))</f>
        <v>d</v>
      </c>
      <c r="AG73" s="765" t="str">
        <f>IF(VLOOKUP(A73,'Charriage - Geschiebehaushalt'!$A$4:$AC$275,24,FALSE)="","",VLOOKUP(A73,'Charriage - Geschiebehaushalt'!$A$4:$AC$275,24,FALSE))</f>
        <v/>
      </c>
      <c r="AH73" s="764" t="str">
        <f>IF(VLOOKUP(A73,'Charriage - Geschiebehaushalt'!$A$4:$AC$275,25,FALSE)="","",VLOOKUP(A73,'Charriage - Geschiebehaushalt'!$A$4:$AC$275,25,FALSE))</f>
        <v/>
      </c>
      <c r="AI73" s="433" t="str">
        <f>IF(VLOOKUP(A73,'Charriage - Geschiebehaushalt'!$A$4:$AC$275,26,FALSE)="","",VLOOKUP(A73,'Charriage - Geschiebehaushalt'!$A$4:$AC$275,26,FALSE))</f>
        <v/>
      </c>
      <c r="AJ73" s="436" t="str">
        <f>IF(VLOOKUP(A73,'Charriage - Geschiebehaushalt'!$A$4:$AC$275,27,FALSE)="","",VLOOKUP(A73,'Charriage - Geschiebehaushalt'!$A$4:$AC$275,27,FALSE))</f>
        <v>Die Beurteilungen erscheinen uns nachvollziehbar und stimmen mit den kantonalen Einschätzungen</v>
      </c>
      <c r="AK73" s="801" t="str">
        <f>IF(VLOOKUP(A73,'Charriage - Geschiebehaushalt'!$A$4:$AC$275,28,FALSE)="","",VLOOKUP(A73,'Charriage - Geschiebehaushalt'!$A$4:$AC$275,28,FALSE))</f>
        <v>51-80%</v>
      </c>
      <c r="AL73" s="1285" t="str">
        <f>IF(VLOOKUP(A73,'Charriage - Geschiebehaushalt'!$A$4:$AD$275,30,FALSE)="","",VLOOKUP(A73,'Charriage - Geschiebehaushalt'!$A$4:$AD$275,30,FALSE))</f>
        <v>a</v>
      </c>
      <c r="AM73" s="1279" t="str">
        <f>IF(VLOOKUP(A73,'Débit - Abfluss'!$A$4:$K$275,5,FALSE)="","",VLOOKUP(A73,'Débit - Abfluss'!$A$4:$M$275,5,FALSE))</f>
        <v>81-100%</v>
      </c>
      <c r="AN73" s="868" t="str">
        <f>IF(VLOOKUP(A73,'Débit - Abfluss'!$A$4:$K$275,6,FALSE)="","",VLOOKUP(A73,'Débit - Abfluss'!$A$4:$M$275,6,FALSE))</f>
        <v/>
      </c>
      <c r="AO73" s="869" t="str">
        <f>IF(VLOOKUP(A73,'Débit - Abfluss'!$A$4:$K$275,7,FALSE)="","",VLOOKUP(A73,'Débit - Abfluss'!$A$4:$M$275,7,FALSE))</f>
        <v/>
      </c>
      <c r="AP73" s="766" t="str">
        <f>IF(VLOOKUP(A73,'Débit - Abfluss'!$A$4:$K$275,8,FALSE)="","",VLOOKUP(A73,'Débit - Abfluss'!$A$4:$M$275,8,FALSE))</f>
        <v>81-100%</v>
      </c>
      <c r="AQ73" s="678" t="str">
        <f>IF(VLOOKUP(A73,'Débit - Abfluss'!$A$4:$K$275,9,FALSE)="","",VLOOKUP(A73,'Débit - Abfluss'!$A$4:$M$275,9,FALSE))</f>
        <v>&lt;10%</v>
      </c>
      <c r="AR73" s="767" t="str">
        <f>IF(VLOOKUP(A73,'Débit - Abfluss'!$A$4:$K$275,10,FALSE)="","",VLOOKUP(A73,'Débit - Abfluss'!$A$4:$M$275,10,FALSE))</f>
        <v>81-100%</v>
      </c>
      <c r="AS73" s="773" t="str">
        <f>IF(VLOOKUP(A73,'Débit - Abfluss'!$A$4:$K$275,11,FALSE)="","",VLOOKUP(A73,'Débit - Abfluss'!$A$4:$M$275,11,FALSE))</f>
        <v>X</v>
      </c>
      <c r="AT73" s="744" t="str">
        <f>IF(VLOOKUP(A73,'Débit - Abfluss'!$A$4:$Q$275,12,FALSE)="","",VLOOKUP(A73,'Débit - Abfluss'!$A$4:$Q$275,12,FALSE))</f>
        <v/>
      </c>
      <c r="AU73" s="745" t="str">
        <f>IF(VLOOKUP(A73,'Débit - Abfluss'!$A$4:$Q$275,13,FALSE)="","",VLOOKUP(A73,'Débit - Abfluss'!$A$4:$Q$275,13,FALSE))</f>
        <v/>
      </c>
      <c r="AV73" s="746" t="str">
        <f>IF(VLOOKUP(A73,'Débit - Abfluss'!$A$4:$Q$275,14,FALSE)="","",VLOOKUP(A73,'Débit - Abfluss'!$A$4:$Q$275,14,FALSE))</f>
        <v>ZH-c70KA1</v>
      </c>
      <c r="AW73" s="768" t="str">
        <f>IF(VLOOKUP(A73,'Débit - Abfluss'!$A$4:$Q$275,15,FALSE)="","",VLOOKUP(A73,'Débit - Abfluss'!$A$4:$Q$275,15,FALSE))</f>
        <v>Kraftanlage zum Betrieb einer Weberei</v>
      </c>
      <c r="AX73" s="677" t="str">
        <f>IF(VLOOKUP(A73,'Débit - Abfluss'!$A$4:$Q$275,16,FALSE)="","",VLOOKUP(A73,'Débit - Abfluss'!$A$4:$Q$275,16,FALSE))</f>
        <v/>
      </c>
      <c r="AY73" s="786" t="str">
        <f>IF(VLOOKUP(A73,'Débit - Abfluss'!$A$4:$Q$275,17,FALSE)="","",VLOOKUP(A73,'Débit - Abfluss'!$A$4:$Q$275,17,FALSE))</f>
        <v>81-100%</v>
      </c>
      <c r="AZ73" s="749" t="str">
        <f>IF(VLOOKUP(A73,'Eclusée - Schwall-Sunk'!$A$2:$F$273,5,FALSE)="","",VLOOKUP(A73,'Eclusée - Schwall-Sunk'!$A$2:$F$273,5,FALSE))</f>
        <v>force hydraulique</v>
      </c>
      <c r="BA73" s="750" t="str">
        <f>IF(VLOOKUP(A73,'Eclusée - Schwall-Sunk'!$A$2:$F$273,6,FALSE)="","",VLOOKUP(A73,'Eclusée - Schwall-Sunk'!$A$2:$F$273,6,FALSE))</f>
        <v>Non affecté / nicht betroffen</v>
      </c>
      <c r="BB73" s="751">
        <f>IF(VLOOKUP(A73,'Revitalisation-Revitalisierung'!$A$4:$Z$275,5,FALSE)="","",VLOOKUP(A73,'Revitalisation-Revitalisierung'!$A$4:$Z$275,5,FALSE))</f>
        <v>-38.9</v>
      </c>
      <c r="BC73" s="752">
        <f>IF(VLOOKUP(A73,'Revitalisation-Revitalisierung'!$A$4:$Z$275,6,FALSE)="","",VLOOKUP(A73,'Revitalisation-Revitalisierung'!$A$4:$Z$275,6,FALSE))</f>
        <v>61.103380492596223</v>
      </c>
      <c r="BD73" s="752">
        <f>IF(VLOOKUP(A73,'Revitalisation-Revitalisierung'!$A$4:$Z$275,7,FALSE)="","",VLOOKUP(A73,'Revitalisation-Revitalisierung'!$A$4:$Z$275,7,FALSE))</f>
        <v>100</v>
      </c>
      <c r="BE73" s="753" t="str">
        <f>IF(VLOOKUP(A73,'Revitalisation-Revitalisierung'!$A$4:$Z$275,8,FALSE)="","",VLOOKUP(A73,'Revitalisation-Revitalisierung'!$A$4:$Z$275,8,FALSE))</f>
        <v>très nécessaire, difficile</v>
      </c>
      <c r="BF73" s="754" t="str">
        <f>IF(VLOOKUP(A73,'Revitalisation-Revitalisierung'!$A$4:$Z$275,9,FALSE)="","",VLOOKUP(A73,'Revitalisation-Revitalisierung'!$A$4:$Z$275,9,FALSE))</f>
        <v>schwierig</v>
      </c>
      <c r="BG73" s="754" t="str">
        <f>IF(VLOOKUP(A73,'Revitalisation-Revitalisierung'!$A$4:$Z$275,10,FALSE)="","",VLOOKUP(A73,'Revitalisation-Revitalisierung'!$A$4:$Z$275,10,FALSE))</f>
        <v>K1</v>
      </c>
      <c r="BH73" s="755" t="str">
        <f>IF(VLOOKUP(A73,'Revitalisation-Revitalisierung'!$A$4:$Z$275,11,FALSE)="","",VLOOKUP(A73,'Revitalisation-Revitalisierung'!$A$4:$Z$275,11,FALSE))</f>
        <v/>
      </c>
      <c r="BI73" s="756" t="str">
        <f>IF(VLOOKUP(A73,'Revitalisation-Revitalisierung'!$A$4:$Z$275,12,FALSE)="","",VLOOKUP(A73,'Revitalisation-Revitalisierung'!$A$4:$Z$275,12,FALSE))</f>
        <v/>
      </c>
      <c r="BJ73" s="757" t="str">
        <f>IF(VLOOKUP(A73,'Revitalisation-Revitalisierung'!$A$4:$Z$275,13,FALSE)="","",VLOOKUP(A73,'Revitalisation-Revitalisierung'!$A$4:$Z$275,13,FALSE))</f>
        <v>Très nécessaire, facile / unbedingt nötig, einfach</v>
      </c>
      <c r="BK73" s="870" t="str">
        <f>IF(VLOOKUP(A73,'Revitalisation-Revitalisierung'!$A$4:$Z$275,14,FALSE)="","",VLOOKUP(A73,'Revitalisation-Revitalisierung'!$A$4:$Z$275,14,FALSE))</f>
        <v>b</v>
      </c>
      <c r="BL73" s="758" t="str">
        <f>IF(VLOOKUP(A73,'Revitalisation-Revitalisierung'!$A$4:$Z$275,15,FALSE)="","",VLOOKUP(A73,'Revitalisation-Revitalisierung'!$A$4:$Z$275,15,FALSE))</f>
        <v>gross/mittel /
gross</v>
      </c>
      <c r="BM73" s="759" t="str">
        <f>IF(VLOOKUP(A73,'Revitalisation-Revitalisierung'!$A$4:$Z$275,16,FALSE)="","",VLOOKUP(A73,'Revitalisation-Revitalisierung'!$A$4:$Z$275,16,FALSE))</f>
        <v>gross / mittel / gering /
gross</v>
      </c>
      <c r="BN73" s="759" t="str">
        <f>IF(VLOOKUP(A73,'Revitalisation-Revitalisierung'!$A$4:$Z$275,17,FALSE)="","",VLOOKUP(A73,'Revitalisation-Revitalisierung'!$A$4:$Z$275,17,FALSE))</f>
        <v>20 Jahre: 1. Drittel /
1</v>
      </c>
      <c r="BO73" s="760" t="str">
        <f>IF(VLOOKUP(A73,'Revitalisation-Revitalisierung'!$A$4:$Z$275,18,FALSE)="","",VLOOKUP(A73,'Revitalisation-Revitalisierung'!$A$4:$Z$275,18,FALSE))</f>
        <v>Très nécessaire, facile / unbedingt nötig, einfach</v>
      </c>
      <c r="BP73" s="761" t="str">
        <f>IF(VLOOKUP(A73,'Revitalisation-Revitalisierung'!$A$4:$Z$275,19,FALSE)="","",VLOOKUP(A73,'Revitalisation-Revitalisierung'!$A$4:$Z$275,19,FALSE))</f>
        <v>Très nécessaire, facile / unbedingt nötig, einfach</v>
      </c>
      <c r="BQ73" s="759" t="str">
        <f>IF(VLOOKUP(A73,'Revitalisation-Revitalisierung'!$A$4:$Z$275,20,FALSE)="","",VLOOKUP(A73,'Revitalisation-Revitalisierung'!$A$4:$Z$275,20,FALSE))</f>
        <v>d</v>
      </c>
      <c r="BR73" s="759" t="str">
        <f>IF(VLOOKUP(A73,'Revitalisation-Revitalisierung'!$A$4:$Z$275,21,FALSE)="","",VLOOKUP(A73,'Revitalisation-Revitalisierung'!$A$4:$Z$275,21,FALSE))</f>
        <v/>
      </c>
      <c r="BS73" s="762" t="str">
        <f>IF(VLOOKUP(A73,'Revitalisation-Revitalisierung'!$A$4:$Z$275,22,FALSE)="","",VLOOKUP(A73,'Revitalisation-Revitalisierung'!$A$4:$Z$275,22,FALSE))</f>
        <v/>
      </c>
      <c r="BT73" s="703" t="str">
        <f>IF(VLOOKUP(A73,'Revitalisation-Revitalisierung'!$A$4:$Z$275,23,FALSE)="","",VLOOKUP(A73,'Revitalisation-Revitalisierung'!$A$4:$Z$275,23,FALSE))</f>
        <v/>
      </c>
      <c r="BU73" s="704" t="str">
        <f>IF(VLOOKUP(A73,'Revitalisation-Revitalisierung'!$A$4:$Z$275,24,FALSE)="","",VLOOKUP(A73,'Revitalisation-Revitalisierung'!$A$4:$Z$275,24,FALSE))</f>
        <v xml:space="preserve">Grosse Revitalisierungen sind abgeschlossen, Unterhalt ist organisiert, weitere Dynamisierung des Reussufers denkbar. </v>
      </c>
      <c r="BV73" s="761" t="str">
        <f>IF(VLOOKUP(A73,'Revitalisation-Revitalisierung'!$A$4:$Z$275,25,FALSE)="","",VLOOKUP(A73,'Revitalisation-Revitalisierung'!$A$4:$Z$275,25,FALSE))</f>
        <v>Partiellement nécessaire, difficile / teilweise nötig, schwierig</v>
      </c>
      <c r="BW73" s="871" t="str">
        <f>IF(VLOOKUP(A73,'Revitalisation-Revitalisierung'!$A$4:$AA$275,27,FALSE)="","",VLOOKUP(A73,'Revitalisation-Revitalisierung'!$A$4:$AA$275,27,FALSE))</f>
        <v>b</v>
      </c>
    </row>
    <row r="74" spans="1:75" ht="135" customHeight="1" x14ac:dyDescent="0.25">
      <c r="A74" s="935">
        <v>95</v>
      </c>
      <c r="B74" s="856">
        <f>IF(VLOOKUP(A74,'Données de base - Grunddaten'!$A$2:$M$297,2,FALSE)="","",VLOOKUP(A74,'Données de base - Grunddaten'!$A$2:$M$297,2,FALSE))</f>
        <v>1</v>
      </c>
      <c r="C74" s="857" t="str">
        <f>IF(VLOOKUP(A74,'Données de base - Grunddaten'!$A$2:$M$297,3,FALSE)="","",VLOOKUP(A74,'Données de base - Grunddaten'!$A$2:$M$297,3,FALSE))</f>
        <v>Ober Schachen–Rüssspitz</v>
      </c>
      <c r="D74" s="857" t="str">
        <f>IF(VLOOKUP(A74,'Données de base - Grunddaten'!$A$2:$M$297,4,FALSE)="","",VLOOKUP(A74,'Données de base - Grunddaten'!$A$2:$M$297,4,FALSE))</f>
        <v>Reuss</v>
      </c>
      <c r="E74" s="857" t="str">
        <f>IF(VLOOKUP(A74,'Données de base - Grunddaten'!$A$2:$M$297,5,FALSE)="","",VLOOKUP(A74,'Données de base - Grunddaten'!$A$2:$M$297,5,FALSE))</f>
        <v>AG/ZG/ZH</v>
      </c>
      <c r="F74" s="857" t="str">
        <f>IF(VLOOKUP(A74,'Données de base - Grunddaten'!$A$2:$M$297,6,FALSE)="","",VLOOKUP(A74,'Données de base - Grunddaten'!$A$2:$M$297,6,FALSE))</f>
        <v>Plateau oriental</v>
      </c>
      <c r="G74" s="857" t="str">
        <f>IF(VLOOKUP(A74,'Données de base - Grunddaten'!$A$2:$M$297,7,FALSE)="","",VLOOKUP(A74,'Données de base - Grunddaten'!$A$2:$M$297,7,FALSE))</f>
        <v>Collinéen</v>
      </c>
      <c r="H74" s="857">
        <f>IF(VLOOKUP(A74,'Données de base - Grunddaten'!$A$2:$M$297,8,FALSE)="","",VLOOKUP(A74,'Données de base - Grunddaten'!$A$2:$M$297,8,FALSE))</f>
        <v>390</v>
      </c>
      <c r="I74" s="857">
        <f>IF(VLOOKUP(A74,'Données de base - Grunddaten'!$A$2:$M$297,9,FALSE)="","",VLOOKUP(A74,'Données de base - Grunddaten'!$A$2:$M$297,9,FALSE))</f>
        <v>1992</v>
      </c>
      <c r="J74" s="857">
        <f>IF(VLOOKUP(A74,'Données de base - Grunddaten'!$A$2:$M$297,10,FALSE)="","",VLOOKUP(A74,'Données de base - Grunddaten'!$A$2:$M$297,10,FALSE))</f>
        <v>52</v>
      </c>
      <c r="K74" s="857" t="str">
        <f>IF(VLOOKUP(A74,'Données de base - Grunddaten'!$A$2:$M$297,11,FALSE)="","",VLOOKUP(A74,'Données de base - Grunddaten'!$A$2:$M$297,11,FALSE))</f>
        <v>Cours d'eau corrigés de l'étage collinéen du Moyen-Pays</v>
      </c>
      <c r="L74" s="857" t="str">
        <f>IF(VLOOKUP(A74,'Données de base - Grunddaten'!$A$2:$M$297,12,FALSE)="","",VLOOKUP(A74,'Données de base - Grunddaten'!$A$2:$M$297,12,FALSE))</f>
        <v>en méandres migrants</v>
      </c>
      <c r="M74" s="858" t="str">
        <f>IF(VLOOKUP(A74,'Données de base - Grunddaten'!$A$2:$M$297,13,FALSE)="","",VLOOKUP(A74,'Données de base - Grunddaten'!$A$2:$M$297,13,FALSE))</f>
        <v>en méandres migrants</v>
      </c>
      <c r="N74" s="872" t="str">
        <f>IF(VLOOKUP(A74,'Charriage - Geschiebehaushalt'!$A$4:$R$275,5,FALSE)="","",VLOOKUP(A74,'Charriage - Geschiebehaushalt'!$A$4:$R$275,5,FALSE))</f>
        <v>pertinent</v>
      </c>
      <c r="O74" s="873" t="str">
        <f>IF(VLOOKUP(A74,'Charriage - Geschiebehaushalt'!$A$4:$R$275,6,FALSE)="","",VLOOKUP(A74,'Charriage - Geschiebehaushalt'!$A$4:$R$275,6,FALSE))</f>
        <v>51-80%</v>
      </c>
      <c r="P74" s="874">
        <f>IF(VLOOKUP(A74,'Charriage - Geschiebehaushalt'!$A$4:$R$275,7,FALSE)="","",VLOOKUP(A74,'Charriage - Geschiebehaushalt'!$A$4:$R$275,7,FALSE))</f>
        <v>-1.1583344176213299</v>
      </c>
      <c r="Q74" s="874" t="str">
        <f>IF(VLOOKUP(A74,'Charriage - Geschiebehaushalt'!$A$4:$R$275,8,FALSE)="","",VLOOKUP(A74,'Charriage - Geschiebehaushalt'!$A$4:$R$275,8,FALSE))</f>
        <v>problème lié à un manque de charriage ou à un manque de remobilisation des sédiments</v>
      </c>
      <c r="R74" s="875">
        <f>IF(VLOOKUP(A74,'Charriage - Geschiebehaushalt'!$A$4:$R$275,9,FALSE)="","",VLOOKUP(A74,'Charriage - Geschiebehaushalt'!$A$4:$R$275,9,FALSE))</f>
        <v>0.75576869561374005</v>
      </c>
      <c r="S74" s="876" t="str">
        <f>IF(VLOOKUP(A74,'Charriage - Geschiebehaushalt'!$A$4:$R$275,10,FALSE)="","",VLOOKUP(A74,'Charriage - Geschiebehaushalt'!$A$4:$R$275,10,FALSE))</f>
        <v>la remobilisation des sédiments est perturbée</v>
      </c>
      <c r="T74" s="875">
        <f>IF(VLOOKUP(A74,'Charriage - Geschiebehaushalt'!$A$4:$R$275,11,FALSE)="","",VLOOKUP(A74,'Charriage - Geschiebehaushalt'!$A$4:$R$275,11,FALSE))</f>
        <v>0.12085187402</v>
      </c>
      <c r="U74" s="876" t="str">
        <f>IF(VLOOKUP(A74,'Charriage - Geschiebehaushalt'!$A$4:$R$275,12,FALSE)="","",VLOOKUP(A74,'Charriage - Geschiebehaushalt'!$A$4:$R$275,12,FALSE))</f>
        <v>déficit dans les formations pionnières</v>
      </c>
      <c r="V74" s="877" t="str">
        <f>IF(VLOOKUP(A74,'Charriage - Geschiebehaushalt'!$A$4:$R$275,13,FALSE)="","",VLOOKUP(A74,'Charriage - Geschiebehaushalt'!$A$4:$R$275,13,FALSE))</f>
        <v/>
      </c>
      <c r="W74" s="877" t="str">
        <f>IF(VLOOKUP(A74,'Charriage - Geschiebehaushalt'!$A$4:$R$275,14,FALSE)="","",VLOOKUP(A74,'Charriage - Geschiebehaushalt'!$A$4:$R$275,14,FALSE))</f>
        <v/>
      </c>
      <c r="X74" s="877" t="str">
        <f>IF(VLOOKUP(A74,'Charriage - Geschiebehaushalt'!$A$4:$R$275,15,FALSE)="","",VLOOKUP(A74,'Charriage - Geschiebehaushalt'!$A$4:$R$275,15,FALSE))</f>
        <v/>
      </c>
      <c r="Y74" s="879" t="str">
        <f>IF(VLOOKUP(A74,'Charriage - Geschiebehaushalt'!$A$4:$R$275,16,FALSE)="","",VLOOKUP(A74,'Charriage - Geschiebehaushalt'!$A$4:$R$275,16,FALSE))</f>
        <v/>
      </c>
      <c r="Z74" s="763" t="str">
        <f>IF(VLOOKUP(A74,'Charriage - Geschiebehaushalt'!$A$4:$R$275,17,FALSE)="","",VLOOKUP(A74,'Charriage - Geschiebehaushalt'!$A$4:$R$275,17,FALSE))</f>
        <v>51-80%</v>
      </c>
      <c r="AA74" s="880" t="str">
        <f>IF(VLOOKUP(A74,'Charriage - Geschiebehaushalt'!$A$4:$R$275,18,FALSE)="","",VLOOKUP(A74,'Charriage - Geschiebehaushalt'!$A$4:$R$275,18,FALSE))</f>
        <v>a</v>
      </c>
      <c r="AB74" s="737" t="str">
        <f>IF(VLOOKUP(A74,'Charriage - Geschiebehaushalt'!$A$4:$AC$275,19,FALSE)="","",VLOOKUP(A74,'Charriage - Geschiebehaushalt'!$A$4:$AC$275,19,FALSE))</f>
        <v>- /
- /
OK: 35% déficit</v>
      </c>
      <c r="AC74" s="738" t="str">
        <f>IF(VLOOKUP(A74,'Charriage - Geschiebehaushalt'!$A$4:$AC$275,20,FALSE)="","",VLOOKUP(A74,'Charriage - Geschiebehaushalt'!$A$4:$AC$275,20,FALSE))</f>
        <v>- /
- /
moyen</v>
      </c>
      <c r="AD74" s="764" t="str">
        <f>IF(VLOOKUP(A74,'Charriage - Geschiebehaushalt'!$A$4:$AC$275,21,FALSE)="","",VLOOKUP(A74,'Charriage - Geschiebehaushalt'!$A$4:$AC$275,21,FALSE))</f>
        <v/>
      </c>
      <c r="AE74" s="740" t="str">
        <f>IF(VLOOKUP(A74,'Charriage - Geschiebehaushalt'!$A$4:$AC$275,22,FALSE)="","",VLOOKUP(A74,'Charriage - Geschiebehaushalt'!$A$4:$AC$275,22,FALSE))</f>
        <v>51-80%</v>
      </c>
      <c r="AF74" s="787" t="str">
        <f>IF(VLOOKUP(A74,'Charriage - Geschiebehaushalt'!$A$4:$AC$275,23,FALSE)="","",VLOOKUP(A74,'Charriage - Geschiebehaushalt'!$A$4:$AC$275,23,FALSE))</f>
        <v>d</v>
      </c>
      <c r="AG74" s="765" t="str">
        <f>IF(VLOOKUP(A74,'Charriage - Geschiebehaushalt'!$A$4:$AC$275,24,FALSE)="","",VLOOKUP(A74,'Charriage - Geschiebehaushalt'!$A$4:$AC$275,24,FALSE))</f>
        <v/>
      </c>
      <c r="AH74" s="764" t="str">
        <f>IF(VLOOKUP(A74,'Charriage - Geschiebehaushalt'!$A$4:$AC$275,25,FALSE)="","",VLOOKUP(A74,'Charriage - Geschiebehaushalt'!$A$4:$AC$275,25,FALSE))</f>
        <v/>
      </c>
      <c r="AI74" s="433" t="str">
        <f>IF(VLOOKUP(A74,'Charriage - Geschiebehaushalt'!$A$4:$AC$275,26,FALSE)="","",VLOOKUP(A74,'Charriage - Geschiebehaushalt'!$A$4:$AC$275,26,FALSE))</f>
        <v/>
      </c>
      <c r="AJ74" s="436" t="str">
        <f>IF(VLOOKUP(A74,'Charriage - Geschiebehaushalt'!$A$4:$AC$275,27,FALSE)="","",VLOOKUP(A74,'Charriage - Geschiebehaushalt'!$A$4:$AC$275,27,FALSE))</f>
        <v>Die Beurteilungen erscheinen uns nachvollziehbar und stimmen mit den kantonalen Einschätzungen</v>
      </c>
      <c r="AK74" s="801" t="str">
        <f>IF(VLOOKUP(A74,'Charriage - Geschiebehaushalt'!$A$4:$AC$275,28,FALSE)="","",VLOOKUP(A74,'Charriage - Geschiebehaushalt'!$A$4:$AC$275,28,FALSE))</f>
        <v>51-80%</v>
      </c>
      <c r="AL74" s="1285" t="str">
        <f>IF(VLOOKUP(A74,'Charriage - Geschiebehaushalt'!$A$4:$AD$275,30,FALSE)="","",VLOOKUP(A74,'Charriage - Geschiebehaushalt'!$A$4:$AD$275,30,FALSE))</f>
        <v>a</v>
      </c>
      <c r="AM74" s="1279" t="str">
        <f>IF(VLOOKUP(A74,'Débit - Abfluss'!$A$4:$K$275,5,FALSE)="","",VLOOKUP(A74,'Débit - Abfluss'!$A$4:$M$275,5,FALSE))</f>
        <v>81-100%</v>
      </c>
      <c r="AN74" s="868" t="str">
        <f>IF(VLOOKUP(A74,'Débit - Abfluss'!$A$4:$K$275,6,FALSE)="","",VLOOKUP(A74,'Débit - Abfluss'!$A$4:$M$275,6,FALSE))</f>
        <v/>
      </c>
      <c r="AO74" s="869" t="str">
        <f>IF(VLOOKUP(A74,'Débit - Abfluss'!$A$4:$K$275,7,FALSE)="","",VLOOKUP(A74,'Débit - Abfluss'!$A$4:$M$275,7,FALSE))</f>
        <v/>
      </c>
      <c r="AP74" s="766" t="str">
        <f>IF(VLOOKUP(A74,'Débit - Abfluss'!$A$4:$K$275,8,FALSE)="","",VLOOKUP(A74,'Débit - Abfluss'!$A$4:$M$275,8,FALSE))</f>
        <v>81-100%</v>
      </c>
      <c r="AQ74" s="742" t="str">
        <f>IF(VLOOKUP(A74,'Débit - Abfluss'!$A$4:$K$275,9,FALSE)="","",VLOOKUP(A74,'Débit - Abfluss'!$A$4:$M$275,9,FALSE))</f>
        <v>-</v>
      </c>
      <c r="AR74" s="767" t="str">
        <f>IF(VLOOKUP(A74,'Débit - Abfluss'!$A$4:$K$275,10,FALSE)="","",VLOOKUP(A74,'Débit - Abfluss'!$A$4:$M$275,10,FALSE))</f>
        <v>81-100%</v>
      </c>
      <c r="AS74" s="767" t="str">
        <f>IF(VLOOKUP(A74,'Débit - Abfluss'!$A$4:$K$275,11,FALSE)="","",VLOOKUP(A74,'Débit - Abfluss'!$A$4:$M$275,11,FALSE))</f>
        <v/>
      </c>
      <c r="AT74" s="744" t="str">
        <f>IF(VLOOKUP(A74,'Débit - Abfluss'!$A$4:$Q$275,12,FALSE)="","",VLOOKUP(A74,'Débit - Abfluss'!$A$4:$Q$275,12,FALSE))</f>
        <v/>
      </c>
      <c r="AU74" s="745" t="str">
        <f>IF(VLOOKUP(A74,'Débit - Abfluss'!$A$4:$Q$275,13,FALSE)="","",VLOOKUP(A74,'Débit - Abfluss'!$A$4:$Q$275,13,FALSE))</f>
        <v/>
      </c>
      <c r="AV74" s="746" t="str">
        <f>IF(VLOOKUP(A74,'Débit - Abfluss'!$A$4:$Q$275,14,FALSE)="","",VLOOKUP(A74,'Débit - Abfluss'!$A$4:$Q$275,14,FALSE))</f>
        <v/>
      </c>
      <c r="AW74" s="768" t="str">
        <f>IF(VLOOKUP(A74,'Débit - Abfluss'!$A$4:$Q$275,15,FALSE)="","",VLOOKUP(A74,'Débit - Abfluss'!$A$4:$Q$275,15,FALSE))</f>
        <v/>
      </c>
      <c r="AX74" s="677" t="str">
        <f>IF(VLOOKUP(A74,'Débit - Abfluss'!$A$4:$Q$275,16,FALSE)="","",VLOOKUP(A74,'Débit - Abfluss'!$A$4:$Q$275,16,FALSE))</f>
        <v/>
      </c>
      <c r="AY74" s="786" t="str">
        <f>IF(VLOOKUP(A74,'Débit - Abfluss'!$A$4:$Q$275,17,FALSE)="","",VLOOKUP(A74,'Débit - Abfluss'!$A$4:$Q$275,17,FALSE))</f>
        <v>81-100%</v>
      </c>
      <c r="AZ74" s="749" t="str">
        <f>IF(VLOOKUP(A74,'Eclusée - Schwall-Sunk'!$A$2:$F$273,5,FALSE)="","",VLOOKUP(A74,'Eclusée - Schwall-Sunk'!$A$2:$F$273,5,FALSE))</f>
        <v>force hydraulique</v>
      </c>
      <c r="BA74" s="750" t="str">
        <f>IF(VLOOKUP(A74,'Eclusée - Schwall-Sunk'!$A$2:$F$273,6,FALSE)="","",VLOOKUP(A74,'Eclusée - Schwall-Sunk'!$A$2:$F$273,6,FALSE))</f>
        <v>Non affecté / nicht betroffen</v>
      </c>
      <c r="BB74" s="751">
        <f>IF(VLOOKUP(A74,'Revitalisation-Revitalisierung'!$A$4:$Z$275,5,FALSE)="","",VLOOKUP(A74,'Revitalisation-Revitalisierung'!$A$4:$Z$275,5,FALSE))</f>
        <v>36.654545454545456</v>
      </c>
      <c r="BC74" s="752">
        <f>IF(VLOOKUP(A74,'Revitalisation-Revitalisierung'!$A$4:$Z$275,6,FALSE)="","",VLOOKUP(A74,'Revitalisation-Revitalisierung'!$A$4:$Z$275,6,FALSE))</f>
        <v>66.193881847284004</v>
      </c>
      <c r="BD74" s="752">
        <f>IF(VLOOKUP(A74,'Revitalisation-Revitalisierung'!$A$4:$Z$275,7,FALSE)="","",VLOOKUP(A74,'Revitalisation-Revitalisierung'!$A$4:$Z$275,7,FALSE))</f>
        <v>29.545454545454547</v>
      </c>
      <c r="BE74" s="753" t="str">
        <f>IF(VLOOKUP(A74,'Revitalisation-Revitalisierung'!$A$4:$Z$275,8,FALSE)="","",VLOOKUP(A74,'Revitalisation-Revitalisierung'!$A$4:$Z$275,8,FALSE))</f>
        <v>très nécessaire, difficile</v>
      </c>
      <c r="BF74" s="754" t="str">
        <f>IF(VLOOKUP(A74,'Revitalisation-Revitalisierung'!$A$4:$Z$275,9,FALSE)="","",VLOOKUP(A74,'Revitalisation-Revitalisierung'!$A$4:$Z$275,9,FALSE))</f>
        <v/>
      </c>
      <c r="BG74" s="754" t="str">
        <f>IF(VLOOKUP(A74,'Revitalisation-Revitalisierung'!$A$4:$Z$275,10,FALSE)="","",VLOOKUP(A74,'Revitalisation-Revitalisierung'!$A$4:$Z$275,10,FALSE))</f>
        <v>K1</v>
      </c>
      <c r="BH74" s="755" t="str">
        <f>IF(VLOOKUP(A74,'Revitalisation-Revitalisierung'!$A$4:$Z$275,11,FALSE)="","",VLOOKUP(A74,'Revitalisation-Revitalisierung'!$A$4:$Z$275,11,FALSE))</f>
        <v/>
      </c>
      <c r="BI74" s="756" t="str">
        <f>IF(VLOOKUP(A74,'Revitalisation-Revitalisierung'!$A$4:$Z$275,12,FALSE)="","",VLOOKUP(A74,'Revitalisation-Revitalisierung'!$A$4:$Z$275,12,FALSE))</f>
        <v/>
      </c>
      <c r="BJ74" s="757" t="str">
        <f>IF(VLOOKUP(A74,'Revitalisation-Revitalisierung'!$A$4:$Z$275,13,FALSE)="","",VLOOKUP(A74,'Revitalisation-Revitalisierung'!$A$4:$Z$275,13,FALSE))</f>
        <v>Très nécessaire, facile / unbedingt nötig, einfach</v>
      </c>
      <c r="BK74" s="870" t="str">
        <f>IF(VLOOKUP(A74,'Revitalisation-Revitalisierung'!$A$4:$Z$275,14,FALSE)="","",VLOOKUP(A74,'Revitalisation-Revitalisierung'!$A$4:$Z$275,14,FALSE))</f>
        <v>b</v>
      </c>
      <c r="BL74" s="758" t="str">
        <f>IF(VLOOKUP(A74,'Revitalisation-Revitalisierung'!$A$4:$Z$275,15,FALSE)="","",VLOOKUP(A74,'Revitalisation-Revitalisierung'!$A$4:$Z$275,15,FALSE))</f>
        <v>gross /
gross /
gross</v>
      </c>
      <c r="BM74" s="759" t="str">
        <f>IF(VLOOKUP(A74,'Revitalisation-Revitalisierung'!$A$4:$Z$275,16,FALSE)="","",VLOOKUP(A74,'Revitalisation-Revitalisierung'!$A$4:$Z$275,16,FALSE))</f>
        <v>gross/gering /
gross /
gross/mittel</v>
      </c>
      <c r="BN74" s="759" t="str">
        <f>IF(VLOOKUP(A74,'Revitalisation-Revitalisierung'!$A$4:$Z$275,17,FALSE)="","",VLOOKUP(A74,'Revitalisation-Revitalisierung'!$A$4:$Z$275,17,FALSE))</f>
        <v>20 Jahre: 1. Drittel /
A1 /
1</v>
      </c>
      <c r="BO74" s="760" t="str">
        <f>IF(VLOOKUP(A74,'Revitalisation-Revitalisierung'!$A$4:$Z$275,18,FALSE)="","",VLOOKUP(A74,'Revitalisation-Revitalisierung'!$A$4:$Z$275,18,FALSE))</f>
        <v>Très nécessaire, facile / unbedingt nötig, einfach</v>
      </c>
      <c r="BP74" s="761" t="str">
        <f>IF(VLOOKUP(A74,'Revitalisation-Revitalisierung'!$A$4:$Z$275,19,FALSE)="","",VLOOKUP(A74,'Revitalisation-Revitalisierung'!$A$4:$Z$275,19,FALSE))</f>
        <v>Très nécessaire, facile / unbedingt nötig, einfach</v>
      </c>
      <c r="BQ74" s="759" t="str">
        <f>IF(VLOOKUP(A74,'Revitalisation-Revitalisierung'!$A$4:$Z$275,20,FALSE)="","",VLOOKUP(A74,'Revitalisation-Revitalisierung'!$A$4:$Z$275,20,FALSE))</f>
        <v>d</v>
      </c>
      <c r="BR74" s="759" t="str">
        <f>IF(VLOOKUP(A74,'Revitalisation-Revitalisierung'!$A$4:$Z$275,21,FALSE)="","",VLOOKUP(A74,'Revitalisation-Revitalisierung'!$A$4:$Z$275,21,FALSE))</f>
        <v/>
      </c>
      <c r="BS74" s="762" t="str">
        <f>IF(VLOOKUP(A74,'Revitalisation-Revitalisierung'!$A$4:$Z$275,22,FALSE)="","",VLOOKUP(A74,'Revitalisation-Revitalisierung'!$A$4:$Z$275,22,FALSE))</f>
        <v/>
      </c>
      <c r="BT74" s="703" t="str">
        <f>IF(VLOOKUP(A74,'Revitalisation-Revitalisierung'!$A$4:$Z$275,23,FALSE)="","",VLOOKUP(A74,'Revitalisation-Revitalisierung'!$A$4:$Z$275,23,FALSE))</f>
        <v/>
      </c>
      <c r="BU74" s="704" t="str">
        <f>IF(VLOOKUP(A74,'Revitalisation-Revitalisierung'!$A$4:$Z$275,24,FALSE)="","",VLOOKUP(A74,'Revitalisation-Revitalisierung'!$A$4:$Z$275,24,FALSE))</f>
        <v xml:space="preserve">Revitalisierungen sind abgeschlossen, Unterhalt ist organisiert, Dynamisierung des Reussufers denkbar. </v>
      </c>
      <c r="BV74" s="761" t="str">
        <f>IF(VLOOKUP(A74,'Revitalisation-Revitalisierung'!$A$4:$Z$275,25,FALSE)="","",VLOOKUP(A74,'Revitalisation-Revitalisierung'!$A$4:$Z$275,25,FALSE))</f>
        <v>Partiellement nécessaire, difficile / teilweise nötig, schwierig</v>
      </c>
      <c r="BW74" s="871" t="str">
        <f>IF(VLOOKUP(A74,'Revitalisation-Revitalisierung'!$A$4:$AA$275,27,FALSE)="","",VLOOKUP(A74,'Revitalisation-Revitalisierung'!$A$4:$AA$275,27,FALSE))</f>
        <v>b</v>
      </c>
    </row>
    <row r="75" spans="1:75" ht="81" customHeight="1" x14ac:dyDescent="0.25">
      <c r="A75" s="935">
        <v>97</v>
      </c>
      <c r="B75" s="856">
        <f>IF(VLOOKUP(A75,'Données de base - Grunddaten'!$A$2:$M$297,2,FALSE)="","",VLOOKUP(A75,'Données de base - Grunddaten'!$A$2:$M$297,2,FALSE))</f>
        <v>1</v>
      </c>
      <c r="C75" s="857" t="str">
        <f>IF(VLOOKUP(A75,'Données de base - Grunddaten'!$A$2:$M$297,3,FALSE)="","",VLOOKUP(A75,'Données de base - Grunddaten'!$A$2:$M$297,3,FALSE))</f>
        <v>Frauental</v>
      </c>
      <c r="D75" s="857" t="str">
        <f>IF(VLOOKUP(A75,'Données de base - Grunddaten'!$A$2:$M$297,4,FALSE)="","",VLOOKUP(A75,'Données de base - Grunddaten'!$A$2:$M$297,4,FALSE))</f>
        <v>Lorze</v>
      </c>
      <c r="E75" s="857" t="str">
        <f>IF(VLOOKUP(A75,'Données de base - Grunddaten'!$A$2:$M$297,5,FALSE)="","",VLOOKUP(A75,'Données de base - Grunddaten'!$A$2:$M$297,5,FALSE))</f>
        <v>ZG</v>
      </c>
      <c r="F75" s="857" t="str">
        <f>IF(VLOOKUP(A75,'Données de base - Grunddaten'!$A$2:$M$297,6,FALSE)="","",VLOOKUP(A75,'Données de base - Grunddaten'!$A$2:$M$297,6,FALSE))</f>
        <v>Plateau oriental</v>
      </c>
      <c r="G75" s="857" t="str">
        <f>IF(VLOOKUP(A75,'Données de base - Grunddaten'!$A$2:$M$297,7,FALSE)="","",VLOOKUP(A75,'Données de base - Grunddaten'!$A$2:$M$297,7,FALSE))</f>
        <v>Collinéen</v>
      </c>
      <c r="H75" s="857">
        <f>IF(VLOOKUP(A75,'Données de base - Grunddaten'!$A$2:$M$297,8,FALSE)="","",VLOOKUP(A75,'Données de base - Grunddaten'!$A$2:$M$297,8,FALSE))</f>
        <v>394</v>
      </c>
      <c r="I75" s="857">
        <f>IF(VLOOKUP(A75,'Données de base - Grunddaten'!$A$2:$M$297,9,FALSE)="","",VLOOKUP(A75,'Données de base - Grunddaten'!$A$2:$M$297,9,FALSE))</f>
        <v>1992</v>
      </c>
      <c r="J75" s="857">
        <f>IF(VLOOKUP(A75,'Données de base - Grunddaten'!$A$2:$M$297,10,FALSE)="","",VLOOKUP(A75,'Données de base - Grunddaten'!$A$2:$M$297,10,FALSE))</f>
        <v>52</v>
      </c>
      <c r="K75" s="857" t="str">
        <f>IF(VLOOKUP(A75,'Données de base - Grunddaten'!$A$2:$M$297,11,FALSE)="","",VLOOKUP(A75,'Données de base - Grunddaten'!$A$2:$M$297,11,FALSE))</f>
        <v>Cours d'eau corrigés de l'étage collinéen du Moyen-Pays</v>
      </c>
      <c r="L75" s="857" t="str">
        <f>IF(VLOOKUP(A75,'Données de base - Grunddaten'!$A$2:$M$297,12,FALSE)="","",VLOOKUP(A75,'Données de base - Grunddaten'!$A$2:$M$297,12,FALSE))</f>
        <v>en méandres migrants</v>
      </c>
      <c r="M75" s="858" t="str">
        <f>IF(VLOOKUP(A75,'Données de base - Grunddaten'!$A$2:$M$297,13,FALSE)="","",VLOOKUP(A75,'Données de base - Grunddaten'!$A$2:$M$297,13,FALSE))</f>
        <v>en méandres migrants</v>
      </c>
      <c r="N75" s="872" t="str">
        <f>IF(VLOOKUP(A75,'Charriage - Geschiebehaushalt'!$A$4:$R$275,5,FALSE)="","",VLOOKUP(A75,'Charriage - Geschiebehaushalt'!$A$4:$R$275,5,FALSE))</f>
        <v>pertinent</v>
      </c>
      <c r="O75" s="881" t="str">
        <f>IF(VLOOKUP(A75,'Charriage - Geschiebehaushalt'!$A$4:$R$275,6,FALSE)="","",VLOOKUP(A75,'Charriage - Geschiebehaushalt'!$A$4:$R$275,6,FALSE))</f>
        <v>non documenté</v>
      </c>
      <c r="P75" s="874" t="str">
        <f>IF(VLOOKUP(A75,'Charriage - Geschiebehaushalt'!$A$4:$R$275,7,FALSE)="","",VLOOKUP(A75,'Charriage - Geschiebehaushalt'!$A$4:$R$275,7,FALSE))</f>
        <v/>
      </c>
      <c r="Q75" s="874" t="str">
        <f>IF(VLOOKUP(A75,'Charriage - Geschiebehaushalt'!$A$4:$R$275,8,FALSE)="","",VLOOKUP(A75,'Charriage - Geschiebehaushalt'!$A$4:$R$275,8,FALSE))</f>
        <v>non documenté</v>
      </c>
      <c r="R75" s="875">
        <f>IF(VLOOKUP(A75,'Charriage - Geschiebehaushalt'!$A$4:$R$275,9,FALSE)="","",VLOOKUP(A75,'Charriage - Geschiebehaushalt'!$A$4:$R$275,9,FALSE))</f>
        <v>3.2691065884596603E-2</v>
      </c>
      <c r="S75" s="876" t="str">
        <f>IF(VLOOKUP(A75,'Charriage - Geschiebehaushalt'!$A$4:$R$275,10,FALSE)="","",VLOOKUP(A75,'Charriage - Geschiebehaushalt'!$A$4:$R$275,10,FALSE))</f>
        <v>pas ou faiblement entravé</v>
      </c>
      <c r="T75" s="875">
        <f>IF(VLOOKUP(A75,'Charriage - Geschiebehaushalt'!$A$4:$R$275,11,FALSE)="","",VLOOKUP(A75,'Charriage - Geschiebehaushalt'!$A$4:$R$275,11,FALSE))</f>
        <v>0.23976645298999999</v>
      </c>
      <c r="U75" s="876" t="str">
        <f>IF(VLOOKUP(A75,'Charriage - Geschiebehaushalt'!$A$4:$R$275,12,FALSE)="","",VLOOKUP(A75,'Charriage - Geschiebehaushalt'!$A$4:$R$275,12,FALSE))</f>
        <v>déficit dans les formations pionnières</v>
      </c>
      <c r="V75" s="877" t="str">
        <f>IF(VLOOKUP(A75,'Charriage - Geschiebehaushalt'!$A$4:$R$275,13,FALSE)="","",VLOOKUP(A75,'Charriage - Geschiebehaushalt'!$A$4:$R$275,13,FALSE))</f>
        <v>Charriage probablement naturellement faible</v>
      </c>
      <c r="W75" s="877" t="str">
        <f>IF(VLOOKUP(A75,'Charriage - Geschiebehaushalt'!$A$4:$R$275,14,FALSE)="","",VLOOKUP(A75,'Charriage - Geschiebehaushalt'!$A$4:$R$275,14,FALSE))</f>
        <v>A vérifier</v>
      </c>
      <c r="X75" s="877" t="str">
        <f>IF(VLOOKUP(A75,'Charriage - Geschiebehaushalt'!$A$4:$R$275,15,FALSE)="","",VLOOKUP(A75,'Charriage - Geschiebehaushalt'!$A$4:$R$275,15,FALSE))</f>
        <v>barrage à moins de 2 km</v>
      </c>
      <c r="Y75" s="882" t="str">
        <f>IF(VLOOKUP(A75,'Charriage - Geschiebehaushalt'!$A$4:$R$275,16,FALSE)="","",VLOOKUP(A75,'Charriage - Geschiebehaushalt'!$A$4:$R$275,16,FALSE))</f>
        <v>charriage présumé perturbé</v>
      </c>
      <c r="Z75" s="763" t="str">
        <f>IF(VLOOKUP(A75,'Charriage - Geschiebehaushalt'!$A$4:$R$275,17,FALSE)="","",VLOOKUP(A75,'Charriage - Geschiebehaushalt'!$A$4:$R$275,17,FALSE))</f>
        <v>Charriage présumé perturbé / Geschiebehaushalt vermutlich beeinträchtigt</v>
      </c>
      <c r="AA75" s="880" t="str">
        <f>IF(VLOOKUP(A75,'Charriage - Geschiebehaushalt'!$A$4:$R$275,18,FALSE)="","",VLOOKUP(A75,'Charriage - Geschiebehaushalt'!$A$4:$R$275,18,FALSE))</f>
        <v>b</v>
      </c>
      <c r="AB75" s="737" t="str">
        <f>IF(VLOOKUP(A75,'Charriage - Geschiebehaushalt'!$A$4:$AC$275,19,FALSE)="","",VLOOKUP(A75,'Charriage - Geschiebehaushalt'!$A$4:$AC$275,19,FALSE))</f>
        <v>-</v>
      </c>
      <c r="AC75" s="738" t="str">
        <f>IF(VLOOKUP(A75,'Charriage - Geschiebehaushalt'!$A$4:$AC$275,20,FALSE)="","",VLOOKUP(A75,'Charriage - Geschiebehaushalt'!$A$4:$AC$275,20,FALSE))</f>
        <v>-</v>
      </c>
      <c r="AD75" s="764" t="str">
        <f>IF(VLOOKUP(A75,'Charriage - Geschiebehaushalt'!$A$4:$AC$275,21,FALSE)="","",VLOOKUP(A75,'Charriage - Geschiebehaushalt'!$A$4:$AC$275,21,FALSE))</f>
        <v/>
      </c>
      <c r="AE75" s="740" t="str">
        <f>IF(VLOOKUP(A75,'Charriage - Geschiebehaushalt'!$A$4:$AC$275,22,FALSE)="","",VLOOKUP(A75,'Charriage - Geschiebehaushalt'!$A$4:$AC$275,22,FALSE))</f>
        <v>51-80%</v>
      </c>
      <c r="AF75" s="787" t="str">
        <f>IF(VLOOKUP(A75,'Charriage - Geschiebehaushalt'!$A$4:$AC$275,23,FALSE)="","",VLOOKUP(A75,'Charriage - Geschiebehaushalt'!$A$4:$AC$275,23,FALSE))</f>
        <v>b</v>
      </c>
      <c r="AG75" s="765" t="str">
        <f>IF(VLOOKUP(A75,'Charriage - Geschiebehaushalt'!$A$4:$AC$275,24,FALSE)="","",VLOOKUP(A75,'Charriage - Geschiebehaushalt'!$A$4:$AC$275,24,FALSE))</f>
        <v/>
      </c>
      <c r="AH75" s="764" t="str">
        <f>IF(VLOOKUP(A75,'Charriage - Geschiebehaushalt'!$A$4:$AC$275,25,FALSE)="","",VLOOKUP(A75,'Charriage - Geschiebehaushalt'!$A$4:$AC$275,25,FALSE))</f>
        <v/>
      </c>
      <c r="AI75" s="433" t="str">
        <f>IF(VLOOKUP(A75,'Charriage - Geschiebehaushalt'!$A$4:$AC$275,26,FALSE)="","",VLOOKUP(A75,'Charriage - Geschiebehaushalt'!$A$4:$AC$275,26,FALSE))</f>
        <v/>
      </c>
      <c r="AJ75" s="436" t="str">
        <f>IF(VLOOKUP(A75,'Charriage - Geschiebehaushalt'!$A$4:$AC$275,27,FALSE)="","",VLOOKUP(A75,'Charriage - Geschiebehaushalt'!$A$4:$AC$275,27,FALSE))</f>
        <v>Die Lorze unterhalb des Zugersees ist geschiebelos, da sie den Ausfluss des Zugersees bildet und über keine nennenswerten Zuflüsse verfügt. Die wenigen Zuflüsse wie Wasenbächli und Tobelbach entwässern flache Ried- und Meliorationsgebiete und erodieren nur sehr wenig Feinsediment aus de Sohle. Der theoretische Austrag aus der Sohle und aus Böschungen der Lorze selbst ist zu vernachlässigen, da die Abflussschwankungen und damit die Erosionskraft durch die Dämpfung des Zugersees gering sind.</v>
      </c>
      <c r="AK75" s="801" t="str">
        <f>IF(VLOOKUP(A75,'Charriage - Geschiebehaushalt'!$A$4:$AC$275,28,FALSE)="","",VLOOKUP(A75,'Charriage - Geschiebehaushalt'!$A$4:$AC$275,28,FALSE))</f>
        <v>51-80%</v>
      </c>
      <c r="AL75" s="1285" t="str">
        <f>IF(VLOOKUP(A75,'Charriage - Geschiebehaushalt'!$A$4:$AD$275,30,FALSE)="","",VLOOKUP(A75,'Charriage - Geschiebehaushalt'!$A$4:$AD$275,30,FALSE))</f>
        <v>b</v>
      </c>
      <c r="AM75" s="1279" t="str">
        <f>IF(VLOOKUP(A75,'Débit - Abfluss'!$A$4:$K$275,5,FALSE)="","",VLOOKUP(A75,'Débit - Abfluss'!$A$4:$M$275,5,FALSE))</f>
        <v>81-100%</v>
      </c>
      <c r="AN75" s="868" t="str">
        <f>IF(VLOOKUP(A75,'Débit - Abfluss'!$A$4:$K$275,6,FALSE)="","",VLOOKUP(A75,'Débit - Abfluss'!$A$4:$M$275,6,FALSE))</f>
        <v/>
      </c>
      <c r="AO75" s="869" t="str">
        <f>IF(VLOOKUP(A75,'Débit - Abfluss'!$A$4:$K$275,7,FALSE)="","",VLOOKUP(A75,'Débit - Abfluss'!$A$4:$M$275,7,FALSE))</f>
        <v/>
      </c>
      <c r="AP75" s="766" t="str">
        <f>IF(VLOOKUP(A75,'Débit - Abfluss'!$A$4:$K$275,8,FALSE)="","",VLOOKUP(A75,'Débit - Abfluss'!$A$4:$M$275,8,FALSE))</f>
        <v>81-100%</v>
      </c>
      <c r="AQ75" s="678" t="str">
        <f>IF(VLOOKUP(A75,'Débit - Abfluss'!$A$4:$K$275,9,FALSE)="","",VLOOKUP(A75,'Débit - Abfluss'!$A$4:$M$275,9,FALSE))</f>
        <v>10-50%</v>
      </c>
      <c r="AR75" s="770" t="str">
        <f>IF(VLOOKUP(A75,'Débit - Abfluss'!$A$4:$K$275,10,FALSE)="","",VLOOKUP(A75,'Débit - Abfluss'!$A$4:$M$275,10,FALSE))</f>
        <v>81-100%</v>
      </c>
      <c r="AS75" s="773" t="str">
        <f>IF(VLOOKUP(A75,'Débit - Abfluss'!$A$4:$K$275,11,FALSE)="","",VLOOKUP(A75,'Débit - Abfluss'!$A$4:$M$275,11,FALSE))</f>
        <v>X</v>
      </c>
      <c r="AT75" s="744" t="str">
        <f>IF(VLOOKUP(A75,'Débit - Abfluss'!$A$4:$Q$275,12,FALSE)="","",VLOOKUP(A75,'Débit - Abfluss'!$A$4:$Q$275,12,FALSE))</f>
        <v/>
      </c>
      <c r="AU75" s="745" t="str">
        <f>IF(VLOOKUP(A75,'Débit - Abfluss'!$A$4:$Q$275,13,FALSE)="","",VLOOKUP(A75,'Débit - Abfluss'!$A$4:$Q$275,13,FALSE))</f>
        <v/>
      </c>
      <c r="AV75" s="746" t="str">
        <f>IF(VLOOKUP(A75,'Débit - Abfluss'!$A$4:$Q$275,14,FALSE)="","",VLOOKUP(A75,'Débit - Abfluss'!$A$4:$Q$275,14,FALSE))</f>
        <v>ZG-W 4</v>
      </c>
      <c r="AW75" s="768" t="str">
        <f>IF(VLOOKUP(A75,'Débit - Abfluss'!$A$4:$Q$275,15,FALSE)="","",VLOOKUP(A75,'Débit - Abfluss'!$A$4:$Q$275,15,FALSE))</f>
        <v>Frauental</v>
      </c>
      <c r="AX75" s="679" t="str">
        <f>IF(VLOOKUP(A75,'Débit - Abfluss'!$A$4:$Q$275,16,FALSE)="","",VLOOKUP(A75,'Débit - Abfluss'!$A$4:$Q$275,16,FALSE))</f>
        <v>Für die Wasserspeisung der Auenlebensräume (Auenwald, Flachmoor) ist die Wassermenge in der Restwasserstrecke (Lorzenlauf) nicht ausschlaggebend. Viel wichtiger für die Wasserspeisung der Auenlebensräume ist die Wasserdotierung über Ausleitungen aus dem Oberwasserkanal des Kraftwerkes.</v>
      </c>
      <c r="AY75" s="786" t="str">
        <f>IF(VLOOKUP(A75,'Débit - Abfluss'!$A$4:$Q$275,17,FALSE)="","",VLOOKUP(A75,'Débit - Abfluss'!$A$4:$Q$275,17,FALSE))</f>
        <v>81-100%</v>
      </c>
      <c r="AZ75" s="749" t="str">
        <f>IF(VLOOKUP(A75,'Eclusée - Schwall-Sunk'!$A$2:$F$273,5,FALSE)="","",VLOOKUP(A75,'Eclusée - Schwall-Sunk'!$A$2:$F$273,5,FALSE))</f>
        <v>force hydraulique</v>
      </c>
      <c r="BA75" s="750" t="str">
        <f>IF(VLOOKUP(A75,'Eclusée - Schwall-Sunk'!$A$2:$F$273,6,FALSE)="","",VLOOKUP(A75,'Eclusée - Schwall-Sunk'!$A$2:$F$273,6,FALSE))</f>
        <v>Potentiellement affecté mais non plausible / möglicherweise betroffen aber nicht nachweisbar</v>
      </c>
      <c r="BB75" s="751">
        <f>IF(VLOOKUP(A75,'Revitalisation-Revitalisierung'!$A$4:$Z$275,5,FALSE)="","",VLOOKUP(A75,'Revitalisation-Revitalisierung'!$A$4:$Z$275,5,FALSE))</f>
        <v>-10</v>
      </c>
      <c r="BC75" s="752">
        <f>IF(VLOOKUP(A75,'Revitalisation-Revitalisierung'!$A$4:$Z$275,6,FALSE)="","",VLOOKUP(A75,'Revitalisation-Revitalisierung'!$A$4:$Z$275,6,FALSE))</f>
        <v>0</v>
      </c>
      <c r="BD75" s="752">
        <f>IF(VLOOKUP(A75,'Revitalisation-Revitalisierung'!$A$4:$Z$275,7,FALSE)="","",VLOOKUP(A75,'Revitalisation-Revitalisierung'!$A$4:$Z$275,7,FALSE))</f>
        <v>10</v>
      </c>
      <c r="BE75" s="753" t="str">
        <f>IF(VLOOKUP(A75,'Revitalisation-Revitalisierung'!$A$4:$Z$275,8,FALSE)="","",VLOOKUP(A75,'Revitalisation-Revitalisierung'!$A$4:$Z$275,8,FALSE))</f>
        <v>non nécessaire</v>
      </c>
      <c r="BF75" s="754" t="str">
        <f>IF(VLOOKUP(A75,'Revitalisation-Revitalisierung'!$A$4:$Z$275,9,FALSE)="","",VLOOKUP(A75,'Revitalisation-Revitalisierung'!$A$4:$Z$275,9,FALSE))</f>
        <v>leicht</v>
      </c>
      <c r="BG75" s="754" t="str">
        <f>IF(VLOOKUP(A75,'Revitalisation-Revitalisierung'!$A$4:$Z$275,10,FALSE)="","",VLOOKUP(A75,'Revitalisation-Revitalisierung'!$A$4:$Z$275,10,FALSE))</f>
        <v>K3</v>
      </c>
      <c r="BH75" s="755" t="str">
        <f>IF(VLOOKUP(A75,'Revitalisation-Revitalisierung'!$A$4:$Z$275,11,FALSE)="","",VLOOKUP(A75,'Revitalisation-Revitalisierung'!$A$4:$Z$275,11,FALSE))</f>
        <v/>
      </c>
      <c r="BI75" s="756" t="str">
        <f>IF(VLOOKUP(A75,'Revitalisation-Revitalisierung'!$A$4:$Z$275,12,FALSE)="","",VLOOKUP(A75,'Revitalisation-Revitalisierung'!$A$4:$Z$275,12,FALSE))</f>
        <v/>
      </c>
      <c r="BJ75" s="757" t="str">
        <f>IF(VLOOKUP(A75,'Revitalisation-Revitalisierung'!$A$4:$Z$275,13,FALSE)="","",VLOOKUP(A75,'Revitalisation-Revitalisierung'!$A$4:$Z$275,13,FALSE))</f>
        <v>Non nécessaire / nicht nötig</v>
      </c>
      <c r="BK75" s="870" t="str">
        <f>IF(VLOOKUP(A75,'Revitalisation-Revitalisierung'!$A$4:$Z$275,14,FALSE)="","",VLOOKUP(A75,'Revitalisation-Revitalisierung'!$A$4:$Z$275,14,FALSE))</f>
        <v>a</v>
      </c>
      <c r="BL75" s="758" t="str">
        <f>IF(VLOOKUP(A75,'Revitalisation-Revitalisierung'!$A$4:$Z$275,15,FALSE)="","",VLOOKUP(A75,'Revitalisation-Revitalisierung'!$A$4:$Z$275,15,FALSE))</f>
        <v>keine Angaben</v>
      </c>
      <c r="BM75" s="759" t="str">
        <f>IF(VLOOKUP(A75,'Revitalisation-Revitalisierung'!$A$4:$Z$275,16,FALSE)="","",VLOOKUP(A75,'Revitalisation-Revitalisierung'!$A$4:$Z$275,16,FALSE))</f>
        <v>keine Angaben</v>
      </c>
      <c r="BN75" s="759" t="str">
        <f>IF(VLOOKUP(A75,'Revitalisation-Revitalisierung'!$A$4:$Z$275,17,FALSE)="","",VLOOKUP(A75,'Revitalisation-Revitalisierung'!$A$4:$Z$275,17,FALSE))</f>
        <v>-</v>
      </c>
      <c r="BO75" s="760" t="str">
        <f>IF(VLOOKUP(A75,'Revitalisation-Revitalisierung'!$A$4:$Z$275,18,FALSE)="","",VLOOKUP(A75,'Revitalisation-Revitalisierung'!$A$4:$Z$275,18,FALSE))</f>
        <v/>
      </c>
      <c r="BP75" s="761" t="str">
        <f>IF(VLOOKUP(A75,'Revitalisation-Revitalisierung'!$A$4:$Z$275,19,FALSE)="","",VLOOKUP(A75,'Revitalisation-Revitalisierung'!$A$4:$Z$275,19,FALSE))</f>
        <v>Non nécessaire / nicht nötig</v>
      </c>
      <c r="BQ75" s="759" t="str">
        <f>IF(VLOOKUP(A75,'Revitalisation-Revitalisierung'!$A$4:$Z$275,20,FALSE)="","",VLOOKUP(A75,'Revitalisation-Revitalisierung'!$A$4:$Z$275,20,FALSE))</f>
        <v>a</v>
      </c>
      <c r="BR75" s="759" t="str">
        <f>IF(VLOOKUP(A75,'Revitalisation-Revitalisierung'!$A$4:$Z$275,21,FALSE)="","",VLOOKUP(A75,'Revitalisation-Revitalisierung'!$A$4:$Z$275,21,FALSE))</f>
        <v/>
      </c>
      <c r="BS75" s="762" t="str">
        <f>IF(VLOOKUP(A75,'Revitalisation-Revitalisierung'!$A$4:$Z$275,22,FALSE)="","",VLOOKUP(A75,'Revitalisation-Revitalisierung'!$A$4:$Z$275,22,FALSE))</f>
        <v/>
      </c>
      <c r="BT75" s="703" t="str">
        <f>IF(VLOOKUP(A75,'Revitalisation-Revitalisierung'!$A$4:$Z$275,23,FALSE)="","",VLOOKUP(A75,'Revitalisation-Revitalisierung'!$A$4:$Z$275,23,FALSE))</f>
        <v/>
      </c>
      <c r="BU75" s="699" t="str">
        <f>IF(VLOOKUP(A75,'Revitalisation-Revitalisierung'!$A$4:$Z$275,24,FALSE)="","",VLOOKUP(A75,'Revitalisation-Revitalisierung'!$A$4:$Z$275,24,FALSE))</f>
        <v>Aufwertungsprojekt ausgeführt 2003/2004</v>
      </c>
      <c r="BV75" s="757" t="str">
        <f>IF(VLOOKUP(A75,'Revitalisation-Revitalisierung'!$A$4:$Z$275,25,FALSE)="","",VLOOKUP(A75,'Revitalisation-Revitalisierung'!$A$4:$Z$275,25,FALSE))</f>
        <v>Non nécessaire / nicht nötig</v>
      </c>
      <c r="BW75" s="871" t="str">
        <f>IF(VLOOKUP(A75,'Revitalisation-Revitalisierung'!$A$4:$AA$275,27,FALSE)="","",VLOOKUP(A75,'Revitalisation-Revitalisierung'!$A$4:$AA$275,27,FALSE))</f>
        <v>a</v>
      </c>
    </row>
    <row r="76" spans="1:75" ht="53.45" customHeight="1" x14ac:dyDescent="0.25">
      <c r="A76" s="935">
        <v>98</v>
      </c>
      <c r="B76" s="856">
        <f>IF(VLOOKUP(A76,'Données de base - Grunddaten'!$A$2:$M$297,2,FALSE)="","",VLOOKUP(A76,'Données de base - Grunddaten'!$A$2:$M$297,2,FALSE))</f>
        <v>1</v>
      </c>
      <c r="C76" s="857" t="str">
        <f>IF(VLOOKUP(A76,'Données de base - Grunddaten'!$A$2:$M$297,3,FALSE)="","",VLOOKUP(A76,'Données de base - Grunddaten'!$A$2:$M$297,3,FALSE))</f>
        <v>Ämmenmatt</v>
      </c>
      <c r="D76" s="857" t="str">
        <f>IF(VLOOKUP(A76,'Données de base - Grunddaten'!$A$2:$M$297,4,FALSE)="","",VLOOKUP(A76,'Données de base - Grunddaten'!$A$2:$M$297,4,FALSE))</f>
        <v>Kleine Emme</v>
      </c>
      <c r="E76" s="857" t="str">
        <f>IF(VLOOKUP(A76,'Données de base - Grunddaten'!$A$2:$M$297,5,FALSE)="","",VLOOKUP(A76,'Données de base - Grunddaten'!$A$2:$M$297,5,FALSE))</f>
        <v>LU</v>
      </c>
      <c r="F76" s="857" t="str">
        <f>IF(VLOOKUP(A76,'Données de base - Grunddaten'!$A$2:$M$297,6,FALSE)="","",VLOOKUP(A76,'Données de base - Grunddaten'!$A$2:$M$297,6,FALSE))</f>
        <v>Préalpes, Alpes septentrionales</v>
      </c>
      <c r="G76" s="857" t="str">
        <f>IF(VLOOKUP(A76,'Données de base - Grunddaten'!$A$2:$M$297,7,FALSE)="","",VLOOKUP(A76,'Données de base - Grunddaten'!$A$2:$M$297,7,FALSE))</f>
        <v>Montagnard inf.</v>
      </c>
      <c r="H76" s="857">
        <f>IF(VLOOKUP(A76,'Données de base - Grunddaten'!$A$2:$M$297,8,FALSE)="","",VLOOKUP(A76,'Données de base - Grunddaten'!$A$2:$M$297,8,FALSE))</f>
        <v>650</v>
      </c>
      <c r="I76" s="857">
        <f>IF(VLOOKUP(A76,'Données de base - Grunddaten'!$A$2:$M$297,9,FALSE)="","",VLOOKUP(A76,'Données de base - Grunddaten'!$A$2:$M$297,9,FALSE))</f>
        <v>1992</v>
      </c>
      <c r="J76" s="857">
        <f>IF(VLOOKUP(A76,'Données de base - Grunddaten'!$A$2:$M$297,10,FALSE)="","",VLOOKUP(A76,'Données de base - Grunddaten'!$A$2:$M$297,10,FALSE))</f>
        <v>41</v>
      </c>
      <c r="K76" s="857" t="str">
        <f>IF(VLOOKUP(A76,'Données de base - Grunddaten'!$A$2:$M$297,11,FALSE)="","",VLOOKUP(A76,'Données de base - Grunddaten'!$A$2:$M$297,11,FALSE))</f>
        <v>Cours d'eau naturels de l'étage montagnard</v>
      </c>
      <c r="L76" s="857" t="str">
        <f>IF(VLOOKUP(A76,'Données de base - Grunddaten'!$A$2:$M$297,12,FALSE)="","",VLOOKUP(A76,'Données de base - Grunddaten'!$A$2:$M$297,12,FALSE))</f>
        <v>en tresses</v>
      </c>
      <c r="M76" s="858" t="str">
        <f>IF(VLOOKUP(A76,'Données de base - Grunddaten'!$A$2:$M$297,13,FALSE)="","",VLOOKUP(A76,'Données de base - Grunddaten'!$A$2:$M$297,13,FALSE))</f>
        <v>en méandres migrants</v>
      </c>
      <c r="N76" s="872" t="str">
        <f>IF(VLOOKUP(A76,'Charriage - Geschiebehaushalt'!$A$4:$R$275,5,FALSE)="","",VLOOKUP(A76,'Charriage - Geschiebehaushalt'!$A$4:$R$275,5,FALSE))</f>
        <v>pertinent</v>
      </c>
      <c r="O76" s="873" t="str">
        <f>IF(VLOOKUP(A76,'Charriage - Geschiebehaushalt'!$A$4:$R$275,6,FALSE)="","",VLOOKUP(A76,'Charriage - Geschiebehaushalt'!$A$4:$R$275,6,FALSE))</f>
        <v>0-20%</v>
      </c>
      <c r="P76" s="874" t="str">
        <f>IF(VLOOKUP(A76,'Charriage - Geschiebehaushalt'!$A$4:$R$275,7,FALSE)="","",VLOOKUP(A76,'Charriage - Geschiebehaushalt'!$A$4:$R$275,7,FALSE))</f>
        <v/>
      </c>
      <c r="Q76" s="874" t="str">
        <f>IF(VLOOKUP(A76,'Charriage - Geschiebehaushalt'!$A$4:$R$275,8,FALSE)="","",VLOOKUP(A76,'Charriage - Geschiebehaushalt'!$A$4:$R$275,8,FALSE))</f>
        <v>non documenté</v>
      </c>
      <c r="R76" s="875">
        <f>IF(VLOOKUP(A76,'Charriage - Geschiebehaushalt'!$A$4:$R$275,9,FALSE)="","",VLOOKUP(A76,'Charriage - Geschiebehaushalt'!$A$4:$R$275,9,FALSE))</f>
        <v>0.20326588450236399</v>
      </c>
      <c r="S76" s="876" t="str">
        <f>IF(VLOOKUP(A76,'Charriage - Geschiebehaushalt'!$A$4:$R$275,10,FALSE)="","",VLOOKUP(A76,'Charriage - Geschiebehaushalt'!$A$4:$R$275,10,FALSE))</f>
        <v>pas ou faiblement entravé</v>
      </c>
      <c r="T76" s="875">
        <f>IF(VLOOKUP(A76,'Charriage - Geschiebehaushalt'!$A$4:$R$275,11,FALSE)="","",VLOOKUP(A76,'Charriage - Geschiebehaushalt'!$A$4:$R$275,11,FALSE))</f>
        <v>8.8019619814E-2</v>
      </c>
      <c r="U76" s="876" t="str">
        <f>IF(VLOOKUP(A76,'Charriage - Geschiebehaushalt'!$A$4:$R$275,12,FALSE)="","",VLOOKUP(A76,'Charriage - Geschiebehaushalt'!$A$4:$R$275,12,FALSE))</f>
        <v>déficit dans les formations pionnières</v>
      </c>
      <c r="V76" s="877" t="str">
        <f>IF(VLOOKUP(A76,'Charriage - Geschiebehaushalt'!$A$4:$R$275,13,FALSE)="","",VLOOKUP(A76,'Charriage - Geschiebehaushalt'!$A$4:$R$275,13,FALSE))</f>
        <v/>
      </c>
      <c r="W76" s="877" t="str">
        <f>IF(VLOOKUP(A76,'Charriage - Geschiebehaushalt'!$A$4:$R$275,14,FALSE)="","",VLOOKUP(A76,'Charriage - Geschiebehaushalt'!$A$4:$R$275,14,FALSE))</f>
        <v/>
      </c>
      <c r="X76" s="877" t="str">
        <f>IF(VLOOKUP(A76,'Charriage - Geschiebehaushalt'!$A$4:$R$275,15,FALSE)="","",VLOOKUP(A76,'Charriage - Geschiebehaushalt'!$A$4:$R$275,15,FALSE))</f>
        <v/>
      </c>
      <c r="Y76" s="879" t="str">
        <f>IF(VLOOKUP(A76,'Charriage - Geschiebehaushalt'!$A$4:$R$275,16,FALSE)="","",VLOOKUP(A76,'Charriage - Geschiebehaushalt'!$A$4:$R$275,16,FALSE))</f>
        <v/>
      </c>
      <c r="Z76" s="763" t="str">
        <f>IF(VLOOKUP(A76,'Charriage - Geschiebehaushalt'!$A$4:$R$275,17,FALSE)="","",VLOOKUP(A76,'Charriage - Geschiebehaushalt'!$A$4:$R$275,17,FALSE))</f>
        <v>0-20%</v>
      </c>
      <c r="AA76" s="880" t="str">
        <f>IF(VLOOKUP(A76,'Charriage - Geschiebehaushalt'!$A$4:$R$275,18,FALSE)="","",VLOOKUP(A76,'Charriage - Geschiebehaushalt'!$A$4:$R$275,18,FALSE))</f>
        <v>a</v>
      </c>
      <c r="AB76" s="737" t="str">
        <f>IF(VLOOKUP(A76,'Charriage - Geschiebehaushalt'!$A$4:$AC$275,19,FALSE)="","",VLOOKUP(A76,'Charriage - Geschiebehaushalt'!$A$4:$AC$275,19,FALSE))</f>
        <v>mittel (wesentlich)</v>
      </c>
      <c r="AC76" s="738" t="str">
        <f>IF(VLOOKUP(A76,'Charriage - Geschiebehaushalt'!$A$4:$AC$275,20,FALSE)="","",VLOOKUP(A76,'Charriage - Geschiebehaushalt'!$A$4:$AC$275,20,FALSE))</f>
        <v>Ja</v>
      </c>
      <c r="AD76" s="764" t="str">
        <f>IF(VLOOKUP(A76,'Charriage - Geschiebehaushalt'!$A$4:$AC$275,21,FALSE)="","",VLOOKUP(A76,'Charriage - Geschiebehaushalt'!$A$4:$AC$275,21,FALSE))</f>
        <v>21-50%</v>
      </c>
      <c r="AE76" s="772" t="str">
        <f>IF(VLOOKUP(A76,'Charriage - Geschiebehaushalt'!$A$4:$AC$275,22,FALSE)="","",VLOOKUP(A76,'Charriage - Geschiebehaushalt'!$A$4:$AC$275,22,FALSE))</f>
        <v>21-50%</v>
      </c>
      <c r="AF76" s="787" t="str">
        <f>IF(VLOOKUP(A76,'Charriage - Geschiebehaushalt'!$A$4:$AC$275,23,FALSE)="","",VLOOKUP(A76,'Charriage - Geschiebehaushalt'!$A$4:$AC$275,23,FALSE))</f>
        <v>c</v>
      </c>
      <c r="AG76" s="765" t="str">
        <f>IF(VLOOKUP(A76,'Charriage - Geschiebehaushalt'!$A$4:$AC$275,24,FALSE)="","",VLOOKUP(A76,'Charriage - Geschiebehaushalt'!$A$4:$AC$275,24,FALSE))</f>
        <v/>
      </c>
      <c r="AH76" s="764" t="str">
        <f>IF(VLOOKUP(A76,'Charriage - Geschiebehaushalt'!$A$4:$AC$275,25,FALSE)="","",VLOOKUP(A76,'Charriage - Geschiebehaushalt'!$A$4:$AC$275,25,FALSE))</f>
        <v/>
      </c>
      <c r="AI76" s="771" t="str">
        <f>IF(VLOOKUP(A76,'Charriage - Geschiebehaushalt'!$A$4:$AC$275,26,FALSE)="","",VLOOKUP(A76,'Charriage - Geschiebehaushalt'!$A$4:$AC$275,26,FALSE))</f>
        <v>21-50%</v>
      </c>
      <c r="AJ76" s="434" t="str">
        <f>IF(VLOOKUP(A76,'Charriage - Geschiebehaushalt'!$A$4:$AC$275,27,FALSE)="","",VLOOKUP(A76,'Charriage - Geschiebehaushalt'!$A$4:$AC$275,27,FALSE))</f>
        <v/>
      </c>
      <c r="AK76" s="814" t="str">
        <f>IF(VLOOKUP(A76,'Charriage - Geschiebehaushalt'!$A$4:$AC$275,28,FALSE)="","",VLOOKUP(A76,'Charriage - Geschiebehaushalt'!$A$4:$AC$275,28,FALSE))</f>
        <v>21-50%</v>
      </c>
      <c r="AL76" s="1285" t="str">
        <f>IF(VLOOKUP(A76,'Charriage - Geschiebehaushalt'!$A$4:$AD$275,30,FALSE)="","",VLOOKUP(A76,'Charriage - Geschiebehaushalt'!$A$4:$AD$275,30,FALSE))</f>
        <v>a</v>
      </c>
      <c r="AM76" s="1279" t="str">
        <f>IF(VLOOKUP(A76,'Débit - Abfluss'!$A$4:$K$275,5,FALSE)="","",VLOOKUP(A76,'Débit - Abfluss'!$A$4:$M$275,5,FALSE))</f>
        <v>100%</v>
      </c>
      <c r="AN76" s="868" t="str">
        <f>IF(VLOOKUP(A76,'Débit - Abfluss'!$A$4:$K$275,6,FALSE)="","",VLOOKUP(A76,'Débit - Abfluss'!$A$4:$M$275,6,FALSE))</f>
        <v>aucune information supplémentaire</v>
      </c>
      <c r="AO76" s="869" t="str">
        <f>IF(VLOOKUP(A76,'Débit - Abfluss'!$A$4:$K$275,7,FALSE)="","",VLOOKUP(A76,'Débit - Abfluss'!$A$4:$M$275,7,FALSE))</f>
        <v>aucune information supplémentaire</v>
      </c>
      <c r="AP76" s="766" t="str">
        <f>IF(VLOOKUP(A76,'Débit - Abfluss'!$A$4:$K$275,8,FALSE)="","",VLOOKUP(A76,'Débit - Abfluss'!$A$4:$M$275,8,FALSE))</f>
        <v>100%</v>
      </c>
      <c r="AQ76" s="742" t="str">
        <f>IF(VLOOKUP(A76,'Débit - Abfluss'!$A$4:$K$275,9,FALSE)="","",VLOOKUP(A76,'Débit - Abfluss'!$A$4:$M$275,9,FALSE))</f>
        <v>-</v>
      </c>
      <c r="AR76" s="767" t="str">
        <f>IF(VLOOKUP(A76,'Débit - Abfluss'!$A$4:$K$275,10,FALSE)="","",VLOOKUP(A76,'Débit - Abfluss'!$A$4:$M$275,10,FALSE))</f>
        <v>100%</v>
      </c>
      <c r="AS76" s="767" t="str">
        <f>IF(VLOOKUP(A76,'Débit - Abfluss'!$A$4:$K$275,11,FALSE)="","",VLOOKUP(A76,'Débit - Abfluss'!$A$4:$M$275,11,FALSE))</f>
        <v/>
      </c>
      <c r="AT76" s="742" t="str">
        <f>IF(VLOOKUP(A76,'Débit - Abfluss'!$A$4:$Q$275,12,FALSE)="","",VLOOKUP(A76,'Débit - Abfluss'!$A$4:$Q$275,12,FALSE))</f>
        <v>100%</v>
      </c>
      <c r="AU76" s="745" t="str">
        <f>IF(VLOOKUP(A76,'Débit - Abfluss'!$A$4:$Q$275,13,FALSE)="","",VLOOKUP(A76,'Débit - Abfluss'!$A$4:$Q$275,13,FALSE))</f>
        <v/>
      </c>
      <c r="AV76" s="746" t="str">
        <f>IF(VLOOKUP(A76,'Débit - Abfluss'!$A$4:$Q$275,14,FALSE)="","",VLOOKUP(A76,'Débit - Abfluss'!$A$4:$Q$275,14,FALSE))</f>
        <v/>
      </c>
      <c r="AW76" s="768" t="str">
        <f>IF(VLOOKUP(A76,'Débit - Abfluss'!$A$4:$Q$275,15,FALSE)="","",VLOOKUP(A76,'Débit - Abfluss'!$A$4:$Q$275,15,FALSE))</f>
        <v/>
      </c>
      <c r="AX76" s="677" t="str">
        <f>IF(VLOOKUP(A76,'Débit - Abfluss'!$A$4:$Q$275,16,FALSE)="","",VLOOKUP(A76,'Débit - Abfluss'!$A$4:$Q$275,16,FALSE))</f>
        <v/>
      </c>
      <c r="AY76" s="786" t="str">
        <f>IF(VLOOKUP(A76,'Débit - Abfluss'!$A$4:$Q$275,17,FALSE)="","",VLOOKUP(A76,'Débit - Abfluss'!$A$4:$Q$275,17,FALSE))</f>
        <v>100%</v>
      </c>
      <c r="AZ76" s="749" t="str">
        <f>IF(VLOOKUP(A76,'Eclusée - Schwall-Sunk'!$A$2:$F$273,5,FALSE)="","",VLOOKUP(A76,'Eclusée - Schwall-Sunk'!$A$2:$F$273,5,FALSE))</f>
        <v/>
      </c>
      <c r="BA76" s="750" t="str">
        <f>IF(VLOOKUP(A76,'Eclusée - Schwall-Sunk'!$A$2:$F$273,6,FALSE)="","",VLOOKUP(A76,'Eclusée - Schwall-Sunk'!$A$2:$F$273,6,FALSE))</f>
        <v>Non affecté / nicht betroffen</v>
      </c>
      <c r="BB76" s="751">
        <f>IF(VLOOKUP(A76,'Revitalisation-Revitalisierung'!$A$4:$Z$275,5,FALSE)="","",VLOOKUP(A76,'Revitalisation-Revitalisierung'!$A$4:$Z$275,5,FALSE))</f>
        <v>15.327272727272728</v>
      </c>
      <c r="BC76" s="752">
        <f>IF(VLOOKUP(A76,'Revitalisation-Revitalisierung'!$A$4:$Z$275,6,FALSE)="","",VLOOKUP(A76,'Revitalisation-Revitalisierung'!$A$4:$Z$275,6,FALSE))</f>
        <v>27.582262022236563</v>
      </c>
      <c r="BD76" s="752">
        <f>IF(VLOOKUP(A76,'Revitalisation-Revitalisierung'!$A$4:$Z$275,7,FALSE)="","",VLOOKUP(A76,'Revitalisation-Revitalisierung'!$A$4:$Z$275,7,FALSE))</f>
        <v>12.272727272727273</v>
      </c>
      <c r="BE76" s="753" t="str">
        <f>IF(VLOOKUP(A76,'Revitalisation-Revitalisierung'!$A$4:$Z$275,8,FALSE)="","",VLOOKUP(A76,'Revitalisation-Revitalisierung'!$A$4:$Z$275,8,FALSE))</f>
        <v>peu nécessaire, facile</v>
      </c>
      <c r="BF76" s="754" t="str">
        <f>IF(VLOOKUP(A76,'Revitalisation-Revitalisierung'!$A$4:$Z$275,9,FALSE)="","",VLOOKUP(A76,'Revitalisation-Revitalisierung'!$A$4:$Z$275,9,FALSE))</f>
        <v>unmöglich</v>
      </c>
      <c r="BG76" s="754" t="str">
        <f>IF(VLOOKUP(A76,'Revitalisation-Revitalisierung'!$A$4:$Z$275,10,FALSE)="","",VLOOKUP(A76,'Revitalisation-Revitalisierung'!$A$4:$Z$275,10,FALSE))</f>
        <v>K3</v>
      </c>
      <c r="BH76" s="755" t="str">
        <f>IF(VLOOKUP(A76,'Revitalisation-Revitalisierung'!$A$4:$Z$275,11,FALSE)="","",VLOOKUP(A76,'Revitalisation-Revitalisierung'!$A$4:$Z$275,11,FALSE))</f>
        <v/>
      </c>
      <c r="BI76" s="756" t="str">
        <f>IF(VLOOKUP(A76,'Revitalisation-Revitalisierung'!$A$4:$Z$275,12,FALSE)="","",VLOOKUP(A76,'Revitalisation-Revitalisierung'!$A$4:$Z$275,12,FALSE))</f>
        <v/>
      </c>
      <c r="BJ76" s="757" t="str">
        <f>IF(VLOOKUP(A76,'Revitalisation-Revitalisierung'!$A$4:$Z$275,13,FALSE)="","",VLOOKUP(A76,'Revitalisation-Revitalisierung'!$A$4:$Z$275,13,FALSE))</f>
        <v>Partiellement nécessaire, facile / teilweise nötig, einfach</v>
      </c>
      <c r="BK76" s="870" t="str">
        <f>IF(VLOOKUP(A76,'Revitalisation-Revitalisierung'!$A$4:$Z$275,14,FALSE)="","",VLOOKUP(A76,'Revitalisation-Revitalisierung'!$A$4:$Z$275,14,FALSE))</f>
        <v>a</v>
      </c>
      <c r="BL76" s="758" t="str">
        <f>IF(VLOOKUP(A76,'Revitalisation-Revitalisierung'!$A$4:$Z$275,15,FALSE)="","",VLOOKUP(A76,'Revitalisation-Revitalisierung'!$A$4:$Z$275,15,FALSE))</f>
        <v>gross</v>
      </c>
      <c r="BM76" s="759" t="str">
        <f>IF(VLOOKUP(A76,'Revitalisation-Revitalisierung'!$A$4:$Z$275,16,FALSE)="","",VLOOKUP(A76,'Revitalisation-Revitalisierung'!$A$4:$Z$275,16,FALSE))</f>
        <v>mittel/gering</v>
      </c>
      <c r="BN76" s="759" t="str">
        <f>IF(VLOOKUP(A76,'Revitalisation-Revitalisierung'!$A$4:$Z$275,17,FALSE)="","",VLOOKUP(A76,'Revitalisation-Revitalisierung'!$A$4:$Z$275,17,FALSE))</f>
        <v>keine</v>
      </c>
      <c r="BO76" s="760" t="str">
        <f>IF(VLOOKUP(A76,'Revitalisation-Revitalisierung'!$A$4:$Z$275,18,FALSE)="","",VLOOKUP(A76,'Revitalisation-Revitalisierung'!$A$4:$Z$275,18,FALSE))</f>
        <v>Partiellement nécessaire, facile / teilweise nötig, einfach</v>
      </c>
      <c r="BP76" s="761" t="str">
        <f>IF(VLOOKUP(A76,'Revitalisation-Revitalisierung'!$A$4:$Z$275,19,FALSE)="","",VLOOKUP(A76,'Revitalisation-Revitalisierung'!$A$4:$Z$275,19,FALSE))</f>
        <v>Partiellement nécessaire, facile / teilweise nötig, einfach</v>
      </c>
      <c r="BQ76" s="759" t="str">
        <f>IF(VLOOKUP(A76,'Revitalisation-Revitalisierung'!$A$4:$Z$275,20,FALSE)="","",VLOOKUP(A76,'Revitalisation-Revitalisierung'!$A$4:$Z$275,20,FALSE))</f>
        <v>d</v>
      </c>
      <c r="BR76" s="759" t="str">
        <f>IF(VLOOKUP(A76,'Revitalisation-Revitalisierung'!$A$4:$Z$275,21,FALSE)="","",VLOOKUP(A76,'Revitalisation-Revitalisierung'!$A$4:$Z$275,21,FALSE))</f>
        <v/>
      </c>
      <c r="BS76" s="762" t="str">
        <f>IF(VLOOKUP(A76,'Revitalisation-Revitalisierung'!$A$4:$Z$275,22,FALSE)="","",VLOOKUP(A76,'Revitalisation-Revitalisierung'!$A$4:$Z$275,22,FALSE))</f>
        <v/>
      </c>
      <c r="BT76" s="703" t="str">
        <f>IF(VLOOKUP(A76,'Revitalisation-Revitalisierung'!$A$4:$Z$275,23,FALSE)="","",VLOOKUP(A76,'Revitalisation-Revitalisierung'!$A$4:$Z$275,23,FALSE))</f>
        <v>Partiellement nécessaire, facile / teilweise nötig, einfach</v>
      </c>
      <c r="BU76" s="704" t="str">
        <f>IF(VLOOKUP(A76,'Revitalisation-Revitalisierung'!$A$4:$Z$275,24,FALSE)="","",VLOOKUP(A76,'Revitalisation-Revitalisierung'!$A$4:$Z$275,24,FALSE))</f>
        <v/>
      </c>
      <c r="BV76" s="761" t="str">
        <f>IF(VLOOKUP(A76,'Revitalisation-Revitalisierung'!$A$4:$Z$275,25,FALSE)="","",VLOOKUP(A76,'Revitalisation-Revitalisierung'!$A$4:$Z$275,25,FALSE))</f>
        <v>Partiellement nécessaire, facile / teilweise nötig, einfach</v>
      </c>
      <c r="BW76" s="871" t="str">
        <f>IF(VLOOKUP(A76,'Revitalisation-Revitalisierung'!$A$4:$AA$275,27,FALSE)="","",VLOOKUP(A76,'Revitalisation-Revitalisierung'!$A$4:$AA$275,27,FALSE))</f>
        <v>a</v>
      </c>
    </row>
    <row r="77" spans="1:75" ht="82.15" customHeight="1" x14ac:dyDescent="0.25">
      <c r="A77" s="935">
        <v>99</v>
      </c>
      <c r="B77" s="856">
        <f>IF(VLOOKUP(A77,'Données de base - Grunddaten'!$A$2:$M$297,2,FALSE)="","",VLOOKUP(A77,'Données de base - Grunddaten'!$A$2:$M$297,2,FALSE))</f>
        <v>1</v>
      </c>
      <c r="C77" s="857" t="str">
        <f>IF(VLOOKUP(A77,'Données de base - Grunddaten'!$A$2:$M$297,3,FALSE)="","",VLOOKUP(A77,'Données de base - Grunddaten'!$A$2:$M$297,3,FALSE))</f>
        <v>Schlierenrüti</v>
      </c>
      <c r="D77" s="857" t="str">
        <f>IF(VLOOKUP(A77,'Données de base - Grunddaten'!$A$2:$M$297,4,FALSE)="","",VLOOKUP(A77,'Données de base - Grunddaten'!$A$2:$M$297,4,FALSE))</f>
        <v>Grosse Schliere</v>
      </c>
      <c r="E77" s="857" t="str">
        <f>IF(VLOOKUP(A77,'Données de base - Grunddaten'!$A$2:$M$297,5,FALSE)="","",VLOOKUP(A77,'Données de base - Grunddaten'!$A$2:$M$297,5,FALSE))</f>
        <v>OW</v>
      </c>
      <c r="F77" s="857" t="str">
        <f>IF(VLOOKUP(A77,'Données de base - Grunddaten'!$A$2:$M$297,6,FALSE)="","",VLOOKUP(A77,'Données de base - Grunddaten'!$A$2:$M$297,6,FALSE))</f>
        <v>Alpes septentrionales</v>
      </c>
      <c r="G77" s="857" t="str">
        <f>IF(VLOOKUP(A77,'Données de base - Grunddaten'!$A$2:$M$297,7,FALSE)="","",VLOOKUP(A77,'Données de base - Grunddaten'!$A$2:$M$297,7,FALSE))</f>
        <v>Collinéen</v>
      </c>
      <c r="H77" s="857">
        <f>IF(VLOOKUP(A77,'Données de base - Grunddaten'!$A$2:$M$297,8,FALSE)="","",VLOOKUP(A77,'Données de base - Grunddaten'!$A$2:$M$297,8,FALSE))</f>
        <v>445</v>
      </c>
      <c r="I77" s="857">
        <f>IF(VLOOKUP(A77,'Données de base - Grunddaten'!$A$2:$M$297,9,FALSE)="","",VLOOKUP(A77,'Données de base - Grunddaten'!$A$2:$M$297,9,FALSE))</f>
        <v>1992</v>
      </c>
      <c r="J77" s="857">
        <f>IF(VLOOKUP(A77,'Données de base - Grunddaten'!$A$2:$M$297,10,FALSE)="","",VLOOKUP(A77,'Données de base - Grunddaten'!$A$2:$M$297,10,FALSE))</f>
        <v>52</v>
      </c>
      <c r="K77" s="857" t="str">
        <f>IF(VLOOKUP(A77,'Données de base - Grunddaten'!$A$2:$M$297,11,FALSE)="","",VLOOKUP(A77,'Données de base - Grunddaten'!$A$2:$M$297,11,FALSE))</f>
        <v>Cours d'eau corrigés de l'étage collinéen du Moyen-Pays</v>
      </c>
      <c r="L77" s="857" t="str">
        <f>IF(VLOOKUP(A77,'Données de base - Grunddaten'!$A$2:$M$297,12,FALSE)="","",VLOOKUP(A77,'Données de base - Grunddaten'!$A$2:$M$297,12,FALSE))</f>
        <v>en tresses</v>
      </c>
      <c r="M77" s="858" t="str">
        <f>IF(VLOOKUP(A77,'Données de base - Grunddaten'!$A$2:$M$297,13,FALSE)="","",VLOOKUP(A77,'Données de base - Grunddaten'!$A$2:$M$297,13,FALSE))</f>
        <v>en tresses</v>
      </c>
      <c r="N77" s="872" t="str">
        <f>IF(VLOOKUP(A77,'Charriage - Geschiebehaushalt'!$A$4:$R$275,5,FALSE)="","",VLOOKUP(A77,'Charriage - Geschiebehaushalt'!$A$4:$R$275,5,FALSE))</f>
        <v>pertinent</v>
      </c>
      <c r="O77" s="881" t="str">
        <f>IF(VLOOKUP(A77,'Charriage - Geschiebehaushalt'!$A$4:$R$275,6,FALSE)="","",VLOOKUP(A77,'Charriage - Geschiebehaushalt'!$A$4:$R$275,6,FALSE))</f>
        <v>non documenté</v>
      </c>
      <c r="P77" s="874" t="str">
        <f>IF(VLOOKUP(A77,'Charriage - Geschiebehaushalt'!$A$4:$R$275,7,FALSE)="","",VLOOKUP(A77,'Charriage - Geschiebehaushalt'!$A$4:$R$275,7,FALSE))</f>
        <v/>
      </c>
      <c r="Q77" s="874" t="str">
        <f>IF(VLOOKUP(A77,'Charriage - Geschiebehaushalt'!$A$4:$R$275,8,FALSE)="","",VLOOKUP(A77,'Charriage - Geschiebehaushalt'!$A$4:$R$275,8,FALSE))</f>
        <v>non documenté</v>
      </c>
      <c r="R77" s="875">
        <f>IF(VLOOKUP(A77,'Charriage - Geschiebehaushalt'!$A$4:$R$275,9,FALSE)="","",VLOOKUP(A77,'Charriage - Geschiebehaushalt'!$A$4:$R$275,9,FALSE))</f>
        <v>0.268207723401378</v>
      </c>
      <c r="S77" s="895" t="str">
        <f>IF(VLOOKUP(A77,'Charriage - Geschiebehaushalt'!$A$4:$R$275,10,FALSE)="","",VLOOKUP(A77,'Charriage - Geschiebehaushalt'!$A$4:$R$275,10,FALSE))</f>
        <v>la remobilisation des sédiments est perturbée</v>
      </c>
      <c r="T77" s="875">
        <f>IF(VLOOKUP(A77,'Charriage - Geschiebehaushalt'!$A$4:$R$275,11,FALSE)="","",VLOOKUP(A77,'Charriage - Geschiebehaushalt'!$A$4:$R$275,11,FALSE))</f>
        <v>0.30666749182000003</v>
      </c>
      <c r="U77" s="876" t="str">
        <f>IF(VLOOKUP(A77,'Charriage - Geschiebehaushalt'!$A$4:$R$275,12,FALSE)="","",VLOOKUP(A77,'Charriage - Geschiebehaushalt'!$A$4:$R$275,12,FALSE))</f>
        <v>déficit non apparent en charriage ou en remobilisation des sédiments</v>
      </c>
      <c r="V77" s="877" t="str">
        <f>IF(VLOOKUP(A77,'Charriage - Geschiebehaushalt'!$A$4:$R$275,13,FALSE)="","",VLOOKUP(A77,'Charriage - Geschiebehaushalt'!$A$4:$R$275,13,FALSE))</f>
        <v/>
      </c>
      <c r="W77" s="877" t="str">
        <f>IF(VLOOKUP(A77,'Charriage - Geschiebehaushalt'!$A$4:$R$275,14,FALSE)="","",VLOOKUP(A77,'Charriage - Geschiebehaushalt'!$A$4:$R$275,14,FALSE))</f>
        <v/>
      </c>
      <c r="X77" s="877" t="str">
        <f>IF(VLOOKUP(A77,'Charriage - Geschiebehaushalt'!$A$4:$R$275,15,FALSE)="","",VLOOKUP(A77,'Charriage - Geschiebehaushalt'!$A$4:$R$275,15,FALSE))</f>
        <v/>
      </c>
      <c r="Y77" s="879" t="str">
        <f>IF(VLOOKUP(A77,'Charriage - Geschiebehaushalt'!$A$4:$R$275,16,FALSE)="","",VLOOKUP(A77,'Charriage - Geschiebehaushalt'!$A$4:$R$275,16,FALSE))</f>
        <v/>
      </c>
      <c r="Z77" s="763" t="str">
        <f>IF(VLOOKUP(A77,'Charriage - Geschiebehaushalt'!$A$4:$R$275,17,FALSE)="","",VLOOKUP(A77,'Charriage - Geschiebehaushalt'!$A$4:$R$275,17,FALSE))</f>
        <v>La remobilisation des sédiments est perturbée / Mobilisierung von Geschiebe beeinträchtigt</v>
      </c>
      <c r="AA77" s="880" t="str">
        <f>IF(VLOOKUP(A77,'Charriage - Geschiebehaushalt'!$A$4:$R$275,18,FALSE)="","",VLOOKUP(A77,'Charriage - Geschiebehaushalt'!$A$4:$R$275,18,FALSE))</f>
        <v>b</v>
      </c>
      <c r="AB77" s="737" t="str">
        <f>IF(VLOOKUP(A77,'Charriage - Geschiebehaushalt'!$A$4:$AC$275,19,FALSE)="","",VLOOKUP(A77,'Charriage - Geschiebehaushalt'!$A$4:$AC$275,19,FALSE))</f>
        <v>keine</v>
      </c>
      <c r="AC77" s="738">
        <f>IF(VLOOKUP(A77,'Charriage - Geschiebehaushalt'!$A$4:$AC$275,20,FALSE)="","",VLOOKUP(A77,'Charriage - Geschiebehaushalt'!$A$4:$AC$275,20,FALSE))</f>
        <v>0</v>
      </c>
      <c r="AD77" s="764" t="str">
        <f>IF(VLOOKUP(A77,'Charriage - Geschiebehaushalt'!$A$4:$AC$275,21,FALSE)="","",VLOOKUP(A77,'Charriage - Geschiebehaushalt'!$A$4:$AC$275,21,FALSE))</f>
        <v>0-20%</v>
      </c>
      <c r="AE77" s="772" t="str">
        <f>IF(VLOOKUP(A77,'Charriage - Geschiebehaushalt'!$A$4:$AC$275,22,FALSE)="","",VLOOKUP(A77,'Charriage - Geschiebehaushalt'!$A$4:$AC$275,22,FALSE))</f>
        <v>0-20%</v>
      </c>
      <c r="AF77" s="787" t="str">
        <f>IF(VLOOKUP(A77,'Charriage - Geschiebehaushalt'!$A$4:$AC$275,23,FALSE)="","",VLOOKUP(A77,'Charriage - Geschiebehaushalt'!$A$4:$AC$275,23,FALSE))</f>
        <v>c</v>
      </c>
      <c r="AG77" s="765" t="str">
        <f>IF(VLOOKUP(A77,'Charriage - Geschiebehaushalt'!$A$4:$AC$275,24,FALSE)="","",VLOOKUP(A77,'Charriage - Geschiebehaushalt'!$A$4:$AC$275,24,FALSE))</f>
        <v/>
      </c>
      <c r="AH77" s="764" t="str">
        <f>IF(VLOOKUP(A77,'Charriage - Geschiebehaushalt'!$A$4:$AC$275,25,FALSE)="","",VLOOKUP(A77,'Charriage - Geschiebehaushalt'!$A$4:$AC$275,25,FALSE))</f>
        <v/>
      </c>
      <c r="AI77" s="771" t="str">
        <f>IF(VLOOKUP(A77,'Charriage - Geschiebehaushalt'!$A$4:$AC$275,26,FALSE)="","",VLOOKUP(A77,'Charriage - Geschiebehaushalt'!$A$4:$AC$275,26,FALSE))</f>
        <v>0-20%</v>
      </c>
      <c r="AJ77" s="434" t="str">
        <f>IF(VLOOKUP(A77,'Charriage - Geschiebehaushalt'!$A$4:$AC$275,27,FALSE)="","",VLOOKUP(A77,'Charriage - Geschiebehaushalt'!$A$4:$AC$275,27,FALSE))</f>
        <v/>
      </c>
      <c r="AK77" s="814" t="str">
        <f>IF(VLOOKUP(A77,'Charriage - Geschiebehaushalt'!$A$4:$AC$275,28,FALSE)="","",VLOOKUP(A77,'Charriage - Geschiebehaushalt'!$A$4:$AC$275,28,FALSE))</f>
        <v>0-20%</v>
      </c>
      <c r="AL77" s="1285" t="str">
        <f>IF(VLOOKUP(A77,'Charriage - Geschiebehaushalt'!$A$4:$AD$275,30,FALSE)="","",VLOOKUP(A77,'Charriage - Geschiebehaushalt'!$A$4:$AD$275,30,FALSE))</f>
        <v>a</v>
      </c>
      <c r="AM77" s="1279" t="str">
        <f>IF(VLOOKUP(A77,'Débit - Abfluss'!$A$4:$K$275,5,FALSE)="","",VLOOKUP(A77,'Débit - Abfluss'!$A$4:$M$275,5,FALSE))</f>
        <v>100%</v>
      </c>
      <c r="AN77" s="868" t="str">
        <f>IF(VLOOKUP(A77,'Débit - Abfluss'!$A$4:$K$275,6,FALSE)="","",VLOOKUP(A77,'Débit - Abfluss'!$A$4:$M$275,6,FALSE))</f>
        <v>aucune information supplémentaire</v>
      </c>
      <c r="AO77" s="869" t="str">
        <f>IF(VLOOKUP(A77,'Débit - Abfluss'!$A$4:$K$275,7,FALSE)="","",VLOOKUP(A77,'Débit - Abfluss'!$A$4:$M$275,7,FALSE))</f>
        <v>aucune information supplémentaire</v>
      </c>
      <c r="AP77" s="766" t="str">
        <f>IF(VLOOKUP(A77,'Débit - Abfluss'!$A$4:$K$275,8,FALSE)="","",VLOOKUP(A77,'Débit - Abfluss'!$A$4:$M$275,8,FALSE))</f>
        <v>100%</v>
      </c>
      <c r="AQ77" s="742" t="str">
        <f>IF(VLOOKUP(A77,'Débit - Abfluss'!$A$4:$K$275,9,FALSE)="","",VLOOKUP(A77,'Débit - Abfluss'!$A$4:$M$275,9,FALSE))</f>
        <v>-</v>
      </c>
      <c r="AR77" s="767" t="str">
        <f>IF(VLOOKUP(A77,'Débit - Abfluss'!$A$4:$K$275,10,FALSE)="","",VLOOKUP(A77,'Débit - Abfluss'!$A$4:$M$275,10,FALSE))</f>
        <v>100%</v>
      </c>
      <c r="AS77" s="767" t="str">
        <f>IF(VLOOKUP(A77,'Débit - Abfluss'!$A$4:$K$275,11,FALSE)="","",VLOOKUP(A77,'Débit - Abfluss'!$A$4:$M$275,11,FALSE))</f>
        <v/>
      </c>
      <c r="AT77" s="742" t="str">
        <f>IF(VLOOKUP(A77,'Débit - Abfluss'!$A$4:$Q$275,12,FALSE)="","",VLOOKUP(A77,'Débit - Abfluss'!$A$4:$Q$275,12,FALSE))</f>
        <v>81-100%</v>
      </c>
      <c r="AU77" s="745" t="str">
        <f>IF(VLOOKUP(A77,'Débit - Abfluss'!$A$4:$Q$275,13,FALSE)="","",VLOOKUP(A77,'Débit - Abfluss'!$A$4:$Q$275,13,FALSE))</f>
        <v/>
      </c>
      <c r="AV77" s="746" t="str">
        <f>IF(VLOOKUP(A77,'Débit - Abfluss'!$A$4:$Q$275,14,FALSE)="","",VLOOKUP(A77,'Débit - Abfluss'!$A$4:$Q$275,14,FALSE))</f>
        <v/>
      </c>
      <c r="AW77" s="768" t="str">
        <f>IF(VLOOKUP(A77,'Débit - Abfluss'!$A$4:$Q$275,15,FALSE)="","",VLOOKUP(A77,'Débit - Abfluss'!$A$4:$Q$275,15,FALSE))</f>
        <v/>
      </c>
      <c r="AX77" s="677" t="str">
        <f>IF(VLOOKUP(A77,'Débit - Abfluss'!$A$4:$Q$275,16,FALSE)="","",VLOOKUP(A77,'Débit - Abfluss'!$A$4:$Q$275,16,FALSE))</f>
        <v/>
      </c>
      <c r="AY77" s="769" t="str">
        <f>IF(VLOOKUP(A77,'Débit - Abfluss'!$A$4:$Q$275,17,FALSE)="","",VLOOKUP(A77,'Débit - Abfluss'!$A$4:$Q$275,17,FALSE))</f>
        <v>81-100%</v>
      </c>
      <c r="AZ77" s="749" t="str">
        <f>IF(VLOOKUP(A77,'Eclusée - Schwall-Sunk'!$A$2:$F$273,5,FALSE)="","",VLOOKUP(A77,'Eclusée - Schwall-Sunk'!$A$2:$F$273,5,FALSE))</f>
        <v>force hydraulique</v>
      </c>
      <c r="BA77" s="750" t="str">
        <f>IF(VLOOKUP(A77,'Eclusée - Schwall-Sunk'!$A$2:$F$273,6,FALSE)="","",VLOOKUP(A77,'Eclusée - Schwall-Sunk'!$A$2:$F$273,6,FALSE))</f>
        <v>Non affecté / nicht betroffen</v>
      </c>
      <c r="BB77" s="751">
        <f>IF(VLOOKUP(A77,'Revitalisation-Revitalisierung'!$A$4:$Z$275,5,FALSE)="","",VLOOKUP(A77,'Revitalisation-Revitalisierung'!$A$4:$Z$275,5,FALSE))</f>
        <v>20.163636363636364</v>
      </c>
      <c r="BC77" s="752">
        <f>IF(VLOOKUP(A77,'Revitalisation-Revitalisierung'!$A$4:$Z$275,6,FALSE)="","",VLOOKUP(A77,'Revitalisation-Revitalisierung'!$A$4:$Z$275,6,FALSE))</f>
        <v>23.811915841405245</v>
      </c>
      <c r="BD77" s="752">
        <f>IF(VLOOKUP(A77,'Revitalisation-Revitalisierung'!$A$4:$Z$275,7,FALSE)="","",VLOOKUP(A77,'Revitalisation-Revitalisierung'!$A$4:$Z$275,7,FALSE))</f>
        <v>3.6363636363636362</v>
      </c>
      <c r="BE77" s="753" t="str">
        <f>IF(VLOOKUP(A77,'Revitalisation-Revitalisierung'!$A$4:$Z$275,8,FALSE)="","",VLOOKUP(A77,'Revitalisation-Revitalisierung'!$A$4:$Z$275,8,FALSE))</f>
        <v>peu nécessaire, facile</v>
      </c>
      <c r="BF77" s="754" t="str">
        <f>IF(VLOOKUP(A77,'Revitalisation-Revitalisierung'!$A$4:$Z$275,9,FALSE)="","",VLOOKUP(A77,'Revitalisation-Revitalisierung'!$A$4:$Z$275,9,FALSE))</f>
        <v/>
      </c>
      <c r="BG77" s="754" t="str">
        <f>IF(VLOOKUP(A77,'Revitalisation-Revitalisierung'!$A$4:$Z$275,10,FALSE)="","",VLOOKUP(A77,'Revitalisation-Revitalisierung'!$A$4:$Z$275,10,FALSE))</f>
        <v>K1</v>
      </c>
      <c r="BH77" s="755" t="str">
        <f>IF(VLOOKUP(A77,'Revitalisation-Revitalisierung'!$A$4:$Z$275,11,FALSE)="","",VLOOKUP(A77,'Revitalisation-Revitalisierung'!$A$4:$Z$275,11,FALSE))</f>
        <v/>
      </c>
      <c r="BI77" s="756" t="str">
        <f>IF(VLOOKUP(A77,'Revitalisation-Revitalisierung'!$A$4:$Z$275,12,FALSE)="","",VLOOKUP(A77,'Revitalisation-Revitalisierung'!$A$4:$Z$275,12,FALSE))</f>
        <v/>
      </c>
      <c r="BJ77" s="757" t="str">
        <f>IF(VLOOKUP(A77,'Revitalisation-Revitalisierung'!$A$4:$Z$275,13,FALSE)="","",VLOOKUP(A77,'Revitalisation-Revitalisierung'!$A$4:$Z$275,13,FALSE))</f>
        <v>Partiellement nécessaire, facile / teilweise nötig, einfach</v>
      </c>
      <c r="BK77" s="870" t="str">
        <f>IF(VLOOKUP(A77,'Revitalisation-Revitalisierung'!$A$4:$Z$275,14,FALSE)="","",VLOOKUP(A77,'Revitalisation-Revitalisierung'!$A$4:$Z$275,14,FALSE))</f>
        <v>a</v>
      </c>
      <c r="BL77" s="758" t="str">
        <f>IF(VLOOKUP(A77,'Revitalisation-Revitalisierung'!$A$4:$Z$275,15,FALSE)="","",VLOOKUP(A77,'Revitalisation-Revitalisierung'!$A$4:$Z$275,15,FALSE))</f>
        <v>gross</v>
      </c>
      <c r="BM77" s="759" t="str">
        <f>IF(VLOOKUP(A77,'Revitalisation-Revitalisierung'!$A$4:$Z$275,16,FALSE)="","",VLOOKUP(A77,'Revitalisation-Revitalisierung'!$A$4:$Z$275,16,FALSE))</f>
        <v>mittel</v>
      </c>
      <c r="BN77" s="759" t="str">
        <f>IF(VLOOKUP(A77,'Revitalisation-Revitalisierung'!$A$4:$Z$275,17,FALSE)="","",VLOOKUP(A77,'Revitalisation-Revitalisierung'!$A$4:$Z$275,17,FALSE))</f>
        <v>keine</v>
      </c>
      <c r="BO77" s="760" t="str">
        <f>IF(VLOOKUP(A77,'Revitalisation-Revitalisierung'!$A$4:$Z$275,18,FALSE)="","",VLOOKUP(A77,'Revitalisation-Revitalisierung'!$A$4:$Z$275,18,FALSE))</f>
        <v>Partiellement nécessaire, facile / teilweise nötig, einfach</v>
      </c>
      <c r="BP77" s="761" t="str">
        <f>IF(VLOOKUP(A77,'Revitalisation-Revitalisierung'!$A$4:$Z$275,19,FALSE)="","",VLOOKUP(A77,'Revitalisation-Revitalisierung'!$A$4:$Z$275,19,FALSE))</f>
        <v>Partiellement nécessaire, facile / teilweise nötig, einfach</v>
      </c>
      <c r="BQ77" s="759" t="str">
        <f>IF(VLOOKUP(A77,'Revitalisation-Revitalisierung'!$A$4:$Z$275,20,FALSE)="","",VLOOKUP(A77,'Revitalisation-Revitalisierung'!$A$4:$Z$275,20,FALSE))</f>
        <v>d</v>
      </c>
      <c r="BR77" s="759" t="str">
        <f>IF(VLOOKUP(A77,'Revitalisation-Revitalisierung'!$A$4:$Z$275,21,FALSE)="","",VLOOKUP(A77,'Revitalisation-Revitalisierung'!$A$4:$Z$275,21,FALSE))</f>
        <v/>
      </c>
      <c r="BS77" s="762" t="str">
        <f>IF(VLOOKUP(A77,'Revitalisation-Revitalisierung'!$A$4:$Z$275,22,FALSE)="","",VLOOKUP(A77,'Revitalisation-Revitalisierung'!$A$4:$Z$275,22,FALSE))</f>
        <v/>
      </c>
      <c r="BT77" s="703" t="str">
        <f>IF(VLOOKUP(A77,'Revitalisation-Revitalisierung'!$A$4:$Z$275,23,FALSE)="","",VLOOKUP(A77,'Revitalisation-Revitalisierung'!$A$4:$Z$275,23,FALSE))</f>
        <v>Partiellement nécessaire, difficile / teilweise nötig, schwierig</v>
      </c>
      <c r="BU77" s="699" t="str">
        <f>IF(VLOOKUP(A77,'Revitalisation-Revitalisierung'!$A$4:$Z$275,24,FALSE)="","",VLOOKUP(A77,'Revitalisation-Revitalisierung'!$A$4:$Z$275,24,FALSE))</f>
        <v/>
      </c>
      <c r="BV77" s="761" t="str">
        <f>IF(VLOOKUP(A77,'Revitalisation-Revitalisierung'!$A$4:$Z$275,25,FALSE)="","",VLOOKUP(A77,'Revitalisation-Revitalisierung'!$A$4:$Z$275,25,FALSE))</f>
        <v>Partiellement nécessaire, difficile / teilweise nötig, schwierig</v>
      </c>
      <c r="BW77" s="871" t="str">
        <f>IF(VLOOKUP(A77,'Revitalisation-Revitalisierung'!$A$4:$AA$275,27,FALSE)="","",VLOOKUP(A77,'Revitalisation-Revitalisierung'!$A$4:$AA$275,27,FALSE))</f>
        <v>a</v>
      </c>
    </row>
    <row r="78" spans="1:75" ht="90.6" customHeight="1" x14ac:dyDescent="0.25">
      <c r="A78" s="935">
        <v>100</v>
      </c>
      <c r="B78" s="856">
        <f>IF(VLOOKUP(A78,'Données de base - Grunddaten'!$A$2:$M$297,2,FALSE)="","",VLOOKUP(A78,'Données de base - Grunddaten'!$A$2:$M$297,2,FALSE))</f>
        <v>1</v>
      </c>
      <c r="C78" s="857" t="str">
        <f>IF(VLOOKUP(A78,'Données de base - Grunddaten'!$A$2:$M$297,3,FALSE)="","",VLOOKUP(A78,'Données de base - Grunddaten'!$A$2:$M$297,3,FALSE))</f>
        <v>Städerried</v>
      </c>
      <c r="D78" s="857" t="str">
        <f>IF(VLOOKUP(A78,'Données de base - Grunddaten'!$A$2:$M$297,4,FALSE)="","",VLOOKUP(A78,'Données de base - Grunddaten'!$A$2:$M$297,4,FALSE))</f>
        <v>Alpnachersee, Chli Schliere, Sarner Aa</v>
      </c>
      <c r="E78" s="857" t="str">
        <f>IF(VLOOKUP(A78,'Données de base - Grunddaten'!$A$2:$M$297,5,FALSE)="","",VLOOKUP(A78,'Données de base - Grunddaten'!$A$2:$M$297,5,FALSE))</f>
        <v>OW</v>
      </c>
      <c r="F78" s="857" t="str">
        <f>IF(VLOOKUP(A78,'Données de base - Grunddaten'!$A$2:$M$297,6,FALSE)="","",VLOOKUP(A78,'Données de base - Grunddaten'!$A$2:$M$297,6,FALSE))</f>
        <v>Alpes septentrionales</v>
      </c>
      <c r="G78" s="857" t="str">
        <f>IF(VLOOKUP(A78,'Données de base - Grunddaten'!$A$2:$M$297,7,FALSE)="","",VLOOKUP(A78,'Données de base - Grunddaten'!$A$2:$M$297,7,FALSE))</f>
        <v>Collinéen</v>
      </c>
      <c r="H78" s="857">
        <f>IF(VLOOKUP(A78,'Données de base - Grunddaten'!$A$2:$M$297,8,FALSE)="","",VLOOKUP(A78,'Données de base - Grunddaten'!$A$2:$M$297,8,FALSE))</f>
        <v>440</v>
      </c>
      <c r="I78" s="857">
        <f>IF(VLOOKUP(A78,'Données de base - Grunddaten'!$A$2:$M$297,9,FALSE)="","",VLOOKUP(A78,'Données de base - Grunddaten'!$A$2:$M$297,9,FALSE))</f>
        <v>1992</v>
      </c>
      <c r="J78" s="857">
        <f>IF(VLOOKUP(A78,'Données de base - Grunddaten'!$A$2:$M$297,10,FALSE)="","",VLOOKUP(A78,'Données de base - Grunddaten'!$A$2:$M$297,10,FALSE))</f>
        <v>90</v>
      </c>
      <c r="K78" s="857" t="str">
        <f>IF(VLOOKUP(A78,'Données de base - Grunddaten'!$A$2:$M$297,11,FALSE)="","",VLOOKUP(A78,'Données de base - Grunddaten'!$A$2:$M$297,11,FALSE))</f>
        <v>Delta</v>
      </c>
      <c r="L78" s="857" t="str">
        <f>IF(VLOOKUP(A78,'Données de base - Grunddaten'!$A$2:$M$297,12,FALSE)="","",VLOOKUP(A78,'Données de base - Grunddaten'!$A$2:$M$297,12,FALSE))</f>
        <v>en tresses</v>
      </c>
      <c r="M78" s="858" t="str">
        <f>IF(VLOOKUP(A78,'Données de base - Grunddaten'!$A$2:$M$297,13,FALSE)="","",VLOOKUP(A78,'Données de base - Grunddaten'!$A$2:$M$297,13,FALSE))</f>
        <v>cours rectiligne</v>
      </c>
      <c r="N78" s="872" t="str">
        <f>IF(VLOOKUP(A78,'Charriage - Geschiebehaushalt'!$A$4:$R$275,5,FALSE)="","",VLOOKUP(A78,'Charriage - Geschiebehaushalt'!$A$4:$R$275,5,FALSE))</f>
        <v>pertinent</v>
      </c>
      <c r="O78" s="881" t="str">
        <f>IF(VLOOKUP(A78,'Charriage - Geschiebehaushalt'!$A$4:$R$275,6,FALSE)="","",VLOOKUP(A78,'Charriage - Geschiebehaushalt'!$A$4:$R$275,6,FALSE))</f>
        <v>non documenté</v>
      </c>
      <c r="P78" s="874" t="str">
        <f>IF(VLOOKUP(A78,'Charriage - Geschiebehaushalt'!$A$4:$R$275,7,FALSE)="","",VLOOKUP(A78,'Charriage - Geschiebehaushalt'!$A$4:$R$275,7,FALSE))</f>
        <v/>
      </c>
      <c r="Q78" s="874" t="str">
        <f>IF(VLOOKUP(A78,'Charriage - Geschiebehaushalt'!$A$4:$R$275,8,FALSE)="","",VLOOKUP(A78,'Charriage - Geschiebehaushalt'!$A$4:$R$275,8,FALSE))</f>
        <v>non documenté</v>
      </c>
      <c r="R78" s="875">
        <f>IF(VLOOKUP(A78,'Charriage - Geschiebehaushalt'!$A$4:$R$275,9,FALSE)="","",VLOOKUP(A78,'Charriage - Geschiebehaushalt'!$A$4:$R$275,9,FALSE))</f>
        <v>0.142215505263034</v>
      </c>
      <c r="S78" s="876" t="str">
        <f>IF(VLOOKUP(A78,'Charriage - Geschiebehaushalt'!$A$4:$R$275,10,FALSE)="","",VLOOKUP(A78,'Charriage - Geschiebehaushalt'!$A$4:$R$275,10,FALSE))</f>
        <v>pas ou faiblement entravé</v>
      </c>
      <c r="T78" s="875">
        <f>IF(VLOOKUP(A78,'Charriage - Geschiebehaushalt'!$A$4:$R$275,11,FALSE)="","",VLOOKUP(A78,'Charriage - Geschiebehaushalt'!$A$4:$R$275,11,FALSE))</f>
        <v>0.31513040254000002</v>
      </c>
      <c r="U78" s="895" t="str">
        <f>IF(VLOOKUP(A78,'Charriage - Geschiebehaushalt'!$A$4:$R$275,12,FALSE)="","",VLOOKUP(A78,'Charriage - Geschiebehaushalt'!$A$4:$R$275,12,FALSE))</f>
        <v>déficit non apparent en charriage ou en remobilisation des sédiments</v>
      </c>
      <c r="V78" s="877" t="str">
        <f>IF(VLOOKUP(A78,'Charriage - Geschiebehaushalt'!$A$4:$R$275,13,FALSE)="","",VLOOKUP(A78,'Charriage - Geschiebehaushalt'!$A$4:$R$275,13,FALSE))</f>
        <v/>
      </c>
      <c r="W78" s="877" t="str">
        <f>IF(VLOOKUP(A78,'Charriage - Geschiebehaushalt'!$A$4:$R$275,14,FALSE)="","",VLOOKUP(A78,'Charriage - Geschiebehaushalt'!$A$4:$R$275,14,FALSE))</f>
        <v/>
      </c>
      <c r="X78" s="877" t="str">
        <f>IF(VLOOKUP(A78,'Charriage - Geschiebehaushalt'!$A$4:$R$275,15,FALSE)="","",VLOOKUP(A78,'Charriage - Geschiebehaushalt'!$A$4:$R$275,15,FALSE))</f>
        <v/>
      </c>
      <c r="Y78" s="879" t="str">
        <f>IF(VLOOKUP(A78,'Charriage - Geschiebehaushalt'!$A$4:$R$275,16,FALSE)="","",VLOOKUP(A78,'Charriage - Geschiebehaushalt'!$A$4:$R$275,16,FALSE))</f>
        <v/>
      </c>
      <c r="Z78" s="763" t="str">
        <f>IF(VLOOKUP(A78,'Charriage - Geschiebehaushalt'!$A$4:$R$275,17,FALSE)="","",VLOOKUP(A78,'Charriage - Geschiebehaushalt'!$A$4:$R$275,17,FALSE))</f>
        <v>non pertinent / nicht relevant</v>
      </c>
      <c r="AA78" s="880" t="str">
        <f>IF(VLOOKUP(A78,'Charriage - Geschiebehaushalt'!$A$4:$R$275,18,FALSE)="","",VLOOKUP(A78,'Charriage - Geschiebehaushalt'!$A$4:$R$275,18,FALSE))</f>
        <v>a</v>
      </c>
      <c r="AB78" s="737" t="str">
        <f>IF(VLOOKUP(A78,'Charriage - Geschiebehaushalt'!$A$4:$AC$275,19,FALSE)="","",VLOOKUP(A78,'Charriage - Geschiebehaushalt'!$A$4:$AC$275,19,FALSE))</f>
        <v>keine</v>
      </c>
      <c r="AC78" s="738">
        <f>IF(VLOOKUP(A78,'Charriage - Geschiebehaushalt'!$A$4:$AC$275,20,FALSE)="","",VLOOKUP(A78,'Charriage - Geschiebehaushalt'!$A$4:$AC$275,20,FALSE))</f>
        <v>0</v>
      </c>
      <c r="AD78" s="764" t="str">
        <f>IF(VLOOKUP(A78,'Charriage - Geschiebehaushalt'!$A$4:$AC$275,21,FALSE)="","",VLOOKUP(A78,'Charriage - Geschiebehaushalt'!$A$4:$AC$275,21,FALSE))</f>
        <v>0-20%</v>
      </c>
      <c r="AE78" s="740" t="str">
        <f>IF(VLOOKUP(A78,'Charriage - Geschiebehaushalt'!$A$4:$AC$275,22,FALSE)="","",VLOOKUP(A78,'Charriage - Geschiebehaushalt'!$A$4:$AC$275,22,FALSE))</f>
        <v>non pertinent / nicht relevant</v>
      </c>
      <c r="AF78" s="787" t="str">
        <f>IF(VLOOKUP(A78,'Charriage - Geschiebehaushalt'!$A$4:$AC$275,23,FALSE)="","",VLOOKUP(A78,'Charriage - Geschiebehaushalt'!$A$4:$AC$275,23,FALSE))</f>
        <v>a</v>
      </c>
      <c r="AG78" s="765" t="str">
        <f>IF(VLOOKUP(A78,'Charriage - Geschiebehaushalt'!$A$4:$AC$275,24,FALSE)="","",VLOOKUP(A78,'Charriage - Geschiebehaushalt'!$A$4:$AC$275,24,FALSE))</f>
        <v/>
      </c>
      <c r="AH78" s="764" t="str">
        <f>IF(VLOOKUP(A78,'Charriage - Geschiebehaushalt'!$A$4:$AC$275,25,FALSE)="","",VLOOKUP(A78,'Charriage - Geschiebehaushalt'!$A$4:$AC$275,25,FALSE))</f>
        <v/>
      </c>
      <c r="AI78" s="771" t="str">
        <f>IF(VLOOKUP(A78,'Charriage - Geschiebehaushalt'!$A$4:$AC$275,26,FALSE)="","",VLOOKUP(A78,'Charriage - Geschiebehaushalt'!$A$4:$AC$275,26,FALSE))</f>
        <v>51-80%</v>
      </c>
      <c r="AJ78" s="434" t="str">
        <f>IF(VLOOKUP(A78,'Charriage - Geschiebehaushalt'!$A$4:$AC$275,27,FALSE)="","",VLOOKUP(A78,'Charriage - Geschiebehaushalt'!$A$4:$AC$275,27,FALSE))</f>
        <v/>
      </c>
      <c r="AK78" s="814" t="str">
        <f>IF(VLOOKUP(A78,'Charriage - Geschiebehaushalt'!$A$4:$AC$275,28,FALSE)="","",VLOOKUP(A78,'Charriage - Geschiebehaushalt'!$A$4:$AC$275,28,FALSE))</f>
        <v>51-80%</v>
      </c>
      <c r="AL78" s="1285" t="str">
        <f>IF(VLOOKUP(A78,'Charriage - Geschiebehaushalt'!$A$4:$AD$275,30,FALSE)="","",VLOOKUP(A78,'Charriage - Geschiebehaushalt'!$A$4:$AD$275,30,FALSE))</f>
        <v>b</v>
      </c>
      <c r="AM78" s="1279" t="str">
        <f>IF(VLOOKUP(A78,'Débit - Abfluss'!$A$4:$K$275,5,FALSE)="","",VLOOKUP(A78,'Débit - Abfluss'!$A$4:$M$275,5,FALSE))</f>
        <v>81-100%</v>
      </c>
      <c r="AN78" s="868" t="str">
        <f>IF(VLOOKUP(A78,'Débit - Abfluss'!$A$4:$K$275,6,FALSE)="","",VLOOKUP(A78,'Débit - Abfluss'!$A$4:$M$275,6,FALSE))</f>
        <v/>
      </c>
      <c r="AO78" s="869" t="str">
        <f>IF(VLOOKUP(A78,'Débit - Abfluss'!$A$4:$K$275,7,FALSE)="","",VLOOKUP(A78,'Débit - Abfluss'!$A$4:$M$275,7,FALSE))</f>
        <v/>
      </c>
      <c r="AP78" s="766" t="str">
        <f>IF(VLOOKUP(A78,'Débit - Abfluss'!$A$4:$K$275,8,FALSE)="","",VLOOKUP(A78,'Débit - Abfluss'!$A$4:$M$275,8,FALSE))</f>
        <v>81-100%</v>
      </c>
      <c r="AQ78" s="742" t="str">
        <f>IF(VLOOKUP(A78,'Débit - Abfluss'!$A$4:$K$275,9,FALSE)="","",VLOOKUP(A78,'Débit - Abfluss'!$A$4:$M$275,9,FALSE))</f>
        <v>-</v>
      </c>
      <c r="AR78" s="767" t="str">
        <f>IF(VLOOKUP(A78,'Débit - Abfluss'!$A$4:$K$275,10,FALSE)="","",VLOOKUP(A78,'Débit - Abfluss'!$A$4:$M$275,10,FALSE))</f>
        <v>81-100%</v>
      </c>
      <c r="AS78" s="767" t="str">
        <f>IF(VLOOKUP(A78,'Débit - Abfluss'!$A$4:$K$275,11,FALSE)="","",VLOOKUP(A78,'Débit - Abfluss'!$A$4:$M$275,11,FALSE))</f>
        <v/>
      </c>
      <c r="AT78" s="742" t="str">
        <f>IF(VLOOKUP(A78,'Débit - Abfluss'!$A$4:$Q$275,12,FALSE)="","",VLOOKUP(A78,'Débit - Abfluss'!$A$4:$Q$275,12,FALSE))</f>
        <v>100%</v>
      </c>
      <c r="AU78" s="745" t="str">
        <f>IF(VLOOKUP(A78,'Débit - Abfluss'!$A$4:$Q$275,13,FALSE)="","",VLOOKUP(A78,'Débit - Abfluss'!$A$4:$Q$275,13,FALSE))</f>
        <v/>
      </c>
      <c r="AV78" s="746" t="str">
        <f>IF(VLOOKUP(A78,'Débit - Abfluss'!$A$4:$Q$275,14,FALSE)="","",VLOOKUP(A78,'Débit - Abfluss'!$A$4:$Q$275,14,FALSE))</f>
        <v/>
      </c>
      <c r="AW78" s="768" t="str">
        <f>IF(VLOOKUP(A78,'Débit - Abfluss'!$A$4:$Q$275,15,FALSE)="","",VLOOKUP(A78,'Débit - Abfluss'!$A$4:$Q$275,15,FALSE))</f>
        <v/>
      </c>
      <c r="AX78" s="677" t="str">
        <f>IF(VLOOKUP(A78,'Débit - Abfluss'!$A$4:$Q$275,16,FALSE)="","",VLOOKUP(A78,'Débit - Abfluss'!$A$4:$Q$275,16,FALSE))</f>
        <v/>
      </c>
      <c r="AY78" s="769" t="str">
        <f>IF(VLOOKUP(A78,'Débit - Abfluss'!$A$4:$Q$275,17,FALSE)="","",VLOOKUP(A78,'Débit - Abfluss'!$A$4:$Q$275,17,FALSE))</f>
        <v>100%</v>
      </c>
      <c r="AZ78" s="749" t="str">
        <f>IF(VLOOKUP(A78,'Eclusée - Schwall-Sunk'!$A$2:$F$273,5,FALSE)="","",VLOOKUP(A78,'Eclusée - Schwall-Sunk'!$A$2:$F$273,5,FALSE))</f>
        <v>force hydraulique</v>
      </c>
      <c r="BA78" s="750" t="str">
        <f>IF(VLOOKUP(A78,'Eclusée - Schwall-Sunk'!$A$2:$F$273,6,FALSE)="","",VLOOKUP(A78,'Eclusée - Schwall-Sunk'!$A$2:$F$273,6,FALSE))</f>
        <v>Potentiellement affecté / möglicherweise betroffen</v>
      </c>
      <c r="BB78" s="751" t="str">
        <f>IF(VLOOKUP(A78,'Revitalisation-Revitalisierung'!$A$4:$Z$275,5,FALSE)="","",VLOOKUP(A78,'Revitalisation-Revitalisierung'!$A$4:$Z$275,5,FALSE))</f>
        <v/>
      </c>
      <c r="BC78" s="752" t="str">
        <f>IF(VLOOKUP(A78,'Revitalisation-Revitalisierung'!$A$4:$Z$275,6,FALSE)="","",VLOOKUP(A78,'Revitalisation-Revitalisierung'!$A$4:$Z$275,6,FALSE))</f>
        <v/>
      </c>
      <c r="BD78" s="752" t="str">
        <f>IF(VLOOKUP(A78,'Revitalisation-Revitalisierung'!$A$4:$Z$275,7,FALSE)="","",VLOOKUP(A78,'Revitalisation-Revitalisierung'!$A$4:$Z$275,7,FALSE))</f>
        <v/>
      </c>
      <c r="BE78" s="753" t="str">
        <f>IF(VLOOKUP(A78,'Revitalisation-Revitalisierung'!$A$4:$Z$275,8,FALSE)="","",VLOOKUP(A78,'Revitalisation-Revitalisierung'!$A$4:$Z$275,8,FALSE))</f>
        <v/>
      </c>
      <c r="BF78" s="754" t="str">
        <f>IF(VLOOKUP(A78,'Revitalisation-Revitalisierung'!$A$4:$Z$275,9,FALSE)="","",VLOOKUP(A78,'Revitalisation-Revitalisierung'!$A$4:$Z$275,9,FALSE))</f>
        <v/>
      </c>
      <c r="BG78" s="754" t="str">
        <f>IF(VLOOKUP(A78,'Revitalisation-Revitalisierung'!$A$4:$Z$275,10,FALSE)="","",VLOOKUP(A78,'Revitalisation-Revitalisierung'!$A$4:$Z$275,10,FALSE))</f>
        <v>K2</v>
      </c>
      <c r="BH78" s="755" t="str">
        <f>IF(VLOOKUP(A78,'Revitalisation-Revitalisierung'!$A$4:$Z$275,11,FALSE)="","",VLOOKUP(A78,'Revitalisation-Revitalisierung'!$A$4:$Z$275,11,FALSE))</f>
        <v>très nécessaire, facile</v>
      </c>
      <c r="BI78" s="756" t="str">
        <f>IF(VLOOKUP(A78,'Revitalisation-Revitalisierung'!$A$4:$Z$275,12,FALSE)="","",VLOOKUP(A78,'Revitalisation-Revitalisierung'!$A$4:$Z$275,12,FALSE))</f>
        <v>Lit endigué mais grand potentiel de restauration écologique</v>
      </c>
      <c r="BJ78" s="757" t="str">
        <f>IF(VLOOKUP(A78,'Revitalisation-Revitalisierung'!$A$4:$Z$275,13,FALSE)="","",VLOOKUP(A78,'Revitalisation-Revitalisierung'!$A$4:$Z$275,13,FALSE))</f>
        <v>Très nécessaire, facile / unbedingt nötig, einfach</v>
      </c>
      <c r="BK78" s="870" t="str">
        <f>IF(VLOOKUP(A78,'Revitalisation-Revitalisierung'!$A$4:$Z$275,14,FALSE)="","",VLOOKUP(A78,'Revitalisation-Revitalisierung'!$A$4:$Z$275,14,FALSE))</f>
        <v>b</v>
      </c>
      <c r="BL78" s="758" t="str">
        <f>IF(VLOOKUP(A78,'Revitalisation-Revitalisierung'!$A$4:$Z$275,15,FALSE)="","",VLOOKUP(A78,'Revitalisation-Revitalisierung'!$A$4:$Z$275,15,FALSE))</f>
        <v>gross</v>
      </c>
      <c r="BM78" s="759" t="str">
        <f>IF(VLOOKUP(A78,'Revitalisation-Revitalisierung'!$A$4:$Z$275,16,FALSE)="","",VLOOKUP(A78,'Revitalisation-Revitalisierung'!$A$4:$Z$275,16,FALSE))</f>
        <v>gross/mittel</v>
      </c>
      <c r="BN78" s="759" t="str">
        <f>IF(VLOOKUP(A78,'Revitalisation-Revitalisierung'!$A$4:$Z$275,17,FALSE)="","",VLOOKUP(A78,'Revitalisation-Revitalisierung'!$A$4:$Z$275,17,FALSE))</f>
        <v>Priorität 2 (2024 - 2033)</v>
      </c>
      <c r="BO78" s="760" t="str">
        <f>IF(VLOOKUP(A78,'Revitalisation-Revitalisierung'!$A$4:$Z$275,18,FALSE)="","",VLOOKUP(A78,'Revitalisation-Revitalisierung'!$A$4:$Z$275,18,FALSE))</f>
        <v>Très nécessaire, facile / unbedingt nötig, einfach</v>
      </c>
      <c r="BP78" s="761" t="str">
        <f>IF(VLOOKUP(A78,'Revitalisation-Revitalisierung'!$A$4:$Z$275,19,FALSE)="","",VLOOKUP(A78,'Revitalisation-Revitalisierung'!$A$4:$Z$275,19,FALSE))</f>
        <v>Très nécessaire, facile / unbedingt nötig, einfach</v>
      </c>
      <c r="BQ78" s="759" t="str">
        <f>IF(VLOOKUP(A78,'Revitalisation-Revitalisierung'!$A$4:$Z$275,20,FALSE)="","",VLOOKUP(A78,'Revitalisation-Revitalisierung'!$A$4:$Z$275,20,FALSE))</f>
        <v>d</v>
      </c>
      <c r="BR78" s="759" t="str">
        <f>IF(VLOOKUP(A78,'Revitalisation-Revitalisierung'!$A$4:$Z$275,21,FALSE)="","",VLOOKUP(A78,'Revitalisation-Revitalisierung'!$A$4:$Z$275,21,FALSE))</f>
        <v/>
      </c>
      <c r="BS78" s="762" t="str">
        <f>IF(VLOOKUP(A78,'Revitalisation-Revitalisierung'!$A$4:$Z$275,22,FALSE)="","",VLOOKUP(A78,'Revitalisation-Revitalisierung'!$A$4:$Z$275,22,FALSE))</f>
        <v/>
      </c>
      <c r="BT78" s="708" t="str">
        <f>IF(VLOOKUP(A78,'Revitalisation-Revitalisierung'!$A$4:$Z$275,23,FALSE)="","",VLOOKUP(A78,'Revitalisation-Revitalisierung'!$A$4:$Z$275,23,FALSE))</f>
        <v>Très nécessaire, difficile / unbedingt nötig, schwierig</v>
      </c>
      <c r="BU78" s="699" t="str">
        <f>IF(VLOOKUP(A78,'Revitalisation-Revitalisierung'!$A$4:$Z$275,24,FALSE)="","",VLOOKUP(A78,'Revitalisation-Revitalisierung'!$A$4:$Z$275,24,FALSE))</f>
        <v/>
      </c>
      <c r="BV78" s="761" t="str">
        <f>IF(VLOOKUP(A78,'Revitalisation-Revitalisierung'!$A$4:$Z$275,25,FALSE)="","",VLOOKUP(A78,'Revitalisation-Revitalisierung'!$A$4:$Z$275,25,FALSE))</f>
        <v>Très nécessaire, difficile / unbedingt nötig, schwierig</v>
      </c>
      <c r="BW78" s="871" t="str">
        <f>IF(VLOOKUP(A78,'Revitalisation-Revitalisierung'!$A$4:$AA$275,27,FALSE)="","",VLOOKUP(A78,'Revitalisation-Revitalisierung'!$A$4:$AA$275,27,FALSE))</f>
        <v>b</v>
      </c>
    </row>
    <row r="79" spans="1:75" ht="65.45" customHeight="1" x14ac:dyDescent="0.25">
      <c r="A79" s="935">
        <v>101</v>
      </c>
      <c r="B79" s="856">
        <f>IF(VLOOKUP(A79,'Données de base - Grunddaten'!$A$2:$M$297,2,FALSE)="","",VLOOKUP(A79,'Données de base - Grunddaten'!$A$2:$M$297,2,FALSE))</f>
        <v>1</v>
      </c>
      <c r="C79" s="857" t="str">
        <f>IF(VLOOKUP(A79,'Données de base - Grunddaten'!$A$2:$M$297,3,FALSE)="","",VLOOKUP(A79,'Données de base - Grunddaten'!$A$2:$M$297,3,FALSE))</f>
        <v>Laui</v>
      </c>
      <c r="D79" s="857" t="str">
        <f>IF(VLOOKUP(A79,'Données de base - Grunddaten'!$A$2:$M$297,4,FALSE)="","",VLOOKUP(A79,'Données de base - Grunddaten'!$A$2:$M$297,4,FALSE))</f>
        <v>Gross Laui</v>
      </c>
      <c r="E79" s="857" t="str">
        <f>IF(VLOOKUP(A79,'Données de base - Grunddaten'!$A$2:$M$297,5,FALSE)="","",VLOOKUP(A79,'Données de base - Grunddaten'!$A$2:$M$297,5,FALSE))</f>
        <v>OW</v>
      </c>
      <c r="F79" s="857" t="str">
        <f>IF(VLOOKUP(A79,'Données de base - Grunddaten'!$A$2:$M$297,6,FALSE)="","",VLOOKUP(A79,'Données de base - Grunddaten'!$A$2:$M$297,6,FALSE))</f>
        <v>Alpes septentrionales</v>
      </c>
      <c r="G79" s="857" t="str">
        <f>IF(VLOOKUP(A79,'Données de base - Grunddaten'!$A$2:$M$297,7,FALSE)="","",VLOOKUP(A79,'Données de base - Grunddaten'!$A$2:$M$297,7,FALSE))</f>
        <v>Collinéen</v>
      </c>
      <c r="H79" s="857">
        <f>IF(VLOOKUP(A79,'Données de base - Grunddaten'!$A$2:$M$297,8,FALSE)="","",VLOOKUP(A79,'Données de base - Grunddaten'!$A$2:$M$297,8,FALSE))</f>
        <v>520</v>
      </c>
      <c r="I79" s="857">
        <f>IF(VLOOKUP(A79,'Données de base - Grunddaten'!$A$2:$M$297,9,FALSE)="","",VLOOKUP(A79,'Données de base - Grunddaten'!$A$2:$M$297,9,FALSE))</f>
        <v>1992</v>
      </c>
      <c r="J79" s="857">
        <f>IF(VLOOKUP(A79,'Données de base - Grunddaten'!$A$2:$M$297,10,FALSE)="","",VLOOKUP(A79,'Données de base - Grunddaten'!$A$2:$M$297,10,FALSE))</f>
        <v>81</v>
      </c>
      <c r="K79" s="857" t="str">
        <f>IF(VLOOKUP(A79,'Données de base - Grunddaten'!$A$2:$M$297,11,FALSE)="","",VLOOKUP(A79,'Données de base - Grunddaten'!$A$2:$M$297,11,FALSE))</f>
        <v>Singularité: Cônes d'alluvions de l'étage collinéen</v>
      </c>
      <c r="L79" s="857" t="str">
        <f>IF(VLOOKUP(A79,'Données de base - Grunddaten'!$A$2:$M$297,12,FALSE)="","",VLOOKUP(A79,'Données de base - Grunddaten'!$A$2:$M$297,12,FALSE))</f>
        <v>méandres migrants</v>
      </c>
      <c r="M79" s="858" t="str">
        <f>IF(VLOOKUP(A79,'Données de base - Grunddaten'!$A$2:$M$297,13,FALSE)="","",VLOOKUP(A79,'Données de base - Grunddaten'!$A$2:$M$297,13,FALSE))</f>
        <v>en tresses</v>
      </c>
      <c r="N79" s="872" t="str">
        <f>IF(VLOOKUP(A79,'Charriage - Geschiebehaushalt'!$A$4:$R$275,5,FALSE)="","",VLOOKUP(A79,'Charriage - Geschiebehaushalt'!$A$4:$R$275,5,FALSE))</f>
        <v>pertinent</v>
      </c>
      <c r="O79" s="881" t="str">
        <f>IF(VLOOKUP(A79,'Charriage - Geschiebehaushalt'!$A$4:$R$275,6,FALSE)="","",VLOOKUP(A79,'Charriage - Geschiebehaushalt'!$A$4:$R$275,6,FALSE))</f>
        <v>non documenté</v>
      </c>
      <c r="P79" s="874" t="str">
        <f>IF(VLOOKUP(A79,'Charriage - Geschiebehaushalt'!$A$4:$R$275,7,FALSE)="","",VLOOKUP(A79,'Charriage - Geschiebehaushalt'!$A$4:$R$275,7,FALSE))</f>
        <v/>
      </c>
      <c r="Q79" s="874" t="str">
        <f>IF(VLOOKUP(A79,'Charriage - Geschiebehaushalt'!$A$4:$R$275,8,FALSE)="","",VLOOKUP(A79,'Charriage - Geschiebehaushalt'!$A$4:$R$275,8,FALSE))</f>
        <v>non documenté</v>
      </c>
      <c r="R79" s="875">
        <f>IF(VLOOKUP(A79,'Charriage - Geschiebehaushalt'!$A$4:$R$275,9,FALSE)="","",VLOOKUP(A79,'Charriage - Geschiebehaushalt'!$A$4:$R$275,9,FALSE))</f>
        <v>0.46307518832586497</v>
      </c>
      <c r="S79" s="895" t="str">
        <f>IF(VLOOKUP(A79,'Charriage - Geschiebehaushalt'!$A$4:$R$275,10,FALSE)="","",VLOOKUP(A79,'Charriage - Geschiebehaushalt'!$A$4:$R$275,10,FALSE))</f>
        <v>la remobilisation des sédiments est perturbée</v>
      </c>
      <c r="T79" s="875">
        <f>IF(VLOOKUP(A79,'Charriage - Geschiebehaushalt'!$A$4:$R$275,11,FALSE)="","",VLOOKUP(A79,'Charriage - Geschiebehaushalt'!$A$4:$R$275,11,FALSE))</f>
        <v>0.26933026385999997</v>
      </c>
      <c r="U79" s="876" t="str">
        <f>IF(VLOOKUP(A79,'Charriage - Geschiebehaushalt'!$A$4:$R$275,12,FALSE)="","",VLOOKUP(A79,'Charriage - Geschiebehaushalt'!$A$4:$R$275,12,FALSE))</f>
        <v>déficit dans les formations pionnières</v>
      </c>
      <c r="V79" s="877" t="str">
        <f>IF(VLOOKUP(A79,'Charriage - Geschiebehaushalt'!$A$4:$R$275,13,FALSE)="","",VLOOKUP(A79,'Charriage - Geschiebehaushalt'!$A$4:$R$275,13,FALSE))</f>
        <v/>
      </c>
      <c r="W79" s="877" t="str">
        <f>IF(VLOOKUP(A79,'Charriage - Geschiebehaushalt'!$A$4:$R$275,14,FALSE)="","",VLOOKUP(A79,'Charriage - Geschiebehaushalt'!$A$4:$R$275,14,FALSE))</f>
        <v/>
      </c>
      <c r="X79" s="877" t="str">
        <f>IF(VLOOKUP(A79,'Charriage - Geschiebehaushalt'!$A$4:$R$275,15,FALSE)="","",VLOOKUP(A79,'Charriage - Geschiebehaushalt'!$A$4:$R$275,15,FALSE))</f>
        <v/>
      </c>
      <c r="Y79" s="879" t="str">
        <f>IF(VLOOKUP(A79,'Charriage - Geschiebehaushalt'!$A$4:$R$275,16,FALSE)="","",VLOOKUP(A79,'Charriage - Geschiebehaushalt'!$A$4:$R$275,16,FALSE))</f>
        <v/>
      </c>
      <c r="Z79" s="763" t="str">
        <f>IF(VLOOKUP(A79,'Charriage - Geschiebehaushalt'!$A$4:$R$275,17,FALSE)="","",VLOOKUP(A79,'Charriage - Geschiebehaushalt'!$A$4:$R$275,17,FALSE))</f>
        <v>La remobilisation des sédiments est perturbée / Mobilisierung von Geschiebe beeinträchtigt</v>
      </c>
      <c r="AA79" s="880" t="str">
        <f>IF(VLOOKUP(A79,'Charriage - Geschiebehaushalt'!$A$4:$R$275,18,FALSE)="","",VLOOKUP(A79,'Charriage - Geschiebehaushalt'!$A$4:$R$275,18,FALSE))</f>
        <v>a</v>
      </c>
      <c r="AB79" s="737" t="str">
        <f>IF(VLOOKUP(A79,'Charriage - Geschiebehaushalt'!$A$4:$AC$275,19,FALSE)="","",VLOOKUP(A79,'Charriage - Geschiebehaushalt'!$A$4:$AC$275,19,FALSE))</f>
        <v>abzuklären</v>
      </c>
      <c r="AC79" s="738">
        <f>IF(VLOOKUP(A79,'Charriage - Geschiebehaushalt'!$A$4:$AC$275,20,FALSE)="","",VLOOKUP(A79,'Charriage - Geschiebehaushalt'!$A$4:$AC$275,20,FALSE))</f>
        <v>0</v>
      </c>
      <c r="AD79" s="764" t="str">
        <f>IF(VLOOKUP(A79,'Charriage - Geschiebehaushalt'!$A$4:$AC$275,21,FALSE)="","",VLOOKUP(A79,'Charriage - Geschiebehaushalt'!$A$4:$AC$275,21,FALSE))</f>
        <v/>
      </c>
      <c r="AE79" s="772" t="str">
        <f>IF(VLOOKUP(A79,'Charriage - Geschiebehaushalt'!$A$4:$AC$275,22,FALSE)="","",VLOOKUP(A79,'Charriage - Geschiebehaushalt'!$A$4:$AC$275,22,FALSE))</f>
        <v>21-50%</v>
      </c>
      <c r="AF79" s="787" t="str">
        <f>IF(VLOOKUP(A79,'Charriage - Geschiebehaushalt'!$A$4:$AC$275,23,FALSE)="","",VLOOKUP(A79,'Charriage - Geschiebehaushalt'!$A$4:$AC$275,23,FALSE))</f>
        <v>a</v>
      </c>
      <c r="AG79" s="765" t="str">
        <f>IF(VLOOKUP(A79,'Charriage - Geschiebehaushalt'!$A$4:$AC$275,24,FALSE)="","",VLOOKUP(A79,'Charriage - Geschiebehaushalt'!$A$4:$AC$275,24,FALSE))</f>
        <v>Kiesausbeutung im Objekt vorhanden</v>
      </c>
      <c r="AH79" s="764" t="str">
        <f>IF(VLOOKUP(A79,'Charriage - Geschiebehaushalt'!$A$4:$AC$275,25,FALSE)="","",VLOOKUP(A79,'Charriage - Geschiebehaushalt'!$A$4:$AC$275,25,FALSE))</f>
        <v>X</v>
      </c>
      <c r="AI79" s="771" t="str">
        <f>IF(VLOOKUP(A79,'Charriage - Geschiebehaushalt'!$A$4:$AC$275,26,FALSE)="","",VLOOKUP(A79,'Charriage - Geschiebehaushalt'!$A$4:$AC$275,26,FALSE))</f>
        <v>21-50%</v>
      </c>
      <c r="AJ79" s="434" t="str">
        <f>IF(VLOOKUP(A79,'Charriage - Geschiebehaushalt'!$A$4:$AC$275,27,FALSE)="","",VLOOKUP(A79,'Charriage - Geschiebehaushalt'!$A$4:$AC$275,27,FALSE))</f>
        <v/>
      </c>
      <c r="AK79" s="814" t="str">
        <f>IF(VLOOKUP(A79,'Charriage - Geschiebehaushalt'!$A$4:$AC$275,28,FALSE)="","",VLOOKUP(A79,'Charriage - Geschiebehaushalt'!$A$4:$AC$275,28,FALSE))</f>
        <v>21-50%</v>
      </c>
      <c r="AL79" s="1285" t="str">
        <f>IF(VLOOKUP(A79,'Charriage - Geschiebehaushalt'!$A$4:$AD$275,30,FALSE)="","",VLOOKUP(A79,'Charriage - Geschiebehaushalt'!$A$4:$AD$275,30,FALSE))</f>
        <v>a</v>
      </c>
      <c r="AM79" s="1279" t="str">
        <f>IF(VLOOKUP(A79,'Débit - Abfluss'!$A$4:$K$275,5,FALSE)="","",VLOOKUP(A79,'Débit - Abfluss'!$A$4:$M$275,5,FALSE))</f>
        <v>100%</v>
      </c>
      <c r="AN79" s="868" t="str">
        <f>IF(VLOOKUP(A79,'Débit - Abfluss'!$A$4:$K$275,6,FALSE)="","",VLOOKUP(A79,'Débit - Abfluss'!$A$4:$M$275,6,FALSE))</f>
        <v>aucune information supplémentaire</v>
      </c>
      <c r="AO79" s="869" t="str">
        <f>IF(VLOOKUP(A79,'Débit - Abfluss'!$A$4:$K$275,7,FALSE)="","",VLOOKUP(A79,'Débit - Abfluss'!$A$4:$M$275,7,FALSE))</f>
        <v>aucune information supplémentaire</v>
      </c>
      <c r="AP79" s="766" t="str">
        <f>IF(VLOOKUP(A79,'Débit - Abfluss'!$A$4:$K$275,8,FALSE)="","",VLOOKUP(A79,'Débit - Abfluss'!$A$4:$M$275,8,FALSE))</f>
        <v>100%</v>
      </c>
      <c r="AQ79" s="742" t="str">
        <f>IF(VLOOKUP(A79,'Débit - Abfluss'!$A$4:$K$275,9,FALSE)="","",VLOOKUP(A79,'Débit - Abfluss'!$A$4:$M$275,9,FALSE))</f>
        <v>-</v>
      </c>
      <c r="AR79" s="767" t="str">
        <f>IF(VLOOKUP(A79,'Débit - Abfluss'!$A$4:$K$275,10,FALSE)="","",VLOOKUP(A79,'Débit - Abfluss'!$A$4:$M$275,10,FALSE))</f>
        <v>100%</v>
      </c>
      <c r="AS79" s="767" t="str">
        <f>IF(VLOOKUP(A79,'Débit - Abfluss'!$A$4:$K$275,11,FALSE)="","",VLOOKUP(A79,'Débit - Abfluss'!$A$4:$M$275,11,FALSE))</f>
        <v/>
      </c>
      <c r="AT79" s="742" t="str">
        <f>IF(VLOOKUP(A79,'Débit - Abfluss'!$A$4:$Q$275,12,FALSE)="","",VLOOKUP(A79,'Débit - Abfluss'!$A$4:$Q$275,12,FALSE))</f>
        <v>100%</v>
      </c>
      <c r="AU79" s="745" t="str">
        <f>IF(VLOOKUP(A79,'Débit - Abfluss'!$A$4:$Q$275,13,FALSE)="","",VLOOKUP(A79,'Débit - Abfluss'!$A$4:$Q$275,13,FALSE))</f>
        <v/>
      </c>
      <c r="AV79" s="746" t="str">
        <f>IF(VLOOKUP(A79,'Débit - Abfluss'!$A$4:$Q$275,14,FALSE)="","",VLOOKUP(A79,'Débit - Abfluss'!$A$4:$Q$275,14,FALSE))</f>
        <v/>
      </c>
      <c r="AW79" s="768" t="str">
        <f>IF(VLOOKUP(A79,'Débit - Abfluss'!$A$4:$Q$275,15,FALSE)="","",VLOOKUP(A79,'Débit - Abfluss'!$A$4:$Q$275,15,FALSE))</f>
        <v/>
      </c>
      <c r="AX79" s="677" t="str">
        <f>IF(VLOOKUP(A79,'Débit - Abfluss'!$A$4:$Q$275,16,FALSE)="","",VLOOKUP(A79,'Débit - Abfluss'!$A$4:$Q$275,16,FALSE))</f>
        <v/>
      </c>
      <c r="AY79" s="769" t="str">
        <f>IF(VLOOKUP(A79,'Débit - Abfluss'!$A$4:$Q$275,17,FALSE)="","",VLOOKUP(A79,'Débit - Abfluss'!$A$4:$Q$275,17,FALSE))</f>
        <v>100%</v>
      </c>
      <c r="AZ79" s="749" t="str">
        <f>IF(VLOOKUP(A79,'Eclusée - Schwall-Sunk'!$A$2:$F$273,5,FALSE)="","",VLOOKUP(A79,'Eclusée - Schwall-Sunk'!$A$2:$F$273,5,FALSE))</f>
        <v/>
      </c>
      <c r="BA79" s="750" t="str">
        <f>IF(VLOOKUP(A79,'Eclusée - Schwall-Sunk'!$A$2:$F$273,6,FALSE)="","",VLOOKUP(A79,'Eclusée - Schwall-Sunk'!$A$2:$F$273,6,FALSE))</f>
        <v>Non affecté / nicht betroffen</v>
      </c>
      <c r="BB79" s="751">
        <f>IF(VLOOKUP(A79,'Revitalisation-Revitalisierung'!$A$4:$Z$275,5,FALSE)="","",VLOOKUP(A79,'Revitalisation-Revitalisierung'!$A$4:$Z$275,5,FALSE))</f>
        <v>45.381818181818183</v>
      </c>
      <c r="BC79" s="752">
        <f>IF(VLOOKUP(A79,'Revitalisation-Revitalisierung'!$A$4:$Z$275,6,FALSE)="","",VLOOKUP(A79,'Revitalisation-Revitalisierung'!$A$4:$Z$275,6,FALSE))</f>
        <v>47.174194938110894</v>
      </c>
      <c r="BD79" s="752">
        <f>IF(VLOOKUP(A79,'Revitalisation-Revitalisierung'!$A$4:$Z$275,7,FALSE)="","",VLOOKUP(A79,'Revitalisation-Revitalisierung'!$A$4:$Z$275,7,FALSE))</f>
        <v>1.8181818181818181</v>
      </c>
      <c r="BE79" s="753" t="str">
        <f>IF(VLOOKUP(A79,'Revitalisation-Revitalisierung'!$A$4:$Z$275,8,FALSE)="","",VLOOKUP(A79,'Revitalisation-Revitalisierung'!$A$4:$Z$275,8,FALSE))</f>
        <v>très nécessaire, facile</v>
      </c>
      <c r="BF79" s="754" t="str">
        <f>IF(VLOOKUP(A79,'Revitalisation-Revitalisierung'!$A$4:$Z$275,9,FALSE)="","",VLOOKUP(A79,'Revitalisation-Revitalisierung'!$A$4:$Z$275,9,FALSE))</f>
        <v/>
      </c>
      <c r="BG79" s="754" t="str">
        <f>IF(VLOOKUP(A79,'Revitalisation-Revitalisierung'!$A$4:$Z$275,10,FALSE)="","",VLOOKUP(A79,'Revitalisation-Revitalisierung'!$A$4:$Z$275,10,FALSE))</f>
        <v>K1</v>
      </c>
      <c r="BH79" s="755" t="str">
        <f>IF(VLOOKUP(A79,'Revitalisation-Revitalisierung'!$A$4:$Z$275,11,FALSE)="","",VLOOKUP(A79,'Revitalisation-Revitalisierung'!$A$4:$Z$275,11,FALSE))</f>
        <v/>
      </c>
      <c r="BI79" s="756" t="str">
        <f>IF(VLOOKUP(A79,'Revitalisation-Revitalisierung'!$A$4:$Z$275,12,FALSE)="","",VLOOKUP(A79,'Revitalisation-Revitalisierung'!$A$4:$Z$275,12,FALSE))</f>
        <v/>
      </c>
      <c r="BJ79" s="757" t="str">
        <f>IF(VLOOKUP(A79,'Revitalisation-Revitalisierung'!$A$4:$Z$275,13,FALSE)="","",VLOOKUP(A79,'Revitalisation-Revitalisierung'!$A$4:$Z$275,13,FALSE))</f>
        <v>Très nécessaire, difficile / unbedingt nötig, schwierig</v>
      </c>
      <c r="BK79" s="870" t="str">
        <f>IF(VLOOKUP(A79,'Revitalisation-Revitalisierung'!$A$4:$Z$275,14,FALSE)="","",VLOOKUP(A79,'Revitalisation-Revitalisierung'!$A$4:$Z$275,14,FALSE))</f>
        <v>b</v>
      </c>
      <c r="BL79" s="758" t="str">
        <f>IF(VLOOKUP(A79,'Revitalisation-Revitalisierung'!$A$4:$Z$275,15,FALSE)="","",VLOOKUP(A79,'Revitalisation-Revitalisierung'!$A$4:$Z$275,15,FALSE))</f>
        <v>gross</v>
      </c>
      <c r="BM79" s="759" t="str">
        <f>IF(VLOOKUP(A79,'Revitalisation-Revitalisierung'!$A$4:$Z$275,16,FALSE)="","",VLOOKUP(A79,'Revitalisation-Revitalisierung'!$A$4:$Z$275,16,FALSE))</f>
        <v>mittel</v>
      </c>
      <c r="BN79" s="759" t="str">
        <f>IF(VLOOKUP(A79,'Revitalisation-Revitalisierung'!$A$4:$Z$275,17,FALSE)="","",VLOOKUP(A79,'Revitalisation-Revitalisierung'!$A$4:$Z$275,17,FALSE))</f>
        <v>keine</v>
      </c>
      <c r="BO79" s="760" t="str">
        <f>IF(VLOOKUP(A79,'Revitalisation-Revitalisierung'!$A$4:$Z$275,18,FALSE)="","",VLOOKUP(A79,'Revitalisation-Revitalisierung'!$A$4:$Z$275,18,FALSE))</f>
        <v>Partiellement nécessaire, difficile / teilweise nötig, schwierig</v>
      </c>
      <c r="BP79" s="761" t="str">
        <f>IF(VLOOKUP(A79,'Revitalisation-Revitalisierung'!$A$4:$Z$275,19,FALSE)="","",VLOOKUP(A79,'Revitalisation-Revitalisierung'!$A$4:$Z$275,19,FALSE))</f>
        <v>Partiellement nécessaire, difficile / teilweise nötig, schwierig</v>
      </c>
      <c r="BQ79" s="759" t="str">
        <f>IF(VLOOKUP(A79,'Revitalisation-Revitalisierung'!$A$4:$Z$275,20,FALSE)="","",VLOOKUP(A79,'Revitalisation-Revitalisierung'!$A$4:$Z$275,20,FALSE))</f>
        <v>c</v>
      </c>
      <c r="BR79" s="759" t="str">
        <f>IF(VLOOKUP(A79,'Revitalisation-Revitalisierung'!$A$4:$Z$275,21,FALSE)="","",VLOOKUP(A79,'Revitalisation-Revitalisierung'!$A$4:$Z$275,21,FALSE))</f>
        <v/>
      </c>
      <c r="BS79" s="762" t="str">
        <f>IF(VLOOKUP(A79,'Revitalisation-Revitalisierung'!$A$4:$Z$275,22,FALSE)="","",VLOOKUP(A79,'Revitalisation-Revitalisierung'!$A$4:$Z$275,22,FALSE))</f>
        <v/>
      </c>
      <c r="BT79" s="703" t="str">
        <f>IF(VLOOKUP(A79,'Revitalisation-Revitalisierung'!$A$4:$Z$275,23,FALSE)="","",VLOOKUP(A79,'Revitalisation-Revitalisierung'!$A$4:$Z$275,23,FALSE))</f>
        <v>Partiellement nécessaire, difficile / teilweise nötig, schwierig</v>
      </c>
      <c r="BU79" s="699" t="str">
        <f>IF(VLOOKUP(A79,'Revitalisation-Revitalisierung'!$A$4:$Z$275,24,FALSE)="","",VLOOKUP(A79,'Revitalisation-Revitalisierung'!$A$4:$Z$275,24,FALSE))</f>
        <v/>
      </c>
      <c r="BV79" s="761" t="str">
        <f>IF(VLOOKUP(A79,'Revitalisation-Revitalisierung'!$A$4:$Z$275,25,FALSE)="","",VLOOKUP(A79,'Revitalisation-Revitalisierung'!$A$4:$Z$275,25,FALSE))</f>
        <v>Partiellement nécessaire, difficile / teilweise nötig, schwierig</v>
      </c>
      <c r="BW79" s="871" t="str">
        <f>IF(VLOOKUP(A79,'Revitalisation-Revitalisierung'!$A$4:$AA$275,27,FALSE)="","",VLOOKUP(A79,'Revitalisation-Revitalisierung'!$A$4:$AA$275,27,FALSE))</f>
        <v>a</v>
      </c>
    </row>
    <row r="80" spans="1:75" ht="132" customHeight="1" x14ac:dyDescent="0.25">
      <c r="A80" s="935">
        <v>102</v>
      </c>
      <c r="B80" s="856">
        <f>IF(VLOOKUP(A80,'Données de base - Grunddaten'!$A$2:$M$297,2,FALSE)="","",VLOOKUP(A80,'Données de base - Grunddaten'!$A$2:$M$297,2,FALSE))</f>
        <v>1</v>
      </c>
      <c r="C80" s="857" t="str">
        <f>IF(VLOOKUP(A80,'Données de base - Grunddaten'!$A$2:$M$297,3,FALSE)="","",VLOOKUP(A80,'Données de base - Grunddaten'!$A$2:$M$297,3,FALSE))</f>
        <v>Steinibach</v>
      </c>
      <c r="D80" s="857" t="str">
        <f>IF(VLOOKUP(A80,'Données de base - Grunddaten'!$A$2:$M$297,4,FALSE)="","",VLOOKUP(A80,'Données de base - Grunddaten'!$A$2:$M$297,4,FALSE))</f>
        <v>Gerisbach, Sarnersee, Steinibach</v>
      </c>
      <c r="E80" s="857" t="str">
        <f>IF(VLOOKUP(A80,'Données de base - Grunddaten'!$A$2:$M$297,5,FALSE)="","",VLOOKUP(A80,'Données de base - Grunddaten'!$A$2:$M$297,5,FALSE))</f>
        <v>OW</v>
      </c>
      <c r="F80" s="857" t="str">
        <f>IF(VLOOKUP(A80,'Données de base - Grunddaten'!$A$2:$M$297,6,FALSE)="","",VLOOKUP(A80,'Données de base - Grunddaten'!$A$2:$M$297,6,FALSE))</f>
        <v>Alpes septentrionales</v>
      </c>
      <c r="G80" s="857" t="str">
        <f>IF(VLOOKUP(A80,'Données de base - Grunddaten'!$A$2:$M$297,7,FALSE)="","",VLOOKUP(A80,'Données de base - Grunddaten'!$A$2:$M$297,7,FALSE))</f>
        <v>Collinéen</v>
      </c>
      <c r="H80" s="857">
        <f>IF(VLOOKUP(A80,'Données de base - Grunddaten'!$A$2:$M$297,8,FALSE)="","",VLOOKUP(A80,'Données de base - Grunddaten'!$A$2:$M$297,8,FALSE))</f>
        <v>500</v>
      </c>
      <c r="I80" s="857">
        <f>IF(VLOOKUP(A80,'Données de base - Grunddaten'!$A$2:$M$297,9,FALSE)="","",VLOOKUP(A80,'Données de base - Grunddaten'!$A$2:$M$297,9,FALSE))</f>
        <v>1992</v>
      </c>
      <c r="J80" s="857">
        <f>IF(VLOOKUP(A80,'Données de base - Grunddaten'!$A$2:$M$297,10,FALSE)="","",VLOOKUP(A80,'Données de base - Grunddaten'!$A$2:$M$297,10,FALSE))</f>
        <v>81</v>
      </c>
      <c r="K80" s="857" t="str">
        <f>IF(VLOOKUP(A80,'Données de base - Grunddaten'!$A$2:$M$297,11,FALSE)="","",VLOOKUP(A80,'Données de base - Grunddaten'!$A$2:$M$297,11,FALSE))</f>
        <v>Singularité: Cônes d'alluvions de l'étage collinéen</v>
      </c>
      <c r="L80" s="857" t="str">
        <f>IF(VLOOKUP(A80,'Données de base - Grunddaten'!$A$2:$M$297,12,FALSE)="","",VLOOKUP(A80,'Données de base - Grunddaten'!$A$2:$M$297,12,FALSE))</f>
        <v>méandres migrants</v>
      </c>
      <c r="M80" s="858" t="str">
        <f>IF(VLOOKUP(A80,'Données de base - Grunddaten'!$A$2:$M$297,13,FALSE)="","",VLOOKUP(A80,'Données de base - Grunddaten'!$A$2:$M$297,13,FALSE))</f>
        <v>en tresses</v>
      </c>
      <c r="N80" s="872" t="str">
        <f>IF(VLOOKUP(A80,'Charriage - Geschiebehaushalt'!$A$4:$R$275,5,FALSE)="","",VLOOKUP(A80,'Charriage - Geschiebehaushalt'!$A$4:$R$275,5,FALSE))</f>
        <v>pertinent</v>
      </c>
      <c r="O80" s="881" t="str">
        <f>IF(VLOOKUP(A80,'Charriage - Geschiebehaushalt'!$A$4:$R$275,6,FALSE)="","",VLOOKUP(A80,'Charriage - Geschiebehaushalt'!$A$4:$R$275,6,FALSE))</f>
        <v>non documenté</v>
      </c>
      <c r="P80" s="874" t="str">
        <f>IF(VLOOKUP(A80,'Charriage - Geschiebehaushalt'!$A$4:$R$275,7,FALSE)="","",VLOOKUP(A80,'Charriage - Geschiebehaushalt'!$A$4:$R$275,7,FALSE))</f>
        <v/>
      </c>
      <c r="Q80" s="874" t="str">
        <f>IF(VLOOKUP(A80,'Charriage - Geschiebehaushalt'!$A$4:$R$275,8,FALSE)="","",VLOOKUP(A80,'Charriage - Geschiebehaushalt'!$A$4:$R$275,8,FALSE))</f>
        <v>non documenté</v>
      </c>
      <c r="R80" s="875">
        <f>IF(VLOOKUP(A80,'Charriage - Geschiebehaushalt'!$A$4:$R$275,9,FALSE)="","",VLOOKUP(A80,'Charriage - Geschiebehaushalt'!$A$4:$R$275,9,FALSE))</f>
        <v>0</v>
      </c>
      <c r="S80" s="876" t="str">
        <f>IF(VLOOKUP(A80,'Charriage - Geschiebehaushalt'!$A$4:$R$275,10,FALSE)="","",VLOOKUP(A80,'Charriage - Geschiebehaushalt'!$A$4:$R$275,10,FALSE))</f>
        <v>pas ou faiblement entravé</v>
      </c>
      <c r="T80" s="875">
        <f>IF(VLOOKUP(A80,'Charriage - Geschiebehaushalt'!$A$4:$R$275,11,FALSE)="","",VLOOKUP(A80,'Charriage - Geschiebehaushalt'!$A$4:$R$275,11,FALSE))</f>
        <v>0.56621448429999999</v>
      </c>
      <c r="U80" s="895" t="str">
        <f>IF(VLOOKUP(A80,'Charriage - Geschiebehaushalt'!$A$4:$R$275,12,FALSE)="","",VLOOKUP(A80,'Charriage - Geschiebehaushalt'!$A$4:$R$275,12,FALSE))</f>
        <v>déficit non apparent en charriage ou en remobilisation des sédiments</v>
      </c>
      <c r="V80" s="877" t="str">
        <f>IF(VLOOKUP(A80,'Charriage - Geschiebehaushalt'!$A$4:$R$275,13,FALSE)="","",VLOOKUP(A80,'Charriage - Geschiebehaushalt'!$A$4:$R$275,13,FALSE))</f>
        <v/>
      </c>
      <c r="W80" s="877" t="str">
        <f>IF(VLOOKUP(A80,'Charriage - Geschiebehaushalt'!$A$4:$R$275,14,FALSE)="","",VLOOKUP(A80,'Charriage - Geschiebehaushalt'!$A$4:$R$275,14,FALSE))</f>
        <v/>
      </c>
      <c r="X80" s="877" t="str">
        <f>IF(VLOOKUP(A80,'Charriage - Geschiebehaushalt'!$A$4:$R$275,15,FALSE)="","",VLOOKUP(A80,'Charriage - Geschiebehaushalt'!$A$4:$R$275,15,FALSE))</f>
        <v/>
      </c>
      <c r="Y80" s="879" t="str">
        <f>IF(VLOOKUP(A80,'Charriage - Geschiebehaushalt'!$A$4:$R$275,16,FALSE)="","",VLOOKUP(A80,'Charriage - Geschiebehaushalt'!$A$4:$R$275,16,FALSE))</f>
        <v/>
      </c>
      <c r="Z80" s="763" t="str">
        <f>IF(VLOOKUP(A80,'Charriage - Geschiebehaushalt'!$A$4:$R$275,17,FALSE)="","",VLOOKUP(A80,'Charriage - Geschiebehaushalt'!$A$4:$R$275,17,FALSE))</f>
        <v>La remobilisation des sédiments est perturbée / Mobilisierung von Geschiebe beeinträchtigt</v>
      </c>
      <c r="AA80" s="880" t="str">
        <f>IF(VLOOKUP(A80,'Charriage - Geschiebehaushalt'!$A$4:$R$275,18,FALSE)="","",VLOOKUP(A80,'Charriage - Geschiebehaushalt'!$A$4:$R$275,18,FALSE))</f>
        <v>a</v>
      </c>
      <c r="AB80" s="737" t="str">
        <f>IF(VLOOKUP(A80,'Charriage - Geschiebehaushalt'!$A$4:$AC$275,19,FALSE)="","",VLOOKUP(A80,'Charriage - Geschiebehaushalt'!$A$4:$AC$275,19,FALSE))</f>
        <v>keine</v>
      </c>
      <c r="AC80" s="738">
        <f>IF(VLOOKUP(A80,'Charriage - Geschiebehaushalt'!$A$4:$AC$275,20,FALSE)="","",VLOOKUP(A80,'Charriage - Geschiebehaushalt'!$A$4:$AC$275,20,FALSE))</f>
        <v>0</v>
      </c>
      <c r="AD80" s="764" t="str">
        <f>IF(VLOOKUP(A80,'Charriage - Geschiebehaushalt'!$A$4:$AC$275,21,FALSE)="","",VLOOKUP(A80,'Charriage - Geschiebehaushalt'!$A$4:$AC$275,21,FALSE))</f>
        <v>0-20%</v>
      </c>
      <c r="AE80" s="772" t="str">
        <f>IF(VLOOKUP(A80,'Charriage - Geschiebehaushalt'!$A$4:$AC$275,22,FALSE)="","",VLOOKUP(A80,'Charriage - Geschiebehaushalt'!$A$4:$AC$275,22,FALSE))</f>
        <v>0-20%</v>
      </c>
      <c r="AF80" s="787" t="str">
        <f>IF(VLOOKUP(A80,'Charriage - Geschiebehaushalt'!$A$4:$AC$275,23,FALSE)="","",VLOOKUP(A80,'Charriage - Geschiebehaushalt'!$A$4:$AC$275,23,FALSE))</f>
        <v>c</v>
      </c>
      <c r="AG80" s="765" t="str">
        <f>IF(VLOOKUP(A80,'Charriage - Geschiebehaushalt'!$A$4:$AC$275,24,FALSE)="","",VLOOKUP(A80,'Charriage - Geschiebehaushalt'!$A$4:$AC$275,24,FALSE))</f>
        <v>Exploitation de gravier présente devant l'objet,drague dans le lact</v>
      </c>
      <c r="AH80" s="764" t="str">
        <f>IF(VLOOKUP(A80,'Charriage - Geschiebehaushalt'!$A$4:$AC$275,25,FALSE)="","",VLOOKUP(A80,'Charriage - Geschiebehaushalt'!$A$4:$AC$275,25,FALSE))</f>
        <v/>
      </c>
      <c r="AI80" s="771" t="str">
        <f>IF(VLOOKUP(A80,'Charriage - Geschiebehaushalt'!$A$4:$AC$275,26,FALSE)="","",VLOOKUP(A80,'Charriage - Geschiebehaushalt'!$A$4:$AC$275,26,FALSE))</f>
        <v>0-20%</v>
      </c>
      <c r="AJ80" s="434" t="str">
        <f>IF(VLOOKUP(A80,'Charriage - Geschiebehaushalt'!$A$4:$AC$275,27,FALSE)="","",VLOOKUP(A80,'Charriage - Geschiebehaushalt'!$A$4:$AC$275,27,FALSE))</f>
        <v/>
      </c>
      <c r="AK80" s="814" t="str">
        <f>IF(VLOOKUP(A80,'Charriage - Geschiebehaushalt'!$A$4:$AC$275,28,FALSE)="","",VLOOKUP(A80,'Charriage - Geschiebehaushalt'!$A$4:$AC$275,28,FALSE))</f>
        <v>0-20%</v>
      </c>
      <c r="AL80" s="1285" t="str">
        <f>IF(VLOOKUP(A80,'Charriage - Geschiebehaushalt'!$A$4:$AD$275,30,FALSE)="","",VLOOKUP(A80,'Charriage - Geschiebehaushalt'!$A$4:$AD$275,30,FALSE))</f>
        <v>a</v>
      </c>
      <c r="AM80" s="1279" t="str">
        <f>IF(VLOOKUP(A80,'Débit - Abfluss'!$A$4:$K$275,5,FALSE)="","",VLOOKUP(A80,'Débit - Abfluss'!$A$4:$M$275,5,FALSE))</f>
        <v>100%</v>
      </c>
      <c r="AN80" s="868" t="str">
        <f>IF(VLOOKUP(A80,'Débit - Abfluss'!$A$4:$K$275,6,FALSE)="","",VLOOKUP(A80,'Débit - Abfluss'!$A$4:$M$275,6,FALSE))</f>
        <v>affluent (Gerisbach) au delta  à débit résiduel non pris en compte dans l'évaluation globale</v>
      </c>
      <c r="AO80" s="869" t="str">
        <f>IF(VLOOKUP(A80,'Débit - Abfluss'!$A$4:$K$275,7,FALSE)="","",VLOOKUP(A80,'Débit - Abfluss'!$A$4:$M$275,7,FALSE))</f>
        <v/>
      </c>
      <c r="AP80" s="766" t="str">
        <f>IF(VLOOKUP(A80,'Débit - Abfluss'!$A$4:$K$275,8,FALSE)="","",VLOOKUP(A80,'Débit - Abfluss'!$A$4:$M$275,8,FALSE))</f>
        <v>100%</v>
      </c>
      <c r="AQ80" s="742" t="str">
        <f>IF(VLOOKUP(A80,'Débit - Abfluss'!$A$4:$K$275,9,FALSE)="","",VLOOKUP(A80,'Débit - Abfluss'!$A$4:$M$275,9,FALSE))</f>
        <v>-</v>
      </c>
      <c r="AR80" s="767" t="str">
        <f>IF(VLOOKUP(A80,'Débit - Abfluss'!$A$4:$K$275,10,FALSE)="","",VLOOKUP(A80,'Débit - Abfluss'!$A$4:$M$275,10,FALSE))</f>
        <v>100%</v>
      </c>
      <c r="AS80" s="767" t="str">
        <f>IF(VLOOKUP(A80,'Débit - Abfluss'!$A$4:$K$275,11,FALSE)="","",VLOOKUP(A80,'Débit - Abfluss'!$A$4:$M$275,11,FALSE))</f>
        <v/>
      </c>
      <c r="AT80" s="742" t="str">
        <f>IF(VLOOKUP(A80,'Débit - Abfluss'!$A$4:$Q$275,12,FALSE)="","",VLOOKUP(A80,'Débit - Abfluss'!$A$4:$Q$275,12,FALSE))</f>
        <v>100%</v>
      </c>
      <c r="AU80" s="745" t="str">
        <f>IF(VLOOKUP(A80,'Débit - Abfluss'!$A$4:$Q$275,13,FALSE)="","",VLOOKUP(A80,'Débit - Abfluss'!$A$4:$Q$275,13,FALSE))</f>
        <v/>
      </c>
      <c r="AV80" s="746" t="str">
        <f>IF(VLOOKUP(A80,'Débit - Abfluss'!$A$4:$Q$275,14,FALSE)="","",VLOOKUP(A80,'Débit - Abfluss'!$A$4:$Q$275,14,FALSE))</f>
        <v/>
      </c>
      <c r="AW80" s="768" t="str">
        <f>IF(VLOOKUP(A80,'Débit - Abfluss'!$A$4:$Q$275,15,FALSE)="","",VLOOKUP(A80,'Débit - Abfluss'!$A$4:$Q$275,15,FALSE))</f>
        <v/>
      </c>
      <c r="AX80" s="677" t="str">
        <f>IF(VLOOKUP(A80,'Débit - Abfluss'!$A$4:$Q$275,16,FALSE)="","",VLOOKUP(A80,'Débit - Abfluss'!$A$4:$Q$275,16,FALSE))</f>
        <v/>
      </c>
      <c r="AY80" s="769" t="str">
        <f>IF(VLOOKUP(A80,'Débit - Abfluss'!$A$4:$Q$275,17,FALSE)="","",VLOOKUP(A80,'Débit - Abfluss'!$A$4:$Q$275,17,FALSE))</f>
        <v>100%</v>
      </c>
      <c r="AZ80" s="749" t="str">
        <f>IF(VLOOKUP(A80,'Eclusée - Schwall-Sunk'!$A$2:$F$273,5,FALSE)="","",VLOOKUP(A80,'Eclusée - Schwall-Sunk'!$A$2:$F$273,5,FALSE))</f>
        <v/>
      </c>
      <c r="BA80" s="750" t="str">
        <f>IF(VLOOKUP(A80,'Eclusée - Schwall-Sunk'!$A$2:$F$273,6,FALSE)="","",VLOOKUP(A80,'Eclusée - Schwall-Sunk'!$A$2:$F$273,6,FALSE))</f>
        <v>Non affecté / nicht betroffen</v>
      </c>
      <c r="BB80" s="751">
        <f>IF(VLOOKUP(A80,'Revitalisation-Revitalisierung'!$A$4:$Z$275,5,FALSE)="","",VLOOKUP(A80,'Revitalisation-Revitalisierung'!$A$4:$Z$275,5,FALSE))</f>
        <v>-6.3636363636363633</v>
      </c>
      <c r="BC80" s="752">
        <f>IF(VLOOKUP(A80,'Revitalisation-Revitalisierung'!$A$4:$Z$275,6,FALSE)="","",VLOOKUP(A80,'Revitalisation-Revitalisierung'!$A$4:$Z$275,6,FALSE))</f>
        <v>0</v>
      </c>
      <c r="BD80" s="752">
        <f>IF(VLOOKUP(A80,'Revitalisation-Revitalisierung'!$A$4:$Z$275,7,FALSE)="","",VLOOKUP(A80,'Revitalisation-Revitalisierung'!$A$4:$Z$275,7,FALSE))</f>
        <v>6.3636363636363633</v>
      </c>
      <c r="BE80" s="753" t="str">
        <f>IF(VLOOKUP(A80,'Revitalisation-Revitalisierung'!$A$4:$Z$275,8,FALSE)="","",VLOOKUP(A80,'Revitalisation-Revitalisierung'!$A$4:$Z$275,8,FALSE))</f>
        <v>non nécessaire</v>
      </c>
      <c r="BF80" s="754" t="str">
        <f>IF(VLOOKUP(A80,'Revitalisation-Revitalisierung'!$A$4:$Z$275,9,FALSE)="","",VLOOKUP(A80,'Revitalisation-Revitalisierung'!$A$4:$Z$275,9,FALSE))</f>
        <v/>
      </c>
      <c r="BG80" s="754" t="str">
        <f>IF(VLOOKUP(A80,'Revitalisation-Revitalisierung'!$A$4:$Z$275,10,FALSE)="","",VLOOKUP(A80,'Revitalisation-Revitalisierung'!$A$4:$Z$275,10,FALSE))</f>
        <v>K1</v>
      </c>
      <c r="BH80" s="755" t="str">
        <f>IF(VLOOKUP(A80,'Revitalisation-Revitalisierung'!$A$4:$Z$275,11,FALSE)="","",VLOOKUP(A80,'Revitalisation-Revitalisierung'!$A$4:$Z$275,11,FALSE))</f>
        <v/>
      </c>
      <c r="BI80" s="756" t="str">
        <f>IF(VLOOKUP(A80,'Revitalisation-Revitalisierung'!$A$4:$Z$275,12,FALSE)="","",VLOOKUP(A80,'Revitalisation-Revitalisierung'!$A$4:$Z$275,12,FALSE))</f>
        <v/>
      </c>
      <c r="BJ80" s="757" t="str">
        <f>IF(VLOOKUP(A80,'Revitalisation-Revitalisierung'!$A$4:$Z$275,13,FALSE)="","",VLOOKUP(A80,'Revitalisation-Revitalisierung'!$A$4:$Z$275,13,FALSE))</f>
        <v>Très nécessaire, difficile / unbedingt nötig, schwierig</v>
      </c>
      <c r="BK80" s="870" t="str">
        <f>IF(VLOOKUP(A80,'Revitalisation-Revitalisierung'!$A$4:$Z$275,14,FALSE)="","",VLOOKUP(A80,'Revitalisation-Revitalisierung'!$A$4:$Z$275,14,FALSE))</f>
        <v>b</v>
      </c>
      <c r="BL80" s="758" t="str">
        <f>IF(VLOOKUP(A80,'Revitalisation-Revitalisierung'!$A$4:$Z$275,15,FALSE)="","",VLOOKUP(A80,'Revitalisation-Revitalisierung'!$A$4:$Z$275,15,FALSE))</f>
        <v>gross</v>
      </c>
      <c r="BM80" s="759" t="str">
        <f>IF(VLOOKUP(A80,'Revitalisation-Revitalisierung'!$A$4:$Z$275,16,FALSE)="","",VLOOKUP(A80,'Revitalisation-Revitalisierung'!$A$4:$Z$275,16,FALSE))</f>
        <v>gering</v>
      </c>
      <c r="BN80" s="759" t="str">
        <f>IF(VLOOKUP(A80,'Revitalisation-Revitalisierung'!$A$4:$Z$275,17,FALSE)="","",VLOOKUP(A80,'Revitalisation-Revitalisierung'!$A$4:$Z$275,17,FALSE))</f>
        <v>keine</v>
      </c>
      <c r="BO80" s="760" t="str">
        <f>IF(VLOOKUP(A80,'Revitalisation-Revitalisierung'!$A$4:$Z$275,18,FALSE)="","",VLOOKUP(A80,'Revitalisation-Revitalisierung'!$A$4:$Z$275,18,FALSE))</f>
        <v>Non nécessaire / nicht nötig</v>
      </c>
      <c r="BP80" s="761" t="str">
        <f>IF(VLOOKUP(A80,'Revitalisation-Revitalisierung'!$A$4:$Z$275,19,FALSE)="","",VLOOKUP(A80,'Revitalisation-Revitalisierung'!$A$4:$Z$275,19,FALSE))</f>
        <v>Non nécessaire / nicht nötig</v>
      </c>
      <c r="BQ80" s="759" t="str">
        <f>IF(VLOOKUP(A80,'Revitalisation-Revitalisierung'!$A$4:$Z$275,20,FALSE)="","",VLOOKUP(A80,'Revitalisation-Revitalisierung'!$A$4:$Z$275,20,FALSE))</f>
        <v>c</v>
      </c>
      <c r="BR80" s="759" t="str">
        <f>IF(VLOOKUP(A80,'Revitalisation-Revitalisierung'!$A$4:$Z$275,21,FALSE)="","",VLOOKUP(A80,'Revitalisation-Revitalisierung'!$A$4:$Z$275,21,FALSE))</f>
        <v/>
      </c>
      <c r="BS80" s="762" t="str">
        <f>IF(VLOOKUP(A80,'Revitalisation-Revitalisierung'!$A$4:$Z$275,22,FALSE)="","",VLOOKUP(A80,'Revitalisation-Revitalisierung'!$A$4:$Z$275,22,FALSE))</f>
        <v/>
      </c>
      <c r="BT80" s="703" t="str">
        <f>IF(VLOOKUP(A80,'Revitalisation-Revitalisierung'!$A$4:$Z$275,23,FALSE)="","",VLOOKUP(A80,'Revitalisation-Revitalisierung'!$A$4:$Z$275,23,FALSE))</f>
        <v>Non nécessaire / nicht nötig</v>
      </c>
      <c r="BU80" s="699" t="str">
        <f>IF(VLOOKUP(A80,'Revitalisation-Revitalisierung'!$A$4:$Z$275,24,FALSE)="","",VLOOKUP(A80,'Revitalisation-Revitalisierung'!$A$4:$Z$275,24,FALSE))</f>
        <v/>
      </c>
      <c r="BV80" s="761" t="str">
        <f>IF(VLOOKUP(A80,'Revitalisation-Revitalisierung'!$A$4:$Z$275,25,FALSE)="","",VLOOKUP(A80,'Revitalisation-Revitalisierung'!$A$4:$Z$275,25,FALSE))</f>
        <v>Non nécessaire / nicht nötig</v>
      </c>
      <c r="BW80" s="871" t="str">
        <f>IF(VLOOKUP(A80,'Revitalisation-Revitalisierung'!$A$4:$AA$275,27,FALSE)="","",VLOOKUP(A80,'Revitalisation-Revitalisierung'!$A$4:$AA$275,27,FALSE))</f>
        <v>a</v>
      </c>
    </row>
    <row r="81" spans="1:75" ht="73.900000000000006" customHeight="1" x14ac:dyDescent="0.25">
      <c r="A81" s="935">
        <v>104</v>
      </c>
      <c r="B81" s="856">
        <f>IF(VLOOKUP(A81,'Données de base - Grunddaten'!$A$2:$M$297,2,FALSE)="","",VLOOKUP(A81,'Données de base - Grunddaten'!$A$2:$M$297,2,FALSE))</f>
        <v>1</v>
      </c>
      <c r="C81" s="857" t="str">
        <f>IF(VLOOKUP(A81,'Données de base - Grunddaten'!$A$2:$M$297,3,FALSE)="","",VLOOKUP(A81,'Données de base - Grunddaten'!$A$2:$M$297,3,FALSE))</f>
        <v>Tristel</v>
      </c>
      <c r="D81" s="857" t="str">
        <f>IF(VLOOKUP(A81,'Données de base - Grunddaten'!$A$2:$M$297,4,FALSE)="","",VLOOKUP(A81,'Données de base - Grunddaten'!$A$2:$M$297,4,FALSE))</f>
        <v>Muota</v>
      </c>
      <c r="E81" s="857" t="str">
        <f>IF(VLOOKUP(A81,'Données de base - Grunddaten'!$A$2:$M$297,5,FALSE)="","",VLOOKUP(A81,'Données de base - Grunddaten'!$A$2:$M$297,5,FALSE))</f>
        <v>SZ</v>
      </c>
      <c r="F81" s="857" t="str">
        <f>IF(VLOOKUP(A81,'Données de base - Grunddaten'!$A$2:$M$297,6,FALSE)="","",VLOOKUP(A81,'Données de base - Grunddaten'!$A$2:$M$297,6,FALSE))</f>
        <v>Alpes septentrionales</v>
      </c>
      <c r="G81" s="857" t="str">
        <f>IF(VLOOKUP(A81,'Données de base - Grunddaten'!$A$2:$M$297,7,FALSE)="","",VLOOKUP(A81,'Données de base - Grunddaten'!$A$2:$M$297,7,FALSE))</f>
        <v>Collinéen</v>
      </c>
      <c r="H81" s="857">
        <f>IF(VLOOKUP(A81,'Données de base - Grunddaten'!$A$2:$M$297,8,FALSE)="","",VLOOKUP(A81,'Données de base - Grunddaten'!$A$2:$M$297,8,FALSE))</f>
        <v>595</v>
      </c>
      <c r="I81" s="857">
        <f>IF(VLOOKUP(A81,'Données de base - Grunddaten'!$A$2:$M$297,9,FALSE)="","",VLOOKUP(A81,'Données de base - Grunddaten'!$A$2:$M$297,9,FALSE))</f>
        <v>1992</v>
      </c>
      <c r="J81" s="857">
        <f>IF(VLOOKUP(A81,'Données de base - Grunddaten'!$A$2:$M$297,10,FALSE)="","",VLOOKUP(A81,'Données de base - Grunddaten'!$A$2:$M$297,10,FALSE))</f>
        <v>52</v>
      </c>
      <c r="K81" s="857" t="str">
        <f>IF(VLOOKUP(A81,'Données de base - Grunddaten'!$A$2:$M$297,11,FALSE)="","",VLOOKUP(A81,'Données de base - Grunddaten'!$A$2:$M$297,11,FALSE))</f>
        <v>Cours d'eau corrigés de l'étage collinéen du Moyen-Pays</v>
      </c>
      <c r="L81" s="857" t="str">
        <f>IF(VLOOKUP(A81,'Données de base - Grunddaten'!$A$2:$M$297,12,FALSE)="","",VLOOKUP(A81,'Données de base - Grunddaten'!$A$2:$M$297,12,FALSE))</f>
        <v>en méandres migrants</v>
      </c>
      <c r="M81" s="858" t="str">
        <f>IF(VLOOKUP(A81,'Données de base - Grunddaten'!$A$2:$M$297,13,FALSE)="","",VLOOKUP(A81,'Données de base - Grunddaten'!$A$2:$M$297,13,FALSE))</f>
        <v>en méandres migrants</v>
      </c>
      <c r="N81" s="872" t="str">
        <f>IF(VLOOKUP(A81,'Charriage - Geschiebehaushalt'!$A$4:$R$275,5,FALSE)="","",VLOOKUP(A81,'Charriage - Geschiebehaushalt'!$A$4:$R$275,5,FALSE))</f>
        <v>pertinent</v>
      </c>
      <c r="O81" s="881" t="str">
        <f>IF(VLOOKUP(A81,'Charriage - Geschiebehaushalt'!$A$4:$R$275,6,FALSE)="","",VLOOKUP(A81,'Charriage - Geschiebehaushalt'!$A$4:$R$275,6,FALSE))</f>
        <v>non documenté</v>
      </c>
      <c r="P81" s="874" t="str">
        <f>IF(VLOOKUP(A81,'Charriage - Geschiebehaushalt'!$A$4:$R$275,7,FALSE)="","",VLOOKUP(A81,'Charriage - Geschiebehaushalt'!$A$4:$R$275,7,FALSE))</f>
        <v/>
      </c>
      <c r="Q81" s="874" t="str">
        <f>IF(VLOOKUP(A81,'Charriage - Geschiebehaushalt'!$A$4:$R$275,8,FALSE)="","",VLOOKUP(A81,'Charriage - Geschiebehaushalt'!$A$4:$R$275,8,FALSE))</f>
        <v>non documenté</v>
      </c>
      <c r="R81" s="875">
        <f>IF(VLOOKUP(A81,'Charriage - Geschiebehaushalt'!$A$4:$R$275,9,FALSE)="","",VLOOKUP(A81,'Charriage - Geschiebehaushalt'!$A$4:$R$275,9,FALSE))</f>
        <v>0.48955988298707498</v>
      </c>
      <c r="S81" s="895" t="str">
        <f>IF(VLOOKUP(A81,'Charriage - Geschiebehaushalt'!$A$4:$R$275,10,FALSE)="","",VLOOKUP(A81,'Charriage - Geschiebehaushalt'!$A$4:$R$275,10,FALSE))</f>
        <v>la remobilisation des sédiments est perturbée</v>
      </c>
      <c r="T81" s="875">
        <f>IF(VLOOKUP(A81,'Charriage - Geschiebehaushalt'!$A$4:$R$275,11,FALSE)="","",VLOOKUP(A81,'Charriage - Geschiebehaushalt'!$A$4:$R$275,11,FALSE))</f>
        <v>0</v>
      </c>
      <c r="U81" s="876" t="str">
        <f>IF(VLOOKUP(A81,'Charriage - Geschiebehaushalt'!$A$4:$R$275,12,FALSE)="","",VLOOKUP(A81,'Charriage - Geschiebehaushalt'!$A$4:$R$275,12,FALSE))</f>
        <v>déficit dans les formations pionnières</v>
      </c>
      <c r="V81" s="877" t="str">
        <f>IF(VLOOKUP(A81,'Charriage - Geschiebehaushalt'!$A$4:$R$275,13,FALSE)="","",VLOOKUP(A81,'Charriage - Geschiebehaushalt'!$A$4:$R$275,13,FALSE))</f>
        <v/>
      </c>
      <c r="W81" s="877" t="str">
        <f>IF(VLOOKUP(A81,'Charriage - Geschiebehaushalt'!$A$4:$R$275,14,FALSE)="","",VLOOKUP(A81,'Charriage - Geschiebehaushalt'!$A$4:$R$275,14,FALSE))</f>
        <v/>
      </c>
      <c r="X81" s="877" t="str">
        <f>IF(VLOOKUP(A81,'Charriage - Geschiebehaushalt'!$A$4:$R$275,15,FALSE)="","",VLOOKUP(A81,'Charriage - Geschiebehaushalt'!$A$4:$R$275,15,FALSE))</f>
        <v/>
      </c>
      <c r="Y81" s="879" t="str">
        <f>IF(VLOOKUP(A81,'Charriage - Geschiebehaushalt'!$A$4:$R$275,16,FALSE)="","",VLOOKUP(A81,'Charriage - Geschiebehaushalt'!$A$4:$R$275,16,FALSE))</f>
        <v/>
      </c>
      <c r="Z81" s="763" t="str">
        <f>IF(VLOOKUP(A81,'Charriage - Geschiebehaushalt'!$A$4:$R$275,17,FALSE)="","",VLOOKUP(A81,'Charriage - Geschiebehaushalt'!$A$4:$R$275,17,FALSE))</f>
        <v>La remobilisation des sédiments est perturbée / Mobilisierung von Geschiebe beeinträchtigt</v>
      </c>
      <c r="AA81" s="880" t="str">
        <f>IF(VLOOKUP(A81,'Charriage - Geschiebehaushalt'!$A$4:$R$275,18,FALSE)="","",VLOOKUP(A81,'Charriage - Geschiebehaushalt'!$A$4:$R$275,18,FALSE))</f>
        <v>b</v>
      </c>
      <c r="AB81" s="737" t="str">
        <f>IF(VLOOKUP(A81,'Charriage - Geschiebehaushalt'!$A$4:$AC$275,19,FALSE)="","",VLOOKUP(A81,'Charriage - Geschiebehaushalt'!$A$4:$AC$275,19,FALSE))</f>
        <v>nicht wesentlich</v>
      </c>
      <c r="AC81" s="738" t="str">
        <f>IF(VLOOKUP(A81,'Charriage - Geschiebehaushalt'!$A$4:$AC$275,20,FALSE)="","",VLOOKUP(A81,'Charriage - Geschiebehaushalt'!$A$4:$AC$275,20,FALSE))</f>
        <v>-</v>
      </c>
      <c r="AD81" s="764" t="str">
        <f>IF(VLOOKUP(A81,'Charriage - Geschiebehaushalt'!$A$4:$AC$275,21,FALSE)="","",VLOOKUP(A81,'Charriage - Geschiebehaushalt'!$A$4:$AC$275,21,FALSE))</f>
        <v>0-20%</v>
      </c>
      <c r="AE81" s="772" t="str">
        <f>IF(VLOOKUP(A81,'Charriage - Geschiebehaushalt'!$A$4:$AC$275,22,FALSE)="","",VLOOKUP(A81,'Charriage - Geschiebehaushalt'!$A$4:$AC$275,22,FALSE))</f>
        <v>0-20%</v>
      </c>
      <c r="AF81" s="787" t="str">
        <f>IF(VLOOKUP(A81,'Charriage - Geschiebehaushalt'!$A$4:$AC$275,23,FALSE)="","",VLOOKUP(A81,'Charriage - Geschiebehaushalt'!$A$4:$AC$275,23,FALSE))</f>
        <v>c</v>
      </c>
      <c r="AG81" s="765" t="str">
        <f>IF(VLOOKUP(A81,'Charriage - Geschiebehaushalt'!$A$4:$AC$275,24,FALSE)="","",VLOOKUP(A81,'Charriage - Geschiebehaushalt'!$A$4:$AC$275,24,FALSE))</f>
        <v/>
      </c>
      <c r="AH81" s="764" t="str">
        <f>IF(VLOOKUP(A81,'Charriage - Geschiebehaushalt'!$A$4:$AC$275,25,FALSE)="","",VLOOKUP(A81,'Charriage - Geschiebehaushalt'!$A$4:$AC$275,25,FALSE))</f>
        <v/>
      </c>
      <c r="AI81" s="433" t="str">
        <f>IF(VLOOKUP(A81,'Charriage - Geschiebehaushalt'!$A$4:$AC$275,26,FALSE)="","",VLOOKUP(A81,'Charriage - Geschiebehaushalt'!$A$4:$AC$275,26,FALSE))</f>
        <v/>
      </c>
      <c r="AJ81" s="436" t="str">
        <f>IF(VLOOKUP(A81,'Charriage - Geschiebehaushalt'!$A$4:$AC$275,27,FALSE)="","",VLOOKUP(A81,'Charriage - Geschiebehaushalt'!$A$4:$AC$275,27,FALSE))</f>
        <v>Die Muota hat ein Geschiebedefizit. Deshalb tieft sie sich u.a. im Bereich Tristel ein. Dies hat eine verminderte Überflutungs- und Geschiebedynamik im Auengebiet zur Folge.</v>
      </c>
      <c r="AK81" s="801" t="str">
        <f>IF(VLOOKUP(A81,'Charriage - Geschiebehaushalt'!$A$4:$AC$275,28,FALSE)="","",VLOOKUP(A81,'Charriage - Geschiebehaushalt'!$A$4:$AC$275,28,FALSE))</f>
        <v>0-20%</v>
      </c>
      <c r="AL81" s="1285" t="str">
        <f>IF(VLOOKUP(A81,'Charriage - Geschiebehaushalt'!$A$4:$AD$275,30,FALSE)="","",VLOOKUP(A81,'Charriage - Geschiebehaushalt'!$A$4:$AD$275,30,FALSE))</f>
        <v>a</v>
      </c>
      <c r="AM81" s="1279" t="str">
        <f>IF(VLOOKUP(A81,'Débit - Abfluss'!$A$4:$K$275,5,FALSE)="","",VLOOKUP(A81,'Débit - Abfluss'!$A$4:$M$275,5,FALSE))</f>
        <v>81-100%</v>
      </c>
      <c r="AN81" s="868" t="str">
        <f>IF(VLOOKUP(A81,'Débit - Abfluss'!$A$4:$K$275,6,FALSE)="","",VLOOKUP(A81,'Débit - Abfluss'!$A$4:$M$275,6,FALSE))</f>
        <v/>
      </c>
      <c r="AO81" s="869" t="str">
        <f>IF(VLOOKUP(A81,'Débit - Abfluss'!$A$4:$K$275,7,FALSE)="","",VLOOKUP(A81,'Débit - Abfluss'!$A$4:$M$275,7,FALSE))</f>
        <v/>
      </c>
      <c r="AP81" s="766" t="str">
        <f>IF(VLOOKUP(A81,'Débit - Abfluss'!$A$4:$K$275,8,FALSE)="","",VLOOKUP(A81,'Débit - Abfluss'!$A$4:$M$275,8,FALSE))</f>
        <v>81-100%</v>
      </c>
      <c r="AQ81" s="742" t="str">
        <f>IF(VLOOKUP(A81,'Débit - Abfluss'!$A$4:$K$275,9,FALSE)="","",VLOOKUP(A81,'Débit - Abfluss'!$A$4:$M$275,9,FALSE))</f>
        <v>-</v>
      </c>
      <c r="AR81" s="767" t="str">
        <f>IF(VLOOKUP(A81,'Débit - Abfluss'!$A$4:$K$275,10,FALSE)="","",VLOOKUP(A81,'Débit - Abfluss'!$A$4:$M$275,10,FALSE))</f>
        <v>81-100%</v>
      </c>
      <c r="AS81" s="767" t="str">
        <f>IF(VLOOKUP(A81,'Débit - Abfluss'!$A$4:$K$275,11,FALSE)="","",VLOOKUP(A81,'Débit - Abfluss'!$A$4:$M$275,11,FALSE))</f>
        <v/>
      </c>
      <c r="AT81" s="744" t="str">
        <f>IF(VLOOKUP(A81,'Débit - Abfluss'!$A$4:$Q$275,12,FALSE)="","",VLOOKUP(A81,'Débit - Abfluss'!$A$4:$Q$275,12,FALSE))</f>
        <v/>
      </c>
      <c r="AU81" s="768" t="str">
        <f>IF(VLOOKUP(A81,'Débit - Abfluss'!$A$4:$Q$275,13,FALSE)="","",VLOOKUP(A81,'Débit - Abfluss'!$A$4:$Q$275,13,FALSE))</f>
        <v>OK</v>
      </c>
      <c r="AV81" s="746" t="str">
        <f>IF(VLOOKUP(A81,'Débit - Abfluss'!$A$4:$Q$275,14,FALSE)="","",VLOOKUP(A81,'Débit - Abfluss'!$A$4:$Q$275,14,FALSE))</f>
        <v/>
      </c>
      <c r="AW81" s="768" t="str">
        <f>IF(VLOOKUP(A81,'Débit - Abfluss'!$A$4:$Q$275,15,FALSE)="","",VLOOKUP(A81,'Débit - Abfluss'!$A$4:$Q$275,15,FALSE))</f>
        <v/>
      </c>
      <c r="AX81" s="679" t="str">
        <f>IF(VLOOKUP(A81,'Débit - Abfluss'!$A$4:$Q$275,16,FALSE)="","",VLOOKUP(A81,'Débit - Abfluss'!$A$4:$Q$275,16,FALSE))</f>
        <v xml:space="preserve">Neukonzessionierung 2030 (UVB 2017) </v>
      </c>
      <c r="AY81" s="769" t="str">
        <f>IF(VLOOKUP(A81,'Débit - Abfluss'!$A$4:$Q$275,17,FALSE)="","",VLOOKUP(A81,'Débit - Abfluss'!$A$4:$Q$275,17,FALSE))</f>
        <v>81-100%</v>
      </c>
      <c r="AZ81" s="749" t="str">
        <f>IF(VLOOKUP(A81,'Eclusée - Schwall-Sunk'!$A$2:$F$273,5,FALSE)="","",VLOOKUP(A81,'Eclusée - Schwall-Sunk'!$A$2:$F$273,5,FALSE))</f>
        <v>force hydraulique</v>
      </c>
      <c r="BA81" s="750" t="str">
        <f>IF(VLOOKUP(A81,'Eclusée - Schwall-Sunk'!$A$2:$F$273,6,FALSE)="","",VLOOKUP(A81,'Eclusée - Schwall-Sunk'!$A$2:$F$273,6,FALSE))</f>
        <v>Potentiellement affecté / möglicherweise betroffen</v>
      </c>
      <c r="BB81" s="751">
        <f>IF(VLOOKUP(A81,'Revitalisation-Revitalisierung'!$A$4:$Z$275,5,FALSE)="","",VLOOKUP(A81,'Revitalisation-Revitalisierung'!$A$4:$Z$275,5,FALSE))</f>
        <v>65.527272727272731</v>
      </c>
      <c r="BC81" s="752">
        <f>IF(VLOOKUP(A81,'Revitalisation-Revitalisierung'!$A$4:$Z$275,6,FALSE)="","",VLOOKUP(A81,'Revitalisation-Revitalisierung'!$A$4:$Z$275,6,FALSE))</f>
        <v>67.843592376666649</v>
      </c>
      <c r="BD81" s="752">
        <f>IF(VLOOKUP(A81,'Revitalisation-Revitalisierung'!$A$4:$Z$275,7,FALSE)="","",VLOOKUP(A81,'Revitalisation-Revitalisierung'!$A$4:$Z$275,7,FALSE))</f>
        <v>2.2727272727272729</v>
      </c>
      <c r="BE81" s="753" t="str">
        <f>IF(VLOOKUP(A81,'Revitalisation-Revitalisierung'!$A$4:$Z$275,8,FALSE)="","",VLOOKUP(A81,'Revitalisation-Revitalisierung'!$A$4:$Z$275,8,FALSE))</f>
        <v>très nécessaire, facile</v>
      </c>
      <c r="BF81" s="754" t="str">
        <f>IF(VLOOKUP(A81,'Revitalisation-Revitalisierung'!$A$4:$Z$275,9,FALSE)="","",VLOOKUP(A81,'Revitalisation-Revitalisierung'!$A$4:$Z$275,9,FALSE))</f>
        <v/>
      </c>
      <c r="BG81" s="754" t="str">
        <f>IF(VLOOKUP(A81,'Revitalisation-Revitalisierung'!$A$4:$Z$275,10,FALSE)="","",VLOOKUP(A81,'Revitalisation-Revitalisierung'!$A$4:$Z$275,10,FALSE))</f>
        <v>K2</v>
      </c>
      <c r="BH81" s="755" t="str">
        <f>IF(VLOOKUP(A81,'Revitalisation-Revitalisierung'!$A$4:$Z$275,11,FALSE)="","",VLOOKUP(A81,'Revitalisation-Revitalisierung'!$A$4:$Z$275,11,FALSE))</f>
        <v/>
      </c>
      <c r="BI81" s="756" t="str">
        <f>IF(VLOOKUP(A81,'Revitalisation-Revitalisierung'!$A$4:$Z$275,12,FALSE)="","",VLOOKUP(A81,'Revitalisation-Revitalisierung'!$A$4:$Z$275,12,FALSE))</f>
        <v/>
      </c>
      <c r="BJ81" s="757" t="str">
        <f>IF(VLOOKUP(A81,'Revitalisation-Revitalisierung'!$A$4:$Z$275,13,FALSE)="","",VLOOKUP(A81,'Revitalisation-Revitalisierung'!$A$4:$Z$275,13,FALSE))</f>
        <v>Non nécessaire / nicht nötig</v>
      </c>
      <c r="BK81" s="870" t="str">
        <f>IF(VLOOKUP(A81,'Revitalisation-Revitalisierung'!$A$4:$Z$275,14,FALSE)="","",VLOOKUP(A81,'Revitalisation-Revitalisierung'!$A$4:$Z$275,14,FALSE))</f>
        <v>b</v>
      </c>
      <c r="BL81" s="758" t="str">
        <f>IF(VLOOKUP(A81,'Revitalisation-Revitalisierung'!$A$4:$Z$275,15,FALSE)="","",VLOOKUP(A81,'Revitalisation-Revitalisierung'!$A$4:$Z$275,15,FALSE))</f>
        <v>gross</v>
      </c>
      <c r="BM81" s="759" t="str">
        <f>IF(VLOOKUP(A81,'Revitalisation-Revitalisierung'!$A$4:$Z$275,16,FALSE)="","",VLOOKUP(A81,'Revitalisation-Revitalisierung'!$A$4:$Z$275,16,FALSE))</f>
        <v>gross</v>
      </c>
      <c r="BN81" s="759" t="str">
        <f>IF(VLOOKUP(A81,'Revitalisation-Revitalisierung'!$A$4:$Z$275,17,FALSE)="","",VLOOKUP(A81,'Revitalisation-Revitalisierung'!$A$4:$Z$275,17,FALSE))</f>
        <v>Umsetzung in den nächsten 20 Jahren</v>
      </c>
      <c r="BO81" s="760" t="str">
        <f>IF(VLOOKUP(A81,'Revitalisation-Revitalisierung'!$A$4:$Z$275,18,FALSE)="","",VLOOKUP(A81,'Revitalisation-Revitalisierung'!$A$4:$Z$275,18,FALSE))</f>
        <v>Très nécessaire, facile / unbedingt nötig, einfach</v>
      </c>
      <c r="BP81" s="761" t="str">
        <f>IF(VLOOKUP(A81,'Revitalisation-Revitalisierung'!$A$4:$Z$275,19,FALSE)="","",VLOOKUP(A81,'Revitalisation-Revitalisierung'!$A$4:$Z$275,19,FALSE))</f>
        <v>Très nécessaire, facile / unbedingt nötig, einfach</v>
      </c>
      <c r="BQ81" s="759" t="str">
        <f>IF(VLOOKUP(A81,'Revitalisation-Revitalisierung'!$A$4:$Z$275,20,FALSE)="","",VLOOKUP(A81,'Revitalisation-Revitalisierung'!$A$4:$Z$275,20,FALSE))</f>
        <v>c</v>
      </c>
      <c r="BR81" s="759" t="str">
        <f>IF(VLOOKUP(A81,'Revitalisation-Revitalisierung'!$A$4:$Z$275,21,FALSE)="","",VLOOKUP(A81,'Revitalisation-Revitalisierung'!$A$4:$Z$275,21,FALSE))</f>
        <v/>
      </c>
      <c r="BS81" s="762" t="str">
        <f>IF(VLOOKUP(A81,'Revitalisation-Revitalisierung'!$A$4:$Z$275,22,FALSE)="","",VLOOKUP(A81,'Revitalisation-Revitalisierung'!$A$4:$Z$275,22,FALSE))</f>
        <v/>
      </c>
      <c r="BT81" s="703" t="str">
        <f>IF(VLOOKUP(A81,'Revitalisation-Revitalisierung'!$A$4:$Z$275,23,FALSE)="","",VLOOKUP(A81,'Revitalisation-Revitalisierung'!$A$4:$Z$275,23,FALSE))</f>
        <v/>
      </c>
      <c r="BU81" s="699" t="str">
        <f>IF(VLOOKUP(A81,'Revitalisation-Revitalisierung'!$A$4:$Z$275,24,FALSE)="","",VLOOKUP(A81,'Revitalisation-Revitalisierung'!$A$4:$Z$275,24,FALSE))</f>
        <v>Revitalisierung 2009 erfolgt, Monitoring beim Amt für Natur, Jagd und Fischerei</v>
      </c>
      <c r="BV81" s="761" t="str">
        <f>IF(VLOOKUP(A81,'Revitalisation-Revitalisierung'!$A$4:$Z$275,25,FALSE)="","",VLOOKUP(A81,'Revitalisation-Revitalisierung'!$A$4:$Z$275,25,FALSE))</f>
        <v>Très nécessaire, facile / unbedingt nötig, einfach</v>
      </c>
      <c r="BW81" s="871" t="str">
        <f>IF(VLOOKUP(A81,'Revitalisation-Revitalisierung'!$A$4:$AA$275,27,FALSE)="","",VLOOKUP(A81,'Revitalisation-Revitalisierung'!$A$4:$AA$275,27,FALSE))</f>
        <v>a</v>
      </c>
    </row>
    <row r="82" spans="1:75" ht="93" customHeight="1" x14ac:dyDescent="0.25">
      <c r="A82" s="936">
        <v>105.1</v>
      </c>
      <c r="B82" s="856">
        <f>IF(VLOOKUP(A82,'Données de base - Grunddaten'!$A$2:$M$297,2,FALSE)="","",VLOOKUP(A82,'Données de base - Grunddaten'!$A$2:$M$297,2,FALSE))</f>
        <v>1</v>
      </c>
      <c r="C82" s="857" t="str">
        <f>IF(VLOOKUP(A82,'Données de base - Grunddaten'!$A$2:$M$297,3,FALSE)="","",VLOOKUP(A82,'Données de base - Grunddaten'!$A$2:$M$297,3,FALSE))</f>
        <v>Reussdelta</v>
      </c>
      <c r="D82" s="857" t="str">
        <f>IF(VLOOKUP(A82,'Données de base - Grunddaten'!$A$2:$M$297,4,FALSE)="","",VLOOKUP(A82,'Données de base - Grunddaten'!$A$2:$M$297,4,FALSE))</f>
        <v>Reuss, Urnersee</v>
      </c>
      <c r="E82" s="857" t="str">
        <f>IF(VLOOKUP(A82,'Données de base - Grunddaten'!$A$2:$M$297,5,FALSE)="","",VLOOKUP(A82,'Données de base - Grunddaten'!$A$2:$M$297,5,FALSE))</f>
        <v>UR</v>
      </c>
      <c r="F82" s="857" t="str">
        <f>IF(VLOOKUP(A82,'Données de base - Grunddaten'!$A$2:$M$297,6,FALSE)="","",VLOOKUP(A82,'Données de base - Grunddaten'!$A$2:$M$297,6,FALSE))</f>
        <v>Alpes septentrionales</v>
      </c>
      <c r="G82" s="857" t="str">
        <f>IF(VLOOKUP(A82,'Données de base - Grunddaten'!$A$2:$M$297,7,FALSE)="","",VLOOKUP(A82,'Données de base - Grunddaten'!$A$2:$M$297,7,FALSE))</f>
        <v>Collinéen</v>
      </c>
      <c r="H82" s="857">
        <f>IF(VLOOKUP(A82,'Données de base - Grunddaten'!$A$2:$M$297,8,FALSE)="","",VLOOKUP(A82,'Données de base - Grunddaten'!$A$2:$M$297,8,FALSE))</f>
        <v>435</v>
      </c>
      <c r="I82" s="857">
        <f>IF(VLOOKUP(A82,'Données de base - Grunddaten'!$A$2:$M$297,9,FALSE)="","",VLOOKUP(A82,'Données de base - Grunddaten'!$A$2:$M$297,9,FALSE))</f>
        <v>1992</v>
      </c>
      <c r="J82" s="857">
        <f>IF(VLOOKUP(A82,'Données de base - Grunddaten'!$A$2:$M$297,10,FALSE)="","",VLOOKUP(A82,'Données de base - Grunddaten'!$A$2:$M$297,10,FALSE))</f>
        <v>90</v>
      </c>
      <c r="K82" s="857" t="str">
        <f>IF(VLOOKUP(A82,'Données de base - Grunddaten'!$A$2:$M$297,11,FALSE)="","",VLOOKUP(A82,'Données de base - Grunddaten'!$A$2:$M$297,11,FALSE))</f>
        <v>Delta</v>
      </c>
      <c r="L82" s="857" t="str">
        <f>IF(VLOOKUP(A82,'Données de base - Grunddaten'!$A$2:$M$297,12,FALSE)="","",VLOOKUP(A82,'Données de base - Grunddaten'!$A$2:$M$297,12,FALSE))</f>
        <v>en tresses</v>
      </c>
      <c r="M82" s="858" t="str">
        <f>IF(VLOOKUP(A82,'Données de base - Grunddaten'!$A$2:$M$297,13,FALSE)="","",VLOOKUP(A82,'Données de base - Grunddaten'!$A$2:$M$297,13,FALSE))</f>
        <v>en tresses</v>
      </c>
      <c r="N82" s="872" t="str">
        <f>IF(VLOOKUP(A82,'Charriage - Geschiebehaushalt'!$A$4:$R$275,5,FALSE)="","",VLOOKUP(A82,'Charriage - Geschiebehaushalt'!$A$4:$R$275,5,FALSE))</f>
        <v>pertinent</v>
      </c>
      <c r="O82" s="873" t="str">
        <f>IF(VLOOKUP(A82,'Charriage - Geschiebehaushalt'!$A$4:$R$275,6,FALSE)="","",VLOOKUP(A82,'Charriage - Geschiebehaushalt'!$A$4:$R$275,6,FALSE))</f>
        <v>51-80%</v>
      </c>
      <c r="P82" s="874">
        <f>IF(VLOOKUP(A82,'Charriage - Geschiebehaushalt'!$A$4:$R$275,7,FALSE)="","",VLOOKUP(A82,'Charriage - Geschiebehaushalt'!$A$4:$R$275,7,FALSE))</f>
        <v>22.7338347488956</v>
      </c>
      <c r="Q82" s="874" t="str">
        <f>IF(VLOOKUP(A82,'Charriage - Geschiebehaushalt'!$A$4:$R$275,8,FALSE)="","",VLOOKUP(A82,'Charriage - Geschiebehaushalt'!$A$4:$R$275,8,FALSE))</f>
        <v>dépôt donc pas de problème de charriage</v>
      </c>
      <c r="R82" s="875">
        <f>IF(VLOOKUP(A82,'Charriage - Geschiebehaushalt'!$A$4:$R$275,9,FALSE)="","",VLOOKUP(A82,'Charriage - Geschiebehaushalt'!$A$4:$R$275,9,FALSE))</f>
        <v>0.45894206865216602</v>
      </c>
      <c r="S82" s="876" t="str">
        <f>IF(VLOOKUP(A82,'Charriage - Geschiebehaushalt'!$A$4:$R$275,10,FALSE)="","",VLOOKUP(A82,'Charriage - Geschiebehaushalt'!$A$4:$R$275,10,FALSE))</f>
        <v>la remobilisation des sédiments est perturbée</v>
      </c>
      <c r="T82" s="875">
        <f>IF(VLOOKUP(A82,'Charriage - Geschiebehaushalt'!$A$4:$R$275,11,FALSE)="","",VLOOKUP(A82,'Charriage - Geschiebehaushalt'!$A$4:$R$275,11,FALSE))</f>
        <v>0.54437453565000005</v>
      </c>
      <c r="U82" s="876" t="str">
        <f>IF(VLOOKUP(A82,'Charriage - Geschiebehaushalt'!$A$4:$R$275,12,FALSE)="","",VLOOKUP(A82,'Charriage - Geschiebehaushalt'!$A$4:$R$275,12,FALSE))</f>
        <v>déficit non apparent en charriage ou en remobilisation des sédiments</v>
      </c>
      <c r="V82" s="877" t="str">
        <f>IF(VLOOKUP(A82,'Charriage - Geschiebehaushalt'!$A$4:$R$275,13,FALSE)="","",VLOOKUP(A82,'Charriage - Geschiebehaushalt'!$A$4:$R$275,13,FALSE))</f>
        <v/>
      </c>
      <c r="W82" s="877" t="str">
        <f>IF(VLOOKUP(A82,'Charriage - Geschiebehaushalt'!$A$4:$R$275,14,FALSE)="","",VLOOKUP(A82,'Charriage - Geschiebehaushalt'!$A$4:$R$275,14,FALSE))</f>
        <v/>
      </c>
      <c r="X82" s="877" t="str">
        <f>IF(VLOOKUP(A82,'Charriage - Geschiebehaushalt'!$A$4:$R$275,15,FALSE)="","",VLOOKUP(A82,'Charriage - Geschiebehaushalt'!$A$4:$R$275,15,FALSE))</f>
        <v/>
      </c>
      <c r="Y82" s="879" t="str">
        <f>IF(VLOOKUP(A82,'Charriage - Geschiebehaushalt'!$A$4:$R$275,16,FALSE)="","",VLOOKUP(A82,'Charriage - Geschiebehaushalt'!$A$4:$R$275,16,FALSE))</f>
        <v/>
      </c>
      <c r="Z82" s="763" t="str">
        <f>IF(VLOOKUP(A82,'Charriage - Geschiebehaushalt'!$A$4:$R$275,17,FALSE)="","",VLOOKUP(A82,'Charriage - Geschiebehaushalt'!$A$4:$R$275,17,FALSE))</f>
        <v>51-80%</v>
      </c>
      <c r="AA82" s="880" t="str">
        <f>IF(VLOOKUP(A82,'Charriage - Geschiebehaushalt'!$A$4:$R$275,18,FALSE)="","",VLOOKUP(A82,'Charriage - Geschiebehaushalt'!$A$4:$R$275,18,FALSE))</f>
        <v>a</v>
      </c>
      <c r="AB82" s="737">
        <f>IF(VLOOKUP(A82,'Charriage - Geschiebehaushalt'!$A$4:$AC$275,19,FALSE)="","",VLOOKUP(A82,'Charriage - Geschiebehaushalt'!$A$4:$AC$275,19,FALSE))</f>
        <v>0</v>
      </c>
      <c r="AC82" s="738">
        <f>IF(VLOOKUP(A82,'Charriage - Geschiebehaushalt'!$A$4:$AC$275,20,FALSE)="","",VLOOKUP(A82,'Charriage - Geschiebehaushalt'!$A$4:$AC$275,20,FALSE))</f>
        <v>0</v>
      </c>
      <c r="AD82" s="764" t="str">
        <f>IF(VLOOKUP(A82,'Charriage - Geschiebehaushalt'!$A$4:$AC$275,21,FALSE)="","",VLOOKUP(A82,'Charriage - Geschiebehaushalt'!$A$4:$AC$275,21,FALSE))</f>
        <v/>
      </c>
      <c r="AE82" s="772" t="str">
        <f>IF(VLOOKUP(A82,'Charriage - Geschiebehaushalt'!$A$4:$AC$275,22,FALSE)="","",VLOOKUP(A82,'Charriage - Geschiebehaushalt'!$A$4:$AC$275,22,FALSE))</f>
        <v>51-80%</v>
      </c>
      <c r="AF82" s="787" t="str">
        <f>IF(VLOOKUP(A82,'Charriage - Geschiebehaushalt'!$A$4:$AC$275,23,FALSE)="","",VLOOKUP(A82,'Charriage - Geschiebehaushalt'!$A$4:$AC$275,23,FALSE))</f>
        <v>a</v>
      </c>
      <c r="AG82" s="765" t="str">
        <f>IF(VLOOKUP(A82,'Charriage - Geschiebehaushalt'!$A$4:$AC$275,24,FALSE)="","",VLOOKUP(A82,'Charriage - Geschiebehaushalt'!$A$4:$AC$275,24,FALSE))</f>
        <v/>
      </c>
      <c r="AH82" s="764" t="str">
        <f>IF(VLOOKUP(A82,'Charriage - Geschiebehaushalt'!$A$4:$AC$275,25,FALSE)="","",VLOOKUP(A82,'Charriage - Geschiebehaushalt'!$A$4:$AC$275,25,FALSE))</f>
        <v/>
      </c>
      <c r="AI82" s="435" t="str">
        <f>IF(VLOOKUP(A82,'Charriage - Geschiebehaushalt'!$A$4:$AC$275,26,FALSE)="","",VLOOKUP(A82,'Charriage - Geschiebehaushalt'!$A$4:$AC$275,26,FALSE))</f>
        <v/>
      </c>
      <c r="AJ82" s="436" t="str">
        <f>IF(VLOOKUP(A82,'Charriage - Geschiebehaushalt'!$A$4:$AC$275,27,FALSE)="","",VLOOKUP(A82,'Charriage - Geschiebehaushalt'!$A$4:$AC$275,27,FALSE))</f>
        <v/>
      </c>
      <c r="AK82" s="814" t="str">
        <f>IF(VLOOKUP(A82,'Charriage - Geschiebehaushalt'!$A$4:$AC$275,28,FALSE)="","",VLOOKUP(A82,'Charriage - Geschiebehaushalt'!$A$4:$AC$275,28,FALSE))</f>
        <v>51-80%</v>
      </c>
      <c r="AL82" s="1285" t="str">
        <f>IF(VLOOKUP(A82,'Charriage - Geschiebehaushalt'!$A$4:$AD$275,30,FALSE)="","",VLOOKUP(A82,'Charriage - Geschiebehaushalt'!$A$4:$AD$275,30,FALSE))</f>
        <v>a</v>
      </c>
      <c r="AM82" s="1279" t="str">
        <f>IF(VLOOKUP(A82,'Débit - Abfluss'!$A$4:$K$275,5,FALSE)="","",VLOOKUP(A82,'Débit - Abfluss'!$A$4:$M$275,5,FALSE))</f>
        <v>81-100%</v>
      </c>
      <c r="AN82" s="868" t="str">
        <f>IF(VLOOKUP(A82,'Débit - Abfluss'!$A$4:$K$275,6,FALSE)="","",VLOOKUP(A82,'Débit - Abfluss'!$A$4:$M$275,6,FALSE))</f>
        <v/>
      </c>
      <c r="AO82" s="869" t="str">
        <f>IF(VLOOKUP(A82,'Débit - Abfluss'!$A$4:$K$275,7,FALSE)="","",VLOOKUP(A82,'Débit - Abfluss'!$A$4:$M$275,7,FALSE))</f>
        <v/>
      </c>
      <c r="AP82" s="766" t="str">
        <f>IF(VLOOKUP(A82,'Débit - Abfluss'!$A$4:$K$275,8,FALSE)="","",VLOOKUP(A82,'Débit - Abfluss'!$A$4:$M$275,8,FALSE))</f>
        <v>81-100%</v>
      </c>
      <c r="AQ82" s="742" t="str">
        <f>IF(VLOOKUP(A82,'Débit - Abfluss'!$A$4:$K$275,9,FALSE)="","",VLOOKUP(A82,'Débit - Abfluss'!$A$4:$M$275,9,FALSE))</f>
        <v>-</v>
      </c>
      <c r="AR82" s="767" t="str">
        <f>IF(VLOOKUP(A82,'Débit - Abfluss'!$A$4:$K$275,10,FALSE)="","",VLOOKUP(A82,'Débit - Abfluss'!$A$4:$M$275,10,FALSE))</f>
        <v>81-100%</v>
      </c>
      <c r="AS82" s="767" t="str">
        <f>IF(VLOOKUP(A82,'Débit - Abfluss'!$A$4:$K$275,11,FALSE)="","",VLOOKUP(A82,'Débit - Abfluss'!$A$4:$M$275,11,FALSE))</f>
        <v/>
      </c>
      <c r="AT82" s="778" t="str">
        <f>IF(VLOOKUP(A82,'Débit - Abfluss'!$A$4:$Q$275,12,FALSE)="","",VLOOKUP(A82,'Débit - Abfluss'!$A$4:$Q$275,12,FALSE))</f>
        <v/>
      </c>
      <c r="AU82" s="779" t="str">
        <f>IF(VLOOKUP(A82,'Débit - Abfluss'!$A$4:$Q$275,13,FALSE)="","",VLOOKUP(A82,'Débit - Abfluss'!$A$4:$Q$275,13,FALSE))</f>
        <v/>
      </c>
      <c r="AV82" s="746" t="str">
        <f>IF(VLOOKUP(A82,'Débit - Abfluss'!$A$4:$Q$275,14,FALSE)="","",VLOOKUP(A82,'Débit - Abfluss'!$A$4:$Q$275,14,FALSE))</f>
        <v/>
      </c>
      <c r="AW82" s="768" t="str">
        <f>IF(VLOOKUP(A82,'Débit - Abfluss'!$A$4:$Q$275,15,FALSE)="","",VLOOKUP(A82,'Débit - Abfluss'!$A$4:$Q$275,15,FALSE))</f>
        <v/>
      </c>
      <c r="AX82" s="679" t="str">
        <f>IF(VLOOKUP(A82,'Débit - Abfluss'!$A$4:$Q$275,16,FALSE)="","",VLOOKUP(A82,'Débit - Abfluss'!$A$4:$Q$275,16,FALSE))</f>
        <v/>
      </c>
      <c r="AY82" s="769" t="str">
        <f>IF(VLOOKUP(A82,'Débit - Abfluss'!$A$4:$Q$275,17,FALSE)="","",VLOOKUP(A82,'Débit - Abfluss'!$A$4:$Q$275,17,FALSE))</f>
        <v>81-100%</v>
      </c>
      <c r="AZ82" s="749" t="str">
        <f>IF(VLOOKUP(A82,'Eclusée - Schwall-Sunk'!$A$2:$F$273,5,FALSE)="","",VLOOKUP(A82,'Eclusée - Schwall-Sunk'!$A$2:$F$273,5,FALSE))</f>
        <v>force hydraulique</v>
      </c>
      <c r="BA82" s="750" t="str">
        <f>IF(VLOOKUP(A82,'Eclusée - Schwall-Sunk'!$A$2:$F$273,6,FALSE)="","",VLOOKUP(A82,'Eclusée - Schwall-Sunk'!$A$2:$F$273,6,FALSE))</f>
        <v>Potentiellement affecté / möglicherweise betroffen</v>
      </c>
      <c r="BB82" s="751" t="str">
        <f>IF(VLOOKUP(A82,'Revitalisation-Revitalisierung'!$A$4:$Z$275,5,FALSE)="","",VLOOKUP(A82,'Revitalisation-Revitalisierung'!$A$4:$Z$275,5,FALSE))</f>
        <v/>
      </c>
      <c r="BC82" s="752" t="str">
        <f>IF(VLOOKUP(A82,'Revitalisation-Revitalisierung'!$A$4:$Z$275,6,FALSE)="","",VLOOKUP(A82,'Revitalisation-Revitalisierung'!$A$4:$Z$275,6,FALSE))</f>
        <v/>
      </c>
      <c r="BD82" s="752" t="str">
        <f>IF(VLOOKUP(A82,'Revitalisation-Revitalisierung'!$A$4:$Z$275,7,FALSE)="","",VLOOKUP(A82,'Revitalisation-Revitalisierung'!$A$4:$Z$275,7,FALSE))</f>
        <v/>
      </c>
      <c r="BE82" s="753" t="str">
        <f>IF(VLOOKUP(A82,'Revitalisation-Revitalisierung'!$A$4:$Z$275,8,FALSE)="","",VLOOKUP(A82,'Revitalisation-Revitalisierung'!$A$4:$Z$275,8,FALSE))</f>
        <v/>
      </c>
      <c r="BF82" s="754" t="str">
        <f>IF(VLOOKUP(A82,'Revitalisation-Revitalisierung'!$A$4:$Z$275,9,FALSE)="","",VLOOKUP(A82,'Revitalisation-Revitalisierung'!$A$4:$Z$275,9,FALSE))</f>
        <v>schwierig</v>
      </c>
      <c r="BG82" s="754" t="str">
        <f>IF(VLOOKUP(A82,'Revitalisation-Revitalisierung'!$A$4:$Z$275,10,FALSE)="","",VLOOKUP(A82,'Revitalisation-Revitalisierung'!$A$4:$Z$275,10,FALSE))</f>
        <v>K1</v>
      </c>
      <c r="BH82" s="755" t="str">
        <f>IF(VLOOKUP(A82,'Revitalisation-Revitalisierung'!$A$4:$Z$275,11,FALSE)="","",VLOOKUP(A82,'Revitalisation-Revitalisierung'!$A$4:$Z$275,11,FALSE))</f>
        <v>peu nécessaire difficile</v>
      </c>
      <c r="BI82" s="756" t="str">
        <f>IF(VLOOKUP(A82,'Revitalisation-Revitalisierung'!$A$4:$Z$275,12,FALSE)="","",VLOOKUP(A82,'Revitalisation-Revitalisierung'!$A$4:$Z$275,12,FALSE))</f>
        <v>revitalisation terminée mais la diminution du dragage serait très favorable pour le développement du delta</v>
      </c>
      <c r="BJ82" s="757" t="str">
        <f>IF(VLOOKUP(A82,'Revitalisation-Revitalisierung'!$A$4:$Z$275,13,FALSE)="","",VLOOKUP(A82,'Revitalisation-Revitalisierung'!$A$4:$Z$275,13,FALSE))</f>
        <v>Non nécessaire / nicht nötig</v>
      </c>
      <c r="BK82" s="870" t="str">
        <f>IF(VLOOKUP(A82,'Revitalisation-Revitalisierung'!$A$4:$Z$275,14,FALSE)="","",VLOOKUP(A82,'Revitalisation-Revitalisierung'!$A$4:$Z$275,14,FALSE))</f>
        <v>b</v>
      </c>
      <c r="BL82" s="758" t="str">
        <f>IF(VLOOKUP(A82,'Revitalisation-Revitalisierung'!$A$4:$Z$275,15,FALSE)="","",VLOOKUP(A82,'Revitalisation-Revitalisierung'!$A$4:$Z$275,15,FALSE))</f>
        <v>klein (Gräben)</v>
      </c>
      <c r="BM82" s="759" t="str">
        <f>IF(VLOOKUP(A82,'Revitalisation-Revitalisierung'!$A$4:$Z$275,16,FALSE)="","",VLOOKUP(A82,'Revitalisation-Revitalisierung'!$A$4:$Z$275,16,FALSE))</f>
        <v>klein (Gräben)</v>
      </c>
      <c r="BN82" s="759" t="str">
        <f>IF(VLOOKUP(A82,'Revitalisation-Revitalisierung'!$A$4:$Z$275,17,FALSE)="","",VLOOKUP(A82,'Revitalisation-Revitalisierung'!$A$4:$Z$275,17,FALSE))</f>
        <v>hoch (Gräben)</v>
      </c>
      <c r="BO82" s="760" t="str">
        <f>IF(VLOOKUP(A82,'Revitalisation-Revitalisierung'!$A$4:$Z$275,18,FALSE)="","",VLOOKUP(A82,'Revitalisation-Revitalisierung'!$A$4:$Z$275,18,FALSE))</f>
        <v/>
      </c>
      <c r="BP82" s="761" t="str">
        <f>IF(VLOOKUP(A82,'Revitalisation-Revitalisierung'!$A$4:$Z$275,19,FALSE)="","",VLOOKUP(A82,'Revitalisation-Revitalisierung'!$A$4:$Z$275,19,FALSE))</f>
        <v>Non nécessaire / nicht nötig</v>
      </c>
      <c r="BQ82" s="759" t="str">
        <f>IF(VLOOKUP(A82,'Revitalisation-Revitalisierung'!$A$4:$Z$275,20,FALSE)="","",VLOOKUP(A82,'Revitalisation-Revitalisierung'!$A$4:$Z$275,20,FALSE))</f>
        <v>b</v>
      </c>
      <c r="BR82" s="759" t="str">
        <f>IF(VLOOKUP(A82,'Revitalisation-Revitalisierung'!$A$4:$Z$275,21,FALSE)="","",VLOOKUP(A82,'Revitalisation-Revitalisierung'!$A$4:$Z$275,21,FALSE))</f>
        <v/>
      </c>
      <c r="BS82" s="762" t="str">
        <f>IF(VLOOKUP(A82,'Revitalisation-Revitalisierung'!$A$4:$Z$275,22,FALSE)="","",VLOOKUP(A82,'Revitalisation-Revitalisierung'!$A$4:$Z$275,22,FALSE))</f>
        <v/>
      </c>
      <c r="BT82" s="703" t="str">
        <f>IF(VLOOKUP(A82,'Revitalisation-Revitalisierung'!$A$4:$Z$275,23,FALSE)="","",VLOOKUP(A82,'Revitalisation-Revitalisierung'!$A$4:$Z$275,23,FALSE))</f>
        <v/>
      </c>
      <c r="BU82" s="704" t="str">
        <f>IF(VLOOKUP(A82,'Revitalisation-Revitalisierung'!$A$4:$Z$275,24,FALSE)="","",VLOOKUP(A82,'Revitalisation-Revitalisierung'!$A$4:$Z$275,24,FALSE))</f>
        <v/>
      </c>
      <c r="BV82" s="761" t="str">
        <f>IF(VLOOKUP(A82,'Revitalisation-Revitalisierung'!$A$4:$Z$275,25,FALSE)="","",VLOOKUP(A82,'Revitalisation-Revitalisierung'!$A$4:$Z$275,25,FALSE))</f>
        <v>Non nécessaire / nicht nötig</v>
      </c>
      <c r="BW82" s="871" t="str">
        <f>IF(VLOOKUP(A82,'Revitalisation-Revitalisierung'!$A$4:$AA$275,27,FALSE)="","",VLOOKUP(A82,'Revitalisation-Revitalisierung'!$A$4:$AA$275,27,FALSE))</f>
        <v>b</v>
      </c>
    </row>
    <row r="83" spans="1:75" ht="85.9" customHeight="1" x14ac:dyDescent="0.25">
      <c r="A83" s="936">
        <v>105.2</v>
      </c>
      <c r="B83" s="856">
        <f>IF(VLOOKUP(A83,'Données de base - Grunddaten'!$A$2:$M$297,2,FALSE)="","",VLOOKUP(A83,'Données de base - Grunddaten'!$A$2:$M$297,2,FALSE))</f>
        <v>2</v>
      </c>
      <c r="C83" s="857" t="str">
        <f>IF(VLOOKUP(A83,'Données de base - Grunddaten'!$A$2:$M$297,3,FALSE)="","",VLOOKUP(A83,'Données de base - Grunddaten'!$A$2:$M$297,3,FALSE))</f>
        <v>Reussdelta</v>
      </c>
      <c r="D83" s="857" t="str">
        <f>IF(VLOOKUP(A83,'Données de base - Grunddaten'!$A$2:$M$297,4,FALSE)="","",VLOOKUP(A83,'Données de base - Grunddaten'!$A$2:$M$297,4,FALSE))</f>
        <v>Reuss, Urnersee</v>
      </c>
      <c r="E83" s="857" t="str">
        <f>IF(VLOOKUP(A83,'Données de base - Grunddaten'!$A$2:$M$297,5,FALSE)="","",VLOOKUP(A83,'Données de base - Grunddaten'!$A$2:$M$297,5,FALSE))</f>
        <v>UR</v>
      </c>
      <c r="F83" s="857" t="str">
        <f>IF(VLOOKUP(A83,'Données de base - Grunddaten'!$A$2:$M$297,6,FALSE)="","",VLOOKUP(A83,'Données de base - Grunddaten'!$A$2:$M$297,6,FALSE))</f>
        <v>Alpes septentrionales</v>
      </c>
      <c r="G83" s="857" t="str">
        <f>IF(VLOOKUP(A83,'Données de base - Grunddaten'!$A$2:$M$297,7,FALSE)="","",VLOOKUP(A83,'Données de base - Grunddaten'!$A$2:$M$297,7,FALSE))</f>
        <v>Collinéen</v>
      </c>
      <c r="H83" s="857">
        <f>IF(VLOOKUP(A83,'Données de base - Grunddaten'!$A$2:$M$297,8,FALSE)="","",VLOOKUP(A83,'Données de base - Grunddaten'!$A$2:$M$297,8,FALSE))</f>
        <v>435</v>
      </c>
      <c r="I83" s="857">
        <f>IF(VLOOKUP(A83,'Données de base - Grunddaten'!$A$2:$M$297,9,FALSE)="","",VLOOKUP(A83,'Données de base - Grunddaten'!$A$2:$M$297,9,FALSE))</f>
        <v>1992</v>
      </c>
      <c r="J83" s="857">
        <f>IF(VLOOKUP(A83,'Données de base - Grunddaten'!$A$2:$M$297,10,FALSE)="","",VLOOKUP(A83,'Données de base - Grunddaten'!$A$2:$M$297,10,FALSE))</f>
        <v>101</v>
      </c>
      <c r="K83" s="857" t="str">
        <f>IF(VLOOKUP(A83,'Données de base - Grunddaten'!$A$2:$M$297,11,FALSE)="","",VLOOKUP(A83,'Données de base - Grunddaten'!$A$2:$M$297,11,FALSE))</f>
        <v>Rives de lacs des étages collinéen et montagnard</v>
      </c>
      <c r="L83" s="857" t="str">
        <f>IF(VLOOKUP(A83,'Données de base - Grunddaten'!$A$2:$M$297,12,FALSE)="","",VLOOKUP(A83,'Données de base - Grunddaten'!$A$2:$M$297,12,FALSE))</f>
        <v>rives lacustres</v>
      </c>
      <c r="M83" s="858" t="str">
        <f>IF(VLOOKUP(A83,'Données de base - Grunddaten'!$A$2:$M$297,13,FALSE)="","",VLOOKUP(A83,'Données de base - Grunddaten'!$A$2:$M$297,13,FALSE))</f>
        <v>rives lacustres</v>
      </c>
      <c r="N83" s="891" t="str">
        <f>IF(VLOOKUP(A83,'Charriage - Geschiebehaushalt'!$A$4:$R$275,5,FALSE)="","",VLOOKUP(A83,'Charriage - Geschiebehaushalt'!$A$4:$R$275,5,FALSE))</f>
        <v>non pertinent</v>
      </c>
      <c r="O83" s="881" t="str">
        <f>IF(VLOOKUP(A83,'Charriage - Geschiebehaushalt'!$A$4:$R$275,6,FALSE)="","",VLOOKUP(A83,'Charriage - Geschiebehaushalt'!$A$4:$R$275,6,FALSE))</f>
        <v/>
      </c>
      <c r="P83" s="874">
        <f>IF(VLOOKUP(A83,'Charriage - Geschiebehaushalt'!$A$4:$R$275,7,FALSE)="","",VLOOKUP(A83,'Charriage - Geschiebehaushalt'!$A$4:$R$275,7,FALSE))</f>
        <v>22.7338347488956</v>
      </c>
      <c r="Q83" s="874" t="str">
        <f>IF(VLOOKUP(A83,'Charriage - Geschiebehaushalt'!$A$4:$R$275,8,FALSE)="","",VLOOKUP(A83,'Charriage - Geschiebehaushalt'!$A$4:$R$275,8,FALSE))</f>
        <v>dépôt donc pas de problème de charriage</v>
      </c>
      <c r="R83" s="875">
        <f>IF(VLOOKUP(A83,'Charriage - Geschiebehaushalt'!$A$4:$R$275,9,FALSE)="","",VLOOKUP(A83,'Charriage - Geschiebehaushalt'!$A$4:$R$275,9,FALSE))</f>
        <v>0</v>
      </c>
      <c r="S83" s="876" t="str">
        <f>IF(VLOOKUP(A83,'Charriage - Geschiebehaushalt'!$A$4:$R$275,10,FALSE)="","",VLOOKUP(A83,'Charriage - Geschiebehaushalt'!$A$4:$R$275,10,FALSE))</f>
        <v>pas ou faiblement entravé</v>
      </c>
      <c r="T83" s="875">
        <f>IF(VLOOKUP(A83,'Charriage - Geschiebehaushalt'!$A$4:$R$275,11,FALSE)="","",VLOOKUP(A83,'Charriage - Geschiebehaushalt'!$A$4:$R$275,11,FALSE))</f>
        <v>0.65691724492000003</v>
      </c>
      <c r="U83" s="876" t="str">
        <f>IF(VLOOKUP(A83,'Charriage - Geschiebehaushalt'!$A$4:$R$275,12,FALSE)="","",VLOOKUP(A83,'Charriage - Geschiebehaushalt'!$A$4:$R$275,12,FALSE))</f>
        <v>déficit non apparent en charriage ou en remobilisation des sédiments</v>
      </c>
      <c r="V83" s="877" t="str">
        <f>IF(VLOOKUP(A83,'Charriage - Geschiebehaushalt'!$A$4:$R$275,13,FALSE)="","",VLOOKUP(A83,'Charriage - Geschiebehaushalt'!$A$4:$R$275,13,FALSE))</f>
        <v/>
      </c>
      <c r="W83" s="877" t="str">
        <f>IF(VLOOKUP(A83,'Charriage - Geschiebehaushalt'!$A$4:$R$275,14,FALSE)="","",VLOOKUP(A83,'Charriage - Geschiebehaushalt'!$A$4:$R$275,14,FALSE))</f>
        <v/>
      </c>
      <c r="X83" s="877" t="str">
        <f>IF(VLOOKUP(A83,'Charriage - Geschiebehaushalt'!$A$4:$R$275,15,FALSE)="","",VLOOKUP(A83,'Charriage - Geschiebehaushalt'!$A$4:$R$275,15,FALSE))</f>
        <v/>
      </c>
      <c r="Y83" s="879" t="str">
        <f>IF(VLOOKUP(A83,'Charriage - Geschiebehaushalt'!$A$4:$R$275,16,FALSE)="","",VLOOKUP(A83,'Charriage - Geschiebehaushalt'!$A$4:$R$275,16,FALSE))</f>
        <v/>
      </c>
      <c r="Z83" s="763" t="str">
        <f>IF(VLOOKUP(A83,'Charriage - Geschiebehaushalt'!$A$4:$R$275,17,FALSE)="","",VLOOKUP(A83,'Charriage - Geschiebehaushalt'!$A$4:$R$275,17,FALSE))</f>
        <v>non pertinent / nicht relevant</v>
      </c>
      <c r="AA83" s="880" t="str">
        <f>IF(VLOOKUP(A83,'Charriage - Geschiebehaushalt'!$A$4:$R$275,18,FALSE)="","",VLOOKUP(A83,'Charriage - Geschiebehaushalt'!$A$4:$R$275,18,FALSE))</f>
        <v>a</v>
      </c>
      <c r="AB83" s="737">
        <f>IF(VLOOKUP(A83,'Charriage - Geschiebehaushalt'!$A$4:$AC$275,19,FALSE)="","",VLOOKUP(A83,'Charriage - Geschiebehaushalt'!$A$4:$AC$275,19,FALSE))</f>
        <v>0</v>
      </c>
      <c r="AC83" s="738">
        <f>IF(VLOOKUP(A83,'Charriage - Geschiebehaushalt'!$A$4:$AC$275,20,FALSE)="","",VLOOKUP(A83,'Charriage - Geschiebehaushalt'!$A$4:$AC$275,20,FALSE))</f>
        <v>0</v>
      </c>
      <c r="AD83" s="764" t="str">
        <f>IF(VLOOKUP(A83,'Charriage - Geschiebehaushalt'!$A$4:$AC$275,21,FALSE)="","",VLOOKUP(A83,'Charriage - Geschiebehaushalt'!$A$4:$AC$275,21,FALSE))</f>
        <v/>
      </c>
      <c r="AE83" s="772" t="str">
        <f>IF(VLOOKUP(A83,'Charriage - Geschiebehaushalt'!$A$4:$AC$275,22,FALSE)="","",VLOOKUP(A83,'Charriage - Geschiebehaushalt'!$A$4:$AC$275,22,FALSE))</f>
        <v>non pertinent / nicht relevant</v>
      </c>
      <c r="AF83" s="787" t="str">
        <f>IF(VLOOKUP(A83,'Charriage - Geschiebehaushalt'!$A$4:$AC$275,23,FALSE)="","",VLOOKUP(A83,'Charriage - Geschiebehaushalt'!$A$4:$AC$275,23,FALSE))</f>
        <v>a</v>
      </c>
      <c r="AG83" s="765" t="str">
        <f>IF(VLOOKUP(A83,'Charriage - Geschiebehaushalt'!$A$4:$AC$275,24,FALSE)="","",VLOOKUP(A83,'Charriage - Geschiebehaushalt'!$A$4:$AC$275,24,FALSE))</f>
        <v/>
      </c>
      <c r="AH83" s="764" t="str">
        <f>IF(VLOOKUP(A83,'Charriage - Geschiebehaushalt'!$A$4:$AC$275,25,FALSE)="","",VLOOKUP(A83,'Charriage - Geschiebehaushalt'!$A$4:$AC$275,25,FALSE))</f>
        <v/>
      </c>
      <c r="AI83" s="435" t="str">
        <f>IF(VLOOKUP(A83,'Charriage - Geschiebehaushalt'!$A$4:$AC$275,26,FALSE)="","",VLOOKUP(A83,'Charriage - Geschiebehaushalt'!$A$4:$AC$275,26,FALSE))</f>
        <v/>
      </c>
      <c r="AJ83" s="436" t="str">
        <f>IF(VLOOKUP(A83,'Charriage - Geschiebehaushalt'!$A$4:$AC$275,27,FALSE)="","",VLOOKUP(A83,'Charriage - Geschiebehaushalt'!$A$4:$AC$275,27,FALSE))</f>
        <v/>
      </c>
      <c r="AK83" s="814" t="str">
        <f>IF(VLOOKUP(A83,'Charriage - Geschiebehaushalt'!$A$4:$AC$275,28,FALSE)="","",VLOOKUP(A83,'Charriage - Geschiebehaushalt'!$A$4:$AC$275,28,FALSE))</f>
        <v>non pertinent / nicht relevant</v>
      </c>
      <c r="AL83" s="1285" t="str">
        <f>IF(VLOOKUP(A83,'Charriage - Geschiebehaushalt'!$A$4:$AD$275,30,FALSE)="","",VLOOKUP(A83,'Charriage - Geschiebehaushalt'!$A$4:$AD$275,30,FALSE))</f>
        <v>a</v>
      </c>
      <c r="AM83" s="1279" t="str">
        <f>IF(VLOOKUP(A83,'Débit - Abfluss'!$A$4:$K$275,5,FALSE)="","",VLOOKUP(A83,'Débit - Abfluss'!$A$4:$M$275,5,FALSE))</f>
        <v>non pertinent</v>
      </c>
      <c r="AN83" s="868" t="str">
        <f>IF(VLOOKUP(A83,'Débit - Abfluss'!$A$4:$K$275,6,FALSE)="","",VLOOKUP(A83,'Débit - Abfluss'!$A$4:$M$275,6,FALSE))</f>
        <v/>
      </c>
      <c r="AO83" s="869" t="str">
        <f>IF(VLOOKUP(A83,'Débit - Abfluss'!$A$4:$K$275,7,FALSE)="","",VLOOKUP(A83,'Débit - Abfluss'!$A$4:$M$275,7,FALSE))</f>
        <v/>
      </c>
      <c r="AP83" s="766" t="str">
        <f>IF(VLOOKUP(A83,'Débit - Abfluss'!$A$4:$K$275,8,FALSE)="","",VLOOKUP(A83,'Débit - Abfluss'!$A$4:$M$275,8,FALSE))</f>
        <v>non pertinent / nicht relevant</v>
      </c>
      <c r="AQ83" s="742" t="str">
        <f>IF(VLOOKUP(A83,'Débit - Abfluss'!$A$4:$K$275,9,FALSE)="","",VLOOKUP(A83,'Débit - Abfluss'!$A$4:$M$275,9,FALSE))</f>
        <v>-</v>
      </c>
      <c r="AR83" s="770" t="str">
        <f>IF(VLOOKUP(A83,'Débit - Abfluss'!$A$4:$K$275,10,FALSE)="","",VLOOKUP(A83,'Débit - Abfluss'!$A$4:$M$275,10,FALSE))</f>
        <v>non pertinent / nicht relevant</v>
      </c>
      <c r="AS83" s="767" t="str">
        <f>IF(VLOOKUP(A83,'Débit - Abfluss'!$A$4:$K$275,11,FALSE)="","",VLOOKUP(A83,'Débit - Abfluss'!$A$4:$M$275,11,FALSE))</f>
        <v/>
      </c>
      <c r="AT83" s="778" t="str">
        <f>IF(VLOOKUP(A83,'Débit - Abfluss'!$A$4:$Q$275,12,FALSE)="","",VLOOKUP(A83,'Débit - Abfluss'!$A$4:$Q$275,12,FALSE))</f>
        <v/>
      </c>
      <c r="AU83" s="779" t="str">
        <f>IF(VLOOKUP(A83,'Débit - Abfluss'!$A$4:$Q$275,13,FALSE)="","",VLOOKUP(A83,'Débit - Abfluss'!$A$4:$Q$275,13,FALSE))</f>
        <v/>
      </c>
      <c r="AV83" s="746" t="str">
        <f>IF(VLOOKUP(A83,'Débit - Abfluss'!$A$4:$Q$275,14,FALSE)="","",VLOOKUP(A83,'Débit - Abfluss'!$A$4:$Q$275,14,FALSE))</f>
        <v/>
      </c>
      <c r="AW83" s="768" t="str">
        <f>IF(VLOOKUP(A83,'Débit - Abfluss'!$A$4:$Q$275,15,FALSE)="","",VLOOKUP(A83,'Débit - Abfluss'!$A$4:$Q$275,15,FALSE))</f>
        <v/>
      </c>
      <c r="AX83" s="679" t="str">
        <f>IF(VLOOKUP(A83,'Débit - Abfluss'!$A$4:$Q$275,16,FALSE)="","",VLOOKUP(A83,'Débit - Abfluss'!$A$4:$Q$275,16,FALSE))</f>
        <v/>
      </c>
      <c r="AY83" s="786" t="str">
        <f>IF(VLOOKUP(A83,'Débit - Abfluss'!$A$4:$Q$275,17,FALSE)="","",VLOOKUP(A83,'Débit - Abfluss'!$A$4:$Q$275,17,FALSE))</f>
        <v>non pertinent / nicht relevant</v>
      </c>
      <c r="AZ83" s="749" t="str">
        <f>IF(VLOOKUP(A83,'Eclusée - Schwall-Sunk'!$A$2:$F$273,5,FALSE)="","",VLOOKUP(A83,'Eclusée - Schwall-Sunk'!$A$2:$F$273,5,FALSE))</f>
        <v/>
      </c>
      <c r="BA83" s="750" t="str">
        <f>IF(VLOOKUP(A83,'Eclusée - Schwall-Sunk'!$A$2:$F$273,6,FALSE)="","",VLOOKUP(A83,'Eclusée - Schwall-Sunk'!$A$2:$F$273,6,FALSE))</f>
        <v>Non affecté / nicht betroffen</v>
      </c>
      <c r="BB83" s="751" t="str">
        <f>IF(VLOOKUP(A83,'Revitalisation-Revitalisierung'!$A$4:$Z$275,5,FALSE)="","",VLOOKUP(A83,'Revitalisation-Revitalisierung'!$A$4:$Z$275,5,FALSE))</f>
        <v/>
      </c>
      <c r="BC83" s="752" t="str">
        <f>IF(VLOOKUP(A83,'Revitalisation-Revitalisierung'!$A$4:$Z$275,6,FALSE)="","",VLOOKUP(A83,'Revitalisation-Revitalisierung'!$A$4:$Z$275,6,FALSE))</f>
        <v/>
      </c>
      <c r="BD83" s="752" t="str">
        <f>IF(VLOOKUP(A83,'Revitalisation-Revitalisierung'!$A$4:$Z$275,7,FALSE)="","",VLOOKUP(A83,'Revitalisation-Revitalisierung'!$A$4:$Z$275,7,FALSE))</f>
        <v/>
      </c>
      <c r="BE83" s="753" t="str">
        <f>IF(VLOOKUP(A83,'Revitalisation-Revitalisierung'!$A$4:$Z$275,8,FALSE)="","",VLOOKUP(A83,'Revitalisation-Revitalisierung'!$A$4:$Z$275,8,FALSE))</f>
        <v/>
      </c>
      <c r="BF83" s="754" t="str">
        <f>IF(VLOOKUP(A83,'Revitalisation-Revitalisierung'!$A$4:$Z$275,9,FALSE)="","",VLOOKUP(A83,'Revitalisation-Revitalisierung'!$A$4:$Z$275,9,FALSE))</f>
        <v>schwierig</v>
      </c>
      <c r="BG83" s="754" t="str">
        <f>IF(VLOOKUP(A83,'Revitalisation-Revitalisierung'!$A$4:$Z$275,10,FALSE)="","",VLOOKUP(A83,'Revitalisation-Revitalisierung'!$A$4:$Z$275,10,FALSE))</f>
        <v>K2</v>
      </c>
      <c r="BH83" s="755" t="str">
        <f>IF(VLOOKUP(A83,'Revitalisation-Revitalisierung'!$A$4:$Z$275,11,FALSE)="","",VLOOKUP(A83,'Revitalisation-Revitalisierung'!$A$4:$Z$275,11,FALSE))</f>
        <v>très nécessaire, facile</v>
      </c>
      <c r="BI83" s="756" t="str">
        <f>IF(VLOOKUP(A83,'Revitalisation-Revitalisierung'!$A$4:$Z$275,12,FALSE)="","",VLOOKUP(A83,'Revitalisation-Revitalisierung'!$A$4:$Z$275,12,FALSE))</f>
        <v/>
      </c>
      <c r="BJ83" s="757" t="str">
        <f>IF(VLOOKUP(A83,'Revitalisation-Revitalisierung'!$A$4:$Z$275,13,FALSE)="","",VLOOKUP(A83,'Revitalisation-Revitalisierung'!$A$4:$Z$275,13,FALSE))</f>
        <v>Non nécessaire / nicht nötig</v>
      </c>
      <c r="BK83" s="870" t="str">
        <f>IF(VLOOKUP(A83,'Revitalisation-Revitalisierung'!$A$4:$Z$275,14,FALSE)="","",VLOOKUP(A83,'Revitalisation-Revitalisierung'!$A$4:$Z$275,14,FALSE))</f>
        <v>b</v>
      </c>
      <c r="BL83" s="758">
        <f>IF(VLOOKUP(A83,'Revitalisation-Revitalisierung'!$A$4:$Z$275,15,FALSE)="","",VLOOKUP(A83,'Revitalisation-Revitalisierung'!$A$4:$Z$275,15,FALSE))</f>
        <v>0</v>
      </c>
      <c r="BM83" s="759">
        <f>IF(VLOOKUP(A83,'Revitalisation-Revitalisierung'!$A$4:$Z$275,16,FALSE)="","",VLOOKUP(A83,'Revitalisation-Revitalisierung'!$A$4:$Z$275,16,FALSE))</f>
        <v>0</v>
      </c>
      <c r="BN83" s="759">
        <f>IF(VLOOKUP(A83,'Revitalisation-Revitalisierung'!$A$4:$Z$275,17,FALSE)="","",VLOOKUP(A83,'Revitalisation-Revitalisierung'!$A$4:$Z$275,17,FALSE))</f>
        <v>0</v>
      </c>
      <c r="BO83" s="760" t="str">
        <f>IF(VLOOKUP(A83,'Revitalisation-Revitalisierung'!$A$4:$Z$275,18,FALSE)="","",VLOOKUP(A83,'Revitalisation-Revitalisierung'!$A$4:$Z$275,18,FALSE))</f>
        <v>Non nécessaire / nicht nötig</v>
      </c>
      <c r="BP83" s="761" t="str">
        <f>IF(VLOOKUP(A83,'Revitalisation-Revitalisierung'!$A$4:$Z$275,19,FALSE)="","",VLOOKUP(A83,'Revitalisation-Revitalisierung'!$A$4:$Z$275,19,FALSE))</f>
        <v>Non nécessaire / nicht nötig</v>
      </c>
      <c r="BQ83" s="759" t="str">
        <f>IF(VLOOKUP(A83,'Revitalisation-Revitalisierung'!$A$4:$Z$275,20,FALSE)="","",VLOOKUP(A83,'Revitalisation-Revitalisierung'!$A$4:$Z$275,20,FALSE))</f>
        <v>d</v>
      </c>
      <c r="BR83" s="759" t="str">
        <f>IF(VLOOKUP(A83,'Revitalisation-Revitalisierung'!$A$4:$Z$275,21,FALSE)="","",VLOOKUP(A83,'Revitalisation-Revitalisierung'!$A$4:$Z$275,21,FALSE))</f>
        <v/>
      </c>
      <c r="BS83" s="762" t="str">
        <f>IF(VLOOKUP(A83,'Revitalisation-Revitalisierung'!$A$4:$Z$275,22,FALSE)="","",VLOOKUP(A83,'Revitalisation-Revitalisierung'!$A$4:$Z$275,22,FALSE))</f>
        <v/>
      </c>
      <c r="BT83" s="703" t="str">
        <f>IF(VLOOKUP(A83,'Revitalisation-Revitalisierung'!$A$4:$Z$275,23,FALSE)="","",VLOOKUP(A83,'Revitalisation-Revitalisierung'!$A$4:$Z$275,23,FALSE))</f>
        <v/>
      </c>
      <c r="BU83" s="704" t="str">
        <f>IF(VLOOKUP(A83,'Revitalisation-Revitalisierung'!$A$4:$Z$275,24,FALSE)="","",VLOOKUP(A83,'Revitalisation-Revitalisierung'!$A$4:$Z$275,24,FALSE))</f>
        <v/>
      </c>
      <c r="BV83" s="761" t="str">
        <f>IF(VLOOKUP(A83,'Revitalisation-Revitalisierung'!$A$4:$Z$275,25,FALSE)="","",VLOOKUP(A83,'Revitalisation-Revitalisierung'!$A$4:$Z$275,25,FALSE))</f>
        <v>Non nécessaire / nicht nötig</v>
      </c>
      <c r="BW83" s="871" t="str">
        <f>IF(VLOOKUP(A83,'Revitalisation-Revitalisierung'!$A$4:$AA$275,27,FALSE)="","",VLOOKUP(A83,'Revitalisation-Revitalisierung'!$A$4:$AA$275,27,FALSE))</f>
        <v>a</v>
      </c>
    </row>
    <row r="84" spans="1:75" ht="78" customHeight="1" x14ac:dyDescent="0.25">
      <c r="A84" s="935">
        <v>107</v>
      </c>
      <c r="B84" s="856">
        <f>IF(VLOOKUP(A84,'Données de base - Grunddaten'!$A$2:$M$297,2,FALSE)="","",VLOOKUP(A84,'Données de base - Grunddaten'!$A$2:$M$297,2,FALSE))</f>
        <v>1</v>
      </c>
      <c r="C84" s="857" t="str">
        <f>IF(VLOOKUP(A84,'Données de base - Grunddaten'!$A$2:$M$297,3,FALSE)="","",VLOOKUP(A84,'Données de base - Grunddaten'!$A$2:$M$297,3,FALSE))</f>
        <v>Stössi</v>
      </c>
      <c r="D84" s="857" t="str">
        <f>IF(VLOOKUP(A84,'Données de base - Grunddaten'!$A$2:$M$297,4,FALSE)="","",VLOOKUP(A84,'Données de base - Grunddaten'!$A$2:$M$297,4,FALSE))</f>
        <v>Chärstelenbach</v>
      </c>
      <c r="E84" s="857" t="str">
        <f>IF(VLOOKUP(A84,'Données de base - Grunddaten'!$A$2:$M$297,5,FALSE)="","",VLOOKUP(A84,'Données de base - Grunddaten'!$A$2:$M$297,5,FALSE))</f>
        <v>UR</v>
      </c>
      <c r="F84" s="857" t="str">
        <f>IF(VLOOKUP(A84,'Données de base - Grunddaten'!$A$2:$M$297,6,FALSE)="","",VLOOKUP(A84,'Données de base - Grunddaten'!$A$2:$M$297,6,FALSE))</f>
        <v>Alpes septentrionales</v>
      </c>
      <c r="G84" s="857" t="str">
        <f>IF(VLOOKUP(A84,'Données de base - Grunddaten'!$A$2:$M$297,7,FALSE)="","",VLOOKUP(A84,'Données de base - Grunddaten'!$A$2:$M$297,7,FALSE))</f>
        <v>Montagnard sup.</v>
      </c>
      <c r="H84" s="857">
        <f>IF(VLOOKUP(A84,'Données de base - Grunddaten'!$A$2:$M$297,8,FALSE)="","",VLOOKUP(A84,'Données de base - Grunddaten'!$A$2:$M$297,8,FALSE))</f>
        <v>1160</v>
      </c>
      <c r="I84" s="857">
        <f>IF(VLOOKUP(A84,'Données de base - Grunddaten'!$A$2:$M$297,9,FALSE)="","",VLOOKUP(A84,'Données de base - Grunddaten'!$A$2:$M$297,9,FALSE))</f>
        <v>1992</v>
      </c>
      <c r="J84" s="857">
        <f>IF(VLOOKUP(A84,'Données de base - Grunddaten'!$A$2:$M$297,10,FALSE)="","",VLOOKUP(A84,'Données de base - Grunddaten'!$A$2:$M$297,10,FALSE))</f>
        <v>41</v>
      </c>
      <c r="K84" s="857" t="str">
        <f>IF(VLOOKUP(A84,'Données de base - Grunddaten'!$A$2:$M$297,11,FALSE)="","",VLOOKUP(A84,'Données de base - Grunddaten'!$A$2:$M$297,11,FALSE))</f>
        <v>Cours d'eau naturels de l'étage montagnard</v>
      </c>
      <c r="L84" s="857" t="str">
        <f>IF(VLOOKUP(A84,'Données de base - Grunddaten'!$A$2:$M$297,12,FALSE)="","",VLOOKUP(A84,'Données de base - Grunddaten'!$A$2:$M$297,12,FALSE))</f>
        <v>en méandres migrants</v>
      </c>
      <c r="M84" s="858" t="str">
        <f>IF(VLOOKUP(A84,'Données de base - Grunddaten'!$A$2:$M$297,13,FALSE)="","",VLOOKUP(A84,'Données de base - Grunddaten'!$A$2:$M$297,13,FALSE))</f>
        <v>en méandres migrants</v>
      </c>
      <c r="N84" s="872" t="str">
        <f>IF(VLOOKUP(A84,'Charriage - Geschiebehaushalt'!$A$4:$R$275,5,FALSE)="","",VLOOKUP(A84,'Charriage - Geschiebehaushalt'!$A$4:$R$275,5,FALSE))</f>
        <v>pertinent</v>
      </c>
      <c r="O84" s="873" t="str">
        <f>IF(VLOOKUP(A84,'Charriage - Geschiebehaushalt'!$A$4:$R$275,6,FALSE)="","",VLOOKUP(A84,'Charriage - Geschiebehaushalt'!$A$4:$R$275,6,FALSE))</f>
        <v>0-20%</v>
      </c>
      <c r="P84" s="874" t="str">
        <f>IF(VLOOKUP(A84,'Charriage - Geschiebehaushalt'!$A$4:$R$275,7,FALSE)="","",VLOOKUP(A84,'Charriage - Geschiebehaushalt'!$A$4:$R$275,7,FALSE))</f>
        <v/>
      </c>
      <c r="Q84" s="874" t="str">
        <f>IF(VLOOKUP(A84,'Charriage - Geschiebehaushalt'!$A$4:$R$275,8,FALSE)="","",VLOOKUP(A84,'Charriage - Geschiebehaushalt'!$A$4:$R$275,8,FALSE))</f>
        <v>non documenté</v>
      </c>
      <c r="R84" s="875">
        <f>IF(VLOOKUP(A84,'Charriage - Geschiebehaushalt'!$A$4:$R$275,9,FALSE)="","",VLOOKUP(A84,'Charriage - Geschiebehaushalt'!$A$4:$R$275,9,FALSE))</f>
        <v>0</v>
      </c>
      <c r="S84" s="876" t="str">
        <f>IF(VLOOKUP(A84,'Charriage - Geschiebehaushalt'!$A$4:$R$275,10,FALSE)="","",VLOOKUP(A84,'Charriage - Geschiebehaushalt'!$A$4:$R$275,10,FALSE))</f>
        <v>pas ou faiblement entravé</v>
      </c>
      <c r="T84" s="875">
        <f>IF(VLOOKUP(A84,'Charriage - Geschiebehaushalt'!$A$4:$R$275,11,FALSE)="","",VLOOKUP(A84,'Charriage - Geschiebehaushalt'!$A$4:$R$275,11,FALSE))</f>
        <v>0.30477530826999999</v>
      </c>
      <c r="U84" s="876" t="str">
        <f>IF(VLOOKUP(A84,'Charriage - Geschiebehaushalt'!$A$4:$R$275,12,FALSE)="","",VLOOKUP(A84,'Charriage - Geschiebehaushalt'!$A$4:$R$275,12,FALSE))</f>
        <v>déficit dans les formations pionnières</v>
      </c>
      <c r="V84" s="877" t="str">
        <f>IF(VLOOKUP(A84,'Charriage - Geschiebehaushalt'!$A$4:$R$275,13,FALSE)="","",VLOOKUP(A84,'Charriage - Geschiebehaushalt'!$A$4:$R$275,13,FALSE))</f>
        <v/>
      </c>
      <c r="W84" s="877" t="str">
        <f>IF(VLOOKUP(A84,'Charriage - Geschiebehaushalt'!$A$4:$R$275,14,FALSE)="","",VLOOKUP(A84,'Charriage - Geschiebehaushalt'!$A$4:$R$275,14,FALSE))</f>
        <v/>
      </c>
      <c r="X84" s="877" t="str">
        <f>IF(VLOOKUP(A84,'Charriage - Geschiebehaushalt'!$A$4:$R$275,15,FALSE)="","",VLOOKUP(A84,'Charriage - Geschiebehaushalt'!$A$4:$R$275,15,FALSE))</f>
        <v/>
      </c>
      <c r="Y84" s="879" t="str">
        <f>IF(VLOOKUP(A84,'Charriage - Geschiebehaushalt'!$A$4:$R$275,16,FALSE)="","",VLOOKUP(A84,'Charriage - Geschiebehaushalt'!$A$4:$R$275,16,FALSE))</f>
        <v/>
      </c>
      <c r="Z84" s="763" t="str">
        <f>IF(VLOOKUP(A84,'Charriage - Geschiebehaushalt'!$A$4:$R$275,17,FALSE)="","",VLOOKUP(A84,'Charriage - Geschiebehaushalt'!$A$4:$R$275,17,FALSE))</f>
        <v>0-20%</v>
      </c>
      <c r="AA84" s="880" t="str">
        <f>IF(VLOOKUP(A84,'Charriage - Geschiebehaushalt'!$A$4:$R$275,18,FALSE)="","",VLOOKUP(A84,'Charriage - Geschiebehaushalt'!$A$4:$R$275,18,FALSE))</f>
        <v>a</v>
      </c>
      <c r="AB84" s="737">
        <f>IF(VLOOKUP(A84,'Charriage - Geschiebehaushalt'!$A$4:$AC$275,19,FALSE)="","",VLOOKUP(A84,'Charriage - Geschiebehaushalt'!$A$4:$AC$275,19,FALSE))</f>
        <v>0</v>
      </c>
      <c r="AC84" s="738">
        <f>IF(VLOOKUP(A84,'Charriage - Geschiebehaushalt'!$A$4:$AC$275,20,FALSE)="","",VLOOKUP(A84,'Charriage - Geschiebehaushalt'!$A$4:$AC$275,20,FALSE))</f>
        <v>0</v>
      </c>
      <c r="AD84" s="764" t="str">
        <f>IF(VLOOKUP(A84,'Charriage - Geschiebehaushalt'!$A$4:$AC$275,21,FALSE)="","",VLOOKUP(A84,'Charriage - Geschiebehaushalt'!$A$4:$AC$275,21,FALSE))</f>
        <v/>
      </c>
      <c r="AE84" s="772" t="str">
        <f>IF(VLOOKUP(A84,'Charriage - Geschiebehaushalt'!$A$4:$AC$275,22,FALSE)="","",VLOOKUP(A84,'Charriage - Geschiebehaushalt'!$A$4:$AC$275,22,FALSE))</f>
        <v>0-20%</v>
      </c>
      <c r="AF84" s="787" t="str">
        <f>IF(VLOOKUP(A84,'Charriage - Geschiebehaushalt'!$A$4:$AC$275,23,FALSE)="","",VLOOKUP(A84,'Charriage - Geschiebehaushalt'!$A$4:$AC$275,23,FALSE))</f>
        <v>a</v>
      </c>
      <c r="AG84" s="765" t="str">
        <f>IF(VLOOKUP(A84,'Charriage - Geschiebehaushalt'!$A$4:$AC$275,24,FALSE)="","",VLOOKUP(A84,'Charriage - Geschiebehaushalt'!$A$4:$AC$275,24,FALSE))</f>
        <v/>
      </c>
      <c r="AH84" s="764" t="str">
        <f>IF(VLOOKUP(A84,'Charriage - Geschiebehaushalt'!$A$4:$AC$275,25,FALSE)="","",VLOOKUP(A84,'Charriage - Geschiebehaushalt'!$A$4:$AC$275,25,FALSE))</f>
        <v/>
      </c>
      <c r="AI84" s="435" t="str">
        <f>IF(VLOOKUP(A84,'Charriage - Geschiebehaushalt'!$A$4:$AC$275,26,FALSE)="","",VLOOKUP(A84,'Charriage - Geschiebehaushalt'!$A$4:$AC$275,26,FALSE))</f>
        <v/>
      </c>
      <c r="AJ84" s="436" t="str">
        <f>IF(VLOOKUP(A84,'Charriage - Geschiebehaushalt'!$A$4:$AC$275,27,FALSE)="","",VLOOKUP(A84,'Charriage - Geschiebehaushalt'!$A$4:$AC$275,27,FALSE))</f>
        <v/>
      </c>
      <c r="AK84" s="814" t="str">
        <f>IF(VLOOKUP(A84,'Charriage - Geschiebehaushalt'!$A$4:$AC$275,28,FALSE)="","",VLOOKUP(A84,'Charriage - Geschiebehaushalt'!$A$4:$AC$275,28,FALSE))</f>
        <v>0-20%</v>
      </c>
      <c r="AL84" s="1285" t="str">
        <f>IF(VLOOKUP(A84,'Charriage - Geschiebehaushalt'!$A$4:$AD$275,30,FALSE)="","",VLOOKUP(A84,'Charriage - Geschiebehaushalt'!$A$4:$AD$275,30,FALSE))</f>
        <v>a</v>
      </c>
      <c r="AM84" s="1279" t="str">
        <f>IF(VLOOKUP(A84,'Débit - Abfluss'!$A$4:$K$275,5,FALSE)="","",VLOOKUP(A84,'Débit - Abfluss'!$A$4:$M$275,5,FALSE))</f>
        <v>100%</v>
      </c>
      <c r="AN84" s="868" t="str">
        <f>IF(VLOOKUP(A84,'Débit - Abfluss'!$A$4:$K$275,6,FALSE)="","",VLOOKUP(A84,'Débit - Abfluss'!$A$4:$M$275,6,FALSE))</f>
        <v>aucune information supplémentaire</v>
      </c>
      <c r="AO84" s="869" t="str">
        <f>IF(VLOOKUP(A84,'Débit - Abfluss'!$A$4:$K$275,7,FALSE)="","",VLOOKUP(A84,'Débit - Abfluss'!$A$4:$M$275,7,FALSE))</f>
        <v>aucune information supplémentaire</v>
      </c>
      <c r="AP84" s="781" t="str">
        <f>IF(VLOOKUP(A84,'Débit - Abfluss'!$A$4:$K$275,8,FALSE)="","",VLOOKUP(A84,'Débit - Abfluss'!$A$4:$M$275,8,FALSE))</f>
        <v>100%</v>
      </c>
      <c r="AQ84" s="742" t="str">
        <f>IF(VLOOKUP(A84,'Débit - Abfluss'!$A$4:$K$275,9,FALSE)="","",VLOOKUP(A84,'Débit - Abfluss'!$A$4:$M$275,9,FALSE))</f>
        <v>-</v>
      </c>
      <c r="AR84" s="767" t="str">
        <f>IF(VLOOKUP(A84,'Débit - Abfluss'!$A$4:$K$275,10,FALSE)="","",VLOOKUP(A84,'Débit - Abfluss'!$A$4:$M$275,10,FALSE))</f>
        <v>100%</v>
      </c>
      <c r="AS84" s="767" t="str">
        <f>IF(VLOOKUP(A84,'Débit - Abfluss'!$A$4:$K$275,11,FALSE)="","",VLOOKUP(A84,'Débit - Abfluss'!$A$4:$M$275,11,FALSE))</f>
        <v/>
      </c>
      <c r="AT84" s="778" t="str">
        <f>IF(VLOOKUP(A84,'Débit - Abfluss'!$A$4:$Q$275,12,FALSE)="","",VLOOKUP(A84,'Débit - Abfluss'!$A$4:$Q$275,12,FALSE))</f>
        <v/>
      </c>
      <c r="AU84" s="779" t="str">
        <f>IF(VLOOKUP(A84,'Débit - Abfluss'!$A$4:$Q$275,13,FALSE)="","",VLOOKUP(A84,'Débit - Abfluss'!$A$4:$Q$275,13,FALSE))</f>
        <v/>
      </c>
      <c r="AV84" s="746" t="str">
        <f>IF(VLOOKUP(A84,'Débit - Abfluss'!$A$4:$Q$275,14,FALSE)="","",VLOOKUP(A84,'Débit - Abfluss'!$A$4:$Q$275,14,FALSE))</f>
        <v/>
      </c>
      <c r="AW84" s="768" t="str">
        <f>IF(VLOOKUP(A84,'Débit - Abfluss'!$A$4:$Q$275,15,FALSE)="","",VLOOKUP(A84,'Débit - Abfluss'!$A$4:$Q$275,15,FALSE))</f>
        <v/>
      </c>
      <c r="AX84" s="679" t="str">
        <f>IF(VLOOKUP(A84,'Débit - Abfluss'!$A$4:$Q$275,16,FALSE)="","",VLOOKUP(A84,'Débit - Abfluss'!$A$4:$Q$275,16,FALSE))</f>
        <v/>
      </c>
      <c r="AY84" s="769" t="str">
        <f>IF(VLOOKUP(A84,'Débit - Abfluss'!$A$4:$Q$275,17,FALSE)="","",VLOOKUP(A84,'Débit - Abfluss'!$A$4:$Q$275,17,FALSE))</f>
        <v>100%</v>
      </c>
      <c r="AZ84" s="749" t="str">
        <f>IF(VLOOKUP(A84,'Eclusée - Schwall-Sunk'!$A$2:$F$273,5,FALSE)="","",VLOOKUP(A84,'Eclusée - Schwall-Sunk'!$A$2:$F$273,5,FALSE))</f>
        <v/>
      </c>
      <c r="BA84" s="750" t="str">
        <f>IF(VLOOKUP(A84,'Eclusée - Schwall-Sunk'!$A$2:$F$273,6,FALSE)="","",VLOOKUP(A84,'Eclusée - Schwall-Sunk'!$A$2:$F$273,6,FALSE))</f>
        <v>Non affecté / nicht betroffen</v>
      </c>
      <c r="BB84" s="751">
        <f>IF(VLOOKUP(A84,'Revitalisation-Revitalisierung'!$A$4:$Z$275,5,FALSE)="","",VLOOKUP(A84,'Revitalisation-Revitalisierung'!$A$4:$Z$275,5,FALSE))</f>
        <v>-18.636363636363637</v>
      </c>
      <c r="BC84" s="752">
        <f>IF(VLOOKUP(A84,'Revitalisation-Revitalisierung'!$A$4:$Z$275,6,FALSE)="","",VLOOKUP(A84,'Revitalisation-Revitalisierung'!$A$4:$Z$275,6,FALSE))</f>
        <v>0</v>
      </c>
      <c r="BD84" s="752">
        <f>IF(VLOOKUP(A84,'Revitalisation-Revitalisierung'!$A$4:$Z$275,7,FALSE)="","",VLOOKUP(A84,'Revitalisation-Revitalisierung'!$A$4:$Z$275,7,FALSE))</f>
        <v>18.636363636363637</v>
      </c>
      <c r="BE84" s="753" t="str">
        <f>IF(VLOOKUP(A84,'Revitalisation-Revitalisierung'!$A$4:$Z$275,8,FALSE)="","",VLOOKUP(A84,'Revitalisation-Revitalisierung'!$A$4:$Z$275,8,FALSE))</f>
        <v>non nécessaire</v>
      </c>
      <c r="BF84" s="754" t="str">
        <f>IF(VLOOKUP(A84,'Revitalisation-Revitalisierung'!$A$4:$Z$275,9,FALSE)="","",VLOOKUP(A84,'Revitalisation-Revitalisierung'!$A$4:$Z$275,9,FALSE))</f>
        <v/>
      </c>
      <c r="BG84" s="754" t="str">
        <f>IF(VLOOKUP(A84,'Revitalisation-Revitalisierung'!$A$4:$Z$275,10,FALSE)="","",VLOOKUP(A84,'Revitalisation-Revitalisierung'!$A$4:$Z$275,10,FALSE))</f>
        <v>K3</v>
      </c>
      <c r="BH84" s="755" t="str">
        <f>IF(VLOOKUP(A84,'Revitalisation-Revitalisierung'!$A$4:$Z$275,11,FALSE)="","",VLOOKUP(A84,'Revitalisation-Revitalisierung'!$A$4:$Z$275,11,FALSE))</f>
        <v/>
      </c>
      <c r="BI84" s="756" t="str">
        <f>IF(VLOOKUP(A84,'Revitalisation-Revitalisierung'!$A$4:$Z$275,12,FALSE)="","",VLOOKUP(A84,'Revitalisation-Revitalisierung'!$A$4:$Z$275,12,FALSE))</f>
        <v/>
      </c>
      <c r="BJ84" s="757" t="str">
        <f>IF(VLOOKUP(A84,'Revitalisation-Revitalisierung'!$A$4:$Z$275,13,FALSE)="","",VLOOKUP(A84,'Revitalisation-Revitalisierung'!$A$4:$Z$275,13,FALSE))</f>
        <v>Non nécessaire / nicht nötig</v>
      </c>
      <c r="BK84" s="870" t="str">
        <f>IF(VLOOKUP(A84,'Revitalisation-Revitalisierung'!$A$4:$Z$275,14,FALSE)="","",VLOOKUP(A84,'Revitalisation-Revitalisierung'!$A$4:$Z$275,14,FALSE))</f>
        <v>a</v>
      </c>
      <c r="BL84" s="758" t="str">
        <f>IF(VLOOKUP(A84,'Revitalisation-Revitalisierung'!$A$4:$Z$275,15,FALSE)="","",VLOOKUP(A84,'Revitalisation-Revitalisierung'!$A$4:$Z$275,15,FALSE))</f>
        <v>keine Angaben</v>
      </c>
      <c r="BM84" s="759" t="str">
        <f>IF(VLOOKUP(A84,'Revitalisation-Revitalisierung'!$A$4:$Z$275,16,FALSE)="","",VLOOKUP(A84,'Revitalisation-Revitalisierung'!$A$4:$Z$275,16,FALSE))</f>
        <v>keine Angaben</v>
      </c>
      <c r="BN84" s="759" t="str">
        <f>IF(VLOOKUP(A84,'Revitalisation-Revitalisierung'!$A$4:$Z$275,17,FALSE)="","",VLOOKUP(A84,'Revitalisation-Revitalisierung'!$A$4:$Z$275,17,FALSE))</f>
        <v>-</v>
      </c>
      <c r="BO84" s="760" t="str">
        <f>IF(VLOOKUP(A84,'Revitalisation-Revitalisierung'!$A$4:$Z$275,18,FALSE)="","",VLOOKUP(A84,'Revitalisation-Revitalisierung'!$A$4:$Z$275,18,FALSE))</f>
        <v/>
      </c>
      <c r="BP84" s="761" t="str">
        <f>IF(VLOOKUP(A84,'Revitalisation-Revitalisierung'!$A$4:$Z$275,19,FALSE)="","",VLOOKUP(A84,'Revitalisation-Revitalisierung'!$A$4:$Z$275,19,FALSE))</f>
        <v>Non nécessaire / nicht nötig</v>
      </c>
      <c r="BQ84" s="759" t="str">
        <f>IF(VLOOKUP(A84,'Revitalisation-Revitalisierung'!$A$4:$Z$275,20,FALSE)="","",VLOOKUP(A84,'Revitalisation-Revitalisierung'!$A$4:$Z$275,20,FALSE))</f>
        <v>a</v>
      </c>
      <c r="BR84" s="759" t="str">
        <f>IF(VLOOKUP(A84,'Revitalisation-Revitalisierung'!$A$4:$Z$275,21,FALSE)="","",VLOOKUP(A84,'Revitalisation-Revitalisierung'!$A$4:$Z$275,21,FALSE))</f>
        <v/>
      </c>
      <c r="BS84" s="762" t="str">
        <f>IF(VLOOKUP(A84,'Revitalisation-Revitalisierung'!$A$4:$Z$275,22,FALSE)="","",VLOOKUP(A84,'Revitalisation-Revitalisierung'!$A$4:$Z$275,22,FALSE))</f>
        <v/>
      </c>
      <c r="BT84" s="703" t="str">
        <f>IF(VLOOKUP(A84,'Revitalisation-Revitalisierung'!$A$4:$Z$275,23,FALSE)="","",VLOOKUP(A84,'Revitalisation-Revitalisierung'!$A$4:$Z$275,23,FALSE))</f>
        <v/>
      </c>
      <c r="BU84" s="704" t="str">
        <f>IF(VLOOKUP(A84,'Revitalisation-Revitalisierung'!$A$4:$Z$275,24,FALSE)="","",VLOOKUP(A84,'Revitalisation-Revitalisierung'!$A$4:$Z$275,24,FALSE))</f>
        <v/>
      </c>
      <c r="BV84" s="761" t="str">
        <f>IF(VLOOKUP(A84,'Revitalisation-Revitalisierung'!$A$4:$Z$275,25,FALSE)="","",VLOOKUP(A84,'Revitalisation-Revitalisierung'!$A$4:$Z$275,25,FALSE))</f>
        <v>Non nécessaire / nicht nötig</v>
      </c>
      <c r="BW84" s="871" t="str">
        <f>IF(VLOOKUP(A84,'Revitalisation-Revitalisierung'!$A$4:$AA$275,27,FALSE)="","",VLOOKUP(A84,'Revitalisation-Revitalisierung'!$A$4:$AA$275,27,FALSE))</f>
        <v>a</v>
      </c>
    </row>
    <row r="85" spans="1:75" ht="64.900000000000006" customHeight="1" x14ac:dyDescent="0.25">
      <c r="A85" s="935">
        <v>108</v>
      </c>
      <c r="B85" s="856">
        <f>IF(VLOOKUP(A85,'Données de base - Grunddaten'!$A$2:$M$297,2,FALSE)="","",VLOOKUP(A85,'Données de base - Grunddaten'!$A$2:$M$297,2,FALSE))</f>
        <v>1</v>
      </c>
      <c r="C85" s="857" t="str">
        <f>IF(VLOOKUP(A85,'Données de base - Grunddaten'!$A$2:$M$297,3,FALSE)="","",VLOOKUP(A85,'Données de base - Grunddaten'!$A$2:$M$297,3,FALSE))</f>
        <v>Widen bei Realp</v>
      </c>
      <c r="D85" s="857" t="str">
        <f>IF(VLOOKUP(A85,'Données de base - Grunddaten'!$A$2:$M$297,4,FALSE)="","",VLOOKUP(A85,'Données de base - Grunddaten'!$A$2:$M$297,4,FALSE))</f>
        <v>Furkareuss</v>
      </c>
      <c r="E85" s="857" t="str">
        <f>IF(VLOOKUP(A85,'Données de base - Grunddaten'!$A$2:$M$297,5,FALSE)="","",VLOOKUP(A85,'Données de base - Grunddaten'!$A$2:$M$297,5,FALSE))</f>
        <v>UR</v>
      </c>
      <c r="F85" s="857" t="str">
        <f>IF(VLOOKUP(A85,'Données de base - Grunddaten'!$A$2:$M$297,6,FALSE)="","",VLOOKUP(A85,'Données de base - Grunddaten'!$A$2:$M$297,6,FALSE))</f>
        <v>Alpes centrales orientales</v>
      </c>
      <c r="G85" s="857" t="str">
        <f>IF(VLOOKUP(A85,'Données de base - Grunddaten'!$A$2:$M$297,7,FALSE)="","",VLOOKUP(A85,'Données de base - Grunddaten'!$A$2:$M$297,7,FALSE))</f>
        <v>Subalpin sup.</v>
      </c>
      <c r="H85" s="857">
        <f>IF(VLOOKUP(A85,'Données de base - Grunddaten'!$A$2:$M$297,8,FALSE)="","",VLOOKUP(A85,'Données de base - Grunddaten'!$A$2:$M$297,8,FALSE))</f>
        <v>1510</v>
      </c>
      <c r="I85" s="857">
        <f>IF(VLOOKUP(A85,'Données de base - Grunddaten'!$A$2:$M$297,9,FALSE)="","",VLOOKUP(A85,'Données de base - Grunddaten'!$A$2:$M$297,9,FALSE))</f>
        <v>1992</v>
      </c>
      <c r="J85" s="857">
        <f>IF(VLOOKUP(A85,'Données de base - Grunddaten'!$A$2:$M$297,10,FALSE)="","",VLOOKUP(A85,'Données de base - Grunddaten'!$A$2:$M$297,10,FALSE))</f>
        <v>31</v>
      </c>
      <c r="K85" s="857" t="str">
        <f>IF(VLOOKUP(A85,'Données de base - Grunddaten'!$A$2:$M$297,11,FALSE)="","",VLOOKUP(A85,'Données de base - Grunddaten'!$A$2:$M$297,11,FALSE))</f>
        <v>Cours d'eau naturels de l'étage subalpin</v>
      </c>
      <c r="L85" s="857" t="str">
        <f>IF(VLOOKUP(A85,'Données de base - Grunddaten'!$A$2:$M$297,12,FALSE)="","",VLOOKUP(A85,'Données de base - Grunddaten'!$A$2:$M$297,12,FALSE))</f>
        <v>en méandres migrants</v>
      </c>
      <c r="M85" s="858" t="str">
        <f>IF(VLOOKUP(A85,'Données de base - Grunddaten'!$A$2:$M$297,13,FALSE)="","",VLOOKUP(A85,'Données de base - Grunddaten'!$A$2:$M$297,13,FALSE))</f>
        <v>en méandres migrants</v>
      </c>
      <c r="N85" s="872" t="str">
        <f>IF(VLOOKUP(A85,'Charriage - Geschiebehaushalt'!$A$4:$R$275,5,FALSE)="","",VLOOKUP(A85,'Charriage - Geschiebehaushalt'!$A$4:$R$275,5,FALSE))</f>
        <v>pertinent</v>
      </c>
      <c r="O85" s="873" t="str">
        <f>IF(VLOOKUP(A85,'Charriage - Geschiebehaushalt'!$A$4:$R$275,6,FALSE)="","",VLOOKUP(A85,'Charriage - Geschiebehaushalt'!$A$4:$R$275,6,FALSE))</f>
        <v>0-20%</v>
      </c>
      <c r="P85" s="874" t="str">
        <f>IF(VLOOKUP(A85,'Charriage - Geschiebehaushalt'!$A$4:$R$275,7,FALSE)="","",VLOOKUP(A85,'Charriage - Geschiebehaushalt'!$A$4:$R$275,7,FALSE))</f>
        <v/>
      </c>
      <c r="Q85" s="874" t="str">
        <f>IF(VLOOKUP(A85,'Charriage - Geschiebehaushalt'!$A$4:$R$275,8,FALSE)="","",VLOOKUP(A85,'Charriage - Geschiebehaushalt'!$A$4:$R$275,8,FALSE))</f>
        <v>non documenté</v>
      </c>
      <c r="R85" s="875">
        <f>IF(VLOOKUP(A85,'Charriage - Geschiebehaushalt'!$A$4:$R$275,9,FALSE)="","",VLOOKUP(A85,'Charriage - Geschiebehaushalt'!$A$4:$R$275,9,FALSE))</f>
        <v>0.31742957322101201</v>
      </c>
      <c r="S85" s="876" t="str">
        <f>IF(VLOOKUP(A85,'Charriage - Geschiebehaushalt'!$A$4:$R$275,10,FALSE)="","",VLOOKUP(A85,'Charriage - Geschiebehaushalt'!$A$4:$R$275,10,FALSE))</f>
        <v>la remobilisation des sédiments est perturbée</v>
      </c>
      <c r="T85" s="875">
        <f>IF(VLOOKUP(A85,'Charriage - Geschiebehaushalt'!$A$4:$R$275,11,FALSE)="","",VLOOKUP(A85,'Charriage - Geschiebehaushalt'!$A$4:$R$275,11,FALSE))</f>
        <v>0.43387935976000003</v>
      </c>
      <c r="U85" s="876" t="str">
        <f>IF(VLOOKUP(A85,'Charriage - Geschiebehaushalt'!$A$4:$R$275,12,FALSE)="","",VLOOKUP(A85,'Charriage - Geschiebehaushalt'!$A$4:$R$275,12,FALSE))</f>
        <v>déficit non apparent en charriage ou en remobilisation des sédiments</v>
      </c>
      <c r="V85" s="877" t="str">
        <f>IF(VLOOKUP(A85,'Charriage - Geschiebehaushalt'!$A$4:$R$275,13,FALSE)="","",VLOOKUP(A85,'Charriage - Geschiebehaushalt'!$A$4:$R$275,13,FALSE))</f>
        <v/>
      </c>
      <c r="W85" s="877" t="str">
        <f>IF(VLOOKUP(A85,'Charriage - Geschiebehaushalt'!$A$4:$R$275,14,FALSE)="","",VLOOKUP(A85,'Charriage - Geschiebehaushalt'!$A$4:$R$275,14,FALSE))</f>
        <v/>
      </c>
      <c r="X85" s="877" t="str">
        <f>IF(VLOOKUP(A85,'Charriage - Geschiebehaushalt'!$A$4:$R$275,15,FALSE)="","",VLOOKUP(A85,'Charriage - Geschiebehaushalt'!$A$4:$R$275,15,FALSE))</f>
        <v/>
      </c>
      <c r="Y85" s="879" t="str">
        <f>IF(VLOOKUP(A85,'Charriage - Geschiebehaushalt'!$A$4:$R$275,16,FALSE)="","",VLOOKUP(A85,'Charriage - Geschiebehaushalt'!$A$4:$R$275,16,FALSE))</f>
        <v/>
      </c>
      <c r="Z85" s="763" t="str">
        <f>IF(VLOOKUP(A85,'Charriage - Geschiebehaushalt'!$A$4:$R$275,17,FALSE)="","",VLOOKUP(A85,'Charriage - Geschiebehaushalt'!$A$4:$R$275,17,FALSE))</f>
        <v>0-20%</v>
      </c>
      <c r="AA85" s="880" t="str">
        <f>IF(VLOOKUP(A85,'Charriage - Geschiebehaushalt'!$A$4:$R$275,18,FALSE)="","",VLOOKUP(A85,'Charriage - Geschiebehaushalt'!$A$4:$R$275,18,FALSE))</f>
        <v>a</v>
      </c>
      <c r="AB85" s="737">
        <f>IF(VLOOKUP(A85,'Charriage - Geschiebehaushalt'!$A$4:$AC$275,19,FALSE)="","",VLOOKUP(A85,'Charriage - Geschiebehaushalt'!$A$4:$AC$275,19,FALSE))</f>
        <v>0</v>
      </c>
      <c r="AC85" s="738">
        <f>IF(VLOOKUP(A85,'Charriage - Geschiebehaushalt'!$A$4:$AC$275,20,FALSE)="","",VLOOKUP(A85,'Charriage - Geschiebehaushalt'!$A$4:$AC$275,20,FALSE))</f>
        <v>0</v>
      </c>
      <c r="AD85" s="764" t="str">
        <f>IF(VLOOKUP(A85,'Charriage - Geschiebehaushalt'!$A$4:$AC$275,21,FALSE)="","",VLOOKUP(A85,'Charriage - Geschiebehaushalt'!$A$4:$AC$275,21,FALSE))</f>
        <v/>
      </c>
      <c r="AE85" s="772" t="str">
        <f>IF(VLOOKUP(A85,'Charriage - Geschiebehaushalt'!$A$4:$AC$275,22,FALSE)="","",VLOOKUP(A85,'Charriage - Geschiebehaushalt'!$A$4:$AC$275,22,FALSE))</f>
        <v>0-20%</v>
      </c>
      <c r="AF85" s="787" t="str">
        <f>IF(VLOOKUP(A85,'Charriage - Geschiebehaushalt'!$A$4:$AC$275,23,FALSE)="","",VLOOKUP(A85,'Charriage - Geschiebehaushalt'!$A$4:$AC$275,23,FALSE))</f>
        <v>a</v>
      </c>
      <c r="AG85" s="765" t="str">
        <f>IF(VLOOKUP(A85,'Charriage - Geschiebehaushalt'!$A$4:$AC$275,24,FALSE)="","",VLOOKUP(A85,'Charriage - Geschiebehaushalt'!$A$4:$AC$275,24,FALSE))</f>
        <v/>
      </c>
      <c r="AH85" s="764" t="str">
        <f>IF(VLOOKUP(A85,'Charriage - Geschiebehaushalt'!$A$4:$AC$275,25,FALSE)="","",VLOOKUP(A85,'Charriage - Geschiebehaushalt'!$A$4:$AC$275,25,FALSE))</f>
        <v/>
      </c>
      <c r="AI85" s="435" t="str">
        <f>IF(VLOOKUP(A85,'Charriage - Geschiebehaushalt'!$A$4:$AC$275,26,FALSE)="","",VLOOKUP(A85,'Charriage - Geschiebehaushalt'!$A$4:$AC$275,26,FALSE))</f>
        <v/>
      </c>
      <c r="AJ85" s="436" t="str">
        <f>IF(VLOOKUP(A85,'Charriage - Geschiebehaushalt'!$A$4:$AC$275,27,FALSE)="","",VLOOKUP(A85,'Charriage - Geschiebehaushalt'!$A$4:$AC$275,27,FALSE))</f>
        <v/>
      </c>
      <c r="AK85" s="814" t="str">
        <f>IF(VLOOKUP(A85,'Charriage - Geschiebehaushalt'!$A$4:$AC$275,28,FALSE)="","",VLOOKUP(A85,'Charriage - Geschiebehaushalt'!$A$4:$AC$275,28,FALSE))</f>
        <v>0-20%</v>
      </c>
      <c r="AL85" s="1285" t="str">
        <f>IF(VLOOKUP(A85,'Charriage - Geschiebehaushalt'!$A$4:$AD$275,30,FALSE)="","",VLOOKUP(A85,'Charriage - Geschiebehaushalt'!$A$4:$AD$275,30,FALSE))</f>
        <v>a</v>
      </c>
      <c r="AM85" s="1279" t="str">
        <f>IF(VLOOKUP(A85,'Débit - Abfluss'!$A$4:$K$275,5,FALSE)="","",VLOOKUP(A85,'Débit - Abfluss'!$A$4:$M$275,5,FALSE))</f>
        <v>61-80%</v>
      </c>
      <c r="AN85" s="868" t="str">
        <f>IF(VLOOKUP(A85,'Débit - Abfluss'!$A$4:$K$275,6,FALSE)="","",VLOOKUP(A85,'Débit - Abfluss'!$A$4:$M$275,6,FALSE))</f>
        <v/>
      </c>
      <c r="AO85" s="869" t="str">
        <f>IF(VLOOKUP(A85,'Débit - Abfluss'!$A$4:$K$275,7,FALSE)="","",VLOOKUP(A85,'Débit - Abfluss'!$A$4:$M$275,7,FALSE))</f>
        <v/>
      </c>
      <c r="AP85" s="766" t="str">
        <f>IF(VLOOKUP(A85,'Débit - Abfluss'!$A$4:$K$275,8,FALSE)="","",VLOOKUP(A85,'Débit - Abfluss'!$A$4:$M$275,8,FALSE))</f>
        <v>61-80%</v>
      </c>
      <c r="AQ85" s="678" t="str">
        <f>IF(VLOOKUP(A85,'Débit - Abfluss'!$A$4:$K$275,9,FALSE)="","",VLOOKUP(A85,'Débit - Abfluss'!$A$4:$M$275,9,FALSE))</f>
        <v>&lt;10%</v>
      </c>
      <c r="AR85" s="773" t="str">
        <f>IF(VLOOKUP(A85,'Débit - Abfluss'!$A$4:$K$275,10,FALSE)="","",VLOOKUP(A85,'Débit - Abfluss'!$A$4:$M$275,10,FALSE))</f>
        <v>61-80%</v>
      </c>
      <c r="AS85" s="773" t="str">
        <f>IF(VLOOKUP(A85,'Débit - Abfluss'!$A$4:$K$275,11,FALSE)="","",VLOOKUP(A85,'Débit - Abfluss'!$A$4:$M$275,11,FALSE))</f>
        <v>X</v>
      </c>
      <c r="AT85" s="778" t="str">
        <f>IF(VLOOKUP(A85,'Débit - Abfluss'!$A$4:$Q$275,12,FALSE)="","",VLOOKUP(A85,'Débit - Abfluss'!$A$4:$Q$275,12,FALSE))</f>
        <v/>
      </c>
      <c r="AU85" s="779" t="str">
        <f>IF(VLOOKUP(A85,'Débit - Abfluss'!$A$4:$Q$275,13,FALSE)="","",VLOOKUP(A85,'Débit - Abfluss'!$A$4:$Q$275,13,FALSE))</f>
        <v/>
      </c>
      <c r="AV85" s="746" t="str">
        <f>IF(VLOOKUP(A85,'Débit - Abfluss'!$A$4:$Q$275,14,FALSE)="","",VLOOKUP(A85,'Débit - Abfluss'!$A$4:$Q$275,14,FALSE))</f>
        <v>UR-W 20.1</v>
      </c>
      <c r="AW85" s="768" t="str">
        <f>IF(VLOOKUP(A85,'Débit - Abfluss'!$A$4:$Q$275,15,FALSE)="","",VLOOKUP(A85,'Débit - Abfluss'!$A$4:$Q$275,15,FALSE))</f>
        <v>Göschenen (Göscheneralp)</v>
      </c>
      <c r="AX85" s="679" t="str">
        <f>IF(VLOOKUP(A85,'Débit - Abfluss'!$A$4:$Q$275,16,FALSE)="","",VLOOKUP(A85,'Débit - Abfluss'!$A$4:$Q$275,16,FALSE))</f>
        <v/>
      </c>
      <c r="AY85" s="775" t="str">
        <f>IF(VLOOKUP(A85,'Débit - Abfluss'!$A$4:$Q$275,17,FALSE)="","",VLOOKUP(A85,'Débit - Abfluss'!$A$4:$Q$275,17,FALSE))</f>
        <v>61-80%</v>
      </c>
      <c r="AZ85" s="749" t="str">
        <f>IF(VLOOKUP(A85,'Eclusée - Schwall-Sunk'!$A$2:$F$273,5,FALSE)="","",VLOOKUP(A85,'Eclusée - Schwall-Sunk'!$A$2:$F$273,5,FALSE))</f>
        <v>force hydraulique</v>
      </c>
      <c r="BA85" s="750" t="str">
        <f>IF(VLOOKUP(A85,'Eclusée - Schwall-Sunk'!$A$2:$F$273,6,FALSE)="","",VLOOKUP(A85,'Eclusée - Schwall-Sunk'!$A$2:$F$273,6,FALSE))</f>
        <v>Non affecté / nicht betroffen</v>
      </c>
      <c r="BB85" s="751">
        <f>IF(VLOOKUP(A85,'Revitalisation-Revitalisierung'!$A$4:$Z$275,5,FALSE)="","",VLOOKUP(A85,'Revitalisation-Revitalisierung'!$A$4:$Z$275,5,FALSE))</f>
        <v>19.145454545454548</v>
      </c>
      <c r="BC85" s="752">
        <f>IF(VLOOKUP(A85,'Revitalisation-Revitalisierung'!$A$4:$Z$275,6,FALSE)="","",VLOOKUP(A85,'Revitalisation-Revitalisierung'!$A$4:$Z$275,6,FALSE))</f>
        <v>49.597700864648665</v>
      </c>
      <c r="BD85" s="752">
        <f>IF(VLOOKUP(A85,'Revitalisation-Revitalisierung'!$A$4:$Z$275,7,FALSE)="","",VLOOKUP(A85,'Revitalisation-Revitalisierung'!$A$4:$Z$275,7,FALSE))</f>
        <v>30.454545454545453</v>
      </c>
      <c r="BE85" s="753" t="str">
        <f>IF(VLOOKUP(A85,'Revitalisation-Revitalisierung'!$A$4:$Z$275,8,FALSE)="","",VLOOKUP(A85,'Revitalisation-Revitalisierung'!$A$4:$Z$275,8,FALSE))</f>
        <v>très nécessaire, difficile</v>
      </c>
      <c r="BF85" s="754" t="str">
        <f>IF(VLOOKUP(A85,'Revitalisation-Revitalisierung'!$A$4:$Z$275,9,FALSE)="","",VLOOKUP(A85,'Revitalisation-Revitalisierung'!$A$4:$Z$275,9,FALSE))</f>
        <v>leicht</v>
      </c>
      <c r="BG85" s="754" t="str">
        <f>IF(VLOOKUP(A85,'Revitalisation-Revitalisierung'!$A$4:$Z$275,10,FALSE)="","",VLOOKUP(A85,'Revitalisation-Revitalisierung'!$A$4:$Z$275,10,FALSE))</f>
        <v>K1</v>
      </c>
      <c r="BH85" s="755" t="str">
        <f>IF(VLOOKUP(A85,'Revitalisation-Revitalisierung'!$A$4:$Z$275,11,FALSE)="","",VLOOKUP(A85,'Revitalisation-Revitalisierung'!$A$4:$Z$275,11,FALSE))</f>
        <v/>
      </c>
      <c r="BI85" s="756" t="str">
        <f>IF(VLOOKUP(A85,'Revitalisation-Revitalisierung'!$A$4:$Z$275,12,FALSE)="","",VLOOKUP(A85,'Revitalisation-Revitalisierung'!$A$4:$Z$275,12,FALSE))</f>
        <v/>
      </c>
      <c r="BJ85" s="757" t="str">
        <f>IF(VLOOKUP(A85,'Revitalisation-Revitalisierung'!$A$4:$Z$275,13,FALSE)="","",VLOOKUP(A85,'Revitalisation-Revitalisierung'!$A$4:$Z$275,13,FALSE))</f>
        <v>Très nécessaire, facile / unbedingt nötig, einfach</v>
      </c>
      <c r="BK85" s="870" t="str">
        <f>IF(VLOOKUP(A85,'Revitalisation-Revitalisierung'!$A$4:$Z$275,14,FALSE)="","",VLOOKUP(A85,'Revitalisation-Revitalisierung'!$A$4:$Z$275,14,FALSE))</f>
        <v>b</v>
      </c>
      <c r="BL85" s="758" t="str">
        <f>IF(VLOOKUP(A85,'Revitalisation-Revitalisierung'!$A$4:$Z$275,15,FALSE)="","",VLOOKUP(A85,'Revitalisation-Revitalisierung'!$A$4:$Z$275,15,FALSE))</f>
        <v>gross</v>
      </c>
      <c r="BM85" s="759" t="str">
        <f>IF(VLOOKUP(A85,'Revitalisation-Revitalisierung'!$A$4:$Z$275,16,FALSE)="","",VLOOKUP(A85,'Revitalisation-Revitalisierung'!$A$4:$Z$275,16,FALSE))</f>
        <v>gross</v>
      </c>
      <c r="BN85" s="759" t="str">
        <f>IF(VLOOKUP(A85,'Revitalisation-Revitalisierung'!$A$4:$Z$275,17,FALSE)="","",VLOOKUP(A85,'Revitalisation-Revitalisierung'!$A$4:$Z$275,17,FALSE))</f>
        <v>hoch</v>
      </c>
      <c r="BO85" s="760" t="str">
        <f>IF(VLOOKUP(A85,'Revitalisation-Revitalisierung'!$A$4:$Z$275,18,FALSE)="","",VLOOKUP(A85,'Revitalisation-Revitalisierung'!$A$4:$Z$275,18,FALSE))</f>
        <v>Très nécessaire, facile / unbedingt nötig, einfach</v>
      </c>
      <c r="BP85" s="761" t="str">
        <f>IF(VLOOKUP(A85,'Revitalisation-Revitalisierung'!$A$4:$Z$275,19,FALSE)="","",VLOOKUP(A85,'Revitalisation-Revitalisierung'!$A$4:$Z$275,19,FALSE))</f>
        <v>Très nécessaire, facile / unbedingt nötig, einfach</v>
      </c>
      <c r="BQ85" s="759" t="str">
        <f>IF(VLOOKUP(A85,'Revitalisation-Revitalisierung'!$A$4:$Z$275,20,FALSE)="","",VLOOKUP(A85,'Revitalisation-Revitalisierung'!$A$4:$Z$275,20,FALSE))</f>
        <v>d</v>
      </c>
      <c r="BR85" s="759" t="str">
        <f>IF(VLOOKUP(A85,'Revitalisation-Revitalisierung'!$A$4:$Z$275,21,FALSE)="","",VLOOKUP(A85,'Revitalisation-Revitalisierung'!$A$4:$Z$275,21,FALSE))</f>
        <v/>
      </c>
      <c r="BS85" s="762" t="str">
        <f>IF(VLOOKUP(A85,'Revitalisation-Revitalisierung'!$A$4:$Z$275,22,FALSE)="","",VLOOKUP(A85,'Revitalisation-Revitalisierung'!$A$4:$Z$275,22,FALSE))</f>
        <v/>
      </c>
      <c r="BT85" s="703" t="str">
        <f>IF(VLOOKUP(A85,'Revitalisation-Revitalisierung'!$A$4:$Z$275,23,FALSE)="","",VLOOKUP(A85,'Revitalisation-Revitalisierung'!$A$4:$Z$275,23,FALSE))</f>
        <v/>
      </c>
      <c r="BU85" s="704" t="str">
        <f>IF(VLOOKUP(A85,'Revitalisation-Revitalisierung'!$A$4:$Z$275,24,FALSE)="","",VLOOKUP(A85,'Revitalisation-Revitalisierung'!$A$4:$Z$275,24,FALSE))</f>
        <v/>
      </c>
      <c r="BV85" s="761" t="str">
        <f>IF(VLOOKUP(A85,'Revitalisation-Revitalisierung'!$A$4:$Z$275,25,FALSE)="","",VLOOKUP(A85,'Revitalisation-Revitalisierung'!$A$4:$Z$275,25,FALSE))</f>
        <v>Très nécessaire, facile / unbedingt nötig, einfach</v>
      </c>
      <c r="BW85" s="871" t="str">
        <f>IF(VLOOKUP(A85,'Revitalisation-Revitalisierung'!$A$4:$AA$275,27,FALSE)="","",VLOOKUP(A85,'Revitalisation-Revitalisierung'!$A$4:$AA$275,27,FALSE))</f>
        <v>a</v>
      </c>
    </row>
    <row r="86" spans="1:75" ht="98.45" customHeight="1" x14ac:dyDescent="0.25">
      <c r="A86" s="936">
        <v>109.1</v>
      </c>
      <c r="B86" s="856">
        <f>IF(VLOOKUP(A86,'Données de base - Grunddaten'!$A$2:$M$297,2,FALSE)="","",VLOOKUP(A86,'Données de base - Grunddaten'!$A$2:$M$297,2,FALSE))</f>
        <v>1</v>
      </c>
      <c r="C86" s="857" t="str">
        <f>IF(VLOOKUP(A86,'Données de base - Grunddaten'!$A$2:$M$297,3,FALSE)="","",VLOOKUP(A86,'Données de base - Grunddaten'!$A$2:$M$297,3,FALSE))</f>
        <v>Hinter Klöntal</v>
      </c>
      <c r="D86" s="857" t="str">
        <f>IF(VLOOKUP(A86,'Données de base - Grunddaten'!$A$2:$M$297,4,FALSE)="","",VLOOKUP(A86,'Données de base - Grunddaten'!$A$2:$M$297,4,FALSE))</f>
        <v>Chlü, Klöntalersee, Sulzbach</v>
      </c>
      <c r="E86" s="857" t="str">
        <f>IF(VLOOKUP(A86,'Données de base - Grunddaten'!$A$2:$M$297,5,FALSE)="","",VLOOKUP(A86,'Données de base - Grunddaten'!$A$2:$M$297,5,FALSE))</f>
        <v>GL</v>
      </c>
      <c r="F86" s="857" t="str">
        <f>IF(VLOOKUP(A86,'Données de base - Grunddaten'!$A$2:$M$297,6,FALSE)="","",VLOOKUP(A86,'Données de base - Grunddaten'!$A$2:$M$297,6,FALSE))</f>
        <v>Alpes septentrionales</v>
      </c>
      <c r="G86" s="857" t="str">
        <f>IF(VLOOKUP(A86,'Données de base - Grunddaten'!$A$2:$M$297,7,FALSE)="","",VLOOKUP(A86,'Données de base - Grunddaten'!$A$2:$M$297,7,FALSE))</f>
        <v>Montagnard inf.</v>
      </c>
      <c r="H86" s="857">
        <f>IF(VLOOKUP(A86,'Données de base - Grunddaten'!$A$2:$M$297,8,FALSE)="","",VLOOKUP(A86,'Données de base - Grunddaten'!$A$2:$M$297,8,FALSE))</f>
        <v>850</v>
      </c>
      <c r="I86" s="857">
        <f>IF(VLOOKUP(A86,'Données de base - Grunddaten'!$A$2:$M$297,9,FALSE)="","",VLOOKUP(A86,'Données de base - Grunddaten'!$A$2:$M$297,9,FALSE))</f>
        <v>1992</v>
      </c>
      <c r="J86" s="857">
        <f>IF(VLOOKUP(A86,'Données de base - Grunddaten'!$A$2:$M$297,10,FALSE)="","",VLOOKUP(A86,'Données de base - Grunddaten'!$A$2:$M$297,10,FALSE))</f>
        <v>90</v>
      </c>
      <c r="K86" s="857" t="str">
        <f>IF(VLOOKUP(A86,'Données de base - Grunddaten'!$A$2:$M$297,11,FALSE)="","",VLOOKUP(A86,'Données de base - Grunddaten'!$A$2:$M$297,11,FALSE))</f>
        <v>Delta</v>
      </c>
      <c r="L86" s="857" t="str">
        <f>IF(VLOOKUP(A86,'Données de base - Grunddaten'!$A$2:$M$297,12,FALSE)="","",VLOOKUP(A86,'Données de base - Grunddaten'!$A$2:$M$297,12,FALSE))</f>
        <v>en méandres migrants</v>
      </c>
      <c r="M86" s="858" t="str">
        <f>IF(VLOOKUP(A86,'Données de base - Grunddaten'!$A$2:$M$297,13,FALSE)="","",VLOOKUP(A86,'Données de base - Grunddaten'!$A$2:$M$297,13,FALSE))</f>
        <v>rives lacustres</v>
      </c>
      <c r="N86" s="872" t="str">
        <f>IF(VLOOKUP(A86,'Charriage - Geschiebehaushalt'!$A$4:$R$275,5,FALSE)="","",VLOOKUP(A86,'Charriage - Geschiebehaushalt'!$A$4:$R$275,5,FALSE))</f>
        <v>pertinent</v>
      </c>
      <c r="O86" s="881" t="str">
        <f>IF(VLOOKUP(A86,'Charriage - Geschiebehaushalt'!$A$4:$R$275,6,FALSE)="","",VLOOKUP(A86,'Charriage - Geschiebehaushalt'!$A$4:$R$275,6,FALSE))</f>
        <v>non documenté</v>
      </c>
      <c r="P86" s="874" t="str">
        <f>IF(VLOOKUP(A86,'Charriage - Geschiebehaushalt'!$A$4:$R$275,7,FALSE)="","",VLOOKUP(A86,'Charriage - Geschiebehaushalt'!$A$4:$R$275,7,FALSE))</f>
        <v/>
      </c>
      <c r="Q86" s="874" t="str">
        <f>IF(VLOOKUP(A86,'Charriage - Geschiebehaushalt'!$A$4:$R$275,8,FALSE)="","",VLOOKUP(A86,'Charriage - Geschiebehaushalt'!$A$4:$R$275,8,FALSE))</f>
        <v>non documenté</v>
      </c>
      <c r="R86" s="875">
        <f>IF(VLOOKUP(A86,'Charriage - Geschiebehaushalt'!$A$4:$R$275,9,FALSE)="","",VLOOKUP(A86,'Charriage - Geschiebehaushalt'!$A$4:$R$275,9,FALSE))</f>
        <v>0.17258055960438001</v>
      </c>
      <c r="S86" s="876" t="str">
        <f>IF(VLOOKUP(A86,'Charriage - Geschiebehaushalt'!$A$4:$R$275,10,FALSE)="","",VLOOKUP(A86,'Charriage - Geschiebehaushalt'!$A$4:$R$275,10,FALSE))</f>
        <v>pas ou faiblement entravé</v>
      </c>
      <c r="T86" s="875">
        <f>IF(VLOOKUP(A86,'Charriage - Geschiebehaushalt'!$A$4:$R$275,11,FALSE)="","",VLOOKUP(A86,'Charriage - Geschiebehaushalt'!$A$4:$R$275,11,FALSE))</f>
        <v>0.40374676644000002</v>
      </c>
      <c r="U86" s="895" t="str">
        <f>IF(VLOOKUP(A86,'Charriage - Geschiebehaushalt'!$A$4:$R$275,12,FALSE)="","",VLOOKUP(A86,'Charriage - Geschiebehaushalt'!$A$4:$R$275,12,FALSE))</f>
        <v>déficit non apparent en charriage ou en remobilisation des sédiments</v>
      </c>
      <c r="V86" s="877" t="str">
        <f>IF(VLOOKUP(A86,'Charriage - Geschiebehaushalt'!$A$4:$R$275,13,FALSE)="","",VLOOKUP(A86,'Charriage - Geschiebehaushalt'!$A$4:$R$275,13,FALSE))</f>
        <v>sédiments probablement excploités à l'embuchure dans le lac</v>
      </c>
      <c r="W86" s="877" t="str">
        <f>IF(VLOOKUP(A86,'Charriage - Geschiebehaushalt'!$A$4:$R$275,14,FALSE)="","",VLOOKUP(A86,'Charriage - Geschiebehaushalt'!$A$4:$R$275,14,FALSE))</f>
        <v/>
      </c>
      <c r="X86" s="878" t="str">
        <f>IF(VLOOKUP(A86,'Charriage - Geschiebehaushalt'!$A$4:$R$275,15,FALSE)="","",VLOOKUP(A86,'Charriage - Geschiebehaushalt'!$A$4:$R$275,15,FALSE))</f>
        <v/>
      </c>
      <c r="Y86" s="882" t="str">
        <f>IF(VLOOKUP(A86,'Charriage - Geschiebehaushalt'!$A$4:$R$275,16,FALSE)="","",VLOOKUP(A86,'Charriage - Geschiebehaushalt'!$A$4:$R$275,16,FALSE))</f>
        <v/>
      </c>
      <c r="Z86" s="763" t="str">
        <f>IF(VLOOKUP(A86,'Charriage - Geschiebehaushalt'!$A$4:$R$275,17,FALSE)="","",VLOOKUP(A86,'Charriage - Geschiebehaushalt'!$A$4:$R$275,17,FALSE))</f>
        <v>Déficit non apparent en charriage ou en remobilisation des sédiments / kein sichtbares Defizit beim Geschiebehaushalt bzw. bei der Mobilisierung von Geschiebe</v>
      </c>
      <c r="AA86" s="880" t="str">
        <f>IF(VLOOKUP(A86,'Charriage - Geschiebehaushalt'!$A$4:$R$275,18,FALSE)="","",VLOOKUP(A86,'Charriage - Geschiebehaushalt'!$A$4:$R$275,18,FALSE))</f>
        <v>b</v>
      </c>
      <c r="AB86" s="737">
        <f>IF(VLOOKUP(A86,'Charriage - Geschiebehaushalt'!$A$4:$AC$275,19,FALSE)="","",VLOOKUP(A86,'Charriage - Geschiebehaushalt'!$A$4:$AC$275,19,FALSE))</f>
        <v>0</v>
      </c>
      <c r="AC86" s="738" t="str">
        <f>IF(VLOOKUP(A86,'Charriage - Geschiebehaushalt'!$A$4:$AC$275,20,FALSE)="","",VLOOKUP(A86,'Charriage - Geschiebehaushalt'!$A$4:$AC$275,20,FALSE))</f>
        <v>keine Massnahmen</v>
      </c>
      <c r="AD86" s="764" t="str">
        <f>IF(VLOOKUP(A86,'Charriage - Geschiebehaushalt'!$A$4:$AC$275,21,FALSE)="","",VLOOKUP(A86,'Charriage - Geschiebehaushalt'!$A$4:$AC$275,21,FALSE))</f>
        <v/>
      </c>
      <c r="AE86" s="772" t="str">
        <f>IF(VLOOKUP(A86,'Charriage - Geschiebehaushalt'!$A$4:$AC$275,22,FALSE)="","",VLOOKUP(A86,'Charriage - Geschiebehaushalt'!$A$4:$AC$275,22,FALSE))</f>
        <v>0-20%</v>
      </c>
      <c r="AF86" s="787" t="str">
        <f>IF(VLOOKUP(A86,'Charriage - Geschiebehaushalt'!$A$4:$AC$275,23,FALSE)="","",VLOOKUP(A86,'Charriage - Geschiebehaushalt'!$A$4:$AC$275,23,FALSE))</f>
        <v>b</v>
      </c>
      <c r="AG86" s="765" t="str">
        <f>IF(VLOOKUP(A86,'Charriage - Geschiebehaushalt'!$A$4:$AC$275,24,FALSE)="","",VLOOKUP(A86,'Charriage - Geschiebehaushalt'!$A$4:$AC$275,24,FALSE))</f>
        <v/>
      </c>
      <c r="AH86" s="764" t="str">
        <f>IF(VLOOKUP(A86,'Charriage - Geschiebehaushalt'!$A$4:$AC$275,25,FALSE)="","",VLOOKUP(A86,'Charriage - Geschiebehaushalt'!$A$4:$AC$275,25,FALSE))</f>
        <v/>
      </c>
      <c r="AI86" s="435" t="str">
        <f>IF(VLOOKUP(A86,'Charriage - Geschiebehaushalt'!$A$4:$AC$275,26,FALSE)="","",VLOOKUP(A86,'Charriage - Geschiebehaushalt'!$A$4:$AC$275,26,FALSE))</f>
        <v/>
      </c>
      <c r="AJ86" s="436" t="str">
        <f>IF(VLOOKUP(A86,'Charriage - Geschiebehaushalt'!$A$4:$AC$275,27,FALSE)="","",VLOOKUP(A86,'Charriage - Geschiebehaushalt'!$A$4:$AC$275,27,FALSE))</f>
        <v/>
      </c>
      <c r="AK86" s="814" t="str">
        <f>IF(VLOOKUP(A86,'Charriage - Geschiebehaushalt'!$A$4:$AC$275,28,FALSE)="","",VLOOKUP(A86,'Charriage - Geschiebehaushalt'!$A$4:$AC$275,28,FALSE))</f>
        <v>0-20%</v>
      </c>
      <c r="AL86" s="1285" t="str">
        <f>IF(VLOOKUP(A86,'Charriage - Geschiebehaushalt'!$A$4:$AD$275,30,FALSE)="","",VLOOKUP(A86,'Charriage - Geschiebehaushalt'!$A$4:$AD$275,30,FALSE))</f>
        <v>b</v>
      </c>
      <c r="AM86" s="1279" t="str">
        <f>IF(VLOOKUP(A86,'Débit - Abfluss'!$A$4:$K$275,5,FALSE)="","",VLOOKUP(A86,'Débit - Abfluss'!$A$4:$M$275,5,FALSE))</f>
        <v>100%</v>
      </c>
      <c r="AN86" s="868" t="str">
        <f>IF(VLOOKUP(A86,'Débit - Abfluss'!$A$4:$K$275,6,FALSE)="","",VLOOKUP(A86,'Débit - Abfluss'!$A$4:$M$275,6,FALSE))</f>
        <v>aucune information supplémentaire</v>
      </c>
      <c r="AO86" s="869" t="str">
        <f>IF(VLOOKUP(A86,'Débit - Abfluss'!$A$4:$K$275,7,FALSE)="","",VLOOKUP(A86,'Débit - Abfluss'!$A$4:$M$275,7,FALSE))</f>
        <v>aucune information supplémentaire</v>
      </c>
      <c r="AP86" s="766" t="str">
        <f>IF(VLOOKUP(A86,'Débit - Abfluss'!$A$4:$K$275,8,FALSE)="","",VLOOKUP(A86,'Débit - Abfluss'!$A$4:$M$275,8,FALSE))</f>
        <v>100%</v>
      </c>
      <c r="AQ86" s="742" t="str">
        <f>IF(VLOOKUP(A86,'Débit - Abfluss'!$A$4:$K$275,9,FALSE)="","",VLOOKUP(A86,'Débit - Abfluss'!$A$4:$M$275,9,FALSE))</f>
        <v>-</v>
      </c>
      <c r="AR86" s="767" t="str">
        <f>IF(VLOOKUP(A86,'Débit - Abfluss'!$A$4:$K$275,10,FALSE)="","",VLOOKUP(A86,'Débit - Abfluss'!$A$4:$M$275,10,FALSE))</f>
        <v>100%</v>
      </c>
      <c r="AS86" s="767" t="str">
        <f>IF(VLOOKUP(A86,'Débit - Abfluss'!$A$4:$K$275,11,FALSE)="","",VLOOKUP(A86,'Débit - Abfluss'!$A$4:$M$275,11,FALSE))</f>
        <v/>
      </c>
      <c r="AT86" s="778" t="str">
        <f>IF(VLOOKUP(A86,'Débit - Abfluss'!$A$4:$Q$275,12,FALSE)="","",VLOOKUP(A86,'Débit - Abfluss'!$A$4:$Q$275,12,FALSE))</f>
        <v/>
      </c>
      <c r="AU86" s="779" t="str">
        <f>IF(VLOOKUP(A86,'Débit - Abfluss'!$A$4:$Q$275,13,FALSE)="","",VLOOKUP(A86,'Débit - Abfluss'!$A$4:$Q$275,13,FALSE))</f>
        <v/>
      </c>
      <c r="AV86" s="746" t="str">
        <f>IF(VLOOKUP(A86,'Débit - Abfluss'!$A$4:$Q$275,14,FALSE)="","",VLOOKUP(A86,'Débit - Abfluss'!$A$4:$Q$275,14,FALSE))</f>
        <v/>
      </c>
      <c r="AW86" s="768" t="str">
        <f>IF(VLOOKUP(A86,'Débit - Abfluss'!$A$4:$Q$275,15,FALSE)="","",VLOOKUP(A86,'Débit - Abfluss'!$A$4:$Q$275,15,FALSE))</f>
        <v/>
      </c>
      <c r="AX86" s="679" t="str">
        <f>IF(VLOOKUP(A86,'Débit - Abfluss'!$A$4:$Q$275,16,FALSE)="","",VLOOKUP(A86,'Débit - Abfluss'!$A$4:$Q$275,16,FALSE))</f>
        <v/>
      </c>
      <c r="AY86" s="769" t="str">
        <f>IF(VLOOKUP(A86,'Débit - Abfluss'!$A$4:$Q$275,17,FALSE)="","",VLOOKUP(A86,'Débit - Abfluss'!$A$4:$Q$275,17,FALSE))</f>
        <v>100%</v>
      </c>
      <c r="AZ86" s="749" t="str">
        <f>IF(VLOOKUP(A86,'Eclusée - Schwall-Sunk'!$A$2:$F$273,5,FALSE)="","",VLOOKUP(A86,'Eclusée - Schwall-Sunk'!$A$2:$F$273,5,FALSE))</f>
        <v/>
      </c>
      <c r="BA86" s="750" t="str">
        <f>IF(VLOOKUP(A86,'Eclusée - Schwall-Sunk'!$A$2:$F$273,6,FALSE)="","",VLOOKUP(A86,'Eclusée - Schwall-Sunk'!$A$2:$F$273,6,FALSE))</f>
        <v>Non affecté / nicht betroffen</v>
      </c>
      <c r="BB86" s="751" t="str">
        <f>IF(VLOOKUP(A86,'Revitalisation-Revitalisierung'!$A$4:$Z$275,5,FALSE)="","",VLOOKUP(A86,'Revitalisation-Revitalisierung'!$A$4:$Z$275,5,FALSE))</f>
        <v/>
      </c>
      <c r="BC86" s="752" t="str">
        <f>IF(VLOOKUP(A86,'Revitalisation-Revitalisierung'!$A$4:$Z$275,6,FALSE)="","",VLOOKUP(A86,'Revitalisation-Revitalisierung'!$A$4:$Z$275,6,FALSE))</f>
        <v/>
      </c>
      <c r="BD86" s="752" t="str">
        <f>IF(VLOOKUP(A86,'Revitalisation-Revitalisierung'!$A$4:$Z$275,7,FALSE)="","",VLOOKUP(A86,'Revitalisation-Revitalisierung'!$A$4:$Z$275,7,FALSE))</f>
        <v/>
      </c>
      <c r="BE86" s="753" t="str">
        <f>IF(VLOOKUP(A86,'Revitalisation-Revitalisierung'!$A$4:$Z$275,8,FALSE)="","",VLOOKUP(A86,'Revitalisation-Revitalisierung'!$A$4:$Z$275,8,FALSE))</f>
        <v/>
      </c>
      <c r="BF86" s="754" t="str">
        <f>IF(VLOOKUP(A86,'Revitalisation-Revitalisierung'!$A$4:$Z$275,9,FALSE)="","",VLOOKUP(A86,'Revitalisation-Revitalisierung'!$A$4:$Z$275,9,FALSE))</f>
        <v/>
      </c>
      <c r="BG86" s="754" t="str">
        <f>IF(VLOOKUP(A86,'Revitalisation-Revitalisierung'!$A$4:$Z$275,10,FALSE)="","",VLOOKUP(A86,'Revitalisation-Revitalisierung'!$A$4:$Z$275,10,FALSE))</f>
        <v>K3</v>
      </c>
      <c r="BH86" s="755" t="str">
        <f>IF(VLOOKUP(A86,'Revitalisation-Revitalisierung'!$A$4:$Z$275,11,FALSE)="","",VLOOKUP(A86,'Revitalisation-Revitalisierung'!$A$4:$Z$275,11,FALSE))</f>
        <v>non nécessaire</v>
      </c>
      <c r="BI86" s="756" t="str">
        <f>IF(VLOOKUP(A86,'Revitalisation-Revitalisierung'!$A$4:$Z$275,12,FALSE)="","",VLOOKUP(A86,'Revitalisation-Revitalisierung'!$A$4:$Z$275,12,FALSE))</f>
        <v/>
      </c>
      <c r="BJ86" s="757" t="str">
        <f>IF(VLOOKUP(A86,'Revitalisation-Revitalisierung'!$A$4:$Z$275,13,FALSE)="","",VLOOKUP(A86,'Revitalisation-Revitalisierung'!$A$4:$Z$275,13,FALSE))</f>
        <v>Non nécessaire / nicht nötig</v>
      </c>
      <c r="BK86" s="870" t="str">
        <f>IF(VLOOKUP(A86,'Revitalisation-Revitalisierung'!$A$4:$Z$275,14,FALSE)="","",VLOOKUP(A86,'Revitalisation-Revitalisierung'!$A$4:$Z$275,14,FALSE))</f>
        <v>a</v>
      </c>
      <c r="BL86" s="758" t="str">
        <f>IF(VLOOKUP(A86,'Revitalisation-Revitalisierung'!$A$4:$Z$275,15,FALSE)="","",VLOOKUP(A86,'Revitalisation-Revitalisierung'!$A$4:$Z$275,15,FALSE))</f>
        <v>gross</v>
      </c>
      <c r="BM86" s="759" t="str">
        <f>IF(VLOOKUP(A86,'Revitalisation-Revitalisierung'!$A$4:$Z$275,16,FALSE)="","",VLOOKUP(A86,'Revitalisation-Revitalisierung'!$A$4:$Z$275,16,FALSE))</f>
        <v>mittel</v>
      </c>
      <c r="BN86" s="759" t="str">
        <f>IF(VLOOKUP(A86,'Revitalisation-Revitalisierung'!$A$4:$Z$275,17,FALSE)="","",VLOOKUP(A86,'Revitalisation-Revitalisierung'!$A$4:$Z$275,17,FALSE))</f>
        <v>gering</v>
      </c>
      <c r="BO86" s="760" t="str">
        <f>IF(VLOOKUP(A86,'Revitalisation-Revitalisierung'!$A$4:$Z$275,18,FALSE)="","",VLOOKUP(A86,'Revitalisation-Revitalisierung'!$A$4:$Z$275,18,FALSE))</f>
        <v/>
      </c>
      <c r="BP86" s="761" t="str">
        <f>IF(VLOOKUP(A86,'Revitalisation-Revitalisierung'!$A$4:$Z$275,19,FALSE)="","",VLOOKUP(A86,'Revitalisation-Revitalisierung'!$A$4:$Z$275,19,FALSE))</f>
        <v>Non nécessaire / nicht nötig</v>
      </c>
      <c r="BQ86" s="759" t="str">
        <f>IF(VLOOKUP(A86,'Revitalisation-Revitalisierung'!$A$4:$Z$275,20,FALSE)="","",VLOOKUP(A86,'Revitalisation-Revitalisierung'!$A$4:$Z$275,20,FALSE))</f>
        <v>a</v>
      </c>
      <c r="BR86" s="759" t="str">
        <f>IF(VLOOKUP(A86,'Revitalisation-Revitalisierung'!$A$4:$Z$275,21,FALSE)="","",VLOOKUP(A86,'Revitalisation-Revitalisierung'!$A$4:$Z$275,21,FALSE))</f>
        <v/>
      </c>
      <c r="BS86" s="762" t="str">
        <f>IF(VLOOKUP(A86,'Revitalisation-Revitalisierung'!$A$4:$Z$275,22,FALSE)="","",VLOOKUP(A86,'Revitalisation-Revitalisierung'!$A$4:$Z$275,22,FALSE))</f>
        <v/>
      </c>
      <c r="BT86" s="700" t="str">
        <f>IF(VLOOKUP(A86,'Revitalisation-Revitalisierung'!$A$4:$Z$275,23,FALSE)="","",VLOOKUP(A86,'Revitalisation-Revitalisierung'!$A$4:$Z$275,23,FALSE))</f>
        <v/>
      </c>
      <c r="BU86" s="699" t="str">
        <f>IF(VLOOKUP(A86,'Revitalisation-Revitalisierung'!$A$4:$Z$275,24,FALSE)="","",VLOOKUP(A86,'Revitalisation-Revitalisierung'!$A$4:$Z$275,24,FALSE))</f>
        <v/>
      </c>
      <c r="BV86" s="761" t="str">
        <f>IF(VLOOKUP(A86,'Revitalisation-Revitalisierung'!$A$4:$Z$275,25,FALSE)="","",VLOOKUP(A86,'Revitalisation-Revitalisierung'!$A$4:$Z$275,25,FALSE))</f>
        <v>Non nécessaire / nicht nötig</v>
      </c>
      <c r="BW86" s="871" t="str">
        <f>IF(VLOOKUP(A86,'Revitalisation-Revitalisierung'!$A$4:$AA$275,27,FALSE)="","",VLOOKUP(A86,'Revitalisation-Revitalisierung'!$A$4:$AA$275,27,FALSE))</f>
        <v>a</v>
      </c>
    </row>
    <row r="87" spans="1:75" ht="98.45" customHeight="1" x14ac:dyDescent="0.25">
      <c r="A87" s="936">
        <v>109.2</v>
      </c>
      <c r="B87" s="856">
        <f>IF(VLOOKUP(A87,'Données de base - Grunddaten'!$A$2:$M$297,2,FALSE)="","",VLOOKUP(A87,'Données de base - Grunddaten'!$A$2:$M$297,2,FALSE))</f>
        <v>2</v>
      </c>
      <c r="C87" s="857" t="str">
        <f>IF(VLOOKUP(A87,'Données de base - Grunddaten'!$A$2:$M$297,3,FALSE)="","",VLOOKUP(A87,'Données de base - Grunddaten'!$A$2:$M$297,3,FALSE))</f>
        <v>Hinter Klöntal</v>
      </c>
      <c r="D87" s="857" t="str">
        <f>IF(VLOOKUP(A87,'Données de base - Grunddaten'!$A$2:$M$297,4,FALSE)="","",VLOOKUP(A87,'Données de base - Grunddaten'!$A$2:$M$297,4,FALSE))</f>
        <v>Chlü, Klöntalersee, Sulzbach</v>
      </c>
      <c r="E87" s="857" t="str">
        <f>IF(VLOOKUP(A87,'Données de base - Grunddaten'!$A$2:$M$297,5,FALSE)="","",VLOOKUP(A87,'Données de base - Grunddaten'!$A$2:$M$297,5,FALSE))</f>
        <v>GL</v>
      </c>
      <c r="F87" s="857" t="str">
        <f>IF(VLOOKUP(A87,'Données de base - Grunddaten'!$A$2:$M$297,6,FALSE)="","",VLOOKUP(A87,'Données de base - Grunddaten'!$A$2:$M$297,6,FALSE))</f>
        <v>Alpes septentrionales</v>
      </c>
      <c r="G87" s="857" t="str">
        <f>IF(VLOOKUP(A87,'Données de base - Grunddaten'!$A$2:$M$297,7,FALSE)="","",VLOOKUP(A87,'Données de base - Grunddaten'!$A$2:$M$297,7,FALSE))</f>
        <v>Montagnard inf.</v>
      </c>
      <c r="H87" s="857">
        <f>IF(VLOOKUP(A87,'Données de base - Grunddaten'!$A$2:$M$297,8,FALSE)="","",VLOOKUP(A87,'Données de base - Grunddaten'!$A$2:$M$297,8,FALSE))</f>
        <v>850</v>
      </c>
      <c r="I87" s="857">
        <f>IF(VLOOKUP(A87,'Données de base - Grunddaten'!$A$2:$M$297,9,FALSE)="","",VLOOKUP(A87,'Données de base - Grunddaten'!$A$2:$M$297,9,FALSE))</f>
        <v>1992</v>
      </c>
      <c r="J87" s="857">
        <f>IF(VLOOKUP(A87,'Données de base - Grunddaten'!$A$2:$M$297,10,FALSE)="","",VLOOKUP(A87,'Données de base - Grunddaten'!$A$2:$M$297,10,FALSE))</f>
        <v>41</v>
      </c>
      <c r="K87" s="857" t="str">
        <f>IF(VLOOKUP(A87,'Données de base - Grunddaten'!$A$2:$M$297,11,FALSE)="","",VLOOKUP(A87,'Données de base - Grunddaten'!$A$2:$M$297,11,FALSE))</f>
        <v>Cours d'eau naturels de l'étage montagnard</v>
      </c>
      <c r="L87" s="857" t="str">
        <f>IF(VLOOKUP(A87,'Données de base - Grunddaten'!$A$2:$M$297,12,FALSE)="","",VLOOKUP(A87,'Données de base - Grunddaten'!$A$2:$M$297,12,FALSE))</f>
        <v>en méandres migrants</v>
      </c>
      <c r="M87" s="858" t="str">
        <f>IF(VLOOKUP(A87,'Données de base - Grunddaten'!$A$2:$M$297,13,FALSE)="","",VLOOKUP(A87,'Données de base - Grunddaten'!$A$2:$M$297,13,FALSE))</f>
        <v>en méandres migrants</v>
      </c>
      <c r="N87" s="872" t="str">
        <f>IF(VLOOKUP(A87,'Charriage - Geschiebehaushalt'!$A$4:$R$275,5,FALSE)="","",VLOOKUP(A87,'Charriage - Geschiebehaushalt'!$A$4:$R$275,5,FALSE))</f>
        <v>pertinent</v>
      </c>
      <c r="O87" s="881" t="str">
        <f>IF(VLOOKUP(A87,'Charriage - Geschiebehaushalt'!$A$4:$R$275,6,FALSE)="","",VLOOKUP(A87,'Charriage - Geschiebehaushalt'!$A$4:$R$275,6,FALSE))</f>
        <v>non documenté</v>
      </c>
      <c r="P87" s="874" t="str">
        <f>IF(VLOOKUP(A87,'Charriage - Geschiebehaushalt'!$A$4:$R$275,7,FALSE)="","",VLOOKUP(A87,'Charriage - Geschiebehaushalt'!$A$4:$R$275,7,FALSE))</f>
        <v/>
      </c>
      <c r="Q87" s="874" t="str">
        <f>IF(VLOOKUP(A87,'Charriage - Geschiebehaushalt'!$A$4:$R$275,8,FALSE)="","",VLOOKUP(A87,'Charriage - Geschiebehaushalt'!$A$4:$R$275,8,FALSE))</f>
        <v>non documenté</v>
      </c>
      <c r="R87" s="875">
        <f>IF(VLOOKUP(A87,'Charriage - Geschiebehaushalt'!$A$4:$R$275,9,FALSE)="","",VLOOKUP(A87,'Charriage - Geschiebehaushalt'!$A$4:$R$275,9,FALSE))</f>
        <v>2.15955722508855E-2</v>
      </c>
      <c r="S87" s="876" t="str">
        <f>IF(VLOOKUP(A87,'Charriage - Geschiebehaushalt'!$A$4:$R$275,10,FALSE)="","",VLOOKUP(A87,'Charriage - Geschiebehaushalt'!$A$4:$R$275,10,FALSE))</f>
        <v>pas ou faiblement entravé</v>
      </c>
      <c r="T87" s="875">
        <f>IF(VLOOKUP(A87,'Charriage - Geschiebehaushalt'!$A$4:$R$275,11,FALSE)="","",VLOOKUP(A87,'Charriage - Geschiebehaushalt'!$A$4:$R$275,11,FALSE))</f>
        <v>6.0349744114000001E-2</v>
      </c>
      <c r="U87" s="876" t="str">
        <f>IF(VLOOKUP(A87,'Charriage - Geschiebehaushalt'!$A$4:$R$275,12,FALSE)="","",VLOOKUP(A87,'Charriage - Geschiebehaushalt'!$A$4:$R$275,12,FALSE))</f>
        <v>déficit dans les formations pionnières</v>
      </c>
      <c r="V87" s="877" t="str">
        <f>IF(VLOOKUP(A87,'Charriage - Geschiebehaushalt'!$A$4:$R$275,13,FALSE)="","",VLOOKUP(A87,'Charriage - Geschiebehaushalt'!$A$4:$R$275,13,FALSE))</f>
        <v>sédiments probablement exploités en amont</v>
      </c>
      <c r="W87" s="877" t="str">
        <f>IF(VLOOKUP(A87,'Charriage - Geschiebehaushalt'!$A$4:$R$275,14,FALSE)="","",VLOOKUP(A87,'Charriage - Geschiebehaushalt'!$A$4:$R$275,14,FALSE))</f>
        <v>A vérifier</v>
      </c>
      <c r="X87" s="877" t="str">
        <f>IF(VLOOKUP(A87,'Charriage - Geschiebehaushalt'!$A$4:$R$275,15,FALSE)="","",VLOOKUP(A87,'Charriage - Geschiebehaushalt'!$A$4:$R$275,15,FALSE))</f>
        <v>pas d'ouvrages dans le bassin versant</v>
      </c>
      <c r="Y87" s="882" t="str">
        <f>IF(VLOOKUP(A87,'Charriage - Geschiebehaushalt'!$A$4:$R$275,16,FALSE)="","",VLOOKUP(A87,'Charriage - Geschiebehaushalt'!$A$4:$R$275,16,FALSE))</f>
        <v>charriage présumé perturbé</v>
      </c>
      <c r="Z87" s="763" t="str">
        <f>IF(VLOOKUP(A87,'Charriage - Geschiebehaushalt'!$A$4:$R$275,17,FALSE)="","",VLOOKUP(A87,'Charriage - Geschiebehaushalt'!$A$4:$R$275,17,FALSE))</f>
        <v>Déficit non apparent en charriage ou en remobilisation des sédiments / kein sichtbares Defizit beim Geschiebehaushalt bzw. bei der Mobilisierung von Geschiebe</v>
      </c>
      <c r="AA87" s="880" t="str">
        <f>IF(VLOOKUP(A87,'Charriage - Geschiebehaushalt'!$A$4:$R$275,18,FALSE)="","",VLOOKUP(A87,'Charriage - Geschiebehaushalt'!$A$4:$R$275,18,FALSE))</f>
        <v>b</v>
      </c>
      <c r="AB87" s="737">
        <f>IF(VLOOKUP(A87,'Charriage - Geschiebehaushalt'!$A$4:$AC$275,19,FALSE)="","",VLOOKUP(A87,'Charriage - Geschiebehaushalt'!$A$4:$AC$275,19,FALSE))</f>
        <v>0</v>
      </c>
      <c r="AC87" s="738" t="str">
        <f>IF(VLOOKUP(A87,'Charriage - Geschiebehaushalt'!$A$4:$AC$275,20,FALSE)="","",VLOOKUP(A87,'Charriage - Geschiebehaushalt'!$A$4:$AC$275,20,FALSE))</f>
        <v>keine Massnahmen</v>
      </c>
      <c r="AD87" s="764" t="str">
        <f>IF(VLOOKUP(A87,'Charriage - Geschiebehaushalt'!$A$4:$AC$275,21,FALSE)="","",VLOOKUP(A87,'Charriage - Geschiebehaushalt'!$A$4:$AC$275,21,FALSE))</f>
        <v/>
      </c>
      <c r="AE87" s="772" t="str">
        <f>IF(VLOOKUP(A87,'Charriage - Geschiebehaushalt'!$A$4:$AC$275,22,FALSE)="","",VLOOKUP(A87,'Charriage - Geschiebehaushalt'!$A$4:$AC$275,22,FALSE))</f>
        <v>0-20%</v>
      </c>
      <c r="AF87" s="787" t="str">
        <f>IF(VLOOKUP(A87,'Charriage - Geschiebehaushalt'!$A$4:$AC$275,23,FALSE)="","",VLOOKUP(A87,'Charriage - Geschiebehaushalt'!$A$4:$AC$275,23,FALSE))</f>
        <v>b</v>
      </c>
      <c r="AG87" s="765" t="str">
        <f>IF(VLOOKUP(A87,'Charriage - Geschiebehaushalt'!$A$4:$AC$275,24,FALSE)="","",VLOOKUP(A87,'Charriage - Geschiebehaushalt'!$A$4:$AC$275,24,FALSE))</f>
        <v/>
      </c>
      <c r="AH87" s="764" t="str">
        <f>IF(VLOOKUP(A87,'Charriage - Geschiebehaushalt'!$A$4:$AC$275,25,FALSE)="","",VLOOKUP(A87,'Charriage - Geschiebehaushalt'!$A$4:$AC$275,25,FALSE))</f>
        <v/>
      </c>
      <c r="AI87" s="435" t="str">
        <f>IF(VLOOKUP(A87,'Charriage - Geschiebehaushalt'!$A$4:$AC$275,26,FALSE)="","",VLOOKUP(A87,'Charriage - Geschiebehaushalt'!$A$4:$AC$275,26,FALSE))</f>
        <v/>
      </c>
      <c r="AJ87" s="436" t="str">
        <f>IF(VLOOKUP(A87,'Charriage - Geschiebehaushalt'!$A$4:$AC$275,27,FALSE)="","",VLOOKUP(A87,'Charriage - Geschiebehaushalt'!$A$4:$AC$275,27,FALSE))</f>
        <v/>
      </c>
      <c r="AK87" s="814" t="str">
        <f>IF(VLOOKUP(A87,'Charriage - Geschiebehaushalt'!$A$4:$AC$275,28,FALSE)="","",VLOOKUP(A87,'Charriage - Geschiebehaushalt'!$A$4:$AC$275,28,FALSE))</f>
        <v>0-20%</v>
      </c>
      <c r="AL87" s="1285" t="str">
        <f>IF(VLOOKUP(A87,'Charriage - Geschiebehaushalt'!$A$4:$AD$275,30,FALSE)="","",VLOOKUP(A87,'Charriage - Geschiebehaushalt'!$A$4:$AD$275,30,FALSE))</f>
        <v>b</v>
      </c>
      <c r="AM87" s="1279" t="str">
        <f>IF(VLOOKUP(A87,'Débit - Abfluss'!$A$4:$K$275,5,FALSE)="","",VLOOKUP(A87,'Débit - Abfluss'!$A$4:$M$275,5,FALSE))</f>
        <v>100%</v>
      </c>
      <c r="AN87" s="868" t="str">
        <f>IF(VLOOKUP(A87,'Débit - Abfluss'!$A$4:$K$275,6,FALSE)="","",VLOOKUP(A87,'Débit - Abfluss'!$A$4:$M$275,6,FALSE))</f>
        <v>aucune information supplémentaire</v>
      </c>
      <c r="AO87" s="869" t="str">
        <f>IF(VLOOKUP(A87,'Débit - Abfluss'!$A$4:$K$275,7,FALSE)="","",VLOOKUP(A87,'Débit - Abfluss'!$A$4:$M$275,7,FALSE))</f>
        <v>aucune information supplémentaire</v>
      </c>
      <c r="AP87" s="766" t="str">
        <f>IF(VLOOKUP(A87,'Débit - Abfluss'!$A$4:$K$275,8,FALSE)="","",VLOOKUP(A87,'Débit - Abfluss'!$A$4:$M$275,8,FALSE))</f>
        <v>100%</v>
      </c>
      <c r="AQ87" s="742" t="str">
        <f>IF(VLOOKUP(A87,'Débit - Abfluss'!$A$4:$K$275,9,FALSE)="","",VLOOKUP(A87,'Débit - Abfluss'!$A$4:$M$275,9,FALSE))</f>
        <v>-</v>
      </c>
      <c r="AR87" s="767" t="str">
        <f>IF(VLOOKUP(A87,'Débit - Abfluss'!$A$4:$K$275,10,FALSE)="","",VLOOKUP(A87,'Débit - Abfluss'!$A$4:$M$275,10,FALSE))</f>
        <v>100%</v>
      </c>
      <c r="AS87" s="767" t="str">
        <f>IF(VLOOKUP(A87,'Débit - Abfluss'!$A$4:$K$275,11,FALSE)="","",VLOOKUP(A87,'Débit - Abfluss'!$A$4:$M$275,11,FALSE))</f>
        <v/>
      </c>
      <c r="AT87" s="778" t="str">
        <f>IF(VLOOKUP(A87,'Débit - Abfluss'!$A$4:$Q$275,12,FALSE)="","",VLOOKUP(A87,'Débit - Abfluss'!$A$4:$Q$275,12,FALSE))</f>
        <v/>
      </c>
      <c r="AU87" s="779" t="str">
        <f>IF(VLOOKUP(A87,'Débit - Abfluss'!$A$4:$Q$275,13,FALSE)="","",VLOOKUP(A87,'Débit - Abfluss'!$A$4:$Q$275,13,FALSE))</f>
        <v/>
      </c>
      <c r="AV87" s="746" t="str">
        <f>IF(VLOOKUP(A87,'Débit - Abfluss'!$A$4:$Q$275,14,FALSE)="","",VLOOKUP(A87,'Débit - Abfluss'!$A$4:$Q$275,14,FALSE))</f>
        <v/>
      </c>
      <c r="AW87" s="768" t="str">
        <f>IF(VLOOKUP(A87,'Débit - Abfluss'!$A$4:$Q$275,15,FALSE)="","",VLOOKUP(A87,'Débit - Abfluss'!$A$4:$Q$275,15,FALSE))</f>
        <v/>
      </c>
      <c r="AX87" s="679" t="str">
        <f>IF(VLOOKUP(A87,'Débit - Abfluss'!$A$4:$Q$275,16,FALSE)="","",VLOOKUP(A87,'Débit - Abfluss'!$A$4:$Q$275,16,FALSE))</f>
        <v/>
      </c>
      <c r="AY87" s="769" t="str">
        <f>IF(VLOOKUP(A87,'Débit - Abfluss'!$A$4:$Q$275,17,FALSE)="","",VLOOKUP(A87,'Débit - Abfluss'!$A$4:$Q$275,17,FALSE))</f>
        <v>100%</v>
      </c>
      <c r="AZ87" s="749" t="str">
        <f>IF(VLOOKUP(A87,'Eclusée - Schwall-Sunk'!$A$2:$F$273,5,FALSE)="","",VLOOKUP(A87,'Eclusée - Schwall-Sunk'!$A$2:$F$273,5,FALSE))</f>
        <v/>
      </c>
      <c r="BA87" s="750" t="str">
        <f>IF(VLOOKUP(A87,'Eclusée - Schwall-Sunk'!$A$2:$F$273,6,FALSE)="","",VLOOKUP(A87,'Eclusée - Schwall-Sunk'!$A$2:$F$273,6,FALSE))</f>
        <v>Non affecté / nicht betroffen</v>
      </c>
      <c r="BB87" s="751">
        <f>IF(VLOOKUP(A87,'Revitalisation-Revitalisierung'!$A$4:$Z$275,5,FALSE)="","",VLOOKUP(A87,'Revitalisation-Revitalisierung'!$A$4:$Z$275,5,FALSE))</f>
        <v>-10</v>
      </c>
      <c r="BC87" s="752">
        <f>IF(VLOOKUP(A87,'Revitalisation-Revitalisierung'!$A$4:$Z$275,6,FALSE)="","",VLOOKUP(A87,'Revitalisation-Revitalisierung'!$A$4:$Z$275,6,FALSE))</f>
        <v>0</v>
      </c>
      <c r="BD87" s="752">
        <f>IF(VLOOKUP(A87,'Revitalisation-Revitalisierung'!$A$4:$Z$275,7,FALSE)="","",VLOOKUP(A87,'Revitalisation-Revitalisierung'!$A$4:$Z$275,7,FALSE))</f>
        <v>10</v>
      </c>
      <c r="BE87" s="753" t="str">
        <f>IF(VLOOKUP(A87,'Revitalisation-Revitalisierung'!$A$4:$Z$275,8,FALSE)="","",VLOOKUP(A87,'Revitalisation-Revitalisierung'!$A$4:$Z$275,8,FALSE))</f>
        <v>non nécessaire</v>
      </c>
      <c r="BF87" s="754" t="str">
        <f>IF(VLOOKUP(A87,'Revitalisation-Revitalisierung'!$A$4:$Z$275,9,FALSE)="","",VLOOKUP(A87,'Revitalisation-Revitalisierung'!$A$4:$Z$275,9,FALSE))</f>
        <v/>
      </c>
      <c r="BG87" s="754" t="str">
        <f>IF(VLOOKUP(A87,'Revitalisation-Revitalisierung'!$A$4:$Z$275,10,FALSE)="","",VLOOKUP(A87,'Revitalisation-Revitalisierung'!$A$4:$Z$275,10,FALSE))</f>
        <v>K3</v>
      </c>
      <c r="BH87" s="755" t="str">
        <f>IF(VLOOKUP(A87,'Revitalisation-Revitalisierung'!$A$4:$Z$275,11,FALSE)="","",VLOOKUP(A87,'Revitalisation-Revitalisierung'!$A$4:$Z$275,11,FALSE))</f>
        <v>très nécessaire , facile</v>
      </c>
      <c r="BI87" s="756" t="str">
        <f>IF(VLOOKUP(A87,'Revitalisation-Revitalisierung'!$A$4:$Z$275,12,FALSE)="","",VLOOKUP(A87,'Revitalisation-Revitalisierung'!$A$4:$Z$275,12,FALSE))</f>
        <v>diminuer le dragage</v>
      </c>
      <c r="BJ87" s="757" t="str">
        <f>IF(VLOOKUP(A87,'Revitalisation-Revitalisierung'!$A$4:$Z$275,13,FALSE)="","",VLOOKUP(A87,'Revitalisation-Revitalisierung'!$A$4:$Z$275,13,FALSE))</f>
        <v>Partiellement nécessaire, facile / teilweise nötig, einfach</v>
      </c>
      <c r="BK87" s="870" t="str">
        <f>IF(VLOOKUP(A87,'Revitalisation-Revitalisierung'!$A$4:$Z$275,14,FALSE)="","",VLOOKUP(A87,'Revitalisation-Revitalisierung'!$A$4:$Z$275,14,FALSE))</f>
        <v>b</v>
      </c>
      <c r="BL87" s="758">
        <f>IF(VLOOKUP(A87,'Revitalisation-Revitalisierung'!$A$4:$Z$275,15,FALSE)="","",VLOOKUP(A87,'Revitalisation-Revitalisierung'!$A$4:$Z$275,15,FALSE))</f>
        <v>0</v>
      </c>
      <c r="BM87" s="759">
        <f>IF(VLOOKUP(A87,'Revitalisation-Revitalisierung'!$A$4:$Z$275,16,FALSE)="","",VLOOKUP(A87,'Revitalisation-Revitalisierung'!$A$4:$Z$275,16,FALSE))</f>
        <v>0</v>
      </c>
      <c r="BN87" s="759" t="str">
        <f>IF(VLOOKUP(A87,'Revitalisation-Revitalisierung'!$A$4:$Z$275,17,FALSE)="","",VLOOKUP(A87,'Revitalisation-Revitalisierung'!$A$4:$Z$275,17,FALSE))</f>
        <v>-</v>
      </c>
      <c r="BO87" s="760" t="str">
        <f>IF(VLOOKUP(A87,'Revitalisation-Revitalisierung'!$A$4:$Z$275,18,FALSE)="","",VLOOKUP(A87,'Revitalisation-Revitalisierung'!$A$4:$Z$275,18,FALSE))</f>
        <v>Partiellement nécessaire, facile / teilweise nötig, einfach</v>
      </c>
      <c r="BP87" s="761" t="str">
        <f>IF(VLOOKUP(A87,'Revitalisation-Revitalisierung'!$A$4:$Z$275,19,FALSE)="","",VLOOKUP(A87,'Revitalisation-Revitalisierung'!$A$4:$Z$275,19,FALSE))</f>
        <v>Partiellement nécessaire, facile / teilweise nötig, einfach</v>
      </c>
      <c r="BQ87" s="759" t="str">
        <f>IF(VLOOKUP(A87,'Revitalisation-Revitalisierung'!$A$4:$Z$275,20,FALSE)="","",VLOOKUP(A87,'Revitalisation-Revitalisierung'!$A$4:$Z$275,20,FALSE))</f>
        <v>d</v>
      </c>
      <c r="BR87" s="759" t="str">
        <f>IF(VLOOKUP(A87,'Revitalisation-Revitalisierung'!$A$4:$Z$275,21,FALSE)="","",VLOOKUP(A87,'Revitalisation-Revitalisierung'!$A$4:$Z$275,21,FALSE))</f>
        <v/>
      </c>
      <c r="BS87" s="762" t="str">
        <f>IF(VLOOKUP(A87,'Revitalisation-Revitalisierung'!$A$4:$Z$275,22,FALSE)="","",VLOOKUP(A87,'Revitalisation-Revitalisierung'!$A$4:$Z$275,22,FALSE))</f>
        <v/>
      </c>
      <c r="BT87" s="700" t="str">
        <f>IF(VLOOKUP(A87,'Revitalisation-Revitalisierung'!$A$4:$Z$275,23,FALSE)="","",VLOOKUP(A87,'Revitalisation-Revitalisierung'!$A$4:$Z$275,23,FALSE))</f>
        <v/>
      </c>
      <c r="BU87" s="699" t="str">
        <f>IF(VLOOKUP(A87,'Revitalisation-Revitalisierung'!$A$4:$Z$275,24,FALSE)="","",VLOOKUP(A87,'Revitalisation-Revitalisierung'!$A$4:$Z$275,24,FALSE))</f>
        <v/>
      </c>
      <c r="BV87" s="761" t="str">
        <f>IF(VLOOKUP(A87,'Revitalisation-Revitalisierung'!$A$4:$Z$275,25,FALSE)="","",VLOOKUP(A87,'Revitalisation-Revitalisierung'!$A$4:$Z$275,25,FALSE))</f>
        <v>Partiellement nécessaire, facile / teilweise nötig, einfach</v>
      </c>
      <c r="BW87" s="871" t="str">
        <f>IF(VLOOKUP(A87,'Revitalisation-Revitalisierung'!$A$4:$AA$275,27,FALSE)="","",VLOOKUP(A87,'Revitalisation-Revitalisierung'!$A$4:$AA$275,27,FALSE))</f>
        <v>a</v>
      </c>
    </row>
    <row r="88" spans="1:75" ht="94.15" customHeight="1" x14ac:dyDescent="0.25">
      <c r="A88" s="935">
        <v>110</v>
      </c>
      <c r="B88" s="856">
        <f>IF(VLOOKUP(A88,'Données de base - Grunddaten'!$A$2:$M$297,2,FALSE)="","",VLOOKUP(A88,'Données de base - Grunddaten'!$A$2:$M$297,2,FALSE))</f>
        <v>1</v>
      </c>
      <c r="C88" s="857" t="str">
        <f>IF(VLOOKUP(A88,'Données de base - Grunddaten'!$A$2:$M$297,3,FALSE)="","",VLOOKUP(A88,'Données de base - Grunddaten'!$A$2:$M$297,3,FALSE))</f>
        <v>Biber im Ägeriried</v>
      </c>
      <c r="D88" s="857" t="str">
        <f>IF(VLOOKUP(A88,'Données de base - Grunddaten'!$A$2:$M$297,4,FALSE)="","",VLOOKUP(A88,'Données de base - Grunddaten'!$A$2:$M$297,4,FALSE))</f>
        <v>Biber</v>
      </c>
      <c r="E88" s="857" t="str">
        <f>IF(VLOOKUP(A88,'Données de base - Grunddaten'!$A$2:$M$297,5,FALSE)="","",VLOOKUP(A88,'Données de base - Grunddaten'!$A$2:$M$297,5,FALSE))</f>
        <v>SZ/ZG</v>
      </c>
      <c r="F88" s="857" t="str">
        <f>IF(VLOOKUP(A88,'Données de base - Grunddaten'!$A$2:$M$297,6,FALSE)="","",VLOOKUP(A88,'Données de base - Grunddaten'!$A$2:$M$297,6,FALSE))</f>
        <v>Préalpes, Alpes septentrionales</v>
      </c>
      <c r="G88" s="857" t="str">
        <f>IF(VLOOKUP(A88,'Données de base - Grunddaten'!$A$2:$M$297,7,FALSE)="","",VLOOKUP(A88,'Données de base - Grunddaten'!$A$2:$M$297,7,FALSE))</f>
        <v>Montagnard sup.</v>
      </c>
      <c r="H88" s="857">
        <f>IF(VLOOKUP(A88,'Données de base - Grunddaten'!$A$2:$M$297,8,FALSE)="","",VLOOKUP(A88,'Données de base - Grunddaten'!$A$2:$M$297,8,FALSE))</f>
        <v>900</v>
      </c>
      <c r="I88" s="857">
        <f>IF(VLOOKUP(A88,'Données de base - Grunddaten'!$A$2:$M$297,9,FALSE)="","",VLOOKUP(A88,'Données de base - Grunddaten'!$A$2:$M$297,9,FALSE))</f>
        <v>1992</v>
      </c>
      <c r="J88" s="857">
        <f>IF(VLOOKUP(A88,'Données de base - Grunddaten'!$A$2:$M$297,10,FALSE)="","",VLOOKUP(A88,'Données de base - Grunddaten'!$A$2:$M$297,10,FALSE))</f>
        <v>82</v>
      </c>
      <c r="K88" s="857" t="str">
        <f>IF(VLOOKUP(A88,'Données de base - Grunddaten'!$A$2:$M$297,11,FALSE)="","",VLOOKUP(A88,'Données de base - Grunddaten'!$A$2:$M$297,11,FALSE))</f>
        <v>Singularité: Cours d'eau en milieu marécageux</v>
      </c>
      <c r="L88" s="857" t="str">
        <f>IF(VLOOKUP(A88,'Données de base - Grunddaten'!$A$2:$M$297,12,FALSE)="","",VLOOKUP(A88,'Données de base - Grunddaten'!$A$2:$M$297,12,FALSE))</f>
        <v>en méandres migrants</v>
      </c>
      <c r="M88" s="858" t="str">
        <f>IF(VLOOKUP(A88,'Données de base - Grunddaten'!$A$2:$M$297,13,FALSE)="","",VLOOKUP(A88,'Données de base - Grunddaten'!$A$2:$M$297,13,FALSE))</f>
        <v>en méandres migrants</v>
      </c>
      <c r="N88" s="872" t="str">
        <f>IF(VLOOKUP(A88,'Charriage - Geschiebehaushalt'!$A$4:$R$275,5,FALSE)="","",VLOOKUP(A88,'Charriage - Geschiebehaushalt'!$A$4:$R$275,5,FALSE))</f>
        <v>pertinent</v>
      </c>
      <c r="O88" s="881" t="str">
        <f>IF(VLOOKUP(A88,'Charriage - Geschiebehaushalt'!$A$4:$R$275,6,FALSE)="","",VLOOKUP(A88,'Charriage - Geschiebehaushalt'!$A$4:$R$275,6,FALSE))</f>
        <v>non documenté</v>
      </c>
      <c r="P88" s="874" t="str">
        <f>IF(VLOOKUP(A88,'Charriage - Geschiebehaushalt'!$A$4:$R$275,7,FALSE)="","",VLOOKUP(A88,'Charriage - Geschiebehaushalt'!$A$4:$R$275,7,FALSE))</f>
        <v/>
      </c>
      <c r="Q88" s="874" t="str">
        <f>IF(VLOOKUP(A88,'Charriage - Geschiebehaushalt'!$A$4:$R$275,8,FALSE)="","",VLOOKUP(A88,'Charriage - Geschiebehaushalt'!$A$4:$R$275,8,FALSE))</f>
        <v>non documenté</v>
      </c>
      <c r="R88" s="875">
        <f>IF(VLOOKUP(A88,'Charriage - Geschiebehaushalt'!$A$4:$R$275,9,FALSE)="","",VLOOKUP(A88,'Charriage - Geschiebehaushalt'!$A$4:$R$275,9,FALSE))</f>
        <v>0</v>
      </c>
      <c r="S88" s="876" t="str">
        <f>IF(VLOOKUP(A88,'Charriage - Geschiebehaushalt'!$A$4:$R$275,10,FALSE)="","",VLOOKUP(A88,'Charriage - Geschiebehaushalt'!$A$4:$R$275,10,FALSE))</f>
        <v>pas ou faiblement entravé</v>
      </c>
      <c r="T88" s="875">
        <f>IF(VLOOKUP(A88,'Charriage - Geschiebehaushalt'!$A$4:$R$275,11,FALSE)="","",VLOOKUP(A88,'Charriage - Geschiebehaushalt'!$A$4:$R$275,11,FALSE))</f>
        <v>0.67477827205999996</v>
      </c>
      <c r="U88" s="895" t="str">
        <f>IF(VLOOKUP(A88,'Charriage - Geschiebehaushalt'!$A$4:$R$275,12,FALSE)="","",VLOOKUP(A88,'Charriage - Geschiebehaushalt'!$A$4:$R$275,12,FALSE))</f>
        <v>déficit non apparent en charriage ou en remobilisation des sédiments</v>
      </c>
      <c r="V88" s="877" t="str">
        <f>IF(VLOOKUP(A88,'Charriage - Geschiebehaushalt'!$A$4:$R$275,13,FALSE)="","",VLOOKUP(A88,'Charriage - Geschiebehaushalt'!$A$4:$R$275,13,FALSE))</f>
        <v/>
      </c>
      <c r="W88" s="877" t="str">
        <f>IF(VLOOKUP(A88,'Charriage - Geschiebehaushalt'!$A$4:$R$275,14,FALSE)="","",VLOOKUP(A88,'Charriage - Geschiebehaushalt'!$A$4:$R$275,14,FALSE))</f>
        <v/>
      </c>
      <c r="X88" s="877" t="str">
        <f>IF(VLOOKUP(A88,'Charriage - Geschiebehaushalt'!$A$4:$R$275,15,FALSE)="","",VLOOKUP(A88,'Charriage - Geschiebehaushalt'!$A$4:$R$275,15,FALSE))</f>
        <v/>
      </c>
      <c r="Y88" s="879" t="str">
        <f>IF(VLOOKUP(A88,'Charriage - Geschiebehaushalt'!$A$4:$R$275,16,FALSE)="","",VLOOKUP(A88,'Charriage - Geschiebehaushalt'!$A$4:$R$275,16,FALSE))</f>
        <v/>
      </c>
      <c r="Z88" s="763" t="str">
        <f>IF(VLOOKUP(A88,'Charriage - Geschiebehaushalt'!$A$4:$R$275,17,FALSE)="","",VLOOKUP(A88,'Charriage - Geschiebehaushalt'!$A$4:$R$275,17,FALSE))</f>
        <v>Déficit non apparent en charriage ou en remobilisation des sédiments / kein sichtbares Defizit beim Geschiebehaushalt bzw. bei der Mobilisierung von Geschiebe</v>
      </c>
      <c r="AA88" s="880" t="str">
        <f>IF(VLOOKUP(A88,'Charriage - Geschiebehaushalt'!$A$4:$R$275,18,FALSE)="","",VLOOKUP(A88,'Charriage - Geschiebehaushalt'!$A$4:$R$275,18,FALSE))</f>
        <v>b</v>
      </c>
      <c r="AB88" s="737" t="str">
        <f>IF(VLOOKUP(A88,'Charriage - Geschiebehaushalt'!$A$4:$AC$275,19,FALSE)="","",VLOOKUP(A88,'Charriage - Geschiebehaushalt'!$A$4:$AC$275,19,FALSE))</f>
        <v>- /
-</v>
      </c>
      <c r="AC88" s="738" t="str">
        <f>IF(VLOOKUP(A88,'Charriage - Geschiebehaushalt'!$A$4:$AC$275,20,FALSE)="","",VLOOKUP(A88,'Charriage - Geschiebehaushalt'!$A$4:$AC$275,20,FALSE))</f>
        <v>- /
-</v>
      </c>
      <c r="AD88" s="764" t="str">
        <f>IF(VLOOKUP(A88,'Charriage - Geschiebehaushalt'!$A$4:$AC$275,21,FALSE)="","",VLOOKUP(A88,'Charriage - Geschiebehaushalt'!$A$4:$AC$275,21,FALSE))</f>
        <v/>
      </c>
      <c r="AE88" s="772" t="str">
        <f>IF(VLOOKUP(A88,'Charriage - Geschiebehaushalt'!$A$4:$AC$275,22,FALSE)="","",VLOOKUP(A88,'Charriage - Geschiebehaushalt'!$A$4:$AC$275,22,FALSE))</f>
        <v>0-20%</v>
      </c>
      <c r="AF88" s="787" t="str">
        <f>IF(VLOOKUP(A88,'Charriage - Geschiebehaushalt'!$A$4:$AC$275,23,FALSE)="","",VLOOKUP(A88,'Charriage - Geschiebehaushalt'!$A$4:$AC$275,23,FALSE))</f>
        <v>b</v>
      </c>
      <c r="AG88" s="765" t="str">
        <f>IF(VLOOKUP(A88,'Charriage - Geschiebehaushalt'!$A$4:$AC$275,24,FALSE)="","",VLOOKUP(A88,'Charriage - Geschiebehaushalt'!$A$4:$AC$275,24,FALSE))</f>
        <v/>
      </c>
      <c r="AH88" s="764" t="str">
        <f>IF(VLOOKUP(A88,'Charriage - Geschiebehaushalt'!$A$4:$AC$275,25,FALSE)="","",VLOOKUP(A88,'Charriage - Geschiebehaushalt'!$A$4:$AC$275,25,FALSE))</f>
        <v/>
      </c>
      <c r="AI88" s="433" t="str">
        <f>IF(VLOOKUP(A88,'Charriage - Geschiebehaushalt'!$A$4:$AC$275,26,FALSE)="","",VLOOKUP(A88,'Charriage - Geschiebehaushalt'!$A$4:$AC$275,26,FALSE))</f>
        <v/>
      </c>
      <c r="AJ88" s="436" t="str">
        <f>IF(VLOOKUP(A88,'Charriage - Geschiebehaushalt'!$A$4:$AC$275,27,FALSE)="","",VLOOKUP(A88,'Charriage - Geschiebehaushalt'!$A$4:$AC$275,27,FALSE))</f>
        <v>OK</v>
      </c>
      <c r="AK88" s="814" t="str">
        <f>IF(VLOOKUP(A88,'Charriage - Geschiebehaushalt'!$A$4:$AC$275,28,FALSE)="","",VLOOKUP(A88,'Charriage - Geschiebehaushalt'!$A$4:$AC$275,28,FALSE))</f>
        <v>0-20%</v>
      </c>
      <c r="AL88" s="1285" t="str">
        <f>IF(VLOOKUP(A88,'Charriage - Geschiebehaushalt'!$A$4:$AD$275,30,FALSE)="","",VLOOKUP(A88,'Charriage - Geschiebehaushalt'!$A$4:$AD$275,30,FALSE))</f>
        <v>b</v>
      </c>
      <c r="AM88" s="1279" t="str">
        <f>IF(VLOOKUP(A88,'Débit - Abfluss'!$A$4:$K$275,5,FALSE)="","",VLOOKUP(A88,'Débit - Abfluss'!$A$4:$M$275,5,FALSE))</f>
        <v>100%</v>
      </c>
      <c r="AN88" s="868" t="str">
        <f>IF(VLOOKUP(A88,'Débit - Abfluss'!$A$4:$K$275,6,FALSE)="","",VLOOKUP(A88,'Débit - Abfluss'!$A$4:$M$275,6,FALSE))</f>
        <v>aucune information supplémentaire</v>
      </c>
      <c r="AO88" s="869" t="str">
        <f>IF(VLOOKUP(A88,'Débit - Abfluss'!$A$4:$K$275,7,FALSE)="","",VLOOKUP(A88,'Débit - Abfluss'!$A$4:$M$275,7,FALSE))</f>
        <v>aucune information supplémentaire</v>
      </c>
      <c r="AP88" s="766" t="str">
        <f>IF(VLOOKUP(A88,'Débit - Abfluss'!$A$4:$K$275,8,FALSE)="","",VLOOKUP(A88,'Débit - Abfluss'!$A$4:$M$275,8,FALSE))</f>
        <v>100%</v>
      </c>
      <c r="AQ88" s="742" t="str">
        <f>IF(VLOOKUP(A88,'Débit - Abfluss'!$A$4:$K$275,9,FALSE)="","",VLOOKUP(A88,'Débit - Abfluss'!$A$4:$M$275,9,FALSE))</f>
        <v>-</v>
      </c>
      <c r="AR88" s="767" t="str">
        <f>IF(VLOOKUP(A88,'Débit - Abfluss'!$A$4:$K$275,10,FALSE)="","",VLOOKUP(A88,'Débit - Abfluss'!$A$4:$M$275,10,FALSE))</f>
        <v>100%</v>
      </c>
      <c r="AS88" s="767" t="str">
        <f>IF(VLOOKUP(A88,'Débit - Abfluss'!$A$4:$K$275,11,FALSE)="","",VLOOKUP(A88,'Débit - Abfluss'!$A$4:$M$275,11,FALSE))</f>
        <v/>
      </c>
      <c r="AT88" s="744" t="str">
        <f>IF(VLOOKUP(A88,'Débit - Abfluss'!$A$4:$Q$275,12,FALSE)="","",VLOOKUP(A88,'Débit - Abfluss'!$A$4:$Q$275,12,FALSE))</f>
        <v/>
      </c>
      <c r="AU88" s="768" t="str">
        <f>IF(VLOOKUP(A88,'Débit - Abfluss'!$A$4:$Q$275,13,FALSE)="","",VLOOKUP(A88,'Débit - Abfluss'!$A$4:$Q$275,13,FALSE))</f>
        <v>OK</v>
      </c>
      <c r="AV88" s="746" t="str">
        <f>IF(VLOOKUP(A88,'Débit - Abfluss'!$A$4:$Q$275,14,FALSE)="","",VLOOKUP(A88,'Débit - Abfluss'!$A$4:$Q$275,14,FALSE))</f>
        <v/>
      </c>
      <c r="AW88" s="768" t="str">
        <f>IF(VLOOKUP(A88,'Débit - Abfluss'!$A$4:$Q$275,15,FALSE)="","",VLOOKUP(A88,'Débit - Abfluss'!$A$4:$Q$275,15,FALSE))</f>
        <v/>
      </c>
      <c r="AX88" s="677" t="str">
        <f>IF(VLOOKUP(A88,'Débit - Abfluss'!$A$4:$Q$275,16,FALSE)="","",VLOOKUP(A88,'Débit - Abfluss'!$A$4:$Q$275,16,FALSE))</f>
        <v/>
      </c>
      <c r="AY88" s="769" t="str">
        <f>IF(VLOOKUP(A88,'Débit - Abfluss'!$A$4:$Q$275,17,FALSE)="","",VLOOKUP(A88,'Débit - Abfluss'!$A$4:$Q$275,17,FALSE))</f>
        <v>100%</v>
      </c>
      <c r="AZ88" s="749" t="str">
        <f>IF(VLOOKUP(A88,'Eclusée - Schwall-Sunk'!$A$2:$F$273,5,FALSE)="","",VLOOKUP(A88,'Eclusée - Schwall-Sunk'!$A$2:$F$273,5,FALSE))</f>
        <v/>
      </c>
      <c r="BA88" s="750" t="str">
        <f>IF(VLOOKUP(A88,'Eclusée - Schwall-Sunk'!$A$2:$F$273,6,FALSE)="","",VLOOKUP(A88,'Eclusée - Schwall-Sunk'!$A$2:$F$273,6,FALSE))</f>
        <v>Non affecté / nicht betroffen</v>
      </c>
      <c r="BB88" s="751">
        <f>IF(VLOOKUP(A88,'Revitalisation-Revitalisierung'!$A$4:$Z$275,5,FALSE)="","",VLOOKUP(A88,'Revitalisation-Revitalisierung'!$A$4:$Z$275,5,FALSE))</f>
        <v>-12.727272727272727</v>
      </c>
      <c r="BC88" s="752">
        <f>IF(VLOOKUP(A88,'Revitalisation-Revitalisierung'!$A$4:$Z$275,6,FALSE)="","",VLOOKUP(A88,'Revitalisation-Revitalisierung'!$A$4:$Z$275,6,FALSE))</f>
        <v>0</v>
      </c>
      <c r="BD88" s="752">
        <f>IF(VLOOKUP(A88,'Revitalisation-Revitalisierung'!$A$4:$Z$275,7,FALSE)="","",VLOOKUP(A88,'Revitalisation-Revitalisierung'!$A$4:$Z$275,7,FALSE))</f>
        <v>12.727272727272727</v>
      </c>
      <c r="BE88" s="753" t="str">
        <f>IF(VLOOKUP(A88,'Revitalisation-Revitalisierung'!$A$4:$Z$275,8,FALSE)="","",VLOOKUP(A88,'Revitalisation-Revitalisierung'!$A$4:$Z$275,8,FALSE))</f>
        <v>non nécessaire</v>
      </c>
      <c r="BF88" s="754" t="str">
        <f>IF(VLOOKUP(A88,'Revitalisation-Revitalisierung'!$A$4:$Z$275,9,FALSE)="","",VLOOKUP(A88,'Revitalisation-Revitalisierung'!$A$4:$Z$275,9,FALSE))</f>
        <v/>
      </c>
      <c r="BG88" s="754" t="str">
        <f>IF(VLOOKUP(A88,'Revitalisation-Revitalisierung'!$A$4:$Z$275,10,FALSE)="","",VLOOKUP(A88,'Revitalisation-Revitalisierung'!$A$4:$Z$275,10,FALSE))</f>
        <v>K1</v>
      </c>
      <c r="BH88" s="755" t="str">
        <f>IF(VLOOKUP(A88,'Revitalisation-Revitalisierung'!$A$4:$Z$275,11,FALSE)="","",VLOOKUP(A88,'Revitalisation-Revitalisierung'!$A$4:$Z$275,11,FALSE))</f>
        <v/>
      </c>
      <c r="BI88" s="756" t="str">
        <f>IF(VLOOKUP(A88,'Revitalisation-Revitalisierung'!$A$4:$Z$275,12,FALSE)="","",VLOOKUP(A88,'Revitalisation-Revitalisierung'!$A$4:$Z$275,12,FALSE))</f>
        <v/>
      </c>
      <c r="BJ88" s="757" t="str">
        <f>IF(VLOOKUP(A88,'Revitalisation-Revitalisierung'!$A$4:$Z$275,13,FALSE)="","",VLOOKUP(A88,'Revitalisation-Revitalisierung'!$A$4:$Z$275,13,FALSE))</f>
        <v>Non nécessaire / nicht nötig</v>
      </c>
      <c r="BK88" s="870" t="str">
        <f>IF(VLOOKUP(A88,'Revitalisation-Revitalisierung'!$A$4:$Z$275,14,FALSE)="","",VLOOKUP(A88,'Revitalisation-Revitalisierung'!$A$4:$Z$275,14,FALSE))</f>
        <v>a</v>
      </c>
      <c r="BL88" s="758" t="str">
        <f>IF(VLOOKUP(A88,'Revitalisation-Revitalisierung'!$A$4:$Z$275,15,FALSE)="","",VLOOKUP(A88,'Revitalisation-Revitalisierung'!$A$4:$Z$275,15,FALSE))</f>
        <v>gross /
keine Angaben</v>
      </c>
      <c r="BM88" s="759" t="str">
        <f>IF(VLOOKUP(A88,'Revitalisation-Revitalisierung'!$A$4:$Z$275,16,FALSE)="","",VLOOKUP(A88,'Revitalisation-Revitalisierung'!$A$4:$Z$275,16,FALSE))</f>
        <v>gering/mittel /
keine Angaben</v>
      </c>
      <c r="BN88" s="759" t="str">
        <f>IF(VLOOKUP(A88,'Revitalisation-Revitalisierung'!$A$4:$Z$275,17,FALSE)="","",VLOOKUP(A88,'Revitalisation-Revitalisierung'!$A$4:$Z$275,17,FALSE))</f>
        <v>- /
-</v>
      </c>
      <c r="BO88" s="760" t="str">
        <f>IF(VLOOKUP(A88,'Revitalisation-Revitalisierung'!$A$4:$Z$275,18,FALSE)="","",VLOOKUP(A88,'Revitalisation-Revitalisierung'!$A$4:$Z$275,18,FALSE))</f>
        <v>Non nécessaire / nicht nötig</v>
      </c>
      <c r="BP88" s="761" t="str">
        <f>IF(VLOOKUP(A88,'Revitalisation-Revitalisierung'!$A$4:$Z$275,19,FALSE)="","",VLOOKUP(A88,'Revitalisation-Revitalisierung'!$A$4:$Z$275,19,FALSE))</f>
        <v>Non nécessaire / nicht nötig</v>
      </c>
      <c r="BQ88" s="759" t="str">
        <f>IF(VLOOKUP(A88,'Revitalisation-Revitalisierung'!$A$4:$Z$275,20,FALSE)="","",VLOOKUP(A88,'Revitalisation-Revitalisierung'!$A$4:$Z$275,20,FALSE))</f>
        <v>d</v>
      </c>
      <c r="BR88" s="759" t="str">
        <f>IF(VLOOKUP(A88,'Revitalisation-Revitalisierung'!$A$4:$Z$275,21,FALSE)="","",VLOOKUP(A88,'Revitalisation-Revitalisierung'!$A$4:$Z$275,21,FALSE))</f>
        <v>classe commune retenue (gering)</v>
      </c>
      <c r="BS88" s="762" t="str">
        <f>IF(VLOOKUP(A88,'Revitalisation-Revitalisierung'!$A$4:$Z$275,22,FALSE)="","",VLOOKUP(A88,'Revitalisation-Revitalisierung'!$A$4:$Z$275,22,FALSE))</f>
        <v/>
      </c>
      <c r="BT88" s="700" t="str">
        <f>IF(VLOOKUP(A88,'Revitalisation-Revitalisierung'!$A$4:$Z$275,23,FALSE)="","",VLOOKUP(A88,'Revitalisation-Revitalisierung'!$A$4:$Z$275,23,FALSE))</f>
        <v/>
      </c>
      <c r="BU88" s="699" t="str">
        <f>IF(VLOOKUP(A88,'Revitalisation-Revitalisierung'!$A$4:$Z$275,24,FALSE)="","",VLOOKUP(A88,'Revitalisation-Revitalisierung'!$A$4:$Z$275,24,FALSE))</f>
        <v>OK - keine wesentliche Beeinträchtigung, natürliches Gewässer</v>
      </c>
      <c r="BV88" s="761" t="str">
        <f>IF(VLOOKUP(A88,'Revitalisation-Revitalisierung'!$A$4:$Z$275,25,FALSE)="","",VLOOKUP(A88,'Revitalisation-Revitalisierung'!$A$4:$Z$275,25,FALSE))</f>
        <v>Non nécessaire / nicht nötig</v>
      </c>
      <c r="BW88" s="871" t="str">
        <f>IF(VLOOKUP(A88,'Revitalisation-Revitalisierung'!$A$4:$AA$275,27,FALSE)="","",VLOOKUP(A88,'Revitalisation-Revitalisierung'!$A$4:$AA$275,27,FALSE))</f>
        <v>a</v>
      </c>
    </row>
    <row r="89" spans="1:75" ht="81" customHeight="1" x14ac:dyDescent="0.25">
      <c r="A89" s="935">
        <v>112</v>
      </c>
      <c r="B89" s="856">
        <f>IF(VLOOKUP(A89,'Données de base - Grunddaten'!$A$2:$M$297,2,FALSE)="","",VLOOKUP(A89,'Données de base - Grunddaten'!$A$2:$M$297,2,FALSE))</f>
        <v>1</v>
      </c>
      <c r="C89" s="857" t="str">
        <f>IF(VLOOKUP(A89,'Données de base - Grunddaten'!$A$2:$M$297,3,FALSE)="","",VLOOKUP(A89,'Données de base - Grunddaten'!$A$2:$M$297,3,FALSE))</f>
        <v>Vallon de la Laire</v>
      </c>
      <c r="D89" s="857" t="str">
        <f>IF(VLOOKUP(A89,'Données de base - Grunddaten'!$A$2:$M$297,4,FALSE)="","",VLOOKUP(A89,'Données de base - Grunddaten'!$A$2:$M$297,4,FALSE))</f>
        <v>La Laire</v>
      </c>
      <c r="E89" s="857" t="str">
        <f>IF(VLOOKUP(A89,'Données de base - Grunddaten'!$A$2:$M$297,5,FALSE)="","",VLOOKUP(A89,'Données de base - Grunddaten'!$A$2:$M$297,5,FALSE))</f>
        <v>GE</v>
      </c>
      <c r="F89" s="857" t="str">
        <f>IF(VLOOKUP(A89,'Données de base - Grunddaten'!$A$2:$M$297,6,FALSE)="","",VLOOKUP(A89,'Données de base - Grunddaten'!$A$2:$M$297,6,FALSE))</f>
        <v>Bassins lémanique et rhénan</v>
      </c>
      <c r="G89" s="857" t="str">
        <f>IF(VLOOKUP(A89,'Données de base - Grunddaten'!$A$2:$M$297,7,FALSE)="","",VLOOKUP(A89,'Données de base - Grunddaten'!$A$2:$M$297,7,FALSE))</f>
        <v>Collinéen</v>
      </c>
      <c r="H89" s="857">
        <f>IF(VLOOKUP(A89,'Données de base - Grunddaten'!$A$2:$M$297,8,FALSE)="","",VLOOKUP(A89,'Données de base - Grunddaten'!$A$2:$M$297,8,FALSE))</f>
        <v>350</v>
      </c>
      <c r="I89" s="857">
        <f>IF(VLOOKUP(A89,'Données de base - Grunddaten'!$A$2:$M$297,9,FALSE)="","",VLOOKUP(A89,'Données de base - Grunddaten'!$A$2:$M$297,9,FALSE))</f>
        <v>1992</v>
      </c>
      <c r="J89" s="857">
        <f>IF(VLOOKUP(A89,'Données de base - Grunddaten'!$A$2:$M$297,10,FALSE)="","",VLOOKUP(A89,'Données de base - Grunddaten'!$A$2:$M$297,10,FALSE))</f>
        <v>61</v>
      </c>
      <c r="K89" s="857" t="str">
        <f>IF(VLOOKUP(A89,'Données de base - Grunddaten'!$A$2:$M$297,11,FALSE)="","",VLOOKUP(A89,'Données de base - Grunddaten'!$A$2:$M$297,11,FALSE))</f>
        <v>Cours d'eau naturels de l'étage collinéen du Sud des Alpes</v>
      </c>
      <c r="L89" s="857" t="str">
        <f>IF(VLOOKUP(A89,'Données de base - Grunddaten'!$A$2:$M$297,12,FALSE)="","",VLOOKUP(A89,'Données de base - Grunddaten'!$A$2:$M$297,12,FALSE))</f>
        <v>en méandres migrants</v>
      </c>
      <c r="M89" s="858" t="str">
        <f>IF(VLOOKUP(A89,'Données de base - Grunddaten'!$A$2:$M$297,13,FALSE)="","",VLOOKUP(A89,'Données de base - Grunddaten'!$A$2:$M$297,13,FALSE))</f>
        <v>en méandres migrants</v>
      </c>
      <c r="N89" s="872" t="str">
        <f>IF(VLOOKUP(A89,'Charriage - Geschiebehaushalt'!$A$4:$R$275,5,FALSE)="","",VLOOKUP(A89,'Charriage - Geschiebehaushalt'!$A$4:$R$275,5,FALSE))</f>
        <v>pertinent</v>
      </c>
      <c r="O89" s="881" t="str">
        <f>IF(VLOOKUP(A89,'Charriage - Geschiebehaushalt'!$A$4:$R$275,6,FALSE)="","",VLOOKUP(A89,'Charriage - Geschiebehaushalt'!$A$4:$R$275,6,FALSE))</f>
        <v>non documenté</v>
      </c>
      <c r="P89" s="874" t="str">
        <f>IF(VLOOKUP(A89,'Charriage - Geschiebehaushalt'!$A$4:$R$275,7,FALSE)="","",VLOOKUP(A89,'Charriage - Geschiebehaushalt'!$A$4:$R$275,7,FALSE))</f>
        <v/>
      </c>
      <c r="Q89" s="874" t="str">
        <f>IF(VLOOKUP(A89,'Charriage - Geschiebehaushalt'!$A$4:$R$275,8,FALSE)="","",VLOOKUP(A89,'Charriage - Geschiebehaushalt'!$A$4:$R$275,8,FALSE))</f>
        <v>non documenté</v>
      </c>
      <c r="R89" s="875">
        <f>IF(VLOOKUP(A89,'Charriage - Geschiebehaushalt'!$A$4:$R$275,9,FALSE)="","",VLOOKUP(A89,'Charriage - Geschiebehaushalt'!$A$4:$R$275,9,FALSE))</f>
        <v>0.19764769090466999</v>
      </c>
      <c r="S89" s="876" t="str">
        <f>IF(VLOOKUP(A89,'Charriage - Geschiebehaushalt'!$A$4:$R$275,10,FALSE)="","",VLOOKUP(A89,'Charriage - Geschiebehaushalt'!$A$4:$R$275,10,FALSE))</f>
        <v>pas ou faiblement entravé</v>
      </c>
      <c r="T89" s="875">
        <f>IF(VLOOKUP(A89,'Charriage - Geschiebehaushalt'!$A$4:$R$275,11,FALSE)="","",VLOOKUP(A89,'Charriage - Geschiebehaushalt'!$A$4:$R$275,11,FALSE))</f>
        <v>8.6192770668000004E-2</v>
      </c>
      <c r="U89" s="876" t="str">
        <f>IF(VLOOKUP(A89,'Charriage - Geschiebehaushalt'!$A$4:$R$275,12,FALSE)="","",VLOOKUP(A89,'Charriage - Geschiebehaushalt'!$A$4:$R$275,12,FALSE))</f>
        <v>déficit dans les formations pionnières</v>
      </c>
      <c r="V89" s="877" t="str">
        <f>IF(VLOOKUP(A89,'Charriage - Geschiebehaushalt'!$A$4:$R$275,13,FALSE)="","",VLOOKUP(A89,'Charriage - Geschiebehaushalt'!$A$4:$R$275,13,FALSE))</f>
        <v>sédiments peut-être exploités en amont</v>
      </c>
      <c r="W89" s="878" t="str">
        <f>IF(VLOOKUP(A89,'Charriage - Geschiebehaushalt'!$A$4:$R$275,14,FALSE)="","",VLOOKUP(A89,'Charriage - Geschiebehaushalt'!$A$4:$R$275,14,FALSE))</f>
        <v>charriage présumé faiblement perturbé</v>
      </c>
      <c r="X89" s="878" t="str">
        <f>IF(VLOOKUP(A89,'Charriage - Geschiebehaushalt'!$A$4:$R$275,15,FALSE)="","",VLOOKUP(A89,'Charriage - Geschiebehaushalt'!$A$4:$R$275,15,FALSE))</f>
        <v/>
      </c>
      <c r="Y89" s="882" t="str">
        <f>IF(VLOOKUP(A89,'Charriage - Geschiebehaushalt'!$A$4:$R$275,16,FALSE)="","",VLOOKUP(A89,'Charriage - Geschiebehaushalt'!$A$4:$R$275,16,FALSE))</f>
        <v/>
      </c>
      <c r="Z89" s="763" t="str">
        <f>IF(VLOOKUP(A89,'Charriage - Geschiebehaushalt'!$A$4:$R$275,17,FALSE)="","",VLOOKUP(A89,'Charriage - Geschiebehaushalt'!$A$4:$R$275,17,FALSE))</f>
        <v>Charriage présumé faiblement perturbé / Geschiebe vermutlich leicht beeinträchtigt</v>
      </c>
      <c r="AA89" s="880" t="str">
        <f>IF(VLOOKUP(A89,'Charriage - Geschiebehaushalt'!$A$4:$R$275,18,FALSE)="","",VLOOKUP(A89,'Charriage - Geschiebehaushalt'!$A$4:$R$275,18,FALSE))</f>
        <v>b</v>
      </c>
      <c r="AB89" s="737" t="str">
        <f>IF(VLOOKUP(A89,'Charriage - Geschiebehaushalt'!$A$4:$AC$275,19,FALSE)="","",VLOOKUP(A89,'Charriage - Geschiebehaushalt'!$A$4:$AC$275,19,FALSE))</f>
        <v>notable (amont) et faible (aval)</v>
      </c>
      <c r="AC89" s="738" t="str">
        <f>IF(VLOOKUP(A89,'Charriage - Geschiebehaushalt'!$A$4:$AC$275,20,FALSE)="","",VLOOKUP(A89,'Charriage - Geschiebehaushalt'!$A$4:$AC$275,20,FALSE))</f>
        <v>-</v>
      </c>
      <c r="AD89" s="764" t="str">
        <f>IF(VLOOKUP(A89,'Charriage - Geschiebehaushalt'!$A$4:$AC$275,21,FALSE)="","",VLOOKUP(A89,'Charriage - Geschiebehaushalt'!$A$4:$AC$275,21,FALSE))</f>
        <v>21-50%</v>
      </c>
      <c r="AE89" s="772" t="str">
        <f>IF(VLOOKUP(A89,'Charriage - Geschiebehaushalt'!$A$4:$AC$275,22,FALSE)="","",VLOOKUP(A89,'Charriage - Geschiebehaushalt'!$A$4:$AC$275,22,FALSE))</f>
        <v>21-50%</v>
      </c>
      <c r="AF89" s="787" t="str">
        <f>IF(VLOOKUP(A89,'Charriage - Geschiebehaushalt'!$A$4:$AC$275,23,FALSE)="","",VLOOKUP(A89,'Charriage - Geschiebehaushalt'!$A$4:$AC$275,23,FALSE))</f>
        <v>d</v>
      </c>
      <c r="AG89" s="765" t="str">
        <f>IF(VLOOKUP(A89,'Charriage - Geschiebehaushalt'!$A$4:$AC$275,24,FALSE)="","",VLOOKUP(A89,'Charriage - Geschiebehaushalt'!$A$4:$AC$275,24,FALSE))</f>
        <v/>
      </c>
      <c r="AH89" s="764" t="str">
        <f>IF(VLOOKUP(A89,'Charriage - Geschiebehaushalt'!$A$4:$AC$275,25,FALSE)="","",VLOOKUP(A89,'Charriage - Geschiebehaushalt'!$A$4:$AC$275,25,FALSE))</f>
        <v/>
      </c>
      <c r="AI89" s="435" t="str">
        <f>IF(VLOOKUP(A89,'Charriage - Geschiebehaushalt'!$A$4:$AC$275,26,FALSE)="","",VLOOKUP(A89,'Charriage - Geschiebehaushalt'!$A$4:$AC$275,26,FALSE))</f>
        <v/>
      </c>
      <c r="AJ89" s="436" t="str">
        <f>IF(VLOOKUP(A89,'Charriage - Geschiebehaushalt'!$A$4:$AC$275,27,FALSE)="","",VLOOKUP(A89,'Charriage - Geschiebehaushalt'!$A$4:$AC$275,27,FALSE))</f>
        <v/>
      </c>
      <c r="AK89" s="814" t="str">
        <f>IF(VLOOKUP(A89,'Charriage - Geschiebehaushalt'!$A$4:$AC$275,28,FALSE)="","",VLOOKUP(A89,'Charriage - Geschiebehaushalt'!$A$4:$AC$275,28,FALSE))</f>
        <v>21-50%</v>
      </c>
      <c r="AL89" s="1285" t="str">
        <f>IF(VLOOKUP(A89,'Charriage - Geschiebehaushalt'!$A$4:$AD$275,30,FALSE)="","",VLOOKUP(A89,'Charriage - Geschiebehaushalt'!$A$4:$AD$275,30,FALSE))</f>
        <v>a</v>
      </c>
      <c r="AM89" s="1279" t="str">
        <f>IF(VLOOKUP(A89,'Débit - Abfluss'!$A$4:$K$275,5,FALSE)="","",VLOOKUP(A89,'Débit - Abfluss'!$A$4:$M$275,5,FALSE))</f>
        <v>100%</v>
      </c>
      <c r="AN89" s="868" t="str">
        <f>IF(VLOOKUP(A89,'Débit - Abfluss'!$A$4:$K$275,6,FALSE)="","",VLOOKUP(A89,'Débit - Abfluss'!$A$4:$M$275,6,FALSE))</f>
        <v>aucune information supplémentaire</v>
      </c>
      <c r="AO89" s="869" t="str">
        <f>IF(VLOOKUP(A89,'Débit - Abfluss'!$A$4:$K$275,7,FALSE)="","",VLOOKUP(A89,'Débit - Abfluss'!$A$4:$M$275,7,FALSE))</f>
        <v>aucune information supplémentaire</v>
      </c>
      <c r="AP89" s="766" t="str">
        <f>IF(VLOOKUP(A89,'Débit - Abfluss'!$A$4:$K$275,8,FALSE)="","",VLOOKUP(A89,'Débit - Abfluss'!$A$4:$M$275,8,FALSE))</f>
        <v>100%</v>
      </c>
      <c r="AQ89" s="742" t="str">
        <f>IF(VLOOKUP(A89,'Débit - Abfluss'!$A$4:$K$275,9,FALSE)="","",VLOOKUP(A89,'Débit - Abfluss'!$A$4:$M$275,9,FALSE))</f>
        <v>-</v>
      </c>
      <c r="AR89" s="767" t="str">
        <f>IF(VLOOKUP(A89,'Débit - Abfluss'!$A$4:$K$275,10,FALSE)="","",VLOOKUP(A89,'Débit - Abfluss'!$A$4:$M$275,10,FALSE))</f>
        <v>100%</v>
      </c>
      <c r="AS89" s="767" t="str">
        <f>IF(VLOOKUP(A89,'Débit - Abfluss'!$A$4:$K$275,11,FALSE)="","",VLOOKUP(A89,'Débit - Abfluss'!$A$4:$M$275,11,FALSE))</f>
        <v/>
      </c>
      <c r="AT89" s="778" t="str">
        <f>IF(VLOOKUP(A89,'Débit - Abfluss'!$A$4:$Q$275,12,FALSE)="","",VLOOKUP(A89,'Débit - Abfluss'!$A$4:$Q$275,12,FALSE))</f>
        <v/>
      </c>
      <c r="AU89" s="779" t="str">
        <f>IF(VLOOKUP(A89,'Débit - Abfluss'!$A$4:$Q$275,13,FALSE)="","",VLOOKUP(A89,'Débit - Abfluss'!$A$4:$Q$275,13,FALSE))</f>
        <v/>
      </c>
      <c r="AV89" s="746" t="str">
        <f>IF(VLOOKUP(A89,'Débit - Abfluss'!$A$4:$Q$275,14,FALSE)="","",VLOOKUP(A89,'Débit - Abfluss'!$A$4:$Q$275,14,FALSE))</f>
        <v/>
      </c>
      <c r="AW89" s="768" t="str">
        <f>IF(VLOOKUP(A89,'Débit - Abfluss'!$A$4:$Q$275,15,FALSE)="","",VLOOKUP(A89,'Débit - Abfluss'!$A$4:$Q$275,15,FALSE))</f>
        <v/>
      </c>
      <c r="AX89" s="679" t="str">
        <f>IF(VLOOKUP(A89,'Débit - Abfluss'!$A$4:$Q$275,16,FALSE)="","",VLOOKUP(A89,'Débit - Abfluss'!$A$4:$Q$275,16,FALSE))</f>
        <v/>
      </c>
      <c r="AY89" s="769" t="str">
        <f>IF(VLOOKUP(A89,'Débit - Abfluss'!$A$4:$Q$275,17,FALSE)="","",VLOOKUP(A89,'Débit - Abfluss'!$A$4:$Q$275,17,FALSE))</f>
        <v>100%</v>
      </c>
      <c r="AZ89" s="749" t="str">
        <f>IF(VLOOKUP(A89,'Eclusée - Schwall-Sunk'!$A$2:$F$273,5,FALSE)="","",VLOOKUP(A89,'Eclusée - Schwall-Sunk'!$A$2:$F$273,5,FALSE))</f>
        <v/>
      </c>
      <c r="BA89" s="750" t="str">
        <f>IF(VLOOKUP(A89,'Eclusée - Schwall-Sunk'!$A$2:$F$273,6,FALSE)="","",VLOOKUP(A89,'Eclusée - Schwall-Sunk'!$A$2:$F$273,6,FALSE))</f>
        <v>Non affecté / nicht betroffen</v>
      </c>
      <c r="BB89" s="751">
        <f>IF(VLOOKUP(A89,'Revitalisation-Revitalisierung'!$A$4:$Z$275,5,FALSE)="","",VLOOKUP(A89,'Revitalisation-Revitalisierung'!$A$4:$Z$275,5,FALSE))</f>
        <v>5.672727272727272</v>
      </c>
      <c r="BC89" s="752">
        <f>IF(VLOOKUP(A89,'Revitalisation-Revitalisierung'!$A$4:$Z$275,6,FALSE)="","",VLOOKUP(A89,'Revitalisation-Revitalisierung'!$A$4:$Z$275,6,FALSE))</f>
        <v>18.426841375604447</v>
      </c>
      <c r="BD89" s="752">
        <f>IF(VLOOKUP(A89,'Revitalisation-Revitalisierung'!$A$4:$Z$275,7,FALSE)="","",VLOOKUP(A89,'Revitalisation-Revitalisierung'!$A$4:$Z$275,7,FALSE))</f>
        <v>12.727272727272727</v>
      </c>
      <c r="BE89" s="753" t="str">
        <f>IF(VLOOKUP(A89,'Revitalisation-Revitalisierung'!$A$4:$Z$275,8,FALSE)="","",VLOOKUP(A89,'Revitalisation-Revitalisierung'!$A$4:$Z$275,8,FALSE))</f>
        <v>peu nécessaire, facile</v>
      </c>
      <c r="BF89" s="754" t="str">
        <f>IF(VLOOKUP(A89,'Revitalisation-Revitalisierung'!$A$4:$Z$275,9,FALSE)="","",VLOOKUP(A89,'Revitalisation-Revitalisierung'!$A$4:$Z$275,9,FALSE))</f>
        <v/>
      </c>
      <c r="BG89" s="754" t="str">
        <f>IF(VLOOKUP(A89,'Revitalisation-Revitalisierung'!$A$4:$Z$275,10,FALSE)="","",VLOOKUP(A89,'Revitalisation-Revitalisierung'!$A$4:$Z$275,10,FALSE))</f>
        <v>K3</v>
      </c>
      <c r="BH89" s="755" t="str">
        <f>IF(VLOOKUP(A89,'Revitalisation-Revitalisierung'!$A$4:$Z$275,11,FALSE)="","",VLOOKUP(A89,'Revitalisation-Revitalisierung'!$A$4:$Z$275,11,FALSE))</f>
        <v/>
      </c>
      <c r="BI89" s="756" t="str">
        <f>IF(VLOOKUP(A89,'Revitalisation-Revitalisierung'!$A$4:$Z$275,12,FALSE)="","",VLOOKUP(A89,'Revitalisation-Revitalisierung'!$A$4:$Z$275,12,FALSE))</f>
        <v/>
      </c>
      <c r="BJ89" s="757" t="str">
        <f>IF(VLOOKUP(A89,'Revitalisation-Revitalisierung'!$A$4:$Z$275,13,FALSE)="","",VLOOKUP(A89,'Revitalisation-Revitalisierung'!$A$4:$Z$275,13,FALSE))</f>
        <v>Très nécessaire, facile / unbedingt nötig, einfach</v>
      </c>
      <c r="BK89" s="870" t="str">
        <f>IF(VLOOKUP(A89,'Revitalisation-Revitalisierung'!$A$4:$Z$275,14,FALSE)="","",VLOOKUP(A89,'Revitalisation-Revitalisierung'!$A$4:$Z$275,14,FALSE))</f>
        <v>b</v>
      </c>
      <c r="BL89" s="758" t="str">
        <f>IF(VLOOKUP(A89,'Revitalisation-Revitalisierung'!$A$4:$Z$275,15,FALSE)="","",VLOOKUP(A89,'Revitalisation-Revitalisierung'!$A$4:$Z$275,15,FALSE))</f>
        <v>important</v>
      </c>
      <c r="BM89" s="759" t="str">
        <f>IF(VLOOKUP(A89,'Revitalisation-Revitalisierung'!$A$4:$Z$275,16,FALSE)="","",VLOOKUP(A89,'Revitalisation-Revitalisierung'!$A$4:$Z$275,16,FALSE))</f>
        <v>faible et moyen</v>
      </c>
      <c r="BN89" s="759" t="str">
        <f>IF(VLOOKUP(A89,'Revitalisation-Revitalisierung'!$A$4:$Z$275,17,FALSE)="","",VLOOKUP(A89,'Revitalisation-Revitalisierung'!$A$4:$Z$275,17,FALSE))</f>
        <v>élevée et faible</v>
      </c>
      <c r="BO89" s="760" t="str">
        <f>IF(VLOOKUP(A89,'Revitalisation-Revitalisierung'!$A$4:$Z$275,18,FALSE)="","",VLOOKUP(A89,'Revitalisation-Revitalisierung'!$A$4:$Z$275,18,FALSE))</f>
        <v>Partiellement nécessaire, facile / teilweise nötig, einfach</v>
      </c>
      <c r="BP89" s="761" t="str">
        <f>IF(VLOOKUP(A89,'Revitalisation-Revitalisierung'!$A$4:$Z$275,19,FALSE)="","",VLOOKUP(A89,'Revitalisation-Revitalisierung'!$A$4:$Z$275,19,FALSE))</f>
        <v>Partiellement nécessaire, facile / teilweise nötig, einfach</v>
      </c>
      <c r="BQ89" s="759" t="str">
        <f>IF(VLOOKUP(A89,'Revitalisation-Revitalisierung'!$A$4:$Z$275,20,FALSE)="","",VLOOKUP(A89,'Revitalisation-Revitalisierung'!$A$4:$Z$275,20,FALSE))</f>
        <v>c</v>
      </c>
      <c r="BR89" s="759" t="str">
        <f>IF(VLOOKUP(A89,'Revitalisation-Revitalisierung'!$A$4:$Z$275,21,FALSE)="","",VLOOKUP(A89,'Revitalisation-Revitalisierung'!$A$4:$Z$275,21,FALSE))</f>
        <v/>
      </c>
      <c r="BS89" s="762" t="str">
        <f>IF(VLOOKUP(A89,'Revitalisation-Revitalisierung'!$A$4:$Z$275,22,FALSE)="","",VLOOKUP(A89,'Revitalisation-Revitalisierung'!$A$4:$Z$275,22,FALSE))</f>
        <v/>
      </c>
      <c r="BT89" s="700" t="str">
        <f>IF(VLOOKUP(A89,'Revitalisation-Revitalisierung'!$A$4:$Z$275,23,FALSE)="","",VLOOKUP(A89,'Revitalisation-Revitalisierung'!$A$4:$Z$275,23,FALSE))</f>
        <v/>
      </c>
      <c r="BU89" s="699" t="str">
        <f>IF(VLOOKUP(A89,'Revitalisation-Revitalisierung'!$A$4:$Z$275,24,FALSE)="","",VLOOKUP(A89,'Revitalisation-Revitalisierung'!$A$4:$Z$275,24,FALSE))</f>
        <v/>
      </c>
      <c r="BV89" s="761" t="str">
        <f>IF(VLOOKUP(A89,'Revitalisation-Revitalisierung'!$A$4:$Z$275,25,FALSE)="","",VLOOKUP(A89,'Revitalisation-Revitalisierung'!$A$4:$Z$275,25,FALSE))</f>
        <v>Partiellement nécessaire, facile / teilweise nötig, einfach</v>
      </c>
      <c r="BW89" s="871" t="str">
        <f>IF(VLOOKUP(A89,'Revitalisation-Revitalisierung'!$A$4:$AA$275,27,FALSE)="","",VLOOKUP(A89,'Revitalisation-Revitalisierung'!$A$4:$AA$275,27,FALSE))</f>
        <v>a</v>
      </c>
    </row>
    <row r="90" spans="1:75" ht="75" customHeight="1" x14ac:dyDescent="0.25">
      <c r="A90" s="935">
        <v>113</v>
      </c>
      <c r="B90" s="856">
        <f>IF(VLOOKUP(A90,'Données de base - Grunddaten'!$A$2:$M$297,2,FALSE)="","",VLOOKUP(A90,'Données de base - Grunddaten'!$A$2:$M$297,2,FALSE))</f>
        <v>1</v>
      </c>
      <c r="C90" s="857" t="str">
        <f>IF(VLOOKUP(A90,'Données de base - Grunddaten'!$A$2:$M$297,3,FALSE)="","",VLOOKUP(A90,'Données de base - Grunddaten'!$A$2:$M$297,3,FALSE))</f>
        <v>Vallon de l'Allondon</v>
      </c>
      <c r="D90" s="857" t="str">
        <f>IF(VLOOKUP(A90,'Données de base - Grunddaten'!$A$2:$M$297,4,FALSE)="","",VLOOKUP(A90,'Données de base - Grunddaten'!$A$2:$M$297,4,FALSE))</f>
        <v>L'Allondon</v>
      </c>
      <c r="E90" s="857" t="str">
        <f>IF(VLOOKUP(A90,'Données de base - Grunddaten'!$A$2:$M$297,5,FALSE)="","",VLOOKUP(A90,'Données de base - Grunddaten'!$A$2:$M$297,5,FALSE))</f>
        <v>GE</v>
      </c>
      <c r="F90" s="857" t="str">
        <f>IF(VLOOKUP(A90,'Données de base - Grunddaten'!$A$2:$M$297,6,FALSE)="","",VLOOKUP(A90,'Données de base - Grunddaten'!$A$2:$M$297,6,FALSE))</f>
        <v>Bassins lémanique et rhénan</v>
      </c>
      <c r="G90" s="857" t="str">
        <f>IF(VLOOKUP(A90,'Données de base - Grunddaten'!$A$2:$M$297,7,FALSE)="","",VLOOKUP(A90,'Données de base - Grunddaten'!$A$2:$M$297,7,FALSE))</f>
        <v>Collinéen</v>
      </c>
      <c r="H90" s="857">
        <f>IF(VLOOKUP(A90,'Données de base - Grunddaten'!$A$2:$M$297,8,FALSE)="","",VLOOKUP(A90,'Données de base - Grunddaten'!$A$2:$M$297,8,FALSE))</f>
        <v>380</v>
      </c>
      <c r="I90" s="857">
        <f>IF(VLOOKUP(A90,'Données de base - Grunddaten'!$A$2:$M$297,9,FALSE)="","",VLOOKUP(A90,'Données de base - Grunddaten'!$A$2:$M$297,9,FALSE))</f>
        <v>1992</v>
      </c>
      <c r="J90" s="857">
        <f>IF(VLOOKUP(A90,'Données de base - Grunddaten'!$A$2:$M$297,10,FALSE)="","",VLOOKUP(A90,'Données de base - Grunddaten'!$A$2:$M$297,10,FALSE))</f>
        <v>61</v>
      </c>
      <c r="K90" s="857" t="str">
        <f>IF(VLOOKUP(A90,'Données de base - Grunddaten'!$A$2:$M$297,11,FALSE)="","",VLOOKUP(A90,'Données de base - Grunddaten'!$A$2:$M$297,11,FALSE))</f>
        <v>Cours d'eau naturels de l'étage collinéen du Sud des Alpes</v>
      </c>
      <c r="L90" s="857" t="str">
        <f>IF(VLOOKUP(A90,'Données de base - Grunddaten'!$A$2:$M$297,12,FALSE)="","",VLOOKUP(A90,'Données de base - Grunddaten'!$A$2:$M$297,12,FALSE))</f>
        <v>en tresses</v>
      </c>
      <c r="M90" s="858" t="str">
        <f>IF(VLOOKUP(A90,'Données de base - Grunddaten'!$A$2:$M$297,13,FALSE)="","",VLOOKUP(A90,'Données de base - Grunddaten'!$A$2:$M$297,13,FALSE))</f>
        <v>en tresses</v>
      </c>
      <c r="N90" s="872" t="str">
        <f>IF(VLOOKUP(A90,'Charriage - Geschiebehaushalt'!$A$4:$R$275,5,FALSE)="","",VLOOKUP(A90,'Charriage - Geschiebehaushalt'!$A$4:$R$275,5,FALSE))</f>
        <v>pertinent</v>
      </c>
      <c r="O90" s="881" t="str">
        <f>IF(VLOOKUP(A90,'Charriage - Geschiebehaushalt'!$A$4:$R$275,6,FALSE)="","",VLOOKUP(A90,'Charriage - Geschiebehaushalt'!$A$4:$R$275,6,FALSE))</f>
        <v>non documenté</v>
      </c>
      <c r="P90" s="874" t="str">
        <f>IF(VLOOKUP(A90,'Charriage - Geschiebehaushalt'!$A$4:$R$275,7,FALSE)="","",VLOOKUP(A90,'Charriage - Geschiebehaushalt'!$A$4:$R$275,7,FALSE))</f>
        <v/>
      </c>
      <c r="Q90" s="874" t="str">
        <f>IF(VLOOKUP(A90,'Charriage - Geschiebehaushalt'!$A$4:$R$275,8,FALSE)="","",VLOOKUP(A90,'Charriage - Geschiebehaushalt'!$A$4:$R$275,8,FALSE))</f>
        <v>non documenté</v>
      </c>
      <c r="R90" s="875">
        <f>IF(VLOOKUP(A90,'Charriage - Geschiebehaushalt'!$A$4:$R$275,9,FALSE)="","",VLOOKUP(A90,'Charriage - Geschiebehaushalt'!$A$4:$R$275,9,FALSE))</f>
        <v>0.264453662019489</v>
      </c>
      <c r="S90" s="895" t="str">
        <f>IF(VLOOKUP(A90,'Charriage - Geschiebehaushalt'!$A$4:$R$275,10,FALSE)="","",VLOOKUP(A90,'Charriage - Geschiebehaushalt'!$A$4:$R$275,10,FALSE))</f>
        <v>la remobilisation des sédiments est perturbée</v>
      </c>
      <c r="T90" s="875">
        <f>IF(VLOOKUP(A90,'Charriage - Geschiebehaushalt'!$A$4:$R$275,11,FALSE)="","",VLOOKUP(A90,'Charriage - Geschiebehaushalt'!$A$4:$R$275,11,FALSE))</f>
        <v>0.15401613914000001</v>
      </c>
      <c r="U90" s="876" t="str">
        <f>IF(VLOOKUP(A90,'Charriage - Geschiebehaushalt'!$A$4:$R$275,12,FALSE)="","",VLOOKUP(A90,'Charriage - Geschiebehaushalt'!$A$4:$R$275,12,FALSE))</f>
        <v>déficit dans les formations pionnières</v>
      </c>
      <c r="V90" s="877" t="str">
        <f>IF(VLOOKUP(A90,'Charriage - Geschiebehaushalt'!$A$4:$R$275,13,FALSE)="","",VLOOKUP(A90,'Charriage - Geschiebehaushalt'!$A$4:$R$275,13,FALSE))</f>
        <v/>
      </c>
      <c r="W90" s="877" t="str">
        <f>IF(VLOOKUP(A90,'Charriage - Geschiebehaushalt'!$A$4:$R$275,14,FALSE)="","",VLOOKUP(A90,'Charriage - Geschiebehaushalt'!$A$4:$R$275,14,FALSE))</f>
        <v/>
      </c>
      <c r="X90" s="877" t="str">
        <f>IF(VLOOKUP(A90,'Charriage - Geschiebehaushalt'!$A$4:$R$275,15,FALSE)="","",VLOOKUP(A90,'Charriage - Geschiebehaushalt'!$A$4:$R$275,15,FALSE))</f>
        <v/>
      </c>
      <c r="Y90" s="879" t="str">
        <f>IF(VLOOKUP(A90,'Charriage - Geschiebehaushalt'!$A$4:$R$275,16,FALSE)="","",VLOOKUP(A90,'Charriage - Geschiebehaushalt'!$A$4:$R$275,16,FALSE))</f>
        <v/>
      </c>
      <c r="Z90" s="763" t="str">
        <f>IF(VLOOKUP(A90,'Charriage - Geschiebehaushalt'!$A$4:$R$275,17,FALSE)="","",VLOOKUP(A90,'Charriage - Geschiebehaushalt'!$A$4:$R$275,17,FALSE))</f>
        <v>La remobilisation des sédiments est perturbée / Mobilisierung von Geschiebe beeinträchtigt</v>
      </c>
      <c r="AA90" s="880" t="str">
        <f>IF(VLOOKUP(A90,'Charriage - Geschiebehaushalt'!$A$4:$R$275,18,FALSE)="","",VLOOKUP(A90,'Charriage - Geschiebehaushalt'!$A$4:$R$275,18,FALSE))</f>
        <v>b</v>
      </c>
      <c r="AB90" s="737" t="str">
        <f>IF(VLOOKUP(A90,'Charriage - Geschiebehaushalt'!$A$4:$AC$275,19,FALSE)="","",VLOOKUP(A90,'Charriage - Geschiebehaushalt'!$A$4:$AC$275,19,FALSE))</f>
        <v>notable (amont) et faible (aval)</v>
      </c>
      <c r="AC90" s="738" t="str">
        <f>IF(VLOOKUP(A90,'Charriage - Geschiebehaushalt'!$A$4:$AC$275,20,FALSE)="","",VLOOKUP(A90,'Charriage - Geschiebehaushalt'!$A$4:$AC$275,20,FALSE))</f>
        <v>nul</v>
      </c>
      <c r="AD90" s="764" t="str">
        <f>IF(VLOOKUP(A90,'Charriage - Geschiebehaushalt'!$A$4:$AC$275,21,FALSE)="","",VLOOKUP(A90,'Charriage - Geschiebehaushalt'!$A$4:$AC$275,21,FALSE))</f>
        <v>21-50%</v>
      </c>
      <c r="AE90" s="772" t="str">
        <f>IF(VLOOKUP(A90,'Charriage - Geschiebehaushalt'!$A$4:$AC$275,22,FALSE)="","",VLOOKUP(A90,'Charriage - Geschiebehaushalt'!$A$4:$AC$275,22,FALSE))</f>
        <v>21-50%</v>
      </c>
      <c r="AF90" s="787" t="str">
        <f>IF(VLOOKUP(A90,'Charriage - Geschiebehaushalt'!$A$4:$AC$275,23,FALSE)="","",VLOOKUP(A90,'Charriage - Geschiebehaushalt'!$A$4:$AC$275,23,FALSE))</f>
        <v>d</v>
      </c>
      <c r="AG90" s="765" t="str">
        <f>IF(VLOOKUP(A90,'Charriage - Geschiebehaushalt'!$A$4:$AC$275,24,FALSE)="","",VLOOKUP(A90,'Charriage - Geschiebehaushalt'!$A$4:$AC$275,24,FALSE))</f>
        <v/>
      </c>
      <c r="AH90" s="764" t="str">
        <f>IF(VLOOKUP(A90,'Charriage - Geschiebehaushalt'!$A$4:$AC$275,25,FALSE)="","",VLOOKUP(A90,'Charriage - Geschiebehaushalt'!$A$4:$AC$275,25,FALSE))</f>
        <v/>
      </c>
      <c r="AI90" s="435" t="str">
        <f>IF(VLOOKUP(A90,'Charriage - Geschiebehaushalt'!$A$4:$AC$275,26,FALSE)="","",VLOOKUP(A90,'Charriage - Geschiebehaushalt'!$A$4:$AC$275,26,FALSE))</f>
        <v/>
      </c>
      <c r="AJ90" s="436" t="str">
        <f>IF(VLOOKUP(A90,'Charriage - Geschiebehaushalt'!$A$4:$AC$275,27,FALSE)="","",VLOOKUP(A90,'Charriage - Geschiebehaushalt'!$A$4:$AC$275,27,FALSE))</f>
        <v/>
      </c>
      <c r="AK90" s="814" t="str">
        <f>IF(VLOOKUP(A90,'Charriage - Geschiebehaushalt'!$A$4:$AC$275,28,FALSE)="","",VLOOKUP(A90,'Charriage - Geschiebehaushalt'!$A$4:$AC$275,28,FALSE))</f>
        <v>21-50%</v>
      </c>
      <c r="AL90" s="1285" t="str">
        <f>IF(VLOOKUP(A90,'Charriage - Geschiebehaushalt'!$A$4:$AD$275,30,FALSE)="","",VLOOKUP(A90,'Charriage - Geschiebehaushalt'!$A$4:$AD$275,30,FALSE))</f>
        <v>a</v>
      </c>
      <c r="AM90" s="1279" t="str">
        <f>IF(VLOOKUP(A90,'Débit - Abfluss'!$A$4:$K$275,5,FALSE)="","",VLOOKUP(A90,'Débit - Abfluss'!$A$4:$M$275,5,FALSE))</f>
        <v>100%</v>
      </c>
      <c r="AN90" s="868" t="str">
        <f>IF(VLOOKUP(A90,'Débit - Abfluss'!$A$4:$K$275,6,FALSE)="","",VLOOKUP(A90,'Débit - Abfluss'!$A$4:$M$275,6,FALSE))</f>
        <v>aucune information supplémentaire</v>
      </c>
      <c r="AO90" s="869" t="str">
        <f>IF(VLOOKUP(A90,'Débit - Abfluss'!$A$4:$K$275,7,FALSE)="","",VLOOKUP(A90,'Débit - Abfluss'!$A$4:$M$275,7,FALSE))</f>
        <v>aucune information supplémentaire</v>
      </c>
      <c r="AP90" s="766" t="str">
        <f>IF(VLOOKUP(A90,'Débit - Abfluss'!$A$4:$K$275,8,FALSE)="","",VLOOKUP(A90,'Débit - Abfluss'!$A$4:$M$275,8,FALSE))</f>
        <v>100%</v>
      </c>
      <c r="AQ90" s="742" t="str">
        <f>IF(VLOOKUP(A90,'Débit - Abfluss'!$A$4:$K$275,9,FALSE)="","",VLOOKUP(A90,'Débit - Abfluss'!$A$4:$M$275,9,FALSE))</f>
        <v>-</v>
      </c>
      <c r="AR90" s="767" t="str">
        <f>IF(VLOOKUP(A90,'Débit - Abfluss'!$A$4:$K$275,10,FALSE)="","",VLOOKUP(A90,'Débit - Abfluss'!$A$4:$M$275,10,FALSE))</f>
        <v>100%</v>
      </c>
      <c r="AS90" s="767" t="str">
        <f>IF(VLOOKUP(A90,'Débit - Abfluss'!$A$4:$K$275,11,FALSE)="","",VLOOKUP(A90,'Débit - Abfluss'!$A$4:$M$275,11,FALSE))</f>
        <v/>
      </c>
      <c r="AT90" s="778" t="str">
        <f>IF(VLOOKUP(A90,'Débit - Abfluss'!$A$4:$Q$275,12,FALSE)="","",VLOOKUP(A90,'Débit - Abfluss'!$A$4:$Q$275,12,FALSE))</f>
        <v/>
      </c>
      <c r="AU90" s="779" t="str">
        <f>IF(VLOOKUP(A90,'Débit - Abfluss'!$A$4:$Q$275,13,FALSE)="","",VLOOKUP(A90,'Débit - Abfluss'!$A$4:$Q$275,13,FALSE))</f>
        <v/>
      </c>
      <c r="AV90" s="746" t="str">
        <f>IF(VLOOKUP(A90,'Débit - Abfluss'!$A$4:$Q$275,14,FALSE)="","",VLOOKUP(A90,'Débit - Abfluss'!$A$4:$Q$275,14,FALSE))</f>
        <v/>
      </c>
      <c r="AW90" s="768" t="str">
        <f>IF(VLOOKUP(A90,'Débit - Abfluss'!$A$4:$Q$275,15,FALSE)="","",VLOOKUP(A90,'Débit - Abfluss'!$A$4:$Q$275,15,FALSE))</f>
        <v/>
      </c>
      <c r="AX90" s="679" t="str">
        <f>IF(VLOOKUP(A90,'Débit - Abfluss'!$A$4:$Q$275,16,FALSE)="","",VLOOKUP(A90,'Débit - Abfluss'!$A$4:$Q$275,16,FALSE))</f>
        <v/>
      </c>
      <c r="AY90" s="769" t="str">
        <f>IF(VLOOKUP(A90,'Débit - Abfluss'!$A$4:$Q$275,17,FALSE)="","",VLOOKUP(A90,'Débit - Abfluss'!$A$4:$Q$275,17,FALSE))</f>
        <v>100%</v>
      </c>
      <c r="AZ90" s="749" t="str">
        <f>IF(VLOOKUP(A90,'Eclusée - Schwall-Sunk'!$A$2:$F$273,5,FALSE)="","",VLOOKUP(A90,'Eclusée - Schwall-Sunk'!$A$2:$F$273,5,FALSE))</f>
        <v/>
      </c>
      <c r="BA90" s="750" t="str">
        <f>IF(VLOOKUP(A90,'Eclusée - Schwall-Sunk'!$A$2:$F$273,6,FALSE)="","",VLOOKUP(A90,'Eclusée - Schwall-Sunk'!$A$2:$F$273,6,FALSE))</f>
        <v>Non affecté / nicht betroffen</v>
      </c>
      <c r="BB90" s="751">
        <f>IF(VLOOKUP(A90,'Revitalisation-Revitalisierung'!$A$4:$Z$275,5,FALSE)="","",VLOOKUP(A90,'Revitalisation-Revitalisierung'!$A$4:$Z$275,5,FALSE))</f>
        <v>8.1999999999999993</v>
      </c>
      <c r="BC90" s="752">
        <f>IF(VLOOKUP(A90,'Revitalisation-Revitalisierung'!$A$4:$Z$275,6,FALSE)="","",VLOOKUP(A90,'Revitalisation-Revitalisierung'!$A$4:$Z$275,6,FALSE))</f>
        <v>28.210240483935781</v>
      </c>
      <c r="BD90" s="752">
        <f>IF(VLOOKUP(A90,'Revitalisation-Revitalisierung'!$A$4:$Z$275,7,FALSE)="","",VLOOKUP(A90,'Revitalisation-Revitalisierung'!$A$4:$Z$275,7,FALSE))</f>
        <v>20</v>
      </c>
      <c r="BE90" s="753" t="str">
        <f>IF(VLOOKUP(A90,'Revitalisation-Revitalisierung'!$A$4:$Z$275,8,FALSE)="","",VLOOKUP(A90,'Revitalisation-Revitalisierung'!$A$4:$Z$275,8,FALSE))</f>
        <v>peu nécessaire, facile</v>
      </c>
      <c r="BF90" s="754" t="str">
        <f>IF(VLOOKUP(A90,'Revitalisation-Revitalisierung'!$A$4:$Z$275,9,FALSE)="","",VLOOKUP(A90,'Revitalisation-Revitalisierung'!$A$4:$Z$275,9,FALSE))</f>
        <v/>
      </c>
      <c r="BG90" s="754" t="str">
        <f>IF(VLOOKUP(A90,'Revitalisation-Revitalisierung'!$A$4:$Z$275,10,FALSE)="","",VLOOKUP(A90,'Revitalisation-Revitalisierung'!$A$4:$Z$275,10,FALSE))</f>
        <v>K2</v>
      </c>
      <c r="BH90" s="755" t="str">
        <f>IF(VLOOKUP(A90,'Revitalisation-Revitalisierung'!$A$4:$Z$275,11,FALSE)="","",VLOOKUP(A90,'Revitalisation-Revitalisierung'!$A$4:$Z$275,11,FALSE))</f>
        <v/>
      </c>
      <c r="BI90" s="756" t="str">
        <f>IF(VLOOKUP(A90,'Revitalisation-Revitalisierung'!$A$4:$Z$275,12,FALSE)="","",VLOOKUP(A90,'Revitalisation-Revitalisierung'!$A$4:$Z$275,12,FALSE))</f>
        <v/>
      </c>
      <c r="BJ90" s="757" t="str">
        <f>IF(VLOOKUP(A90,'Revitalisation-Revitalisierung'!$A$4:$Z$275,13,FALSE)="","",VLOOKUP(A90,'Revitalisation-Revitalisierung'!$A$4:$Z$275,13,FALSE))</f>
        <v>Non nécessaire / nicht nötig</v>
      </c>
      <c r="BK90" s="870" t="str">
        <f>IF(VLOOKUP(A90,'Revitalisation-Revitalisierung'!$A$4:$Z$275,14,FALSE)="","",VLOOKUP(A90,'Revitalisation-Revitalisierung'!$A$4:$Z$275,14,FALSE))</f>
        <v>b</v>
      </c>
      <c r="BL90" s="758" t="str">
        <f>IF(VLOOKUP(A90,'Revitalisation-Revitalisierung'!$A$4:$Z$275,15,FALSE)="","",VLOOKUP(A90,'Revitalisation-Revitalisierung'!$A$4:$Z$275,15,FALSE))</f>
        <v>important</v>
      </c>
      <c r="BM90" s="759" t="str">
        <f>IF(VLOOKUP(A90,'Revitalisation-Revitalisierung'!$A$4:$Z$275,16,FALSE)="","",VLOOKUP(A90,'Revitalisation-Revitalisierung'!$A$4:$Z$275,16,FALSE))</f>
        <v>faible</v>
      </c>
      <c r="BN90" s="759" t="str">
        <f>IF(VLOOKUP(A90,'Revitalisation-Revitalisierung'!$A$4:$Z$275,17,FALSE)="","",VLOOKUP(A90,'Revitalisation-Revitalisierung'!$A$4:$Z$275,17,FALSE))</f>
        <v>élevée et nulle</v>
      </c>
      <c r="BO90" s="760" t="str">
        <f>IF(VLOOKUP(A90,'Revitalisation-Revitalisierung'!$A$4:$Z$275,18,FALSE)="","",VLOOKUP(A90,'Revitalisation-Revitalisierung'!$A$4:$Z$275,18,FALSE))</f>
        <v>Non nécessaire / nicht nötig</v>
      </c>
      <c r="BP90" s="761" t="str">
        <f>IF(VLOOKUP(A90,'Revitalisation-Revitalisierung'!$A$4:$Z$275,19,FALSE)="","",VLOOKUP(A90,'Revitalisation-Revitalisierung'!$A$4:$Z$275,19,FALSE))</f>
        <v>Non nécessaire / nicht nötig</v>
      </c>
      <c r="BQ90" s="759" t="str">
        <f>IF(VLOOKUP(A90,'Revitalisation-Revitalisierung'!$A$4:$Z$275,20,FALSE)="","",VLOOKUP(A90,'Revitalisation-Revitalisierung'!$A$4:$Z$275,20,FALSE))</f>
        <v>d</v>
      </c>
      <c r="BR90" s="759" t="str">
        <f>IF(VLOOKUP(A90,'Revitalisation-Revitalisierung'!$A$4:$Z$275,21,FALSE)="","",VLOOKUP(A90,'Revitalisation-Revitalisierung'!$A$4:$Z$275,21,FALSE))</f>
        <v/>
      </c>
      <c r="BS90" s="762" t="str">
        <f>IF(VLOOKUP(A90,'Revitalisation-Revitalisierung'!$A$4:$Z$275,22,FALSE)="","",VLOOKUP(A90,'Revitalisation-Revitalisierung'!$A$4:$Z$275,22,FALSE))</f>
        <v/>
      </c>
      <c r="BT90" s="700" t="str">
        <f>IF(VLOOKUP(A90,'Revitalisation-Revitalisierung'!$A$4:$Z$275,23,FALSE)="","",VLOOKUP(A90,'Revitalisation-Revitalisierung'!$A$4:$Z$275,23,FALSE))</f>
        <v/>
      </c>
      <c r="BU90" s="699" t="str">
        <f>IF(VLOOKUP(A90,'Revitalisation-Revitalisierung'!$A$4:$Z$275,24,FALSE)="","",VLOOKUP(A90,'Revitalisation-Revitalisierung'!$A$4:$Z$275,24,FALSE))</f>
        <v/>
      </c>
      <c r="BV90" s="761" t="str">
        <f>IF(VLOOKUP(A90,'Revitalisation-Revitalisierung'!$A$4:$Z$275,25,FALSE)="","",VLOOKUP(A90,'Revitalisation-Revitalisierung'!$A$4:$Z$275,25,FALSE))</f>
        <v>Non nécessaire / nicht nötig</v>
      </c>
      <c r="BW90" s="871" t="str">
        <f>IF(VLOOKUP(A90,'Revitalisation-Revitalisierung'!$A$4:$AA$275,27,FALSE)="","",VLOOKUP(A90,'Revitalisation-Revitalisierung'!$A$4:$AA$275,27,FALSE))</f>
        <v>a</v>
      </c>
    </row>
    <row r="91" spans="1:75" ht="69" customHeight="1" x14ac:dyDescent="0.25">
      <c r="A91" s="935">
        <v>114</v>
      </c>
      <c r="B91" s="856">
        <f>IF(VLOOKUP(A91,'Données de base - Grunddaten'!$A$2:$M$297,2,FALSE)="","",VLOOKUP(A91,'Données de base - Grunddaten'!$A$2:$M$297,2,FALSE))</f>
        <v>1</v>
      </c>
      <c r="C91" s="857" t="str">
        <f>IF(VLOOKUP(A91,'Données de base - Grunddaten'!$A$2:$M$297,3,FALSE)="","",VLOOKUP(A91,'Données de base - Grunddaten'!$A$2:$M$297,3,FALSE))</f>
        <v>Moulin de Vert</v>
      </c>
      <c r="D91" s="857" t="str">
        <f>IF(VLOOKUP(A91,'Données de base - Grunddaten'!$A$2:$M$297,4,FALSE)="","",VLOOKUP(A91,'Données de base - Grunddaten'!$A$2:$M$297,4,FALSE))</f>
        <v>Le Rhône</v>
      </c>
      <c r="E91" s="857" t="str">
        <f>IF(VLOOKUP(A91,'Données de base - Grunddaten'!$A$2:$M$297,5,FALSE)="","",VLOOKUP(A91,'Données de base - Grunddaten'!$A$2:$M$297,5,FALSE))</f>
        <v>GE</v>
      </c>
      <c r="F91" s="857" t="str">
        <f>IF(VLOOKUP(A91,'Données de base - Grunddaten'!$A$2:$M$297,6,FALSE)="","",VLOOKUP(A91,'Données de base - Grunddaten'!$A$2:$M$297,6,FALSE))</f>
        <v>Bassins lémanique et rhénan</v>
      </c>
      <c r="G91" s="857" t="str">
        <f>IF(VLOOKUP(A91,'Données de base - Grunddaten'!$A$2:$M$297,7,FALSE)="","",VLOOKUP(A91,'Données de base - Grunddaten'!$A$2:$M$297,7,FALSE))</f>
        <v>Collinéen</v>
      </c>
      <c r="H91" s="857">
        <f>IF(VLOOKUP(A91,'Données de base - Grunddaten'!$A$2:$M$297,8,FALSE)="","",VLOOKUP(A91,'Données de base - Grunddaten'!$A$2:$M$297,8,FALSE))</f>
        <v>350</v>
      </c>
      <c r="I91" s="857">
        <f>IF(VLOOKUP(A91,'Données de base - Grunddaten'!$A$2:$M$297,9,FALSE)="","",VLOOKUP(A91,'Données de base - Grunddaten'!$A$2:$M$297,9,FALSE))</f>
        <v>1992</v>
      </c>
      <c r="J91" s="857">
        <f>IF(VLOOKUP(A91,'Données de base - Grunddaten'!$A$2:$M$297,10,FALSE)="","",VLOOKUP(A91,'Données de base - Grunddaten'!$A$2:$M$297,10,FALSE))</f>
        <v>61</v>
      </c>
      <c r="K91" s="857" t="str">
        <f>IF(VLOOKUP(A91,'Données de base - Grunddaten'!$A$2:$M$297,11,FALSE)="","",VLOOKUP(A91,'Données de base - Grunddaten'!$A$2:$M$297,11,FALSE))</f>
        <v>Cours d'eau naturels de l'étage collinéen du Sud des Alpes</v>
      </c>
      <c r="L91" s="857" t="str">
        <f>IF(VLOOKUP(A91,'Données de base - Grunddaten'!$A$2:$M$297,12,FALSE)="","",VLOOKUP(A91,'Données de base - Grunddaten'!$A$2:$M$297,12,FALSE))</f>
        <v>en méandres migrants</v>
      </c>
      <c r="M91" s="858" t="str">
        <f>IF(VLOOKUP(A91,'Données de base - Grunddaten'!$A$2:$M$297,13,FALSE)="","",VLOOKUP(A91,'Données de base - Grunddaten'!$A$2:$M$297,13,FALSE))</f>
        <v>cours rectiligne (bras mort)</v>
      </c>
      <c r="N91" s="872" t="str">
        <f>IF(VLOOKUP(A91,'Charriage - Geschiebehaushalt'!$A$4:$R$275,5,FALSE)="","",VLOOKUP(A91,'Charriage - Geschiebehaushalt'!$A$4:$R$275,5,FALSE))</f>
        <v>pertinent</v>
      </c>
      <c r="O91" s="873" t="str">
        <f>IF(VLOOKUP(A91,'Charriage - Geschiebehaushalt'!$A$4:$R$275,6,FALSE)="","",VLOOKUP(A91,'Charriage - Geschiebehaushalt'!$A$4:$R$275,6,FALSE))</f>
        <v>81 -100%</v>
      </c>
      <c r="P91" s="874" t="str">
        <f>IF(VLOOKUP(A91,'Charriage - Geschiebehaushalt'!$A$4:$R$275,7,FALSE)="","",VLOOKUP(A91,'Charriage - Geschiebehaushalt'!$A$4:$R$275,7,FALSE))</f>
        <v/>
      </c>
      <c r="Q91" s="874" t="str">
        <f>IF(VLOOKUP(A91,'Charriage - Geschiebehaushalt'!$A$4:$R$275,8,FALSE)="","",VLOOKUP(A91,'Charriage - Geschiebehaushalt'!$A$4:$R$275,8,FALSE))</f>
        <v>non documenté</v>
      </c>
      <c r="R91" s="875">
        <f>IF(VLOOKUP(A91,'Charriage - Geschiebehaushalt'!$A$4:$R$275,9,FALSE)="","",VLOOKUP(A91,'Charriage - Geschiebehaushalt'!$A$4:$R$275,9,FALSE))</f>
        <v>1.9932877587362636E-2</v>
      </c>
      <c r="S91" s="876" t="str">
        <f>IF(VLOOKUP(A91,'Charriage - Geschiebehaushalt'!$A$4:$R$275,10,FALSE)="","",VLOOKUP(A91,'Charriage - Geschiebehaushalt'!$A$4:$R$275,10,FALSE))</f>
        <v>pas ou faiblement entravé</v>
      </c>
      <c r="T91" s="875">
        <f>IF(VLOOKUP(A91,'Charriage - Geschiebehaushalt'!$A$4:$R$275,11,FALSE)="","",VLOOKUP(A91,'Charriage - Geschiebehaushalt'!$A$4:$R$275,11,FALSE))</f>
        <v>0.16488842045999999</v>
      </c>
      <c r="U91" s="876" t="str">
        <f>IF(VLOOKUP(A91,'Charriage - Geschiebehaushalt'!$A$4:$R$275,12,FALSE)="","",VLOOKUP(A91,'Charriage - Geschiebehaushalt'!$A$4:$R$275,12,FALSE))</f>
        <v>déficit dans les formations pionnières</v>
      </c>
      <c r="V91" s="877" t="str">
        <f>IF(VLOOKUP(A91,'Charriage - Geschiebehaushalt'!$A$4:$R$275,13,FALSE)="","",VLOOKUP(A91,'Charriage - Geschiebehaushalt'!$A$4:$R$275,13,FALSE))</f>
        <v/>
      </c>
      <c r="W91" s="877" t="str">
        <f>IF(VLOOKUP(A91,'Charriage - Geschiebehaushalt'!$A$4:$R$275,14,FALSE)="","",VLOOKUP(A91,'Charriage - Geschiebehaushalt'!$A$4:$R$275,14,FALSE))</f>
        <v/>
      </c>
      <c r="X91" s="877" t="str">
        <f>IF(VLOOKUP(A91,'Charriage - Geschiebehaushalt'!$A$4:$R$275,15,FALSE)="","",VLOOKUP(A91,'Charriage - Geschiebehaushalt'!$A$4:$R$275,15,FALSE))</f>
        <v/>
      </c>
      <c r="Y91" s="879" t="str">
        <f>IF(VLOOKUP(A91,'Charriage - Geschiebehaushalt'!$A$4:$R$275,16,FALSE)="","",VLOOKUP(A91,'Charriage - Geschiebehaushalt'!$A$4:$R$275,16,FALSE))</f>
        <v/>
      </c>
      <c r="Z91" s="763" t="str">
        <f>IF(VLOOKUP(A91,'Charriage - Geschiebehaushalt'!$A$4:$R$275,17,FALSE)="","",VLOOKUP(A91,'Charriage - Geschiebehaushalt'!$A$4:$R$275,17,FALSE))</f>
        <v>81 -100%</v>
      </c>
      <c r="AA91" s="880" t="str">
        <f>IF(VLOOKUP(A91,'Charriage - Geschiebehaushalt'!$A$4:$R$275,18,FALSE)="","",VLOOKUP(A91,'Charriage - Geschiebehaushalt'!$A$4:$R$275,18,FALSE))</f>
        <v>a</v>
      </c>
      <c r="AB91" s="737" t="str">
        <f>IF(VLOOKUP(A91,'Charriage - Geschiebehaushalt'!$A$4:$AC$275,19,FALSE)="","",VLOOKUP(A91,'Charriage - Geschiebehaushalt'!$A$4:$AC$275,19,FALSE))</f>
        <v>très prononcée</v>
      </c>
      <c r="AC91" s="738" t="str">
        <f>IF(VLOOKUP(A91,'Charriage - Geschiebehaushalt'!$A$4:$AC$275,20,FALSE)="","",VLOOKUP(A91,'Charriage - Geschiebehaushalt'!$A$4:$AC$275,20,FALSE))</f>
        <v>élevé (2020)</v>
      </c>
      <c r="AD91" s="764" t="str">
        <f>IF(VLOOKUP(A91,'Charriage - Geschiebehaushalt'!$A$4:$AC$275,21,FALSE)="","",VLOOKUP(A91,'Charriage - Geschiebehaushalt'!$A$4:$AC$275,21,FALSE))</f>
        <v>81-100%</v>
      </c>
      <c r="AE91" s="772" t="str">
        <f>IF(VLOOKUP(A91,'Charriage - Geschiebehaushalt'!$A$4:$AC$275,22,FALSE)="","",VLOOKUP(A91,'Charriage - Geschiebehaushalt'!$A$4:$AC$275,22,FALSE))</f>
        <v>81-100%</v>
      </c>
      <c r="AF91" s="787" t="str">
        <f>IF(VLOOKUP(A91,'Charriage - Geschiebehaushalt'!$A$4:$AC$275,23,FALSE)="","",VLOOKUP(A91,'Charriage - Geschiebehaushalt'!$A$4:$AC$275,23,FALSE))</f>
        <v>d</v>
      </c>
      <c r="AG91" s="765" t="str">
        <f>IF(VLOOKUP(A91,'Charriage - Geschiebehaushalt'!$A$4:$AC$275,24,FALSE)="","",VLOOKUP(A91,'Charriage - Geschiebehaushalt'!$A$4:$AC$275,24,FALSE))</f>
        <v/>
      </c>
      <c r="AH91" s="764" t="str">
        <f>IF(VLOOKUP(A91,'Charriage - Geschiebehaushalt'!$A$4:$AC$275,25,FALSE)="","",VLOOKUP(A91,'Charriage - Geschiebehaushalt'!$A$4:$AC$275,25,FALSE))</f>
        <v/>
      </c>
      <c r="AI91" s="435" t="str">
        <f>IF(VLOOKUP(A91,'Charriage - Geschiebehaushalt'!$A$4:$AC$275,26,FALSE)="","",VLOOKUP(A91,'Charriage - Geschiebehaushalt'!$A$4:$AC$275,26,FALSE))</f>
        <v/>
      </c>
      <c r="AJ91" s="436" t="str">
        <f>IF(VLOOKUP(A91,'Charriage - Geschiebehaushalt'!$A$4:$AC$275,27,FALSE)="","",VLOOKUP(A91,'Charriage - Geschiebehaushalt'!$A$4:$AC$275,27,FALSE))</f>
        <v/>
      </c>
      <c r="AK91" s="814" t="str">
        <f>IF(VLOOKUP(A91,'Charriage - Geschiebehaushalt'!$A$4:$AC$275,28,FALSE)="","",VLOOKUP(A91,'Charriage - Geschiebehaushalt'!$A$4:$AC$275,28,FALSE))</f>
        <v>81-100%</v>
      </c>
      <c r="AL91" s="1285" t="str">
        <f>IF(VLOOKUP(A91,'Charriage - Geschiebehaushalt'!$A$4:$AD$275,30,FALSE)="","",VLOOKUP(A91,'Charriage - Geschiebehaushalt'!$A$4:$AD$275,30,FALSE))</f>
        <v>a</v>
      </c>
      <c r="AM91" s="1279" t="str">
        <f>IF(VLOOKUP(A91,'Débit - Abfluss'!$A$4:$K$275,5,FALSE)="","",VLOOKUP(A91,'Débit - Abfluss'!$A$4:$M$275,5,FALSE))</f>
        <v>81-100%</v>
      </c>
      <c r="AN91" s="868" t="str">
        <f>IF(VLOOKUP(A91,'Débit - Abfluss'!$A$4:$K$275,6,FALSE)="","",VLOOKUP(A91,'Débit - Abfluss'!$A$4:$M$275,6,FALSE))</f>
        <v/>
      </c>
      <c r="AO91" s="869" t="str">
        <f>IF(VLOOKUP(A91,'Débit - Abfluss'!$A$4:$K$275,7,FALSE)="","",VLOOKUP(A91,'Débit - Abfluss'!$A$4:$M$275,7,FALSE))</f>
        <v/>
      </c>
      <c r="AP91" s="766" t="str">
        <f>IF(VLOOKUP(A91,'Débit - Abfluss'!$A$4:$K$275,8,FALSE)="","",VLOOKUP(A91,'Débit - Abfluss'!$A$4:$M$275,8,FALSE))</f>
        <v>81-100%</v>
      </c>
      <c r="AQ91" s="742" t="str">
        <f>IF(VLOOKUP(A91,'Débit - Abfluss'!$A$4:$K$275,9,FALSE)="","",VLOOKUP(A91,'Débit - Abfluss'!$A$4:$M$275,9,FALSE))</f>
        <v>-</v>
      </c>
      <c r="AR91" s="767" t="str">
        <f>IF(VLOOKUP(A91,'Débit - Abfluss'!$A$4:$K$275,10,FALSE)="","",VLOOKUP(A91,'Débit - Abfluss'!$A$4:$M$275,10,FALSE))</f>
        <v>81-100%</v>
      </c>
      <c r="AS91" s="767" t="str">
        <f>IF(VLOOKUP(A91,'Débit - Abfluss'!$A$4:$K$275,11,FALSE)="","",VLOOKUP(A91,'Débit - Abfluss'!$A$4:$M$275,11,FALSE))</f>
        <v/>
      </c>
      <c r="AT91" s="778" t="str">
        <f>IF(VLOOKUP(A91,'Débit - Abfluss'!$A$4:$Q$275,12,FALSE)="","",VLOOKUP(A91,'Débit - Abfluss'!$A$4:$Q$275,12,FALSE))</f>
        <v/>
      </c>
      <c r="AU91" s="779" t="str">
        <f>IF(VLOOKUP(A91,'Débit - Abfluss'!$A$4:$Q$275,13,FALSE)="","",VLOOKUP(A91,'Débit - Abfluss'!$A$4:$Q$275,13,FALSE))</f>
        <v/>
      </c>
      <c r="AV91" s="746" t="str">
        <f>IF(VLOOKUP(A91,'Débit - Abfluss'!$A$4:$Q$275,14,FALSE)="","",VLOOKUP(A91,'Débit - Abfluss'!$A$4:$Q$275,14,FALSE))</f>
        <v/>
      </c>
      <c r="AW91" s="768" t="str">
        <f>IF(VLOOKUP(A91,'Débit - Abfluss'!$A$4:$Q$275,15,FALSE)="","",VLOOKUP(A91,'Débit - Abfluss'!$A$4:$Q$275,15,FALSE))</f>
        <v/>
      </c>
      <c r="AX91" s="679" t="str">
        <f>IF(VLOOKUP(A91,'Débit - Abfluss'!$A$4:$Q$275,16,FALSE)="","",VLOOKUP(A91,'Débit - Abfluss'!$A$4:$Q$275,16,FALSE))</f>
        <v/>
      </c>
      <c r="AY91" s="769" t="str">
        <f>IF(VLOOKUP(A91,'Débit - Abfluss'!$A$4:$Q$275,17,FALSE)="","",VLOOKUP(A91,'Débit - Abfluss'!$A$4:$Q$275,17,FALSE))</f>
        <v>81-100%</v>
      </c>
      <c r="AZ91" s="749" t="str">
        <f>IF(VLOOKUP(A91,'Eclusée - Schwall-Sunk'!$A$2:$F$273,5,FALSE)="","",VLOOKUP(A91,'Eclusée - Schwall-Sunk'!$A$2:$F$273,5,FALSE))</f>
        <v>force hydraulique</v>
      </c>
      <c r="BA91" s="750" t="str">
        <f>IF(VLOOKUP(A91,'Eclusée - Schwall-Sunk'!$A$2:$F$273,6,FALSE)="","",VLOOKUP(A91,'Eclusée - Schwall-Sunk'!$A$2:$F$273,6,FALSE))</f>
        <v>Potentiellement affecté / möglicherweise betroffen</v>
      </c>
      <c r="BB91" s="751">
        <f>IF(VLOOKUP(A91,'Revitalisation-Revitalisierung'!$A$4:$Z$275,5,FALSE)="","",VLOOKUP(A91,'Revitalisation-Revitalisierung'!$A$4:$Z$275,5,FALSE))</f>
        <v>3.7909090909090901</v>
      </c>
      <c r="BC91" s="752">
        <f>IF(VLOOKUP(A91,'Revitalisation-Revitalisierung'!$A$4:$Z$275,6,FALSE)="","",VLOOKUP(A91,'Revitalisation-Revitalisierung'!$A$4:$Z$275,6,FALSE))</f>
        <v>9.6774940055343617</v>
      </c>
      <c r="BD91" s="752">
        <f>IF(VLOOKUP(A91,'Revitalisation-Revitalisierung'!$A$4:$Z$275,7,FALSE)="","",VLOOKUP(A91,'Revitalisation-Revitalisierung'!$A$4:$Z$275,7,FALSE))</f>
        <v>5.9090909090909092</v>
      </c>
      <c r="BE91" s="753" t="str">
        <f>IF(VLOOKUP(A91,'Revitalisation-Revitalisierung'!$A$4:$Z$275,8,FALSE)="","",VLOOKUP(A91,'Revitalisation-Revitalisierung'!$A$4:$Z$275,8,FALSE))</f>
        <v>peu nécessaire, facile</v>
      </c>
      <c r="BF91" s="754" t="str">
        <f>IF(VLOOKUP(A91,'Revitalisation-Revitalisierung'!$A$4:$Z$275,9,FALSE)="","",VLOOKUP(A91,'Revitalisation-Revitalisierung'!$A$4:$Z$275,9,FALSE))</f>
        <v/>
      </c>
      <c r="BG91" s="754" t="str">
        <f>IF(VLOOKUP(A91,'Revitalisation-Revitalisierung'!$A$4:$Z$275,10,FALSE)="","",VLOOKUP(A91,'Revitalisation-Revitalisierung'!$A$4:$Z$275,10,FALSE))</f>
        <v>K3</v>
      </c>
      <c r="BH91" s="755" t="str">
        <f>IF(VLOOKUP(A91,'Revitalisation-Revitalisierung'!$A$4:$Z$275,11,FALSE)="","",VLOOKUP(A91,'Revitalisation-Revitalisierung'!$A$4:$Z$275,11,FALSE))</f>
        <v/>
      </c>
      <c r="BI91" s="756" t="str">
        <f>IF(VLOOKUP(A91,'Revitalisation-Revitalisierung'!$A$4:$Z$275,12,FALSE)="","",VLOOKUP(A91,'Revitalisation-Revitalisierung'!$A$4:$Z$275,12,FALSE))</f>
        <v/>
      </c>
      <c r="BJ91" s="757" t="str">
        <f>IF(VLOOKUP(A91,'Revitalisation-Revitalisierung'!$A$4:$Z$275,13,FALSE)="","",VLOOKUP(A91,'Revitalisation-Revitalisierung'!$A$4:$Z$275,13,FALSE))</f>
        <v>Partiellement nécessaire, difficile / teilweise nötig, schwierig</v>
      </c>
      <c r="BK91" s="870" t="str">
        <f>IF(VLOOKUP(A91,'Revitalisation-Revitalisierung'!$A$4:$Z$275,14,FALSE)="","",VLOOKUP(A91,'Revitalisation-Revitalisierung'!$A$4:$Z$275,14,FALSE))</f>
        <v>b</v>
      </c>
      <c r="BL91" s="758" t="str">
        <f>IF(VLOOKUP(A91,'Revitalisation-Revitalisierung'!$A$4:$Z$275,15,FALSE)="","",VLOOKUP(A91,'Revitalisation-Revitalisierung'!$A$4:$Z$275,15,FALSE))</f>
        <v>important</v>
      </c>
      <c r="BM91" s="759" t="str">
        <f>IF(VLOOKUP(A91,'Revitalisation-Revitalisierung'!$A$4:$Z$275,16,FALSE)="","",VLOOKUP(A91,'Revitalisation-Revitalisierung'!$A$4:$Z$275,16,FALSE))</f>
        <v>faible</v>
      </c>
      <c r="BN91" s="759" t="str">
        <f>IF(VLOOKUP(A91,'Revitalisation-Revitalisierung'!$A$4:$Z$275,17,FALSE)="","",VLOOKUP(A91,'Revitalisation-Revitalisierung'!$A$4:$Z$275,17,FALSE))</f>
        <v>faible et nulle</v>
      </c>
      <c r="BO91" s="760" t="str">
        <f>IF(VLOOKUP(A91,'Revitalisation-Revitalisierung'!$A$4:$Z$275,18,FALSE)="","",VLOOKUP(A91,'Revitalisation-Revitalisierung'!$A$4:$Z$275,18,FALSE))</f>
        <v>Non nécessaire / nicht nötig</v>
      </c>
      <c r="BP91" s="761" t="str">
        <f>IF(VLOOKUP(A91,'Revitalisation-Revitalisierung'!$A$4:$Z$275,19,FALSE)="","",VLOOKUP(A91,'Revitalisation-Revitalisierung'!$A$4:$Z$275,19,FALSE))</f>
        <v>Non nécessaire / nicht nötig</v>
      </c>
      <c r="BQ91" s="759" t="str">
        <f>IF(VLOOKUP(A91,'Revitalisation-Revitalisierung'!$A$4:$Z$275,20,FALSE)="","",VLOOKUP(A91,'Revitalisation-Revitalisierung'!$A$4:$Z$275,20,FALSE))</f>
        <v>c</v>
      </c>
      <c r="BR91" s="759" t="str">
        <f>IF(VLOOKUP(A91,'Revitalisation-Revitalisierung'!$A$4:$Z$275,21,FALSE)="","",VLOOKUP(A91,'Revitalisation-Revitalisierung'!$A$4:$Z$275,21,FALSE))</f>
        <v/>
      </c>
      <c r="BS91" s="762" t="str">
        <f>IF(VLOOKUP(A91,'Revitalisation-Revitalisierung'!$A$4:$Z$275,22,FALSE)="","",VLOOKUP(A91,'Revitalisation-Revitalisierung'!$A$4:$Z$275,22,FALSE))</f>
        <v/>
      </c>
      <c r="BT91" s="700" t="str">
        <f>IF(VLOOKUP(A91,'Revitalisation-Revitalisierung'!$A$4:$Z$275,23,FALSE)="","",VLOOKUP(A91,'Revitalisation-Revitalisierung'!$A$4:$Z$275,23,FALSE))</f>
        <v/>
      </c>
      <c r="BU91" s="699" t="str">
        <f>IF(VLOOKUP(A91,'Revitalisation-Revitalisierung'!$A$4:$Z$275,24,FALSE)="","",VLOOKUP(A91,'Revitalisation-Revitalisierung'!$A$4:$Z$275,24,FALSE))</f>
        <v/>
      </c>
      <c r="BV91" s="761" t="str">
        <f>IF(VLOOKUP(A91,'Revitalisation-Revitalisierung'!$A$4:$Z$275,25,FALSE)="","",VLOOKUP(A91,'Revitalisation-Revitalisierung'!$A$4:$Z$275,25,FALSE))</f>
        <v>Non nécessaire / nicht nötig</v>
      </c>
      <c r="BW91" s="871" t="str">
        <f>IF(VLOOKUP(A91,'Revitalisation-Revitalisierung'!$A$4:$AA$275,27,FALSE)="","",VLOOKUP(A91,'Revitalisation-Revitalisierung'!$A$4:$AA$275,27,FALSE))</f>
        <v>a</v>
      </c>
    </row>
    <row r="92" spans="1:75" ht="145.9" customHeight="1" x14ac:dyDescent="0.25">
      <c r="A92" s="935">
        <v>115</v>
      </c>
      <c r="B92" s="856">
        <f>IF(VLOOKUP(A92,'Données de base - Grunddaten'!$A$2:$M$297,2,FALSE)="","",VLOOKUP(A92,'Données de base - Grunddaten'!$A$2:$M$297,2,FALSE))</f>
        <v>1</v>
      </c>
      <c r="C92" s="857" t="str">
        <f>IF(VLOOKUP(A92,'Données de base - Grunddaten'!$A$2:$M$297,3,FALSE)="","",VLOOKUP(A92,'Données de base - Grunddaten'!$A$2:$M$297,3,FALSE))</f>
        <v>Les Gravines</v>
      </c>
      <c r="D92" s="857" t="str">
        <f>IF(VLOOKUP(A92,'Données de base - Grunddaten'!$A$2:$M$297,4,FALSE)="","",VLOOKUP(A92,'Données de base - Grunddaten'!$A$2:$M$297,4,FALSE))</f>
        <v>La Versoix</v>
      </c>
      <c r="E92" s="857" t="str">
        <f>IF(VLOOKUP(A92,'Données de base - Grunddaten'!$A$2:$M$297,5,FALSE)="","",VLOOKUP(A92,'Données de base - Grunddaten'!$A$2:$M$297,5,FALSE))</f>
        <v>GE</v>
      </c>
      <c r="F92" s="857" t="str">
        <f>IF(VLOOKUP(A92,'Données de base - Grunddaten'!$A$2:$M$297,6,FALSE)="","",VLOOKUP(A92,'Données de base - Grunddaten'!$A$2:$M$297,6,FALSE))</f>
        <v>Bassins lémanique et rhénan</v>
      </c>
      <c r="G92" s="857" t="str">
        <f>IF(VLOOKUP(A92,'Données de base - Grunddaten'!$A$2:$M$297,7,FALSE)="","",VLOOKUP(A92,'Données de base - Grunddaten'!$A$2:$M$297,7,FALSE))</f>
        <v>Collinéen</v>
      </c>
      <c r="H92" s="857">
        <f>IF(VLOOKUP(A92,'Données de base - Grunddaten'!$A$2:$M$297,8,FALSE)="","",VLOOKUP(A92,'Données de base - Grunddaten'!$A$2:$M$297,8,FALSE))</f>
        <v>390</v>
      </c>
      <c r="I92" s="857">
        <f>IF(VLOOKUP(A92,'Données de base - Grunddaten'!$A$2:$M$297,9,FALSE)="","",VLOOKUP(A92,'Données de base - Grunddaten'!$A$2:$M$297,9,FALSE))</f>
        <v>1992</v>
      </c>
      <c r="J92" s="857">
        <f>IF(VLOOKUP(A92,'Données de base - Grunddaten'!$A$2:$M$297,10,FALSE)="","",VLOOKUP(A92,'Données de base - Grunddaten'!$A$2:$M$297,10,FALSE))</f>
        <v>51</v>
      </c>
      <c r="K92" s="857" t="str">
        <f>IF(VLOOKUP(A92,'Données de base - Grunddaten'!$A$2:$M$297,11,FALSE)="","",VLOOKUP(A92,'Données de base - Grunddaten'!$A$2:$M$297,11,FALSE))</f>
        <v>Cours d'eau naturels de l'étage collinéen du Moyen-Pays</v>
      </c>
      <c r="L92" s="857" t="str">
        <f>IF(VLOOKUP(A92,'Données de base - Grunddaten'!$A$2:$M$297,12,FALSE)="","",VLOOKUP(A92,'Données de base - Grunddaten'!$A$2:$M$297,12,FALSE))</f>
        <v>en méandres migrants</v>
      </c>
      <c r="M92" s="858" t="str">
        <f>IF(VLOOKUP(A92,'Données de base - Grunddaten'!$A$2:$M$297,13,FALSE)="","",VLOOKUP(A92,'Données de base - Grunddaten'!$A$2:$M$297,13,FALSE))</f>
        <v>en méandres migrants</v>
      </c>
      <c r="N92" s="872" t="str">
        <f>IF(VLOOKUP(A92,'Charriage - Geschiebehaushalt'!$A$4:$R$275,5,FALSE)="","",VLOOKUP(A92,'Charriage - Geschiebehaushalt'!$A$4:$R$275,5,FALSE))</f>
        <v>pertinent</v>
      </c>
      <c r="O92" s="881" t="str">
        <f>IF(VLOOKUP(A92,'Charriage - Geschiebehaushalt'!$A$4:$R$275,6,FALSE)="","",VLOOKUP(A92,'Charriage - Geschiebehaushalt'!$A$4:$R$275,6,FALSE))</f>
        <v>non documenté</v>
      </c>
      <c r="P92" s="874" t="str">
        <f>IF(VLOOKUP(A92,'Charriage - Geschiebehaushalt'!$A$4:$R$275,7,FALSE)="","",VLOOKUP(A92,'Charriage - Geschiebehaushalt'!$A$4:$R$275,7,FALSE))</f>
        <v/>
      </c>
      <c r="Q92" s="874" t="str">
        <f>IF(VLOOKUP(A92,'Charriage - Geschiebehaushalt'!$A$4:$R$275,8,FALSE)="","",VLOOKUP(A92,'Charriage - Geschiebehaushalt'!$A$4:$R$275,8,FALSE))</f>
        <v>non documenté</v>
      </c>
      <c r="R92" s="875">
        <f>IF(VLOOKUP(A92,'Charriage - Geschiebehaushalt'!$A$4:$R$275,9,FALSE)="","",VLOOKUP(A92,'Charriage - Geschiebehaushalt'!$A$4:$R$275,9,FALSE))</f>
        <v>0.19501510513857595</v>
      </c>
      <c r="S92" s="876" t="str">
        <f>IF(VLOOKUP(A92,'Charriage - Geschiebehaushalt'!$A$4:$R$275,10,FALSE)="","",VLOOKUP(A92,'Charriage - Geschiebehaushalt'!$A$4:$R$275,10,FALSE))</f>
        <v>pas ou faiblement entravé</v>
      </c>
      <c r="T92" s="875">
        <f>IF(VLOOKUP(A92,'Charriage - Geschiebehaushalt'!$A$4:$R$275,11,FALSE)="","",VLOOKUP(A92,'Charriage - Geschiebehaushalt'!$A$4:$R$275,11,FALSE))</f>
        <v>1.0964267723E-2</v>
      </c>
      <c r="U92" s="876" t="str">
        <f>IF(VLOOKUP(A92,'Charriage - Geschiebehaushalt'!$A$4:$R$275,12,FALSE)="","",VLOOKUP(A92,'Charriage - Geschiebehaushalt'!$A$4:$R$275,12,FALSE))</f>
        <v>déficit dans les formations pionnières</v>
      </c>
      <c r="V92" s="877" t="str">
        <f>IF(VLOOKUP(A92,'Charriage - Geschiebehaushalt'!$A$4:$R$275,13,FALSE)="","",VLOOKUP(A92,'Charriage - Geschiebehaushalt'!$A$4:$R$275,13,FALSE))</f>
        <v>pas de signe majeur de perturbation du charriage</v>
      </c>
      <c r="W92" s="877" t="str">
        <f>IF(VLOOKUP(A92,'Charriage - Geschiebehaushalt'!$A$4:$R$275,14,FALSE)="","",VLOOKUP(A92,'Charriage - Geschiebehaushalt'!$A$4:$R$275,14,FALSE))</f>
        <v>A vérifier</v>
      </c>
      <c r="X92" s="877" t="str">
        <f>IF(VLOOKUP(A92,'Charriage - Geschiebehaushalt'!$A$4:$R$275,15,FALSE)="","",VLOOKUP(A92,'Charriage - Geschiebehaushalt'!$A$4:$R$275,15,FALSE))</f>
        <v>pas d'ouvrage dans le bassin versant</v>
      </c>
      <c r="Y92" s="902" t="str">
        <f>IF(VLOOKUP(A92,'Charriage - Geschiebehaushalt'!$A$4:$R$275,16,FALSE)="","",VLOOKUP(A92,'Charriage - Geschiebehaushalt'!$A$4:$R$275,16,FALSE))</f>
        <v>charriage présumé naturel</v>
      </c>
      <c r="Z92" s="763" t="str">
        <f>IF(VLOOKUP(A92,'Charriage - Geschiebehaushalt'!$A$4:$R$275,17,FALSE)="","",VLOOKUP(A92,'Charriage - Geschiebehaushalt'!$A$4:$R$275,17,FALSE))</f>
        <v>Charriage présumé naturel / Geschiebehaushalt vermutlich natürlich</v>
      </c>
      <c r="AA92" s="880" t="str">
        <f>IF(VLOOKUP(A92,'Charriage - Geschiebehaushalt'!$A$4:$R$275,18,FALSE)="","",VLOOKUP(A92,'Charriage - Geschiebehaushalt'!$A$4:$R$275,18,FALSE))</f>
        <v>b</v>
      </c>
      <c r="AB92" s="737" t="str">
        <f>IF(VLOOKUP(A92,'Charriage - Geschiebehaushalt'!$A$4:$AC$275,19,FALSE)="","",VLOOKUP(A92,'Charriage - Geschiebehaushalt'!$A$4:$AC$275,19,FALSE))</f>
        <v>faible</v>
      </c>
      <c r="AC92" s="738" t="str">
        <f>IF(VLOOKUP(A92,'Charriage - Geschiebehaushalt'!$A$4:$AC$275,20,FALSE)="","",VLOOKUP(A92,'Charriage - Geschiebehaushalt'!$A$4:$AC$275,20,FALSE))</f>
        <v>nul?</v>
      </c>
      <c r="AD92" s="764" t="str">
        <f>IF(VLOOKUP(A92,'Charriage - Geschiebehaushalt'!$A$4:$AC$275,21,FALSE)="","",VLOOKUP(A92,'Charriage - Geschiebehaushalt'!$A$4:$AC$275,21,FALSE))</f>
        <v>21-50%</v>
      </c>
      <c r="AE92" s="772" t="str">
        <f>IF(VLOOKUP(A92,'Charriage - Geschiebehaushalt'!$A$4:$AC$275,22,FALSE)="","",VLOOKUP(A92,'Charriage - Geschiebehaushalt'!$A$4:$AC$275,22,FALSE))</f>
        <v>21-50%</v>
      </c>
      <c r="AF92" s="787" t="str">
        <f>IF(VLOOKUP(A92,'Charriage - Geschiebehaushalt'!$A$4:$AC$275,23,FALSE)="","",VLOOKUP(A92,'Charriage - Geschiebehaushalt'!$A$4:$AC$275,23,FALSE))</f>
        <v>c</v>
      </c>
      <c r="AG92" s="765" t="str">
        <f>IF(VLOOKUP(A92,'Charriage - Geschiebehaushalt'!$A$4:$AC$275,24,FALSE)="","",VLOOKUP(A92,'Charriage - Geschiebehaushalt'!$A$4:$AC$275,24,FALSE))</f>
        <v/>
      </c>
      <c r="AH92" s="764" t="str">
        <f>IF(VLOOKUP(A92,'Charriage - Geschiebehaushalt'!$A$4:$AC$275,25,FALSE)="","",VLOOKUP(A92,'Charriage - Geschiebehaushalt'!$A$4:$AC$275,25,FALSE))</f>
        <v/>
      </c>
      <c r="AI92" s="435" t="str">
        <f>IF(VLOOKUP(A92,'Charriage - Geschiebehaushalt'!$A$4:$AC$275,26,FALSE)="","",VLOOKUP(A92,'Charriage - Geschiebehaushalt'!$A$4:$AC$275,26,FALSE))</f>
        <v/>
      </c>
      <c r="AJ92" s="436" t="str">
        <f>IF(VLOOKUP(A92,'Charriage - Geschiebehaushalt'!$A$4:$AC$275,27,FALSE)="","",VLOOKUP(A92,'Charriage - Geschiebehaushalt'!$A$4:$AC$275,27,FALSE))</f>
        <v/>
      </c>
      <c r="AK92" s="814" t="str">
        <f>IF(VLOOKUP(A92,'Charriage - Geschiebehaushalt'!$A$4:$AC$275,28,FALSE)="","",VLOOKUP(A92,'Charriage - Geschiebehaushalt'!$A$4:$AC$275,28,FALSE))</f>
        <v>21-50%</v>
      </c>
      <c r="AL92" s="1285" t="str">
        <f>IF(VLOOKUP(A92,'Charriage - Geschiebehaushalt'!$A$4:$AD$275,30,FALSE)="","",VLOOKUP(A92,'Charriage - Geschiebehaushalt'!$A$4:$AD$275,30,FALSE))</f>
        <v>a</v>
      </c>
      <c r="AM92" s="1279" t="str">
        <f>IF(VLOOKUP(A92,'Débit - Abfluss'!$A$4:$K$275,5,FALSE)="","",VLOOKUP(A92,'Débit - Abfluss'!$A$4:$M$275,5,FALSE))</f>
        <v>100%</v>
      </c>
      <c r="AN92" s="885" t="str">
        <f>IF(VLOOKUP(A92,'Débit - Abfluss'!$A$4:$K$275,6,FALSE)="","",VLOOKUP(A92,'Débit - Abfluss'!$A$4:$M$275,6,FALSE))</f>
        <v>&gt;90% (mais ne concerne que le tiers amont de l'objet, les deux-tiers aval sont à 100%)</v>
      </c>
      <c r="AO92" s="869" t="str">
        <f>IF(VLOOKUP(A92,'Débit - Abfluss'!$A$4:$K$275,7,FALSE)="","",VLOOKUP(A92,'Débit - Abfluss'!$A$4:$M$275,7,FALSE))</f>
        <v xml:space="preserve">(GE-002) Prélèvement : &gt; 50% </v>
      </c>
      <c r="AP92" s="766" t="str">
        <f>IF(VLOOKUP(A92,'Débit - Abfluss'!$A$4:$K$275,8,FALSE)="","",VLOOKUP(A92,'Débit - Abfluss'!$A$4:$M$275,8,FALSE))</f>
        <v>0-20%</v>
      </c>
      <c r="AQ92" s="678" t="str">
        <f>IF(VLOOKUP(A92,'Débit - Abfluss'!$A$4:$K$275,9,FALSE)="","",VLOOKUP(A92,'Débit - Abfluss'!$A$4:$M$275,9,FALSE))</f>
        <v>&gt;90%</v>
      </c>
      <c r="AR92" s="773" t="str">
        <f>IF(VLOOKUP(A92,'Débit - Abfluss'!$A$4:$K$275,10,FALSE)="","",VLOOKUP(A92,'Débit - Abfluss'!$A$4:$M$275,10,FALSE))</f>
        <v>0-20%</v>
      </c>
      <c r="AS92" s="773" t="str">
        <f>IF(VLOOKUP(A92,'Débit - Abfluss'!$A$4:$K$275,11,FALSE)="","",VLOOKUP(A92,'Débit - Abfluss'!$A$4:$M$275,11,FALSE))</f>
        <v>X</v>
      </c>
      <c r="AT92" s="778" t="str">
        <f>IF(VLOOKUP(A92,'Débit - Abfluss'!$A$4:$Q$275,12,FALSE)="","",VLOOKUP(A92,'Débit - Abfluss'!$A$4:$Q$275,12,FALSE))</f>
        <v/>
      </c>
      <c r="AU92" s="779" t="str">
        <f>IF(VLOOKUP(A92,'Débit - Abfluss'!$A$4:$Q$275,13,FALSE)="","",VLOOKUP(A92,'Débit - Abfluss'!$A$4:$Q$275,13,FALSE))</f>
        <v/>
      </c>
      <c r="AV92" s="746" t="str">
        <f>IF(VLOOKUP(A92,'Débit - Abfluss'!$A$4:$Q$275,14,FALSE)="","",VLOOKUP(A92,'Débit - Abfluss'!$A$4:$Q$275,14,FALSE))</f>
        <v>GE-W 3</v>
      </c>
      <c r="AW92" s="768" t="str">
        <f>IF(VLOOKUP(A92,'Débit - Abfluss'!$A$4:$Q$275,15,FALSE)="","",VLOOKUP(A92,'Débit - Abfluss'!$A$4:$Q$275,15,FALSE))</f>
        <v/>
      </c>
      <c r="AX92" s="679" t="str">
        <f>IF(VLOOKUP(A92,'Débit - Abfluss'!$A$4:$Q$275,16,FALSE)="","",VLOOKUP(A92,'Débit - Abfluss'!$A$4:$Q$275,16,FALSE))</f>
        <v/>
      </c>
      <c r="AY92" s="769" t="str">
        <f>IF(VLOOKUP(A92,'Débit - Abfluss'!$A$4:$Q$275,17,FALSE)="","",VLOOKUP(A92,'Débit - Abfluss'!$A$4:$Q$275,17,FALSE))</f>
        <v>100%</v>
      </c>
      <c r="AZ92" s="749" t="str">
        <f>IF(VLOOKUP(A92,'Eclusée - Schwall-Sunk'!$A$2:$F$273,5,FALSE)="","",VLOOKUP(A92,'Eclusée - Schwall-Sunk'!$A$2:$F$273,5,FALSE))</f>
        <v>force hydraulique</v>
      </c>
      <c r="BA92" s="750" t="str">
        <f>IF(VLOOKUP(A92,'Eclusée - Schwall-Sunk'!$A$2:$F$273,6,FALSE)="","",VLOOKUP(A92,'Eclusée - Schwall-Sunk'!$A$2:$F$273,6,FALSE))</f>
        <v>Non affecté / nicht betroffen</v>
      </c>
      <c r="BB92" s="751">
        <f>IF(VLOOKUP(A92,'Revitalisation-Revitalisierung'!$A$4:$Z$275,5,FALSE)="","",VLOOKUP(A92,'Revitalisation-Revitalisierung'!$A$4:$Z$275,5,FALSE))</f>
        <v>21.172727272727272</v>
      </c>
      <c r="BC92" s="752">
        <f>IF(VLOOKUP(A92,'Revitalisation-Revitalisierung'!$A$4:$Z$275,6,FALSE)="","",VLOOKUP(A92,'Revitalisation-Revitalisierung'!$A$4:$Z$275,6,FALSE))</f>
        <v>38.884293039295464</v>
      </c>
      <c r="BD92" s="752">
        <f>IF(VLOOKUP(A92,'Revitalisation-Revitalisierung'!$A$4:$Z$275,7,FALSE)="","",VLOOKUP(A92,'Revitalisation-Revitalisierung'!$A$4:$Z$275,7,FALSE))</f>
        <v>17.727272727272727</v>
      </c>
      <c r="BE92" s="753" t="str">
        <f>IF(VLOOKUP(A92,'Revitalisation-Revitalisierung'!$A$4:$Z$275,8,FALSE)="","",VLOOKUP(A92,'Revitalisation-Revitalisierung'!$A$4:$Z$275,8,FALSE))</f>
        <v>peu nécessaire, facile</v>
      </c>
      <c r="BF92" s="754" t="str">
        <f>IF(VLOOKUP(A92,'Revitalisation-Revitalisierung'!$A$4:$Z$275,9,FALSE)="","",VLOOKUP(A92,'Revitalisation-Revitalisierung'!$A$4:$Z$275,9,FALSE))</f>
        <v/>
      </c>
      <c r="BG92" s="754" t="str">
        <f>IF(VLOOKUP(A92,'Revitalisation-Revitalisierung'!$A$4:$Z$275,10,FALSE)="","",VLOOKUP(A92,'Revitalisation-Revitalisierung'!$A$4:$Z$275,10,FALSE))</f>
        <v>K2</v>
      </c>
      <c r="BH92" s="755" t="str">
        <f>IF(VLOOKUP(A92,'Revitalisation-Revitalisierung'!$A$4:$Z$275,11,FALSE)="","",VLOOKUP(A92,'Revitalisation-Revitalisierung'!$A$4:$Z$275,11,FALSE))</f>
        <v/>
      </c>
      <c r="BI92" s="756" t="str">
        <f>IF(VLOOKUP(A92,'Revitalisation-Revitalisierung'!$A$4:$Z$275,12,FALSE)="","",VLOOKUP(A92,'Revitalisation-Revitalisierung'!$A$4:$Z$275,12,FALSE))</f>
        <v/>
      </c>
      <c r="BJ92" s="757" t="str">
        <f>IF(VLOOKUP(A92,'Revitalisation-Revitalisierung'!$A$4:$Z$275,13,FALSE)="","",VLOOKUP(A92,'Revitalisation-Revitalisierung'!$A$4:$Z$275,13,FALSE))</f>
        <v>Très nécessaire, facile / unbedingt nötig, einfach</v>
      </c>
      <c r="BK92" s="870" t="str">
        <f>IF(VLOOKUP(A92,'Revitalisation-Revitalisierung'!$A$4:$Z$275,14,FALSE)="","",VLOOKUP(A92,'Revitalisation-Revitalisierung'!$A$4:$Z$275,14,FALSE))</f>
        <v>b</v>
      </c>
      <c r="BL92" s="758" t="str">
        <f>IF(VLOOKUP(A92,'Revitalisation-Revitalisierung'!$A$4:$Z$275,15,FALSE)="","",VLOOKUP(A92,'Revitalisation-Revitalisierung'!$A$4:$Z$275,15,FALSE))</f>
        <v>élevé</v>
      </c>
      <c r="BM92" s="759" t="str">
        <f>IF(VLOOKUP(A92,'Revitalisation-Revitalisierung'!$A$4:$Z$275,16,FALSE)="","",VLOOKUP(A92,'Revitalisation-Revitalisierung'!$A$4:$Z$275,16,FALSE))</f>
        <v>élevé et faible</v>
      </c>
      <c r="BN92" s="759" t="str">
        <f>IF(VLOOKUP(A92,'Revitalisation-Revitalisierung'!$A$4:$Z$275,17,FALSE)="","",VLOOKUP(A92,'Revitalisation-Revitalisierung'!$A$4:$Z$275,17,FALSE))</f>
        <v>élevé, moyen, faible et nul</v>
      </c>
      <c r="BO92" s="760" t="str">
        <f>IF(VLOOKUP(A92,'Revitalisation-Revitalisierung'!$A$4:$Z$275,18,FALSE)="","",VLOOKUP(A92,'Revitalisation-Revitalisierung'!$A$4:$Z$275,18,FALSE))</f>
        <v>Très nécessaire, facile / unbedingt nötig, einfach</v>
      </c>
      <c r="BP92" s="761" t="str">
        <f>IF(VLOOKUP(A92,'Revitalisation-Revitalisierung'!$A$4:$Z$275,19,FALSE)="","",VLOOKUP(A92,'Revitalisation-Revitalisierung'!$A$4:$Z$275,19,FALSE))</f>
        <v>Très nécessaire, facile / unbedingt nötig, einfach</v>
      </c>
      <c r="BQ92" s="759" t="str">
        <f>IF(VLOOKUP(A92,'Revitalisation-Revitalisierung'!$A$4:$Z$275,20,FALSE)="","",VLOOKUP(A92,'Revitalisation-Revitalisierung'!$A$4:$Z$275,20,FALSE))</f>
        <v>d</v>
      </c>
      <c r="BR92" s="759" t="str">
        <f>IF(VLOOKUP(A92,'Revitalisation-Revitalisierung'!$A$4:$Z$275,21,FALSE)="","",VLOOKUP(A92,'Revitalisation-Revitalisierung'!$A$4:$Z$275,21,FALSE))</f>
        <v/>
      </c>
      <c r="BS92" s="762" t="str">
        <f>IF(VLOOKUP(A92,'Revitalisation-Revitalisierung'!$A$4:$Z$275,22,FALSE)="","",VLOOKUP(A92,'Revitalisation-Revitalisierung'!$A$4:$Z$275,22,FALSE))</f>
        <v/>
      </c>
      <c r="BT92" s="700" t="str">
        <f>IF(VLOOKUP(A92,'Revitalisation-Revitalisierung'!$A$4:$Z$275,23,FALSE)="","",VLOOKUP(A92,'Revitalisation-Revitalisierung'!$A$4:$Z$275,23,FALSE))</f>
        <v/>
      </c>
      <c r="BU92" s="699" t="str">
        <f>IF(VLOOKUP(A92,'Revitalisation-Revitalisierung'!$A$4:$Z$275,24,FALSE)="","",VLOOKUP(A92,'Revitalisation-Revitalisierung'!$A$4:$Z$275,24,FALSE))</f>
        <v/>
      </c>
      <c r="BV92" s="761" t="str">
        <f>IF(VLOOKUP(A92,'Revitalisation-Revitalisierung'!$A$4:$Z$275,25,FALSE)="","",VLOOKUP(A92,'Revitalisation-Revitalisierung'!$A$4:$Z$275,25,FALSE))</f>
        <v>Très nécessaire, facile / unbedingt nötig, einfach</v>
      </c>
      <c r="BW92" s="871" t="str">
        <f>IF(VLOOKUP(A92,'Revitalisation-Revitalisierung'!$A$4:$AA$275,27,FALSE)="","",VLOOKUP(A92,'Revitalisation-Revitalisierung'!$A$4:$AA$275,27,FALSE))</f>
        <v>a</v>
      </c>
    </row>
    <row r="93" spans="1:75" ht="87" customHeight="1" x14ac:dyDescent="0.25">
      <c r="A93" s="935">
        <v>118</v>
      </c>
      <c r="B93" s="856">
        <f>IF(VLOOKUP(A93,'Données de base - Grunddaten'!$A$2:$M$297,2,FALSE)="","",VLOOKUP(A93,'Données de base - Grunddaten'!$A$2:$M$297,2,FALSE))</f>
        <v>1</v>
      </c>
      <c r="C93" s="857" t="str">
        <f>IF(VLOOKUP(A93,'Données de base - Grunddaten'!$A$2:$M$297,3,FALSE)="","",VLOOKUP(A93,'Données de base - Grunddaten'!$A$2:$M$297,3,FALSE))</f>
        <v>Grand Bataillard</v>
      </c>
      <c r="D93" s="857" t="str">
        <f>IF(VLOOKUP(A93,'Données de base - Grunddaten'!$A$2:$M$297,4,FALSE)="","",VLOOKUP(A93,'Données de base - Grunddaten'!$A$2:$M$297,4,FALSE))</f>
        <v>La Versoix</v>
      </c>
      <c r="E93" s="857" t="str">
        <f>IF(VLOOKUP(A93,'Données de base - Grunddaten'!$A$2:$M$297,5,FALSE)="","",VLOOKUP(A93,'Données de base - Grunddaten'!$A$2:$M$297,5,FALSE))</f>
        <v>VD</v>
      </c>
      <c r="F93" s="857" t="str">
        <f>IF(VLOOKUP(A93,'Données de base - Grunddaten'!$A$2:$M$297,6,FALSE)="","",VLOOKUP(A93,'Données de base - Grunddaten'!$A$2:$M$297,6,FALSE))</f>
        <v>Bassins lémanique et rhénan</v>
      </c>
      <c r="G93" s="857" t="str">
        <f>IF(VLOOKUP(A93,'Données de base - Grunddaten'!$A$2:$M$297,7,FALSE)="","",VLOOKUP(A93,'Données de base - Grunddaten'!$A$2:$M$297,7,FALSE))</f>
        <v>Collinéen</v>
      </c>
      <c r="H93" s="857">
        <f>IF(VLOOKUP(A93,'Données de base - Grunddaten'!$A$2:$M$297,8,FALSE)="","",VLOOKUP(A93,'Données de base - Grunddaten'!$A$2:$M$297,8,FALSE))</f>
        <v>460</v>
      </c>
      <c r="I93" s="857">
        <f>IF(VLOOKUP(A93,'Données de base - Grunddaten'!$A$2:$M$297,9,FALSE)="","",VLOOKUP(A93,'Données de base - Grunddaten'!$A$2:$M$297,9,FALSE))</f>
        <v>1992</v>
      </c>
      <c r="J93" s="857">
        <f>IF(VLOOKUP(A93,'Données de base - Grunddaten'!$A$2:$M$297,10,FALSE)="","",VLOOKUP(A93,'Données de base - Grunddaten'!$A$2:$M$297,10,FALSE))</f>
        <v>82</v>
      </c>
      <c r="K93" s="857" t="str">
        <f>IF(VLOOKUP(A93,'Données de base - Grunddaten'!$A$2:$M$297,11,FALSE)="","",VLOOKUP(A93,'Données de base - Grunddaten'!$A$2:$M$297,11,FALSE))</f>
        <v>Singularité: Cours d'eau en milieu marécageux</v>
      </c>
      <c r="L93" s="857" t="str">
        <f>IF(VLOOKUP(A93,'Données de base - Grunddaten'!$A$2:$M$297,12,FALSE)="","",VLOOKUP(A93,'Données de base - Grunddaten'!$A$2:$M$297,12,FALSE))</f>
        <v>en méandres migrants</v>
      </c>
      <c r="M93" s="858" t="str">
        <f>IF(VLOOKUP(A93,'Données de base - Grunddaten'!$A$2:$M$297,13,FALSE)="","",VLOOKUP(A93,'Données de base - Grunddaten'!$A$2:$M$297,13,FALSE))</f>
        <v>en méandres migrants</v>
      </c>
      <c r="N93" s="872" t="str">
        <f>IF(VLOOKUP(A93,'Charriage - Geschiebehaushalt'!$A$4:$R$275,5,FALSE)="","",VLOOKUP(A93,'Charriage - Geschiebehaushalt'!$A$4:$R$275,5,FALSE))</f>
        <v>pertinent</v>
      </c>
      <c r="O93" s="881" t="str">
        <f>IF(VLOOKUP(A93,'Charriage - Geschiebehaushalt'!$A$4:$R$275,6,FALSE)="","",VLOOKUP(A93,'Charriage - Geschiebehaushalt'!$A$4:$R$275,6,FALSE))</f>
        <v>non documenté</v>
      </c>
      <c r="P93" s="874" t="str">
        <f>IF(VLOOKUP(A93,'Charriage - Geschiebehaushalt'!$A$4:$R$275,7,FALSE)="","",VLOOKUP(A93,'Charriage - Geschiebehaushalt'!$A$4:$R$275,7,FALSE))</f>
        <v/>
      </c>
      <c r="Q93" s="874" t="str">
        <f>IF(VLOOKUP(A93,'Charriage - Geschiebehaushalt'!$A$4:$R$275,8,FALSE)="","",VLOOKUP(A93,'Charriage - Geschiebehaushalt'!$A$4:$R$275,8,FALSE))</f>
        <v>non documenté</v>
      </c>
      <c r="R93" s="875">
        <f>IF(VLOOKUP(A93,'Charriage - Geschiebehaushalt'!$A$4:$R$275,9,FALSE)="","",VLOOKUP(A93,'Charriage - Geschiebehaushalt'!$A$4:$R$275,9,FALSE))</f>
        <v>0</v>
      </c>
      <c r="S93" s="876" t="str">
        <f>IF(VLOOKUP(A93,'Charriage - Geschiebehaushalt'!$A$4:$R$275,10,FALSE)="","",VLOOKUP(A93,'Charriage - Geschiebehaushalt'!$A$4:$R$275,10,FALSE))</f>
        <v>pas ou faiblement entravé</v>
      </c>
      <c r="T93" s="875">
        <f>IF(VLOOKUP(A93,'Charriage - Geschiebehaushalt'!$A$4:$R$275,11,FALSE)="","",VLOOKUP(A93,'Charriage - Geschiebehaushalt'!$A$4:$R$275,11,FALSE))</f>
        <v>0.47545699062000002</v>
      </c>
      <c r="U93" s="895" t="str">
        <f>IF(VLOOKUP(A93,'Charriage - Geschiebehaushalt'!$A$4:$R$275,12,FALSE)="","",VLOOKUP(A93,'Charriage - Geschiebehaushalt'!$A$4:$R$275,12,FALSE))</f>
        <v>déficit non apparent en charriage ou en remobilisation des sédiments</v>
      </c>
      <c r="V93" s="877" t="str">
        <f>IF(VLOOKUP(A93,'Charriage - Geschiebehaushalt'!$A$4:$R$275,13,FALSE)="","",VLOOKUP(A93,'Charriage - Geschiebehaushalt'!$A$4:$R$275,13,FALSE))</f>
        <v/>
      </c>
      <c r="W93" s="877" t="str">
        <f>IF(VLOOKUP(A93,'Charriage - Geschiebehaushalt'!$A$4:$R$275,14,FALSE)="","",VLOOKUP(A93,'Charriage - Geschiebehaushalt'!$A$4:$R$275,14,FALSE))</f>
        <v/>
      </c>
      <c r="X93" s="877" t="str">
        <f>IF(VLOOKUP(A93,'Charriage - Geschiebehaushalt'!$A$4:$R$275,15,FALSE)="","",VLOOKUP(A93,'Charriage - Geschiebehaushalt'!$A$4:$R$275,15,FALSE))</f>
        <v/>
      </c>
      <c r="Y93" s="879" t="str">
        <f>IF(VLOOKUP(A93,'Charriage - Geschiebehaushalt'!$A$4:$R$275,16,FALSE)="","",VLOOKUP(A93,'Charriage - Geschiebehaushalt'!$A$4:$R$275,16,FALSE))</f>
        <v/>
      </c>
      <c r="Z93" s="763" t="str">
        <f>IF(VLOOKUP(A93,'Charriage - Geschiebehaushalt'!$A$4:$R$275,17,FALSE)="","",VLOOKUP(A93,'Charriage - Geschiebehaushalt'!$A$4:$R$275,17,FALSE))</f>
        <v>Déficit non apparent en charriage ou en remobilisation des sédiments / kein sichtbares Defizit beim Geschiebehaushalt bzw. bei der Mobilisierung von Geschiebe</v>
      </c>
      <c r="AA93" s="880" t="str">
        <f>IF(VLOOKUP(A93,'Charriage - Geschiebehaushalt'!$A$4:$R$275,18,FALSE)="","",VLOOKUP(A93,'Charriage - Geschiebehaushalt'!$A$4:$R$275,18,FALSE))</f>
        <v>b</v>
      </c>
      <c r="AB93" s="737" t="str">
        <f>IF(VLOOKUP(A93,'Charriage - Geschiebehaushalt'!$A$4:$AC$275,19,FALSE)="","",VLOOKUP(A93,'Charriage - Geschiebehaushalt'!$A$4:$AC$275,19,FALSE))</f>
        <v>non évalué</v>
      </c>
      <c r="AC93" s="738" t="str">
        <f>IF(VLOOKUP(A93,'Charriage - Geschiebehaushalt'!$A$4:$AC$275,20,FALSE)="","",VLOOKUP(A93,'Charriage - Geschiebehaushalt'!$A$4:$AC$275,20,FALSE))</f>
        <v>non évalué</v>
      </c>
      <c r="AD93" s="764" t="str">
        <f>IF(VLOOKUP(A93,'Charriage - Geschiebehaushalt'!$A$4:$AC$275,21,FALSE)="","",VLOOKUP(A93,'Charriage - Geschiebehaushalt'!$A$4:$AC$275,21,FALSE))</f>
        <v/>
      </c>
      <c r="AE93" s="772" t="str">
        <f>IF(VLOOKUP(A93,'Charriage - Geschiebehaushalt'!$A$4:$AC$275,22,FALSE)="","",VLOOKUP(A93,'Charriage - Geschiebehaushalt'!$A$4:$AC$275,22,FALSE))</f>
        <v>0-20%</v>
      </c>
      <c r="AF93" s="787" t="str">
        <f>IF(VLOOKUP(A93,'Charriage - Geschiebehaushalt'!$A$4:$AC$275,23,FALSE)="","",VLOOKUP(A93,'Charriage - Geschiebehaushalt'!$A$4:$AC$275,23,FALSE))</f>
        <v>b</v>
      </c>
      <c r="AG93" s="765" t="str">
        <f>IF(VLOOKUP(A93,'Charriage - Geschiebehaushalt'!$A$4:$AC$275,24,FALSE)="","",VLOOKUP(A93,'Charriage - Geschiebehaushalt'!$A$4:$AC$275,24,FALSE))</f>
        <v/>
      </c>
      <c r="AH93" s="764" t="str">
        <f>IF(VLOOKUP(A93,'Charriage - Geschiebehaushalt'!$A$4:$AC$275,25,FALSE)="","",VLOOKUP(A93,'Charriage - Geschiebehaushalt'!$A$4:$AC$275,25,FALSE))</f>
        <v/>
      </c>
      <c r="AI93" s="896" t="str">
        <f>IF(VLOOKUP(A93,'Charriage - Geschiebehaushalt'!$A$4:$AC$275,26,FALSE)="","",VLOOKUP(A93,'Charriage - Geschiebehaushalt'!$A$4:$AC$275,26,FALSE))</f>
        <v>non</v>
      </c>
      <c r="AJ93" s="897" t="str">
        <f>IF(VLOOKUP(A93,'Charriage - Geschiebehaushalt'!$A$4:$AC$275,27,FALSE)="","",VLOOKUP(A93,'Charriage - Geschiebehaushalt'!$A$4:$AC$275,27,FALSE))</f>
        <v>Etude genenoise en vue adaptation prélèvements d'eau dans le Brassu. Si ces prèlèvements se font, ce sera au détriment de la Versoix. Contact Franck Pidoux</v>
      </c>
      <c r="AK93" s="814" t="str">
        <f>IF(VLOOKUP(A93,'Charriage - Geschiebehaushalt'!$A$4:$AC$275,28,FALSE)="","",VLOOKUP(A93,'Charriage - Geschiebehaushalt'!$A$4:$AC$275,28,FALSE))</f>
        <v>0-20%</v>
      </c>
      <c r="AL93" s="1285" t="str">
        <f>IF(VLOOKUP(A93,'Charriage - Geschiebehaushalt'!$A$4:$AD$275,30,FALSE)="","",VLOOKUP(A93,'Charriage - Geschiebehaushalt'!$A$4:$AD$275,30,FALSE))</f>
        <v>b</v>
      </c>
      <c r="AM93" s="1279" t="str">
        <f>IF(VLOOKUP(A93,'Débit - Abfluss'!$A$4:$K$275,5,FALSE)="","",VLOOKUP(A93,'Débit - Abfluss'!$A$4:$M$275,5,FALSE))</f>
        <v>100%</v>
      </c>
      <c r="AN93" s="868" t="str">
        <f>IF(VLOOKUP(A93,'Débit - Abfluss'!$A$4:$K$275,6,FALSE)="","",VLOOKUP(A93,'Débit - Abfluss'!$A$4:$M$275,6,FALSE))</f>
        <v>aucune information supplémentaire</v>
      </c>
      <c r="AO93" s="869" t="str">
        <f>IF(VLOOKUP(A93,'Débit - Abfluss'!$A$4:$K$275,7,FALSE)="","",VLOOKUP(A93,'Débit - Abfluss'!$A$4:$M$275,7,FALSE))</f>
        <v>aucune information supplémentaire</v>
      </c>
      <c r="AP93" s="766" t="str">
        <f>IF(VLOOKUP(A93,'Débit - Abfluss'!$A$4:$K$275,8,FALSE)="","",VLOOKUP(A93,'Débit - Abfluss'!$A$4:$M$275,8,FALSE))</f>
        <v>100%</v>
      </c>
      <c r="AQ93" s="742" t="str">
        <f>IF(VLOOKUP(A93,'Débit - Abfluss'!$A$4:$K$275,9,FALSE)="","",VLOOKUP(A93,'Débit - Abfluss'!$A$4:$M$275,9,FALSE))</f>
        <v>-</v>
      </c>
      <c r="AR93" s="767" t="str">
        <f>IF(VLOOKUP(A93,'Débit - Abfluss'!$A$4:$K$275,10,FALSE)="","",VLOOKUP(A93,'Débit - Abfluss'!$A$4:$M$275,10,FALSE))</f>
        <v>100%</v>
      </c>
      <c r="AS93" s="767" t="str">
        <f>IF(VLOOKUP(A93,'Débit - Abfluss'!$A$4:$K$275,11,FALSE)="","",VLOOKUP(A93,'Débit - Abfluss'!$A$4:$M$275,11,FALSE))</f>
        <v/>
      </c>
      <c r="AT93" s="778" t="str">
        <f>IF(VLOOKUP(A93,'Débit - Abfluss'!$A$4:$Q$275,12,FALSE)="","",VLOOKUP(A93,'Débit - Abfluss'!$A$4:$Q$275,12,FALSE))</f>
        <v/>
      </c>
      <c r="AU93" s="779" t="str">
        <f>IF(VLOOKUP(A93,'Débit - Abfluss'!$A$4:$Q$275,13,FALSE)="","",VLOOKUP(A93,'Débit - Abfluss'!$A$4:$Q$275,13,FALSE))</f>
        <v/>
      </c>
      <c r="AV93" s="746" t="str">
        <f>IF(VLOOKUP(A93,'Débit - Abfluss'!$A$4:$Q$275,14,FALSE)="","",VLOOKUP(A93,'Débit - Abfluss'!$A$4:$Q$275,14,FALSE))</f>
        <v/>
      </c>
      <c r="AW93" s="768" t="str">
        <f>IF(VLOOKUP(A93,'Débit - Abfluss'!$A$4:$Q$275,15,FALSE)="","",VLOOKUP(A93,'Débit - Abfluss'!$A$4:$Q$275,15,FALSE))</f>
        <v/>
      </c>
      <c r="AX93" s="679" t="str">
        <f>IF(VLOOKUP(A93,'Débit - Abfluss'!$A$4:$Q$275,16,FALSE)="","",VLOOKUP(A93,'Débit - Abfluss'!$A$4:$Q$275,16,FALSE))</f>
        <v/>
      </c>
      <c r="AY93" s="769" t="str">
        <f>IF(VLOOKUP(A93,'Débit - Abfluss'!$A$4:$Q$275,17,FALSE)="","",VLOOKUP(A93,'Débit - Abfluss'!$A$4:$Q$275,17,FALSE))</f>
        <v>100%</v>
      </c>
      <c r="AZ93" s="749" t="str">
        <f>IF(VLOOKUP(A93,'Eclusée - Schwall-Sunk'!$A$2:$F$273,5,FALSE)="","",VLOOKUP(A93,'Eclusée - Schwall-Sunk'!$A$2:$F$273,5,FALSE))</f>
        <v/>
      </c>
      <c r="BA93" s="750" t="str">
        <f>IF(VLOOKUP(A93,'Eclusée - Schwall-Sunk'!$A$2:$F$273,6,FALSE)="","",VLOOKUP(A93,'Eclusée - Schwall-Sunk'!$A$2:$F$273,6,FALSE))</f>
        <v>Non affecté / nicht betroffen</v>
      </c>
      <c r="BB93" s="751">
        <f>IF(VLOOKUP(A93,'Revitalisation-Revitalisierung'!$A$4:$Z$275,5,FALSE)="","",VLOOKUP(A93,'Revitalisation-Revitalisierung'!$A$4:$Z$275,5,FALSE))</f>
        <v>-5</v>
      </c>
      <c r="BC93" s="752">
        <f>IF(VLOOKUP(A93,'Revitalisation-Revitalisierung'!$A$4:$Z$275,6,FALSE)="","",VLOOKUP(A93,'Revitalisation-Revitalisierung'!$A$4:$Z$275,6,FALSE))</f>
        <v>0</v>
      </c>
      <c r="BD93" s="752">
        <f>IF(VLOOKUP(A93,'Revitalisation-Revitalisierung'!$A$4:$Z$275,7,FALSE)="","",VLOOKUP(A93,'Revitalisation-Revitalisierung'!$A$4:$Z$275,7,FALSE))</f>
        <v>5</v>
      </c>
      <c r="BE93" s="753" t="str">
        <f>IF(VLOOKUP(A93,'Revitalisation-Revitalisierung'!$A$4:$Z$275,8,FALSE)="","",VLOOKUP(A93,'Revitalisation-Revitalisierung'!$A$4:$Z$275,8,FALSE))</f>
        <v>non nécessaire</v>
      </c>
      <c r="BF93" s="754" t="str">
        <f>IF(VLOOKUP(A93,'Revitalisation-Revitalisierung'!$A$4:$Z$275,9,FALSE)="","",VLOOKUP(A93,'Revitalisation-Revitalisierung'!$A$4:$Z$275,9,FALSE))</f>
        <v/>
      </c>
      <c r="BG93" s="754" t="str">
        <f>IF(VLOOKUP(A93,'Revitalisation-Revitalisierung'!$A$4:$Z$275,10,FALSE)="","",VLOOKUP(A93,'Revitalisation-Revitalisierung'!$A$4:$Z$275,10,FALSE))</f>
        <v>K1</v>
      </c>
      <c r="BH93" s="755" t="str">
        <f>IF(VLOOKUP(A93,'Revitalisation-Revitalisierung'!$A$4:$Z$275,11,FALSE)="","",VLOOKUP(A93,'Revitalisation-Revitalisierung'!$A$4:$Z$275,11,FALSE))</f>
        <v/>
      </c>
      <c r="BI93" s="756" t="str">
        <f>IF(VLOOKUP(A93,'Revitalisation-Revitalisierung'!$A$4:$Z$275,12,FALSE)="","",VLOOKUP(A93,'Revitalisation-Revitalisierung'!$A$4:$Z$275,12,FALSE))</f>
        <v/>
      </c>
      <c r="BJ93" s="757" t="str">
        <f>IF(VLOOKUP(A93,'Revitalisation-Revitalisierung'!$A$4:$Z$275,13,FALSE)="","",VLOOKUP(A93,'Revitalisation-Revitalisierung'!$A$4:$Z$275,13,FALSE))</f>
        <v>Non nécessaire / nicht nötig</v>
      </c>
      <c r="BK93" s="870" t="str">
        <f>IF(VLOOKUP(A93,'Revitalisation-Revitalisierung'!$A$4:$Z$275,14,FALSE)="","",VLOOKUP(A93,'Revitalisation-Revitalisierung'!$A$4:$Z$275,14,FALSE))</f>
        <v>a</v>
      </c>
      <c r="BL93" s="758" t="str">
        <f>IF(VLOOKUP(A93,'Revitalisation-Revitalisierung'!$A$4:$Z$275,15,FALSE)="","",VLOOKUP(A93,'Revitalisation-Revitalisierung'!$A$4:$Z$275,15,FALSE))</f>
        <v>élevé</v>
      </c>
      <c r="BM93" s="759" t="str">
        <f>IF(VLOOKUP(A93,'Revitalisation-Revitalisierung'!$A$4:$Z$275,16,FALSE)="","",VLOOKUP(A93,'Revitalisation-Revitalisierung'!$A$4:$Z$275,16,FALSE))</f>
        <v>faible</v>
      </c>
      <c r="BN93" s="759" t="str">
        <f>IF(VLOOKUP(A93,'Revitalisation-Revitalisierung'!$A$4:$Z$275,17,FALSE)="","",VLOOKUP(A93,'Revitalisation-Revitalisierung'!$A$4:$Z$275,17,FALSE))</f>
        <v>nulle</v>
      </c>
      <c r="BO93" s="760" t="str">
        <f>IF(VLOOKUP(A93,'Revitalisation-Revitalisierung'!$A$4:$Z$275,18,FALSE)="","",VLOOKUP(A93,'Revitalisation-Revitalisierung'!$A$4:$Z$275,18,FALSE))</f>
        <v>Non nécessaire / nicht nötig</v>
      </c>
      <c r="BP93" s="761" t="str">
        <f>IF(VLOOKUP(A93,'Revitalisation-Revitalisierung'!$A$4:$Z$275,19,FALSE)="","",VLOOKUP(A93,'Revitalisation-Revitalisierung'!$A$4:$Z$275,19,FALSE))</f>
        <v>Non nécessaire / nicht nötig</v>
      </c>
      <c r="BQ93" s="759" t="str">
        <f>IF(VLOOKUP(A93,'Revitalisation-Revitalisierung'!$A$4:$Z$275,20,FALSE)="","",VLOOKUP(A93,'Revitalisation-Revitalisierung'!$A$4:$Z$275,20,FALSE))</f>
        <v>d</v>
      </c>
      <c r="BR93" s="759" t="str">
        <f>IF(VLOOKUP(A93,'Revitalisation-Revitalisierung'!$A$4:$Z$275,21,FALSE)="","",VLOOKUP(A93,'Revitalisation-Revitalisierung'!$A$4:$Z$275,21,FALSE))</f>
        <v/>
      </c>
      <c r="BS93" s="762" t="str">
        <f>IF(VLOOKUP(A93,'Revitalisation-Revitalisierung'!$A$4:$Z$275,22,FALSE)="","",VLOOKUP(A93,'Revitalisation-Revitalisierung'!$A$4:$Z$275,22,FALSE))</f>
        <v/>
      </c>
      <c r="BT93" s="700" t="str">
        <f>IF(VLOOKUP(A93,'Revitalisation-Revitalisierung'!$A$4:$Z$275,23,FALSE)="","",VLOOKUP(A93,'Revitalisation-Revitalisierung'!$A$4:$Z$275,23,FALSE))</f>
        <v/>
      </c>
      <c r="BU93" s="699" t="str">
        <f>IF(VLOOKUP(A93,'Revitalisation-Revitalisierung'!$A$4:$Z$275,24,FALSE)="","",VLOOKUP(A93,'Revitalisation-Revitalisierung'!$A$4:$Z$275,24,FALSE))</f>
        <v/>
      </c>
      <c r="BV93" s="761" t="str">
        <f>IF(VLOOKUP(A93,'Revitalisation-Revitalisierung'!$A$4:$Z$275,25,FALSE)="","",VLOOKUP(A93,'Revitalisation-Revitalisierung'!$A$4:$Z$275,25,FALSE))</f>
        <v>Non nécessaire / nicht nötig</v>
      </c>
      <c r="BW93" s="871" t="str">
        <f>IF(VLOOKUP(A93,'Revitalisation-Revitalisierung'!$A$4:$AA$275,27,FALSE)="","",VLOOKUP(A93,'Revitalisation-Revitalisierung'!$A$4:$AA$275,27,FALSE))</f>
        <v>a</v>
      </c>
    </row>
    <row r="94" spans="1:75" ht="133.15" customHeight="1" x14ac:dyDescent="0.25">
      <c r="A94" s="936">
        <v>119.1</v>
      </c>
      <c r="B94" s="856">
        <f>IF(VLOOKUP(A94,'Données de base - Grunddaten'!$A$2:$M$297,2,FALSE)="","",VLOOKUP(A94,'Données de base - Grunddaten'!$A$2:$M$297,2,FALSE))</f>
        <v>1</v>
      </c>
      <c r="C94" s="857" t="str">
        <f>IF(VLOOKUP(A94,'Données de base - Grunddaten'!$A$2:$M$297,3,FALSE)="","",VLOOKUP(A94,'Données de base - Grunddaten'!$A$2:$M$297,3,FALSE))</f>
        <v>Embouchure de l'Aubonne</v>
      </c>
      <c r="D94" s="857" t="str">
        <f>IF(VLOOKUP(A94,'Données de base - Grunddaten'!$A$2:$M$297,4,FALSE)="","",VLOOKUP(A94,'Données de base - Grunddaten'!$A$2:$M$297,4,FALSE))</f>
        <v>L'Aubonne</v>
      </c>
      <c r="E94" s="857" t="str">
        <f>IF(VLOOKUP(A94,'Données de base - Grunddaten'!$A$2:$M$297,5,FALSE)="","",VLOOKUP(A94,'Données de base - Grunddaten'!$A$2:$M$297,5,FALSE))</f>
        <v>VD</v>
      </c>
      <c r="F94" s="857" t="str">
        <f>IF(VLOOKUP(A94,'Données de base - Grunddaten'!$A$2:$M$297,6,FALSE)="","",VLOOKUP(A94,'Données de base - Grunddaten'!$A$2:$M$297,6,FALSE))</f>
        <v>Bassins lémanique et rhénan</v>
      </c>
      <c r="G94" s="857" t="str">
        <f>IF(VLOOKUP(A94,'Données de base - Grunddaten'!$A$2:$M$297,7,FALSE)="","",VLOOKUP(A94,'Données de base - Grunddaten'!$A$2:$M$297,7,FALSE))</f>
        <v>Collinéen</v>
      </c>
      <c r="H94" s="857">
        <f>IF(VLOOKUP(A94,'Données de base - Grunddaten'!$A$2:$M$297,8,FALSE)="","",VLOOKUP(A94,'Données de base - Grunddaten'!$A$2:$M$297,8,FALSE))</f>
        <v>375</v>
      </c>
      <c r="I94" s="857">
        <f>IF(VLOOKUP(A94,'Données de base - Grunddaten'!$A$2:$M$297,9,FALSE)="","",VLOOKUP(A94,'Données de base - Grunddaten'!$A$2:$M$297,9,FALSE))</f>
        <v>1992</v>
      </c>
      <c r="J94" s="857">
        <f>IF(VLOOKUP(A94,'Données de base - Grunddaten'!$A$2:$M$297,10,FALSE)="","",VLOOKUP(A94,'Données de base - Grunddaten'!$A$2:$M$297,10,FALSE))</f>
        <v>90</v>
      </c>
      <c r="K94" s="857" t="str">
        <f>IF(VLOOKUP(A94,'Données de base - Grunddaten'!$A$2:$M$297,11,FALSE)="","",VLOOKUP(A94,'Données de base - Grunddaten'!$A$2:$M$297,11,FALSE))</f>
        <v>Delta</v>
      </c>
      <c r="L94" s="857" t="str">
        <f>IF(VLOOKUP(A94,'Données de base - Grunddaten'!$A$2:$M$297,12,FALSE)="","",VLOOKUP(A94,'Données de base - Grunddaten'!$A$2:$M$297,12,FALSE))</f>
        <v>en tresses</v>
      </c>
      <c r="M94" s="858" t="str">
        <f>IF(VLOOKUP(A94,'Données de base - Grunddaten'!$A$2:$M$297,13,FALSE)="","",VLOOKUP(A94,'Données de base - Grunddaten'!$A$2:$M$297,13,FALSE))</f>
        <v>cours rectiligne</v>
      </c>
      <c r="N94" s="872" t="str">
        <f>IF(VLOOKUP(A94,'Charriage - Geschiebehaushalt'!$A$4:$R$275,5,FALSE)="","",VLOOKUP(A94,'Charriage - Geschiebehaushalt'!$A$4:$R$275,5,FALSE))</f>
        <v>pertinent</v>
      </c>
      <c r="O94" s="881" t="str">
        <f>IF(VLOOKUP(A94,'Charriage - Geschiebehaushalt'!$A$4:$R$275,6,FALSE)="","",VLOOKUP(A94,'Charriage - Geschiebehaushalt'!$A$4:$R$275,6,FALSE))</f>
        <v>non documenté</v>
      </c>
      <c r="P94" s="874" t="str">
        <f>IF(VLOOKUP(A94,'Charriage - Geschiebehaushalt'!$A$4:$R$275,7,FALSE)="","",VLOOKUP(A94,'Charriage - Geschiebehaushalt'!$A$4:$R$275,7,FALSE))</f>
        <v/>
      </c>
      <c r="Q94" s="874" t="str">
        <f>IF(VLOOKUP(A94,'Charriage - Geschiebehaushalt'!$A$4:$R$275,8,FALSE)="","",VLOOKUP(A94,'Charriage - Geschiebehaushalt'!$A$4:$R$275,8,FALSE))</f>
        <v>non documenté</v>
      </c>
      <c r="R94" s="875">
        <f>IF(VLOOKUP(A94,'Charriage - Geschiebehaushalt'!$A$4:$R$275,9,FALSE)="","",VLOOKUP(A94,'Charriage - Geschiebehaushalt'!$A$4:$R$275,9,FALSE))</f>
        <v>0.113019441585539</v>
      </c>
      <c r="S94" s="876" t="str">
        <f>IF(VLOOKUP(A94,'Charriage - Geschiebehaushalt'!$A$4:$R$275,10,FALSE)="","",VLOOKUP(A94,'Charriage - Geschiebehaushalt'!$A$4:$R$275,10,FALSE))</f>
        <v>pas ou faiblement entravé</v>
      </c>
      <c r="T94" s="875">
        <f>IF(VLOOKUP(A94,'Charriage - Geschiebehaushalt'!$A$4:$R$275,11,FALSE)="","",VLOOKUP(A94,'Charriage - Geschiebehaushalt'!$A$4:$R$275,11,FALSE))</f>
        <v>2.0795891210999999E-2</v>
      </c>
      <c r="U94" s="876" t="str">
        <f>IF(VLOOKUP(A94,'Charriage - Geschiebehaushalt'!$A$4:$R$275,12,FALSE)="","",VLOOKUP(A94,'Charriage - Geschiebehaushalt'!$A$4:$R$275,12,FALSE))</f>
        <v>déficit dans les formations pionnières</v>
      </c>
      <c r="V94" s="877" t="str">
        <f>IF(VLOOKUP(A94,'Charriage - Geschiebehaushalt'!$A$4:$R$275,13,FALSE)="","",VLOOKUP(A94,'Charriage - Geschiebehaushalt'!$A$4:$R$275,13,FALSE))</f>
        <v>Charriage parait bien fonctionner selon géomorphologie du cours d'eau (grands bancs de graviers, extraction régulières du delta). Mais barrage en amont et peut-être aussi extraction</v>
      </c>
      <c r="W94" s="878" t="str">
        <f>IF(VLOOKUP(A94,'Charriage - Geschiebehaushalt'!$A$4:$R$275,14,FALSE)="","",VLOOKUP(A94,'Charriage - Geschiebehaushalt'!$A$4:$R$275,14,FALSE))</f>
        <v>charriage présumé perturbé</v>
      </c>
      <c r="X94" s="878" t="str">
        <f>IF(VLOOKUP(A94,'Charriage - Geschiebehaushalt'!$A$4:$R$275,15,FALSE)="","",VLOOKUP(A94,'Charriage - Geschiebehaushalt'!$A$4:$R$275,15,FALSE))</f>
        <v/>
      </c>
      <c r="Y94" s="882" t="str">
        <f>IF(VLOOKUP(A94,'Charriage - Geschiebehaushalt'!$A$4:$R$275,16,FALSE)="","",VLOOKUP(A94,'Charriage - Geschiebehaushalt'!$A$4:$R$275,16,FALSE))</f>
        <v/>
      </c>
      <c r="Z94" s="763" t="str">
        <f>IF(VLOOKUP(A94,'Charriage - Geschiebehaushalt'!$A$4:$R$275,17,FALSE)="","",VLOOKUP(A94,'Charriage - Geschiebehaushalt'!$A$4:$R$275,17,FALSE))</f>
        <v>Problème lié à un manque de charriage ou à un manque de remobilisation des sédiments / Problem aufgrund Geschiebemangels bzw. mangelnder Mobilisierung von Geschiebe</v>
      </c>
      <c r="AA94" s="880" t="str">
        <f>IF(VLOOKUP(A94,'Charriage - Geschiebehaushalt'!$A$4:$R$275,18,FALSE)="","",VLOOKUP(A94,'Charriage - Geschiebehaushalt'!$A$4:$R$275,18,FALSE))</f>
        <v>b</v>
      </c>
      <c r="AB94" s="737">
        <f>IF(VLOOKUP(A94,'Charriage - Geschiebehaushalt'!$A$4:$AC$275,19,FALSE)="","",VLOOKUP(A94,'Charriage - Geschiebehaushalt'!$A$4:$AC$275,19,FALSE))</f>
        <v>0</v>
      </c>
      <c r="AC94" s="738">
        <f>IF(VLOOKUP(A94,'Charriage - Geschiebehaushalt'!$A$4:$AC$275,20,FALSE)="","",VLOOKUP(A94,'Charriage - Geschiebehaushalt'!$A$4:$AC$275,20,FALSE))</f>
        <v>0</v>
      </c>
      <c r="AD94" s="764" t="str">
        <f>IF(VLOOKUP(A94,'Charriage - Geschiebehaushalt'!$A$4:$AC$275,21,FALSE)="","",VLOOKUP(A94,'Charriage - Geschiebehaushalt'!$A$4:$AC$275,21,FALSE))</f>
        <v/>
      </c>
      <c r="AE94" s="772" t="str">
        <f>IF(VLOOKUP(A94,'Charriage - Geschiebehaushalt'!$A$4:$AC$275,22,FALSE)="","",VLOOKUP(A94,'Charriage - Geschiebehaushalt'!$A$4:$AC$275,22,FALSE))</f>
        <v>81-100%</v>
      </c>
      <c r="AF94" s="787" t="str">
        <f>IF(VLOOKUP(A94,'Charriage - Geschiebehaushalt'!$A$4:$AC$275,23,FALSE)="","",VLOOKUP(A94,'Charriage - Geschiebehaushalt'!$A$4:$AC$275,23,FALSE))</f>
        <v>b</v>
      </c>
      <c r="AG94" s="765" t="str">
        <f>IF(VLOOKUP(A94,'Charriage - Geschiebehaushalt'!$A$4:$AC$275,24,FALSE)="","",VLOOKUP(A94,'Charriage - Geschiebehaushalt'!$A$4:$AC$275,24,FALSE))</f>
        <v/>
      </c>
      <c r="AH94" s="764" t="str">
        <f>IF(VLOOKUP(A94,'Charriage - Geschiebehaushalt'!$A$4:$AC$275,25,FALSE)="","",VLOOKUP(A94,'Charriage - Geschiebehaushalt'!$A$4:$AC$275,25,FALSE))</f>
        <v/>
      </c>
      <c r="AI94" s="896" t="str">
        <f>IF(VLOOKUP(A94,'Charriage - Geschiebehaushalt'!$A$4:$AC$275,26,FALSE)="","",VLOOKUP(A94,'Charriage - Geschiebehaushalt'!$A$4:$AC$275,26,FALSE))</f>
        <v>non</v>
      </c>
      <c r="AJ94" s="436" t="str">
        <f>IF(VLOOKUP(A94,'Charriage - Geschiebehaushalt'!$A$4:$AC$275,27,FALSE)="","",VLOOKUP(A94,'Charriage - Geschiebehaushalt'!$A$4:$AC$275,27,FALSE))</f>
        <v/>
      </c>
      <c r="AK94" s="814" t="str">
        <f>IF(VLOOKUP(A94,'Charriage - Geschiebehaushalt'!$A$4:$AC$275,28,FALSE)="","",VLOOKUP(A94,'Charriage - Geschiebehaushalt'!$A$4:$AC$275,28,FALSE))</f>
        <v>81-100%</v>
      </c>
      <c r="AL94" s="1285" t="str">
        <f>IF(VLOOKUP(A94,'Charriage - Geschiebehaushalt'!$A$4:$AD$275,30,FALSE)="","",VLOOKUP(A94,'Charriage - Geschiebehaushalt'!$A$4:$AD$275,30,FALSE))</f>
        <v>b</v>
      </c>
      <c r="AM94" s="1279" t="str">
        <f>IF(VLOOKUP(A94,'Débit - Abfluss'!$A$4:$K$275,5,FALSE)="","",VLOOKUP(A94,'Débit - Abfluss'!$A$4:$M$275,5,FALSE))</f>
        <v>100%</v>
      </c>
      <c r="AN94" s="868" t="str">
        <f>IF(VLOOKUP(A94,'Débit - Abfluss'!$A$4:$K$275,6,FALSE)="","",VLOOKUP(A94,'Débit - Abfluss'!$A$4:$M$275,6,FALSE))</f>
        <v>aucune information supplémentaire</v>
      </c>
      <c r="AO94" s="869" t="str">
        <f>IF(VLOOKUP(A94,'Débit - Abfluss'!$A$4:$K$275,7,FALSE)="","",VLOOKUP(A94,'Débit - Abfluss'!$A$4:$M$275,7,FALSE))</f>
        <v>aucune information supplémentaire</v>
      </c>
      <c r="AP94" s="766" t="str">
        <f>IF(VLOOKUP(A94,'Débit - Abfluss'!$A$4:$K$275,8,FALSE)="","",VLOOKUP(A94,'Débit - Abfluss'!$A$4:$M$275,8,FALSE))</f>
        <v>100%</v>
      </c>
      <c r="AQ94" s="742" t="str">
        <f>IF(VLOOKUP(A94,'Débit - Abfluss'!$A$4:$K$275,9,FALSE)="","",VLOOKUP(A94,'Débit - Abfluss'!$A$4:$M$275,9,FALSE))</f>
        <v>-</v>
      </c>
      <c r="AR94" s="767" t="str">
        <f>IF(VLOOKUP(A94,'Débit - Abfluss'!$A$4:$K$275,10,FALSE)="","",VLOOKUP(A94,'Débit - Abfluss'!$A$4:$M$275,10,FALSE))</f>
        <v>100%</v>
      </c>
      <c r="AS94" s="767" t="str">
        <f>IF(VLOOKUP(A94,'Débit - Abfluss'!$A$4:$K$275,11,FALSE)="","",VLOOKUP(A94,'Débit - Abfluss'!$A$4:$M$275,11,FALSE))</f>
        <v/>
      </c>
      <c r="AT94" s="778" t="str">
        <f>IF(VLOOKUP(A94,'Débit - Abfluss'!$A$4:$Q$275,12,FALSE)="","",VLOOKUP(A94,'Débit - Abfluss'!$A$4:$Q$275,12,FALSE))</f>
        <v/>
      </c>
      <c r="AU94" s="779" t="str">
        <f>IF(VLOOKUP(A94,'Débit - Abfluss'!$A$4:$Q$275,13,FALSE)="","",VLOOKUP(A94,'Débit - Abfluss'!$A$4:$Q$275,13,FALSE))</f>
        <v/>
      </c>
      <c r="AV94" s="746" t="str">
        <f>IF(VLOOKUP(A94,'Débit - Abfluss'!$A$4:$Q$275,14,FALSE)="","",VLOOKUP(A94,'Débit - Abfluss'!$A$4:$Q$275,14,FALSE))</f>
        <v/>
      </c>
      <c r="AW94" s="768" t="str">
        <f>IF(VLOOKUP(A94,'Débit - Abfluss'!$A$4:$Q$275,15,FALSE)="","",VLOOKUP(A94,'Débit - Abfluss'!$A$4:$Q$275,15,FALSE))</f>
        <v/>
      </c>
      <c r="AX94" s="679" t="str">
        <f>IF(VLOOKUP(A94,'Débit - Abfluss'!$A$4:$Q$275,16,FALSE)="","",VLOOKUP(A94,'Débit - Abfluss'!$A$4:$Q$275,16,FALSE))</f>
        <v/>
      </c>
      <c r="AY94" s="769" t="str">
        <f>IF(VLOOKUP(A94,'Débit - Abfluss'!$A$4:$Q$275,17,FALSE)="","",VLOOKUP(A94,'Débit - Abfluss'!$A$4:$Q$275,17,FALSE))</f>
        <v>100%</v>
      </c>
      <c r="AZ94" s="749" t="str">
        <f>IF(VLOOKUP(A94,'Eclusée - Schwall-Sunk'!$A$2:$F$273,5,FALSE)="","",VLOOKUP(A94,'Eclusée - Schwall-Sunk'!$A$2:$F$273,5,FALSE))</f>
        <v/>
      </c>
      <c r="BA94" s="750" t="str">
        <f>IF(VLOOKUP(A94,'Eclusée - Schwall-Sunk'!$A$2:$F$273,6,FALSE)="","",VLOOKUP(A94,'Eclusée - Schwall-Sunk'!$A$2:$F$273,6,FALSE))</f>
        <v>Potentiellement affecté / möglicherweise betroffen</v>
      </c>
      <c r="BB94" s="751" t="str">
        <f>IF(VLOOKUP(A94,'Revitalisation-Revitalisierung'!$A$4:$Z$275,5,FALSE)="","",VLOOKUP(A94,'Revitalisation-Revitalisierung'!$A$4:$Z$275,5,FALSE))</f>
        <v/>
      </c>
      <c r="BC94" s="752" t="str">
        <f>IF(VLOOKUP(A94,'Revitalisation-Revitalisierung'!$A$4:$Z$275,6,FALSE)="","",VLOOKUP(A94,'Revitalisation-Revitalisierung'!$A$4:$Z$275,6,FALSE))</f>
        <v/>
      </c>
      <c r="BD94" s="752" t="str">
        <f>IF(VLOOKUP(A94,'Revitalisation-Revitalisierung'!$A$4:$Z$275,7,FALSE)="","",VLOOKUP(A94,'Revitalisation-Revitalisierung'!$A$4:$Z$275,7,FALSE))</f>
        <v/>
      </c>
      <c r="BE94" s="920" t="str">
        <f>IF(VLOOKUP(A94,'Revitalisation-Revitalisierung'!$A$4:$Z$275,8,FALSE)="","",VLOOKUP(A94,'Revitalisation-Revitalisierung'!$A$4:$Z$275,8,FALSE))</f>
        <v/>
      </c>
      <c r="BF94" s="754" t="str">
        <f>IF(VLOOKUP(A94,'Revitalisation-Revitalisierung'!$A$4:$Z$275,9,FALSE)="","",VLOOKUP(A94,'Revitalisation-Revitalisierung'!$A$4:$Z$275,9,FALSE))</f>
        <v/>
      </c>
      <c r="BG94" s="754" t="str">
        <f>IF(VLOOKUP(A94,'Revitalisation-Revitalisierung'!$A$4:$Z$275,10,FALSE)="","",VLOOKUP(A94,'Revitalisation-Revitalisierung'!$A$4:$Z$275,10,FALSE))</f>
        <v>K3</v>
      </c>
      <c r="BH94" s="755" t="str">
        <f>IF(VLOOKUP(A94,'Revitalisation-Revitalisierung'!$A$4:$Z$275,11,FALSE)="","",VLOOKUP(A94,'Revitalisation-Revitalisierung'!$A$4:$Z$275,11,FALSE))</f>
        <v>très nécessaire, facile</v>
      </c>
      <c r="BI94" s="756" t="str">
        <f>IF(VLOOKUP(A94,'Revitalisation-Revitalisierung'!$A$4:$Z$275,12,FALSE)="","",VLOOKUP(A94,'Revitalisation-Revitalisierung'!$A$4:$Z$275,12,FALSE))</f>
        <v>facile, suffit de stopper le dragage</v>
      </c>
      <c r="BJ94" s="757" t="str">
        <f>IF(VLOOKUP(A94,'Revitalisation-Revitalisierung'!$A$4:$Z$275,13,FALSE)="","",VLOOKUP(A94,'Revitalisation-Revitalisierung'!$A$4:$Z$275,13,FALSE))</f>
        <v>Très nécessaire, facile / unbedingt nötig, einfach</v>
      </c>
      <c r="BK94" s="870" t="str">
        <f>IF(VLOOKUP(A94,'Revitalisation-Revitalisierung'!$A$4:$Z$275,14,FALSE)="","",VLOOKUP(A94,'Revitalisation-Revitalisierung'!$A$4:$Z$275,14,FALSE))</f>
        <v>a</v>
      </c>
      <c r="BL94" s="758">
        <f>IF(VLOOKUP(A94,'Revitalisation-Revitalisierung'!$A$4:$Z$275,15,FALSE)="","",VLOOKUP(A94,'Revitalisation-Revitalisierung'!$A$4:$Z$275,15,FALSE))</f>
        <v>0</v>
      </c>
      <c r="BM94" s="759">
        <f>IF(VLOOKUP(A94,'Revitalisation-Revitalisierung'!$A$4:$Z$275,16,FALSE)="","",VLOOKUP(A94,'Revitalisation-Revitalisierung'!$A$4:$Z$275,16,FALSE))</f>
        <v>0</v>
      </c>
      <c r="BN94" s="759">
        <f>IF(VLOOKUP(A94,'Revitalisation-Revitalisierung'!$A$4:$Z$275,17,FALSE)="","",VLOOKUP(A94,'Revitalisation-Revitalisierung'!$A$4:$Z$275,17,FALSE))</f>
        <v>0</v>
      </c>
      <c r="BO94" s="760" t="str">
        <f>IF(VLOOKUP(A94,'Revitalisation-Revitalisierung'!$A$4:$Z$275,18,FALSE)="","",VLOOKUP(A94,'Revitalisation-Revitalisierung'!$A$4:$Z$275,18,FALSE))</f>
        <v/>
      </c>
      <c r="BP94" s="761" t="str">
        <f>IF(VLOOKUP(A94,'Revitalisation-Revitalisierung'!$A$4:$Z$275,19,FALSE)="","",VLOOKUP(A94,'Revitalisation-Revitalisierung'!$A$4:$Z$275,19,FALSE))</f>
        <v>Très nécessaire, facile / unbedingt nötig, einfach</v>
      </c>
      <c r="BQ94" s="759" t="str">
        <f>IF(VLOOKUP(A94,'Revitalisation-Revitalisierung'!$A$4:$Z$275,20,FALSE)="","",VLOOKUP(A94,'Revitalisation-Revitalisierung'!$A$4:$Z$275,20,FALSE))</f>
        <v>a</v>
      </c>
      <c r="BR94" s="759" t="str">
        <f>IF(VLOOKUP(A94,'Revitalisation-Revitalisierung'!$A$4:$Z$275,21,FALSE)="","",VLOOKUP(A94,'Revitalisation-Revitalisierung'!$A$4:$Z$275,21,FALSE))</f>
        <v/>
      </c>
      <c r="BS94" s="762" t="str">
        <f>IF(VLOOKUP(A94,'Revitalisation-Revitalisierung'!$A$4:$Z$275,22,FALSE)="","",VLOOKUP(A94,'Revitalisation-Revitalisierung'!$A$4:$Z$275,22,FALSE))</f>
        <v/>
      </c>
      <c r="BT94" s="700" t="str">
        <f>IF(VLOOKUP(A94,'Revitalisation-Revitalisierung'!$A$4:$Z$275,23,FALSE)="","",VLOOKUP(A94,'Revitalisation-Revitalisierung'!$A$4:$Z$275,23,FALSE))</f>
        <v/>
      </c>
      <c r="BU94" s="699" t="str">
        <f>IF(VLOOKUP(A94,'Revitalisation-Revitalisierung'!$A$4:$Z$275,24,FALSE)="","",VLOOKUP(A94,'Revitalisation-Revitalisierung'!$A$4:$Z$275,24,FALSE))</f>
        <v/>
      </c>
      <c r="BV94" s="761" t="str">
        <f>IF(VLOOKUP(A94,'Revitalisation-Revitalisierung'!$A$4:$Z$275,25,FALSE)="","",VLOOKUP(A94,'Revitalisation-Revitalisierung'!$A$4:$Z$275,25,FALSE))</f>
        <v>Très nécessaire, facile / unbedingt nötig, einfach</v>
      </c>
      <c r="BW94" s="871" t="str">
        <f>IF(VLOOKUP(A94,'Revitalisation-Revitalisierung'!$A$4:$AA$275,27,FALSE)="","",VLOOKUP(A94,'Revitalisation-Revitalisierung'!$A$4:$AA$275,27,FALSE))</f>
        <v>a</v>
      </c>
    </row>
    <row r="95" spans="1:75" ht="123.6" customHeight="1" x14ac:dyDescent="0.25">
      <c r="A95" s="936">
        <v>119.2</v>
      </c>
      <c r="B95" s="856">
        <f>IF(VLOOKUP(A95,'Données de base - Grunddaten'!$A$2:$M$297,2,FALSE)="","",VLOOKUP(A95,'Données de base - Grunddaten'!$A$2:$M$297,2,FALSE))</f>
        <v>2</v>
      </c>
      <c r="C95" s="857" t="str">
        <f>IF(VLOOKUP(A95,'Données de base - Grunddaten'!$A$2:$M$297,3,FALSE)="","",VLOOKUP(A95,'Données de base - Grunddaten'!$A$2:$M$297,3,FALSE))</f>
        <v>Embouchure de l'Aubonne</v>
      </c>
      <c r="D95" s="857" t="str">
        <f>IF(VLOOKUP(A95,'Données de base - Grunddaten'!$A$2:$M$297,4,FALSE)="","",VLOOKUP(A95,'Données de base - Grunddaten'!$A$2:$M$297,4,FALSE))</f>
        <v>L'Aubonne</v>
      </c>
      <c r="E95" s="857" t="str">
        <f>IF(VLOOKUP(A95,'Données de base - Grunddaten'!$A$2:$M$297,5,FALSE)="","",VLOOKUP(A95,'Données de base - Grunddaten'!$A$2:$M$297,5,FALSE))</f>
        <v>VD</v>
      </c>
      <c r="F95" s="857" t="str">
        <f>IF(VLOOKUP(A95,'Données de base - Grunddaten'!$A$2:$M$297,6,FALSE)="","",VLOOKUP(A95,'Données de base - Grunddaten'!$A$2:$M$297,6,FALSE))</f>
        <v>Bassins lémanique et rhénan</v>
      </c>
      <c r="G95" s="857" t="str">
        <f>IF(VLOOKUP(A95,'Données de base - Grunddaten'!$A$2:$M$297,7,FALSE)="","",VLOOKUP(A95,'Données de base - Grunddaten'!$A$2:$M$297,7,FALSE))</f>
        <v>Collinéen</v>
      </c>
      <c r="H95" s="857">
        <f>IF(VLOOKUP(A95,'Données de base - Grunddaten'!$A$2:$M$297,8,FALSE)="","",VLOOKUP(A95,'Données de base - Grunddaten'!$A$2:$M$297,8,FALSE))</f>
        <v>375</v>
      </c>
      <c r="I95" s="857">
        <f>IF(VLOOKUP(A95,'Données de base - Grunddaten'!$A$2:$M$297,9,FALSE)="","",VLOOKUP(A95,'Données de base - Grunddaten'!$A$2:$M$297,9,FALSE))</f>
        <v>1992</v>
      </c>
      <c r="J95" s="857">
        <f>IF(VLOOKUP(A95,'Données de base - Grunddaten'!$A$2:$M$297,10,FALSE)="","",VLOOKUP(A95,'Données de base - Grunddaten'!$A$2:$M$297,10,FALSE))</f>
        <v>51</v>
      </c>
      <c r="K95" s="857" t="str">
        <f>IF(VLOOKUP(A95,'Données de base - Grunddaten'!$A$2:$M$297,11,FALSE)="","",VLOOKUP(A95,'Données de base - Grunddaten'!$A$2:$M$297,11,FALSE))</f>
        <v>Cours d'eau naturels de l'étage collinéen du Moyen-Pays</v>
      </c>
      <c r="L95" s="857" t="str">
        <f>IF(VLOOKUP(A95,'Données de base - Grunddaten'!$A$2:$M$297,12,FALSE)="","",VLOOKUP(A95,'Données de base - Grunddaten'!$A$2:$M$297,12,FALSE))</f>
        <v>en méandres migrants</v>
      </c>
      <c r="M95" s="858" t="str">
        <f>IF(VLOOKUP(A95,'Données de base - Grunddaten'!$A$2:$M$297,13,FALSE)="","",VLOOKUP(A95,'Données de base - Grunddaten'!$A$2:$M$297,13,FALSE))</f>
        <v>en méandres migrants</v>
      </c>
      <c r="N95" s="872" t="str">
        <f>IF(VLOOKUP(A95,'Charriage - Geschiebehaushalt'!$A$4:$R$275,5,FALSE)="","",VLOOKUP(A95,'Charriage - Geschiebehaushalt'!$A$4:$R$275,5,FALSE))</f>
        <v>pertinent</v>
      </c>
      <c r="O95" s="881" t="str">
        <f>IF(VLOOKUP(A95,'Charriage - Geschiebehaushalt'!$A$4:$R$275,6,FALSE)="","",VLOOKUP(A95,'Charriage - Geschiebehaushalt'!$A$4:$R$275,6,FALSE))</f>
        <v>non documenté</v>
      </c>
      <c r="P95" s="874" t="str">
        <f>IF(VLOOKUP(A95,'Charriage - Geschiebehaushalt'!$A$4:$R$275,7,FALSE)="","",VLOOKUP(A95,'Charriage - Geschiebehaushalt'!$A$4:$R$275,7,FALSE))</f>
        <v/>
      </c>
      <c r="Q95" s="874" t="str">
        <f>IF(VLOOKUP(A95,'Charriage - Geschiebehaushalt'!$A$4:$R$275,8,FALSE)="","",VLOOKUP(A95,'Charriage - Geschiebehaushalt'!$A$4:$R$275,8,FALSE))</f>
        <v>non documenté</v>
      </c>
      <c r="R95" s="875">
        <f>IF(VLOOKUP(A95,'Charriage - Geschiebehaushalt'!$A$4:$R$275,9,FALSE)="","",VLOOKUP(A95,'Charriage - Geschiebehaushalt'!$A$4:$R$275,9,FALSE))</f>
        <v>0.109621417337702</v>
      </c>
      <c r="S95" s="876" t="str">
        <f>IF(VLOOKUP(A95,'Charriage - Geschiebehaushalt'!$A$4:$R$275,10,FALSE)="","",VLOOKUP(A95,'Charriage - Geschiebehaushalt'!$A$4:$R$275,10,FALSE))</f>
        <v>pas ou faiblement entravé</v>
      </c>
      <c r="T95" s="875">
        <f>IF(VLOOKUP(A95,'Charriage - Geschiebehaushalt'!$A$4:$R$275,11,FALSE)="","",VLOOKUP(A95,'Charriage - Geschiebehaushalt'!$A$4:$R$275,11,FALSE))</f>
        <v>3.4588633798999999E-2</v>
      </c>
      <c r="U95" s="876" t="str">
        <f>IF(VLOOKUP(A95,'Charriage - Geschiebehaushalt'!$A$4:$R$275,12,FALSE)="","",VLOOKUP(A95,'Charriage - Geschiebehaushalt'!$A$4:$R$275,12,FALSE))</f>
        <v>déficit dans les formations pionnières</v>
      </c>
      <c r="V95" s="877" t="str">
        <f>IF(VLOOKUP(A95,'Charriage - Geschiebehaushalt'!$A$4:$R$275,13,FALSE)="","",VLOOKUP(A95,'Charriage - Geschiebehaushalt'!$A$4:$R$275,13,FALSE))</f>
        <v>Charriage parait bien fonctionner selon géomorphologie du cours d'eau (grands bancs de graviers, extraction régulières du delta). Mais barrage en amont et peut-être aussi extraction</v>
      </c>
      <c r="W95" s="878" t="str">
        <f>IF(VLOOKUP(A95,'Charriage - Geschiebehaushalt'!$A$4:$R$275,14,FALSE)="","",VLOOKUP(A95,'Charriage - Geschiebehaushalt'!$A$4:$R$275,14,FALSE))</f>
        <v>charriage présumé faiblement perturbé</v>
      </c>
      <c r="X95" s="878" t="str">
        <f>IF(VLOOKUP(A95,'Charriage - Geschiebehaushalt'!$A$4:$R$275,15,FALSE)="","",VLOOKUP(A95,'Charriage - Geschiebehaushalt'!$A$4:$R$275,15,FALSE))</f>
        <v/>
      </c>
      <c r="Y95" s="882" t="str">
        <f>IF(VLOOKUP(A95,'Charriage - Geschiebehaushalt'!$A$4:$R$275,16,FALSE)="","",VLOOKUP(A95,'Charriage - Geschiebehaushalt'!$A$4:$R$275,16,FALSE))</f>
        <v/>
      </c>
      <c r="Z95" s="763" t="str">
        <f>IF(VLOOKUP(A95,'Charriage - Geschiebehaushalt'!$A$4:$R$275,17,FALSE)="","",VLOOKUP(A95,'Charriage - Geschiebehaushalt'!$A$4:$R$275,17,FALSE))</f>
        <v>Charriage présumé faiblement perturbé / Geschiebe vermutlich leicht beeinträchtigt</v>
      </c>
      <c r="AA95" s="880" t="str">
        <f>IF(VLOOKUP(A95,'Charriage - Geschiebehaushalt'!$A$4:$R$275,18,FALSE)="","",VLOOKUP(A95,'Charriage - Geschiebehaushalt'!$A$4:$R$275,18,FALSE))</f>
        <v>b</v>
      </c>
      <c r="AB95" s="737" t="str">
        <f>IF(VLOOKUP(A95,'Charriage - Geschiebehaushalt'!$A$4:$AC$275,19,FALSE)="","",VLOOKUP(A95,'Charriage - Geschiebehaushalt'!$A$4:$AC$275,19,FALSE))</f>
        <v>aucune</v>
      </c>
      <c r="AC95" s="738" t="str">
        <f>IF(VLOOKUP(A95,'Charriage - Geschiebehaushalt'!$A$4:$AC$275,20,FALSE)="","",VLOOKUP(A95,'Charriage - Geschiebehaushalt'!$A$4:$AC$275,20,FALSE))</f>
        <v>aucun</v>
      </c>
      <c r="AD95" s="764" t="str">
        <f>IF(VLOOKUP(A95,'Charriage - Geschiebehaushalt'!$A$4:$AC$275,21,FALSE)="","",VLOOKUP(A95,'Charriage - Geschiebehaushalt'!$A$4:$AC$275,21,FALSE))</f>
        <v>0-20%</v>
      </c>
      <c r="AE95" s="772" t="str">
        <f>IF(VLOOKUP(A95,'Charriage - Geschiebehaushalt'!$A$4:$AC$275,22,FALSE)="","",VLOOKUP(A95,'Charriage - Geschiebehaushalt'!$A$4:$AC$275,22,FALSE))</f>
        <v>0-20%</v>
      </c>
      <c r="AF95" s="787" t="str">
        <f>IF(VLOOKUP(A95,'Charriage - Geschiebehaushalt'!$A$4:$AC$275,23,FALSE)="","",VLOOKUP(A95,'Charriage - Geschiebehaushalt'!$A$4:$AC$275,23,FALSE))</f>
        <v>c</v>
      </c>
      <c r="AG95" s="765" t="str">
        <f>IF(VLOOKUP(A95,'Charriage - Geschiebehaushalt'!$A$4:$AC$275,24,FALSE)="","",VLOOKUP(A95,'Charriage - Geschiebehaushalt'!$A$4:$AC$275,24,FALSE))</f>
        <v/>
      </c>
      <c r="AH95" s="764" t="str">
        <f>IF(VLOOKUP(A95,'Charriage - Geschiebehaushalt'!$A$4:$AC$275,25,FALSE)="","",VLOOKUP(A95,'Charriage - Geschiebehaushalt'!$A$4:$AC$275,25,FALSE))</f>
        <v/>
      </c>
      <c r="AI95" s="896" t="str">
        <f>IF(VLOOKUP(A95,'Charriage - Geschiebehaushalt'!$A$4:$AC$275,26,FALSE)="","",VLOOKUP(A95,'Charriage - Geschiebehaushalt'!$A$4:$AC$275,26,FALSE))</f>
        <v>non</v>
      </c>
      <c r="AJ95" s="436" t="str">
        <f>IF(VLOOKUP(A95,'Charriage - Geschiebehaushalt'!$A$4:$AC$275,27,FALSE)="","",VLOOKUP(A95,'Charriage - Geschiebehaushalt'!$A$4:$AC$275,27,FALSE))</f>
        <v/>
      </c>
      <c r="AK95" s="814" t="str">
        <f>IF(VLOOKUP(A95,'Charriage - Geschiebehaushalt'!$A$4:$AC$275,28,FALSE)="","",VLOOKUP(A95,'Charriage - Geschiebehaushalt'!$A$4:$AC$275,28,FALSE))</f>
        <v>0-20%</v>
      </c>
      <c r="AL95" s="1285" t="str">
        <f>IF(VLOOKUP(A95,'Charriage - Geschiebehaushalt'!$A$4:$AD$275,30,FALSE)="","",VLOOKUP(A95,'Charriage - Geschiebehaushalt'!$A$4:$AD$275,30,FALSE))</f>
        <v>a</v>
      </c>
      <c r="AM95" s="1279" t="str">
        <f>IF(VLOOKUP(A95,'Débit - Abfluss'!$A$4:$K$275,5,FALSE)="","",VLOOKUP(A95,'Débit - Abfluss'!$A$4:$M$275,5,FALSE))</f>
        <v>100%</v>
      </c>
      <c r="AN95" s="868" t="str">
        <f>IF(VLOOKUP(A95,'Débit - Abfluss'!$A$4:$K$275,6,FALSE)="","",VLOOKUP(A95,'Débit - Abfluss'!$A$4:$M$275,6,FALSE))</f>
        <v>aucune information supplémentaire</v>
      </c>
      <c r="AO95" s="869" t="str">
        <f>IF(VLOOKUP(A95,'Débit - Abfluss'!$A$4:$K$275,7,FALSE)="","",VLOOKUP(A95,'Débit - Abfluss'!$A$4:$M$275,7,FALSE))</f>
        <v>aucune information supplémentaire</v>
      </c>
      <c r="AP95" s="766" t="str">
        <f>IF(VLOOKUP(A95,'Débit - Abfluss'!$A$4:$K$275,8,FALSE)="","",VLOOKUP(A95,'Débit - Abfluss'!$A$4:$M$275,8,FALSE))</f>
        <v>100%</v>
      </c>
      <c r="AQ95" s="742" t="str">
        <f>IF(VLOOKUP(A95,'Débit - Abfluss'!$A$4:$K$275,9,FALSE)="","",VLOOKUP(A95,'Débit - Abfluss'!$A$4:$M$275,9,FALSE))</f>
        <v>-</v>
      </c>
      <c r="AR95" s="767" t="str">
        <f>IF(VLOOKUP(A95,'Débit - Abfluss'!$A$4:$K$275,10,FALSE)="","",VLOOKUP(A95,'Débit - Abfluss'!$A$4:$M$275,10,FALSE))</f>
        <v>100%</v>
      </c>
      <c r="AS95" s="767" t="str">
        <f>IF(VLOOKUP(A95,'Débit - Abfluss'!$A$4:$K$275,11,FALSE)="","",VLOOKUP(A95,'Débit - Abfluss'!$A$4:$M$275,11,FALSE))</f>
        <v/>
      </c>
      <c r="AT95" s="778" t="str">
        <f>IF(VLOOKUP(A95,'Débit - Abfluss'!$A$4:$Q$275,12,FALSE)="","",VLOOKUP(A95,'Débit - Abfluss'!$A$4:$Q$275,12,FALSE))</f>
        <v/>
      </c>
      <c r="AU95" s="779" t="str">
        <f>IF(VLOOKUP(A95,'Débit - Abfluss'!$A$4:$Q$275,13,FALSE)="","",VLOOKUP(A95,'Débit - Abfluss'!$A$4:$Q$275,13,FALSE))</f>
        <v/>
      </c>
      <c r="AV95" s="746" t="str">
        <f>IF(VLOOKUP(A95,'Débit - Abfluss'!$A$4:$Q$275,14,FALSE)="","",VLOOKUP(A95,'Débit - Abfluss'!$A$4:$Q$275,14,FALSE))</f>
        <v/>
      </c>
      <c r="AW95" s="768" t="str">
        <f>IF(VLOOKUP(A95,'Débit - Abfluss'!$A$4:$Q$275,15,FALSE)="","",VLOOKUP(A95,'Débit - Abfluss'!$A$4:$Q$275,15,FALSE))</f>
        <v/>
      </c>
      <c r="AX95" s="679" t="str">
        <f>IF(VLOOKUP(A95,'Débit - Abfluss'!$A$4:$Q$275,16,FALSE)="","",VLOOKUP(A95,'Débit - Abfluss'!$A$4:$Q$275,16,FALSE))</f>
        <v/>
      </c>
      <c r="AY95" s="769" t="str">
        <f>IF(VLOOKUP(A95,'Débit - Abfluss'!$A$4:$Q$275,17,FALSE)="","",VLOOKUP(A95,'Débit - Abfluss'!$A$4:$Q$275,17,FALSE))</f>
        <v>100%</v>
      </c>
      <c r="AZ95" s="749" t="str">
        <f>IF(VLOOKUP(A95,'Eclusée - Schwall-Sunk'!$A$2:$F$273,5,FALSE)="","",VLOOKUP(A95,'Eclusée - Schwall-Sunk'!$A$2:$F$273,5,FALSE))</f>
        <v/>
      </c>
      <c r="BA95" s="750" t="str">
        <f>IF(VLOOKUP(A95,'Eclusée - Schwall-Sunk'!$A$2:$F$273,6,FALSE)="","",VLOOKUP(A95,'Eclusée - Schwall-Sunk'!$A$2:$F$273,6,FALSE))</f>
        <v>Potentiellement affecté / möglicherweise betroffen</v>
      </c>
      <c r="BB95" s="751">
        <f>IF(VLOOKUP(A95,'Revitalisation-Revitalisierung'!$A$4:$Z$275,5,FALSE)="","",VLOOKUP(A95,'Revitalisation-Revitalisierung'!$A$4:$Z$275,5,FALSE))</f>
        <v>3.9454545454545462</v>
      </c>
      <c r="BC95" s="752">
        <f>IF(VLOOKUP(A95,'Revitalisation-Revitalisierung'!$A$4:$Z$275,6,FALSE)="","",VLOOKUP(A95,'Revitalisation-Revitalisierung'!$A$4:$Z$275,6,FALSE))</f>
        <v>9.0601031016124178</v>
      </c>
      <c r="BD95" s="752">
        <f>IF(VLOOKUP(A95,'Revitalisation-Revitalisierung'!$A$4:$Z$275,7,FALSE)="","",VLOOKUP(A95,'Revitalisation-Revitalisierung'!$A$4:$Z$275,7,FALSE))</f>
        <v>5.4545454545454541</v>
      </c>
      <c r="BE95" s="920" t="str">
        <f>IF(VLOOKUP(A95,'Revitalisation-Revitalisierung'!$A$4:$Z$275,8,FALSE)="","",VLOOKUP(A95,'Revitalisation-Revitalisierung'!$A$4:$Z$275,8,FALSE))</f>
        <v>peu nécessaire, facile</v>
      </c>
      <c r="BF95" s="754" t="str">
        <f>IF(VLOOKUP(A95,'Revitalisation-Revitalisierung'!$A$4:$Z$275,9,FALSE)="","",VLOOKUP(A95,'Revitalisation-Revitalisierung'!$A$4:$Z$275,9,FALSE))</f>
        <v/>
      </c>
      <c r="BG95" s="754" t="str">
        <f>IF(VLOOKUP(A95,'Revitalisation-Revitalisierung'!$A$4:$Z$275,10,FALSE)="","",VLOOKUP(A95,'Revitalisation-Revitalisierung'!$A$4:$Z$275,10,FALSE))</f>
        <v>K3</v>
      </c>
      <c r="BH95" s="755" t="str">
        <f>IF(VLOOKUP(A95,'Revitalisation-Revitalisierung'!$A$4:$Z$275,11,FALSE)="","",VLOOKUP(A95,'Revitalisation-Revitalisierung'!$A$4:$Z$275,11,FALSE))</f>
        <v/>
      </c>
      <c r="BI95" s="756" t="str">
        <f>IF(VLOOKUP(A95,'Revitalisation-Revitalisierung'!$A$4:$Z$275,12,FALSE)="","",VLOOKUP(A95,'Revitalisation-Revitalisierung'!$A$4:$Z$275,12,FALSE))</f>
        <v/>
      </c>
      <c r="BJ95" s="757" t="str">
        <f>IF(VLOOKUP(A95,'Revitalisation-Revitalisierung'!$A$4:$Z$275,13,FALSE)="","",VLOOKUP(A95,'Revitalisation-Revitalisierung'!$A$4:$Z$275,13,FALSE))</f>
        <v>Partiellement nécessaire, facile / teilweise nötig, einfach</v>
      </c>
      <c r="BK95" s="870" t="str">
        <f>IF(VLOOKUP(A95,'Revitalisation-Revitalisierung'!$A$4:$Z$275,14,FALSE)="","",VLOOKUP(A95,'Revitalisation-Revitalisierung'!$A$4:$Z$275,14,FALSE))</f>
        <v>a</v>
      </c>
      <c r="BL95" s="758" t="str">
        <f>IF(VLOOKUP(A95,'Revitalisation-Revitalisierung'!$A$4:$Z$275,15,FALSE)="","",VLOOKUP(A95,'Revitalisation-Revitalisierung'!$A$4:$Z$275,15,FALSE))</f>
        <v>élevé</v>
      </c>
      <c r="BM95" s="759" t="str">
        <f>IF(VLOOKUP(A95,'Revitalisation-Revitalisierung'!$A$4:$Z$275,16,FALSE)="","",VLOOKUP(A95,'Revitalisation-Revitalisierung'!$A$4:$Z$275,16,FALSE))</f>
        <v>élevé et faible</v>
      </c>
      <c r="BN95" s="759" t="str">
        <f>IF(VLOOKUP(A95,'Revitalisation-Revitalisierung'!$A$4:$Z$275,17,FALSE)="","",VLOOKUP(A95,'Revitalisation-Revitalisierung'!$A$4:$Z$275,17,FALSE))</f>
        <v>moyen et nulle</v>
      </c>
      <c r="BO95" s="760" t="str">
        <f>IF(VLOOKUP(A95,'Revitalisation-Revitalisierung'!$A$4:$Z$275,18,FALSE)="","",VLOOKUP(A95,'Revitalisation-Revitalisierung'!$A$4:$Z$275,18,FALSE))</f>
        <v>Très nécessaire, facile / unbedingt nötig, einfach</v>
      </c>
      <c r="BP95" s="761" t="str">
        <f>IF(VLOOKUP(A95,'Revitalisation-Revitalisierung'!$A$4:$Z$275,19,FALSE)="","",VLOOKUP(A95,'Revitalisation-Revitalisierung'!$A$4:$Z$275,19,FALSE))</f>
        <v>Très nécessaire, facile / unbedingt nötig, einfach</v>
      </c>
      <c r="BQ95" s="759" t="str">
        <f>IF(VLOOKUP(A95,'Revitalisation-Revitalisierung'!$A$4:$Z$275,20,FALSE)="","",VLOOKUP(A95,'Revitalisation-Revitalisierung'!$A$4:$Z$275,20,FALSE))</f>
        <v>c</v>
      </c>
      <c r="BR95" s="759" t="str">
        <f>IF(VLOOKUP(A95,'Revitalisation-Revitalisierung'!$A$4:$Z$275,21,FALSE)="","",VLOOKUP(A95,'Revitalisation-Revitalisierung'!$A$4:$Z$275,21,FALSE))</f>
        <v/>
      </c>
      <c r="BS95" s="762" t="str">
        <f>IF(VLOOKUP(A95,'Revitalisation-Revitalisierung'!$A$4:$Z$275,22,FALSE)="","",VLOOKUP(A95,'Revitalisation-Revitalisierung'!$A$4:$Z$275,22,FALSE))</f>
        <v/>
      </c>
      <c r="BT95" s="700" t="str">
        <f>IF(VLOOKUP(A95,'Revitalisation-Revitalisierung'!$A$4:$Z$275,23,FALSE)="","",VLOOKUP(A95,'Revitalisation-Revitalisierung'!$A$4:$Z$275,23,FALSE))</f>
        <v/>
      </c>
      <c r="BU95" s="699" t="str">
        <f>IF(VLOOKUP(A95,'Revitalisation-Revitalisierung'!$A$4:$Z$275,24,FALSE)="","",VLOOKUP(A95,'Revitalisation-Revitalisierung'!$A$4:$Z$275,24,FALSE))</f>
        <v/>
      </c>
      <c r="BV95" s="761" t="str">
        <f>IF(VLOOKUP(A95,'Revitalisation-Revitalisierung'!$A$4:$Z$275,25,FALSE)="","",VLOOKUP(A95,'Revitalisation-Revitalisierung'!$A$4:$Z$275,25,FALSE))</f>
        <v>Très nécessaire, facile / unbedingt nötig, einfach</v>
      </c>
      <c r="BW95" s="871" t="str">
        <f>IF(VLOOKUP(A95,'Revitalisation-Revitalisierung'!$A$4:$AA$275,27,FALSE)="","",VLOOKUP(A95,'Revitalisation-Revitalisierung'!$A$4:$AA$275,27,FALSE))</f>
        <v>a</v>
      </c>
    </row>
    <row r="96" spans="1:75" ht="48" customHeight="1" x14ac:dyDescent="0.25">
      <c r="A96" s="936">
        <v>119.3</v>
      </c>
      <c r="B96" s="856">
        <f>IF(VLOOKUP(A96,'Données de base - Grunddaten'!$A$2:$M$297,2,FALSE)="","",VLOOKUP(A96,'Données de base - Grunddaten'!$A$2:$M$297,2,FALSE))</f>
        <v>3</v>
      </c>
      <c r="C96" s="857" t="str">
        <f>IF(VLOOKUP(A96,'Données de base - Grunddaten'!$A$2:$M$297,3,FALSE)="","",VLOOKUP(A96,'Données de base - Grunddaten'!$A$2:$M$297,3,FALSE))</f>
        <v>Embouchure de l'Aubonne</v>
      </c>
      <c r="D96" s="857" t="str">
        <f>IF(VLOOKUP(A96,'Données de base - Grunddaten'!$A$2:$M$297,4,FALSE)="","",VLOOKUP(A96,'Données de base - Grunddaten'!$A$2:$M$297,4,FALSE))</f>
        <v>L'Aubonne</v>
      </c>
      <c r="E96" s="857" t="str">
        <f>IF(VLOOKUP(A96,'Données de base - Grunddaten'!$A$2:$M$297,5,FALSE)="","",VLOOKUP(A96,'Données de base - Grunddaten'!$A$2:$M$297,5,FALSE))</f>
        <v>VD</v>
      </c>
      <c r="F96" s="857" t="str">
        <f>IF(VLOOKUP(A96,'Données de base - Grunddaten'!$A$2:$M$297,6,FALSE)="","",VLOOKUP(A96,'Données de base - Grunddaten'!$A$2:$M$297,6,FALSE))</f>
        <v>Bassins lémanique et rhénan</v>
      </c>
      <c r="G96" s="857" t="str">
        <f>IF(VLOOKUP(A96,'Données de base - Grunddaten'!$A$2:$M$297,7,FALSE)="","",VLOOKUP(A96,'Données de base - Grunddaten'!$A$2:$M$297,7,FALSE))</f>
        <v>Collinéen</v>
      </c>
      <c r="H96" s="857">
        <f>IF(VLOOKUP(A96,'Données de base - Grunddaten'!$A$2:$M$297,8,FALSE)="","",VLOOKUP(A96,'Données de base - Grunddaten'!$A$2:$M$297,8,FALSE))</f>
        <v>375</v>
      </c>
      <c r="I96" s="857">
        <f>IF(VLOOKUP(A96,'Données de base - Grunddaten'!$A$2:$M$297,9,FALSE)="","",VLOOKUP(A96,'Données de base - Grunddaten'!$A$2:$M$297,9,FALSE))</f>
        <v>1992</v>
      </c>
      <c r="J96" s="857">
        <f>IF(VLOOKUP(A96,'Données de base - Grunddaten'!$A$2:$M$297,10,FALSE)="","",VLOOKUP(A96,'Données de base - Grunddaten'!$A$2:$M$297,10,FALSE))</f>
        <v>101</v>
      </c>
      <c r="K96" s="857" t="str">
        <f>IF(VLOOKUP(A96,'Données de base - Grunddaten'!$A$2:$M$297,11,FALSE)="","",VLOOKUP(A96,'Données de base - Grunddaten'!$A$2:$M$297,11,FALSE))</f>
        <v>Rives de lacs des étages collinéen et montagnard</v>
      </c>
      <c r="L96" s="857" t="str">
        <f>IF(VLOOKUP(A96,'Données de base - Grunddaten'!$A$2:$M$297,12,FALSE)="","",VLOOKUP(A96,'Données de base - Grunddaten'!$A$2:$M$297,12,FALSE))</f>
        <v>rives lacustres</v>
      </c>
      <c r="M96" s="858" t="str">
        <f>IF(VLOOKUP(A96,'Données de base - Grunddaten'!$A$2:$M$297,13,FALSE)="","",VLOOKUP(A96,'Données de base - Grunddaten'!$A$2:$M$297,13,FALSE))</f>
        <v>rives lacustres</v>
      </c>
      <c r="N96" s="891" t="str">
        <f>IF(VLOOKUP(A96,'Charriage - Geschiebehaushalt'!$A$4:$R$275,5,FALSE)="","",VLOOKUP(A96,'Charriage - Geschiebehaushalt'!$A$4:$R$275,5,FALSE))</f>
        <v>non pertinent</v>
      </c>
      <c r="O96" s="881" t="str">
        <f>IF(VLOOKUP(A96,'Charriage - Geschiebehaushalt'!$A$4:$R$275,6,FALSE)="","",VLOOKUP(A96,'Charriage - Geschiebehaushalt'!$A$4:$R$275,6,FALSE))</f>
        <v/>
      </c>
      <c r="P96" s="874" t="str">
        <f>IF(VLOOKUP(A96,'Charriage - Geschiebehaushalt'!$A$4:$R$275,7,FALSE)="","",VLOOKUP(A96,'Charriage - Geschiebehaushalt'!$A$4:$R$275,7,FALSE))</f>
        <v/>
      </c>
      <c r="Q96" s="874" t="str">
        <f>IF(VLOOKUP(A96,'Charriage - Geschiebehaushalt'!$A$4:$R$275,8,FALSE)="","",VLOOKUP(A96,'Charriage - Geschiebehaushalt'!$A$4:$R$275,8,FALSE))</f>
        <v>non documenté</v>
      </c>
      <c r="R96" s="875">
        <f>IF(VLOOKUP(A96,'Charriage - Geschiebehaushalt'!$A$4:$R$275,9,FALSE)="","",VLOOKUP(A96,'Charriage - Geschiebehaushalt'!$A$4:$R$275,9,FALSE))</f>
        <v>0.25876528950237399</v>
      </c>
      <c r="S96" s="876" t="str">
        <f>IF(VLOOKUP(A96,'Charriage - Geschiebehaushalt'!$A$4:$R$275,10,FALSE)="","",VLOOKUP(A96,'Charriage - Geschiebehaushalt'!$A$4:$R$275,10,FALSE))</f>
        <v>la remobilisation des sédiments est perturbée</v>
      </c>
      <c r="T96" s="875">
        <f>IF(VLOOKUP(A96,'Charriage - Geschiebehaushalt'!$A$4:$R$275,11,FALSE)="","",VLOOKUP(A96,'Charriage - Geschiebehaushalt'!$A$4:$R$275,11,FALSE))</f>
        <v>0.25459243350999999</v>
      </c>
      <c r="U96" s="876" t="str">
        <f>IF(VLOOKUP(A96,'Charriage - Geschiebehaushalt'!$A$4:$R$275,12,FALSE)="","",VLOOKUP(A96,'Charriage - Geschiebehaushalt'!$A$4:$R$275,12,FALSE))</f>
        <v>déficit dans les formations pionnières</v>
      </c>
      <c r="V96" s="877" t="str">
        <f>IF(VLOOKUP(A96,'Charriage - Geschiebehaushalt'!$A$4:$R$275,13,FALSE)="","",VLOOKUP(A96,'Charriage - Geschiebehaushalt'!$A$4:$R$275,13,FALSE))</f>
        <v/>
      </c>
      <c r="W96" s="877" t="str">
        <f>IF(VLOOKUP(A96,'Charriage - Geschiebehaushalt'!$A$4:$R$275,14,FALSE)="","",VLOOKUP(A96,'Charriage - Geschiebehaushalt'!$A$4:$R$275,14,FALSE))</f>
        <v/>
      </c>
      <c r="X96" s="877" t="str">
        <f>IF(VLOOKUP(A96,'Charriage - Geschiebehaushalt'!$A$4:$R$275,15,FALSE)="","",VLOOKUP(A96,'Charriage - Geschiebehaushalt'!$A$4:$R$275,15,FALSE))</f>
        <v/>
      </c>
      <c r="Y96" s="879" t="str">
        <f>IF(VLOOKUP(A96,'Charriage - Geschiebehaushalt'!$A$4:$R$275,16,FALSE)="","",VLOOKUP(A96,'Charriage - Geschiebehaushalt'!$A$4:$R$275,16,FALSE))</f>
        <v/>
      </c>
      <c r="Z96" s="763" t="str">
        <f>IF(VLOOKUP(A96,'Charriage - Geschiebehaushalt'!$A$4:$R$275,17,FALSE)="","",VLOOKUP(A96,'Charriage - Geschiebehaushalt'!$A$4:$R$275,17,FALSE))</f>
        <v>non pertinent / nicht relevant</v>
      </c>
      <c r="AA96" s="880" t="str">
        <f>IF(VLOOKUP(A96,'Charriage - Geschiebehaushalt'!$A$4:$R$275,18,FALSE)="","",VLOOKUP(A96,'Charriage - Geschiebehaushalt'!$A$4:$R$275,18,FALSE))</f>
        <v>a</v>
      </c>
      <c r="AB96" s="737">
        <f>IF(VLOOKUP(A96,'Charriage - Geschiebehaushalt'!$A$4:$AC$275,19,FALSE)="","",VLOOKUP(A96,'Charriage - Geschiebehaushalt'!$A$4:$AC$275,19,FALSE))</f>
        <v>0</v>
      </c>
      <c r="AC96" s="738">
        <f>IF(VLOOKUP(A96,'Charriage - Geschiebehaushalt'!$A$4:$AC$275,20,FALSE)="","",VLOOKUP(A96,'Charriage - Geschiebehaushalt'!$A$4:$AC$275,20,FALSE))</f>
        <v>0</v>
      </c>
      <c r="AD96" s="764" t="str">
        <f>IF(VLOOKUP(A96,'Charriage - Geschiebehaushalt'!$A$4:$AC$275,21,FALSE)="","",VLOOKUP(A96,'Charriage - Geschiebehaushalt'!$A$4:$AC$275,21,FALSE))</f>
        <v/>
      </c>
      <c r="AE96" s="772" t="str">
        <f>IF(VLOOKUP(A96,'Charriage - Geschiebehaushalt'!$A$4:$AC$275,22,FALSE)="","",VLOOKUP(A96,'Charriage - Geschiebehaushalt'!$A$4:$AC$275,22,FALSE))</f>
        <v>non pertinent / nicht relevant</v>
      </c>
      <c r="AF96" s="787" t="str">
        <f>IF(VLOOKUP(A96,'Charriage - Geschiebehaushalt'!$A$4:$AC$275,23,FALSE)="","",VLOOKUP(A96,'Charriage - Geschiebehaushalt'!$A$4:$AC$275,23,FALSE))</f>
        <v>a</v>
      </c>
      <c r="AG96" s="787" t="str">
        <f>IF(VLOOKUP(A96,'Charriage - Geschiebehaushalt'!$A$4:$AC$275,24,FALSE)="","",VLOOKUP(A96,'Charriage - Geschiebehaushalt'!$A$4:$AC$275,24,FALSE))</f>
        <v/>
      </c>
      <c r="AH96" s="764" t="str">
        <f>IF(VLOOKUP(A96,'Charriage - Geschiebehaushalt'!$A$4:$AC$275,25,FALSE)="","",VLOOKUP(A96,'Charriage - Geschiebehaushalt'!$A$4:$AC$275,25,FALSE))</f>
        <v/>
      </c>
      <c r="AI96" s="903" t="str">
        <f>IF(VLOOKUP(A96,'Charriage - Geschiebehaushalt'!$A$4:$AC$275,26,FALSE)="","",VLOOKUP(A96,'Charriage - Geschiebehaushalt'!$A$4:$AC$275,26,FALSE))</f>
        <v>non</v>
      </c>
      <c r="AJ96" s="1283" t="str">
        <f>IF(VLOOKUP(A96,'Charriage - Geschiebehaushalt'!$A$4:$AC$275,27,FALSE)="","",VLOOKUP(A96,'Charriage - Geschiebehaushalt'!$A$4:$AC$275,27,FALSE))</f>
        <v/>
      </c>
      <c r="AK96" s="814" t="str">
        <f>IF(VLOOKUP(A96,'Charriage - Geschiebehaushalt'!$A$4:$AC$275,28,FALSE)="","",VLOOKUP(A96,'Charriage - Geschiebehaushalt'!$A$4:$AC$275,28,FALSE))</f>
        <v>non pertinent / nicht relevant</v>
      </c>
      <c r="AL96" s="1285" t="str">
        <f>IF(VLOOKUP(A96,'Charriage - Geschiebehaushalt'!$A$4:$AD$275,30,FALSE)="","",VLOOKUP(A96,'Charriage - Geschiebehaushalt'!$A$4:$AD$275,30,FALSE))</f>
        <v>a</v>
      </c>
      <c r="AM96" s="1279" t="str">
        <f>IF(VLOOKUP(A96,'Débit - Abfluss'!$A$4:$K$275,5,FALSE)="","",VLOOKUP(A96,'Débit - Abfluss'!$A$4:$M$275,5,FALSE))</f>
        <v>non pertinent</v>
      </c>
      <c r="AN96" s="868" t="str">
        <f>IF(VLOOKUP(A96,'Débit - Abfluss'!$A$4:$K$275,6,FALSE)="","",VLOOKUP(A96,'Débit - Abfluss'!$A$4:$M$275,6,FALSE))</f>
        <v/>
      </c>
      <c r="AO96" s="869" t="str">
        <f>IF(VLOOKUP(A96,'Débit - Abfluss'!$A$4:$K$275,7,FALSE)="","",VLOOKUP(A96,'Débit - Abfluss'!$A$4:$M$275,7,FALSE))</f>
        <v/>
      </c>
      <c r="AP96" s="766" t="str">
        <f>IF(VLOOKUP(A96,'Débit - Abfluss'!$A$4:$K$275,8,FALSE)="","",VLOOKUP(A96,'Débit - Abfluss'!$A$4:$M$275,8,FALSE))</f>
        <v>non pertinent / nicht relevant</v>
      </c>
      <c r="AQ96" s="742" t="str">
        <f>IF(VLOOKUP(A96,'Débit - Abfluss'!$A$4:$K$275,9,FALSE)="","",VLOOKUP(A96,'Débit - Abfluss'!$A$4:$M$275,9,FALSE))</f>
        <v>-</v>
      </c>
      <c r="AR96" s="770" t="str">
        <f>IF(VLOOKUP(A96,'Débit - Abfluss'!$A$4:$K$275,10,FALSE)="","",VLOOKUP(A96,'Débit - Abfluss'!$A$4:$M$275,10,FALSE))</f>
        <v>non pertinent / nicht relevant</v>
      </c>
      <c r="AS96" s="767" t="str">
        <f>IF(VLOOKUP(A96,'Débit - Abfluss'!$A$4:$K$275,11,FALSE)="","",VLOOKUP(A96,'Débit - Abfluss'!$A$4:$M$275,11,FALSE))</f>
        <v/>
      </c>
      <c r="AT96" s="778" t="str">
        <f>IF(VLOOKUP(A96,'Débit - Abfluss'!$A$4:$Q$275,12,FALSE)="","",VLOOKUP(A96,'Débit - Abfluss'!$A$4:$Q$275,12,FALSE))</f>
        <v/>
      </c>
      <c r="AU96" s="779" t="str">
        <f>IF(VLOOKUP(A96,'Débit - Abfluss'!$A$4:$Q$275,13,FALSE)="","",VLOOKUP(A96,'Débit - Abfluss'!$A$4:$Q$275,13,FALSE))</f>
        <v/>
      </c>
      <c r="AV96" s="746" t="str">
        <f>IF(VLOOKUP(A96,'Débit - Abfluss'!$A$4:$Q$275,14,FALSE)="","",VLOOKUP(A96,'Débit - Abfluss'!$A$4:$Q$275,14,FALSE))</f>
        <v/>
      </c>
      <c r="AW96" s="768" t="str">
        <f>IF(VLOOKUP(A96,'Débit - Abfluss'!$A$4:$Q$275,15,FALSE)="","",VLOOKUP(A96,'Débit - Abfluss'!$A$4:$Q$275,15,FALSE))</f>
        <v/>
      </c>
      <c r="AX96" s="679" t="str">
        <f>IF(VLOOKUP(A96,'Débit - Abfluss'!$A$4:$Q$275,16,FALSE)="","",VLOOKUP(A96,'Débit - Abfluss'!$A$4:$Q$275,16,FALSE))</f>
        <v/>
      </c>
      <c r="AY96" s="776" t="str">
        <f>IF(VLOOKUP(A96,'Débit - Abfluss'!$A$4:$Q$275,17,FALSE)="","",VLOOKUP(A96,'Débit - Abfluss'!$A$4:$Q$275,17,FALSE))</f>
        <v>non pertinent / nicht relevant</v>
      </c>
      <c r="AZ96" s="749" t="str">
        <f>IF(VLOOKUP(A96,'Eclusée - Schwall-Sunk'!$A$2:$F$273,5,FALSE)="","",VLOOKUP(A96,'Eclusée - Schwall-Sunk'!$A$2:$F$273,5,FALSE))</f>
        <v/>
      </c>
      <c r="BA96" s="750" t="str">
        <f>IF(VLOOKUP(A96,'Eclusée - Schwall-Sunk'!$A$2:$F$273,6,FALSE)="","",VLOOKUP(A96,'Eclusée - Schwall-Sunk'!$A$2:$F$273,6,FALSE))</f>
        <v>Non affecté / nicht betroffen</v>
      </c>
      <c r="BB96" s="751" t="str">
        <f>IF(VLOOKUP(A96,'Revitalisation-Revitalisierung'!$A$4:$Z$275,5,FALSE)="","",VLOOKUP(A96,'Revitalisation-Revitalisierung'!$A$4:$Z$275,5,FALSE))</f>
        <v/>
      </c>
      <c r="BC96" s="752" t="str">
        <f>IF(VLOOKUP(A96,'Revitalisation-Revitalisierung'!$A$4:$Z$275,6,FALSE)="","",VLOOKUP(A96,'Revitalisation-Revitalisierung'!$A$4:$Z$275,6,FALSE))</f>
        <v/>
      </c>
      <c r="BD96" s="752" t="str">
        <f>IF(VLOOKUP(A96,'Revitalisation-Revitalisierung'!$A$4:$Z$275,7,FALSE)="","",VLOOKUP(A96,'Revitalisation-Revitalisierung'!$A$4:$Z$275,7,FALSE))</f>
        <v/>
      </c>
      <c r="BE96" s="753" t="str">
        <f>IF(VLOOKUP(A96,'Revitalisation-Revitalisierung'!$A$4:$Z$275,8,FALSE)="","",VLOOKUP(A96,'Revitalisation-Revitalisierung'!$A$4:$Z$275,8,FALSE))</f>
        <v/>
      </c>
      <c r="BF96" s="754" t="str">
        <f>IF(VLOOKUP(A96,'Revitalisation-Revitalisierung'!$A$4:$Z$275,9,FALSE)="","",VLOOKUP(A96,'Revitalisation-Revitalisierung'!$A$4:$Z$275,9,FALSE))</f>
        <v/>
      </c>
      <c r="BG96" s="754" t="str">
        <f>IF(VLOOKUP(A96,'Revitalisation-Revitalisierung'!$A$4:$Z$275,10,FALSE)="","",VLOOKUP(A96,'Revitalisation-Revitalisierung'!$A$4:$Z$275,10,FALSE))</f>
        <v>K3</v>
      </c>
      <c r="BH96" s="755" t="str">
        <f>IF(VLOOKUP(A96,'Revitalisation-Revitalisierung'!$A$4:$Z$275,11,FALSE)="","",VLOOKUP(A96,'Revitalisation-Revitalisierung'!$A$4:$Z$275,11,FALSE))</f>
        <v>peu nécessaire, facile</v>
      </c>
      <c r="BI96" s="756" t="str">
        <f>IF(VLOOKUP(A96,'Revitalisation-Revitalisierung'!$A$4:$Z$275,12,FALSE)="","",VLOOKUP(A96,'Revitalisation-Revitalisierung'!$A$4:$Z$275,12,FALSE))</f>
        <v/>
      </c>
      <c r="BJ96" s="757" t="str">
        <f>IF(VLOOKUP(A96,'Revitalisation-Revitalisierung'!$A$4:$Z$275,13,FALSE)="","",VLOOKUP(A96,'Revitalisation-Revitalisierung'!$A$4:$Z$275,13,FALSE))</f>
        <v>Non nécessaire / nicht nötig</v>
      </c>
      <c r="BK96" s="870" t="str">
        <f>IF(VLOOKUP(A96,'Revitalisation-Revitalisierung'!$A$4:$Z$275,14,FALSE)="","",VLOOKUP(A96,'Revitalisation-Revitalisierung'!$A$4:$Z$275,14,FALSE))</f>
        <v>b</v>
      </c>
      <c r="BL96" s="758">
        <f>IF(VLOOKUP(A96,'Revitalisation-Revitalisierung'!$A$4:$Z$275,15,FALSE)="","",VLOOKUP(A96,'Revitalisation-Revitalisierung'!$A$4:$Z$275,15,FALSE))</f>
        <v>0</v>
      </c>
      <c r="BM96" s="759">
        <f>IF(VLOOKUP(A96,'Revitalisation-Revitalisierung'!$A$4:$Z$275,16,FALSE)="","",VLOOKUP(A96,'Revitalisation-Revitalisierung'!$A$4:$Z$275,16,FALSE))</f>
        <v>0</v>
      </c>
      <c r="BN96" s="759">
        <f>IF(VLOOKUP(A96,'Revitalisation-Revitalisierung'!$A$4:$Z$275,17,FALSE)="","",VLOOKUP(A96,'Revitalisation-Revitalisierung'!$A$4:$Z$275,17,FALSE))</f>
        <v>0</v>
      </c>
      <c r="BO96" s="760" t="str">
        <f>IF(VLOOKUP(A96,'Revitalisation-Revitalisierung'!$A$4:$Z$275,18,FALSE)="","",VLOOKUP(A96,'Revitalisation-Revitalisierung'!$A$4:$Z$275,18,FALSE))</f>
        <v/>
      </c>
      <c r="BP96" s="761" t="str">
        <f>IF(VLOOKUP(A96,'Revitalisation-Revitalisierung'!$A$4:$Z$275,19,FALSE)="","",VLOOKUP(A96,'Revitalisation-Revitalisierung'!$A$4:$Z$275,19,FALSE))</f>
        <v>Non nécessaire / nicht nötig</v>
      </c>
      <c r="BQ96" s="759" t="str">
        <f>IF(VLOOKUP(A96,'Revitalisation-Revitalisierung'!$A$4:$Z$275,20,FALSE)="","",VLOOKUP(A96,'Revitalisation-Revitalisierung'!$A$4:$Z$275,20,FALSE))</f>
        <v>b</v>
      </c>
      <c r="BR96" s="759" t="str">
        <f>IF(VLOOKUP(A96,'Revitalisation-Revitalisierung'!$A$4:$Z$275,21,FALSE)="","",VLOOKUP(A96,'Revitalisation-Revitalisierung'!$A$4:$Z$275,21,FALSE))</f>
        <v/>
      </c>
      <c r="BS96" s="762" t="str">
        <f>IF(VLOOKUP(A96,'Revitalisation-Revitalisierung'!$A$4:$Z$275,22,FALSE)="","",VLOOKUP(A96,'Revitalisation-Revitalisierung'!$A$4:$Z$275,22,FALSE))</f>
        <v/>
      </c>
      <c r="BT96" s="700" t="str">
        <f>IF(VLOOKUP(A96,'Revitalisation-Revitalisierung'!$A$4:$Z$275,23,FALSE)="","",VLOOKUP(A96,'Revitalisation-Revitalisierung'!$A$4:$Z$275,23,FALSE))</f>
        <v/>
      </c>
      <c r="BU96" s="699" t="str">
        <f>IF(VLOOKUP(A96,'Revitalisation-Revitalisierung'!$A$4:$Z$275,24,FALSE)="","",VLOOKUP(A96,'Revitalisation-Revitalisierung'!$A$4:$Z$275,24,FALSE))</f>
        <v/>
      </c>
      <c r="BV96" s="761" t="str">
        <f>IF(VLOOKUP(A96,'Revitalisation-Revitalisierung'!$A$4:$Z$275,25,FALSE)="","",VLOOKUP(A96,'Revitalisation-Revitalisierung'!$A$4:$Z$275,25,FALSE))</f>
        <v>Non nécessaire / nicht nötig</v>
      </c>
      <c r="BW96" s="871" t="str">
        <f>IF(VLOOKUP(A96,'Revitalisation-Revitalisierung'!$A$4:$AA$275,27,FALSE)="","",VLOOKUP(A96,'Revitalisation-Revitalisierung'!$A$4:$AA$275,27,FALSE))</f>
        <v>b</v>
      </c>
    </row>
    <row r="97" spans="1:75" ht="84" customHeight="1" x14ac:dyDescent="0.25">
      <c r="A97" s="935">
        <v>120</v>
      </c>
      <c r="B97" s="856">
        <f>IF(VLOOKUP(A97,'Données de base - Grunddaten'!$A$2:$M$297,2,FALSE)="","",VLOOKUP(A97,'Données de base - Grunddaten'!$A$2:$M$297,2,FALSE))</f>
        <v>1</v>
      </c>
      <c r="C97" s="857" t="str">
        <f>IF(VLOOKUP(A97,'Données de base - Grunddaten'!$A$2:$M$297,3,FALSE)="","",VLOOKUP(A97,'Données de base - Grunddaten'!$A$2:$M$297,3,FALSE))</f>
        <v>Les Iles de Bussigny</v>
      </c>
      <c r="D97" s="857" t="str">
        <f>IF(VLOOKUP(A97,'Données de base - Grunddaten'!$A$2:$M$297,4,FALSE)="","",VLOOKUP(A97,'Données de base - Grunddaten'!$A$2:$M$297,4,FALSE))</f>
        <v>La Venoge</v>
      </c>
      <c r="E97" s="857" t="str">
        <f>IF(VLOOKUP(A97,'Données de base - Grunddaten'!$A$2:$M$297,5,FALSE)="","",VLOOKUP(A97,'Données de base - Grunddaten'!$A$2:$M$297,5,FALSE))</f>
        <v>VD</v>
      </c>
      <c r="F97" s="857" t="str">
        <f>IF(VLOOKUP(A97,'Données de base - Grunddaten'!$A$2:$M$297,6,FALSE)="","",VLOOKUP(A97,'Données de base - Grunddaten'!$A$2:$M$297,6,FALSE))</f>
        <v>Bassins lémanique et rhénan, Plateau occidental</v>
      </c>
      <c r="G97" s="857" t="str">
        <f>IF(VLOOKUP(A97,'Données de base - Grunddaten'!$A$2:$M$297,7,FALSE)="","",VLOOKUP(A97,'Données de base - Grunddaten'!$A$2:$M$297,7,FALSE))</f>
        <v>Collinéen</v>
      </c>
      <c r="H97" s="857">
        <f>IF(VLOOKUP(A97,'Données de base - Grunddaten'!$A$2:$M$297,8,FALSE)="","",VLOOKUP(A97,'Données de base - Grunddaten'!$A$2:$M$297,8,FALSE))</f>
        <v>394</v>
      </c>
      <c r="I97" s="857">
        <f>IF(VLOOKUP(A97,'Données de base - Grunddaten'!$A$2:$M$297,9,FALSE)="","",VLOOKUP(A97,'Données de base - Grunddaten'!$A$2:$M$297,9,FALSE))</f>
        <v>1992</v>
      </c>
      <c r="J97" s="857">
        <f>IF(VLOOKUP(A97,'Données de base - Grunddaten'!$A$2:$M$297,10,FALSE)="","",VLOOKUP(A97,'Données de base - Grunddaten'!$A$2:$M$297,10,FALSE))</f>
        <v>51</v>
      </c>
      <c r="K97" s="857" t="str">
        <f>IF(VLOOKUP(A97,'Données de base - Grunddaten'!$A$2:$M$297,11,FALSE)="","",VLOOKUP(A97,'Données de base - Grunddaten'!$A$2:$M$297,11,FALSE))</f>
        <v>Cours d'eau naturels de l'étage collinéen du Moyen-Pays</v>
      </c>
      <c r="L97" s="857" t="str">
        <f>IF(VLOOKUP(A97,'Données de base - Grunddaten'!$A$2:$M$297,12,FALSE)="","",VLOOKUP(A97,'Données de base - Grunddaten'!$A$2:$M$297,12,FALSE))</f>
        <v>en méandres migrants</v>
      </c>
      <c r="M97" s="858" t="str">
        <f>IF(VLOOKUP(A97,'Données de base - Grunddaten'!$A$2:$M$297,13,FALSE)="","",VLOOKUP(A97,'Données de base - Grunddaten'!$A$2:$M$297,13,FALSE))</f>
        <v>en méandres migrants</v>
      </c>
      <c r="N97" s="872" t="str">
        <f>IF(VLOOKUP(A97,'Charriage - Geschiebehaushalt'!$A$4:$R$275,5,FALSE)="","",VLOOKUP(A97,'Charriage - Geschiebehaushalt'!$A$4:$R$275,5,FALSE))</f>
        <v>pertinent</v>
      </c>
      <c r="O97" s="881" t="str">
        <f>IF(VLOOKUP(A97,'Charriage - Geschiebehaushalt'!$A$4:$R$275,6,FALSE)="","",VLOOKUP(A97,'Charriage - Geschiebehaushalt'!$A$4:$R$275,6,FALSE))</f>
        <v>non documenté</v>
      </c>
      <c r="P97" s="874" t="str">
        <f>IF(VLOOKUP(A97,'Charriage - Geschiebehaushalt'!$A$4:$R$275,7,FALSE)="","",VLOOKUP(A97,'Charriage - Geschiebehaushalt'!$A$4:$R$275,7,FALSE))</f>
        <v/>
      </c>
      <c r="Q97" s="874" t="str">
        <f>IF(VLOOKUP(A97,'Charriage - Geschiebehaushalt'!$A$4:$R$275,8,FALSE)="","",VLOOKUP(A97,'Charriage - Geschiebehaushalt'!$A$4:$R$275,8,FALSE))</f>
        <v>non documenté</v>
      </c>
      <c r="R97" s="875">
        <f>IF(VLOOKUP(A97,'Charriage - Geschiebehaushalt'!$A$4:$R$275,9,FALSE)="","",VLOOKUP(A97,'Charriage - Geschiebehaushalt'!$A$4:$R$275,9,FALSE))</f>
        <v>0</v>
      </c>
      <c r="S97" s="876" t="str">
        <f>IF(VLOOKUP(A97,'Charriage - Geschiebehaushalt'!$A$4:$R$275,10,FALSE)="","",VLOOKUP(A97,'Charriage - Geschiebehaushalt'!$A$4:$R$275,10,FALSE))</f>
        <v>pas ou faiblement entravé</v>
      </c>
      <c r="T97" s="875">
        <f>IF(VLOOKUP(A97,'Charriage - Geschiebehaushalt'!$A$4:$R$275,11,FALSE)="","",VLOOKUP(A97,'Charriage - Geschiebehaushalt'!$A$4:$R$275,11,FALSE))</f>
        <v>4.7852620335999997E-2</v>
      </c>
      <c r="U97" s="876" t="str">
        <f>IF(VLOOKUP(A97,'Charriage - Geschiebehaushalt'!$A$4:$R$275,12,FALSE)="","",VLOOKUP(A97,'Charriage - Geschiebehaushalt'!$A$4:$R$275,12,FALSE))</f>
        <v>déficit dans les formations pionnières</v>
      </c>
      <c r="V97" s="877" t="str">
        <f>IF(VLOOKUP(A97,'Charriage - Geschiebehaushalt'!$A$4:$R$275,13,FALSE)="","",VLOOKUP(A97,'Charriage - Geschiebehaushalt'!$A$4:$R$275,13,FALSE))</f>
        <v>A ma connaissance, pas de perturbation du charriage à la Venoge. Dominance alluvions sableuses, un peu de gravier</v>
      </c>
      <c r="W97" s="878" t="str">
        <f>IF(VLOOKUP(A97,'Charriage - Geschiebehaushalt'!$A$4:$R$275,14,FALSE)="","",VLOOKUP(A97,'Charriage - Geschiebehaushalt'!$A$4:$R$275,14,FALSE))</f>
        <v>charriage présumé naturel</v>
      </c>
      <c r="X97" s="878" t="str">
        <f>IF(VLOOKUP(A97,'Charriage - Geschiebehaushalt'!$A$4:$R$275,15,FALSE)="","",VLOOKUP(A97,'Charriage - Geschiebehaushalt'!$A$4:$R$275,15,FALSE))</f>
        <v/>
      </c>
      <c r="Y97" s="882" t="str">
        <f>IF(VLOOKUP(A97,'Charriage - Geschiebehaushalt'!$A$4:$R$275,16,FALSE)="","",VLOOKUP(A97,'Charriage - Geschiebehaushalt'!$A$4:$R$275,16,FALSE))</f>
        <v/>
      </c>
      <c r="Z97" s="763" t="str">
        <f>IF(VLOOKUP(A97,'Charriage - Geschiebehaushalt'!$A$4:$R$275,17,FALSE)="","",VLOOKUP(A97,'Charriage - Geschiebehaushalt'!$A$4:$R$275,17,FALSE))</f>
        <v>Charriage présumé naturel / Geschiebehaushalt vermutlich natürlich</v>
      </c>
      <c r="AA97" s="880" t="str">
        <f>IF(VLOOKUP(A97,'Charriage - Geschiebehaushalt'!$A$4:$R$275,18,FALSE)="","",VLOOKUP(A97,'Charriage - Geschiebehaushalt'!$A$4:$R$275,18,FALSE))</f>
        <v>b</v>
      </c>
      <c r="AB97" s="737" t="str">
        <f>IF(VLOOKUP(A97,'Charriage - Geschiebehaushalt'!$A$4:$AC$275,19,FALSE)="","",VLOOKUP(A97,'Charriage - Geschiebehaushalt'!$A$4:$AC$275,19,FALSE))</f>
        <v>aucune</v>
      </c>
      <c r="AC97" s="738" t="str">
        <f>IF(VLOOKUP(A97,'Charriage - Geschiebehaushalt'!$A$4:$AC$275,20,FALSE)="","",VLOOKUP(A97,'Charriage - Geschiebehaushalt'!$A$4:$AC$275,20,FALSE))</f>
        <v>aucun</v>
      </c>
      <c r="AD97" s="764" t="str">
        <f>IF(VLOOKUP(A97,'Charriage - Geschiebehaushalt'!$A$4:$AC$275,21,FALSE)="","",VLOOKUP(A97,'Charriage - Geschiebehaushalt'!$A$4:$AC$275,21,FALSE))</f>
        <v>0-20%</v>
      </c>
      <c r="AE97" s="772" t="str">
        <f>IF(VLOOKUP(A97,'Charriage - Geschiebehaushalt'!$A$4:$AC$275,22,FALSE)="","",VLOOKUP(A97,'Charriage - Geschiebehaushalt'!$A$4:$AC$275,22,FALSE))</f>
        <v>0-20%</v>
      </c>
      <c r="AF97" s="787" t="str">
        <f>IF(VLOOKUP(A97,'Charriage - Geschiebehaushalt'!$A$4:$AC$275,23,FALSE)="","",VLOOKUP(A97,'Charriage - Geschiebehaushalt'!$A$4:$AC$275,23,FALSE))</f>
        <v>d</v>
      </c>
      <c r="AG97" s="787" t="str">
        <f>IF(VLOOKUP(A97,'Charriage - Geschiebehaushalt'!$A$4:$AC$275,24,FALSE)="","",VLOOKUP(A97,'Charriage - Geschiebehaushalt'!$A$4:$AC$275,24,FALSE))</f>
        <v/>
      </c>
      <c r="AH97" s="764" t="str">
        <f>IF(VLOOKUP(A97,'Charriage - Geschiebehaushalt'!$A$4:$AC$275,25,FALSE)="","",VLOOKUP(A97,'Charriage - Geschiebehaushalt'!$A$4:$AC$275,25,FALSE))</f>
        <v/>
      </c>
      <c r="AI97" s="903" t="str">
        <f>IF(VLOOKUP(A97,'Charriage - Geschiebehaushalt'!$A$4:$AC$275,26,FALSE)="","",VLOOKUP(A97,'Charriage - Geschiebehaushalt'!$A$4:$AC$275,26,FALSE))</f>
        <v>non</v>
      </c>
      <c r="AJ97" s="1283" t="str">
        <f>IF(VLOOKUP(A97,'Charriage - Geschiebehaushalt'!$A$4:$AC$275,27,FALSE)="","",VLOOKUP(A97,'Charriage - Geschiebehaushalt'!$A$4:$AC$275,27,FALSE))</f>
        <v/>
      </c>
      <c r="AK97" s="814" t="str">
        <f>IF(VLOOKUP(A97,'Charriage - Geschiebehaushalt'!$A$4:$AC$275,28,FALSE)="","",VLOOKUP(A97,'Charriage - Geschiebehaushalt'!$A$4:$AC$275,28,FALSE))</f>
        <v>0-20%</v>
      </c>
      <c r="AL97" s="1285" t="str">
        <f>IF(VLOOKUP(A97,'Charriage - Geschiebehaushalt'!$A$4:$AD$275,30,FALSE)="","",VLOOKUP(A97,'Charriage - Geschiebehaushalt'!$A$4:$AD$275,30,FALSE))</f>
        <v>a</v>
      </c>
      <c r="AM97" s="1279" t="str">
        <f>IF(VLOOKUP(A97,'Débit - Abfluss'!$A$4:$K$275,5,FALSE)="","",VLOOKUP(A97,'Débit - Abfluss'!$A$4:$M$275,5,FALSE))</f>
        <v>100%</v>
      </c>
      <c r="AN97" s="868" t="str">
        <f>IF(VLOOKUP(A97,'Débit - Abfluss'!$A$4:$K$275,6,FALSE)="","",VLOOKUP(A97,'Débit - Abfluss'!$A$4:$M$275,6,FALSE))</f>
        <v>aucune information supplémentaire</v>
      </c>
      <c r="AO97" s="869" t="str">
        <f>IF(VLOOKUP(A97,'Débit - Abfluss'!$A$4:$K$275,7,FALSE)="","",VLOOKUP(A97,'Débit - Abfluss'!$A$4:$M$275,7,FALSE))</f>
        <v>aucune information supplémentaire</v>
      </c>
      <c r="AP97" s="766" t="str">
        <f>IF(VLOOKUP(A97,'Débit - Abfluss'!$A$4:$K$275,8,FALSE)="","",VLOOKUP(A97,'Débit - Abfluss'!$A$4:$M$275,8,FALSE))</f>
        <v>100%</v>
      </c>
      <c r="AQ97" s="678" t="str">
        <f>IF(VLOOKUP(A97,'Débit - Abfluss'!$A$4:$K$275,9,FALSE)="","",VLOOKUP(A97,'Débit - Abfluss'!$A$4:$M$275,9,FALSE))</f>
        <v>Fehlende Angaben</v>
      </c>
      <c r="AR97" s="773" t="str">
        <f>IF(VLOOKUP(A97,'Débit - Abfluss'!$A$4:$K$275,10,FALSE)="","",VLOOKUP(A97,'Débit - Abfluss'!$A$4:$M$275,10,FALSE))</f>
        <v>100%</v>
      </c>
      <c r="AS97" s="773" t="str">
        <f>IF(VLOOKUP(A97,'Débit - Abfluss'!$A$4:$K$275,11,FALSE)="","",VLOOKUP(A97,'Débit - Abfluss'!$A$4:$M$275,11,FALSE))</f>
        <v>X</v>
      </c>
      <c r="AT97" s="778" t="str">
        <f>IF(VLOOKUP(A97,'Débit - Abfluss'!$A$4:$Q$275,12,FALSE)="","",VLOOKUP(A97,'Débit - Abfluss'!$A$4:$Q$275,12,FALSE))</f>
        <v/>
      </c>
      <c r="AU97" s="779" t="str">
        <f>IF(VLOOKUP(A97,'Débit - Abfluss'!$A$4:$Q$275,13,FALSE)="","",VLOOKUP(A97,'Débit - Abfluss'!$A$4:$Q$275,13,FALSE))</f>
        <v/>
      </c>
      <c r="AV97" s="746" t="str">
        <f>IF(VLOOKUP(A97,'Débit - Abfluss'!$A$4:$Q$275,14,FALSE)="","",VLOOKUP(A97,'Débit - Abfluss'!$A$4:$Q$275,14,FALSE))</f>
        <v>VD-W morges 501</v>
      </c>
      <c r="AW97" s="768" t="str">
        <f>IF(VLOOKUP(A97,'Débit - Abfluss'!$A$4:$Q$275,15,FALSE)="","",VLOOKUP(A97,'Débit - Abfluss'!$A$4:$Q$275,15,FALSE))</f>
        <v/>
      </c>
      <c r="AX97" s="679" t="str">
        <f>IF(VLOOKUP(A97,'Débit - Abfluss'!$A$4:$Q$275,16,FALSE)="","",VLOOKUP(A97,'Débit - Abfluss'!$A$4:$Q$275,16,FALSE))</f>
        <v/>
      </c>
      <c r="AY97" s="775" t="str">
        <f>IF(VLOOKUP(A97,'Débit - Abfluss'!$A$4:$Q$275,17,FALSE)="","",VLOOKUP(A97,'Débit - Abfluss'!$A$4:$Q$275,17,FALSE))</f>
        <v>100%</v>
      </c>
      <c r="AZ97" s="749" t="str">
        <f>IF(VLOOKUP(A97,'Eclusée - Schwall-Sunk'!$A$2:$F$273,5,FALSE)="","",VLOOKUP(A97,'Eclusée - Schwall-Sunk'!$A$2:$F$273,5,FALSE))</f>
        <v/>
      </c>
      <c r="BA97" s="750" t="str">
        <f>IF(VLOOKUP(A97,'Eclusée - Schwall-Sunk'!$A$2:$F$273,6,FALSE)="","",VLOOKUP(A97,'Eclusée - Schwall-Sunk'!$A$2:$F$273,6,FALSE))</f>
        <v>Non affecté / nicht betroffen</v>
      </c>
      <c r="BB97" s="751">
        <f>IF(VLOOKUP(A97,'Revitalisation-Revitalisierung'!$A$4:$Z$275,5,FALSE)="","",VLOOKUP(A97,'Revitalisation-Revitalisierung'!$A$4:$Z$275,5,FALSE))</f>
        <v>-12.727272727272727</v>
      </c>
      <c r="BC97" s="752">
        <f>IF(VLOOKUP(A97,'Revitalisation-Revitalisierung'!$A$4:$Z$275,6,FALSE)="","",VLOOKUP(A97,'Revitalisation-Revitalisierung'!$A$4:$Z$275,6,FALSE))</f>
        <v>0</v>
      </c>
      <c r="BD97" s="752">
        <f>IF(VLOOKUP(A97,'Revitalisation-Revitalisierung'!$A$4:$Z$275,7,FALSE)="","",VLOOKUP(A97,'Revitalisation-Revitalisierung'!$A$4:$Z$275,7,FALSE))</f>
        <v>12.727272727272727</v>
      </c>
      <c r="BE97" s="753" t="str">
        <f>IF(VLOOKUP(A97,'Revitalisation-Revitalisierung'!$A$4:$Z$275,8,FALSE)="","",VLOOKUP(A97,'Revitalisation-Revitalisierung'!$A$4:$Z$275,8,FALSE))</f>
        <v>non nécessaire</v>
      </c>
      <c r="BF97" s="754" t="str">
        <f>IF(VLOOKUP(A97,'Revitalisation-Revitalisierung'!$A$4:$Z$275,9,FALSE)="","",VLOOKUP(A97,'Revitalisation-Revitalisierung'!$A$4:$Z$275,9,FALSE))</f>
        <v/>
      </c>
      <c r="BG97" s="754" t="str">
        <f>IF(VLOOKUP(A97,'Revitalisation-Revitalisierung'!$A$4:$Z$275,10,FALSE)="","",VLOOKUP(A97,'Revitalisation-Revitalisierung'!$A$4:$Z$275,10,FALSE))</f>
        <v>K3</v>
      </c>
      <c r="BH97" s="755" t="str">
        <f>IF(VLOOKUP(A97,'Revitalisation-Revitalisierung'!$A$4:$Z$275,11,FALSE)="","",VLOOKUP(A97,'Revitalisation-Revitalisierung'!$A$4:$Z$275,11,FALSE))</f>
        <v/>
      </c>
      <c r="BI97" s="756" t="str">
        <f>IF(VLOOKUP(A97,'Revitalisation-Revitalisierung'!$A$4:$Z$275,12,FALSE)="","",VLOOKUP(A97,'Revitalisation-Revitalisierung'!$A$4:$Z$275,12,FALSE))</f>
        <v/>
      </c>
      <c r="BJ97" s="757" t="str">
        <f>IF(VLOOKUP(A97,'Revitalisation-Revitalisierung'!$A$4:$Z$275,13,FALSE)="","",VLOOKUP(A97,'Revitalisation-Revitalisierung'!$A$4:$Z$275,13,FALSE))</f>
        <v>Non nécessaire / nicht nötig</v>
      </c>
      <c r="BK97" s="870" t="str">
        <f>IF(VLOOKUP(A97,'Revitalisation-Revitalisierung'!$A$4:$Z$275,14,FALSE)="","",VLOOKUP(A97,'Revitalisation-Revitalisierung'!$A$4:$Z$275,14,FALSE))</f>
        <v>a</v>
      </c>
      <c r="BL97" s="758" t="str">
        <f>IF(VLOOKUP(A97,'Revitalisation-Revitalisierung'!$A$4:$Z$275,15,FALSE)="","",VLOOKUP(A97,'Revitalisation-Revitalisierung'!$A$4:$Z$275,15,FALSE))</f>
        <v>élevé</v>
      </c>
      <c r="BM97" s="759" t="str">
        <f>IF(VLOOKUP(A97,'Revitalisation-Revitalisierung'!$A$4:$Z$275,16,FALSE)="","",VLOOKUP(A97,'Revitalisation-Revitalisierung'!$A$4:$Z$275,16,FALSE))</f>
        <v>moyen (tronçon aval) et faible</v>
      </c>
      <c r="BN97" s="759" t="str">
        <f>IF(VLOOKUP(A97,'Revitalisation-Revitalisierung'!$A$4:$Z$275,17,FALSE)="","",VLOOKUP(A97,'Revitalisation-Revitalisierung'!$A$4:$Z$275,17,FALSE))</f>
        <v>élevé (partie aval) et nulle</v>
      </c>
      <c r="BO97" s="760" t="str">
        <f>IF(VLOOKUP(A97,'Revitalisation-Revitalisierung'!$A$4:$Z$275,18,FALSE)="","",VLOOKUP(A97,'Revitalisation-Revitalisierung'!$A$4:$Z$275,18,FALSE))</f>
        <v>Partiellement nécessaire, facile / teilweise nötig, einfach</v>
      </c>
      <c r="BP97" s="761" t="str">
        <f>IF(VLOOKUP(A97,'Revitalisation-Revitalisierung'!$A$4:$Z$275,19,FALSE)="","",VLOOKUP(A97,'Revitalisation-Revitalisierung'!$A$4:$Z$275,19,FALSE))</f>
        <v>Partiellement nécessaire, facile / teilweise nötig, einfach</v>
      </c>
      <c r="BQ97" s="759" t="str">
        <f>IF(VLOOKUP(A97,'Revitalisation-Revitalisierung'!$A$4:$Z$275,20,FALSE)="","",VLOOKUP(A97,'Revitalisation-Revitalisierung'!$A$4:$Z$275,20,FALSE))</f>
        <v>c</v>
      </c>
      <c r="BR97" s="759" t="str">
        <f>IF(VLOOKUP(A97,'Revitalisation-Revitalisierung'!$A$4:$Z$275,21,FALSE)="","",VLOOKUP(A97,'Revitalisation-Revitalisierung'!$A$4:$Z$275,21,FALSE))</f>
        <v/>
      </c>
      <c r="BS97" s="762" t="str">
        <f>IF(VLOOKUP(A97,'Revitalisation-Revitalisierung'!$A$4:$Z$275,22,FALSE)="","",VLOOKUP(A97,'Revitalisation-Revitalisierung'!$A$4:$Z$275,22,FALSE))</f>
        <v/>
      </c>
      <c r="BT97" s="700" t="str">
        <f>IF(VLOOKUP(A97,'Revitalisation-Revitalisierung'!$A$4:$Z$275,23,FALSE)="","",VLOOKUP(A97,'Revitalisation-Revitalisierung'!$A$4:$Z$275,23,FALSE))</f>
        <v/>
      </c>
      <c r="BU97" s="699" t="str">
        <f>IF(VLOOKUP(A97,'Revitalisation-Revitalisierung'!$A$4:$Z$275,24,FALSE)="","",VLOOKUP(A97,'Revitalisation-Revitalisierung'!$A$4:$Z$275,24,FALSE))</f>
        <v/>
      </c>
      <c r="BV97" s="761" t="str">
        <f>IF(VLOOKUP(A97,'Revitalisation-Revitalisierung'!$A$4:$Z$275,25,FALSE)="","",VLOOKUP(A97,'Revitalisation-Revitalisierung'!$A$4:$Z$275,25,FALSE))</f>
        <v>Partiellement nécessaire, facile / teilweise nötig, einfach</v>
      </c>
      <c r="BW97" s="871" t="str">
        <f>IF(VLOOKUP(A97,'Revitalisation-Revitalisierung'!$A$4:$AA$275,27,FALSE)="","",VLOOKUP(A97,'Revitalisation-Revitalisierung'!$A$4:$AA$275,27,FALSE))</f>
        <v>a</v>
      </c>
    </row>
    <row r="98" spans="1:75" ht="59.45" customHeight="1" x14ac:dyDescent="0.25">
      <c r="A98" s="935">
        <v>121</v>
      </c>
      <c r="B98" s="856">
        <f>IF(VLOOKUP(A98,'Données de base - Grunddaten'!$A$2:$M$297,2,FALSE)="","",VLOOKUP(A98,'Données de base - Grunddaten'!$A$2:$M$297,2,FALSE))</f>
        <v>1</v>
      </c>
      <c r="C98" s="857" t="str">
        <f>IF(VLOOKUP(A98,'Données de base - Grunddaten'!$A$2:$M$297,3,FALSE)="","",VLOOKUP(A98,'Données de base - Grunddaten'!$A$2:$M$297,3,FALSE))</f>
        <v>La Roujarde</v>
      </c>
      <c r="D98" s="857" t="str">
        <f>IF(VLOOKUP(A98,'Données de base - Grunddaten'!$A$2:$M$297,4,FALSE)="","",VLOOKUP(A98,'Données de base - Grunddaten'!$A$2:$M$297,4,FALSE))</f>
        <v>La Venoge</v>
      </c>
      <c r="E98" s="857" t="str">
        <f>IF(VLOOKUP(A98,'Données de base - Grunddaten'!$A$2:$M$297,5,FALSE)="","",VLOOKUP(A98,'Données de base - Grunddaten'!$A$2:$M$297,5,FALSE))</f>
        <v>VD</v>
      </c>
      <c r="F98" s="857" t="str">
        <f>IF(VLOOKUP(A98,'Données de base - Grunddaten'!$A$2:$M$297,6,FALSE)="","",VLOOKUP(A98,'Données de base - Grunddaten'!$A$2:$M$297,6,FALSE))</f>
        <v>Bassins lémanique et rhénan, Plateau occidental</v>
      </c>
      <c r="G98" s="857" t="str">
        <f>IF(VLOOKUP(A98,'Données de base - Grunddaten'!$A$2:$M$297,7,FALSE)="","",VLOOKUP(A98,'Données de base - Grunddaten'!$A$2:$M$297,7,FALSE))</f>
        <v>Collinéen</v>
      </c>
      <c r="H98" s="857">
        <f>IF(VLOOKUP(A98,'Données de base - Grunddaten'!$A$2:$M$297,8,FALSE)="","",VLOOKUP(A98,'Données de base - Grunddaten'!$A$2:$M$297,8,FALSE))</f>
        <v>420</v>
      </c>
      <c r="I98" s="857">
        <f>IF(VLOOKUP(A98,'Données de base - Grunddaten'!$A$2:$M$297,9,FALSE)="","",VLOOKUP(A98,'Données de base - Grunddaten'!$A$2:$M$297,9,FALSE))</f>
        <v>1992</v>
      </c>
      <c r="J98" s="857">
        <f>IF(VLOOKUP(A98,'Données de base - Grunddaten'!$A$2:$M$297,10,FALSE)="","",VLOOKUP(A98,'Données de base - Grunddaten'!$A$2:$M$297,10,FALSE))</f>
        <v>51</v>
      </c>
      <c r="K98" s="857" t="str">
        <f>IF(VLOOKUP(A98,'Données de base - Grunddaten'!$A$2:$M$297,11,FALSE)="","",VLOOKUP(A98,'Données de base - Grunddaten'!$A$2:$M$297,11,FALSE))</f>
        <v>Cours d'eau naturels de l'étage collinéen du Moyen-Pays</v>
      </c>
      <c r="L98" s="857" t="str">
        <f>IF(VLOOKUP(A98,'Données de base - Grunddaten'!$A$2:$M$297,12,FALSE)="","",VLOOKUP(A98,'Données de base - Grunddaten'!$A$2:$M$297,12,FALSE))</f>
        <v>en méandres migrants</v>
      </c>
      <c r="M98" s="858" t="str">
        <f>IF(VLOOKUP(A98,'Données de base - Grunddaten'!$A$2:$M$297,13,FALSE)="","",VLOOKUP(A98,'Données de base - Grunddaten'!$A$2:$M$297,13,FALSE))</f>
        <v>en méandres migrants</v>
      </c>
      <c r="N98" s="872" t="str">
        <f>IF(VLOOKUP(A98,'Charriage - Geschiebehaushalt'!$A$4:$R$275,5,FALSE)="","",VLOOKUP(A98,'Charriage - Geschiebehaushalt'!$A$4:$R$275,5,FALSE))</f>
        <v>pertinent</v>
      </c>
      <c r="O98" s="881" t="str">
        <f>IF(VLOOKUP(A98,'Charriage - Geschiebehaushalt'!$A$4:$R$275,6,FALSE)="","",VLOOKUP(A98,'Charriage - Geschiebehaushalt'!$A$4:$R$275,6,FALSE))</f>
        <v>non documenté</v>
      </c>
      <c r="P98" s="874" t="str">
        <f>IF(VLOOKUP(A98,'Charriage - Geschiebehaushalt'!$A$4:$R$275,7,FALSE)="","",VLOOKUP(A98,'Charriage - Geschiebehaushalt'!$A$4:$R$275,7,FALSE))</f>
        <v/>
      </c>
      <c r="Q98" s="874" t="str">
        <f>IF(VLOOKUP(A98,'Charriage - Geschiebehaushalt'!$A$4:$R$275,8,FALSE)="","",VLOOKUP(A98,'Charriage - Geschiebehaushalt'!$A$4:$R$275,8,FALSE))</f>
        <v>non documenté</v>
      </c>
      <c r="R98" s="875">
        <f>IF(VLOOKUP(A98,'Charriage - Geschiebehaushalt'!$A$4:$R$275,9,FALSE)="","",VLOOKUP(A98,'Charriage - Geschiebehaushalt'!$A$4:$R$275,9,FALSE))</f>
        <v>1.29121508640052E-2</v>
      </c>
      <c r="S98" s="876" t="str">
        <f>IF(VLOOKUP(A98,'Charriage - Geschiebehaushalt'!$A$4:$R$275,10,FALSE)="","",VLOOKUP(A98,'Charriage - Geschiebehaushalt'!$A$4:$R$275,10,FALSE))</f>
        <v>pas ou faiblement entravé</v>
      </c>
      <c r="T98" s="875">
        <f>IF(VLOOKUP(A98,'Charriage - Geschiebehaushalt'!$A$4:$R$275,11,FALSE)="","",VLOOKUP(A98,'Charriage - Geschiebehaushalt'!$A$4:$R$275,11,FALSE))</f>
        <v>6.1048146744999997E-2</v>
      </c>
      <c r="U98" s="876" t="str">
        <f>IF(VLOOKUP(A98,'Charriage - Geschiebehaushalt'!$A$4:$R$275,12,FALSE)="","",VLOOKUP(A98,'Charriage - Geschiebehaushalt'!$A$4:$R$275,12,FALSE))</f>
        <v>déficit dans les formations pionnières</v>
      </c>
      <c r="V98" s="878" t="str">
        <f>IF(VLOOKUP(A98,'Charriage - Geschiebehaushalt'!$A$4:$R$275,13,FALSE)="","",VLOOKUP(A98,'Charriage - Geschiebehaushalt'!$A$4:$R$275,13,FALSE))</f>
        <v/>
      </c>
      <c r="W98" s="877" t="str">
        <f>IF(VLOOKUP(A98,'Charriage - Geschiebehaushalt'!$A$4:$R$275,14,FALSE)="","",VLOOKUP(A98,'Charriage - Geschiebehaushalt'!$A$4:$R$275,14,FALSE))</f>
        <v>A vérifier</v>
      </c>
      <c r="X98" s="877" t="str">
        <f>IF(VLOOKUP(A98,'Charriage - Geschiebehaushalt'!$A$4:$R$275,15,FALSE)="","",VLOOKUP(A98,'Charriage - Geschiebehaushalt'!$A$4:$R$275,15,FALSE))</f>
        <v>pas d'ouvrage connu dans le bassin versant</v>
      </c>
      <c r="Y98" s="882" t="str">
        <f>IF(VLOOKUP(A98,'Charriage - Geschiebehaushalt'!$A$4:$R$275,16,FALSE)="","",VLOOKUP(A98,'Charriage - Geschiebehaushalt'!$A$4:$R$275,16,FALSE))</f>
        <v>charriage présumé naturel</v>
      </c>
      <c r="Z98" s="763" t="str">
        <f>IF(VLOOKUP(A98,'Charriage - Geschiebehaushalt'!$A$4:$R$275,17,FALSE)="","",VLOOKUP(A98,'Charriage - Geschiebehaushalt'!$A$4:$R$275,17,FALSE))</f>
        <v>Charriage présumé naturel / Geschiebehaushalt vermutlich natürlich</v>
      </c>
      <c r="AA98" s="880" t="str">
        <f>IF(VLOOKUP(A98,'Charriage - Geschiebehaushalt'!$A$4:$R$275,18,FALSE)="","",VLOOKUP(A98,'Charriage - Geschiebehaushalt'!$A$4:$R$275,18,FALSE))</f>
        <v>b</v>
      </c>
      <c r="AB98" s="737" t="str">
        <f>IF(VLOOKUP(A98,'Charriage - Geschiebehaushalt'!$A$4:$AC$275,19,FALSE)="","",VLOOKUP(A98,'Charriage - Geschiebehaushalt'!$A$4:$AC$275,19,FALSE))</f>
        <v>aucune</v>
      </c>
      <c r="AC98" s="738" t="str">
        <f>IF(VLOOKUP(A98,'Charriage - Geschiebehaushalt'!$A$4:$AC$275,20,FALSE)="","",VLOOKUP(A98,'Charriage - Geschiebehaushalt'!$A$4:$AC$275,20,FALSE))</f>
        <v>aucun</v>
      </c>
      <c r="AD98" s="764" t="str">
        <f>IF(VLOOKUP(A98,'Charriage - Geschiebehaushalt'!$A$4:$AC$275,21,FALSE)="","",VLOOKUP(A98,'Charriage - Geschiebehaushalt'!$A$4:$AC$275,21,FALSE))</f>
        <v>0-20%</v>
      </c>
      <c r="AE98" s="772" t="str">
        <f>IF(VLOOKUP(A98,'Charriage - Geschiebehaushalt'!$A$4:$AC$275,22,FALSE)="","",VLOOKUP(A98,'Charriage - Geschiebehaushalt'!$A$4:$AC$275,22,FALSE))</f>
        <v>0-20%</v>
      </c>
      <c r="AF98" s="787" t="str">
        <f>IF(VLOOKUP(A98,'Charriage - Geschiebehaushalt'!$A$4:$AC$275,23,FALSE)="","",VLOOKUP(A98,'Charriage - Geschiebehaushalt'!$A$4:$AC$275,23,FALSE))</f>
        <v>d</v>
      </c>
      <c r="AG98" s="787" t="str">
        <f>IF(VLOOKUP(A98,'Charriage - Geschiebehaushalt'!$A$4:$AC$275,24,FALSE)="","",VLOOKUP(A98,'Charriage - Geschiebehaushalt'!$A$4:$AC$275,24,FALSE))</f>
        <v/>
      </c>
      <c r="AH98" s="764" t="str">
        <f>IF(VLOOKUP(A98,'Charriage - Geschiebehaushalt'!$A$4:$AC$275,25,FALSE)="","",VLOOKUP(A98,'Charriage - Geschiebehaushalt'!$A$4:$AC$275,25,FALSE))</f>
        <v/>
      </c>
      <c r="AI98" s="903" t="str">
        <f>IF(VLOOKUP(A98,'Charriage - Geschiebehaushalt'!$A$4:$AC$275,26,FALSE)="","",VLOOKUP(A98,'Charriage - Geschiebehaushalt'!$A$4:$AC$275,26,FALSE))</f>
        <v>non</v>
      </c>
      <c r="AJ98" s="1283" t="str">
        <f>IF(VLOOKUP(A98,'Charriage - Geschiebehaushalt'!$A$4:$AC$275,27,FALSE)="","",VLOOKUP(A98,'Charriage - Geschiebehaushalt'!$A$4:$AC$275,27,FALSE))</f>
        <v/>
      </c>
      <c r="AK98" s="814" t="str">
        <f>IF(VLOOKUP(A98,'Charriage - Geschiebehaushalt'!$A$4:$AC$275,28,FALSE)="","",VLOOKUP(A98,'Charriage - Geschiebehaushalt'!$A$4:$AC$275,28,FALSE))</f>
        <v>0-20%</v>
      </c>
      <c r="AL98" s="1285" t="str">
        <f>IF(VLOOKUP(A98,'Charriage - Geschiebehaushalt'!$A$4:$AD$275,30,FALSE)="","",VLOOKUP(A98,'Charriage - Geschiebehaushalt'!$A$4:$AD$275,30,FALSE))</f>
        <v>a</v>
      </c>
      <c r="AM98" s="1279" t="str">
        <f>IF(VLOOKUP(A98,'Débit - Abfluss'!$A$4:$K$275,5,FALSE)="","",VLOOKUP(A98,'Débit - Abfluss'!$A$4:$M$275,5,FALSE))</f>
        <v>100%</v>
      </c>
      <c r="AN98" s="868" t="str">
        <f>IF(VLOOKUP(A98,'Débit - Abfluss'!$A$4:$K$275,6,FALSE)="","",VLOOKUP(A98,'Débit - Abfluss'!$A$4:$M$275,6,FALSE))</f>
        <v>aucune information supplémentaire</v>
      </c>
      <c r="AO98" s="889" t="str">
        <f>IF(VLOOKUP(A98,'Débit - Abfluss'!$A$4:$K$275,7,FALSE)="","",VLOOKUP(A98,'Débit - Abfluss'!$A$4:$M$275,7,FALSE))</f>
        <v>Prélèvement : &lt;50%</v>
      </c>
      <c r="AP98" s="766" t="str">
        <f>IF(VLOOKUP(A98,'Débit - Abfluss'!$A$4:$K$275,8,FALSE)="","",VLOOKUP(A98,'Débit - Abfluss'!$A$4:$M$275,8,FALSE))</f>
        <v>81-100%</v>
      </c>
      <c r="AQ98" s="678" t="str">
        <f>IF(VLOOKUP(A98,'Débit - Abfluss'!$A$4:$K$275,9,FALSE)="","",VLOOKUP(A98,'Débit - Abfluss'!$A$4:$M$275,9,FALSE))</f>
        <v>Fehlende Angaben</v>
      </c>
      <c r="AR98" s="773" t="str">
        <f>IF(VLOOKUP(A98,'Débit - Abfluss'!$A$4:$K$275,10,FALSE)="","",VLOOKUP(A98,'Débit - Abfluss'!$A$4:$M$275,10,FALSE))</f>
        <v>81-100%</v>
      </c>
      <c r="AS98" s="773" t="str">
        <f>IF(VLOOKUP(A98,'Débit - Abfluss'!$A$4:$K$275,11,FALSE)="","",VLOOKUP(A98,'Débit - Abfluss'!$A$4:$M$275,11,FALSE))</f>
        <v>X</v>
      </c>
      <c r="AT98" s="778" t="str">
        <f>IF(VLOOKUP(A98,'Débit - Abfluss'!$A$4:$Q$275,12,FALSE)="","",VLOOKUP(A98,'Débit - Abfluss'!$A$4:$Q$275,12,FALSE))</f>
        <v/>
      </c>
      <c r="AU98" s="779" t="str">
        <f>IF(VLOOKUP(A98,'Débit - Abfluss'!$A$4:$Q$275,13,FALSE)="","",VLOOKUP(A98,'Débit - Abfluss'!$A$4:$Q$275,13,FALSE))</f>
        <v/>
      </c>
      <c r="AV98" s="746" t="str">
        <f>IF(VLOOKUP(A98,'Débit - Abfluss'!$A$4:$Q$275,14,FALSE)="","",VLOOKUP(A98,'Débit - Abfluss'!$A$4:$Q$275,14,FALSE))</f>
        <v>VD-W cossonay 13</v>
      </c>
      <c r="AW98" s="768" t="str">
        <f>IF(VLOOKUP(A98,'Débit - Abfluss'!$A$4:$Q$275,15,FALSE)="","",VLOOKUP(A98,'Débit - Abfluss'!$A$4:$Q$275,15,FALSE))</f>
        <v/>
      </c>
      <c r="AX98" s="679" t="str">
        <f>IF(VLOOKUP(A98,'Débit - Abfluss'!$A$4:$Q$275,16,FALSE)="","",VLOOKUP(A98,'Débit - Abfluss'!$A$4:$Q$275,16,FALSE))</f>
        <v/>
      </c>
      <c r="AY98" s="775" t="str">
        <f>IF(VLOOKUP(A98,'Débit - Abfluss'!$A$4:$Q$275,17,FALSE)="","",VLOOKUP(A98,'Débit - Abfluss'!$A$4:$Q$275,17,FALSE))</f>
        <v>81-100%</v>
      </c>
      <c r="AZ98" s="749" t="str">
        <f>IF(VLOOKUP(A98,'Eclusée - Schwall-Sunk'!$A$2:$F$273,5,FALSE)="","",VLOOKUP(A98,'Eclusée - Schwall-Sunk'!$A$2:$F$273,5,FALSE))</f>
        <v>autre prélèvement</v>
      </c>
      <c r="BA98" s="750" t="str">
        <f>IF(VLOOKUP(A98,'Eclusée - Schwall-Sunk'!$A$2:$F$273,6,FALSE)="","",VLOOKUP(A98,'Eclusée - Schwall-Sunk'!$A$2:$F$273,6,FALSE))</f>
        <v>Non affecté / nicht betroffen</v>
      </c>
      <c r="BB98" s="751">
        <f>IF(VLOOKUP(A98,'Revitalisation-Revitalisierung'!$A$4:$Z$275,5,FALSE)="","",VLOOKUP(A98,'Revitalisation-Revitalisierung'!$A$4:$Z$275,5,FALSE))</f>
        <v>-2.7272727272727271</v>
      </c>
      <c r="BC98" s="752">
        <f>IF(VLOOKUP(A98,'Revitalisation-Revitalisierung'!$A$4:$Z$275,6,FALSE)="","",VLOOKUP(A98,'Revitalisation-Revitalisierung'!$A$4:$Z$275,6,FALSE))</f>
        <v>0</v>
      </c>
      <c r="BD98" s="752">
        <f>IF(VLOOKUP(A98,'Revitalisation-Revitalisierung'!$A$4:$Z$275,7,FALSE)="","",VLOOKUP(A98,'Revitalisation-Revitalisierung'!$A$4:$Z$275,7,FALSE))</f>
        <v>2.7272727272727271</v>
      </c>
      <c r="BE98" s="753" t="str">
        <f>IF(VLOOKUP(A98,'Revitalisation-Revitalisierung'!$A$4:$Z$275,8,FALSE)="","",VLOOKUP(A98,'Revitalisation-Revitalisierung'!$A$4:$Z$275,8,FALSE))</f>
        <v>non nécessaire</v>
      </c>
      <c r="BF98" s="754" t="str">
        <f>IF(VLOOKUP(A98,'Revitalisation-Revitalisierung'!$A$4:$Z$275,9,FALSE)="","",VLOOKUP(A98,'Revitalisation-Revitalisierung'!$A$4:$Z$275,9,FALSE))</f>
        <v/>
      </c>
      <c r="BG98" s="754" t="str">
        <f>IF(VLOOKUP(A98,'Revitalisation-Revitalisierung'!$A$4:$Z$275,10,FALSE)="","",VLOOKUP(A98,'Revitalisation-Revitalisierung'!$A$4:$Z$275,10,FALSE))</f>
        <v>K3</v>
      </c>
      <c r="BH98" s="755" t="str">
        <f>IF(VLOOKUP(A98,'Revitalisation-Revitalisierung'!$A$4:$Z$275,11,FALSE)="","",VLOOKUP(A98,'Revitalisation-Revitalisierung'!$A$4:$Z$275,11,FALSE))</f>
        <v/>
      </c>
      <c r="BI98" s="756" t="str">
        <f>IF(VLOOKUP(A98,'Revitalisation-Revitalisierung'!$A$4:$Z$275,12,FALSE)="","",VLOOKUP(A98,'Revitalisation-Revitalisierung'!$A$4:$Z$275,12,FALSE))</f>
        <v/>
      </c>
      <c r="BJ98" s="757" t="str">
        <f>IF(VLOOKUP(A98,'Revitalisation-Revitalisierung'!$A$4:$Z$275,13,FALSE)="","",VLOOKUP(A98,'Revitalisation-Revitalisierung'!$A$4:$Z$275,13,FALSE))</f>
        <v>Partiellement nécessaire, facile / teilweise nötig, einfach</v>
      </c>
      <c r="BK98" s="870" t="str">
        <f>IF(VLOOKUP(A98,'Revitalisation-Revitalisierung'!$A$4:$Z$275,14,FALSE)="","",VLOOKUP(A98,'Revitalisation-Revitalisierung'!$A$4:$Z$275,14,FALSE))</f>
        <v>b</v>
      </c>
      <c r="BL98" s="758" t="str">
        <f>IF(VLOOKUP(A98,'Revitalisation-Revitalisierung'!$A$4:$Z$275,15,FALSE)="","",VLOOKUP(A98,'Revitalisation-Revitalisierung'!$A$4:$Z$275,15,FALSE))</f>
        <v>élevé</v>
      </c>
      <c r="BM98" s="759" t="str">
        <f>IF(VLOOKUP(A98,'Revitalisation-Revitalisierung'!$A$4:$Z$275,16,FALSE)="","",VLOOKUP(A98,'Revitalisation-Revitalisierung'!$A$4:$Z$275,16,FALSE))</f>
        <v>élevé (affluent faible)</v>
      </c>
      <c r="BN98" s="759" t="str">
        <f>IF(VLOOKUP(A98,'Revitalisation-Revitalisierung'!$A$4:$Z$275,17,FALSE)="","",VLOOKUP(A98,'Revitalisation-Revitalisierung'!$A$4:$Z$275,17,FALSE))</f>
        <v>moyen (affluent nulle)</v>
      </c>
      <c r="BO98" s="760" t="str">
        <f>IF(VLOOKUP(A98,'Revitalisation-Revitalisierung'!$A$4:$Z$275,18,FALSE)="","",VLOOKUP(A98,'Revitalisation-Revitalisierung'!$A$4:$Z$275,18,FALSE))</f>
        <v>Très nécessaire, facile / unbedingt nötig, einfach</v>
      </c>
      <c r="BP98" s="761" t="str">
        <f>IF(VLOOKUP(A98,'Revitalisation-Revitalisierung'!$A$4:$Z$275,19,FALSE)="","",VLOOKUP(A98,'Revitalisation-Revitalisierung'!$A$4:$Z$275,19,FALSE))</f>
        <v>Très nécessaire, facile / unbedingt nötig, einfach</v>
      </c>
      <c r="BQ98" s="759" t="str">
        <f>IF(VLOOKUP(A98,'Revitalisation-Revitalisierung'!$A$4:$Z$275,20,FALSE)="","",VLOOKUP(A98,'Revitalisation-Revitalisierung'!$A$4:$Z$275,20,FALSE))</f>
        <v>c</v>
      </c>
      <c r="BR98" s="759" t="str">
        <f>IF(VLOOKUP(A98,'Revitalisation-Revitalisierung'!$A$4:$Z$275,21,FALSE)="","",VLOOKUP(A98,'Revitalisation-Revitalisierung'!$A$4:$Z$275,21,FALSE))</f>
        <v/>
      </c>
      <c r="BS98" s="762" t="str">
        <f>IF(VLOOKUP(A98,'Revitalisation-Revitalisierung'!$A$4:$Z$275,22,FALSE)="","",VLOOKUP(A98,'Revitalisation-Revitalisierung'!$A$4:$Z$275,22,FALSE))</f>
        <v/>
      </c>
      <c r="BT98" s="700" t="str">
        <f>IF(VLOOKUP(A98,'Revitalisation-Revitalisierung'!$A$4:$Z$275,23,FALSE)="","",VLOOKUP(A98,'Revitalisation-Revitalisierung'!$A$4:$Z$275,23,FALSE))</f>
        <v/>
      </c>
      <c r="BU98" s="699" t="str">
        <f>IF(VLOOKUP(A98,'Revitalisation-Revitalisierung'!$A$4:$Z$275,24,FALSE)="","",VLOOKUP(A98,'Revitalisation-Revitalisierung'!$A$4:$Z$275,24,FALSE))</f>
        <v/>
      </c>
      <c r="BV98" s="761" t="str">
        <f>IF(VLOOKUP(A98,'Revitalisation-Revitalisierung'!$A$4:$Z$275,25,FALSE)="","",VLOOKUP(A98,'Revitalisation-Revitalisierung'!$A$4:$Z$275,25,FALSE))</f>
        <v>Partiellement nécessaire, difficile / teilweise nötig, schwierig</v>
      </c>
      <c r="BW98" s="871" t="str">
        <f>IF(VLOOKUP(A98,'Revitalisation-Revitalisierung'!$A$4:$AA$275,27,FALSE)="","",VLOOKUP(A98,'Revitalisation-Revitalisierung'!$A$4:$AA$275,27,FALSE))</f>
        <v>b</v>
      </c>
    </row>
    <row r="99" spans="1:75" ht="122.45" customHeight="1" x14ac:dyDescent="0.25">
      <c r="A99" s="935">
        <v>122</v>
      </c>
      <c r="B99" s="856">
        <f>IF(VLOOKUP(A99,'Données de base - Grunddaten'!$A$2:$M$297,2,FALSE)="","",VLOOKUP(A99,'Données de base - Grunddaten'!$A$2:$M$297,2,FALSE))</f>
        <v>1</v>
      </c>
      <c r="C99" s="857" t="str">
        <f>IF(VLOOKUP(A99,'Données de base - Grunddaten'!$A$2:$M$297,3,FALSE)="","",VLOOKUP(A99,'Données de base - Grunddaten'!$A$2:$M$297,3,FALSE))</f>
        <v>Bois de Vaux</v>
      </c>
      <c r="D99" s="857" t="str">
        <f>IF(VLOOKUP(A99,'Données de base - Grunddaten'!$A$2:$M$297,4,FALSE)="","",VLOOKUP(A99,'Données de base - Grunddaten'!$A$2:$M$297,4,FALSE))</f>
        <v>La Venoge</v>
      </c>
      <c r="E99" s="857" t="str">
        <f>IF(VLOOKUP(A99,'Données de base - Grunddaten'!$A$2:$M$297,5,FALSE)="","",VLOOKUP(A99,'Données de base - Grunddaten'!$A$2:$M$297,5,FALSE))</f>
        <v>VD</v>
      </c>
      <c r="F99" s="857" t="str">
        <f>IF(VLOOKUP(A99,'Données de base - Grunddaten'!$A$2:$M$297,6,FALSE)="","",VLOOKUP(A99,'Données de base - Grunddaten'!$A$2:$M$297,6,FALSE))</f>
        <v>Bassins lémanique et rhénan, Plateau occidental</v>
      </c>
      <c r="G99" s="857" t="str">
        <f>IF(VLOOKUP(A99,'Données de base - Grunddaten'!$A$2:$M$297,7,FALSE)="","",VLOOKUP(A99,'Données de base - Grunddaten'!$A$2:$M$297,7,FALSE))</f>
        <v>Collinéen</v>
      </c>
      <c r="H99" s="857">
        <f>IF(VLOOKUP(A99,'Données de base - Grunddaten'!$A$2:$M$297,8,FALSE)="","",VLOOKUP(A99,'Données de base - Grunddaten'!$A$2:$M$297,8,FALSE))</f>
        <v>440</v>
      </c>
      <c r="I99" s="857">
        <f>IF(VLOOKUP(A99,'Données de base - Grunddaten'!$A$2:$M$297,9,FALSE)="","",VLOOKUP(A99,'Données de base - Grunddaten'!$A$2:$M$297,9,FALSE))</f>
        <v>1992</v>
      </c>
      <c r="J99" s="857">
        <f>IF(VLOOKUP(A99,'Données de base - Grunddaten'!$A$2:$M$297,10,FALSE)="","",VLOOKUP(A99,'Données de base - Grunddaten'!$A$2:$M$297,10,FALSE))</f>
        <v>52</v>
      </c>
      <c r="K99" s="857" t="str">
        <f>IF(VLOOKUP(A99,'Données de base - Grunddaten'!$A$2:$M$297,11,FALSE)="","",VLOOKUP(A99,'Données de base - Grunddaten'!$A$2:$M$297,11,FALSE))</f>
        <v>Cours d'eau corrigés de l'étage collinéen du Moyen-Pays</v>
      </c>
      <c r="L99" s="857" t="str">
        <f>IF(VLOOKUP(A99,'Données de base - Grunddaten'!$A$2:$M$297,12,FALSE)="","",VLOOKUP(A99,'Données de base - Grunddaten'!$A$2:$M$297,12,FALSE))</f>
        <v>en méandres migrants</v>
      </c>
      <c r="M99" s="858" t="str">
        <f>IF(VLOOKUP(A99,'Données de base - Grunddaten'!$A$2:$M$297,13,FALSE)="","",VLOOKUP(A99,'Données de base - Grunddaten'!$A$2:$M$297,13,FALSE))</f>
        <v>cours rectiligne</v>
      </c>
      <c r="N99" s="872" t="str">
        <f>IF(VLOOKUP(A99,'Charriage - Geschiebehaushalt'!$A$4:$R$275,5,FALSE)="","",VLOOKUP(A99,'Charriage - Geschiebehaushalt'!$A$4:$R$275,5,FALSE))</f>
        <v>pertinent</v>
      </c>
      <c r="O99" s="881" t="str">
        <f>IF(VLOOKUP(A99,'Charriage - Geschiebehaushalt'!$A$4:$R$275,6,FALSE)="","",VLOOKUP(A99,'Charriage - Geschiebehaushalt'!$A$4:$R$275,6,FALSE))</f>
        <v>non documenté</v>
      </c>
      <c r="P99" s="874" t="str">
        <f>IF(VLOOKUP(A99,'Charriage - Geschiebehaushalt'!$A$4:$R$275,7,FALSE)="","",VLOOKUP(A99,'Charriage - Geschiebehaushalt'!$A$4:$R$275,7,FALSE))</f>
        <v/>
      </c>
      <c r="Q99" s="874" t="str">
        <f>IF(VLOOKUP(A99,'Charriage - Geschiebehaushalt'!$A$4:$R$275,8,FALSE)="","",VLOOKUP(A99,'Charriage - Geschiebehaushalt'!$A$4:$R$275,8,FALSE))</f>
        <v>non documenté</v>
      </c>
      <c r="R99" s="875">
        <f>IF(VLOOKUP(A99,'Charriage - Geschiebehaushalt'!$A$4:$R$275,9,FALSE)="","",VLOOKUP(A99,'Charriage - Geschiebehaushalt'!$A$4:$R$275,9,FALSE))</f>
        <v>0</v>
      </c>
      <c r="S99" s="876" t="str">
        <f>IF(VLOOKUP(A99,'Charriage - Geschiebehaushalt'!$A$4:$R$275,10,FALSE)="","",VLOOKUP(A99,'Charriage - Geschiebehaushalt'!$A$4:$R$275,10,FALSE))</f>
        <v>pas ou faiblement entravé</v>
      </c>
      <c r="T99" s="875">
        <f>IF(VLOOKUP(A99,'Charriage - Geschiebehaushalt'!$A$4:$R$275,11,FALSE)="","",VLOOKUP(A99,'Charriage - Geschiebehaushalt'!$A$4:$R$275,11,FALSE))</f>
        <v>4.0717261168999999E-2</v>
      </c>
      <c r="U99" s="876" t="str">
        <f>IF(VLOOKUP(A99,'Charriage - Geschiebehaushalt'!$A$4:$R$275,12,FALSE)="","",VLOOKUP(A99,'Charriage - Geschiebehaushalt'!$A$4:$R$275,12,FALSE))</f>
        <v>déficit dans les formations pionnières</v>
      </c>
      <c r="V99" s="877" t="str">
        <f>IF(VLOOKUP(A99,'Charriage - Geschiebehaushalt'!$A$4:$R$275,13,FALSE)="","",VLOOKUP(A99,'Charriage - Geschiebehaushalt'!$A$4:$R$275,13,FALSE))</f>
        <v>Venoge: Cours rectiligne entre 2 digues. Pas de dépôt de sédiment. Charriage perturbé par endiguement. Objet: bras mort, système marécageux, charriage non pertinent</v>
      </c>
      <c r="W99" s="878" t="str">
        <f>IF(VLOOKUP(A99,'Charriage - Geschiebehaushalt'!$A$4:$R$275,14,FALSE)="","",VLOOKUP(A99,'Charriage - Geschiebehaushalt'!$A$4:$R$275,14,FALSE))</f>
        <v>charriage présumé perturbé</v>
      </c>
      <c r="X99" s="878" t="str">
        <f>IF(VLOOKUP(A99,'Charriage - Geschiebehaushalt'!$A$4:$R$275,15,FALSE)="","",VLOOKUP(A99,'Charriage - Geschiebehaushalt'!$A$4:$R$275,15,FALSE))</f>
        <v/>
      </c>
      <c r="Y99" s="882" t="str">
        <f>IF(VLOOKUP(A99,'Charriage - Geschiebehaushalt'!$A$4:$R$275,16,FALSE)="","",VLOOKUP(A99,'Charriage - Geschiebehaushalt'!$A$4:$R$275,16,FALSE))</f>
        <v/>
      </c>
      <c r="Z99" s="763" t="str">
        <f>IF(VLOOKUP(A99,'Charriage - Geschiebehaushalt'!$A$4:$R$275,17,FALSE)="","",VLOOKUP(A99,'Charriage - Geschiebehaushalt'!$A$4:$R$275,17,FALSE))</f>
        <v>Charriage présumé perturbé / Geschiebehaushalt vermutlich beeinträchtigt</v>
      </c>
      <c r="AA99" s="880" t="str">
        <f>IF(VLOOKUP(A99,'Charriage - Geschiebehaushalt'!$A$4:$R$275,18,FALSE)="","",VLOOKUP(A99,'Charriage - Geschiebehaushalt'!$A$4:$R$275,18,FALSE))</f>
        <v>b</v>
      </c>
      <c r="AB99" s="737" t="str">
        <f>IF(VLOOKUP(A99,'Charriage - Geschiebehaushalt'!$A$4:$AC$275,19,FALSE)="","",VLOOKUP(A99,'Charriage - Geschiebehaushalt'!$A$4:$AC$275,19,FALSE))</f>
        <v>aucune</v>
      </c>
      <c r="AC99" s="738" t="str">
        <f>IF(VLOOKUP(A99,'Charriage - Geschiebehaushalt'!$A$4:$AC$275,20,FALSE)="","",VLOOKUP(A99,'Charriage - Geschiebehaushalt'!$A$4:$AC$275,20,FALSE))</f>
        <v>aucun</v>
      </c>
      <c r="AD99" s="764" t="str">
        <f>IF(VLOOKUP(A99,'Charriage - Geschiebehaushalt'!$A$4:$AC$275,21,FALSE)="","",VLOOKUP(A99,'Charriage - Geschiebehaushalt'!$A$4:$AC$275,21,FALSE))</f>
        <v>0-20%</v>
      </c>
      <c r="AE99" s="772" t="str">
        <f>IF(VLOOKUP(A99,'Charriage - Geschiebehaushalt'!$A$4:$AC$275,22,FALSE)="","",VLOOKUP(A99,'Charriage - Geschiebehaushalt'!$A$4:$AC$275,22,FALSE))</f>
        <v>0-20%</v>
      </c>
      <c r="AF99" s="787" t="str">
        <f>IF(VLOOKUP(A99,'Charriage - Geschiebehaushalt'!$A$4:$AC$275,23,FALSE)="","",VLOOKUP(A99,'Charriage - Geschiebehaushalt'!$A$4:$AC$275,23,FALSE))</f>
        <v>c</v>
      </c>
      <c r="AG99" s="787" t="str">
        <f>IF(VLOOKUP(A99,'Charriage - Geschiebehaushalt'!$A$4:$AC$275,24,FALSE)="","",VLOOKUP(A99,'Charriage - Geschiebehaushalt'!$A$4:$AC$275,24,FALSE))</f>
        <v>Aucune remobilisation des sédiments n'est possible (rives stabilisées) mais charriage intact</v>
      </c>
      <c r="AH99" s="764" t="str">
        <f>IF(VLOOKUP(A99,'Charriage - Geschiebehaushalt'!$A$4:$AC$275,25,FALSE)="","",VLOOKUP(A99,'Charriage - Geschiebehaushalt'!$A$4:$AC$275,25,FALSE))</f>
        <v/>
      </c>
      <c r="AI99" s="903" t="str">
        <f>IF(VLOOKUP(A99,'Charriage - Geschiebehaushalt'!$A$4:$AC$275,26,FALSE)="","",VLOOKUP(A99,'Charriage - Geschiebehaushalt'!$A$4:$AC$275,26,FALSE))</f>
        <v>non</v>
      </c>
      <c r="AJ99" s="1284" t="str">
        <f>IF(VLOOKUP(A99,'Charriage - Geschiebehaushalt'!$A$4:$AC$275,27,FALSE)="","",VLOOKUP(A99,'Charriage - Geschiebehaushalt'!$A$4:$AC$275,27,FALSE))</f>
        <v>A vérifier</v>
      </c>
      <c r="AK99" s="814" t="str">
        <f>IF(VLOOKUP(A99,'Charriage - Geschiebehaushalt'!$A$4:$AC$275,28,FALSE)="","",VLOOKUP(A99,'Charriage - Geschiebehaushalt'!$A$4:$AC$275,28,FALSE))</f>
        <v>0-20%</v>
      </c>
      <c r="AL99" s="1285" t="str">
        <f>IF(VLOOKUP(A99,'Charriage - Geschiebehaushalt'!$A$4:$AD$275,30,FALSE)="","",VLOOKUP(A99,'Charriage - Geschiebehaushalt'!$A$4:$AD$275,30,FALSE))</f>
        <v>a</v>
      </c>
      <c r="AM99" s="1279" t="str">
        <f>IF(VLOOKUP(A99,'Débit - Abfluss'!$A$4:$K$275,5,FALSE)="","",VLOOKUP(A99,'Débit - Abfluss'!$A$4:$M$275,5,FALSE))</f>
        <v>100%</v>
      </c>
      <c r="AN99" s="868" t="str">
        <f>IF(VLOOKUP(A99,'Débit - Abfluss'!$A$4:$K$275,6,FALSE)="","",VLOOKUP(A99,'Débit - Abfluss'!$A$4:$M$275,6,FALSE))</f>
        <v>aucune information supplémentaire</v>
      </c>
      <c r="AO99" s="869" t="str">
        <f>IF(VLOOKUP(A99,'Débit - Abfluss'!$A$4:$K$275,7,FALSE)="","",VLOOKUP(A99,'Débit - Abfluss'!$A$4:$M$275,7,FALSE))</f>
        <v>aucune information supplémentaire</v>
      </c>
      <c r="AP99" s="766" t="str">
        <f>IF(VLOOKUP(A99,'Débit - Abfluss'!$A$4:$K$275,8,FALSE)="","",VLOOKUP(A99,'Débit - Abfluss'!$A$4:$M$275,8,FALSE))</f>
        <v>100%</v>
      </c>
      <c r="AQ99" s="742" t="str">
        <f>IF(VLOOKUP(A99,'Débit - Abfluss'!$A$4:$K$275,9,FALSE)="","",VLOOKUP(A99,'Débit - Abfluss'!$A$4:$M$275,9,FALSE))</f>
        <v>-</v>
      </c>
      <c r="AR99" s="767" t="str">
        <f>IF(VLOOKUP(A99,'Débit - Abfluss'!$A$4:$K$275,10,FALSE)="","",VLOOKUP(A99,'Débit - Abfluss'!$A$4:$M$275,10,FALSE))</f>
        <v>100%</v>
      </c>
      <c r="AS99" s="767" t="str">
        <f>IF(VLOOKUP(A99,'Débit - Abfluss'!$A$4:$K$275,11,FALSE)="","",VLOOKUP(A99,'Débit - Abfluss'!$A$4:$M$275,11,FALSE))</f>
        <v/>
      </c>
      <c r="AT99" s="778" t="str">
        <f>IF(VLOOKUP(A99,'Débit - Abfluss'!$A$4:$Q$275,12,FALSE)="","",VLOOKUP(A99,'Débit - Abfluss'!$A$4:$Q$275,12,FALSE))</f>
        <v/>
      </c>
      <c r="AU99" s="779" t="str">
        <f>IF(VLOOKUP(A99,'Débit - Abfluss'!$A$4:$Q$275,13,FALSE)="","",VLOOKUP(A99,'Débit - Abfluss'!$A$4:$Q$275,13,FALSE))</f>
        <v/>
      </c>
      <c r="AV99" s="746" t="str">
        <f>IF(VLOOKUP(A99,'Débit - Abfluss'!$A$4:$Q$275,14,FALSE)="","",VLOOKUP(A99,'Débit - Abfluss'!$A$4:$Q$275,14,FALSE))</f>
        <v/>
      </c>
      <c r="AW99" s="768" t="str">
        <f>IF(VLOOKUP(A99,'Débit - Abfluss'!$A$4:$Q$275,15,FALSE)="","",VLOOKUP(A99,'Débit - Abfluss'!$A$4:$Q$275,15,FALSE))</f>
        <v/>
      </c>
      <c r="AX99" s="679" t="str">
        <f>IF(VLOOKUP(A99,'Débit - Abfluss'!$A$4:$Q$275,16,FALSE)="","",VLOOKUP(A99,'Débit - Abfluss'!$A$4:$Q$275,16,FALSE))</f>
        <v/>
      </c>
      <c r="AY99" s="769" t="str">
        <f>IF(VLOOKUP(A99,'Débit - Abfluss'!$A$4:$Q$275,17,FALSE)="","",VLOOKUP(A99,'Débit - Abfluss'!$A$4:$Q$275,17,FALSE))</f>
        <v>100%</v>
      </c>
      <c r="AZ99" s="749" t="str">
        <f>IF(VLOOKUP(A99,'Eclusée - Schwall-Sunk'!$A$2:$F$273,5,FALSE)="","",VLOOKUP(A99,'Eclusée - Schwall-Sunk'!$A$2:$F$273,5,FALSE))</f>
        <v/>
      </c>
      <c r="BA99" s="750" t="str">
        <f>IF(VLOOKUP(A99,'Eclusée - Schwall-Sunk'!$A$2:$F$273,6,FALSE)="","",VLOOKUP(A99,'Eclusée - Schwall-Sunk'!$A$2:$F$273,6,FALSE))</f>
        <v>Non affecté / nicht betroffen</v>
      </c>
      <c r="BB99" s="751">
        <f>IF(VLOOKUP(A99,'Revitalisation-Revitalisierung'!$A$4:$Z$275,5,FALSE)="","",VLOOKUP(A99,'Revitalisation-Revitalisierung'!$A$4:$Z$275,5,FALSE))</f>
        <v>-5.9090909090909092</v>
      </c>
      <c r="BC99" s="752">
        <f>IF(VLOOKUP(A99,'Revitalisation-Revitalisierung'!$A$4:$Z$275,6,FALSE)="","",VLOOKUP(A99,'Revitalisation-Revitalisierung'!$A$4:$Z$275,6,FALSE))</f>
        <v>0</v>
      </c>
      <c r="BD99" s="752">
        <f>IF(VLOOKUP(A99,'Revitalisation-Revitalisierung'!$A$4:$Z$275,7,FALSE)="","",VLOOKUP(A99,'Revitalisation-Revitalisierung'!$A$4:$Z$275,7,FALSE))</f>
        <v>5.9090909090909092</v>
      </c>
      <c r="BE99" s="753" t="str">
        <f>IF(VLOOKUP(A99,'Revitalisation-Revitalisierung'!$A$4:$Z$275,8,FALSE)="","",VLOOKUP(A99,'Revitalisation-Revitalisierung'!$A$4:$Z$275,8,FALSE))</f>
        <v>non nécessaire</v>
      </c>
      <c r="BF99" s="754" t="str">
        <f>IF(VLOOKUP(A99,'Revitalisation-Revitalisierung'!$A$4:$Z$275,9,FALSE)="","",VLOOKUP(A99,'Revitalisation-Revitalisierung'!$A$4:$Z$275,9,FALSE))</f>
        <v/>
      </c>
      <c r="BG99" s="754" t="str">
        <f>IF(VLOOKUP(A99,'Revitalisation-Revitalisierung'!$A$4:$Z$275,10,FALSE)="","",VLOOKUP(A99,'Revitalisation-Revitalisierung'!$A$4:$Z$275,10,FALSE))</f>
        <v>K3</v>
      </c>
      <c r="BH99" s="755" t="str">
        <f>IF(VLOOKUP(A99,'Revitalisation-Revitalisierung'!$A$4:$Z$275,11,FALSE)="","",VLOOKUP(A99,'Revitalisation-Revitalisierung'!$A$4:$Z$275,11,FALSE))</f>
        <v/>
      </c>
      <c r="BI99" s="756" t="str">
        <f>IF(VLOOKUP(A99,'Revitalisation-Revitalisierung'!$A$4:$Z$275,12,FALSE)="","",VLOOKUP(A99,'Revitalisation-Revitalisierung'!$A$4:$Z$275,12,FALSE))</f>
        <v/>
      </c>
      <c r="BJ99" s="757" t="str">
        <f>IF(VLOOKUP(A99,'Revitalisation-Revitalisierung'!$A$4:$Z$275,13,FALSE)="","",VLOOKUP(A99,'Revitalisation-Revitalisierung'!$A$4:$Z$275,13,FALSE))</f>
        <v>Très nécessaire, facile / unbedingt nötig, einfach</v>
      </c>
      <c r="BK99" s="870" t="str">
        <f>IF(VLOOKUP(A99,'Revitalisation-Revitalisierung'!$A$4:$Z$275,14,FALSE)="","",VLOOKUP(A99,'Revitalisation-Revitalisierung'!$A$4:$Z$275,14,FALSE))</f>
        <v>b</v>
      </c>
      <c r="BL99" s="758" t="str">
        <f>IF(VLOOKUP(A99,'Revitalisation-Revitalisierung'!$A$4:$Z$275,15,FALSE)="","",VLOOKUP(A99,'Revitalisation-Revitalisierung'!$A$4:$Z$275,15,FALSE))</f>
        <v>élevé</v>
      </c>
      <c r="BM99" s="759" t="str">
        <f>IF(VLOOKUP(A99,'Revitalisation-Revitalisierung'!$A$4:$Z$275,16,FALSE)="","",VLOOKUP(A99,'Revitalisation-Revitalisierung'!$A$4:$Z$275,16,FALSE))</f>
        <v>élevé</v>
      </c>
      <c r="BN99" s="759" t="str">
        <f>IF(VLOOKUP(A99,'Revitalisation-Revitalisierung'!$A$4:$Z$275,17,FALSE)="","",VLOOKUP(A99,'Revitalisation-Revitalisierung'!$A$4:$Z$275,17,FALSE))</f>
        <v>élevé</v>
      </c>
      <c r="BO99" s="760" t="str">
        <f>IF(VLOOKUP(A99,'Revitalisation-Revitalisierung'!$A$4:$Z$275,18,FALSE)="","",VLOOKUP(A99,'Revitalisation-Revitalisierung'!$A$4:$Z$275,18,FALSE))</f>
        <v>Très nécessaire, facile / unbedingt nötig, einfach</v>
      </c>
      <c r="BP99" s="761" t="str">
        <f>IF(VLOOKUP(A99,'Revitalisation-Revitalisierung'!$A$4:$Z$275,19,FALSE)="","",VLOOKUP(A99,'Revitalisation-Revitalisierung'!$A$4:$Z$275,19,FALSE))</f>
        <v>Très nécessaire, facile / unbedingt nötig, einfach</v>
      </c>
      <c r="BQ99" s="759" t="str">
        <f>IF(VLOOKUP(A99,'Revitalisation-Revitalisierung'!$A$4:$Z$275,20,FALSE)="","",VLOOKUP(A99,'Revitalisation-Revitalisierung'!$A$4:$Z$275,20,FALSE))</f>
        <v>d</v>
      </c>
      <c r="BR99" s="759" t="str">
        <f>IF(VLOOKUP(A99,'Revitalisation-Revitalisierung'!$A$4:$Z$275,21,FALSE)="","",VLOOKUP(A99,'Revitalisation-Revitalisierung'!$A$4:$Z$275,21,FALSE))</f>
        <v/>
      </c>
      <c r="BS99" s="762" t="str">
        <f>IF(VLOOKUP(A99,'Revitalisation-Revitalisierung'!$A$4:$Z$275,22,FALSE)="","",VLOOKUP(A99,'Revitalisation-Revitalisierung'!$A$4:$Z$275,22,FALSE))</f>
        <v/>
      </c>
      <c r="BT99" s="700" t="str">
        <f>IF(VLOOKUP(A99,'Revitalisation-Revitalisierung'!$A$4:$Z$275,23,FALSE)="","",VLOOKUP(A99,'Revitalisation-Revitalisierung'!$A$4:$Z$275,23,FALSE))</f>
        <v/>
      </c>
      <c r="BU99" s="699" t="str">
        <f>IF(VLOOKUP(A99,'Revitalisation-Revitalisierung'!$A$4:$Z$275,24,FALSE)="","",VLOOKUP(A99,'Revitalisation-Revitalisierung'!$A$4:$Z$275,24,FALSE))</f>
        <v/>
      </c>
      <c r="BV99" s="761" t="str">
        <f>IF(VLOOKUP(A99,'Revitalisation-Revitalisierung'!$A$4:$Z$275,25,FALSE)="","",VLOOKUP(A99,'Revitalisation-Revitalisierung'!$A$4:$Z$275,25,FALSE))</f>
        <v>Très nécessaire, facile / unbedingt nötig, einfach</v>
      </c>
      <c r="BW99" s="871" t="str">
        <f>IF(VLOOKUP(A99,'Revitalisation-Revitalisierung'!$A$4:$AA$275,27,FALSE)="","",VLOOKUP(A99,'Revitalisation-Revitalisierung'!$A$4:$AA$275,27,FALSE))</f>
        <v>a</v>
      </c>
    </row>
    <row r="100" spans="1:75" ht="145.15" customHeight="1" x14ac:dyDescent="0.25">
      <c r="A100" s="936">
        <v>123.1</v>
      </c>
      <c r="B100" s="856">
        <f>IF(VLOOKUP(A100,'Données de base - Grunddaten'!$A$2:$M$297,2,FALSE)="","",VLOOKUP(A100,'Données de base - Grunddaten'!$A$2:$M$297,2,FALSE))</f>
        <v>1</v>
      </c>
      <c r="C100" s="857" t="str">
        <f>IF(VLOOKUP(A100,'Données de base - Grunddaten'!$A$2:$M$297,3,FALSE)="","",VLOOKUP(A100,'Données de base - Grunddaten'!$A$2:$M$297,3,FALSE))</f>
        <v>Les Grangettes</v>
      </c>
      <c r="D100" s="857" t="str">
        <f>IF(VLOOKUP(A100,'Données de base - Grunddaten'!$A$2:$M$297,4,FALSE)="","",VLOOKUP(A100,'Données de base - Grunddaten'!$A$2:$M$297,4,FALSE))</f>
        <v>Le Rhône, Grand Canal, Lac Léman</v>
      </c>
      <c r="E100" s="857" t="str">
        <f>IF(VLOOKUP(A100,'Données de base - Grunddaten'!$A$2:$M$297,5,FALSE)="","",VLOOKUP(A100,'Données de base - Grunddaten'!$A$2:$M$297,5,FALSE))</f>
        <v>VD</v>
      </c>
      <c r="F100" s="857" t="str">
        <f>IF(VLOOKUP(A100,'Données de base - Grunddaten'!$A$2:$M$297,6,FALSE)="","",VLOOKUP(A100,'Données de base - Grunddaten'!$A$2:$M$297,6,FALSE))</f>
        <v>Plateau occidental, Alpes septentrionales</v>
      </c>
      <c r="G100" s="857" t="str">
        <f>IF(VLOOKUP(A100,'Données de base - Grunddaten'!$A$2:$M$297,7,FALSE)="","",VLOOKUP(A100,'Données de base - Grunddaten'!$A$2:$M$297,7,FALSE))</f>
        <v>Collinéen</v>
      </c>
      <c r="H100" s="857">
        <f>IF(VLOOKUP(A100,'Données de base - Grunddaten'!$A$2:$M$297,8,FALSE)="","",VLOOKUP(A100,'Données de base - Grunddaten'!$A$2:$M$297,8,FALSE))</f>
        <v>370</v>
      </c>
      <c r="I100" s="857">
        <f>IF(VLOOKUP(A100,'Données de base - Grunddaten'!$A$2:$M$297,9,FALSE)="","",VLOOKUP(A100,'Données de base - Grunddaten'!$A$2:$M$297,9,FALSE))</f>
        <v>1992</v>
      </c>
      <c r="J100" s="857">
        <f>IF(VLOOKUP(A100,'Données de base - Grunddaten'!$A$2:$M$297,10,FALSE)="","",VLOOKUP(A100,'Données de base - Grunddaten'!$A$2:$M$297,10,FALSE))</f>
        <v>90</v>
      </c>
      <c r="K100" s="857" t="str">
        <f>IF(VLOOKUP(A100,'Données de base - Grunddaten'!$A$2:$M$297,11,FALSE)="","",VLOOKUP(A100,'Données de base - Grunddaten'!$A$2:$M$297,11,FALSE))</f>
        <v>Delta</v>
      </c>
      <c r="L100" s="857" t="str">
        <f>IF(VLOOKUP(A100,'Données de base - Grunddaten'!$A$2:$M$297,12,FALSE)="","",VLOOKUP(A100,'Données de base - Grunddaten'!$A$2:$M$297,12,FALSE))</f>
        <v>en tresses</v>
      </c>
      <c r="M100" s="858" t="str">
        <f>IF(VLOOKUP(A100,'Données de base - Grunddaten'!$A$2:$M$297,13,FALSE)="","",VLOOKUP(A100,'Données de base - Grunddaten'!$A$2:$M$297,13,FALSE))</f>
        <v>cours rectiligne</v>
      </c>
      <c r="N100" s="872" t="str">
        <f>IF(VLOOKUP(A100,'Charriage - Geschiebehaushalt'!$A$4:$R$275,5,FALSE)="","",VLOOKUP(A100,'Charriage - Geschiebehaushalt'!$A$4:$R$275,5,FALSE))</f>
        <v>pertinent</v>
      </c>
      <c r="O100" s="873" t="str">
        <f>IF(VLOOKUP(A100,'Charriage - Geschiebehaushalt'!$A$4:$R$275,6,FALSE)="","",VLOOKUP(A100,'Charriage - Geschiebehaushalt'!$A$4:$R$275,6,FALSE))</f>
        <v>21-50%</v>
      </c>
      <c r="P100" s="874" t="str">
        <f>IF(VLOOKUP(A100,'Charriage - Geschiebehaushalt'!$A$4:$R$275,7,FALSE)="","",VLOOKUP(A100,'Charriage - Geschiebehaushalt'!$A$4:$R$275,7,FALSE))</f>
        <v/>
      </c>
      <c r="Q100" s="874" t="str">
        <f>IF(VLOOKUP(A100,'Charriage - Geschiebehaushalt'!$A$4:$R$275,8,FALSE)="","",VLOOKUP(A100,'Charriage - Geschiebehaushalt'!$A$4:$R$275,8,FALSE))</f>
        <v>non documenté</v>
      </c>
      <c r="R100" s="875">
        <f>IF(VLOOKUP(A100,'Charriage - Geschiebehaushalt'!$A$4:$R$275,9,FALSE)="","",VLOOKUP(A100,'Charriage - Geschiebehaushalt'!$A$4:$R$275,9,FALSE))</f>
        <v>7.5429700175141902E-3</v>
      </c>
      <c r="S100" s="876" t="str">
        <f>IF(VLOOKUP(A100,'Charriage - Geschiebehaushalt'!$A$4:$R$275,10,FALSE)="","",VLOOKUP(A100,'Charriage - Geschiebehaushalt'!$A$4:$R$275,10,FALSE))</f>
        <v>pas ou faiblement entravé</v>
      </c>
      <c r="T100" s="875">
        <f>IF(VLOOKUP(A100,'Charriage - Geschiebehaushalt'!$A$4:$R$275,11,FALSE)="","",VLOOKUP(A100,'Charriage - Geschiebehaushalt'!$A$4:$R$275,11,FALSE))</f>
        <v>0.13174886111</v>
      </c>
      <c r="U100" s="876" t="str">
        <f>IF(VLOOKUP(A100,'Charriage - Geschiebehaushalt'!$A$4:$R$275,12,FALSE)="","",VLOOKUP(A100,'Charriage - Geschiebehaushalt'!$A$4:$R$275,12,FALSE))</f>
        <v>déficit dans les formations pionnières</v>
      </c>
      <c r="V100" s="877" t="str">
        <f>IF(VLOOKUP(A100,'Charriage - Geschiebehaushalt'!$A$4:$R$275,13,FALSE)="","",VLOOKUP(A100,'Charriage - Geschiebehaushalt'!$A$4:$R$275,13,FALSE))</f>
        <v/>
      </c>
      <c r="W100" s="877" t="str">
        <f>IF(VLOOKUP(A100,'Charriage - Geschiebehaushalt'!$A$4:$R$275,14,FALSE)="","",VLOOKUP(A100,'Charriage - Geschiebehaushalt'!$A$4:$R$275,14,FALSE))</f>
        <v/>
      </c>
      <c r="X100" s="877" t="str">
        <f>IF(VLOOKUP(A100,'Charriage - Geschiebehaushalt'!$A$4:$R$275,15,FALSE)="","",VLOOKUP(A100,'Charriage - Geschiebehaushalt'!$A$4:$R$275,15,FALSE))</f>
        <v/>
      </c>
      <c r="Y100" s="879" t="str">
        <f>IF(VLOOKUP(A100,'Charriage - Geschiebehaushalt'!$A$4:$R$275,16,FALSE)="","",VLOOKUP(A100,'Charriage - Geschiebehaushalt'!$A$4:$R$275,16,FALSE))</f>
        <v/>
      </c>
      <c r="Z100" s="763" t="str">
        <f>IF(VLOOKUP(A100,'Charriage - Geschiebehaushalt'!$A$4:$R$275,17,FALSE)="","",VLOOKUP(A100,'Charriage - Geschiebehaushalt'!$A$4:$R$275,17,FALSE))</f>
        <v>21-50%</v>
      </c>
      <c r="AA100" s="880" t="str">
        <f>IF(VLOOKUP(A100,'Charriage - Geschiebehaushalt'!$A$4:$R$275,18,FALSE)="","",VLOOKUP(A100,'Charriage - Geschiebehaushalt'!$A$4:$R$275,18,FALSE))</f>
        <v>a</v>
      </c>
      <c r="AB100" s="737" t="str">
        <f>IF(VLOOKUP(A100,'Charriage - Geschiebehaushalt'!$A$4:$AC$275,19,FALSE)="","",VLOOKUP(A100,'Charriage - Geschiebehaushalt'!$A$4:$AC$275,19,FALSE))</f>
        <v>aucune</v>
      </c>
      <c r="AC100" s="738" t="str">
        <f>IF(VLOOKUP(A100,'Charriage - Geschiebehaushalt'!$A$4:$AC$275,20,FALSE)="","",VLOOKUP(A100,'Charriage - Geschiebehaushalt'!$A$4:$AC$275,20,FALSE))</f>
        <v>aucun</v>
      </c>
      <c r="AD100" s="764" t="str">
        <f>IF(VLOOKUP(A100,'Charriage - Geschiebehaushalt'!$A$4:$AC$275,21,FALSE)="","",VLOOKUP(A100,'Charriage - Geschiebehaushalt'!$A$4:$AC$275,21,FALSE))</f>
        <v/>
      </c>
      <c r="AE100" s="772" t="str">
        <f>IF(VLOOKUP(A100,'Charriage - Geschiebehaushalt'!$A$4:$AC$275,22,FALSE)="","",VLOOKUP(A100,'Charriage - Geschiebehaushalt'!$A$4:$AC$275,22,FALSE))</f>
        <v>21-50%</v>
      </c>
      <c r="AF100" s="787" t="str">
        <f>IF(VLOOKUP(A100,'Charriage - Geschiebehaushalt'!$A$4:$AC$275,23,FALSE)="","",VLOOKUP(A100,'Charriage - Geschiebehaushalt'!$A$4:$AC$275,23,FALSE))</f>
        <v>a</v>
      </c>
      <c r="AG100" s="765" t="str">
        <f>IF(VLOOKUP(A100,'Charriage - Geschiebehaushalt'!$A$4:$AC$275,24,FALSE)="","",VLOOKUP(A100,'Charriage - Geschiebehaushalt'!$A$4:$AC$275,24,FALSE))</f>
        <v/>
      </c>
      <c r="AH100" s="764" t="str">
        <f>IF(VLOOKUP(A100,'Charriage - Geschiebehaushalt'!$A$4:$AC$275,25,FALSE)="","",VLOOKUP(A100,'Charriage - Geschiebehaushalt'!$A$4:$AC$275,25,FALSE))</f>
        <v/>
      </c>
      <c r="AI100" s="896" t="str">
        <f>IF(VLOOKUP(A100,'Charriage - Geschiebehaushalt'!$A$4:$AC$275,26,FALSE)="","",VLOOKUP(A100,'Charriage - Geschiebehaushalt'!$A$4:$AC$275,26,FALSE))</f>
        <v>non</v>
      </c>
      <c r="AJ100" s="436" t="str">
        <f>IF(VLOOKUP(A100,'Charriage - Geschiebehaushalt'!$A$4:$AC$275,27,FALSE)="","",VLOOKUP(A100,'Charriage - Geschiebehaushalt'!$A$4:$AC$275,27,FALSE))</f>
        <v/>
      </c>
      <c r="AK100" s="814" t="str">
        <f>IF(VLOOKUP(A100,'Charriage - Geschiebehaushalt'!$A$4:$AC$275,28,FALSE)="","",VLOOKUP(A100,'Charriage - Geschiebehaushalt'!$A$4:$AC$275,28,FALSE))</f>
        <v>21-50%</v>
      </c>
      <c r="AL100" s="1285" t="str">
        <f>IF(VLOOKUP(A100,'Charriage - Geschiebehaushalt'!$A$4:$AD$275,30,FALSE)="","",VLOOKUP(A100,'Charriage - Geschiebehaushalt'!$A$4:$AD$275,30,FALSE))</f>
        <v>a</v>
      </c>
      <c r="AM100" s="1279" t="str">
        <f>IF(VLOOKUP(A100,'Débit - Abfluss'!$A$4:$K$275,5,FALSE)="","",VLOOKUP(A100,'Débit - Abfluss'!$A$4:$M$275,5,FALSE))</f>
        <v>81-100%</v>
      </c>
      <c r="AN100" s="868" t="str">
        <f>IF(VLOOKUP(A100,'Débit - Abfluss'!$A$4:$K$275,6,FALSE)="","",VLOOKUP(A100,'Débit - Abfluss'!$A$4:$M$275,6,FALSE))</f>
        <v/>
      </c>
      <c r="AO100" s="869" t="str">
        <f>IF(VLOOKUP(A100,'Débit - Abfluss'!$A$4:$K$275,7,FALSE)="","",VLOOKUP(A100,'Débit - Abfluss'!$A$4:$M$275,7,FALSE))</f>
        <v/>
      </c>
      <c r="AP100" s="766" t="str">
        <f>IF(VLOOKUP(A100,'Débit - Abfluss'!$A$4:$K$275,8,FALSE)="","",VLOOKUP(A100,'Débit - Abfluss'!$A$4:$M$275,8,FALSE))</f>
        <v>81-100%</v>
      </c>
      <c r="AQ100" s="742" t="str">
        <f>IF(VLOOKUP(A100,'Débit - Abfluss'!$A$4:$K$275,9,FALSE)="","",VLOOKUP(A100,'Débit - Abfluss'!$A$4:$M$275,9,FALSE))</f>
        <v>-</v>
      </c>
      <c r="AR100" s="773" t="str">
        <f>IF(VLOOKUP(A100,'Débit - Abfluss'!$A$4:$K$275,10,FALSE)="","",VLOOKUP(A100,'Débit - Abfluss'!$A$4:$M$275,10,FALSE))</f>
        <v>81-100%</v>
      </c>
      <c r="AS100" s="767" t="str">
        <f>IF(VLOOKUP(A100,'Débit - Abfluss'!$A$4:$K$275,11,FALSE)="","",VLOOKUP(A100,'Débit - Abfluss'!$A$4:$M$275,11,FALSE))</f>
        <v/>
      </c>
      <c r="AT100" s="778" t="str">
        <f>IF(VLOOKUP(A100,'Débit - Abfluss'!$A$4:$Q$275,12,FALSE)="","",VLOOKUP(A100,'Débit - Abfluss'!$A$4:$Q$275,12,FALSE))</f>
        <v/>
      </c>
      <c r="AU100" s="779" t="str">
        <f>IF(VLOOKUP(A100,'Débit - Abfluss'!$A$4:$Q$275,13,FALSE)="","",VLOOKUP(A100,'Débit - Abfluss'!$A$4:$Q$275,13,FALSE))</f>
        <v/>
      </c>
      <c r="AV100" s="746" t="str">
        <f>IF(VLOOKUP(A100,'Débit - Abfluss'!$A$4:$Q$275,14,FALSE)="","",VLOOKUP(A100,'Débit - Abfluss'!$A$4:$Q$275,14,FALSE))</f>
        <v/>
      </c>
      <c r="AW100" s="768" t="str">
        <f>IF(VLOOKUP(A100,'Débit - Abfluss'!$A$4:$Q$275,15,FALSE)="","",VLOOKUP(A100,'Débit - Abfluss'!$A$4:$Q$275,15,FALSE))</f>
        <v/>
      </c>
      <c r="AX100" s="679" t="str">
        <f>IF(VLOOKUP(A100,'Débit - Abfluss'!$A$4:$Q$275,16,FALSE)="","",VLOOKUP(A100,'Débit - Abfluss'!$A$4:$Q$275,16,FALSE))</f>
        <v/>
      </c>
      <c r="AY100" s="775" t="str">
        <f>IF(VLOOKUP(A100,'Débit - Abfluss'!$A$4:$Q$275,17,FALSE)="","",VLOOKUP(A100,'Débit - Abfluss'!$A$4:$Q$275,17,FALSE))</f>
        <v>81-100%</v>
      </c>
      <c r="AZ100" s="749" t="str">
        <f>IF(VLOOKUP(A100,'Eclusée - Schwall-Sunk'!$A$2:$F$273,5,FALSE)="","",VLOOKUP(A100,'Eclusée - Schwall-Sunk'!$A$2:$F$273,5,FALSE))</f>
        <v>force hydraulique</v>
      </c>
      <c r="BA100" s="750" t="str">
        <f>IF(VLOOKUP(A100,'Eclusée - Schwall-Sunk'!$A$2:$F$273,6,FALSE)="","",VLOOKUP(A100,'Eclusée - Schwall-Sunk'!$A$2:$F$273,6,FALSE))</f>
        <v>Potentiellement affecté / möglicherweise betroffen</v>
      </c>
      <c r="BB100" s="751" t="str">
        <f>IF(VLOOKUP(A100,'Revitalisation-Revitalisierung'!$A$4:$Z$275,5,FALSE)="","",VLOOKUP(A100,'Revitalisation-Revitalisierung'!$A$4:$Z$275,5,FALSE))</f>
        <v/>
      </c>
      <c r="BC100" s="752" t="str">
        <f>IF(VLOOKUP(A100,'Revitalisation-Revitalisierung'!$A$4:$Z$275,6,FALSE)="","",VLOOKUP(A100,'Revitalisation-Revitalisierung'!$A$4:$Z$275,6,FALSE))</f>
        <v/>
      </c>
      <c r="BD100" s="752" t="str">
        <f>IF(VLOOKUP(A100,'Revitalisation-Revitalisierung'!$A$4:$Z$275,7,FALSE)="","",VLOOKUP(A100,'Revitalisation-Revitalisierung'!$A$4:$Z$275,7,FALSE))</f>
        <v/>
      </c>
      <c r="BE100" s="753" t="str">
        <f>IF(VLOOKUP(A100,'Revitalisation-Revitalisierung'!$A$4:$Z$275,8,FALSE)="","",VLOOKUP(A100,'Revitalisation-Revitalisierung'!$A$4:$Z$275,8,FALSE))</f>
        <v/>
      </c>
      <c r="BF100" s="754" t="str">
        <f>IF(VLOOKUP(A100,'Revitalisation-Revitalisierung'!$A$4:$Z$275,9,FALSE)="","",VLOOKUP(A100,'Revitalisation-Revitalisierung'!$A$4:$Z$275,9,FALSE))</f>
        <v/>
      </c>
      <c r="BG100" s="754" t="str">
        <f>IF(VLOOKUP(A100,'Revitalisation-Revitalisierung'!$A$4:$Z$275,10,FALSE)="","",VLOOKUP(A100,'Revitalisation-Revitalisierung'!$A$4:$Z$275,10,FALSE))</f>
        <v>K3</v>
      </c>
      <c r="BH100" s="755" t="str">
        <f>IF(VLOOKUP(A100,'Revitalisation-Revitalisierung'!$A$4:$Z$275,11,FALSE)="","",VLOOKUP(A100,'Revitalisation-Revitalisierung'!$A$4:$Z$275,11,FALSE))</f>
        <v>très nécessaire, facile</v>
      </c>
      <c r="BI100" s="756" t="str">
        <f>IF(VLOOKUP(A100,'Revitalisation-Revitalisierung'!$A$4:$Z$275,12,FALSE)="","",VLOOKUP(A100,'Revitalisation-Revitalisierung'!$A$4:$Z$275,12,FALSE))</f>
        <v>ok</v>
      </c>
      <c r="BJ100" s="757" t="str">
        <f>IF(VLOOKUP(A100,'Revitalisation-Revitalisierung'!$A$4:$Z$275,13,FALSE)="","",VLOOKUP(A100,'Revitalisation-Revitalisierung'!$A$4:$Z$275,13,FALSE))</f>
        <v>Très nécessaire, facile / unbedingt nötig, einfach</v>
      </c>
      <c r="BK100" s="870" t="str">
        <f>IF(VLOOKUP(A100,'Revitalisation-Revitalisierung'!$A$4:$Z$275,14,FALSE)="","",VLOOKUP(A100,'Revitalisation-Revitalisierung'!$A$4:$Z$275,14,FALSE))</f>
        <v>a</v>
      </c>
      <c r="BL100" s="758" t="str">
        <f>IF(VLOOKUP(A100,'Revitalisation-Revitalisierung'!$A$4:$Z$275,15,FALSE)="","",VLOOKUP(A100,'Revitalisation-Revitalisierung'!$A$4:$Z$275,15,FALSE))</f>
        <v>élevé (tous les affluents au lac, y c. le Rhône)</v>
      </c>
      <c r="BM100" s="759" t="str">
        <f>IF(VLOOKUP(A100,'Revitalisation-Revitalisierung'!$A$4:$Z$275,16,FALSE)="","",VLOOKUP(A100,'Revitalisation-Revitalisierung'!$A$4:$Z$275,16,FALSE))</f>
        <v>Rhône: moyen amont; élevé aval. Grand Canal: élevé. Vieux Rhône: faible. Autres affluents: moyen.</v>
      </c>
      <c r="BN100" s="759" t="str">
        <f>IF(VLOOKUP(A100,'Revitalisation-Revitalisierung'!$A$4:$Z$275,17,FALSE)="","",VLOOKUP(A100,'Revitalisation-Revitalisierung'!$A$4:$Z$275,17,FALSE))</f>
        <v>Rhône: moyen amont; élevé embouchure. Vieux Rhône: nulle. Grand Canal: élevé. Autres affluents: moyen.</v>
      </c>
      <c r="BO100" s="760" t="str">
        <f>IF(VLOOKUP(A100,'Revitalisation-Revitalisierung'!$A$4:$Z$275,18,FALSE)="","",VLOOKUP(A100,'Revitalisation-Revitalisierung'!$A$4:$Z$275,18,FALSE))</f>
        <v/>
      </c>
      <c r="BP100" s="761" t="str">
        <f>IF(VLOOKUP(A100,'Revitalisation-Revitalisierung'!$A$4:$Z$275,19,FALSE)="","",VLOOKUP(A100,'Revitalisation-Revitalisierung'!$A$4:$Z$275,19,FALSE))</f>
        <v>Très nécessaire, facile / unbedingt nötig, einfach</v>
      </c>
      <c r="BQ100" s="759" t="str">
        <f>IF(VLOOKUP(A100,'Revitalisation-Revitalisierung'!$A$4:$Z$275,20,FALSE)="","",VLOOKUP(A100,'Revitalisation-Revitalisierung'!$A$4:$Z$275,20,FALSE))</f>
        <v>a</v>
      </c>
      <c r="BR100" s="759" t="str">
        <f>IF(VLOOKUP(A100,'Revitalisation-Revitalisierung'!$A$4:$Z$275,21,FALSE)="","",VLOOKUP(A100,'Revitalisation-Revitalisierung'!$A$4:$Z$275,21,FALSE))</f>
        <v/>
      </c>
      <c r="BS100" s="762" t="str">
        <f>IF(VLOOKUP(A100,'Revitalisation-Revitalisierung'!$A$4:$Z$275,22,FALSE)="","",VLOOKUP(A100,'Revitalisation-Revitalisierung'!$A$4:$Z$275,22,FALSE))</f>
        <v/>
      </c>
      <c r="BT100" s="700" t="str">
        <f>IF(VLOOKUP(A100,'Revitalisation-Revitalisierung'!$A$4:$Z$275,23,FALSE)="","",VLOOKUP(A100,'Revitalisation-Revitalisierung'!$A$4:$Z$275,23,FALSE))</f>
        <v/>
      </c>
      <c r="BU100" s="699" t="str">
        <f>IF(VLOOKUP(A100,'Revitalisation-Revitalisierung'!$A$4:$Z$275,24,FALSE)="","",VLOOKUP(A100,'Revitalisation-Revitalisierung'!$A$4:$Z$275,24,FALSE))</f>
        <v/>
      </c>
      <c r="BV100" s="761" t="str">
        <f>IF(VLOOKUP(A100,'Revitalisation-Revitalisierung'!$A$4:$Z$275,25,FALSE)="","",VLOOKUP(A100,'Revitalisation-Revitalisierung'!$A$4:$Z$275,25,FALSE))</f>
        <v>Très nécessaire, facile / unbedingt nötig, einfach</v>
      </c>
      <c r="BW100" s="871" t="str">
        <f>IF(VLOOKUP(A100,'Revitalisation-Revitalisierung'!$A$4:$AA$275,27,FALSE)="","",VLOOKUP(A100,'Revitalisation-Revitalisierung'!$A$4:$AA$275,27,FALSE))</f>
        <v>a</v>
      </c>
    </row>
    <row r="101" spans="1:75" ht="66.599999999999994" customHeight="1" x14ac:dyDescent="0.25">
      <c r="A101" s="936">
        <v>123.2</v>
      </c>
      <c r="B101" s="856">
        <f>IF(VLOOKUP(A101,'Données de base - Grunddaten'!$A$2:$M$297,2,FALSE)="","",VLOOKUP(A101,'Données de base - Grunddaten'!$A$2:$M$297,2,FALSE))</f>
        <v>2</v>
      </c>
      <c r="C101" s="857" t="str">
        <f>IF(VLOOKUP(A101,'Données de base - Grunddaten'!$A$2:$M$297,3,FALSE)="","",VLOOKUP(A101,'Données de base - Grunddaten'!$A$2:$M$297,3,FALSE))</f>
        <v>Les Grangettes</v>
      </c>
      <c r="D101" s="857" t="str">
        <f>IF(VLOOKUP(A101,'Données de base - Grunddaten'!$A$2:$M$297,4,FALSE)="","",VLOOKUP(A101,'Données de base - Grunddaten'!$A$2:$M$297,4,FALSE))</f>
        <v>Le Rhône, Grand Canal, Lac Léman</v>
      </c>
      <c r="E101" s="857" t="str">
        <f>IF(VLOOKUP(A101,'Données de base - Grunddaten'!$A$2:$M$297,5,FALSE)="","",VLOOKUP(A101,'Données de base - Grunddaten'!$A$2:$M$297,5,FALSE))</f>
        <v>VD</v>
      </c>
      <c r="F101" s="857" t="str">
        <f>IF(VLOOKUP(A101,'Données de base - Grunddaten'!$A$2:$M$297,6,FALSE)="","",VLOOKUP(A101,'Données de base - Grunddaten'!$A$2:$M$297,6,FALSE))</f>
        <v>Plateau occidental, Alpes septentrionales</v>
      </c>
      <c r="G101" s="857" t="str">
        <f>IF(VLOOKUP(A101,'Données de base - Grunddaten'!$A$2:$M$297,7,FALSE)="","",VLOOKUP(A101,'Données de base - Grunddaten'!$A$2:$M$297,7,FALSE))</f>
        <v>Collinéen</v>
      </c>
      <c r="H101" s="857">
        <f>IF(VLOOKUP(A101,'Données de base - Grunddaten'!$A$2:$M$297,8,FALSE)="","",VLOOKUP(A101,'Données de base - Grunddaten'!$A$2:$M$297,8,FALSE))</f>
        <v>370</v>
      </c>
      <c r="I101" s="857">
        <f>IF(VLOOKUP(A101,'Données de base - Grunddaten'!$A$2:$M$297,9,FALSE)="","",VLOOKUP(A101,'Données de base - Grunddaten'!$A$2:$M$297,9,FALSE))</f>
        <v>1992</v>
      </c>
      <c r="J101" s="857">
        <f>IF(VLOOKUP(A101,'Données de base - Grunddaten'!$A$2:$M$297,10,FALSE)="","",VLOOKUP(A101,'Données de base - Grunddaten'!$A$2:$M$297,10,FALSE))</f>
        <v>52</v>
      </c>
      <c r="K101" s="857" t="str">
        <f>IF(VLOOKUP(A101,'Données de base - Grunddaten'!$A$2:$M$297,11,FALSE)="","",VLOOKUP(A101,'Données de base - Grunddaten'!$A$2:$M$297,11,FALSE))</f>
        <v>Cours d'eau corrigés de l'étage collinéen du Moyen-Pays</v>
      </c>
      <c r="L101" s="857" t="str">
        <f>IF(VLOOKUP(A101,'Données de base - Grunddaten'!$A$2:$M$297,12,FALSE)="","",VLOOKUP(A101,'Données de base - Grunddaten'!$A$2:$M$297,12,FALSE))</f>
        <v>en tresses</v>
      </c>
      <c r="M101" s="858" t="str">
        <f>IF(VLOOKUP(A101,'Données de base - Grunddaten'!$A$2:$M$297,13,FALSE)="","",VLOOKUP(A101,'Données de base - Grunddaten'!$A$2:$M$297,13,FALSE))</f>
        <v>cours rectiligne</v>
      </c>
      <c r="N101" s="872" t="str">
        <f>IF(VLOOKUP(A101,'Charriage - Geschiebehaushalt'!$A$4:$R$275,5,FALSE)="","",VLOOKUP(A101,'Charriage - Geschiebehaushalt'!$A$4:$R$275,5,FALSE))</f>
        <v>pertinent</v>
      </c>
      <c r="O101" s="873" t="str">
        <f>IF(VLOOKUP(A101,'Charriage - Geschiebehaushalt'!$A$4:$R$275,6,FALSE)="","",VLOOKUP(A101,'Charriage - Geschiebehaushalt'!$A$4:$R$275,6,FALSE))</f>
        <v>21-50%</v>
      </c>
      <c r="P101" s="874" t="str">
        <f>IF(VLOOKUP(A101,'Charriage - Geschiebehaushalt'!$A$4:$R$275,7,FALSE)="","",VLOOKUP(A101,'Charriage - Geschiebehaushalt'!$A$4:$R$275,7,FALSE))</f>
        <v/>
      </c>
      <c r="Q101" s="874" t="str">
        <f>IF(VLOOKUP(A101,'Charriage - Geschiebehaushalt'!$A$4:$R$275,8,FALSE)="","",VLOOKUP(A101,'Charriage - Geschiebehaushalt'!$A$4:$R$275,8,FALSE))</f>
        <v>non documenté</v>
      </c>
      <c r="R101" s="875">
        <f>IF(VLOOKUP(A101,'Charriage - Geschiebehaushalt'!$A$4:$R$275,9,FALSE)="","",VLOOKUP(A101,'Charriage - Geschiebehaushalt'!$A$4:$R$275,9,FALSE))</f>
        <v>0</v>
      </c>
      <c r="S101" s="876" t="str">
        <f>IF(VLOOKUP(A101,'Charriage - Geschiebehaushalt'!$A$4:$R$275,10,FALSE)="","",VLOOKUP(A101,'Charriage - Geschiebehaushalt'!$A$4:$R$275,10,FALSE))</f>
        <v>pas ou faiblement entravé</v>
      </c>
      <c r="T101" s="875">
        <f>IF(VLOOKUP(A101,'Charriage - Geschiebehaushalt'!$A$4:$R$275,11,FALSE)="","",VLOOKUP(A101,'Charriage - Geschiebehaushalt'!$A$4:$R$275,11,FALSE))</f>
        <v>3.9458874451999998E-2</v>
      </c>
      <c r="U101" s="876" t="str">
        <f>IF(VLOOKUP(A101,'Charriage - Geschiebehaushalt'!$A$4:$R$275,12,FALSE)="","",VLOOKUP(A101,'Charriage - Geschiebehaushalt'!$A$4:$R$275,12,FALSE))</f>
        <v>déficit dans les formations pionnières</v>
      </c>
      <c r="V101" s="877" t="str">
        <f>IF(VLOOKUP(A101,'Charriage - Geschiebehaushalt'!$A$4:$R$275,13,FALSE)="","",VLOOKUP(A101,'Charriage - Geschiebehaushalt'!$A$4:$R$275,13,FALSE))</f>
        <v/>
      </c>
      <c r="W101" s="877" t="str">
        <f>IF(VLOOKUP(A101,'Charriage - Geschiebehaushalt'!$A$4:$R$275,14,FALSE)="","",VLOOKUP(A101,'Charriage - Geschiebehaushalt'!$A$4:$R$275,14,FALSE))</f>
        <v/>
      </c>
      <c r="X101" s="877" t="str">
        <f>IF(VLOOKUP(A101,'Charriage - Geschiebehaushalt'!$A$4:$R$275,15,FALSE)="","",VLOOKUP(A101,'Charriage - Geschiebehaushalt'!$A$4:$R$275,15,FALSE))</f>
        <v/>
      </c>
      <c r="Y101" s="879" t="str">
        <f>IF(VLOOKUP(A101,'Charriage - Geschiebehaushalt'!$A$4:$R$275,16,FALSE)="","",VLOOKUP(A101,'Charriage - Geschiebehaushalt'!$A$4:$R$275,16,FALSE))</f>
        <v/>
      </c>
      <c r="Z101" s="763" t="str">
        <f>IF(VLOOKUP(A101,'Charriage - Geschiebehaushalt'!$A$4:$R$275,17,FALSE)="","",VLOOKUP(A101,'Charriage - Geschiebehaushalt'!$A$4:$R$275,17,FALSE))</f>
        <v>21-50%</v>
      </c>
      <c r="AA101" s="880" t="str">
        <f>IF(VLOOKUP(A101,'Charriage - Geschiebehaushalt'!$A$4:$R$275,18,FALSE)="","",VLOOKUP(A101,'Charriage - Geschiebehaushalt'!$A$4:$R$275,18,FALSE))</f>
        <v>a</v>
      </c>
      <c r="AB101" s="737">
        <f>IF(VLOOKUP(A101,'Charriage - Geschiebehaushalt'!$A$4:$AC$275,19,FALSE)="","",VLOOKUP(A101,'Charriage - Geschiebehaushalt'!$A$4:$AC$275,19,FALSE))</f>
        <v>0</v>
      </c>
      <c r="AC101" s="738">
        <f>IF(VLOOKUP(A101,'Charriage - Geschiebehaushalt'!$A$4:$AC$275,20,FALSE)="","",VLOOKUP(A101,'Charriage - Geschiebehaushalt'!$A$4:$AC$275,20,FALSE))</f>
        <v>0</v>
      </c>
      <c r="AD101" s="764" t="str">
        <f>IF(VLOOKUP(A101,'Charriage - Geschiebehaushalt'!$A$4:$AC$275,21,FALSE)="","",VLOOKUP(A101,'Charriage - Geschiebehaushalt'!$A$4:$AC$275,21,FALSE))</f>
        <v>0-20%</v>
      </c>
      <c r="AE101" s="772" t="str">
        <f>IF(VLOOKUP(A101,'Charriage - Geschiebehaushalt'!$A$4:$AC$275,22,FALSE)="","",VLOOKUP(A101,'Charriage - Geschiebehaushalt'!$A$4:$AC$275,22,FALSE))</f>
        <v>0-20%</v>
      </c>
      <c r="AF101" s="787" t="str">
        <f>IF(VLOOKUP(A101,'Charriage - Geschiebehaushalt'!$A$4:$AC$275,23,FALSE)="","",VLOOKUP(A101,'Charriage - Geschiebehaushalt'!$A$4:$AC$275,23,FALSE))</f>
        <v>c</v>
      </c>
      <c r="AG101" s="765" t="str">
        <f>IF(VLOOKUP(A101,'Charriage - Geschiebehaushalt'!$A$4:$AC$275,24,FALSE)="","",VLOOKUP(A101,'Charriage - Geschiebehaushalt'!$A$4:$AC$275,24,FALSE))</f>
        <v/>
      </c>
      <c r="AH101" s="764" t="str">
        <f>IF(VLOOKUP(A101,'Charriage - Geschiebehaushalt'!$A$4:$AC$275,25,FALSE)="","",VLOOKUP(A101,'Charriage - Geschiebehaushalt'!$A$4:$AC$275,25,FALSE))</f>
        <v/>
      </c>
      <c r="AI101" s="896" t="str">
        <f>IF(VLOOKUP(A101,'Charriage - Geschiebehaushalt'!$A$4:$AC$275,26,FALSE)="","",VLOOKUP(A101,'Charriage - Geschiebehaushalt'!$A$4:$AC$275,26,FALSE))</f>
        <v>non</v>
      </c>
      <c r="AJ101" s="436" t="str">
        <f>IF(VLOOKUP(A101,'Charriage - Geschiebehaushalt'!$A$4:$AC$275,27,FALSE)="","",VLOOKUP(A101,'Charriage - Geschiebehaushalt'!$A$4:$AC$275,27,FALSE))</f>
        <v/>
      </c>
      <c r="AK101" s="814" t="str">
        <f>IF(VLOOKUP(A101,'Charriage - Geschiebehaushalt'!$A$4:$AC$275,28,FALSE)="","",VLOOKUP(A101,'Charriage - Geschiebehaushalt'!$A$4:$AC$275,28,FALSE))</f>
        <v>0-20%</v>
      </c>
      <c r="AL101" s="1285" t="str">
        <f>IF(VLOOKUP(A101,'Charriage - Geschiebehaushalt'!$A$4:$AD$275,30,FALSE)="","",VLOOKUP(A101,'Charriage - Geschiebehaushalt'!$A$4:$AD$275,30,FALSE))</f>
        <v>a</v>
      </c>
      <c r="AM101" s="1279" t="str">
        <f>IF(VLOOKUP(A101,'Débit - Abfluss'!$A$4:$K$275,5,FALSE)="","",VLOOKUP(A101,'Débit - Abfluss'!$A$4:$M$275,5,FALSE))</f>
        <v>81-100%</v>
      </c>
      <c r="AN101" s="868" t="str">
        <f>IF(VLOOKUP(A101,'Débit - Abfluss'!$A$4:$K$275,6,FALSE)="","",VLOOKUP(A101,'Débit - Abfluss'!$A$4:$M$275,6,FALSE))</f>
        <v/>
      </c>
      <c r="AO101" s="869" t="str">
        <f>IF(VLOOKUP(A101,'Débit - Abfluss'!$A$4:$K$275,7,FALSE)="","",VLOOKUP(A101,'Débit - Abfluss'!$A$4:$M$275,7,FALSE))</f>
        <v/>
      </c>
      <c r="AP101" s="766" t="str">
        <f>IF(VLOOKUP(A101,'Débit - Abfluss'!$A$4:$K$275,8,FALSE)="","",VLOOKUP(A101,'Débit - Abfluss'!$A$4:$M$275,8,FALSE))</f>
        <v>81-100%</v>
      </c>
      <c r="AQ101" s="742" t="str">
        <f>IF(VLOOKUP(A101,'Débit - Abfluss'!$A$4:$K$275,9,FALSE)="","",VLOOKUP(A101,'Débit - Abfluss'!$A$4:$M$275,9,FALSE))</f>
        <v>-</v>
      </c>
      <c r="AR101" s="767" t="str">
        <f>IF(VLOOKUP(A101,'Débit - Abfluss'!$A$4:$K$275,10,FALSE)="","",VLOOKUP(A101,'Débit - Abfluss'!$A$4:$M$275,10,FALSE))</f>
        <v>81-100%</v>
      </c>
      <c r="AS101" s="767" t="str">
        <f>IF(VLOOKUP(A101,'Débit - Abfluss'!$A$4:$K$275,11,FALSE)="","",VLOOKUP(A101,'Débit - Abfluss'!$A$4:$M$275,11,FALSE))</f>
        <v/>
      </c>
      <c r="AT101" s="778" t="str">
        <f>IF(VLOOKUP(A101,'Débit - Abfluss'!$A$4:$Q$275,12,FALSE)="","",VLOOKUP(A101,'Débit - Abfluss'!$A$4:$Q$275,12,FALSE))</f>
        <v/>
      </c>
      <c r="AU101" s="779" t="str">
        <f>IF(VLOOKUP(A101,'Débit - Abfluss'!$A$4:$Q$275,13,FALSE)="","",VLOOKUP(A101,'Débit - Abfluss'!$A$4:$Q$275,13,FALSE))</f>
        <v/>
      </c>
      <c r="AV101" s="746" t="str">
        <f>IF(VLOOKUP(A101,'Débit - Abfluss'!$A$4:$Q$275,14,FALSE)="","",VLOOKUP(A101,'Débit - Abfluss'!$A$4:$Q$275,14,FALSE))</f>
        <v/>
      </c>
      <c r="AW101" s="768" t="str">
        <f>IF(VLOOKUP(A101,'Débit - Abfluss'!$A$4:$Q$275,15,FALSE)="","",VLOOKUP(A101,'Débit - Abfluss'!$A$4:$Q$275,15,FALSE))</f>
        <v/>
      </c>
      <c r="AX101" s="679" t="str">
        <f>IF(VLOOKUP(A101,'Débit - Abfluss'!$A$4:$Q$275,16,FALSE)="","",VLOOKUP(A101,'Débit - Abfluss'!$A$4:$Q$275,16,FALSE))</f>
        <v/>
      </c>
      <c r="AY101" s="769" t="str">
        <f>IF(VLOOKUP(A101,'Débit - Abfluss'!$A$4:$Q$275,17,FALSE)="","",VLOOKUP(A101,'Débit - Abfluss'!$A$4:$Q$275,17,FALSE))</f>
        <v>81-100%</v>
      </c>
      <c r="AZ101" s="749" t="str">
        <f>IF(VLOOKUP(A101,'Eclusée - Schwall-Sunk'!$A$2:$F$273,5,FALSE)="","",VLOOKUP(A101,'Eclusée - Schwall-Sunk'!$A$2:$F$273,5,FALSE))</f>
        <v>force hydraulique</v>
      </c>
      <c r="BA101" s="750" t="str">
        <f>IF(VLOOKUP(A101,'Eclusée - Schwall-Sunk'!$A$2:$F$273,6,FALSE)="","",VLOOKUP(A101,'Eclusée - Schwall-Sunk'!$A$2:$F$273,6,FALSE))</f>
        <v>Potentiellement affecté / möglicherweise betroffen</v>
      </c>
      <c r="BB101" s="751">
        <f>IF(VLOOKUP(A101,'Revitalisation-Revitalisierung'!$A$4:$Z$275,5,FALSE)="","",VLOOKUP(A101,'Revitalisation-Revitalisierung'!$A$4:$Z$275,5,FALSE))</f>
        <v>-3.1818181818181817</v>
      </c>
      <c r="BC101" s="752">
        <f>IF(VLOOKUP(A101,'Revitalisation-Revitalisierung'!$A$4:$Z$275,6,FALSE)="","",VLOOKUP(A101,'Revitalisation-Revitalisierung'!$A$4:$Z$275,6,FALSE))</f>
        <v>0</v>
      </c>
      <c r="BD101" s="752">
        <f>IF(VLOOKUP(A101,'Revitalisation-Revitalisierung'!$A$4:$Z$275,7,FALSE)="","",VLOOKUP(A101,'Revitalisation-Revitalisierung'!$A$4:$Z$275,7,FALSE))</f>
        <v>3.1818181818181817</v>
      </c>
      <c r="BE101" s="753" t="str">
        <f>IF(VLOOKUP(A101,'Revitalisation-Revitalisierung'!$A$4:$Z$275,8,FALSE)="","",VLOOKUP(A101,'Revitalisation-Revitalisierung'!$A$4:$Z$275,8,FALSE))</f>
        <v>non nécessaire</v>
      </c>
      <c r="BF101" s="754" t="str">
        <f>IF(VLOOKUP(A101,'Revitalisation-Revitalisierung'!$A$4:$Z$275,9,FALSE)="","",VLOOKUP(A101,'Revitalisation-Revitalisierung'!$A$4:$Z$275,9,FALSE))</f>
        <v/>
      </c>
      <c r="BG101" s="754" t="str">
        <f>IF(VLOOKUP(A101,'Revitalisation-Revitalisierung'!$A$4:$Z$275,10,FALSE)="","",VLOOKUP(A101,'Revitalisation-Revitalisierung'!$A$4:$Z$275,10,FALSE))</f>
        <v>K3</v>
      </c>
      <c r="BH101" s="755" t="str">
        <f>IF(VLOOKUP(A101,'Revitalisation-Revitalisierung'!$A$4:$Z$275,11,FALSE)="","",VLOOKUP(A101,'Revitalisation-Revitalisierung'!$A$4:$Z$275,11,FALSE))</f>
        <v>très nécessaire, facile</v>
      </c>
      <c r="BI101" s="756" t="str">
        <f>IF(VLOOKUP(A101,'Revitalisation-Revitalisierung'!$A$4:$Z$275,12,FALSE)="","",VLOOKUP(A101,'Revitalisation-Revitalisierung'!$A$4:$Z$275,12,FALSE))</f>
        <v>Attention sans doute une erreur dans le calcul d'indice d'entrave</v>
      </c>
      <c r="BJ101" s="757" t="str">
        <f>IF(VLOOKUP(A101,'Revitalisation-Revitalisierung'!$A$4:$Z$275,13,FALSE)="","",VLOOKUP(A101,'Revitalisation-Revitalisierung'!$A$4:$Z$275,13,FALSE))</f>
        <v>Très nécessaire, facile / unbedingt nötig, einfach</v>
      </c>
      <c r="BK101" s="870" t="str">
        <f>IF(VLOOKUP(A101,'Revitalisation-Revitalisierung'!$A$4:$Z$275,14,FALSE)="","",VLOOKUP(A101,'Revitalisation-Revitalisierung'!$A$4:$Z$275,14,FALSE))</f>
        <v>a</v>
      </c>
      <c r="BL101" s="758">
        <f>IF(VLOOKUP(A101,'Revitalisation-Revitalisierung'!$A$4:$Z$275,15,FALSE)="","",VLOOKUP(A101,'Revitalisation-Revitalisierung'!$A$4:$Z$275,15,FALSE))</f>
        <v>0</v>
      </c>
      <c r="BM101" s="759">
        <f>IF(VLOOKUP(A101,'Revitalisation-Revitalisierung'!$A$4:$Z$275,16,FALSE)="","",VLOOKUP(A101,'Revitalisation-Revitalisierung'!$A$4:$Z$275,16,FALSE))</f>
        <v>0</v>
      </c>
      <c r="BN101" s="759">
        <f>IF(VLOOKUP(A101,'Revitalisation-Revitalisierung'!$A$4:$Z$275,17,FALSE)="","",VLOOKUP(A101,'Revitalisation-Revitalisierung'!$A$4:$Z$275,17,FALSE))</f>
        <v>0</v>
      </c>
      <c r="BO101" s="760" t="str">
        <f>IF(VLOOKUP(A101,'Revitalisation-Revitalisierung'!$A$4:$Z$275,18,FALSE)="","",VLOOKUP(A101,'Revitalisation-Revitalisierung'!$A$4:$Z$275,18,FALSE))</f>
        <v>Très nécessaire, facile / unbedingt nötig, einfach</v>
      </c>
      <c r="BP101" s="761" t="str">
        <f>IF(VLOOKUP(A101,'Revitalisation-Revitalisierung'!$A$4:$Z$275,19,FALSE)="","",VLOOKUP(A101,'Revitalisation-Revitalisierung'!$A$4:$Z$275,19,FALSE))</f>
        <v>Très nécessaire, facile / unbedingt nötig, einfach</v>
      </c>
      <c r="BQ101" s="759" t="str">
        <f>IF(VLOOKUP(A101,'Revitalisation-Revitalisierung'!$A$4:$Z$275,20,FALSE)="","",VLOOKUP(A101,'Revitalisation-Revitalisierung'!$A$4:$Z$275,20,FALSE))</f>
        <v>d</v>
      </c>
      <c r="BR101" s="759" t="str">
        <f>IF(VLOOKUP(A101,'Revitalisation-Revitalisierung'!$A$4:$Z$275,21,FALSE)="","",VLOOKUP(A101,'Revitalisation-Revitalisierung'!$A$4:$Z$275,21,FALSE))</f>
        <v/>
      </c>
      <c r="BS101" s="762" t="str">
        <f>IF(VLOOKUP(A101,'Revitalisation-Revitalisierung'!$A$4:$Z$275,22,FALSE)="","",VLOOKUP(A101,'Revitalisation-Revitalisierung'!$A$4:$Z$275,22,FALSE))</f>
        <v/>
      </c>
      <c r="BT101" s="700" t="str">
        <f>IF(VLOOKUP(A101,'Revitalisation-Revitalisierung'!$A$4:$Z$275,23,FALSE)="","",VLOOKUP(A101,'Revitalisation-Revitalisierung'!$A$4:$Z$275,23,FALSE))</f>
        <v/>
      </c>
      <c r="BU101" s="699" t="str">
        <f>IF(VLOOKUP(A101,'Revitalisation-Revitalisierung'!$A$4:$Z$275,24,FALSE)="","",VLOOKUP(A101,'Revitalisation-Revitalisierung'!$A$4:$Z$275,24,FALSE))</f>
        <v/>
      </c>
      <c r="BV101" s="761" t="str">
        <f>IF(VLOOKUP(A101,'Revitalisation-Revitalisierung'!$A$4:$Z$275,25,FALSE)="","",VLOOKUP(A101,'Revitalisation-Revitalisierung'!$A$4:$Z$275,25,FALSE))</f>
        <v>Très nécessaire, facile / unbedingt nötig, einfach</v>
      </c>
      <c r="BW101" s="871" t="str">
        <f>IF(VLOOKUP(A101,'Revitalisation-Revitalisierung'!$A$4:$AA$275,27,FALSE)="","",VLOOKUP(A101,'Revitalisation-Revitalisierung'!$A$4:$AA$275,27,FALSE))</f>
        <v>a</v>
      </c>
    </row>
    <row r="102" spans="1:75" ht="66.599999999999994" customHeight="1" x14ac:dyDescent="0.25">
      <c r="A102" s="936">
        <v>123.3</v>
      </c>
      <c r="B102" s="856">
        <f>IF(VLOOKUP(A102,'Données de base - Grunddaten'!$A$2:$M$297,2,FALSE)="","",VLOOKUP(A102,'Données de base - Grunddaten'!$A$2:$M$297,2,FALSE))</f>
        <v>3</v>
      </c>
      <c r="C102" s="857" t="str">
        <f>IF(VLOOKUP(A102,'Données de base - Grunddaten'!$A$2:$M$297,3,FALSE)="","",VLOOKUP(A102,'Données de base - Grunddaten'!$A$2:$M$297,3,FALSE))</f>
        <v>Les Grangettes</v>
      </c>
      <c r="D102" s="857" t="str">
        <f>IF(VLOOKUP(A102,'Données de base - Grunddaten'!$A$2:$M$297,4,FALSE)="","",VLOOKUP(A102,'Données de base - Grunddaten'!$A$2:$M$297,4,FALSE))</f>
        <v>Le Rhône, Grand Canal, Lac Léman</v>
      </c>
      <c r="E102" s="857" t="str">
        <f>IF(VLOOKUP(A102,'Données de base - Grunddaten'!$A$2:$M$297,5,FALSE)="","",VLOOKUP(A102,'Données de base - Grunddaten'!$A$2:$M$297,5,FALSE))</f>
        <v>VD</v>
      </c>
      <c r="F102" s="857" t="str">
        <f>IF(VLOOKUP(A102,'Données de base - Grunddaten'!$A$2:$M$297,6,FALSE)="","",VLOOKUP(A102,'Données de base - Grunddaten'!$A$2:$M$297,6,FALSE))</f>
        <v>Plateau occidental, Alpes septentrionales</v>
      </c>
      <c r="G102" s="857" t="str">
        <f>IF(VLOOKUP(A102,'Données de base - Grunddaten'!$A$2:$M$297,7,FALSE)="","",VLOOKUP(A102,'Données de base - Grunddaten'!$A$2:$M$297,7,FALSE))</f>
        <v>Collinéen</v>
      </c>
      <c r="H102" s="857">
        <f>IF(VLOOKUP(A102,'Données de base - Grunddaten'!$A$2:$M$297,8,FALSE)="","",VLOOKUP(A102,'Données de base - Grunddaten'!$A$2:$M$297,8,FALSE))</f>
        <v>370</v>
      </c>
      <c r="I102" s="857">
        <f>IF(VLOOKUP(A102,'Données de base - Grunddaten'!$A$2:$M$297,9,FALSE)="","",VLOOKUP(A102,'Données de base - Grunddaten'!$A$2:$M$297,9,FALSE))</f>
        <v>1992</v>
      </c>
      <c r="J102" s="857">
        <f>IF(VLOOKUP(A102,'Données de base - Grunddaten'!$A$2:$M$297,10,FALSE)="","",VLOOKUP(A102,'Données de base - Grunddaten'!$A$2:$M$297,10,FALSE))</f>
        <v>101</v>
      </c>
      <c r="K102" s="857" t="str">
        <f>IF(VLOOKUP(A102,'Données de base - Grunddaten'!$A$2:$M$297,11,FALSE)="","",VLOOKUP(A102,'Données de base - Grunddaten'!$A$2:$M$297,11,FALSE))</f>
        <v>Rives de lacs des étages collinéen et montagnard</v>
      </c>
      <c r="L102" s="857" t="str">
        <f>IF(VLOOKUP(A102,'Données de base - Grunddaten'!$A$2:$M$297,12,FALSE)="","",VLOOKUP(A102,'Données de base - Grunddaten'!$A$2:$M$297,12,FALSE))</f>
        <v>rives lacustres</v>
      </c>
      <c r="M102" s="858" t="str">
        <f>IF(VLOOKUP(A102,'Données de base - Grunddaten'!$A$2:$M$297,13,FALSE)="","",VLOOKUP(A102,'Données de base - Grunddaten'!$A$2:$M$297,13,FALSE))</f>
        <v>rives lacustres</v>
      </c>
      <c r="N102" s="891" t="str">
        <f>IF(VLOOKUP(A102,'Charriage - Geschiebehaushalt'!$A$4:$R$275,5,FALSE)="","",VLOOKUP(A102,'Charriage - Geschiebehaushalt'!$A$4:$R$275,5,FALSE))</f>
        <v>non pertinent</v>
      </c>
      <c r="O102" s="881" t="str">
        <f>IF(VLOOKUP(A102,'Charriage - Geschiebehaushalt'!$A$4:$R$275,6,FALSE)="","",VLOOKUP(A102,'Charriage - Geschiebehaushalt'!$A$4:$R$275,6,FALSE))</f>
        <v/>
      </c>
      <c r="P102" s="874" t="str">
        <f>IF(VLOOKUP(A102,'Charriage - Geschiebehaushalt'!$A$4:$R$275,7,FALSE)="","",VLOOKUP(A102,'Charriage - Geschiebehaushalt'!$A$4:$R$275,7,FALSE))</f>
        <v/>
      </c>
      <c r="Q102" s="874" t="str">
        <f>IF(VLOOKUP(A102,'Charriage - Geschiebehaushalt'!$A$4:$R$275,8,FALSE)="","",VLOOKUP(A102,'Charriage - Geschiebehaushalt'!$A$4:$R$275,8,FALSE))</f>
        <v>non documenté</v>
      </c>
      <c r="R102" s="875">
        <f>IF(VLOOKUP(A102,'Charriage - Geschiebehaushalt'!$A$4:$R$275,9,FALSE)="","",VLOOKUP(A102,'Charriage - Geschiebehaushalt'!$A$4:$R$275,9,FALSE))</f>
        <v>0.34871043745439201</v>
      </c>
      <c r="S102" s="876" t="str">
        <f>IF(VLOOKUP(A102,'Charriage - Geschiebehaushalt'!$A$4:$R$275,10,FALSE)="","",VLOOKUP(A102,'Charriage - Geschiebehaushalt'!$A$4:$R$275,10,FALSE))</f>
        <v>la remobilisation des sédiments est perturbée</v>
      </c>
      <c r="T102" s="875">
        <f>IF(VLOOKUP(A102,'Charriage - Geschiebehaushalt'!$A$4:$R$275,11,FALSE)="","",VLOOKUP(A102,'Charriage - Geschiebehaushalt'!$A$4:$R$275,11,FALSE))</f>
        <v>0.3455510262</v>
      </c>
      <c r="U102" s="876" t="str">
        <f>IF(VLOOKUP(A102,'Charriage - Geschiebehaushalt'!$A$4:$R$275,12,FALSE)="","",VLOOKUP(A102,'Charriage - Geschiebehaushalt'!$A$4:$R$275,12,FALSE))</f>
        <v>déficit non apparent en charriage ou en remobilisation des sédiments</v>
      </c>
      <c r="V102" s="877" t="str">
        <f>IF(VLOOKUP(A102,'Charriage - Geschiebehaushalt'!$A$4:$R$275,13,FALSE)="","",VLOOKUP(A102,'Charriage - Geschiebehaushalt'!$A$4:$R$275,13,FALSE))</f>
        <v/>
      </c>
      <c r="W102" s="877" t="str">
        <f>IF(VLOOKUP(A102,'Charriage - Geschiebehaushalt'!$A$4:$R$275,14,FALSE)="","",VLOOKUP(A102,'Charriage - Geschiebehaushalt'!$A$4:$R$275,14,FALSE))</f>
        <v/>
      </c>
      <c r="X102" s="877" t="str">
        <f>IF(VLOOKUP(A102,'Charriage - Geschiebehaushalt'!$A$4:$R$275,15,FALSE)="","",VLOOKUP(A102,'Charriage - Geschiebehaushalt'!$A$4:$R$275,15,FALSE))</f>
        <v/>
      </c>
      <c r="Y102" s="879" t="str">
        <f>IF(VLOOKUP(A102,'Charriage - Geschiebehaushalt'!$A$4:$R$275,16,FALSE)="","",VLOOKUP(A102,'Charriage - Geschiebehaushalt'!$A$4:$R$275,16,FALSE))</f>
        <v/>
      </c>
      <c r="Z102" s="763" t="str">
        <f>IF(VLOOKUP(A102,'Charriage - Geschiebehaushalt'!$A$4:$R$275,17,FALSE)="","",VLOOKUP(A102,'Charriage - Geschiebehaushalt'!$A$4:$R$275,17,FALSE))</f>
        <v>non pertinent / nicht relevant</v>
      </c>
      <c r="AA102" s="880" t="str">
        <f>IF(VLOOKUP(A102,'Charriage - Geschiebehaushalt'!$A$4:$R$275,18,FALSE)="","",VLOOKUP(A102,'Charriage - Geschiebehaushalt'!$A$4:$R$275,18,FALSE))</f>
        <v>a</v>
      </c>
      <c r="AB102" s="737">
        <f>IF(VLOOKUP(A102,'Charriage - Geschiebehaushalt'!$A$4:$AC$275,19,FALSE)="","",VLOOKUP(A102,'Charriage - Geschiebehaushalt'!$A$4:$AC$275,19,FALSE))</f>
        <v>0</v>
      </c>
      <c r="AC102" s="738">
        <f>IF(VLOOKUP(A102,'Charriage - Geschiebehaushalt'!$A$4:$AC$275,20,FALSE)="","",VLOOKUP(A102,'Charriage - Geschiebehaushalt'!$A$4:$AC$275,20,FALSE))</f>
        <v>0</v>
      </c>
      <c r="AD102" s="764" t="str">
        <f>IF(VLOOKUP(A102,'Charriage - Geschiebehaushalt'!$A$4:$AC$275,21,FALSE)="","",VLOOKUP(A102,'Charriage - Geschiebehaushalt'!$A$4:$AC$275,21,FALSE))</f>
        <v/>
      </c>
      <c r="AE102" s="772" t="str">
        <f>IF(VLOOKUP(A102,'Charriage - Geschiebehaushalt'!$A$4:$AC$275,22,FALSE)="","",VLOOKUP(A102,'Charriage - Geschiebehaushalt'!$A$4:$AC$275,22,FALSE))</f>
        <v>non pertinent / nicht relevant</v>
      </c>
      <c r="AF102" s="787" t="str">
        <f>IF(VLOOKUP(A102,'Charriage - Geschiebehaushalt'!$A$4:$AC$275,23,FALSE)="","",VLOOKUP(A102,'Charriage - Geschiebehaushalt'!$A$4:$AC$275,23,FALSE))</f>
        <v>a</v>
      </c>
      <c r="AG102" s="765" t="str">
        <f>IF(VLOOKUP(A102,'Charriage - Geschiebehaushalt'!$A$4:$AC$275,24,FALSE)="","",VLOOKUP(A102,'Charriage - Geschiebehaushalt'!$A$4:$AC$275,24,FALSE))</f>
        <v/>
      </c>
      <c r="AH102" s="764" t="str">
        <f>IF(VLOOKUP(A102,'Charriage - Geschiebehaushalt'!$A$4:$AC$275,25,FALSE)="","",VLOOKUP(A102,'Charriage - Geschiebehaushalt'!$A$4:$AC$275,25,FALSE))</f>
        <v/>
      </c>
      <c r="AI102" s="896" t="str">
        <f>IF(VLOOKUP(A102,'Charriage - Geschiebehaushalt'!$A$4:$AC$275,26,FALSE)="","",VLOOKUP(A102,'Charriage - Geschiebehaushalt'!$A$4:$AC$275,26,FALSE))</f>
        <v>non</v>
      </c>
      <c r="AJ102" s="436" t="str">
        <f>IF(VLOOKUP(A102,'Charriage - Geschiebehaushalt'!$A$4:$AC$275,27,FALSE)="","",VLOOKUP(A102,'Charriage - Geschiebehaushalt'!$A$4:$AC$275,27,FALSE))</f>
        <v/>
      </c>
      <c r="AK102" s="814" t="str">
        <f>IF(VLOOKUP(A102,'Charriage - Geschiebehaushalt'!$A$4:$AC$275,28,FALSE)="","",VLOOKUP(A102,'Charriage - Geschiebehaushalt'!$A$4:$AC$275,28,FALSE))</f>
        <v>non pertinent / nicht relevant</v>
      </c>
      <c r="AL102" s="1285" t="str">
        <f>IF(VLOOKUP(A102,'Charriage - Geschiebehaushalt'!$A$4:$AD$275,30,FALSE)="","",VLOOKUP(A102,'Charriage - Geschiebehaushalt'!$A$4:$AD$275,30,FALSE))</f>
        <v>a</v>
      </c>
      <c r="AM102" s="1279" t="str">
        <f>IF(VLOOKUP(A102,'Débit - Abfluss'!$A$4:$K$275,5,FALSE)="","",VLOOKUP(A102,'Débit - Abfluss'!$A$4:$M$275,5,FALSE))</f>
        <v>non pertinent</v>
      </c>
      <c r="AN102" s="868" t="str">
        <f>IF(VLOOKUP(A102,'Débit - Abfluss'!$A$4:$K$275,6,FALSE)="","",VLOOKUP(A102,'Débit - Abfluss'!$A$4:$M$275,6,FALSE))</f>
        <v/>
      </c>
      <c r="AO102" s="869" t="str">
        <f>IF(VLOOKUP(A102,'Débit - Abfluss'!$A$4:$K$275,7,FALSE)="","",VLOOKUP(A102,'Débit - Abfluss'!$A$4:$M$275,7,FALSE))</f>
        <v/>
      </c>
      <c r="AP102" s="766" t="str">
        <f>IF(VLOOKUP(A102,'Débit - Abfluss'!$A$4:$K$275,8,FALSE)="","",VLOOKUP(A102,'Débit - Abfluss'!$A$4:$M$275,8,FALSE))</f>
        <v>non pertinent / nicht relevant</v>
      </c>
      <c r="AQ102" s="742" t="str">
        <f>IF(VLOOKUP(A102,'Débit - Abfluss'!$A$4:$K$275,9,FALSE)="","",VLOOKUP(A102,'Débit - Abfluss'!$A$4:$M$275,9,FALSE))</f>
        <v>-</v>
      </c>
      <c r="AR102" s="767" t="str">
        <f>IF(VLOOKUP(A102,'Débit - Abfluss'!$A$4:$K$275,10,FALSE)="","",VLOOKUP(A102,'Débit - Abfluss'!$A$4:$M$275,10,FALSE))</f>
        <v>non pertinent / nicht relevant</v>
      </c>
      <c r="AS102" s="767" t="str">
        <f>IF(VLOOKUP(A102,'Débit - Abfluss'!$A$4:$K$275,11,FALSE)="","",VLOOKUP(A102,'Débit - Abfluss'!$A$4:$M$275,11,FALSE))</f>
        <v/>
      </c>
      <c r="AT102" s="778" t="str">
        <f>IF(VLOOKUP(A102,'Débit - Abfluss'!$A$4:$Q$275,12,FALSE)="","",VLOOKUP(A102,'Débit - Abfluss'!$A$4:$Q$275,12,FALSE))</f>
        <v/>
      </c>
      <c r="AU102" s="779" t="str">
        <f>IF(VLOOKUP(A102,'Débit - Abfluss'!$A$4:$Q$275,13,FALSE)="","",VLOOKUP(A102,'Débit - Abfluss'!$A$4:$Q$275,13,FALSE))</f>
        <v/>
      </c>
      <c r="AV102" s="746" t="str">
        <f>IF(VLOOKUP(A102,'Débit - Abfluss'!$A$4:$Q$275,14,FALSE)="","",VLOOKUP(A102,'Débit - Abfluss'!$A$4:$Q$275,14,FALSE))</f>
        <v/>
      </c>
      <c r="AW102" s="768" t="str">
        <f>IF(VLOOKUP(A102,'Débit - Abfluss'!$A$4:$Q$275,15,FALSE)="","",VLOOKUP(A102,'Débit - Abfluss'!$A$4:$Q$275,15,FALSE))</f>
        <v/>
      </c>
      <c r="AX102" s="682" t="str">
        <f>IF(VLOOKUP(A102,'Débit - Abfluss'!$A$4:$Q$275,16,FALSE)="","",VLOOKUP(A102,'Débit - Abfluss'!$A$4:$Q$275,16,FALSE))</f>
        <v/>
      </c>
      <c r="AY102" s="769" t="str">
        <f>IF(VLOOKUP(A102,'Débit - Abfluss'!$A$4:$Q$275,17,FALSE)="","",VLOOKUP(A102,'Débit - Abfluss'!$A$4:$Q$275,17,FALSE))</f>
        <v>non pertinent / nicht relevant</v>
      </c>
      <c r="AZ102" s="749" t="str">
        <f>IF(VLOOKUP(A102,'Eclusée - Schwall-Sunk'!$A$2:$F$273,5,FALSE)="","",VLOOKUP(A102,'Eclusée - Schwall-Sunk'!$A$2:$F$273,5,FALSE))</f>
        <v/>
      </c>
      <c r="BA102" s="750" t="str">
        <f>IF(VLOOKUP(A102,'Eclusée - Schwall-Sunk'!$A$2:$F$273,6,FALSE)="","",VLOOKUP(A102,'Eclusée - Schwall-Sunk'!$A$2:$F$273,6,FALSE))</f>
        <v>Non affecté / nicht betroffen</v>
      </c>
      <c r="BB102" s="751" t="str">
        <f>IF(VLOOKUP(A102,'Revitalisation-Revitalisierung'!$A$4:$Z$275,5,FALSE)="","",VLOOKUP(A102,'Revitalisation-Revitalisierung'!$A$4:$Z$275,5,FALSE))</f>
        <v/>
      </c>
      <c r="BC102" s="752" t="str">
        <f>IF(VLOOKUP(A102,'Revitalisation-Revitalisierung'!$A$4:$Z$275,6,FALSE)="","",VLOOKUP(A102,'Revitalisation-Revitalisierung'!$A$4:$Z$275,6,FALSE))</f>
        <v/>
      </c>
      <c r="BD102" s="752" t="str">
        <f>IF(VLOOKUP(A102,'Revitalisation-Revitalisierung'!$A$4:$Z$275,7,FALSE)="","",VLOOKUP(A102,'Revitalisation-Revitalisierung'!$A$4:$Z$275,7,FALSE))</f>
        <v/>
      </c>
      <c r="BE102" s="753" t="str">
        <f>IF(VLOOKUP(A102,'Revitalisation-Revitalisierung'!$A$4:$Z$275,8,FALSE)="","",VLOOKUP(A102,'Revitalisation-Revitalisierung'!$A$4:$Z$275,8,FALSE))</f>
        <v/>
      </c>
      <c r="BF102" s="754" t="str">
        <f>IF(VLOOKUP(A102,'Revitalisation-Revitalisierung'!$A$4:$Z$275,9,FALSE)="","",VLOOKUP(A102,'Revitalisation-Revitalisierung'!$A$4:$Z$275,9,FALSE))</f>
        <v/>
      </c>
      <c r="BG102" s="754" t="str">
        <f>IF(VLOOKUP(A102,'Revitalisation-Revitalisierung'!$A$4:$Z$275,10,FALSE)="","",VLOOKUP(A102,'Revitalisation-Revitalisierung'!$A$4:$Z$275,10,FALSE))</f>
        <v>K1</v>
      </c>
      <c r="BH102" s="755" t="str">
        <f>IF(VLOOKUP(A102,'Revitalisation-Revitalisierung'!$A$4:$Z$275,11,FALSE)="","",VLOOKUP(A102,'Revitalisation-Revitalisierung'!$A$4:$Z$275,11,FALSE))</f>
        <v>non nécessaire</v>
      </c>
      <c r="BI102" s="756" t="str">
        <f>IF(VLOOKUP(A102,'Revitalisation-Revitalisierung'!$A$4:$Z$275,12,FALSE)="","",VLOOKUP(A102,'Revitalisation-Revitalisierung'!$A$4:$Z$275,12,FALSE))</f>
        <v>ok</v>
      </c>
      <c r="BJ102" s="757" t="str">
        <f>IF(VLOOKUP(A102,'Revitalisation-Revitalisierung'!$A$4:$Z$275,13,FALSE)="","",VLOOKUP(A102,'Revitalisation-Revitalisierung'!$A$4:$Z$275,13,FALSE))</f>
        <v>Non nécessaire / nicht nötig</v>
      </c>
      <c r="BK102" s="870" t="str">
        <f>IF(VLOOKUP(A102,'Revitalisation-Revitalisierung'!$A$4:$Z$275,14,FALSE)="","",VLOOKUP(A102,'Revitalisation-Revitalisierung'!$A$4:$Z$275,14,FALSE))</f>
        <v>a</v>
      </c>
      <c r="BL102" s="758">
        <f>IF(VLOOKUP(A102,'Revitalisation-Revitalisierung'!$A$4:$Z$275,15,FALSE)="","",VLOOKUP(A102,'Revitalisation-Revitalisierung'!$A$4:$Z$275,15,FALSE))</f>
        <v>0</v>
      </c>
      <c r="BM102" s="759">
        <f>IF(VLOOKUP(A102,'Revitalisation-Revitalisierung'!$A$4:$Z$275,16,FALSE)="","",VLOOKUP(A102,'Revitalisation-Revitalisierung'!$A$4:$Z$275,16,FALSE))</f>
        <v>0</v>
      </c>
      <c r="BN102" s="759">
        <f>IF(VLOOKUP(A102,'Revitalisation-Revitalisierung'!$A$4:$Z$275,17,FALSE)="","",VLOOKUP(A102,'Revitalisation-Revitalisierung'!$A$4:$Z$275,17,FALSE))</f>
        <v>0</v>
      </c>
      <c r="BO102" s="760" t="str">
        <f>IF(VLOOKUP(A102,'Revitalisation-Revitalisierung'!$A$4:$Z$275,18,FALSE)="","",VLOOKUP(A102,'Revitalisation-Revitalisierung'!$A$4:$Z$275,18,FALSE))</f>
        <v/>
      </c>
      <c r="BP102" s="761" t="str">
        <f>IF(VLOOKUP(A102,'Revitalisation-Revitalisierung'!$A$4:$Z$275,19,FALSE)="","",VLOOKUP(A102,'Revitalisation-Revitalisierung'!$A$4:$Z$275,19,FALSE))</f>
        <v>Non nécessaire / nicht nötig</v>
      </c>
      <c r="BQ102" s="759" t="str">
        <f>IF(VLOOKUP(A102,'Revitalisation-Revitalisierung'!$A$4:$Z$275,20,FALSE)="","",VLOOKUP(A102,'Revitalisation-Revitalisierung'!$A$4:$Z$275,20,FALSE))</f>
        <v>a</v>
      </c>
      <c r="BR102" s="759" t="str">
        <f>IF(VLOOKUP(A102,'Revitalisation-Revitalisierung'!$A$4:$Z$275,21,FALSE)="","",VLOOKUP(A102,'Revitalisation-Revitalisierung'!$A$4:$Z$275,21,FALSE))</f>
        <v/>
      </c>
      <c r="BS102" s="762" t="str">
        <f>IF(VLOOKUP(A102,'Revitalisation-Revitalisierung'!$A$4:$Z$275,22,FALSE)="","",VLOOKUP(A102,'Revitalisation-Revitalisierung'!$A$4:$Z$275,22,FALSE))</f>
        <v/>
      </c>
      <c r="BT102" s="700" t="str">
        <f>IF(VLOOKUP(A102,'Revitalisation-Revitalisierung'!$A$4:$Z$275,23,FALSE)="","",VLOOKUP(A102,'Revitalisation-Revitalisierung'!$A$4:$Z$275,23,FALSE))</f>
        <v/>
      </c>
      <c r="BU102" s="699" t="str">
        <f>IF(VLOOKUP(A102,'Revitalisation-Revitalisierung'!$A$4:$Z$275,24,FALSE)="","",VLOOKUP(A102,'Revitalisation-Revitalisierung'!$A$4:$Z$275,24,FALSE))</f>
        <v/>
      </c>
      <c r="BV102" s="761" t="str">
        <f>IF(VLOOKUP(A102,'Revitalisation-Revitalisierung'!$A$4:$Z$275,25,FALSE)="","",VLOOKUP(A102,'Revitalisation-Revitalisierung'!$A$4:$Z$275,25,FALSE))</f>
        <v>Non nécessaire / nicht nötig</v>
      </c>
      <c r="BW102" s="871" t="str">
        <f>IF(VLOOKUP(A102,'Revitalisation-Revitalisierung'!$A$4:$AA$275,27,FALSE)="","",VLOOKUP(A102,'Revitalisation-Revitalisierung'!$A$4:$AA$275,27,FALSE))</f>
        <v>a</v>
      </c>
    </row>
    <row r="103" spans="1:75" ht="65.45" customHeight="1" x14ac:dyDescent="0.25">
      <c r="A103" s="935">
        <v>124</v>
      </c>
      <c r="B103" s="856">
        <f>IF(VLOOKUP(A103,'Données de base - Grunddaten'!$A$2:$M$297,2,FALSE)="","",VLOOKUP(A103,'Données de base - Grunddaten'!$A$2:$M$297,2,FALSE))</f>
        <v>1</v>
      </c>
      <c r="C103" s="857" t="str">
        <f>IF(VLOOKUP(A103,'Données de base - Grunddaten'!$A$2:$M$297,3,FALSE)="","",VLOOKUP(A103,'Données de base - Grunddaten'!$A$2:$M$297,3,FALSE))</f>
        <v>Iles des Clous</v>
      </c>
      <c r="D103" s="857" t="str">
        <f>IF(VLOOKUP(A103,'Données de base - Grunddaten'!$A$2:$M$297,4,FALSE)="","",VLOOKUP(A103,'Données de base - Grunddaten'!$A$2:$M$297,4,FALSE))</f>
        <v>Le Rhône, Grand Canal</v>
      </c>
      <c r="E103" s="857" t="str">
        <f>IF(VLOOKUP(A103,'Données de base - Grunddaten'!$A$2:$M$297,5,FALSE)="","",VLOOKUP(A103,'Données de base - Grunddaten'!$A$2:$M$297,5,FALSE))</f>
        <v>VD</v>
      </c>
      <c r="F103" s="857" t="str">
        <f>IF(VLOOKUP(A103,'Données de base - Grunddaten'!$A$2:$M$297,6,FALSE)="","",VLOOKUP(A103,'Données de base - Grunddaten'!$A$2:$M$297,6,FALSE))</f>
        <v>Alpes septentrionales</v>
      </c>
      <c r="G103" s="857" t="str">
        <f>IF(VLOOKUP(A103,'Données de base - Grunddaten'!$A$2:$M$297,7,FALSE)="","",VLOOKUP(A103,'Données de base - Grunddaten'!$A$2:$M$297,7,FALSE))</f>
        <v>Collinéen</v>
      </c>
      <c r="H103" s="857">
        <f>IF(VLOOKUP(A103,'Données de base - Grunddaten'!$A$2:$M$297,8,FALSE)="","",VLOOKUP(A103,'Données de base - Grunddaten'!$A$2:$M$297,8,FALSE))</f>
        <v>380</v>
      </c>
      <c r="I103" s="857">
        <f>IF(VLOOKUP(A103,'Données de base - Grunddaten'!$A$2:$M$297,9,FALSE)="","",VLOOKUP(A103,'Données de base - Grunddaten'!$A$2:$M$297,9,FALSE))</f>
        <v>1992</v>
      </c>
      <c r="J103" s="857">
        <f>IF(VLOOKUP(A103,'Données de base - Grunddaten'!$A$2:$M$297,10,FALSE)="","",VLOOKUP(A103,'Données de base - Grunddaten'!$A$2:$M$297,10,FALSE))</f>
        <v>52</v>
      </c>
      <c r="K103" s="857" t="str">
        <f>IF(VLOOKUP(A103,'Données de base - Grunddaten'!$A$2:$M$297,11,FALSE)="","",VLOOKUP(A103,'Données de base - Grunddaten'!$A$2:$M$297,11,FALSE))</f>
        <v>Cours d'eau corrigés de l'étage collinéen du Moyen-Pays</v>
      </c>
      <c r="L103" s="857" t="str">
        <f>IF(VLOOKUP(A103,'Données de base - Grunddaten'!$A$2:$M$297,12,FALSE)="","",VLOOKUP(A103,'Données de base - Grunddaten'!$A$2:$M$297,12,FALSE))</f>
        <v>en méandres migrants</v>
      </c>
      <c r="M103" s="858" t="str">
        <f>IF(VLOOKUP(A103,'Données de base - Grunddaten'!$A$2:$M$297,13,FALSE)="","",VLOOKUP(A103,'Données de base - Grunddaten'!$A$2:$M$297,13,FALSE))</f>
        <v>cours rectiligne</v>
      </c>
      <c r="N103" s="872" t="str">
        <f>IF(VLOOKUP(A103,'Charriage - Geschiebehaushalt'!$A$4:$R$275,5,FALSE)="","",VLOOKUP(A103,'Charriage - Geschiebehaushalt'!$A$4:$R$275,5,FALSE))</f>
        <v>pertinent</v>
      </c>
      <c r="O103" s="873" t="str">
        <f>IF(VLOOKUP(A103,'Charriage - Geschiebehaushalt'!$A$4:$R$275,6,FALSE)="","",VLOOKUP(A103,'Charriage - Geschiebehaushalt'!$A$4:$R$275,6,FALSE))</f>
        <v>21-50%</v>
      </c>
      <c r="P103" s="874" t="str">
        <f>IF(VLOOKUP(A103,'Charriage - Geschiebehaushalt'!$A$4:$R$275,7,FALSE)="","",VLOOKUP(A103,'Charriage - Geschiebehaushalt'!$A$4:$R$275,7,FALSE))</f>
        <v/>
      </c>
      <c r="Q103" s="874" t="str">
        <f>IF(VLOOKUP(A103,'Charriage - Geschiebehaushalt'!$A$4:$R$275,8,FALSE)="","",VLOOKUP(A103,'Charriage - Geschiebehaushalt'!$A$4:$R$275,8,FALSE))</f>
        <v>non documenté</v>
      </c>
      <c r="R103" s="875">
        <f>IF(VLOOKUP(A103,'Charriage - Geschiebehaushalt'!$A$4:$R$275,9,FALSE)="","",VLOOKUP(A103,'Charriage - Geschiebehaushalt'!$A$4:$R$275,9,FALSE))</f>
        <v>0.44285525471942699</v>
      </c>
      <c r="S103" s="876" t="str">
        <f>IF(VLOOKUP(A103,'Charriage - Geschiebehaushalt'!$A$4:$R$275,10,FALSE)="","",VLOOKUP(A103,'Charriage - Geschiebehaushalt'!$A$4:$R$275,10,FALSE))</f>
        <v>la remobilisation des sédiments est perturbée</v>
      </c>
      <c r="T103" s="875">
        <f>IF(VLOOKUP(A103,'Charriage - Geschiebehaushalt'!$A$4:$R$275,11,FALSE)="","",VLOOKUP(A103,'Charriage - Geschiebehaushalt'!$A$4:$R$275,11,FALSE))</f>
        <v>2.2769769033000001E-2</v>
      </c>
      <c r="U103" s="876" t="str">
        <f>IF(VLOOKUP(A103,'Charriage - Geschiebehaushalt'!$A$4:$R$275,12,FALSE)="","",VLOOKUP(A103,'Charriage - Geschiebehaushalt'!$A$4:$R$275,12,FALSE))</f>
        <v>déficit dans les formations pionnières</v>
      </c>
      <c r="V103" s="877" t="str">
        <f>IF(VLOOKUP(A103,'Charriage - Geschiebehaushalt'!$A$4:$R$275,13,FALSE)="","",VLOOKUP(A103,'Charriage - Geschiebehaushalt'!$A$4:$R$275,13,FALSE))</f>
        <v/>
      </c>
      <c r="W103" s="877" t="str">
        <f>IF(VLOOKUP(A103,'Charriage - Geschiebehaushalt'!$A$4:$R$275,14,FALSE)="","",VLOOKUP(A103,'Charriage - Geschiebehaushalt'!$A$4:$R$275,14,FALSE))</f>
        <v/>
      </c>
      <c r="X103" s="877" t="str">
        <f>IF(VLOOKUP(A103,'Charriage - Geschiebehaushalt'!$A$4:$R$275,15,FALSE)="","",VLOOKUP(A103,'Charriage - Geschiebehaushalt'!$A$4:$R$275,15,FALSE))</f>
        <v/>
      </c>
      <c r="Y103" s="879" t="str">
        <f>IF(VLOOKUP(A103,'Charriage - Geschiebehaushalt'!$A$4:$R$275,16,FALSE)="","",VLOOKUP(A103,'Charriage - Geschiebehaushalt'!$A$4:$R$275,16,FALSE))</f>
        <v/>
      </c>
      <c r="Z103" s="763" t="str">
        <f>IF(VLOOKUP(A103,'Charriage - Geschiebehaushalt'!$A$4:$R$275,17,FALSE)="","",VLOOKUP(A103,'Charriage - Geschiebehaushalt'!$A$4:$R$275,17,FALSE))</f>
        <v>21-50%</v>
      </c>
      <c r="AA103" s="880" t="str">
        <f>IF(VLOOKUP(A103,'Charriage - Geschiebehaushalt'!$A$4:$R$275,18,FALSE)="","",VLOOKUP(A103,'Charriage - Geschiebehaushalt'!$A$4:$R$275,18,FALSE))</f>
        <v>a</v>
      </c>
      <c r="AB103" s="737" t="str">
        <f>IF(VLOOKUP(A103,'Charriage - Geschiebehaushalt'!$A$4:$AC$275,19,FALSE)="","",VLOOKUP(A103,'Charriage - Geschiebehaushalt'!$A$4:$AC$275,19,FALSE))</f>
        <v>aucune</v>
      </c>
      <c r="AC103" s="738" t="str">
        <f>IF(VLOOKUP(A103,'Charriage - Geschiebehaushalt'!$A$4:$AC$275,20,FALSE)="","",VLOOKUP(A103,'Charriage - Geschiebehaushalt'!$A$4:$AC$275,20,FALSE))</f>
        <v>aucun</v>
      </c>
      <c r="AD103" s="764" t="str">
        <f>IF(VLOOKUP(A103,'Charriage - Geschiebehaushalt'!$A$4:$AC$275,21,FALSE)="","",VLOOKUP(A103,'Charriage - Geschiebehaushalt'!$A$4:$AC$275,21,FALSE))</f>
        <v>0-20%</v>
      </c>
      <c r="AE103" s="772" t="str">
        <f>IF(VLOOKUP(A103,'Charriage - Geschiebehaushalt'!$A$4:$AC$275,22,FALSE)="","",VLOOKUP(A103,'Charriage - Geschiebehaushalt'!$A$4:$AC$275,22,FALSE))</f>
        <v>0-20%</v>
      </c>
      <c r="AF103" s="787" t="str">
        <f>IF(VLOOKUP(A103,'Charriage - Geschiebehaushalt'!$A$4:$AC$275,23,FALSE)="","",VLOOKUP(A103,'Charriage - Geschiebehaushalt'!$A$4:$AC$275,23,FALSE))</f>
        <v>c</v>
      </c>
      <c r="AG103" s="765" t="str">
        <f>IF(VLOOKUP(A103,'Charriage - Geschiebehaushalt'!$A$4:$AC$275,24,FALSE)="","",VLOOKUP(A103,'Charriage - Geschiebehaushalt'!$A$4:$AC$275,24,FALSE))</f>
        <v/>
      </c>
      <c r="AH103" s="764" t="str">
        <f>IF(VLOOKUP(A103,'Charriage - Geschiebehaushalt'!$A$4:$AC$275,25,FALSE)="","",VLOOKUP(A103,'Charriage - Geschiebehaushalt'!$A$4:$AC$275,25,FALSE))</f>
        <v/>
      </c>
      <c r="AI103" s="896" t="str">
        <f>IF(VLOOKUP(A103,'Charriage - Geschiebehaushalt'!$A$4:$AC$275,26,FALSE)="","",VLOOKUP(A103,'Charriage - Geschiebehaushalt'!$A$4:$AC$275,26,FALSE))</f>
        <v>non</v>
      </c>
      <c r="AJ103" s="897" t="str">
        <f>IF(VLOOKUP(A103,'Charriage - Geschiebehaushalt'!$A$4:$AC$275,27,FALSE)="","",VLOOKUP(A103,'Charriage - Geschiebehaushalt'!$A$4:$AC$275,27,FALSE))</f>
        <v>voir projet de 3ème correction du Rhône (R3), mesure prioritaire Chablais</v>
      </c>
      <c r="AK103" s="814" t="str">
        <f>IF(VLOOKUP(A103,'Charriage - Geschiebehaushalt'!$A$4:$AC$275,28,FALSE)="","",VLOOKUP(A103,'Charriage - Geschiebehaushalt'!$A$4:$AC$275,28,FALSE))</f>
        <v>0-20%</v>
      </c>
      <c r="AL103" s="1285" t="str">
        <f>IF(VLOOKUP(A103,'Charriage - Geschiebehaushalt'!$A$4:$AD$275,30,FALSE)="","",VLOOKUP(A103,'Charriage - Geschiebehaushalt'!$A$4:$AD$275,30,FALSE))</f>
        <v>a</v>
      </c>
      <c r="AM103" s="1279" t="str">
        <f>IF(VLOOKUP(A103,'Débit - Abfluss'!$A$4:$K$275,5,FALSE)="","",VLOOKUP(A103,'Débit - Abfluss'!$A$4:$M$275,5,FALSE))</f>
        <v>81-100%</v>
      </c>
      <c r="AN103" s="868" t="str">
        <f>IF(VLOOKUP(A103,'Débit - Abfluss'!$A$4:$K$275,6,FALSE)="","",VLOOKUP(A103,'Débit - Abfluss'!$A$4:$M$275,6,FALSE))</f>
        <v/>
      </c>
      <c r="AO103" s="869" t="str">
        <f>IF(VLOOKUP(A103,'Débit - Abfluss'!$A$4:$K$275,7,FALSE)="","",VLOOKUP(A103,'Débit - Abfluss'!$A$4:$M$275,7,FALSE))</f>
        <v/>
      </c>
      <c r="AP103" s="766" t="str">
        <f>IF(VLOOKUP(A103,'Débit - Abfluss'!$A$4:$K$275,8,FALSE)="","",VLOOKUP(A103,'Débit - Abfluss'!$A$4:$M$275,8,FALSE))</f>
        <v>81-100%</v>
      </c>
      <c r="AQ103" s="742" t="str">
        <f>IF(VLOOKUP(A103,'Débit - Abfluss'!$A$4:$K$275,9,FALSE)="","",VLOOKUP(A103,'Débit - Abfluss'!$A$4:$M$275,9,FALSE))</f>
        <v>-</v>
      </c>
      <c r="AR103" s="767" t="str">
        <f>IF(VLOOKUP(A103,'Débit - Abfluss'!$A$4:$K$275,10,FALSE)="","",VLOOKUP(A103,'Débit - Abfluss'!$A$4:$M$275,10,FALSE))</f>
        <v>81-100%</v>
      </c>
      <c r="AS103" s="767" t="str">
        <f>IF(VLOOKUP(A103,'Débit - Abfluss'!$A$4:$K$275,11,FALSE)="","",VLOOKUP(A103,'Débit - Abfluss'!$A$4:$M$275,11,FALSE))</f>
        <v/>
      </c>
      <c r="AT103" s="778" t="str">
        <f>IF(VLOOKUP(A103,'Débit - Abfluss'!$A$4:$Q$275,12,FALSE)="","",VLOOKUP(A103,'Débit - Abfluss'!$A$4:$Q$275,12,FALSE))</f>
        <v/>
      </c>
      <c r="AU103" s="779" t="str">
        <f>IF(VLOOKUP(A103,'Débit - Abfluss'!$A$4:$Q$275,13,FALSE)="","",VLOOKUP(A103,'Débit - Abfluss'!$A$4:$Q$275,13,FALSE))</f>
        <v/>
      </c>
      <c r="AV103" s="746" t="str">
        <f>IF(VLOOKUP(A103,'Débit - Abfluss'!$A$4:$Q$275,14,FALSE)="","",VLOOKUP(A103,'Débit - Abfluss'!$A$4:$Q$275,14,FALSE))</f>
        <v/>
      </c>
      <c r="AW103" s="768" t="str">
        <f>IF(VLOOKUP(A103,'Débit - Abfluss'!$A$4:$Q$275,15,FALSE)="","",VLOOKUP(A103,'Débit - Abfluss'!$A$4:$Q$275,15,FALSE))</f>
        <v/>
      </c>
      <c r="AX103" s="679" t="str">
        <f>IF(VLOOKUP(A103,'Débit - Abfluss'!$A$4:$Q$275,16,FALSE)="","",VLOOKUP(A103,'Débit - Abfluss'!$A$4:$Q$275,16,FALSE))</f>
        <v/>
      </c>
      <c r="AY103" s="769" t="str">
        <f>IF(VLOOKUP(A103,'Débit - Abfluss'!$A$4:$Q$275,17,FALSE)="","",VLOOKUP(A103,'Débit - Abfluss'!$A$4:$Q$275,17,FALSE))</f>
        <v>81-100%</v>
      </c>
      <c r="AZ103" s="749" t="str">
        <f>IF(VLOOKUP(A103,'Eclusée - Schwall-Sunk'!$A$2:$F$273,5,FALSE)="","",VLOOKUP(A103,'Eclusée - Schwall-Sunk'!$A$2:$F$273,5,FALSE))</f>
        <v>force hydraulique</v>
      </c>
      <c r="BA103" s="750" t="str">
        <f>IF(VLOOKUP(A103,'Eclusée - Schwall-Sunk'!$A$2:$F$273,6,FALSE)="","",VLOOKUP(A103,'Eclusée - Schwall-Sunk'!$A$2:$F$273,6,FALSE))</f>
        <v>Potentiellement affecté / möglicherweise betroffen</v>
      </c>
      <c r="BB103" s="751">
        <f>IF(VLOOKUP(A103,'Revitalisation-Revitalisierung'!$A$4:$Z$275,5,FALSE)="","",VLOOKUP(A103,'Revitalisation-Revitalisierung'!$A$4:$Z$275,5,FALSE))</f>
        <v>77.927272727272737</v>
      </c>
      <c r="BC103" s="752">
        <f>IF(VLOOKUP(A103,'Revitalisation-Revitalisierung'!$A$4:$Z$275,6,FALSE)="","",VLOOKUP(A103,'Revitalisation-Revitalisierung'!$A$4:$Z$275,6,FALSE))</f>
        <v>85.202136174721915</v>
      </c>
      <c r="BD103" s="752">
        <f>IF(VLOOKUP(A103,'Revitalisation-Revitalisierung'!$A$4:$Z$275,7,FALSE)="","",VLOOKUP(A103,'Revitalisation-Revitalisierung'!$A$4:$Z$275,7,FALSE))</f>
        <v>7.2727272727272725</v>
      </c>
      <c r="BE103" s="753" t="str">
        <f>IF(VLOOKUP(A103,'Revitalisation-Revitalisierung'!$A$4:$Z$275,8,FALSE)="","",VLOOKUP(A103,'Revitalisation-Revitalisierung'!$A$4:$Z$275,8,FALSE))</f>
        <v>très nécessaire, facile</v>
      </c>
      <c r="BF103" s="754" t="str">
        <f>IF(VLOOKUP(A103,'Revitalisation-Revitalisierung'!$A$4:$Z$275,9,FALSE)="","",VLOOKUP(A103,'Revitalisation-Revitalisierung'!$A$4:$Z$275,9,FALSE))</f>
        <v/>
      </c>
      <c r="BG103" s="754" t="str">
        <f>IF(VLOOKUP(A103,'Revitalisation-Revitalisierung'!$A$4:$Z$275,10,FALSE)="","",VLOOKUP(A103,'Revitalisation-Revitalisierung'!$A$4:$Z$275,10,FALSE))</f>
        <v>K2</v>
      </c>
      <c r="BH103" s="755" t="str">
        <f>IF(VLOOKUP(A103,'Revitalisation-Revitalisierung'!$A$4:$Z$275,11,FALSE)="","",VLOOKUP(A103,'Revitalisation-Revitalisierung'!$A$4:$Z$275,11,FALSE))</f>
        <v/>
      </c>
      <c r="BI103" s="756" t="str">
        <f>IF(VLOOKUP(A103,'Revitalisation-Revitalisierung'!$A$4:$Z$275,12,FALSE)="","",VLOOKUP(A103,'Revitalisation-Revitalisierung'!$A$4:$Z$275,12,FALSE))</f>
        <v/>
      </c>
      <c r="BJ103" s="757" t="str">
        <f>IF(VLOOKUP(A103,'Revitalisation-Revitalisierung'!$A$4:$Z$275,13,FALSE)="","",VLOOKUP(A103,'Revitalisation-Revitalisierung'!$A$4:$Z$275,13,FALSE))</f>
        <v>Très nécessaire, facile / unbedingt nötig, einfach</v>
      </c>
      <c r="BK103" s="870" t="str">
        <f>IF(VLOOKUP(A103,'Revitalisation-Revitalisierung'!$A$4:$Z$275,14,FALSE)="","",VLOOKUP(A103,'Revitalisation-Revitalisierung'!$A$4:$Z$275,14,FALSE))</f>
        <v>a</v>
      </c>
      <c r="BL103" s="758" t="str">
        <f>IF(VLOOKUP(A103,'Revitalisation-Revitalisierung'!$A$4:$Z$275,15,FALSE)="","",VLOOKUP(A103,'Revitalisation-Revitalisierung'!$A$4:$Z$275,15,FALSE))</f>
        <v>élevé</v>
      </c>
      <c r="BM103" s="759" t="str">
        <f>IF(VLOOKUP(A103,'Revitalisation-Revitalisierung'!$A$4:$Z$275,16,FALSE)="","",VLOOKUP(A103,'Revitalisation-Revitalisierung'!$A$4:$Z$275,16,FALSE))</f>
        <v>élevé</v>
      </c>
      <c r="BN103" s="759" t="str">
        <f>IF(VLOOKUP(A103,'Revitalisation-Revitalisierung'!$A$4:$Z$275,17,FALSE)="","",VLOOKUP(A103,'Revitalisation-Revitalisierung'!$A$4:$Z$275,17,FALSE))</f>
        <v>élevé</v>
      </c>
      <c r="BO103" s="760" t="str">
        <f>IF(VLOOKUP(A103,'Revitalisation-Revitalisierung'!$A$4:$Z$275,18,FALSE)="","",VLOOKUP(A103,'Revitalisation-Revitalisierung'!$A$4:$Z$275,18,FALSE))</f>
        <v>Très nécessaire, facile / unbedingt nötig, einfach</v>
      </c>
      <c r="BP103" s="761" t="str">
        <f>IF(VLOOKUP(A103,'Revitalisation-Revitalisierung'!$A$4:$Z$275,19,FALSE)="","",VLOOKUP(A103,'Revitalisation-Revitalisierung'!$A$4:$Z$275,19,FALSE))</f>
        <v>Très nécessaire, facile / unbedingt nötig, einfach</v>
      </c>
      <c r="BQ103" s="759" t="str">
        <f>IF(VLOOKUP(A103,'Revitalisation-Revitalisierung'!$A$4:$Z$275,20,FALSE)="","",VLOOKUP(A103,'Revitalisation-Revitalisierung'!$A$4:$Z$275,20,FALSE))</f>
        <v>d</v>
      </c>
      <c r="BR103" s="759" t="str">
        <f>IF(VLOOKUP(A103,'Revitalisation-Revitalisierung'!$A$4:$Z$275,21,FALSE)="","",VLOOKUP(A103,'Revitalisation-Revitalisierung'!$A$4:$Z$275,21,FALSE))</f>
        <v/>
      </c>
      <c r="BS103" s="762" t="str">
        <f>IF(VLOOKUP(A103,'Revitalisation-Revitalisierung'!$A$4:$Z$275,22,FALSE)="","",VLOOKUP(A103,'Revitalisation-Revitalisierung'!$A$4:$Z$275,22,FALSE))</f>
        <v/>
      </c>
      <c r="BT103" s="700" t="str">
        <f>IF(VLOOKUP(A103,'Revitalisation-Revitalisierung'!$A$4:$Z$275,23,FALSE)="","",VLOOKUP(A103,'Revitalisation-Revitalisierung'!$A$4:$Z$275,23,FALSE))</f>
        <v/>
      </c>
      <c r="BU103" s="699" t="str">
        <f>IF(VLOOKUP(A103,'Revitalisation-Revitalisierung'!$A$4:$Z$275,24,FALSE)="","",VLOOKUP(A103,'Revitalisation-Revitalisierung'!$A$4:$Z$275,24,FALSE))</f>
        <v/>
      </c>
      <c r="BV103" s="761" t="str">
        <f>IF(VLOOKUP(A103,'Revitalisation-Revitalisierung'!$A$4:$Z$275,25,FALSE)="","",VLOOKUP(A103,'Revitalisation-Revitalisierung'!$A$4:$Z$275,25,FALSE))</f>
        <v>Très nécessaire, facile / unbedingt nötig, einfach</v>
      </c>
      <c r="BW103" s="871" t="str">
        <f>IF(VLOOKUP(A103,'Revitalisation-Revitalisierung'!$A$4:$AA$275,27,FALSE)="","",VLOOKUP(A103,'Revitalisation-Revitalisierung'!$A$4:$AA$275,27,FALSE))</f>
        <v>a</v>
      </c>
    </row>
    <row r="104" spans="1:75" ht="91.15" customHeight="1" x14ac:dyDescent="0.25">
      <c r="A104" s="935">
        <v>125</v>
      </c>
      <c r="B104" s="856">
        <f>IF(VLOOKUP(A104,'Données de base - Grunddaten'!$A$2:$M$297,2,FALSE)="","",VLOOKUP(A104,'Données de base - Grunddaten'!$A$2:$M$297,2,FALSE))</f>
        <v>1</v>
      </c>
      <c r="C104" s="857" t="str">
        <f>IF(VLOOKUP(A104,'Données de base - Grunddaten'!$A$2:$M$297,3,FALSE)="","",VLOOKUP(A104,'Données de base - Grunddaten'!$A$2:$M$297,3,FALSE))</f>
        <v>Source du Trient</v>
      </c>
      <c r="D104" s="857" t="str">
        <f>IF(VLOOKUP(A104,'Données de base - Grunddaten'!$A$2:$M$297,4,FALSE)="","",VLOOKUP(A104,'Données de base - Grunddaten'!$A$2:$M$297,4,FALSE))</f>
        <v>Le Trient</v>
      </c>
      <c r="E104" s="857" t="str">
        <f>IF(VLOOKUP(A104,'Données de base - Grunddaten'!$A$2:$M$297,5,FALSE)="","",VLOOKUP(A104,'Données de base - Grunddaten'!$A$2:$M$297,5,FALSE))</f>
        <v>VS</v>
      </c>
      <c r="F104" s="857" t="str">
        <f>IF(VLOOKUP(A104,'Données de base - Grunddaten'!$A$2:$M$297,6,FALSE)="","",VLOOKUP(A104,'Données de base - Grunddaten'!$A$2:$M$297,6,FALSE))</f>
        <v>Alpes centrales occidentales</v>
      </c>
      <c r="G104" s="857" t="str">
        <f>IF(VLOOKUP(A104,'Données de base - Grunddaten'!$A$2:$M$297,7,FALSE)="","",VLOOKUP(A104,'Données de base - Grunddaten'!$A$2:$M$297,7,FALSE))</f>
        <v>Subalpin sup.</v>
      </c>
      <c r="H104" s="857">
        <f>IF(VLOOKUP(A104,'Données de base - Grunddaten'!$A$2:$M$297,8,FALSE)="","",VLOOKUP(A104,'Données de base - Grunddaten'!$A$2:$M$297,8,FALSE))</f>
        <v>1700</v>
      </c>
      <c r="I104" s="857">
        <f>IF(VLOOKUP(A104,'Données de base - Grunddaten'!$A$2:$M$297,9,FALSE)="","",VLOOKUP(A104,'Données de base - Grunddaten'!$A$2:$M$297,9,FALSE))</f>
        <v>1992</v>
      </c>
      <c r="J104" s="857">
        <f>IF(VLOOKUP(A104,'Données de base - Grunddaten'!$A$2:$M$297,10,FALSE)="","",VLOOKUP(A104,'Données de base - Grunddaten'!$A$2:$M$297,10,FALSE))</f>
        <v>31</v>
      </c>
      <c r="K104" s="857" t="str">
        <f>IF(VLOOKUP(A104,'Données de base - Grunddaten'!$A$2:$M$297,11,FALSE)="","",VLOOKUP(A104,'Données de base - Grunddaten'!$A$2:$M$297,11,FALSE))</f>
        <v>Cours d'eau naturels de l'étage subalpin</v>
      </c>
      <c r="L104" s="857" t="str">
        <f>IF(VLOOKUP(A104,'Données de base - Grunddaten'!$A$2:$M$297,12,FALSE)="","",VLOOKUP(A104,'Données de base - Grunddaten'!$A$2:$M$297,12,FALSE))</f>
        <v>en tresses</v>
      </c>
      <c r="M104" s="858" t="str">
        <f>IF(VLOOKUP(A104,'Données de base - Grunddaten'!$A$2:$M$297,13,FALSE)="","",VLOOKUP(A104,'Données de base - Grunddaten'!$A$2:$M$297,13,FALSE))</f>
        <v>en tresses</v>
      </c>
      <c r="N104" s="872" t="str">
        <f>IF(VLOOKUP(A104,'Charriage - Geschiebehaushalt'!$A$4:$R$275,5,FALSE)="","",VLOOKUP(A104,'Charriage - Geschiebehaushalt'!$A$4:$R$275,5,FALSE))</f>
        <v>pertinent</v>
      </c>
      <c r="O104" s="881" t="str">
        <f>IF(VLOOKUP(A104,'Charriage - Geschiebehaushalt'!$A$4:$R$275,6,FALSE)="","",VLOOKUP(A104,'Charriage - Geschiebehaushalt'!$A$4:$R$275,6,FALSE))</f>
        <v>non documenté</v>
      </c>
      <c r="P104" s="874" t="str">
        <f>IF(VLOOKUP(A104,'Charriage - Geschiebehaushalt'!$A$4:$R$275,7,FALSE)="","",VLOOKUP(A104,'Charriage - Geschiebehaushalt'!$A$4:$R$275,7,FALSE))</f>
        <v/>
      </c>
      <c r="Q104" s="874" t="str">
        <f>IF(VLOOKUP(A104,'Charriage - Geschiebehaushalt'!$A$4:$R$275,8,FALSE)="","",VLOOKUP(A104,'Charriage - Geschiebehaushalt'!$A$4:$R$275,8,FALSE))</f>
        <v>non documenté</v>
      </c>
      <c r="R104" s="875">
        <f>IF(VLOOKUP(A104,'Charriage - Geschiebehaushalt'!$A$4:$R$275,9,FALSE)="","",VLOOKUP(A104,'Charriage - Geschiebehaushalt'!$A$4:$R$275,9,FALSE))</f>
        <v>0</v>
      </c>
      <c r="S104" s="876" t="str">
        <f>IF(VLOOKUP(A104,'Charriage - Geschiebehaushalt'!$A$4:$R$275,10,FALSE)="","",VLOOKUP(A104,'Charriage - Geschiebehaushalt'!$A$4:$R$275,10,FALSE))</f>
        <v>pas ou faiblement entravé</v>
      </c>
      <c r="T104" s="875">
        <f>IF(VLOOKUP(A104,'Charriage - Geschiebehaushalt'!$A$4:$R$275,11,FALSE)="","",VLOOKUP(A104,'Charriage - Geschiebehaushalt'!$A$4:$R$275,11,FALSE))</f>
        <v>1.8835767728999999E-2</v>
      </c>
      <c r="U104" s="876" t="str">
        <f>IF(VLOOKUP(A104,'Charriage - Geschiebehaushalt'!$A$4:$R$275,12,FALSE)="","",VLOOKUP(A104,'Charriage - Geschiebehaushalt'!$A$4:$R$275,12,FALSE))</f>
        <v>déficit dans les formations pionnières</v>
      </c>
      <c r="V104" s="877" t="str">
        <f>IF(VLOOKUP(A104,'Charriage - Geschiebehaushalt'!$A$4:$R$275,13,FALSE)="","",VLOOKUP(A104,'Charriage - Geschiebehaushalt'!$A$4:$R$275,13,FALSE))</f>
        <v>Image google : cours en tresses. Large. Bcp de sédiments. Extraction non exclues en aval de l'objet</v>
      </c>
      <c r="W104" s="877" t="str">
        <f>IF(VLOOKUP(A104,'Charriage - Geschiebehaushalt'!$A$4:$R$275,14,FALSE)="","",VLOOKUP(A104,'Charriage - Geschiebehaushalt'!$A$4:$R$275,14,FALSE))</f>
        <v>A vérifier</v>
      </c>
      <c r="X104" s="877" t="str">
        <f>IF(VLOOKUP(A104,'Charriage - Geschiebehaushalt'!$A$4:$R$275,15,FALSE)="","",VLOOKUP(A104,'Charriage - Geschiebehaushalt'!$A$4:$R$275,15,FALSE))</f>
        <v>dépotoir en aval, pas d'ouvrage en amont</v>
      </c>
      <c r="Y104" s="882" t="str">
        <f>IF(VLOOKUP(A104,'Charriage - Geschiebehaushalt'!$A$4:$R$275,16,FALSE)="","",VLOOKUP(A104,'Charriage - Geschiebehaushalt'!$A$4:$R$275,16,FALSE))</f>
        <v>charriage présumé naturel</v>
      </c>
      <c r="Z104" s="763" t="str">
        <f>IF(VLOOKUP(A104,'Charriage - Geschiebehaushalt'!$A$4:$R$275,17,FALSE)="","",VLOOKUP(A104,'Charriage - Geschiebehaushalt'!$A$4:$R$275,17,FALSE))</f>
        <v>Charriage présumé naturel / Geschiebehaushalt vermutlich natürlich</v>
      </c>
      <c r="AA104" s="880" t="str">
        <f>IF(VLOOKUP(A104,'Charriage - Geschiebehaushalt'!$A$4:$R$275,18,FALSE)="","",VLOOKUP(A104,'Charriage - Geschiebehaushalt'!$A$4:$R$275,18,FALSE))</f>
        <v>b</v>
      </c>
      <c r="AB104" s="737" t="str">
        <f>IF(VLOOKUP(A104,'Charriage - Geschiebehaushalt'!$A$4:$AC$275,19,FALSE)="","",VLOOKUP(A104,'Charriage - Geschiebehaushalt'!$A$4:$AC$275,19,FALSE))</f>
        <v>non évalué</v>
      </c>
      <c r="AC104" s="738" t="str">
        <f>IF(VLOOKUP(A104,'Charriage - Geschiebehaushalt'!$A$4:$AC$275,20,FALSE)="","",VLOOKUP(A104,'Charriage - Geschiebehaushalt'!$A$4:$AC$275,20,FALSE))</f>
        <v>non évalué</v>
      </c>
      <c r="AD104" s="764" t="str">
        <f>IF(VLOOKUP(A104,'Charriage - Geschiebehaushalt'!$A$4:$AC$275,21,FALSE)="","",VLOOKUP(A104,'Charriage - Geschiebehaushalt'!$A$4:$AC$275,21,FALSE))</f>
        <v/>
      </c>
      <c r="AE104" s="772" t="str">
        <f>IF(VLOOKUP(A104,'Charriage - Geschiebehaushalt'!$A$4:$AC$275,22,FALSE)="","",VLOOKUP(A104,'Charriage - Geschiebehaushalt'!$A$4:$AC$275,22,FALSE))</f>
        <v>0-20%</v>
      </c>
      <c r="AF104" s="787" t="str">
        <f>IF(VLOOKUP(A104,'Charriage - Geschiebehaushalt'!$A$4:$AC$275,23,FALSE)="","",VLOOKUP(A104,'Charriage - Geschiebehaushalt'!$A$4:$AC$275,23,FALSE))</f>
        <v>b</v>
      </c>
      <c r="AG104" s="765" t="str">
        <f>IF(VLOOKUP(A104,'Charriage - Geschiebehaushalt'!$A$4:$AC$275,24,FALSE)="","",VLOOKUP(A104,'Charriage - Geschiebehaushalt'!$A$4:$AC$275,24,FALSE))</f>
        <v/>
      </c>
      <c r="AH104" s="764" t="str">
        <f>IF(VLOOKUP(A104,'Charriage - Geschiebehaushalt'!$A$4:$AC$275,25,FALSE)="","",VLOOKUP(A104,'Charriage - Geschiebehaushalt'!$A$4:$AC$275,25,FALSE))</f>
        <v/>
      </c>
      <c r="AI104" s="435" t="str">
        <f>IF(VLOOKUP(A104,'Charriage - Geschiebehaushalt'!$A$4:$AC$275,26,FALSE)="","",VLOOKUP(A104,'Charriage - Geschiebehaushalt'!$A$4:$AC$275,26,FALSE))</f>
        <v/>
      </c>
      <c r="AJ104" s="436" t="str">
        <f>IF(VLOOKUP(A104,'Charriage - Geschiebehaushalt'!$A$4:$AC$275,27,FALSE)="","",VLOOKUP(A104,'Charriage - Geschiebehaushalt'!$A$4:$AC$275,27,FALSE))</f>
        <v/>
      </c>
      <c r="AK104" s="814" t="str">
        <f>IF(VLOOKUP(A104,'Charriage - Geschiebehaushalt'!$A$4:$AC$275,28,FALSE)="","",VLOOKUP(A104,'Charriage - Geschiebehaushalt'!$A$4:$AC$275,28,FALSE))</f>
        <v>0-20%</v>
      </c>
      <c r="AL104" s="1285" t="str">
        <f>IF(VLOOKUP(A104,'Charriage - Geschiebehaushalt'!$A$4:$AD$275,30,FALSE)="","",VLOOKUP(A104,'Charriage - Geschiebehaushalt'!$A$4:$AD$275,30,FALSE))</f>
        <v>b</v>
      </c>
      <c r="AM104" s="1279" t="str">
        <f>IF(VLOOKUP(A104,'Débit - Abfluss'!$A$4:$K$275,5,FALSE)="","",VLOOKUP(A104,'Débit - Abfluss'!$A$4:$M$275,5,FALSE))</f>
        <v>100%</v>
      </c>
      <c r="AN104" s="868" t="str">
        <f>IF(VLOOKUP(A104,'Débit - Abfluss'!$A$4:$K$275,6,FALSE)="","",VLOOKUP(A104,'Débit - Abfluss'!$A$4:$M$275,6,FALSE))</f>
        <v>non documenté</v>
      </c>
      <c r="AO104" s="869" t="str">
        <f>IF(VLOOKUP(A104,'Débit - Abfluss'!$A$4:$K$275,7,FALSE)="","",VLOOKUP(A104,'Débit - Abfluss'!$A$4:$M$275,7,FALSE))</f>
        <v>non documenté</v>
      </c>
      <c r="AP104" s="766" t="str">
        <f>IF(VLOOKUP(A104,'Débit - Abfluss'!$A$4:$K$275,8,FALSE)="","",VLOOKUP(A104,'Débit - Abfluss'!$A$4:$M$275,8,FALSE))</f>
        <v>100%</v>
      </c>
      <c r="AQ104" s="742" t="str">
        <f>IF(VLOOKUP(A104,'Débit - Abfluss'!$A$4:$K$275,9,FALSE)="","",VLOOKUP(A104,'Débit - Abfluss'!$A$4:$M$275,9,FALSE))</f>
        <v>-</v>
      </c>
      <c r="AR104" s="767" t="str">
        <f>IF(VLOOKUP(A104,'Débit - Abfluss'!$A$4:$K$275,10,FALSE)="","",VLOOKUP(A104,'Débit - Abfluss'!$A$4:$M$275,10,FALSE))</f>
        <v>100%</v>
      </c>
      <c r="AS104" s="767" t="str">
        <f>IF(VLOOKUP(A104,'Débit - Abfluss'!$A$4:$K$275,11,FALSE)="","",VLOOKUP(A104,'Débit - Abfluss'!$A$4:$M$275,11,FALSE))</f>
        <v/>
      </c>
      <c r="AT104" s="778" t="str">
        <f>IF(VLOOKUP(A104,'Débit - Abfluss'!$A$4:$Q$275,12,FALSE)="","",VLOOKUP(A104,'Débit - Abfluss'!$A$4:$Q$275,12,FALSE))</f>
        <v/>
      </c>
      <c r="AU104" s="779" t="str">
        <f>IF(VLOOKUP(A104,'Débit - Abfluss'!$A$4:$Q$275,13,FALSE)="","",VLOOKUP(A104,'Débit - Abfluss'!$A$4:$Q$275,13,FALSE))</f>
        <v/>
      </c>
      <c r="AV104" s="746" t="str">
        <f>IF(VLOOKUP(A104,'Débit - Abfluss'!$A$4:$Q$275,14,FALSE)="","",VLOOKUP(A104,'Débit - Abfluss'!$A$4:$Q$275,14,FALSE))</f>
        <v/>
      </c>
      <c r="AW104" s="768" t="str">
        <f>IF(VLOOKUP(A104,'Débit - Abfluss'!$A$4:$Q$275,15,FALSE)="","",VLOOKUP(A104,'Débit - Abfluss'!$A$4:$Q$275,15,FALSE))</f>
        <v/>
      </c>
      <c r="AX104" s="679" t="str">
        <f>IF(VLOOKUP(A104,'Débit - Abfluss'!$A$4:$Q$275,16,FALSE)="","",VLOOKUP(A104,'Débit - Abfluss'!$A$4:$Q$275,16,FALSE))</f>
        <v/>
      </c>
      <c r="AY104" s="769" t="str">
        <f>IF(VLOOKUP(A104,'Débit - Abfluss'!$A$4:$Q$275,17,FALSE)="","",VLOOKUP(A104,'Débit - Abfluss'!$A$4:$Q$275,17,FALSE))</f>
        <v>100%</v>
      </c>
      <c r="AZ104" s="749" t="str">
        <f>IF(VLOOKUP(A104,'Eclusée - Schwall-Sunk'!$A$2:$F$273,5,FALSE)="","",VLOOKUP(A104,'Eclusée - Schwall-Sunk'!$A$2:$F$273,5,FALSE))</f>
        <v/>
      </c>
      <c r="BA104" s="750" t="str">
        <f>IF(VLOOKUP(A104,'Eclusée - Schwall-Sunk'!$A$2:$F$273,6,FALSE)="","",VLOOKUP(A104,'Eclusée - Schwall-Sunk'!$A$2:$F$273,6,FALSE))</f>
        <v>Non affecté / nicht betroffen</v>
      </c>
      <c r="BB104" s="751">
        <f>IF(VLOOKUP(A104,'Revitalisation-Revitalisierung'!$A$4:$Z$275,5,FALSE)="","",VLOOKUP(A104,'Revitalisation-Revitalisierung'!$A$4:$Z$275,5,FALSE))</f>
        <v>0</v>
      </c>
      <c r="BC104" s="752">
        <f>IF(VLOOKUP(A104,'Revitalisation-Revitalisierung'!$A$4:$Z$275,6,FALSE)="","",VLOOKUP(A104,'Revitalisation-Revitalisierung'!$A$4:$Z$275,6,FALSE))</f>
        <v>0</v>
      </c>
      <c r="BD104" s="752">
        <f>IF(VLOOKUP(A104,'Revitalisation-Revitalisierung'!$A$4:$Z$275,7,FALSE)="","",VLOOKUP(A104,'Revitalisation-Revitalisierung'!$A$4:$Z$275,7,FALSE))</f>
        <v>0</v>
      </c>
      <c r="BE104" s="753" t="str">
        <f>IF(VLOOKUP(A104,'Revitalisation-Revitalisierung'!$A$4:$Z$275,8,FALSE)="","",VLOOKUP(A104,'Revitalisation-Revitalisierung'!$A$4:$Z$275,8,FALSE))</f>
        <v>non nécessaire</v>
      </c>
      <c r="BF104" s="754" t="str">
        <f>IF(VLOOKUP(A104,'Revitalisation-Revitalisierung'!$A$4:$Z$275,9,FALSE)="","",VLOOKUP(A104,'Revitalisation-Revitalisierung'!$A$4:$Z$275,9,FALSE))</f>
        <v/>
      </c>
      <c r="BG104" s="754" t="str">
        <f>IF(VLOOKUP(A104,'Revitalisation-Revitalisierung'!$A$4:$Z$275,10,FALSE)="","",VLOOKUP(A104,'Revitalisation-Revitalisierung'!$A$4:$Z$275,10,FALSE))</f>
        <v>K3</v>
      </c>
      <c r="BH104" s="755" t="str">
        <f>IF(VLOOKUP(A104,'Revitalisation-Revitalisierung'!$A$4:$Z$275,11,FALSE)="","",VLOOKUP(A104,'Revitalisation-Revitalisierung'!$A$4:$Z$275,11,FALSE))</f>
        <v/>
      </c>
      <c r="BI104" s="756" t="str">
        <f>IF(VLOOKUP(A104,'Revitalisation-Revitalisierung'!$A$4:$Z$275,12,FALSE)="","",VLOOKUP(A104,'Revitalisation-Revitalisierung'!$A$4:$Z$275,12,FALSE))</f>
        <v/>
      </c>
      <c r="BJ104" s="788" t="str">
        <f>IF(VLOOKUP(A104,'Revitalisation-Revitalisierung'!$A$4:$Z$275,13,FALSE)="","",VLOOKUP(A104,'Revitalisation-Revitalisierung'!$A$4:$Z$275,13,FALSE))</f>
        <v>Non nécessaire / nicht nötig</v>
      </c>
      <c r="BK104" s="870" t="str">
        <f>IF(VLOOKUP(A104,'Revitalisation-Revitalisierung'!$A$4:$Z$275,14,FALSE)="","",VLOOKUP(A104,'Revitalisation-Revitalisierung'!$A$4:$Z$275,14,FALSE))</f>
        <v>b</v>
      </c>
      <c r="BL104" s="758" t="str">
        <f>IF(VLOOKUP(A104,'Revitalisation-Revitalisierung'!$A$4:$Z$275,15,FALSE)="","",VLOOKUP(A104,'Revitalisation-Revitalisierung'!$A$4:$Z$275,15,FALSE))</f>
        <v>non évalué</v>
      </c>
      <c r="BM104" s="759" t="str">
        <f>IF(VLOOKUP(A104,'Revitalisation-Revitalisierung'!$A$4:$Z$275,16,FALSE)="","",VLOOKUP(A104,'Revitalisation-Revitalisierung'!$A$4:$Z$275,16,FALSE))</f>
        <v>non évalué</v>
      </c>
      <c r="BN104" s="759" t="str">
        <f>IF(VLOOKUP(A104,'Revitalisation-Revitalisierung'!$A$4:$Z$275,17,FALSE)="","",VLOOKUP(A104,'Revitalisation-Revitalisierung'!$A$4:$Z$275,17,FALSE))</f>
        <v>pas de mesure</v>
      </c>
      <c r="BO104" s="760" t="str">
        <f>IF(VLOOKUP(A104,'Revitalisation-Revitalisierung'!$A$4:$Z$275,18,FALSE)="","",VLOOKUP(A104,'Revitalisation-Revitalisierung'!$A$4:$Z$275,18,FALSE))</f>
        <v/>
      </c>
      <c r="BP104" s="761" t="str">
        <f>IF(VLOOKUP(A104,'Revitalisation-Revitalisierung'!$A$4:$Z$275,19,FALSE)="","",VLOOKUP(A104,'Revitalisation-Revitalisierung'!$A$4:$Z$275,19,FALSE))</f>
        <v>Non nécessaire / nicht nötig</v>
      </c>
      <c r="BQ104" s="759" t="str">
        <f>IF(VLOOKUP(A104,'Revitalisation-Revitalisierung'!$A$4:$Z$275,20,FALSE)="","",VLOOKUP(A104,'Revitalisation-Revitalisierung'!$A$4:$Z$275,20,FALSE))</f>
        <v>d</v>
      </c>
      <c r="BR104" s="759" t="str">
        <f>IF(VLOOKUP(A104,'Revitalisation-Revitalisierung'!$A$4:$Z$275,21,FALSE)="","",VLOOKUP(A104,'Revitalisation-Revitalisierung'!$A$4:$Z$275,21,FALSE))</f>
        <v/>
      </c>
      <c r="BS104" s="762" t="str">
        <f>IF(VLOOKUP(A104,'Revitalisation-Revitalisierung'!$A$4:$Z$275,22,FALSE)="","",VLOOKUP(A104,'Revitalisation-Revitalisierung'!$A$4:$Z$275,22,FALSE))</f>
        <v/>
      </c>
      <c r="BT104" s="700" t="str">
        <f>IF(VLOOKUP(A104,'Revitalisation-Revitalisierung'!$A$4:$Z$275,23,FALSE)="","",VLOOKUP(A104,'Revitalisation-Revitalisierung'!$A$4:$Z$275,23,FALSE))</f>
        <v/>
      </c>
      <c r="BU104" s="699" t="str">
        <f>IF(VLOOKUP(A104,'Revitalisation-Revitalisierung'!$A$4:$Z$275,24,FALSE)="","",VLOOKUP(A104,'Revitalisation-Revitalisierung'!$A$4:$Z$275,24,FALSE))</f>
        <v/>
      </c>
      <c r="BV104" s="761" t="str">
        <f>IF(VLOOKUP(A104,'Revitalisation-Revitalisierung'!$A$4:$Z$275,25,FALSE)="","",VLOOKUP(A104,'Revitalisation-Revitalisierung'!$A$4:$Z$275,25,FALSE))</f>
        <v>Non nécessaire / nicht nötig</v>
      </c>
      <c r="BW104" s="871" t="str">
        <f>IF(VLOOKUP(A104,'Revitalisation-Revitalisierung'!$A$4:$AA$275,27,FALSE)="","",VLOOKUP(A104,'Revitalisation-Revitalisierung'!$A$4:$AA$275,27,FALSE))</f>
        <v>a</v>
      </c>
    </row>
    <row r="105" spans="1:75" ht="69.599999999999994" customHeight="1" x14ac:dyDescent="0.25">
      <c r="A105" s="935">
        <v>127</v>
      </c>
      <c r="B105" s="856">
        <f>IF(VLOOKUP(A105,'Données de base - Grunddaten'!$A$2:$M$297,2,FALSE)="","",VLOOKUP(A105,'Données de base - Grunddaten'!$A$2:$M$297,2,FALSE))</f>
        <v>1</v>
      </c>
      <c r="C105" s="857" t="str">
        <f>IF(VLOOKUP(A105,'Données de base - Grunddaten'!$A$2:$M$297,3,FALSE)="","",VLOOKUP(A105,'Données de base - Grunddaten'!$A$2:$M$297,3,FALSE))</f>
        <v>Lotrey</v>
      </c>
      <c r="D105" s="857" t="str">
        <f>IF(VLOOKUP(A105,'Données de base - Grunddaten'!$A$2:$M$297,4,FALSE)="","",VLOOKUP(A105,'Données de base - Grunddaten'!$A$2:$M$297,4,FALSE))</f>
        <v>La Borgne</v>
      </c>
      <c r="E105" s="857" t="str">
        <f>IF(VLOOKUP(A105,'Données de base - Grunddaten'!$A$2:$M$297,5,FALSE)="","",VLOOKUP(A105,'Données de base - Grunddaten'!$A$2:$M$297,5,FALSE))</f>
        <v>VS</v>
      </c>
      <c r="F105" s="857" t="str">
        <f>IF(VLOOKUP(A105,'Données de base - Grunddaten'!$A$2:$M$297,6,FALSE)="","",VLOOKUP(A105,'Données de base - Grunddaten'!$A$2:$M$297,6,FALSE))</f>
        <v>Alpes centrales occidentales</v>
      </c>
      <c r="G105" s="857" t="str">
        <f>IF(VLOOKUP(A105,'Données de base - Grunddaten'!$A$2:$M$297,7,FALSE)="","",VLOOKUP(A105,'Données de base - Grunddaten'!$A$2:$M$297,7,FALSE))</f>
        <v>Subalpin inf.</v>
      </c>
      <c r="H105" s="857">
        <f>IF(VLOOKUP(A105,'Données de base - Grunddaten'!$A$2:$M$297,8,FALSE)="","",VLOOKUP(A105,'Données de base - Grunddaten'!$A$2:$M$297,8,FALSE))</f>
        <v>1350</v>
      </c>
      <c r="I105" s="857">
        <f>IF(VLOOKUP(A105,'Données de base - Grunddaten'!$A$2:$M$297,9,FALSE)="","",VLOOKUP(A105,'Données de base - Grunddaten'!$A$2:$M$297,9,FALSE))</f>
        <v>1992</v>
      </c>
      <c r="J105" s="857">
        <f>IF(VLOOKUP(A105,'Données de base - Grunddaten'!$A$2:$M$297,10,FALSE)="","",VLOOKUP(A105,'Données de base - Grunddaten'!$A$2:$M$297,10,FALSE))</f>
        <v>41</v>
      </c>
      <c r="K105" s="857" t="str">
        <f>IF(VLOOKUP(A105,'Données de base - Grunddaten'!$A$2:$M$297,11,FALSE)="","",VLOOKUP(A105,'Données de base - Grunddaten'!$A$2:$M$297,11,FALSE))</f>
        <v>Cours d'eau naturels de l'étage montagnard</v>
      </c>
      <c r="L105" s="857" t="str">
        <f>IF(VLOOKUP(A105,'Données de base - Grunddaten'!$A$2:$M$297,12,FALSE)="","",VLOOKUP(A105,'Données de base - Grunddaten'!$A$2:$M$297,12,FALSE))</f>
        <v>en méandres migrants</v>
      </c>
      <c r="M105" s="858" t="str">
        <f>IF(VLOOKUP(A105,'Données de base - Grunddaten'!$A$2:$M$297,13,FALSE)="","",VLOOKUP(A105,'Données de base - Grunddaten'!$A$2:$M$297,13,FALSE))</f>
        <v>en méandres migrants</v>
      </c>
      <c r="N105" s="872" t="str">
        <f>IF(VLOOKUP(A105,'Charriage - Geschiebehaushalt'!$A$4:$R$275,5,FALSE)="","",VLOOKUP(A105,'Charriage - Geschiebehaushalt'!$A$4:$R$275,5,FALSE))</f>
        <v>pertinent</v>
      </c>
      <c r="O105" s="881" t="str">
        <f>IF(VLOOKUP(A105,'Charriage - Geschiebehaushalt'!$A$4:$R$275,6,FALSE)="","",VLOOKUP(A105,'Charriage - Geschiebehaushalt'!$A$4:$R$275,6,FALSE))</f>
        <v>non documenté</v>
      </c>
      <c r="P105" s="874" t="str">
        <f>IF(VLOOKUP(A105,'Charriage - Geschiebehaushalt'!$A$4:$R$275,7,FALSE)="","",VLOOKUP(A105,'Charriage - Geschiebehaushalt'!$A$4:$R$275,7,FALSE))</f>
        <v/>
      </c>
      <c r="Q105" s="874" t="str">
        <f>IF(VLOOKUP(A105,'Charriage - Geschiebehaushalt'!$A$4:$R$275,8,FALSE)="","",VLOOKUP(A105,'Charriage - Geschiebehaushalt'!$A$4:$R$275,8,FALSE))</f>
        <v>non documenté</v>
      </c>
      <c r="R105" s="875">
        <f>IF(VLOOKUP(A105,'Charriage - Geschiebehaushalt'!$A$4:$R$275,9,FALSE)="","",VLOOKUP(A105,'Charriage - Geschiebehaushalt'!$A$4:$R$275,9,FALSE))</f>
        <v>0.37926606505451899</v>
      </c>
      <c r="S105" s="895" t="str">
        <f>IF(VLOOKUP(A105,'Charriage - Geschiebehaushalt'!$A$4:$R$275,10,FALSE)="","",VLOOKUP(A105,'Charriage - Geschiebehaushalt'!$A$4:$R$275,10,FALSE))</f>
        <v>la remobilisation des sédiments est perturbée</v>
      </c>
      <c r="T105" s="875">
        <f>IF(VLOOKUP(A105,'Charriage - Geschiebehaushalt'!$A$4:$R$275,11,FALSE)="","",VLOOKUP(A105,'Charriage - Geschiebehaushalt'!$A$4:$R$275,11,FALSE))</f>
        <v>0.30352771236999998</v>
      </c>
      <c r="U105" s="876" t="str">
        <f>IF(VLOOKUP(A105,'Charriage - Geschiebehaushalt'!$A$4:$R$275,12,FALSE)="","",VLOOKUP(A105,'Charriage - Geschiebehaushalt'!$A$4:$R$275,12,FALSE))</f>
        <v>déficit dans les formations pionnières</v>
      </c>
      <c r="V105" s="877" t="str">
        <f>IF(VLOOKUP(A105,'Charriage - Geschiebehaushalt'!$A$4:$R$275,13,FALSE)="","",VLOOKUP(A105,'Charriage - Geschiebehaushalt'!$A$4:$R$275,13,FALSE))</f>
        <v/>
      </c>
      <c r="W105" s="877" t="str">
        <f>IF(VLOOKUP(A105,'Charriage - Geschiebehaushalt'!$A$4:$R$275,14,FALSE)="","",VLOOKUP(A105,'Charriage - Geschiebehaushalt'!$A$4:$R$275,14,FALSE))</f>
        <v/>
      </c>
      <c r="X105" s="877" t="str">
        <f>IF(VLOOKUP(A105,'Charriage - Geschiebehaushalt'!$A$4:$R$275,15,FALSE)="","",VLOOKUP(A105,'Charriage - Geschiebehaushalt'!$A$4:$R$275,15,FALSE))</f>
        <v/>
      </c>
      <c r="Y105" s="879" t="str">
        <f>IF(VLOOKUP(A105,'Charriage - Geschiebehaushalt'!$A$4:$R$275,16,FALSE)="","",VLOOKUP(A105,'Charriage - Geschiebehaushalt'!$A$4:$R$275,16,FALSE))</f>
        <v/>
      </c>
      <c r="Z105" s="763" t="str">
        <f>IF(VLOOKUP(A105,'Charriage - Geschiebehaushalt'!$A$4:$R$275,17,FALSE)="","",VLOOKUP(A105,'Charriage - Geschiebehaushalt'!$A$4:$R$275,17,FALSE))</f>
        <v>La remobilisation des sédiments est perturbée / Mobilisierung von Geschiebe beeinträchtigt</v>
      </c>
      <c r="AA105" s="880" t="str">
        <f>IF(VLOOKUP(A105,'Charriage - Geschiebehaushalt'!$A$4:$R$275,18,FALSE)="","",VLOOKUP(A105,'Charriage - Geschiebehaushalt'!$A$4:$R$275,18,FALSE))</f>
        <v>a</v>
      </c>
      <c r="AB105" s="737" t="str">
        <f>IF(VLOOKUP(A105,'Charriage - Geschiebehaushalt'!$A$4:$AC$275,19,FALSE)="","",VLOOKUP(A105,'Charriage - Geschiebehaushalt'!$A$4:$AC$275,19,FALSE))</f>
        <v>atteinte significative</v>
      </c>
      <c r="AC105" s="738" t="str">
        <f>IF(VLOOKUP(A105,'Charriage - Geschiebehaushalt'!$A$4:$AC$275,20,FALSE)="","",VLOOKUP(A105,'Charriage - Geschiebehaushalt'!$A$4:$AC$275,20,FALSE))</f>
        <v>mesure prévue</v>
      </c>
      <c r="AD105" s="789" t="str">
        <f>IF(VLOOKUP(A105,'Charriage - Geschiebehaushalt'!$A$4:$AC$275,21,FALSE)="","",VLOOKUP(A105,'Charriage - Geschiebehaushalt'!$A$4:$AC$275,21,FALSE))</f>
        <v>21-50%</v>
      </c>
      <c r="AE105" s="772" t="str">
        <f>IF(VLOOKUP(A105,'Charriage - Geschiebehaushalt'!$A$4:$AC$275,22,FALSE)="","",VLOOKUP(A105,'Charriage - Geschiebehaushalt'!$A$4:$AC$275,22,FALSE))</f>
        <v>21-50%</v>
      </c>
      <c r="AF105" s="787" t="str">
        <f>IF(VLOOKUP(A105,'Charriage - Geschiebehaushalt'!$A$4:$AC$275,23,FALSE)="","",VLOOKUP(A105,'Charriage - Geschiebehaushalt'!$A$4:$AC$275,23,FALSE))</f>
        <v>d</v>
      </c>
      <c r="AG105" s="765" t="str">
        <f>IF(VLOOKUP(A105,'Charriage - Geschiebehaushalt'!$A$4:$AC$275,24,FALSE)="","",VLOOKUP(A105,'Charriage - Geschiebehaushalt'!$A$4:$AC$275,24,FALSE))</f>
        <v>Quantité de sédiments adéquate, mais il y a un problème de débit de restitution. Assainissement du captage prévu.</v>
      </c>
      <c r="AH105" s="764" t="str">
        <f>IF(VLOOKUP(A105,'Charriage - Geschiebehaushalt'!$A$4:$AC$275,25,FALSE)="","",VLOOKUP(A105,'Charriage - Geschiebehaushalt'!$A$4:$AC$275,25,FALSE))</f>
        <v/>
      </c>
      <c r="AI105" s="435" t="str">
        <f>IF(VLOOKUP(A105,'Charriage - Geschiebehaushalt'!$A$4:$AC$275,26,FALSE)="","",VLOOKUP(A105,'Charriage - Geschiebehaushalt'!$A$4:$AC$275,26,FALSE))</f>
        <v/>
      </c>
      <c r="AJ105" s="436" t="str">
        <f>IF(VLOOKUP(A105,'Charriage - Geschiebehaushalt'!$A$4:$AC$275,27,FALSE)="","",VLOOKUP(A105,'Charriage - Geschiebehaushalt'!$A$4:$AC$275,27,FALSE))</f>
        <v/>
      </c>
      <c r="AK105" s="814" t="str">
        <f>IF(VLOOKUP(A105,'Charriage - Geschiebehaushalt'!$A$4:$AC$275,28,FALSE)="","",VLOOKUP(A105,'Charriage - Geschiebehaushalt'!$A$4:$AC$275,28,FALSE))</f>
        <v>21-50%</v>
      </c>
      <c r="AL105" s="1285" t="str">
        <f>IF(VLOOKUP(A105,'Charriage - Geschiebehaushalt'!$A$4:$AD$275,30,FALSE)="","",VLOOKUP(A105,'Charriage - Geschiebehaushalt'!$A$4:$AD$275,30,FALSE))</f>
        <v>a</v>
      </c>
      <c r="AM105" s="1279" t="str">
        <f>IF(VLOOKUP(A105,'Débit - Abfluss'!$A$4:$K$275,5,FALSE)="","",VLOOKUP(A105,'Débit - Abfluss'!$A$4:$M$275,5,FALSE))</f>
        <v>21-40%</v>
      </c>
      <c r="AN105" s="868" t="str">
        <f>IF(VLOOKUP(A105,'Débit - Abfluss'!$A$4:$K$275,6,FALSE)="","",VLOOKUP(A105,'Débit - Abfluss'!$A$4:$M$275,6,FALSE))</f>
        <v/>
      </c>
      <c r="AO105" s="869" t="str">
        <f>IF(VLOOKUP(A105,'Débit - Abfluss'!$A$4:$K$275,7,FALSE)="","",VLOOKUP(A105,'Débit - Abfluss'!$A$4:$M$275,7,FALSE))</f>
        <v/>
      </c>
      <c r="AP105" s="766" t="str">
        <f>IF(VLOOKUP(A105,'Débit - Abfluss'!$A$4:$K$275,8,FALSE)="","",VLOOKUP(A105,'Débit - Abfluss'!$A$4:$M$275,8,FALSE))</f>
        <v>21-40%</v>
      </c>
      <c r="AQ105" s="678" t="str">
        <f>IF(VLOOKUP(A105,'Débit - Abfluss'!$A$4:$K$275,9,FALSE)="","",VLOOKUP(A105,'Débit - Abfluss'!$A$4:$M$275,9,FALSE))</f>
        <v>Fehlende Angaben</v>
      </c>
      <c r="AR105" s="767" t="str">
        <f>IF(VLOOKUP(A105,'Débit - Abfluss'!$A$4:$K$275,10,FALSE)="","",VLOOKUP(A105,'Débit - Abfluss'!$A$4:$M$275,10,FALSE))</f>
        <v>21-40%</v>
      </c>
      <c r="AS105" s="767" t="str">
        <f>IF(VLOOKUP(A105,'Débit - Abfluss'!$A$4:$K$275,11,FALSE)="","",VLOOKUP(A105,'Débit - Abfluss'!$A$4:$M$275,11,FALSE))</f>
        <v/>
      </c>
      <c r="AT105" s="778" t="str">
        <f>IF(VLOOKUP(A105,'Débit - Abfluss'!$A$4:$Q$275,12,FALSE)="","",VLOOKUP(A105,'Débit - Abfluss'!$A$4:$Q$275,12,FALSE))</f>
        <v/>
      </c>
      <c r="AU105" s="779" t="str">
        <f>IF(VLOOKUP(A105,'Débit - Abfluss'!$A$4:$Q$275,13,FALSE)="","",VLOOKUP(A105,'Débit - Abfluss'!$A$4:$Q$275,13,FALSE))</f>
        <v/>
      </c>
      <c r="AV105" s="746" t="str">
        <f>IF(VLOOKUP(A105,'Débit - Abfluss'!$A$4:$Q$275,14,FALSE)="","",VLOOKUP(A105,'Débit - Abfluss'!$A$4:$Q$275,14,FALSE))</f>
        <v>VS-624.1</v>
      </c>
      <c r="AW105" s="768" t="str">
        <f>IF(VLOOKUP(A105,'Débit - Abfluss'!$A$4:$Q$275,15,FALSE)="","",VLOOKUP(A105,'Débit - Abfluss'!$A$4:$Q$275,15,FALSE))</f>
        <v>Fionnay (Dixence)</v>
      </c>
      <c r="AX105" s="679" t="str">
        <f>IF(VLOOKUP(A105,'Débit - Abfluss'!$A$4:$Q$275,16,FALSE)="","",VLOOKUP(A105,'Débit - Abfluss'!$A$4:$Q$275,16,FALSE))</f>
        <v/>
      </c>
      <c r="AY105" s="769" t="str">
        <f>IF(VLOOKUP(A105,'Débit - Abfluss'!$A$4:$Q$275,17,FALSE)="","",VLOOKUP(A105,'Débit - Abfluss'!$A$4:$Q$275,17,FALSE))</f>
        <v>21-40%</v>
      </c>
      <c r="AZ105" s="749" t="str">
        <f>IF(VLOOKUP(A105,'Eclusée - Schwall-Sunk'!$A$2:$F$273,5,FALSE)="","",VLOOKUP(A105,'Eclusée - Schwall-Sunk'!$A$2:$F$273,5,FALSE))</f>
        <v>force hydraulique</v>
      </c>
      <c r="BA105" s="750" t="str">
        <f>IF(VLOOKUP(A105,'Eclusée - Schwall-Sunk'!$A$2:$F$273,6,FALSE)="","",VLOOKUP(A105,'Eclusée - Schwall-Sunk'!$A$2:$F$273,6,FALSE))</f>
        <v>Non affecté / nicht betroffen</v>
      </c>
      <c r="BB105" s="751">
        <f>IF(VLOOKUP(A105,'Revitalisation-Revitalisierung'!$A$4:$Z$275,5,FALSE)="","",VLOOKUP(A105,'Revitalisation-Revitalisierung'!$A$4:$Z$275,5,FALSE))</f>
        <v>51.11818181818181</v>
      </c>
      <c r="BC105" s="752">
        <f>IF(VLOOKUP(A105,'Revitalisation-Revitalisierung'!$A$4:$Z$275,6,FALSE)="","",VLOOKUP(A105,'Revitalisation-Revitalisierung'!$A$4:$Z$275,6,FALSE))</f>
        <v>69.305388481939133</v>
      </c>
      <c r="BD105" s="752">
        <f>IF(VLOOKUP(A105,'Revitalisation-Revitalisierung'!$A$4:$Z$275,7,FALSE)="","",VLOOKUP(A105,'Revitalisation-Revitalisierung'!$A$4:$Z$275,7,FALSE))</f>
        <v>18.181818181818183</v>
      </c>
      <c r="BE105" s="753" t="str">
        <f>IF(VLOOKUP(A105,'Revitalisation-Revitalisierung'!$A$4:$Z$275,8,FALSE)="","",VLOOKUP(A105,'Revitalisation-Revitalisierung'!$A$4:$Z$275,8,FALSE))</f>
        <v>très nécessaire, facile</v>
      </c>
      <c r="BF105" s="754" t="str">
        <f>IF(VLOOKUP(A105,'Revitalisation-Revitalisierung'!$A$4:$Z$275,9,FALSE)="","",VLOOKUP(A105,'Revitalisation-Revitalisierung'!$A$4:$Z$275,9,FALSE))</f>
        <v/>
      </c>
      <c r="BG105" s="754" t="str">
        <f>IF(VLOOKUP(A105,'Revitalisation-Revitalisierung'!$A$4:$Z$275,10,FALSE)="","",VLOOKUP(A105,'Revitalisation-Revitalisierung'!$A$4:$Z$275,10,FALSE))</f>
        <v>K1</v>
      </c>
      <c r="BH105" s="755" t="str">
        <f>IF(VLOOKUP(A105,'Revitalisation-Revitalisierung'!$A$4:$Z$275,11,FALSE)="","",VLOOKUP(A105,'Revitalisation-Revitalisierung'!$A$4:$Z$275,11,FALSE))</f>
        <v/>
      </c>
      <c r="BI105" s="756" t="str">
        <f>IF(VLOOKUP(A105,'Revitalisation-Revitalisierung'!$A$4:$Z$275,12,FALSE)="","",VLOOKUP(A105,'Revitalisation-Revitalisierung'!$A$4:$Z$275,12,FALSE))</f>
        <v/>
      </c>
      <c r="BJ105" s="788" t="str">
        <f>IF(VLOOKUP(A105,'Revitalisation-Revitalisierung'!$A$4:$Z$275,13,FALSE)="","",VLOOKUP(A105,'Revitalisation-Revitalisierung'!$A$4:$Z$275,13,FALSE))</f>
        <v>Très nécessaire, facile / unbedingt nötig, einfach</v>
      </c>
      <c r="BK105" s="870" t="str">
        <f>IF(VLOOKUP(A105,'Revitalisation-Revitalisierung'!$A$4:$Z$275,14,FALSE)="","",VLOOKUP(A105,'Revitalisation-Revitalisierung'!$A$4:$Z$275,14,FALSE))</f>
        <v>a</v>
      </c>
      <c r="BL105" s="758" t="str">
        <f>IF(VLOOKUP(A105,'Revitalisation-Revitalisierung'!$A$4:$Z$275,15,FALSE)="","",VLOOKUP(A105,'Revitalisation-Revitalisierung'!$A$4:$Z$275,15,FALSE))</f>
        <v>élevé</v>
      </c>
      <c r="BM105" s="759" t="str">
        <f>IF(VLOOKUP(A105,'Revitalisation-Revitalisierung'!$A$4:$Z$275,16,FALSE)="","",VLOOKUP(A105,'Revitalisation-Revitalisierung'!$A$4:$Z$275,16,FALSE))</f>
        <v>moyen</v>
      </c>
      <c r="BN105" s="759" t="str">
        <f>IF(VLOOKUP(A105,'Revitalisation-Revitalisierung'!$A$4:$Z$275,17,FALSE)="","",VLOOKUP(A105,'Revitalisation-Revitalisierung'!$A$4:$Z$275,17,FALSE))</f>
        <v>mesure</v>
      </c>
      <c r="BO105" s="760" t="str">
        <f>IF(VLOOKUP(A105,'Revitalisation-Revitalisierung'!$A$4:$Z$275,18,FALSE)="","",VLOOKUP(A105,'Revitalisation-Revitalisierung'!$A$4:$Z$275,18,FALSE))</f>
        <v>Très nécessaire, facile / unbedingt nötig, einfach</v>
      </c>
      <c r="BP105" s="761" t="str">
        <f>IF(VLOOKUP(A105,'Revitalisation-Revitalisierung'!$A$4:$Z$275,19,FALSE)="","",VLOOKUP(A105,'Revitalisation-Revitalisierung'!$A$4:$Z$275,19,FALSE))</f>
        <v>Très nécessaire, facile / unbedingt nötig, einfach</v>
      </c>
      <c r="BQ105" s="759" t="str">
        <f>IF(VLOOKUP(A105,'Revitalisation-Revitalisierung'!$A$4:$Z$275,20,FALSE)="","",VLOOKUP(A105,'Revitalisation-Revitalisierung'!$A$4:$Z$275,20,FALSE))</f>
        <v>d</v>
      </c>
      <c r="BR105" s="759" t="str">
        <f>IF(VLOOKUP(A105,'Revitalisation-Revitalisierung'!$A$4:$Z$275,21,FALSE)="","",VLOOKUP(A105,'Revitalisation-Revitalisierung'!$A$4:$Z$275,21,FALSE))</f>
        <v/>
      </c>
      <c r="BS105" s="762" t="str">
        <f>IF(VLOOKUP(A105,'Revitalisation-Revitalisierung'!$A$4:$Z$275,22,FALSE)="","",VLOOKUP(A105,'Revitalisation-Revitalisierung'!$A$4:$Z$275,22,FALSE))</f>
        <v/>
      </c>
      <c r="BT105" s="700" t="str">
        <f>IF(VLOOKUP(A105,'Revitalisation-Revitalisierung'!$A$4:$Z$275,23,FALSE)="","",VLOOKUP(A105,'Revitalisation-Revitalisierung'!$A$4:$Z$275,23,FALSE))</f>
        <v/>
      </c>
      <c r="BU105" s="699" t="str">
        <f>IF(VLOOKUP(A105,'Revitalisation-Revitalisierung'!$A$4:$Z$275,24,FALSE)="","",VLOOKUP(A105,'Revitalisation-Revitalisierung'!$A$4:$Z$275,24,FALSE))</f>
        <v/>
      </c>
      <c r="BV105" s="761" t="str">
        <f>IF(VLOOKUP(A105,'Revitalisation-Revitalisierung'!$A$4:$Z$275,25,FALSE)="","",VLOOKUP(A105,'Revitalisation-Revitalisierung'!$A$4:$Z$275,25,FALSE))</f>
        <v>Très nécessaire, facile / unbedingt nötig, einfach</v>
      </c>
      <c r="BW105" s="871" t="str">
        <f>IF(VLOOKUP(A105,'Revitalisation-Revitalisierung'!$A$4:$AA$275,27,FALSE)="","",VLOOKUP(A105,'Revitalisation-Revitalisierung'!$A$4:$AA$275,27,FALSE))</f>
        <v>a</v>
      </c>
    </row>
    <row r="106" spans="1:75" ht="98.45" customHeight="1" x14ac:dyDescent="0.25">
      <c r="A106" s="935">
        <v>128</v>
      </c>
      <c r="B106" s="856">
        <f>IF(VLOOKUP(A106,'Données de base - Grunddaten'!$A$2:$M$297,2,FALSE)="","",VLOOKUP(A106,'Données de base - Grunddaten'!$A$2:$M$297,2,FALSE))</f>
        <v>1</v>
      </c>
      <c r="C106" s="857" t="str">
        <f>IF(VLOOKUP(A106,'Données de base - Grunddaten'!$A$2:$M$297,3,FALSE)="","",VLOOKUP(A106,'Données de base - Grunddaten'!$A$2:$M$297,3,FALSE))</f>
        <v>Pramousse–Satarma</v>
      </c>
      <c r="D106" s="857" t="str">
        <f>IF(VLOOKUP(A106,'Données de base - Grunddaten'!$A$2:$M$297,4,FALSE)="","",VLOOKUP(A106,'Données de base - Grunddaten'!$A$2:$M$297,4,FALSE))</f>
        <v>La Borgne d'Arolla</v>
      </c>
      <c r="E106" s="857" t="str">
        <f>IF(VLOOKUP(A106,'Données de base - Grunddaten'!$A$2:$M$297,5,FALSE)="","",VLOOKUP(A106,'Données de base - Grunddaten'!$A$2:$M$297,5,FALSE))</f>
        <v>VS</v>
      </c>
      <c r="F106" s="857" t="str">
        <f>IF(VLOOKUP(A106,'Données de base - Grunddaten'!$A$2:$M$297,6,FALSE)="","",VLOOKUP(A106,'Données de base - Grunddaten'!$A$2:$M$297,6,FALSE))</f>
        <v>Alpes centrales occidentales</v>
      </c>
      <c r="G106" s="857" t="str">
        <f>IF(VLOOKUP(A106,'Données de base - Grunddaten'!$A$2:$M$297,7,FALSE)="","",VLOOKUP(A106,'Données de base - Grunddaten'!$A$2:$M$297,7,FALSE))</f>
        <v>Alpin</v>
      </c>
      <c r="H106" s="857">
        <f>IF(VLOOKUP(A106,'Données de base - Grunddaten'!$A$2:$M$297,8,FALSE)="","",VLOOKUP(A106,'Données de base - Grunddaten'!$A$2:$M$297,8,FALSE))</f>
        <v>1820</v>
      </c>
      <c r="I106" s="857">
        <f>IF(VLOOKUP(A106,'Données de base - Grunddaten'!$A$2:$M$297,9,FALSE)="","",VLOOKUP(A106,'Données de base - Grunddaten'!$A$2:$M$297,9,FALSE))</f>
        <v>1992</v>
      </c>
      <c r="J106" s="857">
        <f>IF(VLOOKUP(A106,'Données de base - Grunddaten'!$A$2:$M$297,10,FALSE)="","",VLOOKUP(A106,'Données de base - Grunddaten'!$A$2:$M$297,10,FALSE))</f>
        <v>31</v>
      </c>
      <c r="K106" s="857" t="str">
        <f>IF(VLOOKUP(A106,'Données de base - Grunddaten'!$A$2:$M$297,11,FALSE)="","",VLOOKUP(A106,'Données de base - Grunddaten'!$A$2:$M$297,11,FALSE))</f>
        <v>Cours d'eau naturels de l'étage subalpin</v>
      </c>
      <c r="L106" s="857" t="str">
        <f>IF(VLOOKUP(A106,'Données de base - Grunddaten'!$A$2:$M$297,12,FALSE)="","",VLOOKUP(A106,'Données de base - Grunddaten'!$A$2:$M$297,12,FALSE))</f>
        <v>en tresses</v>
      </c>
      <c r="M106" s="858" t="str">
        <f>IF(VLOOKUP(A106,'Données de base - Grunddaten'!$A$2:$M$297,13,FALSE)="","",VLOOKUP(A106,'Données de base - Grunddaten'!$A$2:$M$297,13,FALSE))</f>
        <v>en tresses</v>
      </c>
      <c r="N106" s="872" t="str">
        <f>IF(VLOOKUP(A106,'Charriage - Geschiebehaushalt'!$A$4:$R$275,5,FALSE)="","",VLOOKUP(A106,'Charriage - Geschiebehaushalt'!$A$4:$R$275,5,FALSE))</f>
        <v>pertinent</v>
      </c>
      <c r="O106" s="881" t="str">
        <f>IF(VLOOKUP(A106,'Charriage - Geschiebehaushalt'!$A$4:$R$275,6,FALSE)="","",VLOOKUP(A106,'Charriage - Geschiebehaushalt'!$A$4:$R$275,6,FALSE))</f>
        <v>non documenté</v>
      </c>
      <c r="P106" s="874" t="str">
        <f>IF(VLOOKUP(A106,'Charriage - Geschiebehaushalt'!$A$4:$R$275,7,FALSE)="","",VLOOKUP(A106,'Charriage - Geschiebehaushalt'!$A$4:$R$275,7,FALSE))</f>
        <v/>
      </c>
      <c r="Q106" s="874" t="str">
        <f>IF(VLOOKUP(A106,'Charriage - Geschiebehaushalt'!$A$4:$R$275,8,FALSE)="","",VLOOKUP(A106,'Charriage - Geschiebehaushalt'!$A$4:$R$275,8,FALSE))</f>
        <v>non documenté</v>
      </c>
      <c r="R106" s="875">
        <f>IF(VLOOKUP(A106,'Charriage - Geschiebehaushalt'!$A$4:$R$275,9,FALSE)="","",VLOOKUP(A106,'Charriage - Geschiebehaushalt'!$A$4:$R$275,9,FALSE))</f>
        <v>0</v>
      </c>
      <c r="S106" s="876" t="str">
        <f>IF(VLOOKUP(A106,'Charriage - Geschiebehaushalt'!$A$4:$R$275,10,FALSE)="","",VLOOKUP(A106,'Charriage - Geschiebehaushalt'!$A$4:$R$275,10,FALSE))</f>
        <v>pas ou faiblement entravé</v>
      </c>
      <c r="T106" s="875">
        <f>IF(VLOOKUP(A106,'Charriage - Geschiebehaushalt'!$A$4:$R$275,11,FALSE)="","",VLOOKUP(A106,'Charriage - Geschiebehaushalt'!$A$4:$R$275,11,FALSE))</f>
        <v>0.51351707130000002</v>
      </c>
      <c r="U106" s="895" t="str">
        <f>IF(VLOOKUP(A106,'Charriage - Geschiebehaushalt'!$A$4:$R$275,12,FALSE)="","",VLOOKUP(A106,'Charriage - Geschiebehaushalt'!$A$4:$R$275,12,FALSE))</f>
        <v>déficit non apparent en charriage ou en remobilisation des sédiments</v>
      </c>
      <c r="V106" s="878" t="str">
        <f>IF(VLOOKUP(A106,'Charriage - Geschiebehaushalt'!$A$4:$R$275,13,FALSE)="","",VLOOKUP(A106,'Charriage - Geschiebehaushalt'!$A$4:$R$275,13,FALSE))</f>
        <v/>
      </c>
      <c r="W106" s="878" t="str">
        <f>IF(VLOOKUP(A106,'Charriage - Geschiebehaushalt'!$A$4:$R$275,14,FALSE)="","",VLOOKUP(A106,'Charriage - Geschiebehaushalt'!$A$4:$R$275,14,FALSE))</f>
        <v/>
      </c>
      <c r="X106" s="878" t="str">
        <f>IF(VLOOKUP(A106,'Charriage - Geschiebehaushalt'!$A$4:$R$275,15,FALSE)="","",VLOOKUP(A106,'Charriage - Geschiebehaushalt'!$A$4:$R$275,15,FALSE))</f>
        <v/>
      </c>
      <c r="Y106" s="882" t="str">
        <f>IF(VLOOKUP(A106,'Charriage - Geschiebehaushalt'!$A$4:$R$275,16,FALSE)="","",VLOOKUP(A106,'Charriage - Geschiebehaushalt'!$A$4:$R$275,16,FALSE))</f>
        <v/>
      </c>
      <c r="Z106" s="763" t="str">
        <f>IF(VLOOKUP(A106,'Charriage - Geschiebehaushalt'!$A$4:$R$275,17,FALSE)="","",VLOOKUP(A106,'Charriage - Geschiebehaushalt'!$A$4:$R$275,17,FALSE))</f>
        <v>Charriage présumé naturel / Geschiebehaushalt vermutlich natürlich</v>
      </c>
      <c r="AA106" s="880" t="str">
        <f>IF(VLOOKUP(A106,'Charriage - Geschiebehaushalt'!$A$4:$R$275,18,FALSE)="","",VLOOKUP(A106,'Charriage - Geschiebehaushalt'!$A$4:$R$275,18,FALSE))</f>
        <v>a</v>
      </c>
      <c r="AB106" s="737" t="str">
        <f>IF(VLOOKUP(A106,'Charriage - Geschiebehaushalt'!$A$4:$AC$275,19,FALSE)="","",VLOOKUP(A106,'Charriage - Geschiebehaushalt'!$A$4:$AC$275,19,FALSE))</f>
        <v>pas atteinte significative</v>
      </c>
      <c r="AC106" s="738" t="str">
        <f>IF(VLOOKUP(A106,'Charriage - Geschiebehaushalt'!$A$4:$AC$275,20,FALSE)="","",VLOOKUP(A106,'Charriage - Geschiebehaushalt'!$A$4:$AC$275,20,FALSE))</f>
        <v>pas de mesure prévue à proximité de la ZA</v>
      </c>
      <c r="AD106" s="789" t="str">
        <f>IF(VLOOKUP(A106,'Charriage - Geschiebehaushalt'!$A$4:$AC$275,21,FALSE)="","",VLOOKUP(A106,'Charriage - Geschiebehaushalt'!$A$4:$AC$275,21,FALSE))</f>
        <v>0-20%</v>
      </c>
      <c r="AE106" s="772" t="str">
        <f>IF(VLOOKUP(A106,'Charriage - Geschiebehaushalt'!$A$4:$AC$275,22,FALSE)="","",VLOOKUP(A106,'Charriage - Geschiebehaushalt'!$A$4:$AC$275,22,FALSE))</f>
        <v>0-20%</v>
      </c>
      <c r="AF106" s="787" t="str">
        <f>IF(VLOOKUP(A106,'Charriage - Geschiebehaushalt'!$A$4:$AC$275,23,FALSE)="","",VLOOKUP(A106,'Charriage - Geschiebehaushalt'!$A$4:$AC$275,23,FALSE))</f>
        <v>d</v>
      </c>
      <c r="AG106" s="765" t="str">
        <f>IF(VLOOKUP(A106,'Charriage - Geschiebehaushalt'!$A$4:$AC$275,24,FALSE)="","",VLOOKUP(A106,'Charriage - Geschiebehaushalt'!$A$4:$AC$275,24,FALSE))</f>
        <v/>
      </c>
      <c r="AH106" s="764" t="str">
        <f>IF(VLOOKUP(A106,'Charriage - Geschiebehaushalt'!$A$4:$AC$275,25,FALSE)="","",VLOOKUP(A106,'Charriage - Geschiebehaushalt'!$A$4:$AC$275,25,FALSE))</f>
        <v/>
      </c>
      <c r="AI106" s="435" t="str">
        <f>IF(VLOOKUP(A106,'Charriage - Geschiebehaushalt'!$A$4:$AC$275,26,FALSE)="","",VLOOKUP(A106,'Charriage - Geschiebehaushalt'!$A$4:$AC$275,26,FALSE))</f>
        <v/>
      </c>
      <c r="AJ106" s="436" t="str">
        <f>IF(VLOOKUP(A106,'Charriage - Geschiebehaushalt'!$A$4:$AC$275,27,FALSE)="","",VLOOKUP(A106,'Charriage - Geschiebehaushalt'!$A$4:$AC$275,27,FALSE))</f>
        <v/>
      </c>
      <c r="AK106" s="814" t="str">
        <f>IF(VLOOKUP(A106,'Charriage - Geschiebehaushalt'!$A$4:$AC$275,28,FALSE)="","",VLOOKUP(A106,'Charriage - Geschiebehaushalt'!$A$4:$AC$275,28,FALSE))</f>
        <v>0-20%</v>
      </c>
      <c r="AL106" s="1285" t="str">
        <f>IF(VLOOKUP(A106,'Charriage - Geschiebehaushalt'!$A$4:$AD$275,30,FALSE)="","",VLOOKUP(A106,'Charriage - Geschiebehaushalt'!$A$4:$AD$275,30,FALSE))</f>
        <v>a</v>
      </c>
      <c r="AM106" s="1279" t="str">
        <f>IF(VLOOKUP(A106,'Débit - Abfluss'!$A$4:$K$275,5,FALSE)="","",VLOOKUP(A106,'Débit - Abfluss'!$A$4:$M$275,5,FALSE))</f>
        <v>21-40%</v>
      </c>
      <c r="AN106" s="868" t="str">
        <f>IF(VLOOKUP(A106,'Débit - Abfluss'!$A$4:$K$275,6,FALSE)="","",VLOOKUP(A106,'Débit - Abfluss'!$A$4:$M$275,6,FALSE))</f>
        <v/>
      </c>
      <c r="AO106" s="869" t="str">
        <f>IF(VLOOKUP(A106,'Débit - Abfluss'!$A$4:$K$275,7,FALSE)="","",VLOOKUP(A106,'Débit - Abfluss'!$A$4:$M$275,7,FALSE))</f>
        <v/>
      </c>
      <c r="AP106" s="766" t="str">
        <f>IF(VLOOKUP(A106,'Débit - Abfluss'!$A$4:$K$275,8,FALSE)="","",VLOOKUP(A106,'Débit - Abfluss'!$A$4:$M$275,8,FALSE))</f>
        <v>21-40%</v>
      </c>
      <c r="AQ106" s="678" t="str">
        <f>IF(VLOOKUP(A106,'Débit - Abfluss'!$A$4:$K$275,9,FALSE)="","",VLOOKUP(A106,'Débit - Abfluss'!$A$4:$M$275,9,FALSE))</f>
        <v>Fehlende Angaben</v>
      </c>
      <c r="AR106" s="767" t="str">
        <f>IF(VLOOKUP(A106,'Débit - Abfluss'!$A$4:$K$275,10,FALSE)="","",VLOOKUP(A106,'Débit - Abfluss'!$A$4:$M$275,10,FALSE))</f>
        <v>21-40%</v>
      </c>
      <c r="AS106" s="767" t="str">
        <f>IF(VLOOKUP(A106,'Débit - Abfluss'!$A$4:$K$275,11,FALSE)="","",VLOOKUP(A106,'Débit - Abfluss'!$A$4:$M$275,11,FALSE))</f>
        <v/>
      </c>
      <c r="AT106" s="778" t="str">
        <f>IF(VLOOKUP(A106,'Débit - Abfluss'!$A$4:$Q$275,12,FALSE)="","",VLOOKUP(A106,'Débit - Abfluss'!$A$4:$Q$275,12,FALSE))</f>
        <v/>
      </c>
      <c r="AU106" s="779" t="str">
        <f>IF(VLOOKUP(A106,'Débit - Abfluss'!$A$4:$Q$275,13,FALSE)="","",VLOOKUP(A106,'Débit - Abfluss'!$A$4:$Q$275,13,FALSE))</f>
        <v/>
      </c>
      <c r="AV106" s="746" t="str">
        <f>IF(VLOOKUP(A106,'Débit - Abfluss'!$A$4:$Q$275,14,FALSE)="","",VLOOKUP(A106,'Débit - Abfluss'!$A$4:$Q$275,14,FALSE))</f>
        <v>VS-613.3</v>
      </c>
      <c r="AW106" s="768" t="str">
        <f>IF(VLOOKUP(A106,'Débit - Abfluss'!$A$4:$Q$275,15,FALSE)="","",VLOOKUP(A106,'Débit - Abfluss'!$A$4:$Q$275,15,FALSE))</f>
        <v>Fionnay (Dixence)</v>
      </c>
      <c r="AX106" s="679" t="str">
        <f>IF(VLOOKUP(A106,'Débit - Abfluss'!$A$4:$Q$275,16,FALSE)="","",VLOOKUP(A106,'Débit - Abfluss'!$A$4:$Q$275,16,FALSE))</f>
        <v/>
      </c>
      <c r="AY106" s="769" t="str">
        <f>IF(VLOOKUP(A106,'Débit - Abfluss'!$A$4:$Q$275,17,FALSE)="","",VLOOKUP(A106,'Débit - Abfluss'!$A$4:$Q$275,17,FALSE))</f>
        <v>21-40%</v>
      </c>
      <c r="AZ106" s="749" t="str">
        <f>IF(VLOOKUP(A106,'Eclusée - Schwall-Sunk'!$A$2:$F$273,5,FALSE)="","",VLOOKUP(A106,'Eclusée - Schwall-Sunk'!$A$2:$F$273,5,FALSE))</f>
        <v>force hydraulique</v>
      </c>
      <c r="BA106" s="750" t="str">
        <f>IF(VLOOKUP(A106,'Eclusée - Schwall-Sunk'!$A$2:$F$273,6,FALSE)="","",VLOOKUP(A106,'Eclusée - Schwall-Sunk'!$A$2:$F$273,6,FALSE))</f>
        <v>Non affecté / nicht betroffen</v>
      </c>
      <c r="BB106" s="751">
        <f>IF(VLOOKUP(A106,'Revitalisation-Revitalisierung'!$A$4:$Z$275,5,FALSE)="","",VLOOKUP(A106,'Revitalisation-Revitalisierung'!$A$4:$Z$275,5,FALSE))</f>
        <v>-4.5454545454545459</v>
      </c>
      <c r="BC106" s="752">
        <f>IF(VLOOKUP(A106,'Revitalisation-Revitalisierung'!$A$4:$Z$275,6,FALSE)="","",VLOOKUP(A106,'Revitalisation-Revitalisierung'!$A$4:$Z$275,6,FALSE))</f>
        <v>0</v>
      </c>
      <c r="BD106" s="752">
        <f>IF(VLOOKUP(A106,'Revitalisation-Revitalisierung'!$A$4:$Z$275,7,FALSE)="","",VLOOKUP(A106,'Revitalisation-Revitalisierung'!$A$4:$Z$275,7,FALSE))</f>
        <v>4.5454545454545459</v>
      </c>
      <c r="BE106" s="753" t="str">
        <f>IF(VLOOKUP(A106,'Revitalisation-Revitalisierung'!$A$4:$Z$275,8,FALSE)="","",VLOOKUP(A106,'Revitalisation-Revitalisierung'!$A$4:$Z$275,8,FALSE))</f>
        <v>non nécessaire</v>
      </c>
      <c r="BF106" s="754" t="str">
        <f>IF(VLOOKUP(A106,'Revitalisation-Revitalisierung'!$A$4:$Z$275,9,FALSE)="","",VLOOKUP(A106,'Revitalisation-Revitalisierung'!$A$4:$Z$275,9,FALSE))</f>
        <v/>
      </c>
      <c r="BG106" s="754" t="str">
        <f>IF(VLOOKUP(A106,'Revitalisation-Revitalisierung'!$A$4:$Z$275,10,FALSE)="","",VLOOKUP(A106,'Revitalisation-Revitalisierung'!$A$4:$Z$275,10,FALSE))</f>
        <v>K1</v>
      </c>
      <c r="BH106" s="755" t="str">
        <f>IF(VLOOKUP(A106,'Revitalisation-Revitalisierung'!$A$4:$Z$275,11,FALSE)="","",VLOOKUP(A106,'Revitalisation-Revitalisierung'!$A$4:$Z$275,11,FALSE))</f>
        <v/>
      </c>
      <c r="BI106" s="756" t="str">
        <f>IF(VLOOKUP(A106,'Revitalisation-Revitalisierung'!$A$4:$Z$275,12,FALSE)="","",VLOOKUP(A106,'Revitalisation-Revitalisierung'!$A$4:$Z$275,12,FALSE))</f>
        <v/>
      </c>
      <c r="BJ106" s="788" t="str">
        <f>IF(VLOOKUP(A106,'Revitalisation-Revitalisierung'!$A$4:$Z$275,13,FALSE)="","",VLOOKUP(A106,'Revitalisation-Revitalisierung'!$A$4:$Z$275,13,FALSE))</f>
        <v>Non nécessaire / nicht nötig</v>
      </c>
      <c r="BK106" s="870" t="str">
        <f>IF(VLOOKUP(A106,'Revitalisation-Revitalisierung'!$A$4:$Z$275,14,FALSE)="","",VLOOKUP(A106,'Revitalisation-Revitalisierung'!$A$4:$Z$275,14,FALSE))</f>
        <v>a</v>
      </c>
      <c r="BL106" s="758" t="str">
        <f>IF(VLOOKUP(A106,'Revitalisation-Revitalisierung'!$A$4:$Z$275,15,FALSE)="","",VLOOKUP(A106,'Revitalisation-Revitalisierung'!$A$4:$Z$275,15,FALSE))</f>
        <v>moyen à élevé</v>
      </c>
      <c r="BM106" s="759" t="str">
        <f>IF(VLOOKUP(A106,'Revitalisation-Revitalisierung'!$A$4:$Z$275,16,FALSE)="","",VLOOKUP(A106,'Revitalisation-Revitalisierung'!$A$4:$Z$275,16,FALSE))</f>
        <v>moyen à élevé</v>
      </c>
      <c r="BN106" s="759" t="str">
        <f>IF(VLOOKUP(A106,'Revitalisation-Revitalisierung'!$A$4:$Z$275,17,FALSE)="","",VLOOKUP(A106,'Revitalisation-Revitalisierung'!$A$4:$Z$275,17,FALSE))</f>
        <v>mesure</v>
      </c>
      <c r="BO106" s="760" t="str">
        <f>IF(VLOOKUP(A106,'Revitalisation-Revitalisierung'!$A$4:$Z$275,18,FALSE)="","",VLOOKUP(A106,'Revitalisation-Revitalisierung'!$A$4:$Z$275,18,FALSE))</f>
        <v>Très nécessaire, facile / unbedingt nötig, einfach</v>
      </c>
      <c r="BP106" s="760" t="str">
        <f>IF(VLOOKUP(A106,'Revitalisation-Revitalisierung'!$A$4:$Z$275,19,FALSE)="","",VLOOKUP(A106,'Revitalisation-Revitalisierung'!$A$4:$Z$275,19,FALSE))</f>
        <v>Non nécessaire / nicht nötig</v>
      </c>
      <c r="BQ106" s="759" t="str">
        <f>IF(VLOOKUP(A106,'Revitalisation-Revitalisierung'!$A$4:$Z$275,20,FALSE)="","",VLOOKUP(A106,'Revitalisation-Revitalisierung'!$A$4:$Z$275,20,FALSE))</f>
        <v>a</v>
      </c>
      <c r="BR106" s="759" t="str">
        <f>IF(VLOOKUP(A106,'Revitalisation-Revitalisierung'!$A$4:$Z$275,21,FALSE)="","",VLOOKUP(A106,'Revitalisation-Revitalisierung'!$A$4:$Z$275,21,FALSE))</f>
        <v>Problèmes sécuritaires. La mesure propose un chenal pilote, incompatible avec l'OZA</v>
      </c>
      <c r="BS106" s="762" t="str">
        <f>IF(VLOOKUP(A106,'Revitalisation-Revitalisierung'!$A$4:$Z$275,22,FALSE)="","",VLOOKUP(A106,'Revitalisation-Revitalisierung'!$A$4:$Z$275,22,FALSE))</f>
        <v>X</v>
      </c>
      <c r="BT106" s="700" t="str">
        <f>IF(VLOOKUP(A106,'Revitalisation-Revitalisierung'!$A$4:$Z$275,23,FALSE)="","",VLOOKUP(A106,'Revitalisation-Revitalisierung'!$A$4:$Z$275,23,FALSE))</f>
        <v/>
      </c>
      <c r="BU106" s="699" t="str">
        <f>IF(VLOOKUP(A106,'Revitalisation-Revitalisierung'!$A$4:$Z$275,24,FALSE)="","",VLOOKUP(A106,'Revitalisation-Revitalisierung'!$A$4:$Z$275,24,FALSE))</f>
        <v/>
      </c>
      <c r="BV106" s="760" t="str">
        <f>IF(VLOOKUP(A106,'Revitalisation-Revitalisierung'!$A$4:$Z$275,25,FALSE)="","",VLOOKUP(A106,'Revitalisation-Revitalisierung'!$A$4:$Z$275,25,FALSE))</f>
        <v>Non nécessaire / nicht nötig</v>
      </c>
      <c r="BW106" s="871" t="str">
        <f>IF(VLOOKUP(A106,'Revitalisation-Revitalisierung'!$A$4:$AA$275,27,FALSE)="","",VLOOKUP(A106,'Revitalisation-Revitalisierung'!$A$4:$AA$275,27,FALSE))</f>
        <v>a</v>
      </c>
    </row>
    <row r="107" spans="1:75" ht="66.599999999999994" customHeight="1" x14ac:dyDescent="0.25">
      <c r="A107" s="935">
        <v>129</v>
      </c>
      <c r="B107" s="856">
        <f>IF(VLOOKUP(A107,'Données de base - Grunddaten'!$A$2:$M$297,2,FALSE)="","",VLOOKUP(A107,'Données de base - Grunddaten'!$A$2:$M$297,2,FALSE))</f>
        <v>1</v>
      </c>
      <c r="C107" s="857" t="str">
        <f>IF(VLOOKUP(A107,'Données de base - Grunddaten'!$A$2:$M$297,3,FALSE)="","",VLOOKUP(A107,'Données de base - Grunddaten'!$A$2:$M$297,3,FALSE))</f>
        <v>La Borgne en amont d'Arolla</v>
      </c>
      <c r="D107" s="857" t="str">
        <f>IF(VLOOKUP(A107,'Données de base - Grunddaten'!$A$2:$M$297,4,FALSE)="","",VLOOKUP(A107,'Données de base - Grunddaten'!$A$2:$M$297,4,FALSE))</f>
        <v>La Borgne d'Arolla</v>
      </c>
      <c r="E107" s="857" t="str">
        <f>IF(VLOOKUP(A107,'Données de base - Grunddaten'!$A$2:$M$297,5,FALSE)="","",VLOOKUP(A107,'Données de base - Grunddaten'!$A$2:$M$297,5,FALSE))</f>
        <v>VS</v>
      </c>
      <c r="F107" s="857" t="str">
        <f>IF(VLOOKUP(A107,'Données de base - Grunddaten'!$A$2:$M$297,6,FALSE)="","",VLOOKUP(A107,'Données de base - Grunddaten'!$A$2:$M$297,6,FALSE))</f>
        <v>Alpes centrales occidentales</v>
      </c>
      <c r="G107" s="857" t="str">
        <f>IF(VLOOKUP(A107,'Données de base - Grunddaten'!$A$2:$M$297,7,FALSE)="","",VLOOKUP(A107,'Données de base - Grunddaten'!$A$2:$M$297,7,FALSE))</f>
        <v>Alpin</v>
      </c>
      <c r="H107" s="857">
        <f>IF(VLOOKUP(A107,'Données de base - Grunddaten'!$A$2:$M$297,8,FALSE)="","",VLOOKUP(A107,'Données de base - Grunddaten'!$A$2:$M$297,8,FALSE))</f>
        <v>2020</v>
      </c>
      <c r="I107" s="857">
        <f>IF(VLOOKUP(A107,'Données de base - Grunddaten'!$A$2:$M$297,9,FALSE)="","",VLOOKUP(A107,'Données de base - Grunddaten'!$A$2:$M$297,9,FALSE))</f>
        <v>1992</v>
      </c>
      <c r="J107" s="857">
        <f>IF(VLOOKUP(A107,'Données de base - Grunddaten'!$A$2:$M$297,10,FALSE)="","",VLOOKUP(A107,'Données de base - Grunddaten'!$A$2:$M$297,10,FALSE))</f>
        <v>31</v>
      </c>
      <c r="K107" s="857" t="str">
        <f>IF(VLOOKUP(A107,'Données de base - Grunddaten'!$A$2:$M$297,11,FALSE)="","",VLOOKUP(A107,'Données de base - Grunddaten'!$A$2:$M$297,11,FALSE))</f>
        <v>Cours d'eau naturels de l'étage subalpin</v>
      </c>
      <c r="L107" s="857" t="str">
        <f>IF(VLOOKUP(A107,'Données de base - Grunddaten'!$A$2:$M$297,12,FALSE)="","",VLOOKUP(A107,'Données de base - Grunddaten'!$A$2:$M$297,12,FALSE))</f>
        <v>en méandres - glaciers</v>
      </c>
      <c r="M107" s="858" t="str">
        <f>IF(VLOOKUP(A107,'Données de base - Grunddaten'!$A$2:$M$297,13,FALSE)="","",VLOOKUP(A107,'Données de base - Grunddaten'!$A$2:$M$297,13,FALSE))</f>
        <v>en tresses</v>
      </c>
      <c r="N107" s="872" t="str">
        <f>IF(VLOOKUP(A107,'Charriage - Geschiebehaushalt'!$A$4:$R$275,5,FALSE)="","",VLOOKUP(A107,'Charriage - Geschiebehaushalt'!$A$4:$R$275,5,FALSE))</f>
        <v>pertinent</v>
      </c>
      <c r="O107" s="881" t="str">
        <f>IF(VLOOKUP(A107,'Charriage - Geschiebehaushalt'!$A$4:$R$275,6,FALSE)="","",VLOOKUP(A107,'Charriage - Geschiebehaushalt'!$A$4:$R$275,6,FALSE))</f>
        <v>non documenté</v>
      </c>
      <c r="P107" s="874" t="str">
        <f>IF(VLOOKUP(A107,'Charriage - Geschiebehaushalt'!$A$4:$R$275,7,FALSE)="","",VLOOKUP(A107,'Charriage - Geschiebehaushalt'!$A$4:$R$275,7,FALSE))</f>
        <v/>
      </c>
      <c r="Q107" s="874" t="str">
        <f>IF(VLOOKUP(A107,'Charriage - Geschiebehaushalt'!$A$4:$R$275,8,FALSE)="","",VLOOKUP(A107,'Charriage - Geschiebehaushalt'!$A$4:$R$275,8,FALSE))</f>
        <v>non documenté</v>
      </c>
      <c r="R107" s="875">
        <f>IF(VLOOKUP(A107,'Charriage - Geschiebehaushalt'!$A$4:$R$275,9,FALSE)="","",VLOOKUP(A107,'Charriage - Geschiebehaushalt'!$A$4:$R$275,9,FALSE))</f>
        <v>0</v>
      </c>
      <c r="S107" s="876" t="str">
        <f>IF(VLOOKUP(A107,'Charriage - Geschiebehaushalt'!$A$4:$R$275,10,FALSE)="","",VLOOKUP(A107,'Charriage - Geschiebehaushalt'!$A$4:$R$275,10,FALSE))</f>
        <v>pas ou faiblement entravé</v>
      </c>
      <c r="T107" s="875">
        <f>IF(VLOOKUP(A107,'Charriage - Geschiebehaushalt'!$A$4:$R$275,11,FALSE)="","",VLOOKUP(A107,'Charriage - Geschiebehaushalt'!$A$4:$R$275,11,FALSE))</f>
        <v>4.2530865485E-2</v>
      </c>
      <c r="U107" s="876" t="str">
        <f>IF(VLOOKUP(A107,'Charriage - Geschiebehaushalt'!$A$4:$R$275,12,FALSE)="","",VLOOKUP(A107,'Charriage - Geschiebehaushalt'!$A$4:$R$275,12,FALSE))</f>
        <v>déficit dans les formations pionnières</v>
      </c>
      <c r="V107" s="878" t="str">
        <f>IF(VLOOKUP(A107,'Charriage - Geschiebehaushalt'!$A$4:$R$275,13,FALSE)="","",VLOOKUP(A107,'Charriage - Geschiebehaushalt'!$A$4:$R$275,13,FALSE))</f>
        <v/>
      </c>
      <c r="W107" s="877" t="str">
        <f>IF(VLOOKUP(A107,'Charriage - Geschiebehaushalt'!$A$4:$R$275,14,FALSE)="","",VLOOKUP(A107,'Charriage - Geschiebehaushalt'!$A$4:$R$275,14,FALSE))</f>
        <v>A vérifier</v>
      </c>
      <c r="X107" s="877" t="str">
        <f>IF(VLOOKUP(A107,'Charriage - Geschiebehaushalt'!$A$4:$R$275,15,FALSE)="","",VLOOKUP(A107,'Charriage - Geschiebehaushalt'!$A$4:$R$275,15,FALSE))</f>
        <v>pas d'ouvrage connu dans le bassin versant</v>
      </c>
      <c r="Y107" s="882" t="str">
        <f>IF(VLOOKUP(A107,'Charriage - Geschiebehaushalt'!$A$4:$R$275,16,FALSE)="","",VLOOKUP(A107,'Charriage - Geschiebehaushalt'!$A$4:$R$275,16,FALSE))</f>
        <v>charriage présumé naturel</v>
      </c>
      <c r="Z107" s="763" t="str">
        <f>IF(VLOOKUP(A107,'Charriage - Geschiebehaushalt'!$A$4:$R$275,17,FALSE)="","",VLOOKUP(A107,'Charriage - Geschiebehaushalt'!$A$4:$R$275,17,FALSE))</f>
        <v>Charriage présumé naturel / Geschiebehaushalt vermutlich natürlich</v>
      </c>
      <c r="AA107" s="880" t="str">
        <f>IF(VLOOKUP(A107,'Charriage - Geschiebehaushalt'!$A$4:$R$275,18,FALSE)="","",VLOOKUP(A107,'Charriage - Geschiebehaushalt'!$A$4:$R$275,18,FALSE))</f>
        <v>b</v>
      </c>
      <c r="AB107" s="737" t="str">
        <f>IF(VLOOKUP(A107,'Charriage - Geschiebehaushalt'!$A$4:$AC$275,19,FALSE)="","",VLOOKUP(A107,'Charriage - Geschiebehaushalt'!$A$4:$AC$275,19,FALSE))</f>
        <v>atteinte significative</v>
      </c>
      <c r="AC107" s="738" t="str">
        <f>IF(VLOOKUP(A107,'Charriage - Geschiebehaushalt'!$A$4:$AC$275,20,FALSE)="","",VLOOKUP(A107,'Charriage - Geschiebehaushalt'!$A$4:$AC$275,20,FALSE))</f>
        <v>mesure prévue</v>
      </c>
      <c r="AD107" s="789" t="str">
        <f>IF(VLOOKUP(A107,'Charriage - Geschiebehaushalt'!$A$4:$AC$275,21,FALSE)="","",VLOOKUP(A107,'Charriage - Geschiebehaushalt'!$A$4:$AC$275,21,FALSE))</f>
        <v>21-50%</v>
      </c>
      <c r="AE107" s="772" t="str">
        <f>IF(VLOOKUP(A107,'Charriage - Geschiebehaushalt'!$A$4:$AC$275,22,FALSE)="","",VLOOKUP(A107,'Charriage - Geschiebehaushalt'!$A$4:$AC$275,22,FALSE))</f>
        <v>21-50%</v>
      </c>
      <c r="AF107" s="787" t="str">
        <f>IF(VLOOKUP(A107,'Charriage - Geschiebehaushalt'!$A$4:$AC$275,23,FALSE)="","",VLOOKUP(A107,'Charriage - Geschiebehaushalt'!$A$4:$AC$275,23,FALSE))</f>
        <v>c</v>
      </c>
      <c r="AG107" s="765" t="str">
        <f>IF(VLOOKUP(A107,'Charriage - Geschiebehaushalt'!$A$4:$AC$275,24,FALSE)="","",VLOOKUP(A107,'Charriage - Geschiebehaushalt'!$A$4:$AC$275,24,FALSE))</f>
        <v>Quantité de sédiments adéquate, mais il y a un problème de débit de restitution. Assainissement du captage prévu.</v>
      </c>
      <c r="AH107" s="764" t="str">
        <f>IF(VLOOKUP(A107,'Charriage - Geschiebehaushalt'!$A$4:$AC$275,25,FALSE)="","",VLOOKUP(A107,'Charriage - Geschiebehaushalt'!$A$4:$AC$275,25,FALSE))</f>
        <v/>
      </c>
      <c r="AI107" s="435" t="str">
        <f>IF(VLOOKUP(A107,'Charriage - Geschiebehaushalt'!$A$4:$AC$275,26,FALSE)="","",VLOOKUP(A107,'Charriage - Geschiebehaushalt'!$A$4:$AC$275,26,FALSE))</f>
        <v/>
      </c>
      <c r="AJ107" s="436" t="str">
        <f>IF(VLOOKUP(A107,'Charriage - Geschiebehaushalt'!$A$4:$AC$275,27,FALSE)="","",VLOOKUP(A107,'Charriage - Geschiebehaushalt'!$A$4:$AC$275,27,FALSE))</f>
        <v/>
      </c>
      <c r="AK107" s="814" t="str">
        <f>IF(VLOOKUP(A107,'Charriage - Geschiebehaushalt'!$A$4:$AC$275,28,FALSE)="","",VLOOKUP(A107,'Charriage - Geschiebehaushalt'!$A$4:$AC$275,28,FALSE))</f>
        <v>21-50%</v>
      </c>
      <c r="AL107" s="1285" t="str">
        <f>IF(VLOOKUP(A107,'Charriage - Geschiebehaushalt'!$A$4:$AD$275,30,FALSE)="","",VLOOKUP(A107,'Charriage - Geschiebehaushalt'!$A$4:$AD$275,30,FALSE))</f>
        <v>a</v>
      </c>
      <c r="AM107" s="1279" t="str">
        <f>IF(VLOOKUP(A107,'Débit - Abfluss'!$A$4:$K$275,5,FALSE)="","",VLOOKUP(A107,'Débit - Abfluss'!$A$4:$M$275,5,FALSE))</f>
        <v>0-20%</v>
      </c>
      <c r="AN107" s="868" t="str">
        <f>IF(VLOOKUP(A107,'Débit - Abfluss'!$A$4:$K$275,6,FALSE)="","",VLOOKUP(A107,'Débit - Abfluss'!$A$4:$M$275,6,FALSE))</f>
        <v/>
      </c>
      <c r="AO107" s="869" t="str">
        <f>IF(VLOOKUP(A107,'Débit - Abfluss'!$A$4:$K$275,7,FALSE)="","",VLOOKUP(A107,'Débit - Abfluss'!$A$4:$M$275,7,FALSE))</f>
        <v/>
      </c>
      <c r="AP107" s="766" t="str">
        <f>IF(VLOOKUP(A107,'Débit - Abfluss'!$A$4:$K$275,8,FALSE)="","",VLOOKUP(A107,'Débit - Abfluss'!$A$4:$M$275,8,FALSE))</f>
        <v>0-20%</v>
      </c>
      <c r="AQ107" s="678" t="str">
        <f>IF(VLOOKUP(A107,'Débit - Abfluss'!$A$4:$K$275,9,FALSE)="","",VLOOKUP(A107,'Débit - Abfluss'!$A$4:$M$275,9,FALSE))</f>
        <v>Fehlende Angaben</v>
      </c>
      <c r="AR107" s="767" t="str">
        <f>IF(VLOOKUP(A107,'Débit - Abfluss'!$A$4:$K$275,10,FALSE)="","",VLOOKUP(A107,'Débit - Abfluss'!$A$4:$M$275,10,FALSE))</f>
        <v>0-20%</v>
      </c>
      <c r="AS107" s="767" t="str">
        <f>IF(VLOOKUP(A107,'Débit - Abfluss'!$A$4:$K$275,11,FALSE)="","",VLOOKUP(A107,'Débit - Abfluss'!$A$4:$M$275,11,FALSE))</f>
        <v/>
      </c>
      <c r="AT107" s="778" t="str">
        <f>IF(VLOOKUP(A107,'Débit - Abfluss'!$A$4:$Q$275,12,FALSE)="","",VLOOKUP(A107,'Débit - Abfluss'!$A$4:$Q$275,12,FALSE))</f>
        <v/>
      </c>
      <c r="AU107" s="779" t="str">
        <f>IF(VLOOKUP(A107,'Débit - Abfluss'!$A$4:$Q$275,13,FALSE)="","",VLOOKUP(A107,'Débit - Abfluss'!$A$4:$Q$275,13,FALSE))</f>
        <v/>
      </c>
      <c r="AV107" s="746" t="str">
        <f>IF(VLOOKUP(A107,'Débit - Abfluss'!$A$4:$Q$275,14,FALSE)="","",VLOOKUP(A107,'Débit - Abfluss'!$A$4:$Q$275,14,FALSE))</f>
        <v>VS-613.3</v>
      </c>
      <c r="AW107" s="768" t="str">
        <f>IF(VLOOKUP(A107,'Débit - Abfluss'!$A$4:$Q$275,15,FALSE)="","",VLOOKUP(A107,'Débit - Abfluss'!$A$4:$Q$275,15,FALSE))</f>
        <v>Fionnay (Dixence)</v>
      </c>
      <c r="AX107" s="679" t="str">
        <f>IF(VLOOKUP(A107,'Débit - Abfluss'!$A$4:$Q$275,16,FALSE)="","",VLOOKUP(A107,'Débit - Abfluss'!$A$4:$Q$275,16,FALSE))</f>
        <v/>
      </c>
      <c r="AY107" s="769" t="str">
        <f>IF(VLOOKUP(A107,'Débit - Abfluss'!$A$4:$Q$275,17,FALSE)="","",VLOOKUP(A107,'Débit - Abfluss'!$A$4:$Q$275,17,FALSE))</f>
        <v>0-20%</v>
      </c>
      <c r="AZ107" s="749" t="str">
        <f>IF(VLOOKUP(A107,'Eclusée - Schwall-Sunk'!$A$2:$F$273,5,FALSE)="","",VLOOKUP(A107,'Eclusée - Schwall-Sunk'!$A$2:$F$273,5,FALSE))</f>
        <v>force hydraulique</v>
      </c>
      <c r="BA107" s="750" t="str">
        <f>IF(VLOOKUP(A107,'Eclusée - Schwall-Sunk'!$A$2:$F$273,6,FALSE)="","",VLOOKUP(A107,'Eclusée - Schwall-Sunk'!$A$2:$F$273,6,FALSE))</f>
        <v>Non affecté / nicht betroffen</v>
      </c>
      <c r="BB107" s="751">
        <f>IF(VLOOKUP(A107,'Revitalisation-Revitalisierung'!$A$4:$Z$275,5,FALSE)="","",VLOOKUP(A107,'Revitalisation-Revitalisierung'!$A$4:$Z$275,5,FALSE))</f>
        <v>-2.2727272727272729</v>
      </c>
      <c r="BC107" s="752">
        <f>IF(VLOOKUP(A107,'Revitalisation-Revitalisierung'!$A$4:$Z$275,6,FALSE)="","",VLOOKUP(A107,'Revitalisation-Revitalisierung'!$A$4:$Z$275,6,FALSE))</f>
        <v>0</v>
      </c>
      <c r="BD107" s="752">
        <f>IF(VLOOKUP(A107,'Revitalisation-Revitalisierung'!$A$4:$Z$275,7,FALSE)="","",VLOOKUP(A107,'Revitalisation-Revitalisierung'!$A$4:$Z$275,7,FALSE))</f>
        <v>2.2727272727272729</v>
      </c>
      <c r="BE107" s="753" t="str">
        <f>IF(VLOOKUP(A107,'Revitalisation-Revitalisierung'!$A$4:$Z$275,8,FALSE)="","",VLOOKUP(A107,'Revitalisation-Revitalisierung'!$A$4:$Z$275,8,FALSE))</f>
        <v>non nécessaire</v>
      </c>
      <c r="BF107" s="754" t="str">
        <f>IF(VLOOKUP(A107,'Revitalisation-Revitalisierung'!$A$4:$Z$275,9,FALSE)="","",VLOOKUP(A107,'Revitalisation-Revitalisierung'!$A$4:$Z$275,9,FALSE))</f>
        <v/>
      </c>
      <c r="BG107" s="754" t="str">
        <f>IF(VLOOKUP(A107,'Revitalisation-Revitalisierung'!$A$4:$Z$275,10,FALSE)="","",VLOOKUP(A107,'Revitalisation-Revitalisierung'!$A$4:$Z$275,10,FALSE))</f>
        <v>K2</v>
      </c>
      <c r="BH107" s="755" t="str">
        <f>IF(VLOOKUP(A107,'Revitalisation-Revitalisierung'!$A$4:$Z$275,11,FALSE)="","",VLOOKUP(A107,'Revitalisation-Revitalisierung'!$A$4:$Z$275,11,FALSE))</f>
        <v/>
      </c>
      <c r="BI107" s="756" t="str">
        <f>IF(VLOOKUP(A107,'Revitalisation-Revitalisierung'!$A$4:$Z$275,12,FALSE)="","",VLOOKUP(A107,'Revitalisation-Revitalisierung'!$A$4:$Z$275,12,FALSE))</f>
        <v/>
      </c>
      <c r="BJ107" s="788" t="str">
        <f>IF(VLOOKUP(A107,'Revitalisation-Revitalisierung'!$A$4:$Z$275,13,FALSE)="","",VLOOKUP(A107,'Revitalisation-Revitalisierung'!$A$4:$Z$275,13,FALSE))</f>
        <v>Non nécessaire / nicht nötig</v>
      </c>
      <c r="BK107" s="870" t="str">
        <f>IF(VLOOKUP(A107,'Revitalisation-Revitalisierung'!$A$4:$Z$275,14,FALSE)="","",VLOOKUP(A107,'Revitalisation-Revitalisierung'!$A$4:$Z$275,14,FALSE))</f>
        <v>b</v>
      </c>
      <c r="BL107" s="758" t="str">
        <f>IF(VLOOKUP(A107,'Revitalisation-Revitalisierung'!$A$4:$Z$275,15,FALSE)="","",VLOOKUP(A107,'Revitalisation-Revitalisierung'!$A$4:$Z$275,15,FALSE))</f>
        <v>élevé</v>
      </c>
      <c r="BM107" s="759" t="str">
        <f>IF(VLOOKUP(A107,'Revitalisation-Revitalisierung'!$A$4:$Z$275,16,FALSE)="","",VLOOKUP(A107,'Revitalisation-Revitalisierung'!$A$4:$Z$275,16,FALSE))</f>
        <v>moyen</v>
      </c>
      <c r="BN107" s="759" t="str">
        <f>IF(VLOOKUP(A107,'Revitalisation-Revitalisierung'!$A$4:$Z$275,17,FALSE)="","",VLOOKUP(A107,'Revitalisation-Revitalisierung'!$A$4:$Z$275,17,FALSE))</f>
        <v>pas de mesure</v>
      </c>
      <c r="BO107" s="760" t="str">
        <f>IF(VLOOKUP(A107,'Revitalisation-Revitalisierung'!$A$4:$Z$275,18,FALSE)="","",VLOOKUP(A107,'Revitalisation-Revitalisierung'!$A$4:$Z$275,18,FALSE))</f>
        <v>Partiellement nécessaire, facile / teilweise nötig, einfach</v>
      </c>
      <c r="BP107" s="761" t="str">
        <f>IF(VLOOKUP(A107,'Revitalisation-Revitalisierung'!$A$4:$Z$275,19,FALSE)="","",VLOOKUP(A107,'Revitalisation-Revitalisierung'!$A$4:$Z$275,19,FALSE))</f>
        <v>Partiellement nécessaire, facile / teilweise nötig, einfach</v>
      </c>
      <c r="BQ107" s="759" t="str">
        <f>IF(VLOOKUP(A107,'Revitalisation-Revitalisierung'!$A$4:$Z$275,20,FALSE)="","",VLOOKUP(A107,'Revitalisation-Revitalisierung'!$A$4:$Z$275,20,FALSE))</f>
        <v>c</v>
      </c>
      <c r="BR107" s="759" t="str">
        <f>IF(VLOOKUP(A107,'Revitalisation-Revitalisierung'!$A$4:$Z$275,21,FALSE)="","",VLOOKUP(A107,'Revitalisation-Revitalisierung'!$A$4:$Z$275,21,FALSE))</f>
        <v/>
      </c>
      <c r="BS107" s="762" t="str">
        <f>IF(VLOOKUP(A107,'Revitalisation-Revitalisierung'!$A$4:$Z$275,22,FALSE)="","",VLOOKUP(A107,'Revitalisation-Revitalisierung'!$A$4:$Z$275,22,FALSE))</f>
        <v/>
      </c>
      <c r="BT107" s="700" t="str">
        <f>IF(VLOOKUP(A107,'Revitalisation-Revitalisierung'!$A$4:$Z$275,23,FALSE)="","",VLOOKUP(A107,'Revitalisation-Revitalisierung'!$A$4:$Z$275,23,FALSE))</f>
        <v/>
      </c>
      <c r="BU107" s="699" t="str">
        <f>IF(VLOOKUP(A107,'Revitalisation-Revitalisierung'!$A$4:$Z$275,24,FALSE)="","",VLOOKUP(A107,'Revitalisation-Revitalisierung'!$A$4:$Z$275,24,FALSE))</f>
        <v/>
      </c>
      <c r="BV107" s="761" t="str">
        <f>IF(VLOOKUP(A107,'Revitalisation-Revitalisierung'!$A$4:$Z$275,25,FALSE)="","",VLOOKUP(A107,'Revitalisation-Revitalisierung'!$A$4:$Z$275,25,FALSE))</f>
        <v>Partiellement nécessaire, facile / teilweise nötig, einfach</v>
      </c>
      <c r="BW107" s="871" t="str">
        <f>IF(VLOOKUP(A107,'Revitalisation-Revitalisierung'!$A$4:$AA$275,27,FALSE)="","",VLOOKUP(A107,'Revitalisation-Revitalisierung'!$A$4:$AA$275,27,FALSE))</f>
        <v>a</v>
      </c>
    </row>
    <row r="108" spans="1:75" ht="104.45" customHeight="1" x14ac:dyDescent="0.25">
      <c r="A108" s="935">
        <v>130</v>
      </c>
      <c r="B108" s="856">
        <f>IF(VLOOKUP(A108,'Données de base - Grunddaten'!$A$2:$M$297,2,FALSE)="","",VLOOKUP(A108,'Données de base - Grunddaten'!$A$2:$M$297,2,FALSE))</f>
        <v>1</v>
      </c>
      <c r="C108" s="857" t="str">
        <f>IF(VLOOKUP(A108,'Données de base - Grunddaten'!$A$2:$M$297,3,FALSE)="","",VLOOKUP(A108,'Données de base - Grunddaten'!$A$2:$M$297,3,FALSE))</f>
        <v>Salay</v>
      </c>
      <c r="D108" s="857" t="str">
        <f>IF(VLOOKUP(A108,'Données de base - Grunddaten'!$A$2:$M$297,4,FALSE)="","",VLOOKUP(A108,'Données de base - Grunddaten'!$A$2:$M$297,4,FALSE))</f>
        <v>La Borgne de Ferpècle</v>
      </c>
      <c r="E108" s="857" t="str">
        <f>IF(VLOOKUP(A108,'Données de base - Grunddaten'!$A$2:$M$297,5,FALSE)="","",VLOOKUP(A108,'Données de base - Grunddaten'!$A$2:$M$297,5,FALSE))</f>
        <v>VS</v>
      </c>
      <c r="F108" s="857" t="str">
        <f>IF(VLOOKUP(A108,'Données de base - Grunddaten'!$A$2:$M$297,6,FALSE)="","",VLOOKUP(A108,'Données de base - Grunddaten'!$A$2:$M$297,6,FALSE))</f>
        <v>Alpes centrales occidentales</v>
      </c>
      <c r="G108" s="857" t="str">
        <f>IF(VLOOKUP(A108,'Données de base - Grunddaten'!$A$2:$M$297,7,FALSE)="","",VLOOKUP(A108,'Données de base - Grunddaten'!$A$2:$M$297,7,FALSE))</f>
        <v>Subalpin sup.</v>
      </c>
      <c r="H108" s="857">
        <f>IF(VLOOKUP(A108,'Données de base - Grunddaten'!$A$2:$M$297,8,FALSE)="","",VLOOKUP(A108,'Données de base - Grunddaten'!$A$2:$M$297,8,FALSE))</f>
        <v>1750</v>
      </c>
      <c r="I108" s="857">
        <f>IF(VLOOKUP(A108,'Données de base - Grunddaten'!$A$2:$M$297,9,FALSE)="","",VLOOKUP(A108,'Données de base - Grunddaten'!$A$2:$M$297,9,FALSE))</f>
        <v>1992</v>
      </c>
      <c r="J108" s="857">
        <f>IF(VLOOKUP(A108,'Données de base - Grunddaten'!$A$2:$M$297,10,FALSE)="","",VLOOKUP(A108,'Données de base - Grunddaten'!$A$2:$M$297,10,FALSE))</f>
        <v>31</v>
      </c>
      <c r="K108" s="857" t="str">
        <f>IF(VLOOKUP(A108,'Données de base - Grunddaten'!$A$2:$M$297,11,FALSE)="","",VLOOKUP(A108,'Données de base - Grunddaten'!$A$2:$M$297,11,FALSE))</f>
        <v>Cours d'eau naturels de l'étage subalpin</v>
      </c>
      <c r="L108" s="857" t="str">
        <f>IF(VLOOKUP(A108,'Données de base - Grunddaten'!$A$2:$M$297,12,FALSE)="","",VLOOKUP(A108,'Données de base - Grunddaten'!$A$2:$M$297,12,FALSE))</f>
        <v>en tresses</v>
      </c>
      <c r="M108" s="858" t="str">
        <f>IF(VLOOKUP(A108,'Données de base - Grunddaten'!$A$2:$M$297,13,FALSE)="","",VLOOKUP(A108,'Données de base - Grunddaten'!$A$2:$M$297,13,FALSE))</f>
        <v>en tresses</v>
      </c>
      <c r="N108" s="872" t="str">
        <f>IF(VLOOKUP(A108,'Charriage - Geschiebehaushalt'!$A$4:$R$275,5,FALSE)="","",VLOOKUP(A108,'Charriage - Geschiebehaushalt'!$A$4:$R$275,5,FALSE))</f>
        <v>pertinent</v>
      </c>
      <c r="O108" s="881" t="str">
        <f>IF(VLOOKUP(A108,'Charriage - Geschiebehaushalt'!$A$4:$R$275,6,FALSE)="","",VLOOKUP(A108,'Charriage - Geschiebehaushalt'!$A$4:$R$275,6,FALSE))</f>
        <v>non documenté</v>
      </c>
      <c r="P108" s="874" t="str">
        <f>IF(VLOOKUP(A108,'Charriage - Geschiebehaushalt'!$A$4:$R$275,7,FALSE)="","",VLOOKUP(A108,'Charriage - Geschiebehaushalt'!$A$4:$R$275,7,FALSE))</f>
        <v/>
      </c>
      <c r="Q108" s="874" t="str">
        <f>IF(VLOOKUP(A108,'Charriage - Geschiebehaushalt'!$A$4:$R$275,8,FALSE)="","",VLOOKUP(A108,'Charriage - Geschiebehaushalt'!$A$4:$R$275,8,FALSE))</f>
        <v>non documenté</v>
      </c>
      <c r="R108" s="875">
        <f>IF(VLOOKUP(A108,'Charriage - Geschiebehaushalt'!$A$4:$R$275,9,FALSE)="","",VLOOKUP(A108,'Charriage - Geschiebehaushalt'!$A$4:$R$275,9,FALSE))</f>
        <v>0</v>
      </c>
      <c r="S108" s="876" t="str">
        <f>IF(VLOOKUP(A108,'Charriage - Geschiebehaushalt'!$A$4:$R$275,10,FALSE)="","",VLOOKUP(A108,'Charriage - Geschiebehaushalt'!$A$4:$R$275,10,FALSE))</f>
        <v>pas ou faiblement entravé</v>
      </c>
      <c r="T108" s="875">
        <f>IF(VLOOKUP(A108,'Charriage - Geschiebehaushalt'!$A$4:$R$275,11,FALSE)="","",VLOOKUP(A108,'Charriage - Geschiebehaushalt'!$A$4:$R$275,11,FALSE))</f>
        <v>0.37811486656999999</v>
      </c>
      <c r="U108" s="895" t="str">
        <f>IF(VLOOKUP(A108,'Charriage - Geschiebehaushalt'!$A$4:$R$275,12,FALSE)="","",VLOOKUP(A108,'Charriage - Geschiebehaushalt'!$A$4:$R$275,12,FALSE))</f>
        <v>déficit non apparent en charriage ou en remobilisation des sédiments</v>
      </c>
      <c r="V108" s="878" t="str">
        <f>IF(VLOOKUP(A108,'Charriage - Geschiebehaushalt'!$A$4:$R$275,13,FALSE)="","",VLOOKUP(A108,'Charriage - Geschiebehaushalt'!$A$4:$R$275,13,FALSE))</f>
        <v/>
      </c>
      <c r="W108" s="878" t="str">
        <f>IF(VLOOKUP(A108,'Charriage - Geschiebehaushalt'!$A$4:$R$275,14,FALSE)="","",VLOOKUP(A108,'Charriage - Geschiebehaushalt'!$A$4:$R$275,14,FALSE))</f>
        <v/>
      </c>
      <c r="X108" s="878" t="str">
        <f>IF(VLOOKUP(A108,'Charriage - Geschiebehaushalt'!$A$4:$R$275,15,FALSE)="","",VLOOKUP(A108,'Charriage - Geschiebehaushalt'!$A$4:$R$275,15,FALSE))</f>
        <v/>
      </c>
      <c r="Y108" s="882" t="str">
        <f>IF(VLOOKUP(A108,'Charriage - Geschiebehaushalt'!$A$4:$R$275,16,FALSE)="","",VLOOKUP(A108,'Charriage - Geschiebehaushalt'!$A$4:$R$275,16,FALSE))</f>
        <v/>
      </c>
      <c r="Z108" s="763" t="str">
        <f>IF(VLOOKUP(A108,'Charriage - Geschiebehaushalt'!$A$4:$R$275,17,FALSE)="","",VLOOKUP(A108,'Charriage - Geschiebehaushalt'!$A$4:$R$275,17,FALSE))</f>
        <v>Déficit non apparent en charriage ou en remobilisation des sédiments / kein sichtbares Defizit beim Geschiebehaushalt bzw. bei der Mobilisierung von Geschiebe</v>
      </c>
      <c r="AA108" s="880" t="str">
        <f>IF(VLOOKUP(A108,'Charriage - Geschiebehaushalt'!$A$4:$R$275,18,FALSE)="","",VLOOKUP(A108,'Charriage - Geschiebehaushalt'!$A$4:$R$275,18,FALSE))</f>
        <v>b</v>
      </c>
      <c r="AB108" s="737" t="str">
        <f>IF(VLOOKUP(A108,'Charriage - Geschiebehaushalt'!$A$4:$AC$275,19,FALSE)="","",VLOOKUP(A108,'Charriage - Geschiebehaushalt'!$A$4:$AC$275,19,FALSE))</f>
        <v>atteinte significative</v>
      </c>
      <c r="AC108" s="738" t="str">
        <f>IF(VLOOKUP(A108,'Charriage - Geschiebehaushalt'!$A$4:$AC$275,20,FALSE)="","",VLOOKUP(A108,'Charriage - Geschiebehaushalt'!$A$4:$AC$275,20,FALSE))</f>
        <v>mesure prévue</v>
      </c>
      <c r="AD108" s="789" t="str">
        <f>IF(VLOOKUP(A108,'Charriage - Geschiebehaushalt'!$A$4:$AC$275,21,FALSE)="","",VLOOKUP(A108,'Charriage - Geschiebehaushalt'!$A$4:$AC$275,21,FALSE))</f>
        <v>21-50%</v>
      </c>
      <c r="AE108" s="772" t="str">
        <f>IF(VLOOKUP(A108,'Charriage - Geschiebehaushalt'!$A$4:$AC$275,22,FALSE)="","",VLOOKUP(A108,'Charriage - Geschiebehaushalt'!$A$4:$AC$275,22,FALSE))</f>
        <v>21-50%</v>
      </c>
      <c r="AF108" s="787" t="str">
        <f>IF(VLOOKUP(A108,'Charriage - Geschiebehaushalt'!$A$4:$AC$275,23,FALSE)="","",VLOOKUP(A108,'Charriage - Geschiebehaushalt'!$A$4:$AC$275,23,FALSE))</f>
        <v>c</v>
      </c>
      <c r="AG108" s="765" t="str">
        <f>IF(VLOOKUP(A108,'Charriage - Geschiebehaushalt'!$A$4:$AC$275,24,FALSE)="","",VLOOKUP(A108,'Charriage - Geschiebehaushalt'!$A$4:$AC$275,24,FALSE))</f>
        <v>Quantité de sédiments adéquate, mais il y a un problème de débit de restitution. Assainissement du captage prévu.</v>
      </c>
      <c r="AH108" s="764" t="str">
        <f>IF(VLOOKUP(A108,'Charriage - Geschiebehaushalt'!$A$4:$AC$275,25,FALSE)="","",VLOOKUP(A108,'Charriage - Geschiebehaushalt'!$A$4:$AC$275,25,FALSE))</f>
        <v/>
      </c>
      <c r="AI108" s="435" t="str">
        <f>IF(VLOOKUP(A108,'Charriage - Geschiebehaushalt'!$A$4:$AC$275,26,FALSE)="","",VLOOKUP(A108,'Charriage - Geschiebehaushalt'!$A$4:$AC$275,26,FALSE))</f>
        <v/>
      </c>
      <c r="AJ108" s="436" t="str">
        <f>IF(VLOOKUP(A108,'Charriage - Geschiebehaushalt'!$A$4:$AC$275,27,FALSE)="","",VLOOKUP(A108,'Charriage - Geschiebehaushalt'!$A$4:$AC$275,27,FALSE))</f>
        <v/>
      </c>
      <c r="AK108" s="814" t="str">
        <f>IF(VLOOKUP(A108,'Charriage - Geschiebehaushalt'!$A$4:$AC$275,28,FALSE)="","",VLOOKUP(A108,'Charriage - Geschiebehaushalt'!$A$4:$AC$275,28,FALSE))</f>
        <v>21-50%</v>
      </c>
      <c r="AL108" s="1285" t="str">
        <f>IF(VLOOKUP(A108,'Charriage - Geschiebehaushalt'!$A$4:$AD$275,30,FALSE)="","",VLOOKUP(A108,'Charriage - Geschiebehaushalt'!$A$4:$AD$275,30,FALSE))</f>
        <v>a</v>
      </c>
      <c r="AM108" s="1279" t="str">
        <f>IF(VLOOKUP(A108,'Débit - Abfluss'!$A$4:$K$275,5,FALSE)="","",VLOOKUP(A108,'Débit - Abfluss'!$A$4:$M$275,5,FALSE))</f>
        <v>0-20%</v>
      </c>
      <c r="AN108" s="868" t="str">
        <f>IF(VLOOKUP(A108,'Débit - Abfluss'!$A$4:$K$275,6,FALSE)="","",VLOOKUP(A108,'Débit - Abfluss'!$A$4:$M$275,6,FALSE))</f>
        <v/>
      </c>
      <c r="AO108" s="869" t="str">
        <f>IF(VLOOKUP(A108,'Débit - Abfluss'!$A$4:$K$275,7,FALSE)="","",VLOOKUP(A108,'Débit - Abfluss'!$A$4:$M$275,7,FALSE))</f>
        <v/>
      </c>
      <c r="AP108" s="766" t="str">
        <f>IF(VLOOKUP(A108,'Débit - Abfluss'!$A$4:$K$275,8,FALSE)="","",VLOOKUP(A108,'Débit - Abfluss'!$A$4:$M$275,8,FALSE))</f>
        <v>0-20%</v>
      </c>
      <c r="AQ108" s="678" t="str">
        <f>IF(VLOOKUP(A108,'Débit - Abfluss'!$A$4:$K$275,9,FALSE)="","",VLOOKUP(A108,'Débit - Abfluss'!$A$4:$M$275,9,FALSE))</f>
        <v>Fehlende Angaben</v>
      </c>
      <c r="AR108" s="767" t="str">
        <f>IF(VLOOKUP(A108,'Débit - Abfluss'!$A$4:$K$275,10,FALSE)="","",VLOOKUP(A108,'Débit - Abfluss'!$A$4:$M$275,10,FALSE))</f>
        <v>0-20%</v>
      </c>
      <c r="AS108" s="767" t="str">
        <f>IF(VLOOKUP(A108,'Débit - Abfluss'!$A$4:$K$275,11,FALSE)="","",VLOOKUP(A108,'Débit - Abfluss'!$A$4:$M$275,11,FALSE))</f>
        <v/>
      </c>
      <c r="AT108" s="778" t="str">
        <f>IF(VLOOKUP(A108,'Débit - Abfluss'!$A$4:$Q$275,12,FALSE)="","",VLOOKUP(A108,'Débit - Abfluss'!$A$4:$Q$275,12,FALSE))</f>
        <v/>
      </c>
      <c r="AU108" s="779" t="str">
        <f>IF(VLOOKUP(A108,'Débit - Abfluss'!$A$4:$Q$275,13,FALSE)="","",VLOOKUP(A108,'Débit - Abfluss'!$A$4:$Q$275,13,FALSE))</f>
        <v/>
      </c>
      <c r="AV108" s="746" t="str">
        <f>IF(VLOOKUP(A108,'Débit - Abfluss'!$A$4:$Q$275,14,FALSE)="","",VLOOKUP(A108,'Débit - Abfluss'!$A$4:$Q$275,14,FALSE))</f>
        <v>VS-624.1</v>
      </c>
      <c r="AW108" s="768" t="str">
        <f>IF(VLOOKUP(A108,'Débit - Abfluss'!$A$4:$Q$275,15,FALSE)="","",VLOOKUP(A108,'Débit - Abfluss'!$A$4:$Q$275,15,FALSE))</f>
        <v>Fionnay (Dixence)</v>
      </c>
      <c r="AX108" s="679" t="str">
        <f>IF(VLOOKUP(A108,'Débit - Abfluss'!$A$4:$Q$275,16,FALSE)="","",VLOOKUP(A108,'Débit - Abfluss'!$A$4:$Q$275,16,FALSE))</f>
        <v/>
      </c>
      <c r="AY108" s="769" t="str">
        <f>IF(VLOOKUP(A108,'Débit - Abfluss'!$A$4:$Q$275,17,FALSE)="","",VLOOKUP(A108,'Débit - Abfluss'!$A$4:$Q$275,17,FALSE))</f>
        <v>0-20%</v>
      </c>
      <c r="AZ108" s="749" t="str">
        <f>IF(VLOOKUP(A108,'Eclusée - Schwall-Sunk'!$A$2:$F$273,5,FALSE)="","",VLOOKUP(A108,'Eclusée - Schwall-Sunk'!$A$2:$F$273,5,FALSE))</f>
        <v>force hydraulique</v>
      </c>
      <c r="BA108" s="750" t="str">
        <f>IF(VLOOKUP(A108,'Eclusée - Schwall-Sunk'!$A$2:$F$273,6,FALSE)="","",VLOOKUP(A108,'Eclusée - Schwall-Sunk'!$A$2:$F$273,6,FALSE))</f>
        <v>Non affecté / nicht betroffen</v>
      </c>
      <c r="BB108" s="751">
        <f>IF(VLOOKUP(A108,'Revitalisation-Revitalisierung'!$A$4:$Z$275,5,FALSE)="","",VLOOKUP(A108,'Revitalisation-Revitalisierung'!$A$4:$Z$275,5,FALSE))</f>
        <v>-5.4545454545454541</v>
      </c>
      <c r="BC108" s="752">
        <f>IF(VLOOKUP(A108,'Revitalisation-Revitalisierung'!$A$4:$Z$275,6,FALSE)="","",VLOOKUP(A108,'Revitalisation-Revitalisierung'!$A$4:$Z$275,6,FALSE))</f>
        <v>0</v>
      </c>
      <c r="BD108" s="752">
        <f>IF(VLOOKUP(A108,'Revitalisation-Revitalisierung'!$A$4:$Z$275,7,FALSE)="","",VLOOKUP(A108,'Revitalisation-Revitalisierung'!$A$4:$Z$275,7,FALSE))</f>
        <v>5.4545454545454541</v>
      </c>
      <c r="BE108" s="753" t="str">
        <f>IF(VLOOKUP(A108,'Revitalisation-Revitalisierung'!$A$4:$Z$275,8,FALSE)="","",VLOOKUP(A108,'Revitalisation-Revitalisierung'!$A$4:$Z$275,8,FALSE))</f>
        <v>non nécessaire</v>
      </c>
      <c r="BF108" s="754" t="str">
        <f>IF(VLOOKUP(A108,'Revitalisation-Revitalisierung'!$A$4:$Z$275,9,FALSE)="","",VLOOKUP(A108,'Revitalisation-Revitalisierung'!$A$4:$Z$275,9,FALSE))</f>
        <v/>
      </c>
      <c r="BG108" s="754" t="str">
        <f>IF(VLOOKUP(A108,'Revitalisation-Revitalisierung'!$A$4:$Z$275,10,FALSE)="","",VLOOKUP(A108,'Revitalisation-Revitalisierung'!$A$4:$Z$275,10,FALSE))</f>
        <v>K1</v>
      </c>
      <c r="BH108" s="755" t="str">
        <f>IF(VLOOKUP(A108,'Revitalisation-Revitalisierung'!$A$4:$Z$275,11,FALSE)="","",VLOOKUP(A108,'Revitalisation-Revitalisierung'!$A$4:$Z$275,11,FALSE))</f>
        <v/>
      </c>
      <c r="BI108" s="756" t="str">
        <f>IF(VLOOKUP(A108,'Revitalisation-Revitalisierung'!$A$4:$Z$275,12,FALSE)="","",VLOOKUP(A108,'Revitalisation-Revitalisierung'!$A$4:$Z$275,12,FALSE))</f>
        <v/>
      </c>
      <c r="BJ108" s="788" t="str">
        <f>IF(VLOOKUP(A108,'Revitalisation-Revitalisierung'!$A$4:$Z$275,13,FALSE)="","",VLOOKUP(A108,'Revitalisation-Revitalisierung'!$A$4:$Z$275,13,FALSE))</f>
        <v>Non nécessaire / nicht nötig</v>
      </c>
      <c r="BK108" s="870" t="str">
        <f>IF(VLOOKUP(A108,'Revitalisation-Revitalisierung'!$A$4:$Z$275,14,FALSE)="","",VLOOKUP(A108,'Revitalisation-Revitalisierung'!$A$4:$Z$275,14,FALSE))</f>
        <v>b</v>
      </c>
      <c r="BL108" s="758" t="str">
        <f>IF(VLOOKUP(A108,'Revitalisation-Revitalisierung'!$A$4:$Z$275,15,FALSE)="","",VLOOKUP(A108,'Revitalisation-Revitalisierung'!$A$4:$Z$275,15,FALSE))</f>
        <v>élevé</v>
      </c>
      <c r="BM108" s="759" t="str">
        <f>IF(VLOOKUP(A108,'Revitalisation-Revitalisierung'!$A$4:$Z$275,16,FALSE)="","",VLOOKUP(A108,'Revitalisation-Revitalisierung'!$A$4:$Z$275,16,FALSE))</f>
        <v>moyen</v>
      </c>
      <c r="BN108" s="759" t="str">
        <f>IF(VLOOKUP(A108,'Revitalisation-Revitalisierung'!$A$4:$Z$275,17,FALSE)="","",VLOOKUP(A108,'Revitalisation-Revitalisierung'!$A$4:$Z$275,17,FALSE))</f>
        <v>pas de mesure</v>
      </c>
      <c r="BO108" s="760" t="str">
        <f>IF(VLOOKUP(A108,'Revitalisation-Revitalisierung'!$A$4:$Z$275,18,FALSE)="","",VLOOKUP(A108,'Revitalisation-Revitalisierung'!$A$4:$Z$275,18,FALSE))</f>
        <v>Partiellement nécessaire, facile / teilweise nötig, einfach</v>
      </c>
      <c r="BP108" s="761" t="str">
        <f>IF(VLOOKUP(A108,'Revitalisation-Revitalisierung'!$A$4:$Z$275,19,FALSE)="","",VLOOKUP(A108,'Revitalisation-Revitalisierung'!$A$4:$Z$275,19,FALSE))</f>
        <v>Partiellement nécessaire, facile / teilweise nötig, einfach</v>
      </c>
      <c r="BQ108" s="759" t="str">
        <f>IF(VLOOKUP(A108,'Revitalisation-Revitalisierung'!$A$4:$Z$275,20,FALSE)="","",VLOOKUP(A108,'Revitalisation-Revitalisierung'!$A$4:$Z$275,20,FALSE))</f>
        <v>c</v>
      </c>
      <c r="BR108" s="759" t="str">
        <f>IF(VLOOKUP(A108,'Revitalisation-Revitalisierung'!$A$4:$Z$275,21,FALSE)="","",VLOOKUP(A108,'Revitalisation-Revitalisierung'!$A$4:$Z$275,21,FALSE))</f>
        <v/>
      </c>
      <c r="BS108" s="762" t="str">
        <f>IF(VLOOKUP(A108,'Revitalisation-Revitalisierung'!$A$4:$Z$275,22,FALSE)="","",VLOOKUP(A108,'Revitalisation-Revitalisierung'!$A$4:$Z$275,22,FALSE))</f>
        <v/>
      </c>
      <c r="BT108" s="700" t="str">
        <f>IF(VLOOKUP(A108,'Revitalisation-Revitalisierung'!$A$4:$Z$275,23,FALSE)="","",VLOOKUP(A108,'Revitalisation-Revitalisierung'!$A$4:$Z$275,23,FALSE))</f>
        <v/>
      </c>
      <c r="BU108" s="699" t="str">
        <f>IF(VLOOKUP(A108,'Revitalisation-Revitalisierung'!$A$4:$Z$275,24,FALSE)="","",VLOOKUP(A108,'Revitalisation-Revitalisierung'!$A$4:$Z$275,24,FALSE))</f>
        <v/>
      </c>
      <c r="BV108" s="761" t="str">
        <f>IF(VLOOKUP(A108,'Revitalisation-Revitalisierung'!$A$4:$Z$275,25,FALSE)="","",VLOOKUP(A108,'Revitalisation-Revitalisierung'!$A$4:$Z$275,25,FALSE))</f>
        <v>Partiellement nécessaire, facile / teilweise nötig, einfach</v>
      </c>
      <c r="BW108" s="871" t="str">
        <f>IF(VLOOKUP(A108,'Revitalisation-Revitalisierung'!$A$4:$AA$275,27,FALSE)="","",VLOOKUP(A108,'Revitalisation-Revitalisierung'!$A$4:$AA$275,27,FALSE))</f>
        <v>a</v>
      </c>
    </row>
    <row r="109" spans="1:75" ht="94.15" customHeight="1" x14ac:dyDescent="0.25">
      <c r="A109" s="935">
        <v>131</v>
      </c>
      <c r="B109" s="856">
        <f>IF(VLOOKUP(A109,'Données de base - Grunddaten'!$A$2:$M$297,2,FALSE)="","",VLOOKUP(A109,'Données de base - Grunddaten'!$A$2:$M$297,2,FALSE))</f>
        <v>1</v>
      </c>
      <c r="C109" s="857" t="str">
        <f>IF(VLOOKUP(A109,'Données de base - Grunddaten'!$A$2:$M$297,3,FALSE)="","",VLOOKUP(A109,'Données de base - Grunddaten'!$A$2:$M$297,3,FALSE))</f>
        <v>Ferpècle</v>
      </c>
      <c r="D109" s="857" t="str">
        <f>IF(VLOOKUP(A109,'Données de base - Grunddaten'!$A$2:$M$297,4,FALSE)="","",VLOOKUP(A109,'Données de base - Grunddaten'!$A$2:$M$297,4,FALSE))</f>
        <v>La Borgne de Ferpècle</v>
      </c>
      <c r="E109" s="857" t="str">
        <f>IF(VLOOKUP(A109,'Données de base - Grunddaten'!$A$2:$M$297,5,FALSE)="","",VLOOKUP(A109,'Données de base - Grunddaten'!$A$2:$M$297,5,FALSE))</f>
        <v>VS</v>
      </c>
      <c r="F109" s="857" t="str">
        <f>IF(VLOOKUP(A109,'Données de base - Grunddaten'!$A$2:$M$297,6,FALSE)="","",VLOOKUP(A109,'Données de base - Grunddaten'!$A$2:$M$297,6,FALSE))</f>
        <v>Alpes centrales occidentales</v>
      </c>
      <c r="G109" s="857" t="str">
        <f>IF(VLOOKUP(A109,'Données de base - Grunddaten'!$A$2:$M$297,7,FALSE)="","",VLOOKUP(A109,'Données de base - Grunddaten'!$A$2:$M$297,7,FALSE))</f>
        <v>Alpin</v>
      </c>
      <c r="H109" s="857">
        <f>IF(VLOOKUP(A109,'Données de base - Grunddaten'!$A$2:$M$297,8,FALSE)="","",VLOOKUP(A109,'Données de base - Grunddaten'!$A$2:$M$297,8,FALSE))</f>
        <v>1960</v>
      </c>
      <c r="I109" s="857">
        <f>IF(VLOOKUP(A109,'Données de base - Grunddaten'!$A$2:$M$297,9,FALSE)="","",VLOOKUP(A109,'Données de base - Grunddaten'!$A$2:$M$297,9,FALSE))</f>
        <v>1992</v>
      </c>
      <c r="J109" s="857">
        <f>IF(VLOOKUP(A109,'Données de base - Grunddaten'!$A$2:$M$297,10,FALSE)="","",VLOOKUP(A109,'Données de base - Grunddaten'!$A$2:$M$297,10,FALSE))</f>
        <v>31</v>
      </c>
      <c r="K109" s="857" t="str">
        <f>IF(VLOOKUP(A109,'Données de base - Grunddaten'!$A$2:$M$297,11,FALSE)="","",VLOOKUP(A109,'Données de base - Grunddaten'!$A$2:$M$297,11,FALSE))</f>
        <v>Cours d'eau naturels de l'étage subalpin</v>
      </c>
      <c r="L109" s="857" t="str">
        <f>IF(VLOOKUP(A109,'Données de base - Grunddaten'!$A$2:$M$297,12,FALSE)="","",VLOOKUP(A109,'Données de base - Grunddaten'!$A$2:$M$297,12,FALSE))</f>
        <v>glaciers</v>
      </c>
      <c r="M109" s="858" t="str">
        <f>IF(VLOOKUP(A109,'Données de base - Grunddaten'!$A$2:$M$297,13,FALSE)="","",VLOOKUP(A109,'Données de base - Grunddaten'!$A$2:$M$297,13,FALSE))</f>
        <v>en tresses</v>
      </c>
      <c r="N109" s="872" t="str">
        <f>IF(VLOOKUP(A109,'Charriage - Geschiebehaushalt'!$A$4:$R$275,5,FALSE)="","",VLOOKUP(A109,'Charriage - Geschiebehaushalt'!$A$4:$R$275,5,FALSE))</f>
        <v>pertinent</v>
      </c>
      <c r="O109" s="881" t="str">
        <f>IF(VLOOKUP(A109,'Charriage - Geschiebehaushalt'!$A$4:$R$275,6,FALSE)="","",VLOOKUP(A109,'Charriage - Geschiebehaushalt'!$A$4:$R$275,6,FALSE))</f>
        <v>non documenté</v>
      </c>
      <c r="P109" s="874" t="str">
        <f>IF(VLOOKUP(A109,'Charriage - Geschiebehaushalt'!$A$4:$R$275,7,FALSE)="","",VLOOKUP(A109,'Charriage - Geschiebehaushalt'!$A$4:$R$275,7,FALSE))</f>
        <v/>
      </c>
      <c r="Q109" s="874" t="str">
        <f>IF(VLOOKUP(A109,'Charriage - Geschiebehaushalt'!$A$4:$R$275,8,FALSE)="","",VLOOKUP(A109,'Charriage - Geschiebehaushalt'!$A$4:$R$275,8,FALSE))</f>
        <v>non documenté</v>
      </c>
      <c r="R109" s="875">
        <f>IF(VLOOKUP(A109,'Charriage - Geschiebehaushalt'!$A$4:$R$275,9,FALSE)="","",VLOOKUP(A109,'Charriage - Geschiebehaushalt'!$A$4:$R$275,9,FALSE))</f>
        <v>0</v>
      </c>
      <c r="S109" s="876" t="str">
        <f>IF(VLOOKUP(A109,'Charriage - Geschiebehaushalt'!$A$4:$R$275,10,FALSE)="","",VLOOKUP(A109,'Charriage - Geschiebehaushalt'!$A$4:$R$275,10,FALSE))</f>
        <v>pas ou faiblement entravé</v>
      </c>
      <c r="T109" s="875">
        <f>IF(VLOOKUP(A109,'Charriage - Geschiebehaushalt'!$A$4:$R$275,11,FALSE)="","",VLOOKUP(A109,'Charriage - Geschiebehaushalt'!$A$4:$R$275,11,FALSE))</f>
        <v>0.40858463711999998</v>
      </c>
      <c r="U109" s="895" t="str">
        <f>IF(VLOOKUP(A109,'Charriage - Geschiebehaushalt'!$A$4:$R$275,12,FALSE)="","",VLOOKUP(A109,'Charriage - Geschiebehaushalt'!$A$4:$R$275,12,FALSE))</f>
        <v>déficit non apparent en charriage ou en remobilisation des sédiments</v>
      </c>
      <c r="V109" s="877" t="str">
        <f>IF(VLOOKUP(A109,'Charriage - Geschiebehaushalt'!$A$4:$R$275,13,FALSE)="","",VLOOKUP(A109,'Charriage - Geschiebehaushalt'!$A$4:$R$275,13,FALSE))</f>
        <v/>
      </c>
      <c r="W109" s="877" t="str">
        <f>IF(VLOOKUP(A109,'Charriage - Geschiebehaushalt'!$A$4:$R$275,14,FALSE)="","",VLOOKUP(A109,'Charriage - Geschiebehaushalt'!$A$4:$R$275,14,FALSE))</f>
        <v/>
      </c>
      <c r="X109" s="877" t="str">
        <f>IF(VLOOKUP(A109,'Charriage - Geschiebehaushalt'!$A$4:$R$275,15,FALSE)="","",VLOOKUP(A109,'Charriage - Geschiebehaushalt'!$A$4:$R$275,15,FALSE))</f>
        <v/>
      </c>
      <c r="Y109" s="879" t="str">
        <f>IF(VLOOKUP(A109,'Charriage - Geschiebehaushalt'!$A$4:$R$275,16,FALSE)="","",VLOOKUP(A109,'Charriage - Geschiebehaushalt'!$A$4:$R$275,16,FALSE))</f>
        <v/>
      </c>
      <c r="Z109" s="763" t="str">
        <f>IF(VLOOKUP(A109,'Charriage - Geschiebehaushalt'!$A$4:$R$275,17,FALSE)="","",VLOOKUP(A109,'Charriage - Geschiebehaushalt'!$A$4:$R$275,17,FALSE))</f>
        <v>Déficit non apparent en charriage ou en remobilisation des sédiments / kein sichtbares Defizit beim Geschiebehaushalt bzw. bei der Mobilisierung von Geschiebe</v>
      </c>
      <c r="AA109" s="880" t="str">
        <f>IF(VLOOKUP(A109,'Charriage - Geschiebehaushalt'!$A$4:$R$275,18,FALSE)="","",VLOOKUP(A109,'Charriage - Geschiebehaushalt'!$A$4:$R$275,18,FALSE))</f>
        <v>b</v>
      </c>
      <c r="AB109" s="737" t="str">
        <f>IF(VLOOKUP(A109,'Charriage - Geschiebehaushalt'!$A$4:$AC$275,19,FALSE)="","",VLOOKUP(A109,'Charriage - Geschiebehaushalt'!$A$4:$AC$275,19,FALSE))</f>
        <v>atteinte significative</v>
      </c>
      <c r="AC109" s="738" t="str">
        <f>IF(VLOOKUP(A109,'Charriage - Geschiebehaushalt'!$A$4:$AC$275,20,FALSE)="","",VLOOKUP(A109,'Charriage - Geschiebehaushalt'!$A$4:$AC$275,20,FALSE))</f>
        <v>mesure prévue</v>
      </c>
      <c r="AD109" s="789" t="str">
        <f>IF(VLOOKUP(A109,'Charriage - Geschiebehaushalt'!$A$4:$AC$275,21,FALSE)="","",VLOOKUP(A109,'Charriage - Geschiebehaushalt'!$A$4:$AC$275,21,FALSE))</f>
        <v>21-50%</v>
      </c>
      <c r="AE109" s="772" t="str">
        <f>IF(VLOOKUP(A109,'Charriage - Geschiebehaushalt'!$A$4:$AC$275,22,FALSE)="","",VLOOKUP(A109,'Charriage - Geschiebehaushalt'!$A$4:$AC$275,22,FALSE))</f>
        <v>21-50%</v>
      </c>
      <c r="AF109" s="787" t="str">
        <f>IF(VLOOKUP(A109,'Charriage - Geschiebehaushalt'!$A$4:$AC$275,23,FALSE)="","",VLOOKUP(A109,'Charriage - Geschiebehaushalt'!$A$4:$AC$275,23,FALSE))</f>
        <v>c</v>
      </c>
      <c r="AG109" s="765" t="str">
        <f>IF(VLOOKUP(A109,'Charriage - Geschiebehaushalt'!$A$4:$AC$275,24,FALSE)="","",VLOOKUP(A109,'Charriage - Geschiebehaushalt'!$A$4:$AC$275,24,FALSE))</f>
        <v>Quantité de sédiments adéquate, mais il y a un problème de débit de restitution. Assainissement du captage prévu.</v>
      </c>
      <c r="AH109" s="764" t="str">
        <f>IF(VLOOKUP(A109,'Charriage - Geschiebehaushalt'!$A$4:$AC$275,25,FALSE)="","",VLOOKUP(A109,'Charriage - Geschiebehaushalt'!$A$4:$AC$275,25,FALSE))</f>
        <v/>
      </c>
      <c r="AI109" s="435" t="str">
        <f>IF(VLOOKUP(A109,'Charriage - Geschiebehaushalt'!$A$4:$AC$275,26,FALSE)="","",VLOOKUP(A109,'Charriage - Geschiebehaushalt'!$A$4:$AC$275,26,FALSE))</f>
        <v/>
      </c>
      <c r="AJ109" s="436" t="str">
        <f>IF(VLOOKUP(A109,'Charriage - Geschiebehaushalt'!$A$4:$AC$275,27,FALSE)="","",VLOOKUP(A109,'Charriage - Geschiebehaushalt'!$A$4:$AC$275,27,FALSE))</f>
        <v/>
      </c>
      <c r="AK109" s="814" t="str">
        <f>IF(VLOOKUP(A109,'Charriage - Geschiebehaushalt'!$A$4:$AC$275,28,FALSE)="","",VLOOKUP(A109,'Charriage - Geschiebehaushalt'!$A$4:$AC$275,28,FALSE))</f>
        <v>21-50%</v>
      </c>
      <c r="AL109" s="1285" t="str">
        <f>IF(VLOOKUP(A109,'Charriage - Geschiebehaushalt'!$A$4:$AD$275,30,FALSE)="","",VLOOKUP(A109,'Charriage - Geschiebehaushalt'!$A$4:$AD$275,30,FALSE))</f>
        <v>a</v>
      </c>
      <c r="AM109" s="1279" t="str">
        <f>IF(VLOOKUP(A109,'Débit - Abfluss'!$A$4:$K$275,5,FALSE)="","",VLOOKUP(A109,'Débit - Abfluss'!$A$4:$M$275,5,FALSE))</f>
        <v>0-20%</v>
      </c>
      <c r="AN109" s="868" t="str">
        <f>IF(VLOOKUP(A109,'Débit - Abfluss'!$A$4:$K$275,6,FALSE)="","",VLOOKUP(A109,'Débit - Abfluss'!$A$4:$M$275,6,FALSE))</f>
        <v/>
      </c>
      <c r="AO109" s="869" t="str">
        <f>IF(VLOOKUP(A109,'Débit - Abfluss'!$A$4:$K$275,7,FALSE)="","",VLOOKUP(A109,'Débit - Abfluss'!$A$4:$M$275,7,FALSE))</f>
        <v/>
      </c>
      <c r="AP109" s="766" t="str">
        <f>IF(VLOOKUP(A109,'Débit - Abfluss'!$A$4:$K$275,8,FALSE)="","",VLOOKUP(A109,'Débit - Abfluss'!$A$4:$M$275,8,FALSE))</f>
        <v>0-20%</v>
      </c>
      <c r="AQ109" s="678" t="str">
        <f>IF(VLOOKUP(A109,'Débit - Abfluss'!$A$4:$K$275,9,FALSE)="","",VLOOKUP(A109,'Débit - Abfluss'!$A$4:$M$275,9,FALSE))</f>
        <v>Fehlende Angaben</v>
      </c>
      <c r="AR109" s="767" t="str">
        <f>IF(VLOOKUP(A109,'Débit - Abfluss'!$A$4:$K$275,10,FALSE)="","",VLOOKUP(A109,'Débit - Abfluss'!$A$4:$M$275,10,FALSE))</f>
        <v>0-20%</v>
      </c>
      <c r="AS109" s="767" t="str">
        <f>IF(VLOOKUP(A109,'Débit - Abfluss'!$A$4:$K$275,11,FALSE)="","",VLOOKUP(A109,'Débit - Abfluss'!$A$4:$M$275,11,FALSE))</f>
        <v/>
      </c>
      <c r="AT109" s="778" t="str">
        <f>IF(VLOOKUP(A109,'Débit - Abfluss'!$A$4:$Q$275,12,FALSE)="","",VLOOKUP(A109,'Débit - Abfluss'!$A$4:$Q$275,12,FALSE))</f>
        <v/>
      </c>
      <c r="AU109" s="779" t="str">
        <f>IF(VLOOKUP(A109,'Débit - Abfluss'!$A$4:$Q$275,13,FALSE)="","",VLOOKUP(A109,'Débit - Abfluss'!$A$4:$Q$275,13,FALSE))</f>
        <v/>
      </c>
      <c r="AV109" s="746" t="str">
        <f>IF(VLOOKUP(A109,'Débit - Abfluss'!$A$4:$Q$275,14,FALSE)="","",VLOOKUP(A109,'Débit - Abfluss'!$A$4:$Q$275,14,FALSE))</f>
        <v>VS-627.1
VS-625.1</v>
      </c>
      <c r="AW109" s="768" t="str">
        <f>IF(VLOOKUP(A109,'Débit - Abfluss'!$A$4:$Q$275,15,FALSE)="","",VLOOKUP(A109,'Débit - Abfluss'!$A$4:$Q$275,15,FALSE))</f>
        <v>Fionnay (Dixence)</v>
      </c>
      <c r="AX109" s="679" t="str">
        <f>IF(VLOOKUP(A109,'Débit - Abfluss'!$A$4:$Q$275,16,FALSE)="","",VLOOKUP(A109,'Débit - Abfluss'!$A$4:$Q$275,16,FALSE))</f>
        <v/>
      </c>
      <c r="AY109" s="769" t="str">
        <f>IF(VLOOKUP(A109,'Débit - Abfluss'!$A$4:$Q$275,17,FALSE)="","",VLOOKUP(A109,'Débit - Abfluss'!$A$4:$Q$275,17,FALSE))</f>
        <v>0-20%</v>
      </c>
      <c r="AZ109" s="749" t="str">
        <f>IF(VLOOKUP(A109,'Eclusée - Schwall-Sunk'!$A$2:$F$273,5,FALSE)="","",VLOOKUP(A109,'Eclusée - Schwall-Sunk'!$A$2:$F$273,5,FALSE))</f>
        <v>force hydraulique</v>
      </c>
      <c r="BA109" s="750" t="str">
        <f>IF(VLOOKUP(A109,'Eclusée - Schwall-Sunk'!$A$2:$F$273,6,FALSE)="","",VLOOKUP(A109,'Eclusée - Schwall-Sunk'!$A$2:$F$273,6,FALSE))</f>
        <v>Non affecté / nicht betroffen</v>
      </c>
      <c r="BB109" s="751">
        <f>IF(VLOOKUP(A109,'Revitalisation-Revitalisierung'!$A$4:$Z$275,5,FALSE)="","",VLOOKUP(A109,'Revitalisation-Revitalisierung'!$A$4:$Z$275,5,FALSE))</f>
        <v>-1.3636363636363635</v>
      </c>
      <c r="BC109" s="752">
        <f>IF(VLOOKUP(A109,'Revitalisation-Revitalisierung'!$A$4:$Z$275,6,FALSE)="","",VLOOKUP(A109,'Revitalisation-Revitalisierung'!$A$4:$Z$275,6,FALSE))</f>
        <v>0</v>
      </c>
      <c r="BD109" s="752">
        <f>IF(VLOOKUP(A109,'Revitalisation-Revitalisierung'!$A$4:$Z$275,7,FALSE)="","",VLOOKUP(A109,'Revitalisation-Revitalisierung'!$A$4:$Z$275,7,FALSE))</f>
        <v>1.3636363636363635</v>
      </c>
      <c r="BE109" s="753" t="str">
        <f>IF(VLOOKUP(A109,'Revitalisation-Revitalisierung'!$A$4:$Z$275,8,FALSE)="","",VLOOKUP(A109,'Revitalisation-Revitalisierung'!$A$4:$Z$275,8,FALSE))</f>
        <v>non nécessaire</v>
      </c>
      <c r="BF109" s="754" t="str">
        <f>IF(VLOOKUP(A109,'Revitalisation-Revitalisierung'!$A$4:$Z$275,9,FALSE)="","",VLOOKUP(A109,'Revitalisation-Revitalisierung'!$A$4:$Z$275,9,FALSE))</f>
        <v/>
      </c>
      <c r="BG109" s="754" t="str">
        <f>IF(VLOOKUP(A109,'Revitalisation-Revitalisierung'!$A$4:$Z$275,10,FALSE)="","",VLOOKUP(A109,'Revitalisation-Revitalisierung'!$A$4:$Z$275,10,FALSE))</f>
        <v>K1</v>
      </c>
      <c r="BH109" s="755" t="str">
        <f>IF(VLOOKUP(A109,'Revitalisation-Revitalisierung'!$A$4:$Z$275,11,FALSE)="","",VLOOKUP(A109,'Revitalisation-Revitalisierung'!$A$4:$Z$275,11,FALSE))</f>
        <v/>
      </c>
      <c r="BI109" s="756" t="str">
        <f>IF(VLOOKUP(A109,'Revitalisation-Revitalisierung'!$A$4:$Z$275,12,FALSE)="","",VLOOKUP(A109,'Revitalisation-Revitalisierung'!$A$4:$Z$275,12,FALSE))</f>
        <v/>
      </c>
      <c r="BJ109" s="788" t="str">
        <f>IF(VLOOKUP(A109,'Revitalisation-Revitalisierung'!$A$4:$Z$275,13,FALSE)="","",VLOOKUP(A109,'Revitalisation-Revitalisierung'!$A$4:$Z$275,13,FALSE))</f>
        <v>Non nécessaire / nicht nötig</v>
      </c>
      <c r="BK109" s="870" t="str">
        <f>IF(VLOOKUP(A109,'Revitalisation-Revitalisierung'!$A$4:$Z$275,14,FALSE)="","",VLOOKUP(A109,'Revitalisation-Revitalisierung'!$A$4:$Z$275,14,FALSE))</f>
        <v>b</v>
      </c>
      <c r="BL109" s="758" t="str">
        <f>IF(VLOOKUP(A109,'Revitalisation-Revitalisierung'!$A$4:$Z$275,15,FALSE)="","",VLOOKUP(A109,'Revitalisation-Revitalisierung'!$A$4:$Z$275,15,FALSE))</f>
        <v>élevé</v>
      </c>
      <c r="BM109" s="759" t="str">
        <f>IF(VLOOKUP(A109,'Revitalisation-Revitalisierung'!$A$4:$Z$275,16,FALSE)="","",VLOOKUP(A109,'Revitalisation-Revitalisierung'!$A$4:$Z$275,16,FALSE))</f>
        <v>moyen</v>
      </c>
      <c r="BN109" s="759" t="str">
        <f>IF(VLOOKUP(A109,'Revitalisation-Revitalisierung'!$A$4:$Z$275,17,FALSE)="","",VLOOKUP(A109,'Revitalisation-Revitalisierung'!$A$4:$Z$275,17,FALSE))</f>
        <v>pas de mesure</v>
      </c>
      <c r="BO109" s="760" t="str">
        <f>IF(VLOOKUP(A109,'Revitalisation-Revitalisierung'!$A$4:$Z$275,18,FALSE)="","",VLOOKUP(A109,'Revitalisation-Revitalisierung'!$A$4:$Z$275,18,FALSE))</f>
        <v>Partiellement nécessaire, facile / teilweise nötig, einfach</v>
      </c>
      <c r="BP109" s="761" t="str">
        <f>IF(VLOOKUP(A109,'Revitalisation-Revitalisierung'!$A$4:$Z$275,19,FALSE)="","",VLOOKUP(A109,'Revitalisation-Revitalisierung'!$A$4:$Z$275,19,FALSE))</f>
        <v>Partiellement nécessaire, facile / teilweise nötig, einfach</v>
      </c>
      <c r="BQ109" s="759" t="str">
        <f>IF(VLOOKUP(A109,'Revitalisation-Revitalisierung'!$A$4:$Z$275,20,FALSE)="","",VLOOKUP(A109,'Revitalisation-Revitalisierung'!$A$4:$Z$275,20,FALSE))</f>
        <v>c</v>
      </c>
      <c r="BR109" s="759" t="str">
        <f>IF(VLOOKUP(A109,'Revitalisation-Revitalisierung'!$A$4:$Z$275,21,FALSE)="","",VLOOKUP(A109,'Revitalisation-Revitalisierung'!$A$4:$Z$275,21,FALSE))</f>
        <v>Il y a des seuils</v>
      </c>
      <c r="BS109" s="762" t="str">
        <f>IF(VLOOKUP(A109,'Revitalisation-Revitalisierung'!$A$4:$Z$275,22,FALSE)="","",VLOOKUP(A109,'Revitalisation-Revitalisierung'!$A$4:$Z$275,22,FALSE))</f>
        <v/>
      </c>
      <c r="BT109" s="700" t="str">
        <f>IF(VLOOKUP(A109,'Revitalisation-Revitalisierung'!$A$4:$Z$275,23,FALSE)="","",VLOOKUP(A109,'Revitalisation-Revitalisierung'!$A$4:$Z$275,23,FALSE))</f>
        <v/>
      </c>
      <c r="BU109" s="699" t="str">
        <f>IF(VLOOKUP(A109,'Revitalisation-Revitalisierung'!$A$4:$Z$275,24,FALSE)="","",VLOOKUP(A109,'Revitalisation-Revitalisierung'!$A$4:$Z$275,24,FALSE))</f>
        <v/>
      </c>
      <c r="BV109" s="761" t="str">
        <f>IF(VLOOKUP(A109,'Revitalisation-Revitalisierung'!$A$4:$Z$275,25,FALSE)="","",VLOOKUP(A109,'Revitalisation-Revitalisierung'!$A$4:$Z$275,25,FALSE))</f>
        <v>Partiellement nécessaire, facile / teilweise nötig, einfach</v>
      </c>
      <c r="BW109" s="871" t="str">
        <f>IF(VLOOKUP(A109,'Revitalisation-Revitalisierung'!$A$4:$AA$275,27,FALSE)="","",VLOOKUP(A109,'Revitalisation-Revitalisierung'!$A$4:$AA$275,27,FALSE))</f>
        <v>a</v>
      </c>
    </row>
    <row r="110" spans="1:75" ht="97.15" customHeight="1" x14ac:dyDescent="0.25">
      <c r="A110" s="935">
        <v>132</v>
      </c>
      <c r="B110" s="856">
        <f>IF(VLOOKUP(A110,'Données de base - Grunddaten'!$A$2:$M$297,2,FALSE)="","",VLOOKUP(A110,'Données de base - Grunddaten'!$A$2:$M$297,2,FALSE))</f>
        <v>1</v>
      </c>
      <c r="C110" s="857" t="str">
        <f>IF(VLOOKUP(A110,'Données de base - Grunddaten'!$A$2:$M$297,3,FALSE)="","",VLOOKUP(A110,'Données de base - Grunddaten'!$A$2:$M$297,3,FALSE))</f>
        <v>Derborence</v>
      </c>
      <c r="D110" s="857" t="str">
        <f>IF(VLOOKUP(A110,'Données de base - Grunddaten'!$A$2:$M$297,4,FALSE)="","",VLOOKUP(A110,'Données de base - Grunddaten'!$A$2:$M$297,4,FALSE))</f>
        <v>La Lizerne, Lac de Derborence</v>
      </c>
      <c r="E110" s="857" t="str">
        <f>IF(VLOOKUP(A110,'Données de base - Grunddaten'!$A$2:$M$297,5,FALSE)="","",VLOOKUP(A110,'Données de base - Grunddaten'!$A$2:$M$297,5,FALSE))</f>
        <v>VS</v>
      </c>
      <c r="F110" s="857" t="str">
        <f>IF(VLOOKUP(A110,'Données de base - Grunddaten'!$A$2:$M$297,6,FALSE)="","",VLOOKUP(A110,'Données de base - Grunddaten'!$A$2:$M$297,6,FALSE))</f>
        <v>Alpes centrales occidentales</v>
      </c>
      <c r="G110" s="857" t="str">
        <f>IF(VLOOKUP(A110,'Données de base - Grunddaten'!$A$2:$M$297,7,FALSE)="","",VLOOKUP(A110,'Données de base - Grunddaten'!$A$2:$M$297,7,FALSE))</f>
        <v>Subalpin inf.</v>
      </c>
      <c r="H110" s="857">
        <f>IF(VLOOKUP(A110,'Données de base - Grunddaten'!$A$2:$M$297,8,FALSE)="","",VLOOKUP(A110,'Données de base - Grunddaten'!$A$2:$M$297,8,FALSE))</f>
        <v>1470</v>
      </c>
      <c r="I110" s="857">
        <f>IF(VLOOKUP(A110,'Données de base - Grunddaten'!$A$2:$M$297,9,FALSE)="","",VLOOKUP(A110,'Données de base - Grunddaten'!$A$2:$M$297,9,FALSE))</f>
        <v>1992</v>
      </c>
      <c r="J110" s="857">
        <f>IF(VLOOKUP(A110,'Données de base - Grunddaten'!$A$2:$M$297,10,FALSE)="","",VLOOKUP(A110,'Données de base - Grunddaten'!$A$2:$M$297,10,FALSE))</f>
        <v>31</v>
      </c>
      <c r="K110" s="857" t="str">
        <f>IF(VLOOKUP(A110,'Données de base - Grunddaten'!$A$2:$M$297,11,FALSE)="","",VLOOKUP(A110,'Données de base - Grunddaten'!$A$2:$M$297,11,FALSE))</f>
        <v>Cours d'eau naturels de l'étage subalpin</v>
      </c>
      <c r="L110" s="857" t="str">
        <f>IF(VLOOKUP(A110,'Données de base - Grunddaten'!$A$2:$M$297,12,FALSE)="","",VLOOKUP(A110,'Données de base - Grunddaten'!$A$2:$M$297,12,FALSE))</f>
        <v>en tresses</v>
      </c>
      <c r="M110" s="858" t="str">
        <f>IF(VLOOKUP(A110,'Données de base - Grunddaten'!$A$2:$M$297,13,FALSE)="","",VLOOKUP(A110,'Données de base - Grunddaten'!$A$2:$M$297,13,FALSE))</f>
        <v>en tresses</v>
      </c>
      <c r="N110" s="872" t="str">
        <f>IF(VLOOKUP(A110,'Charriage - Geschiebehaushalt'!$A$4:$R$275,5,FALSE)="","",VLOOKUP(A110,'Charriage - Geschiebehaushalt'!$A$4:$R$275,5,FALSE))</f>
        <v>pertinent</v>
      </c>
      <c r="O110" s="881" t="str">
        <f>IF(VLOOKUP(A110,'Charriage - Geschiebehaushalt'!$A$4:$R$275,6,FALSE)="","",VLOOKUP(A110,'Charriage - Geschiebehaushalt'!$A$4:$R$275,6,FALSE))</f>
        <v>non documenté</v>
      </c>
      <c r="P110" s="874" t="str">
        <f>IF(VLOOKUP(A110,'Charriage - Geschiebehaushalt'!$A$4:$R$275,7,FALSE)="","",VLOOKUP(A110,'Charriage - Geschiebehaushalt'!$A$4:$R$275,7,FALSE))</f>
        <v/>
      </c>
      <c r="Q110" s="874" t="str">
        <f>IF(VLOOKUP(A110,'Charriage - Geschiebehaushalt'!$A$4:$R$275,8,FALSE)="","",VLOOKUP(A110,'Charriage - Geschiebehaushalt'!$A$4:$R$275,8,FALSE))</f>
        <v>non documenté</v>
      </c>
      <c r="R110" s="875">
        <f>IF(VLOOKUP(A110,'Charriage - Geschiebehaushalt'!$A$4:$R$275,9,FALSE)="","",VLOOKUP(A110,'Charriage - Geschiebehaushalt'!$A$4:$R$275,9,FALSE))</f>
        <v>0</v>
      </c>
      <c r="S110" s="876" t="str">
        <f>IF(VLOOKUP(A110,'Charriage - Geschiebehaushalt'!$A$4:$R$275,10,FALSE)="","",VLOOKUP(A110,'Charriage - Geschiebehaushalt'!$A$4:$R$275,10,FALSE))</f>
        <v>pas ou faiblement entravé</v>
      </c>
      <c r="T110" s="875">
        <f>IF(VLOOKUP(A110,'Charriage - Geschiebehaushalt'!$A$4:$R$275,11,FALSE)="","",VLOOKUP(A110,'Charriage - Geschiebehaushalt'!$A$4:$R$275,11,FALSE))</f>
        <v>0.24376340016</v>
      </c>
      <c r="U110" s="876" t="str">
        <f>IF(VLOOKUP(A110,'Charriage - Geschiebehaushalt'!$A$4:$R$275,12,FALSE)="","",VLOOKUP(A110,'Charriage - Geschiebehaushalt'!$A$4:$R$275,12,FALSE))</f>
        <v>déficit dans les formations pionnières</v>
      </c>
      <c r="V110" s="877" t="str">
        <f>IF(VLOOKUP(A110,'Charriage - Geschiebehaushalt'!$A$4:$R$275,13,FALSE)="","",VLOOKUP(A110,'Charriage - Geschiebehaushalt'!$A$4:$R$275,13,FALSE))</f>
        <v>Charriage très actif sur cône d'alluvions. Ouvrages correctifs en amont du cône d'alluvions, dégagement de la route, sinon pas d'extraction</v>
      </c>
      <c r="W110" s="878" t="str">
        <f>IF(VLOOKUP(A110,'Charriage - Geschiebehaushalt'!$A$4:$R$275,14,FALSE)="","",VLOOKUP(A110,'Charriage - Geschiebehaushalt'!$A$4:$R$275,14,FALSE))</f>
        <v>charriage présumé naturel</v>
      </c>
      <c r="X110" s="878" t="str">
        <f>IF(VLOOKUP(A110,'Charriage - Geschiebehaushalt'!$A$4:$R$275,15,FALSE)="","",VLOOKUP(A110,'Charriage - Geschiebehaushalt'!$A$4:$R$275,15,FALSE))</f>
        <v/>
      </c>
      <c r="Y110" s="882" t="str">
        <f>IF(VLOOKUP(A110,'Charriage - Geschiebehaushalt'!$A$4:$R$275,16,FALSE)="","",VLOOKUP(A110,'Charriage - Geschiebehaushalt'!$A$4:$R$275,16,FALSE))</f>
        <v/>
      </c>
      <c r="Z110" s="763" t="str">
        <f>IF(VLOOKUP(A110,'Charriage - Geschiebehaushalt'!$A$4:$R$275,17,FALSE)="","",VLOOKUP(A110,'Charriage - Geschiebehaushalt'!$A$4:$R$275,17,FALSE))</f>
        <v>Déficit non apparent en charriage ou en remobilisation des sédiments / kein sichtbares Defizit beim Geschiebehaushalt bzw. bei der Mobilisierung von Geschiebe</v>
      </c>
      <c r="AA110" s="880" t="str">
        <f>IF(VLOOKUP(A110,'Charriage - Geschiebehaushalt'!$A$4:$R$275,18,FALSE)="","",VLOOKUP(A110,'Charriage - Geschiebehaushalt'!$A$4:$R$275,18,FALSE))</f>
        <v>a</v>
      </c>
      <c r="AB110" s="737" t="str">
        <f>IF(VLOOKUP(A110,'Charriage - Geschiebehaushalt'!$A$4:$AC$275,19,FALSE)="","",VLOOKUP(A110,'Charriage - Geschiebehaushalt'!$A$4:$AC$275,19,FALSE))</f>
        <v>non évalué</v>
      </c>
      <c r="AC110" s="738" t="str">
        <f>IF(VLOOKUP(A110,'Charriage - Geschiebehaushalt'!$A$4:$AC$275,20,FALSE)="","",VLOOKUP(A110,'Charriage - Geschiebehaushalt'!$A$4:$AC$275,20,FALSE))</f>
        <v>non évalué</v>
      </c>
      <c r="AD110" s="764" t="str">
        <f>IF(VLOOKUP(A110,'Charriage - Geschiebehaushalt'!$A$4:$AC$275,21,FALSE)="","",VLOOKUP(A110,'Charriage - Geschiebehaushalt'!$A$4:$AC$275,21,FALSE))</f>
        <v/>
      </c>
      <c r="AE110" s="772" t="str">
        <f>IF(VLOOKUP(A110,'Charriage - Geschiebehaushalt'!$A$4:$AC$275,22,FALSE)="","",VLOOKUP(A110,'Charriage - Geschiebehaushalt'!$A$4:$AC$275,22,FALSE))</f>
        <v>0-20%</v>
      </c>
      <c r="AF110" s="787" t="str">
        <f>IF(VLOOKUP(A110,'Charriage - Geschiebehaushalt'!$A$4:$AC$275,23,FALSE)="","",VLOOKUP(A110,'Charriage - Geschiebehaushalt'!$A$4:$AC$275,23,FALSE))</f>
        <v>a</v>
      </c>
      <c r="AG110" s="765" t="str">
        <f>IF(VLOOKUP(A110,'Charriage - Geschiebehaushalt'!$A$4:$AC$275,24,FALSE)="","",VLOOKUP(A110,'Charriage - Geschiebehaushalt'!$A$4:$AC$275,24,FALSE))</f>
        <v/>
      </c>
      <c r="AH110" s="764" t="str">
        <f>IF(VLOOKUP(A110,'Charriage - Geschiebehaushalt'!$A$4:$AC$275,25,FALSE)="","",VLOOKUP(A110,'Charriage - Geschiebehaushalt'!$A$4:$AC$275,25,FALSE))</f>
        <v/>
      </c>
      <c r="AI110" s="435" t="str">
        <f>IF(VLOOKUP(A110,'Charriage - Geschiebehaushalt'!$A$4:$AC$275,26,FALSE)="","",VLOOKUP(A110,'Charriage - Geschiebehaushalt'!$A$4:$AC$275,26,FALSE))</f>
        <v/>
      </c>
      <c r="AJ110" s="436" t="str">
        <f>IF(VLOOKUP(A110,'Charriage - Geschiebehaushalt'!$A$4:$AC$275,27,FALSE)="","",VLOOKUP(A110,'Charriage - Geschiebehaushalt'!$A$4:$AC$275,27,FALSE))</f>
        <v/>
      </c>
      <c r="AK110" s="814" t="str">
        <f>IF(VLOOKUP(A110,'Charriage - Geschiebehaushalt'!$A$4:$AC$275,28,FALSE)="","",VLOOKUP(A110,'Charriage - Geschiebehaushalt'!$A$4:$AC$275,28,FALSE))</f>
        <v>0-20%</v>
      </c>
      <c r="AL110" s="1285" t="str">
        <f>IF(VLOOKUP(A110,'Charriage - Geschiebehaushalt'!$A$4:$AD$275,30,FALSE)="","",VLOOKUP(A110,'Charriage - Geschiebehaushalt'!$A$4:$AD$275,30,FALSE))</f>
        <v>a</v>
      </c>
      <c r="AM110" s="1279" t="str">
        <f>IF(VLOOKUP(A110,'Débit - Abfluss'!$A$4:$K$275,5,FALSE)="","",VLOOKUP(A110,'Débit - Abfluss'!$A$4:$M$275,5,FALSE))</f>
        <v>100%</v>
      </c>
      <c r="AN110" s="868" t="str">
        <f>IF(VLOOKUP(A110,'Débit - Abfluss'!$A$4:$K$275,6,FALSE)="","",VLOOKUP(A110,'Débit - Abfluss'!$A$4:$M$275,6,FALSE))</f>
        <v>aucune information supplémentaire</v>
      </c>
      <c r="AO110" s="869" t="str">
        <f>IF(VLOOKUP(A110,'Débit - Abfluss'!$A$4:$K$275,7,FALSE)="","",VLOOKUP(A110,'Débit - Abfluss'!$A$4:$M$275,7,FALSE))</f>
        <v>aucune information supplémentaire</v>
      </c>
      <c r="AP110" s="766" t="str">
        <f>IF(VLOOKUP(A110,'Débit - Abfluss'!$A$4:$K$275,8,FALSE)="","",VLOOKUP(A110,'Débit - Abfluss'!$A$4:$M$275,8,FALSE))</f>
        <v>100%</v>
      </c>
      <c r="AQ110" s="742" t="str">
        <f>IF(VLOOKUP(A110,'Débit - Abfluss'!$A$4:$K$275,9,FALSE)="","",VLOOKUP(A110,'Débit - Abfluss'!$A$4:$M$275,9,FALSE))</f>
        <v>-</v>
      </c>
      <c r="AR110" s="767" t="str">
        <f>IF(VLOOKUP(A110,'Débit - Abfluss'!$A$4:$K$275,10,FALSE)="","",VLOOKUP(A110,'Débit - Abfluss'!$A$4:$M$275,10,FALSE))</f>
        <v>100%</v>
      </c>
      <c r="AS110" s="767" t="str">
        <f>IF(VLOOKUP(A110,'Débit - Abfluss'!$A$4:$K$275,11,FALSE)="","",VLOOKUP(A110,'Débit - Abfluss'!$A$4:$M$275,11,FALSE))</f>
        <v/>
      </c>
      <c r="AT110" s="778" t="str">
        <f>IF(VLOOKUP(A110,'Débit - Abfluss'!$A$4:$Q$275,12,FALSE)="","",VLOOKUP(A110,'Débit - Abfluss'!$A$4:$Q$275,12,FALSE))</f>
        <v/>
      </c>
      <c r="AU110" s="779" t="str">
        <f>IF(VLOOKUP(A110,'Débit - Abfluss'!$A$4:$Q$275,13,FALSE)="","",VLOOKUP(A110,'Débit - Abfluss'!$A$4:$Q$275,13,FALSE))</f>
        <v/>
      </c>
      <c r="AV110" s="746" t="str">
        <f>IF(VLOOKUP(A110,'Débit - Abfluss'!$A$4:$Q$275,14,FALSE)="","",VLOOKUP(A110,'Débit - Abfluss'!$A$4:$Q$275,14,FALSE))</f>
        <v/>
      </c>
      <c r="AW110" s="768" t="str">
        <f>IF(VLOOKUP(A110,'Débit - Abfluss'!$A$4:$Q$275,15,FALSE)="","",VLOOKUP(A110,'Débit - Abfluss'!$A$4:$Q$275,15,FALSE))</f>
        <v/>
      </c>
      <c r="AX110" s="679" t="str">
        <f>IF(VLOOKUP(A110,'Débit - Abfluss'!$A$4:$Q$275,16,FALSE)="","",VLOOKUP(A110,'Débit - Abfluss'!$A$4:$Q$275,16,FALSE))</f>
        <v/>
      </c>
      <c r="AY110" s="769" t="str">
        <f>IF(VLOOKUP(A110,'Débit - Abfluss'!$A$4:$Q$275,17,FALSE)="","",VLOOKUP(A110,'Débit - Abfluss'!$A$4:$Q$275,17,FALSE))</f>
        <v>100%</v>
      </c>
      <c r="AZ110" s="749" t="str">
        <f>IF(VLOOKUP(A110,'Eclusée - Schwall-Sunk'!$A$2:$F$273,5,FALSE)="","",VLOOKUP(A110,'Eclusée - Schwall-Sunk'!$A$2:$F$273,5,FALSE))</f>
        <v/>
      </c>
      <c r="BA110" s="750" t="str">
        <f>IF(VLOOKUP(A110,'Eclusée - Schwall-Sunk'!$A$2:$F$273,6,FALSE)="","",VLOOKUP(A110,'Eclusée - Schwall-Sunk'!$A$2:$F$273,6,FALSE))</f>
        <v>Non affecté / nicht betroffen</v>
      </c>
      <c r="BB110" s="751">
        <f>IF(VLOOKUP(A110,'Revitalisation-Revitalisierung'!$A$4:$Z$275,5,FALSE)="","",VLOOKUP(A110,'Revitalisation-Revitalisierung'!$A$4:$Z$275,5,FALSE))</f>
        <v>0</v>
      </c>
      <c r="BC110" s="752">
        <f>IF(VLOOKUP(A110,'Revitalisation-Revitalisierung'!$A$4:$Z$275,6,FALSE)="","",VLOOKUP(A110,'Revitalisation-Revitalisierung'!$A$4:$Z$275,6,FALSE))</f>
        <v>0</v>
      </c>
      <c r="BD110" s="752">
        <f>IF(VLOOKUP(A110,'Revitalisation-Revitalisierung'!$A$4:$Z$275,7,FALSE)="","",VLOOKUP(A110,'Revitalisation-Revitalisierung'!$A$4:$Z$275,7,FALSE))</f>
        <v>0</v>
      </c>
      <c r="BE110" s="753" t="str">
        <f>IF(VLOOKUP(A110,'Revitalisation-Revitalisierung'!$A$4:$Z$275,8,FALSE)="","",VLOOKUP(A110,'Revitalisation-Revitalisierung'!$A$4:$Z$275,8,FALSE))</f>
        <v>non nécessaire</v>
      </c>
      <c r="BF110" s="754" t="str">
        <f>IF(VLOOKUP(A110,'Revitalisation-Revitalisierung'!$A$4:$Z$275,9,FALSE)="","",VLOOKUP(A110,'Revitalisation-Revitalisierung'!$A$4:$Z$275,9,FALSE))</f>
        <v/>
      </c>
      <c r="BG110" s="754" t="str">
        <f>IF(VLOOKUP(A110,'Revitalisation-Revitalisierung'!$A$4:$Z$275,10,FALSE)="","",VLOOKUP(A110,'Revitalisation-Revitalisierung'!$A$4:$Z$275,10,FALSE))</f>
        <v>K3</v>
      </c>
      <c r="BH110" s="755" t="str">
        <f>IF(VLOOKUP(A110,'Revitalisation-Revitalisierung'!$A$4:$Z$275,11,FALSE)="","",VLOOKUP(A110,'Revitalisation-Revitalisierung'!$A$4:$Z$275,11,FALSE))</f>
        <v/>
      </c>
      <c r="BI110" s="756" t="str">
        <f>IF(VLOOKUP(A110,'Revitalisation-Revitalisierung'!$A$4:$Z$275,12,FALSE)="","",VLOOKUP(A110,'Revitalisation-Revitalisierung'!$A$4:$Z$275,12,FALSE))</f>
        <v/>
      </c>
      <c r="BJ110" s="788" t="str">
        <f>IF(VLOOKUP(A110,'Revitalisation-Revitalisierung'!$A$4:$Z$275,13,FALSE)="","",VLOOKUP(A110,'Revitalisation-Revitalisierung'!$A$4:$Z$275,13,FALSE))</f>
        <v>Non nécessaire / nicht nötig</v>
      </c>
      <c r="BK110" s="870" t="str">
        <f>IF(VLOOKUP(A110,'Revitalisation-Revitalisierung'!$A$4:$Z$275,14,FALSE)="","",VLOOKUP(A110,'Revitalisation-Revitalisierung'!$A$4:$Z$275,14,FALSE))</f>
        <v>a</v>
      </c>
      <c r="BL110" s="758" t="str">
        <f>IF(VLOOKUP(A110,'Revitalisation-Revitalisierung'!$A$4:$Z$275,15,FALSE)="","",VLOOKUP(A110,'Revitalisation-Revitalisierung'!$A$4:$Z$275,15,FALSE))</f>
        <v>élevé</v>
      </c>
      <c r="BM110" s="759" t="str">
        <f>IF(VLOOKUP(A110,'Revitalisation-Revitalisierung'!$A$4:$Z$275,16,FALSE)="","",VLOOKUP(A110,'Revitalisation-Revitalisierung'!$A$4:$Z$275,16,FALSE))</f>
        <v>moyen</v>
      </c>
      <c r="BN110" s="759" t="str">
        <f>IF(VLOOKUP(A110,'Revitalisation-Revitalisierung'!$A$4:$Z$275,17,FALSE)="","",VLOOKUP(A110,'Revitalisation-Revitalisierung'!$A$4:$Z$275,17,FALSE))</f>
        <v>pas de mesure</v>
      </c>
      <c r="BO110" s="760" t="str">
        <f>IF(VLOOKUP(A110,'Revitalisation-Revitalisierung'!$A$4:$Z$275,18,FALSE)="","",VLOOKUP(A110,'Revitalisation-Revitalisierung'!$A$4:$Z$275,18,FALSE))</f>
        <v>Partiellement nécessaire, facile / teilweise nötig, einfach</v>
      </c>
      <c r="BP110" s="761" t="str">
        <f>IF(VLOOKUP(A110,'Revitalisation-Revitalisierung'!$A$4:$Z$275,19,FALSE)="","",VLOOKUP(A110,'Revitalisation-Revitalisierung'!$A$4:$Z$275,19,FALSE))</f>
        <v>Partiellement nécessaire, facile / teilweise nötig, einfach</v>
      </c>
      <c r="BQ110" s="759" t="str">
        <f>IF(VLOOKUP(A110,'Revitalisation-Revitalisierung'!$A$4:$Z$275,20,FALSE)="","",VLOOKUP(A110,'Revitalisation-Revitalisierung'!$A$4:$Z$275,20,FALSE))</f>
        <v>c</v>
      </c>
      <c r="BR110" s="759" t="str">
        <f>IF(VLOOKUP(A110,'Revitalisation-Revitalisierung'!$A$4:$Z$275,21,FALSE)="","",VLOOKUP(A110,'Revitalisation-Revitalisierung'!$A$4:$Z$275,21,FALSE))</f>
        <v/>
      </c>
      <c r="BS110" s="762" t="str">
        <f>IF(VLOOKUP(A110,'Revitalisation-Revitalisierung'!$A$4:$Z$275,22,FALSE)="","",VLOOKUP(A110,'Revitalisation-Revitalisierung'!$A$4:$Z$275,22,FALSE))</f>
        <v/>
      </c>
      <c r="BT110" s="700" t="str">
        <f>IF(VLOOKUP(A110,'Revitalisation-Revitalisierung'!$A$4:$Z$275,23,FALSE)="","",VLOOKUP(A110,'Revitalisation-Revitalisierung'!$A$4:$Z$275,23,FALSE))</f>
        <v/>
      </c>
      <c r="BU110" s="699" t="str">
        <f>IF(VLOOKUP(A110,'Revitalisation-Revitalisierung'!$A$4:$Z$275,24,FALSE)="","",VLOOKUP(A110,'Revitalisation-Revitalisierung'!$A$4:$Z$275,24,FALSE))</f>
        <v/>
      </c>
      <c r="BV110" s="761" t="str">
        <f>IF(VLOOKUP(A110,'Revitalisation-Revitalisierung'!$A$4:$Z$275,25,FALSE)="","",VLOOKUP(A110,'Revitalisation-Revitalisierung'!$A$4:$Z$275,25,FALSE))</f>
        <v>Partiellement nécessaire, facile / teilweise nötig, einfach</v>
      </c>
      <c r="BW110" s="871" t="str">
        <f>IF(VLOOKUP(A110,'Revitalisation-Revitalisierung'!$A$4:$AA$275,27,FALSE)="","",VLOOKUP(A110,'Revitalisation-Revitalisierung'!$A$4:$AA$275,27,FALSE))</f>
        <v>a</v>
      </c>
    </row>
    <row r="111" spans="1:75" ht="62.45" customHeight="1" x14ac:dyDescent="0.25">
      <c r="A111" s="935">
        <v>133</v>
      </c>
      <c r="B111" s="856">
        <f>IF(VLOOKUP(A111,'Données de base - Grunddaten'!$A$2:$M$297,2,FALSE)="","",VLOOKUP(A111,'Données de base - Grunddaten'!$A$2:$M$297,2,FALSE))</f>
        <v>1</v>
      </c>
      <c r="C111" s="857" t="str">
        <f>IF(VLOOKUP(A111,'Données de base - Grunddaten'!$A$2:$M$297,3,FALSE)="","",VLOOKUP(A111,'Données de base - Grunddaten'!$A$2:$M$297,3,FALSE))</f>
        <v>Pfynwald</v>
      </c>
      <c r="D111" s="857" t="str">
        <f>IF(VLOOKUP(A111,'Données de base - Grunddaten'!$A$2:$M$297,4,FALSE)="","",VLOOKUP(A111,'Données de base - Grunddaten'!$A$2:$M$297,4,FALSE))</f>
        <v>Rhone</v>
      </c>
      <c r="E111" s="857" t="str">
        <f>IF(VLOOKUP(A111,'Données de base - Grunddaten'!$A$2:$M$297,5,FALSE)="","",VLOOKUP(A111,'Données de base - Grunddaten'!$A$2:$M$297,5,FALSE))</f>
        <v>VS</v>
      </c>
      <c r="F111" s="857" t="str">
        <f>IF(VLOOKUP(A111,'Données de base - Grunddaten'!$A$2:$M$297,6,FALSE)="","",VLOOKUP(A111,'Données de base - Grunddaten'!$A$2:$M$297,6,FALSE))</f>
        <v>Alpes centrales occidentales</v>
      </c>
      <c r="G111" s="857" t="str">
        <f>IF(VLOOKUP(A111,'Données de base - Grunddaten'!$A$2:$M$297,7,FALSE)="","",VLOOKUP(A111,'Données de base - Grunddaten'!$A$2:$M$297,7,FALSE))</f>
        <v>Collinéen</v>
      </c>
      <c r="H111" s="857">
        <f>IF(VLOOKUP(A111,'Données de base - Grunddaten'!$A$2:$M$297,8,FALSE)="","",VLOOKUP(A111,'Données de base - Grunddaten'!$A$2:$M$297,8,FALSE))</f>
        <v>580</v>
      </c>
      <c r="I111" s="857">
        <f>IF(VLOOKUP(A111,'Données de base - Grunddaten'!$A$2:$M$297,9,FALSE)="","",VLOOKUP(A111,'Données de base - Grunddaten'!$A$2:$M$297,9,FALSE))</f>
        <v>1992</v>
      </c>
      <c r="J111" s="857">
        <f>IF(VLOOKUP(A111,'Données de base - Grunddaten'!$A$2:$M$297,10,FALSE)="","",VLOOKUP(A111,'Données de base - Grunddaten'!$A$2:$M$297,10,FALSE))</f>
        <v>70</v>
      </c>
      <c r="K111" s="857" t="str">
        <f>IF(VLOOKUP(A111,'Données de base - Grunddaten'!$A$2:$M$297,11,FALSE)="","",VLOOKUP(A111,'Données de base - Grunddaten'!$A$2:$M$297,11,FALSE))</f>
        <v>Cours d'eau de l'étage collinéen des Alpes centrales</v>
      </c>
      <c r="L111" s="857" t="str">
        <f>IF(VLOOKUP(A111,'Données de base - Grunddaten'!$A$2:$M$297,12,FALSE)="","",VLOOKUP(A111,'Données de base - Grunddaten'!$A$2:$M$297,12,FALSE))</f>
        <v>en tresses</v>
      </c>
      <c r="M111" s="858" t="str">
        <f>IF(VLOOKUP(A111,'Données de base - Grunddaten'!$A$2:$M$297,13,FALSE)="","",VLOOKUP(A111,'Données de base - Grunddaten'!$A$2:$M$297,13,FALSE))</f>
        <v>en tresses</v>
      </c>
      <c r="N111" s="872" t="str">
        <f>IF(VLOOKUP(A111,'Charriage - Geschiebehaushalt'!$A$4:$R$275,5,FALSE)="","",VLOOKUP(A111,'Charriage - Geschiebehaushalt'!$A$4:$R$275,5,FALSE))</f>
        <v>pertinent</v>
      </c>
      <c r="O111" s="873" t="str">
        <f>IF(VLOOKUP(A111,'Charriage - Geschiebehaushalt'!$A$4:$R$275,6,FALSE)="","",VLOOKUP(A111,'Charriage - Geschiebehaushalt'!$A$4:$R$275,6,FALSE))</f>
        <v>51-80%</v>
      </c>
      <c r="P111" s="874" t="str">
        <f>IF(VLOOKUP(A111,'Charriage - Geschiebehaushalt'!$A$4:$R$275,7,FALSE)="","",VLOOKUP(A111,'Charriage - Geschiebehaushalt'!$A$4:$R$275,7,FALSE))</f>
        <v/>
      </c>
      <c r="Q111" s="874" t="str">
        <f>IF(VLOOKUP(A111,'Charriage - Geschiebehaushalt'!$A$4:$R$275,8,FALSE)="","",VLOOKUP(A111,'Charriage - Geschiebehaushalt'!$A$4:$R$275,8,FALSE))</f>
        <v>non documenté</v>
      </c>
      <c r="R111" s="875">
        <f>IF(VLOOKUP(A111,'Charriage - Geschiebehaushalt'!$A$4:$R$275,9,FALSE)="","",VLOOKUP(A111,'Charriage - Geschiebehaushalt'!$A$4:$R$275,9,FALSE))</f>
        <v>0.51959074337327704</v>
      </c>
      <c r="S111" s="876" t="str">
        <f>IF(VLOOKUP(A111,'Charriage - Geschiebehaushalt'!$A$4:$R$275,10,FALSE)="","",VLOOKUP(A111,'Charriage - Geschiebehaushalt'!$A$4:$R$275,10,FALSE))</f>
        <v>la remobilisation des sédiments est perturbée</v>
      </c>
      <c r="T111" s="875">
        <f>IF(VLOOKUP(A111,'Charriage - Geschiebehaushalt'!$A$4:$R$275,11,FALSE)="","",VLOOKUP(A111,'Charriage - Geschiebehaushalt'!$A$4:$R$275,11,FALSE))</f>
        <v>0.12063376669</v>
      </c>
      <c r="U111" s="876" t="str">
        <f>IF(VLOOKUP(A111,'Charriage - Geschiebehaushalt'!$A$4:$R$275,12,FALSE)="","",VLOOKUP(A111,'Charriage - Geschiebehaushalt'!$A$4:$R$275,12,FALSE))</f>
        <v>déficit dans les formations pionnières</v>
      </c>
      <c r="V111" s="877" t="str">
        <f>IF(VLOOKUP(A111,'Charriage - Geschiebehaushalt'!$A$4:$R$275,13,FALSE)="","",VLOOKUP(A111,'Charriage - Geschiebehaushalt'!$A$4:$R$275,13,FALSE))</f>
        <v/>
      </c>
      <c r="W111" s="877" t="str">
        <f>IF(VLOOKUP(A111,'Charriage - Geschiebehaushalt'!$A$4:$R$275,14,FALSE)="","",VLOOKUP(A111,'Charriage - Geschiebehaushalt'!$A$4:$R$275,14,FALSE))</f>
        <v/>
      </c>
      <c r="X111" s="877" t="str">
        <f>IF(VLOOKUP(A111,'Charriage - Geschiebehaushalt'!$A$4:$R$275,15,FALSE)="","",VLOOKUP(A111,'Charriage - Geschiebehaushalt'!$A$4:$R$275,15,FALSE))</f>
        <v/>
      </c>
      <c r="Y111" s="879" t="str">
        <f>IF(VLOOKUP(A111,'Charriage - Geschiebehaushalt'!$A$4:$R$275,16,FALSE)="","",VLOOKUP(A111,'Charriage - Geschiebehaushalt'!$A$4:$R$275,16,FALSE))</f>
        <v/>
      </c>
      <c r="Z111" s="763" t="str">
        <f>IF(VLOOKUP(A111,'Charriage - Geschiebehaushalt'!$A$4:$R$275,17,FALSE)="","",VLOOKUP(A111,'Charriage - Geschiebehaushalt'!$A$4:$R$275,17,FALSE))</f>
        <v>51-80%</v>
      </c>
      <c r="AA111" s="880" t="str">
        <f>IF(VLOOKUP(A111,'Charriage - Geschiebehaushalt'!$A$4:$R$275,18,FALSE)="","",VLOOKUP(A111,'Charriage - Geschiebehaushalt'!$A$4:$R$275,18,FALSE))</f>
        <v>a</v>
      </c>
      <c r="AB111" s="737" t="str">
        <f>IF(VLOOKUP(A111,'Charriage - Geschiebehaushalt'!$A$4:$AC$275,19,FALSE)="","",VLOOKUP(A111,'Charriage - Geschiebehaushalt'!$A$4:$AC$275,19,FALSE))</f>
        <v>pas atteinte significative</v>
      </c>
      <c r="AC111" s="738" t="str">
        <f>IF(VLOOKUP(A111,'Charriage - Geschiebehaushalt'!$A$4:$AC$275,20,FALSE)="","",VLOOKUP(A111,'Charriage - Geschiebehaushalt'!$A$4:$AC$275,20,FALSE))</f>
        <v>pas de mesure prévue</v>
      </c>
      <c r="AD111" s="789" t="str">
        <f>IF(VLOOKUP(A111,'Charriage - Geschiebehaushalt'!$A$4:$AC$275,21,FALSE)="","",VLOOKUP(A111,'Charriage - Geschiebehaushalt'!$A$4:$AC$275,21,FALSE))</f>
        <v>21-50%</v>
      </c>
      <c r="AE111" s="772" t="str">
        <f>IF(VLOOKUP(A111,'Charriage - Geschiebehaushalt'!$A$4:$AC$275,22,FALSE)="","",VLOOKUP(A111,'Charriage - Geschiebehaushalt'!$A$4:$AC$275,22,FALSE))</f>
        <v>21-50%</v>
      </c>
      <c r="AF111" s="787" t="str">
        <f>IF(VLOOKUP(A111,'Charriage - Geschiebehaushalt'!$A$4:$AC$275,23,FALSE)="","",VLOOKUP(A111,'Charriage - Geschiebehaushalt'!$A$4:$AC$275,23,FALSE))</f>
        <v>c</v>
      </c>
      <c r="AG111" s="765" t="str">
        <f>IF(VLOOKUP(A111,'Charriage - Geschiebehaushalt'!$A$4:$AC$275,24,FALSE)="","",VLOOKUP(A111,'Charriage - Geschiebehaushalt'!$A$4:$AC$275,24,FALSE))</f>
        <v/>
      </c>
      <c r="AH111" s="764" t="str">
        <f>IF(VLOOKUP(A111,'Charriage - Geschiebehaushalt'!$A$4:$AC$275,25,FALSE)="","",VLOOKUP(A111,'Charriage - Geschiebehaushalt'!$A$4:$AC$275,25,FALSE))</f>
        <v/>
      </c>
      <c r="AI111" s="435" t="str">
        <f>IF(VLOOKUP(A111,'Charriage - Geschiebehaushalt'!$A$4:$AC$275,26,FALSE)="","",VLOOKUP(A111,'Charriage - Geschiebehaushalt'!$A$4:$AC$275,26,FALSE))</f>
        <v/>
      </c>
      <c r="AJ111" s="436" t="str">
        <f>IF(VLOOKUP(A111,'Charriage - Geschiebehaushalt'!$A$4:$AC$275,27,FALSE)="","",VLOOKUP(A111,'Charriage - Geschiebehaushalt'!$A$4:$AC$275,27,FALSE))</f>
        <v/>
      </c>
      <c r="AK111" s="814" t="str">
        <f>IF(VLOOKUP(A111,'Charriage - Geschiebehaushalt'!$A$4:$AC$275,28,FALSE)="","",VLOOKUP(A111,'Charriage - Geschiebehaushalt'!$A$4:$AC$275,28,FALSE))</f>
        <v>21-50%</v>
      </c>
      <c r="AL111" s="1285" t="str">
        <f>IF(VLOOKUP(A111,'Charriage - Geschiebehaushalt'!$A$4:$AD$275,30,FALSE)="","",VLOOKUP(A111,'Charriage - Geschiebehaushalt'!$A$4:$AD$275,30,FALSE))</f>
        <v>a</v>
      </c>
      <c r="AM111" s="1279" t="str">
        <f>IF(VLOOKUP(A111,'Débit - Abfluss'!$A$4:$K$275,5,FALSE)="","",VLOOKUP(A111,'Débit - Abfluss'!$A$4:$M$275,5,FALSE))</f>
        <v>21-40%</v>
      </c>
      <c r="AN111" s="868" t="str">
        <f>IF(VLOOKUP(A111,'Débit - Abfluss'!$A$4:$K$275,6,FALSE)="","",VLOOKUP(A111,'Débit - Abfluss'!$A$4:$M$275,6,FALSE))</f>
        <v/>
      </c>
      <c r="AO111" s="869" t="str">
        <f>IF(VLOOKUP(A111,'Débit - Abfluss'!$A$4:$K$275,7,FALSE)="","",VLOOKUP(A111,'Débit - Abfluss'!$A$4:$M$275,7,FALSE))</f>
        <v/>
      </c>
      <c r="AP111" s="766" t="str">
        <f>IF(VLOOKUP(A111,'Débit - Abfluss'!$A$4:$K$275,8,FALSE)="","",VLOOKUP(A111,'Débit - Abfluss'!$A$4:$M$275,8,FALSE))</f>
        <v>21-40%</v>
      </c>
      <c r="AQ111" s="678" t="str">
        <f>IF(VLOOKUP(A111,'Débit - Abfluss'!$A$4:$K$275,9,FALSE)="","",VLOOKUP(A111,'Débit - Abfluss'!$A$4:$M$275,9,FALSE))</f>
        <v>Fehlende Angaben</v>
      </c>
      <c r="AR111" s="773" t="str">
        <f>IF(VLOOKUP(A111,'Débit - Abfluss'!$A$4:$K$275,10,FALSE)="","",VLOOKUP(A111,'Débit - Abfluss'!$A$4:$M$275,10,FALSE))</f>
        <v>21-40%</v>
      </c>
      <c r="AS111" s="773" t="str">
        <f>IF(VLOOKUP(A111,'Débit - Abfluss'!$A$4:$K$275,11,FALSE)="","",VLOOKUP(A111,'Débit - Abfluss'!$A$4:$M$275,11,FALSE))</f>
        <v>X</v>
      </c>
      <c r="AT111" s="778" t="str">
        <f>IF(VLOOKUP(A111,'Débit - Abfluss'!$A$4:$Q$275,12,FALSE)="","",VLOOKUP(A111,'Débit - Abfluss'!$A$4:$Q$275,12,FALSE))</f>
        <v/>
      </c>
      <c r="AU111" s="779" t="str">
        <f>IF(VLOOKUP(A111,'Débit - Abfluss'!$A$4:$Q$275,13,FALSE)="","",VLOOKUP(A111,'Débit - Abfluss'!$A$4:$Q$275,13,FALSE))</f>
        <v/>
      </c>
      <c r="AV111" s="746" t="str">
        <f>IF(VLOOKUP(A111,'Débit - Abfluss'!$A$4:$Q$275,14,FALSE)="","",VLOOKUP(A111,'Débit - Abfluss'!$A$4:$Q$275,14,FALSE))</f>
        <v>VS-500.2</v>
      </c>
      <c r="AW111" s="768" t="str">
        <f>IF(VLOOKUP(A111,'Débit - Abfluss'!$A$4:$Q$275,15,FALSE)="","",VLOOKUP(A111,'Débit - Abfluss'!$A$4:$Q$275,15,FALSE))</f>
        <v>Chippis (Rhonewerke)</v>
      </c>
      <c r="AX111" s="679" t="str">
        <f>IF(VLOOKUP(A111,'Débit - Abfluss'!$A$4:$Q$275,16,FALSE)="","",VLOOKUP(A111,'Débit - Abfluss'!$A$4:$Q$275,16,FALSE))</f>
        <v/>
      </c>
      <c r="AY111" s="780" t="str">
        <f>IF(VLOOKUP(A111,'Débit - Abfluss'!$A$4:$Q$275,17,FALSE)="","",VLOOKUP(A111,'Débit - Abfluss'!$A$4:$Q$275,17,FALSE))</f>
        <v>21-40%</v>
      </c>
      <c r="AZ111" s="749" t="str">
        <f>IF(VLOOKUP(A111,'Eclusée - Schwall-Sunk'!$A$2:$F$273,5,FALSE)="","",VLOOKUP(A111,'Eclusée - Schwall-Sunk'!$A$2:$F$273,5,FALSE))</f>
        <v>force hydraulique</v>
      </c>
      <c r="BA111" s="750" t="str">
        <f>IF(VLOOKUP(A111,'Eclusée - Schwall-Sunk'!$A$2:$F$273,6,FALSE)="","",VLOOKUP(A111,'Eclusée - Schwall-Sunk'!$A$2:$F$273,6,FALSE))</f>
        <v>Potentiellement affecté / möglicherweise betroffen</v>
      </c>
      <c r="BB111" s="751">
        <f>IF(VLOOKUP(A111,'Revitalisation-Revitalisierung'!$A$4:$Z$275,5,FALSE)="","",VLOOKUP(A111,'Revitalisation-Revitalisierung'!$A$4:$Z$275,5,FALSE))</f>
        <v>35.13636363636364</v>
      </c>
      <c r="BC111" s="752">
        <f>IF(VLOOKUP(A111,'Revitalisation-Revitalisierung'!$A$4:$Z$275,6,FALSE)="","",VLOOKUP(A111,'Revitalisation-Revitalisierung'!$A$4:$Z$275,6,FALSE))</f>
        <v>61.520549326850279</v>
      </c>
      <c r="BD111" s="752">
        <f>IF(VLOOKUP(A111,'Revitalisation-Revitalisierung'!$A$4:$Z$275,7,FALSE)="","",VLOOKUP(A111,'Revitalisation-Revitalisierung'!$A$4:$Z$275,7,FALSE))</f>
        <v>26.363636363636363</v>
      </c>
      <c r="BE111" s="753" t="str">
        <f>IF(VLOOKUP(A111,'Revitalisation-Revitalisierung'!$A$4:$Z$275,8,FALSE)="","",VLOOKUP(A111,'Revitalisation-Revitalisierung'!$A$4:$Z$275,8,FALSE))</f>
        <v>très nécessaire, difficile</v>
      </c>
      <c r="BF111" s="754" t="str">
        <f>IF(VLOOKUP(A111,'Revitalisation-Revitalisierung'!$A$4:$Z$275,9,FALSE)="","",VLOOKUP(A111,'Revitalisation-Revitalisierung'!$A$4:$Z$275,9,FALSE))</f>
        <v/>
      </c>
      <c r="BG111" s="754" t="str">
        <f>IF(VLOOKUP(A111,'Revitalisation-Revitalisierung'!$A$4:$Z$275,10,FALSE)="","",VLOOKUP(A111,'Revitalisation-Revitalisierung'!$A$4:$Z$275,10,FALSE))</f>
        <v>K1</v>
      </c>
      <c r="BH111" s="755" t="str">
        <f>IF(VLOOKUP(A111,'Revitalisation-Revitalisierung'!$A$4:$Z$275,11,FALSE)="","",VLOOKUP(A111,'Revitalisation-Revitalisierung'!$A$4:$Z$275,11,FALSE))</f>
        <v/>
      </c>
      <c r="BI111" s="756" t="str">
        <f>IF(VLOOKUP(A111,'Revitalisation-Revitalisierung'!$A$4:$Z$275,12,FALSE)="","",VLOOKUP(A111,'Revitalisation-Revitalisierung'!$A$4:$Z$275,12,FALSE))</f>
        <v/>
      </c>
      <c r="BJ111" s="788" t="str">
        <f>IF(VLOOKUP(A111,'Revitalisation-Revitalisierung'!$A$4:$Z$275,13,FALSE)="","",VLOOKUP(A111,'Revitalisation-Revitalisierung'!$A$4:$Z$275,13,FALSE))</f>
        <v>Très nécessaire, facile / unbedingt nötig, einfach</v>
      </c>
      <c r="BK111" s="870" t="str">
        <f>IF(VLOOKUP(A111,'Revitalisation-Revitalisierung'!$A$4:$Z$275,14,FALSE)="","",VLOOKUP(A111,'Revitalisation-Revitalisierung'!$A$4:$Z$275,14,FALSE))</f>
        <v>b</v>
      </c>
      <c r="BL111" s="758" t="str">
        <f>IF(VLOOKUP(A111,'Revitalisation-Revitalisierung'!$A$4:$Z$275,15,FALSE)="","",VLOOKUP(A111,'Revitalisation-Revitalisierung'!$A$4:$Z$275,15,FALSE))</f>
        <v xml:space="preserve">élevé </v>
      </c>
      <c r="BM111" s="759" t="str">
        <f>IF(VLOOKUP(A111,'Revitalisation-Revitalisierung'!$A$4:$Z$275,16,FALSE)="","",VLOOKUP(A111,'Revitalisation-Revitalisierung'!$A$4:$Z$275,16,FALSE))</f>
        <v>moyen à élevé</v>
      </c>
      <c r="BN111" s="759" t="str">
        <f>IF(VLOOKUP(A111,'Revitalisation-Revitalisierung'!$A$4:$Z$275,17,FALSE)="","",VLOOKUP(A111,'Revitalisation-Revitalisierung'!$A$4:$Z$275,17,FALSE))</f>
        <v>mesure</v>
      </c>
      <c r="BO111" s="760" t="str">
        <f>IF(VLOOKUP(A111,'Revitalisation-Revitalisierung'!$A$4:$Z$275,18,FALSE)="","",VLOOKUP(A111,'Revitalisation-Revitalisierung'!$A$4:$Z$275,18,FALSE))</f>
        <v>Très nécessaire, facile / unbedingt nötig, einfach</v>
      </c>
      <c r="BP111" s="761" t="str">
        <f>IF(VLOOKUP(A111,'Revitalisation-Revitalisierung'!$A$4:$Z$275,19,FALSE)="","",VLOOKUP(A111,'Revitalisation-Revitalisierung'!$A$4:$Z$275,19,FALSE))</f>
        <v>Très nécessaire, facile / unbedingt nötig, einfach</v>
      </c>
      <c r="BQ111" s="759" t="str">
        <f>IF(VLOOKUP(A111,'Revitalisation-Revitalisierung'!$A$4:$Z$275,20,FALSE)="","",VLOOKUP(A111,'Revitalisation-Revitalisierung'!$A$4:$Z$275,20,FALSE))</f>
        <v>d</v>
      </c>
      <c r="BR111" s="759" t="str">
        <f>IF(VLOOKUP(A111,'Revitalisation-Revitalisierung'!$A$4:$Z$275,21,FALSE)="","",VLOOKUP(A111,'Revitalisation-Revitalisierung'!$A$4:$Z$275,21,FALSE))</f>
        <v/>
      </c>
      <c r="BS111" s="762" t="str">
        <f>IF(VLOOKUP(A111,'Revitalisation-Revitalisierung'!$A$4:$Z$275,22,FALSE)="","",VLOOKUP(A111,'Revitalisation-Revitalisierung'!$A$4:$Z$275,22,FALSE))</f>
        <v/>
      </c>
      <c r="BT111" s="700" t="str">
        <f>IF(VLOOKUP(A111,'Revitalisation-Revitalisierung'!$A$4:$Z$275,23,FALSE)="","",VLOOKUP(A111,'Revitalisation-Revitalisierung'!$A$4:$Z$275,23,FALSE))</f>
        <v/>
      </c>
      <c r="BU111" s="699" t="str">
        <f>IF(VLOOKUP(A111,'Revitalisation-Revitalisierung'!$A$4:$Z$275,24,FALSE)="","",VLOOKUP(A111,'Revitalisation-Revitalisierung'!$A$4:$Z$275,24,FALSE))</f>
        <v/>
      </c>
      <c r="BV111" s="761" t="str">
        <f>IF(VLOOKUP(A111,'Revitalisation-Revitalisierung'!$A$4:$Z$275,25,FALSE)="","",VLOOKUP(A111,'Revitalisation-Revitalisierung'!$A$4:$Z$275,25,FALSE))</f>
        <v>Très nécessaire, facile / unbedingt nötig, einfach</v>
      </c>
      <c r="BW111" s="871" t="str">
        <f>IF(VLOOKUP(A111,'Revitalisation-Revitalisierung'!$A$4:$AA$275,27,FALSE)="","",VLOOKUP(A111,'Revitalisation-Revitalisierung'!$A$4:$AA$275,27,FALSE))</f>
        <v>a</v>
      </c>
    </row>
    <row r="112" spans="1:75" ht="109.9" customHeight="1" x14ac:dyDescent="0.25">
      <c r="A112" s="935">
        <v>134</v>
      </c>
      <c r="B112" s="856">
        <f>IF(VLOOKUP(A112,'Données de base - Grunddaten'!$A$2:$M$297,2,FALSE)="","",VLOOKUP(A112,'Données de base - Grunddaten'!$A$2:$M$297,2,FALSE))</f>
        <v>1</v>
      </c>
      <c r="C112" s="857" t="str">
        <f>IF(VLOOKUP(A112,'Données de base - Grunddaten'!$A$2:$M$297,3,FALSE)="","",VLOOKUP(A112,'Données de base - Grunddaten'!$A$2:$M$297,3,FALSE))</f>
        <v>Tännmattu</v>
      </c>
      <c r="D112" s="857" t="str">
        <f>IF(VLOOKUP(A112,'Données de base - Grunddaten'!$A$2:$M$297,4,FALSE)="","",VLOOKUP(A112,'Données de base - Grunddaten'!$A$2:$M$297,4,FALSE))</f>
        <v>Lonza</v>
      </c>
      <c r="E112" s="857" t="str">
        <f>IF(VLOOKUP(A112,'Données de base - Grunddaten'!$A$2:$M$297,5,FALSE)="","",VLOOKUP(A112,'Données de base - Grunddaten'!$A$2:$M$297,5,FALSE))</f>
        <v>VS</v>
      </c>
      <c r="F112" s="857" t="str">
        <f>IF(VLOOKUP(A112,'Données de base - Grunddaten'!$A$2:$M$297,6,FALSE)="","",VLOOKUP(A112,'Données de base - Grunddaten'!$A$2:$M$297,6,FALSE))</f>
        <v>Alpes centrales occidentales</v>
      </c>
      <c r="G112" s="857" t="str">
        <f>IF(VLOOKUP(A112,'Données de base - Grunddaten'!$A$2:$M$297,7,FALSE)="","",VLOOKUP(A112,'Données de base - Grunddaten'!$A$2:$M$297,7,FALSE))</f>
        <v>Subalpin inf.</v>
      </c>
      <c r="H112" s="857">
        <f>IF(VLOOKUP(A112,'Données de base - Grunddaten'!$A$2:$M$297,8,FALSE)="","",VLOOKUP(A112,'Données de base - Grunddaten'!$A$2:$M$297,8,FALSE))</f>
        <v>1412</v>
      </c>
      <c r="I112" s="857">
        <f>IF(VLOOKUP(A112,'Données de base - Grunddaten'!$A$2:$M$297,9,FALSE)="","",VLOOKUP(A112,'Données de base - Grunddaten'!$A$2:$M$297,9,FALSE))</f>
        <v>1992</v>
      </c>
      <c r="J112" s="857">
        <f>IF(VLOOKUP(A112,'Données de base - Grunddaten'!$A$2:$M$297,10,FALSE)="","",VLOOKUP(A112,'Données de base - Grunddaten'!$A$2:$M$297,10,FALSE))</f>
        <v>41</v>
      </c>
      <c r="K112" s="857" t="str">
        <f>IF(VLOOKUP(A112,'Données de base - Grunddaten'!$A$2:$M$297,11,FALSE)="","",VLOOKUP(A112,'Données de base - Grunddaten'!$A$2:$M$297,11,FALSE))</f>
        <v>Cours d'eau naturels de l'étage montagnard</v>
      </c>
      <c r="L112" s="857" t="str">
        <f>IF(VLOOKUP(A112,'Données de base - Grunddaten'!$A$2:$M$297,12,FALSE)="","",VLOOKUP(A112,'Données de base - Grunddaten'!$A$2:$M$297,12,FALSE))</f>
        <v>en méandres migrants</v>
      </c>
      <c r="M112" s="858" t="str">
        <f>IF(VLOOKUP(A112,'Données de base - Grunddaten'!$A$2:$M$297,13,FALSE)="","",VLOOKUP(A112,'Données de base - Grunddaten'!$A$2:$M$297,13,FALSE))</f>
        <v>en méandres migrants</v>
      </c>
      <c r="N112" s="872" t="str">
        <f>IF(VLOOKUP(A112,'Charriage - Geschiebehaushalt'!$A$4:$R$275,5,FALSE)="","",VLOOKUP(A112,'Charriage - Geschiebehaushalt'!$A$4:$R$275,5,FALSE))</f>
        <v>pertinent</v>
      </c>
      <c r="O112" s="881" t="str">
        <f>IF(VLOOKUP(A112,'Charriage - Geschiebehaushalt'!$A$4:$R$275,6,FALSE)="","",VLOOKUP(A112,'Charriage - Geschiebehaushalt'!$A$4:$R$275,6,FALSE))</f>
        <v>non documenté</v>
      </c>
      <c r="P112" s="874" t="str">
        <f>IF(VLOOKUP(A112,'Charriage - Geschiebehaushalt'!$A$4:$R$275,7,FALSE)="","",VLOOKUP(A112,'Charriage - Geschiebehaushalt'!$A$4:$R$275,7,FALSE))</f>
        <v/>
      </c>
      <c r="Q112" s="874" t="str">
        <f>IF(VLOOKUP(A112,'Charriage - Geschiebehaushalt'!$A$4:$R$275,8,FALSE)="","",VLOOKUP(A112,'Charriage - Geschiebehaushalt'!$A$4:$R$275,8,FALSE))</f>
        <v>non documenté</v>
      </c>
      <c r="R112" s="875">
        <f>IF(VLOOKUP(A112,'Charriage - Geschiebehaushalt'!$A$4:$R$275,9,FALSE)="","",VLOOKUP(A112,'Charriage - Geschiebehaushalt'!$A$4:$R$275,9,FALSE))</f>
        <v>0.208248236903158</v>
      </c>
      <c r="S112" s="876" t="str">
        <f>IF(VLOOKUP(A112,'Charriage - Geschiebehaushalt'!$A$4:$R$275,10,FALSE)="","",VLOOKUP(A112,'Charriage - Geschiebehaushalt'!$A$4:$R$275,10,FALSE))</f>
        <v>pas ou faiblement entravé</v>
      </c>
      <c r="T112" s="875">
        <f>IF(VLOOKUP(A112,'Charriage - Geschiebehaushalt'!$A$4:$R$275,11,FALSE)="","",VLOOKUP(A112,'Charriage - Geschiebehaushalt'!$A$4:$R$275,11,FALSE))</f>
        <v>0.32198350522000002</v>
      </c>
      <c r="U112" s="876" t="str">
        <f>IF(VLOOKUP(A112,'Charriage - Geschiebehaushalt'!$A$4:$R$275,12,FALSE)="","",VLOOKUP(A112,'Charriage - Geschiebehaushalt'!$A$4:$R$275,12,FALSE))</f>
        <v>déficit dans les formations pionnières</v>
      </c>
      <c r="V112" s="877" t="str">
        <f>IF(VLOOKUP(A112,'Charriage - Geschiebehaushalt'!$A$4:$R$275,13,FALSE)="","",VLOOKUP(A112,'Charriage - Geschiebehaushalt'!$A$4:$R$275,13,FALSE))</f>
        <v>Charriage très actif, très grossier, très forte dynamique; entretien du cours d'eau (chenal-pilote) mais système tressé presque intact (visite sur place du 17.7.13)</v>
      </c>
      <c r="W112" s="878" t="str">
        <f>IF(VLOOKUP(A112,'Charriage - Geschiebehaushalt'!$A$4:$R$275,14,FALSE)="","",VLOOKUP(A112,'Charriage - Geschiebehaushalt'!$A$4:$R$275,14,FALSE))</f>
        <v>charriage présumé naturel</v>
      </c>
      <c r="X112" s="878" t="str">
        <f>IF(VLOOKUP(A112,'Charriage - Geschiebehaushalt'!$A$4:$R$275,15,FALSE)="","",VLOOKUP(A112,'Charriage - Geschiebehaushalt'!$A$4:$R$275,15,FALSE))</f>
        <v/>
      </c>
      <c r="Y112" s="882" t="str">
        <f>IF(VLOOKUP(A112,'Charriage - Geschiebehaushalt'!$A$4:$R$275,16,FALSE)="","",VLOOKUP(A112,'Charriage - Geschiebehaushalt'!$A$4:$R$275,16,FALSE))</f>
        <v/>
      </c>
      <c r="Z112" s="763" t="str">
        <f>IF(VLOOKUP(A112,'Charriage - Geschiebehaushalt'!$A$4:$R$275,17,FALSE)="","",VLOOKUP(A112,'Charriage - Geschiebehaushalt'!$A$4:$R$275,17,FALSE))</f>
        <v>Charriage présumé naturel / Geschiebehaushalt vermutlich natürlich</v>
      </c>
      <c r="AA112" s="880" t="str">
        <f>IF(VLOOKUP(A112,'Charriage - Geschiebehaushalt'!$A$4:$R$275,18,FALSE)="","",VLOOKUP(A112,'Charriage - Geschiebehaushalt'!$A$4:$R$275,18,FALSE))</f>
        <v>a</v>
      </c>
      <c r="AB112" s="737" t="str">
        <f>IF(VLOOKUP(A112,'Charriage - Geschiebehaushalt'!$A$4:$AC$275,19,FALSE)="","",VLOOKUP(A112,'Charriage - Geschiebehaushalt'!$A$4:$AC$275,19,FALSE))</f>
        <v>pas atteinte significative</v>
      </c>
      <c r="AC112" s="738" t="str">
        <f>IF(VLOOKUP(A112,'Charriage - Geschiebehaushalt'!$A$4:$AC$275,20,FALSE)="","",VLOOKUP(A112,'Charriage - Geschiebehaushalt'!$A$4:$AC$275,20,FALSE))</f>
        <v>pas de mesure prévue</v>
      </c>
      <c r="AD112" s="789" t="str">
        <f>IF(VLOOKUP(A112,'Charriage - Geschiebehaushalt'!$A$4:$AC$275,21,FALSE)="","",VLOOKUP(A112,'Charriage - Geschiebehaushalt'!$A$4:$AC$275,21,FALSE))</f>
        <v>0-20%</v>
      </c>
      <c r="AE112" s="772" t="str">
        <f>IF(VLOOKUP(A112,'Charriage - Geschiebehaushalt'!$A$4:$AC$275,22,FALSE)="","",VLOOKUP(A112,'Charriage - Geschiebehaushalt'!$A$4:$AC$275,22,FALSE))</f>
        <v>0-20%</v>
      </c>
      <c r="AF112" s="787" t="str">
        <f>IF(VLOOKUP(A112,'Charriage - Geschiebehaushalt'!$A$4:$AC$275,23,FALSE)="","",VLOOKUP(A112,'Charriage - Geschiebehaushalt'!$A$4:$AC$275,23,FALSE))</f>
        <v>d</v>
      </c>
      <c r="AG112" s="765" t="str">
        <f>IF(VLOOKUP(A112,'Charriage - Geschiebehaushalt'!$A$4:$AC$275,24,FALSE)="","",VLOOKUP(A112,'Charriage - Geschiebehaushalt'!$A$4:$AC$275,24,FALSE))</f>
        <v/>
      </c>
      <c r="AH112" s="764" t="str">
        <f>IF(VLOOKUP(A112,'Charriage - Geschiebehaushalt'!$A$4:$AC$275,25,FALSE)="","",VLOOKUP(A112,'Charriage - Geschiebehaushalt'!$A$4:$AC$275,25,FALSE))</f>
        <v/>
      </c>
      <c r="AI112" s="435" t="str">
        <f>IF(VLOOKUP(A112,'Charriage - Geschiebehaushalt'!$A$4:$AC$275,26,FALSE)="","",VLOOKUP(A112,'Charriage - Geschiebehaushalt'!$A$4:$AC$275,26,FALSE))</f>
        <v/>
      </c>
      <c r="AJ112" s="436" t="str">
        <f>IF(VLOOKUP(A112,'Charriage - Geschiebehaushalt'!$A$4:$AC$275,27,FALSE)="","",VLOOKUP(A112,'Charriage - Geschiebehaushalt'!$A$4:$AC$275,27,FALSE))</f>
        <v/>
      </c>
      <c r="AK112" s="814" t="str">
        <f>IF(VLOOKUP(A112,'Charriage - Geschiebehaushalt'!$A$4:$AC$275,28,FALSE)="","",VLOOKUP(A112,'Charriage - Geschiebehaushalt'!$A$4:$AC$275,28,FALSE))</f>
        <v>0-20%</v>
      </c>
      <c r="AL112" s="1285" t="str">
        <f>IF(VLOOKUP(A112,'Charriage - Geschiebehaushalt'!$A$4:$AD$275,30,FALSE)="","",VLOOKUP(A112,'Charriage - Geschiebehaushalt'!$A$4:$AD$275,30,FALSE))</f>
        <v>a</v>
      </c>
      <c r="AM112" s="1279" t="str">
        <f>IF(VLOOKUP(A112,'Débit - Abfluss'!$A$4:$K$275,5,FALSE)="","",VLOOKUP(A112,'Débit - Abfluss'!$A$4:$M$275,5,FALSE))</f>
        <v>100%</v>
      </c>
      <c r="AN112" s="868" t="str">
        <f>IF(VLOOKUP(A112,'Débit - Abfluss'!$A$4:$K$275,6,FALSE)="","",VLOOKUP(A112,'Débit - Abfluss'!$A$4:$M$275,6,FALSE))</f>
        <v>aucune information supplémentaire</v>
      </c>
      <c r="AO112" s="869" t="str">
        <f>IF(VLOOKUP(A112,'Débit - Abfluss'!$A$4:$K$275,7,FALSE)="","",VLOOKUP(A112,'Débit - Abfluss'!$A$4:$M$275,7,FALSE))</f>
        <v>aucune information supplémentaire</v>
      </c>
      <c r="AP112" s="766" t="str">
        <f>IF(VLOOKUP(A112,'Débit - Abfluss'!$A$4:$K$275,8,FALSE)="","",VLOOKUP(A112,'Débit - Abfluss'!$A$4:$M$275,8,FALSE))</f>
        <v>100%</v>
      </c>
      <c r="AQ112" s="742" t="str">
        <f>IF(VLOOKUP(A112,'Débit - Abfluss'!$A$4:$K$275,9,FALSE)="","",VLOOKUP(A112,'Débit - Abfluss'!$A$4:$M$275,9,FALSE))</f>
        <v>-</v>
      </c>
      <c r="AR112" s="767" t="str">
        <f>IF(VLOOKUP(A112,'Débit - Abfluss'!$A$4:$K$275,10,FALSE)="","",VLOOKUP(A112,'Débit - Abfluss'!$A$4:$M$275,10,FALSE))</f>
        <v>100%</v>
      </c>
      <c r="AS112" s="767" t="str">
        <f>IF(VLOOKUP(A112,'Débit - Abfluss'!$A$4:$K$275,11,FALSE)="","",VLOOKUP(A112,'Débit - Abfluss'!$A$4:$M$275,11,FALSE))</f>
        <v/>
      </c>
      <c r="AT112" s="778" t="str">
        <f>IF(VLOOKUP(A112,'Débit - Abfluss'!$A$4:$Q$275,12,FALSE)="","",VLOOKUP(A112,'Débit - Abfluss'!$A$4:$Q$275,12,FALSE))</f>
        <v/>
      </c>
      <c r="AU112" s="779" t="str">
        <f>IF(VLOOKUP(A112,'Débit - Abfluss'!$A$4:$Q$275,13,FALSE)="","",VLOOKUP(A112,'Débit - Abfluss'!$A$4:$Q$275,13,FALSE))</f>
        <v/>
      </c>
      <c r="AV112" s="746" t="str">
        <f>IF(VLOOKUP(A112,'Débit - Abfluss'!$A$4:$Q$275,14,FALSE)="","",VLOOKUP(A112,'Débit - Abfluss'!$A$4:$Q$275,14,FALSE))</f>
        <v/>
      </c>
      <c r="AW112" s="768" t="str">
        <f>IF(VLOOKUP(A112,'Débit - Abfluss'!$A$4:$Q$275,15,FALSE)="","",VLOOKUP(A112,'Débit - Abfluss'!$A$4:$Q$275,15,FALSE))</f>
        <v/>
      </c>
      <c r="AX112" s="679" t="str">
        <f>IF(VLOOKUP(A112,'Débit - Abfluss'!$A$4:$Q$275,16,FALSE)="","",VLOOKUP(A112,'Débit - Abfluss'!$A$4:$Q$275,16,FALSE))</f>
        <v/>
      </c>
      <c r="AY112" s="769" t="str">
        <f>IF(VLOOKUP(A112,'Débit - Abfluss'!$A$4:$Q$275,17,FALSE)="","",VLOOKUP(A112,'Débit - Abfluss'!$A$4:$Q$275,17,FALSE))</f>
        <v>100%</v>
      </c>
      <c r="AZ112" s="749" t="str">
        <f>IF(VLOOKUP(A112,'Eclusée - Schwall-Sunk'!$A$2:$F$273,5,FALSE)="","",VLOOKUP(A112,'Eclusée - Schwall-Sunk'!$A$2:$F$273,5,FALSE))</f>
        <v/>
      </c>
      <c r="BA112" s="750" t="str">
        <f>IF(VLOOKUP(A112,'Eclusée - Schwall-Sunk'!$A$2:$F$273,6,FALSE)="","",VLOOKUP(A112,'Eclusée - Schwall-Sunk'!$A$2:$F$273,6,FALSE))</f>
        <v>Non affecté / nicht betroffen</v>
      </c>
      <c r="BB112" s="751">
        <f>IF(VLOOKUP(A112,'Revitalisation-Revitalisierung'!$A$4:$Z$275,5,FALSE)="","",VLOOKUP(A112,'Revitalisation-Revitalisierung'!$A$4:$Z$275,5,FALSE))</f>
        <v>8.5909090909090917</v>
      </c>
      <c r="BC112" s="752">
        <f>IF(VLOOKUP(A112,'Revitalisation-Revitalisierung'!$A$4:$Z$275,6,FALSE)="","",VLOOKUP(A112,'Revitalisation-Revitalisierung'!$A$4:$Z$275,6,FALSE))</f>
        <v>24.484485250240869</v>
      </c>
      <c r="BD112" s="752">
        <f>IF(VLOOKUP(A112,'Revitalisation-Revitalisierung'!$A$4:$Z$275,7,FALSE)="","",VLOOKUP(A112,'Revitalisation-Revitalisierung'!$A$4:$Z$275,7,FALSE))</f>
        <v>15.909090909090908</v>
      </c>
      <c r="BE112" s="753" t="str">
        <f>IF(VLOOKUP(A112,'Revitalisation-Revitalisierung'!$A$4:$Z$275,8,FALSE)="","",VLOOKUP(A112,'Revitalisation-Revitalisierung'!$A$4:$Z$275,8,FALSE))</f>
        <v>peu nécessaire, facile</v>
      </c>
      <c r="BF112" s="754" t="str">
        <f>IF(VLOOKUP(A112,'Revitalisation-Revitalisierung'!$A$4:$Z$275,9,FALSE)="","",VLOOKUP(A112,'Revitalisation-Revitalisierung'!$A$4:$Z$275,9,FALSE))</f>
        <v/>
      </c>
      <c r="BG112" s="754" t="str">
        <f>IF(VLOOKUP(A112,'Revitalisation-Revitalisierung'!$A$4:$Z$275,10,FALSE)="","",VLOOKUP(A112,'Revitalisation-Revitalisierung'!$A$4:$Z$275,10,FALSE))</f>
        <v>K3</v>
      </c>
      <c r="BH112" s="755" t="str">
        <f>IF(VLOOKUP(A112,'Revitalisation-Revitalisierung'!$A$4:$Z$275,11,FALSE)="","",VLOOKUP(A112,'Revitalisation-Revitalisierung'!$A$4:$Z$275,11,FALSE))</f>
        <v/>
      </c>
      <c r="BI112" s="756" t="str">
        <f>IF(VLOOKUP(A112,'Revitalisation-Revitalisierung'!$A$4:$Z$275,12,FALSE)="","",VLOOKUP(A112,'Revitalisation-Revitalisierung'!$A$4:$Z$275,12,FALSE))</f>
        <v/>
      </c>
      <c r="BJ112" s="788" t="str">
        <f>IF(VLOOKUP(A112,'Revitalisation-Revitalisierung'!$A$4:$Z$275,13,FALSE)="","",VLOOKUP(A112,'Revitalisation-Revitalisierung'!$A$4:$Z$275,13,FALSE))</f>
        <v>Très nécessaire, facile / unbedingt nötig, einfach</v>
      </c>
      <c r="BK112" s="870" t="str">
        <f>IF(VLOOKUP(A112,'Revitalisation-Revitalisierung'!$A$4:$Z$275,14,FALSE)="","",VLOOKUP(A112,'Revitalisation-Revitalisierung'!$A$4:$Z$275,14,FALSE))</f>
        <v>b</v>
      </c>
      <c r="BL112" s="758" t="str">
        <f>IF(VLOOKUP(A112,'Revitalisation-Revitalisierung'!$A$4:$Z$275,15,FALSE)="","",VLOOKUP(A112,'Revitalisation-Revitalisierung'!$A$4:$Z$275,15,FALSE))</f>
        <v>élevé</v>
      </c>
      <c r="BM112" s="759" t="str">
        <f>IF(VLOOKUP(A112,'Revitalisation-Revitalisierung'!$A$4:$Z$275,16,FALSE)="","",VLOOKUP(A112,'Revitalisation-Revitalisierung'!$A$4:$Z$275,16,FALSE))</f>
        <v>élevé</v>
      </c>
      <c r="BN112" s="759" t="str">
        <f>IF(VLOOKUP(A112,'Revitalisation-Revitalisierung'!$A$4:$Z$275,17,FALSE)="","",VLOOKUP(A112,'Revitalisation-Revitalisierung'!$A$4:$Z$275,17,FALSE))</f>
        <v>mesure</v>
      </c>
      <c r="BO112" s="760" t="str">
        <f>IF(VLOOKUP(A112,'Revitalisation-Revitalisierung'!$A$4:$Z$275,18,FALSE)="","",VLOOKUP(A112,'Revitalisation-Revitalisierung'!$A$4:$Z$275,18,FALSE))</f>
        <v>Très nécessaire, facile / unbedingt nötig, einfach</v>
      </c>
      <c r="BP112" s="761" t="str">
        <f>IF(VLOOKUP(A112,'Revitalisation-Revitalisierung'!$A$4:$Z$275,19,FALSE)="","",VLOOKUP(A112,'Revitalisation-Revitalisierung'!$A$4:$Z$275,19,FALSE))</f>
        <v>Très nécessaire, facile / unbedingt nötig, einfach</v>
      </c>
      <c r="BQ112" s="759" t="str">
        <f>IF(VLOOKUP(A112,'Revitalisation-Revitalisierung'!$A$4:$Z$275,20,FALSE)="","",VLOOKUP(A112,'Revitalisation-Revitalisierung'!$A$4:$Z$275,20,FALSE))</f>
        <v>d</v>
      </c>
      <c r="BR112" s="759" t="str">
        <f>IF(VLOOKUP(A112,'Revitalisation-Revitalisierung'!$A$4:$Z$275,21,FALSE)="","",VLOOKUP(A112,'Revitalisation-Revitalisierung'!$A$4:$Z$275,21,FALSE))</f>
        <v/>
      </c>
      <c r="BS112" s="762" t="str">
        <f>IF(VLOOKUP(A112,'Revitalisation-Revitalisierung'!$A$4:$Z$275,22,FALSE)="","",VLOOKUP(A112,'Revitalisation-Revitalisierung'!$A$4:$Z$275,22,FALSE))</f>
        <v/>
      </c>
      <c r="BT112" s="700" t="str">
        <f>IF(VLOOKUP(A112,'Revitalisation-Revitalisierung'!$A$4:$Z$275,23,FALSE)="","",VLOOKUP(A112,'Revitalisation-Revitalisierung'!$A$4:$Z$275,23,FALSE))</f>
        <v/>
      </c>
      <c r="BU112" s="699" t="str">
        <f>IF(VLOOKUP(A112,'Revitalisation-Revitalisierung'!$A$4:$Z$275,24,FALSE)="","",VLOOKUP(A112,'Revitalisation-Revitalisierung'!$A$4:$Z$275,24,FALSE))</f>
        <v/>
      </c>
      <c r="BV112" s="761" t="str">
        <f>IF(VLOOKUP(A112,'Revitalisation-Revitalisierung'!$A$4:$Z$275,25,FALSE)="","",VLOOKUP(A112,'Revitalisation-Revitalisierung'!$A$4:$Z$275,25,FALSE))</f>
        <v>Très nécessaire, facile / unbedingt nötig, einfach</v>
      </c>
      <c r="BW112" s="871" t="str">
        <f>IF(VLOOKUP(A112,'Revitalisation-Revitalisierung'!$A$4:$AA$275,27,FALSE)="","",VLOOKUP(A112,'Revitalisation-Revitalisierung'!$A$4:$AA$275,27,FALSE))</f>
        <v>a</v>
      </c>
    </row>
    <row r="113" spans="1:75" ht="109.9" customHeight="1" x14ac:dyDescent="0.25">
      <c r="A113" s="935">
        <v>135</v>
      </c>
      <c r="B113" s="856">
        <f>IF(VLOOKUP(A113,'Données de base - Grunddaten'!$A$2:$M$297,2,FALSE)="","",VLOOKUP(A113,'Données de base - Grunddaten'!$A$2:$M$297,2,FALSE))</f>
        <v>1</v>
      </c>
      <c r="C113" s="857" t="str">
        <f>IF(VLOOKUP(A113,'Données de base - Grunddaten'!$A$2:$M$297,3,FALSE)="","",VLOOKUP(A113,'Données de base - Grunddaten'!$A$2:$M$297,3,FALSE))</f>
        <v>Chiemadmatte</v>
      </c>
      <c r="D113" s="857" t="str">
        <f>IF(VLOOKUP(A113,'Données de base - Grunddaten'!$A$2:$M$297,4,FALSE)="","",VLOOKUP(A113,'Données de base - Grunddaten'!$A$2:$M$297,4,FALSE))</f>
        <v>Lonza</v>
      </c>
      <c r="E113" s="857" t="str">
        <f>IF(VLOOKUP(A113,'Données de base - Grunddaten'!$A$2:$M$297,5,FALSE)="","",VLOOKUP(A113,'Données de base - Grunddaten'!$A$2:$M$297,5,FALSE))</f>
        <v>VS</v>
      </c>
      <c r="F113" s="857" t="str">
        <f>IF(VLOOKUP(A113,'Données de base - Grunddaten'!$A$2:$M$297,6,FALSE)="","",VLOOKUP(A113,'Données de base - Grunddaten'!$A$2:$M$297,6,FALSE))</f>
        <v>Alpes centrales occidentales</v>
      </c>
      <c r="G113" s="857" t="str">
        <f>IF(VLOOKUP(A113,'Données de base - Grunddaten'!$A$2:$M$297,7,FALSE)="","",VLOOKUP(A113,'Données de base - Grunddaten'!$A$2:$M$297,7,FALSE))</f>
        <v>Subalpin sup.</v>
      </c>
      <c r="H113" s="857">
        <f>IF(VLOOKUP(A113,'Données de base - Grunddaten'!$A$2:$M$297,8,FALSE)="","",VLOOKUP(A113,'Données de base - Grunddaten'!$A$2:$M$297,8,FALSE))</f>
        <v>1620</v>
      </c>
      <c r="I113" s="857">
        <f>IF(VLOOKUP(A113,'Données de base - Grunddaten'!$A$2:$M$297,9,FALSE)="","",VLOOKUP(A113,'Données de base - Grunddaten'!$A$2:$M$297,9,FALSE))</f>
        <v>1992</v>
      </c>
      <c r="J113" s="857">
        <f>IF(VLOOKUP(A113,'Données de base - Grunddaten'!$A$2:$M$297,10,FALSE)="","",VLOOKUP(A113,'Données de base - Grunddaten'!$A$2:$M$297,10,FALSE))</f>
        <v>31</v>
      </c>
      <c r="K113" s="857" t="str">
        <f>IF(VLOOKUP(A113,'Données de base - Grunddaten'!$A$2:$M$297,11,FALSE)="","",VLOOKUP(A113,'Données de base - Grunddaten'!$A$2:$M$297,11,FALSE))</f>
        <v>Cours d'eau naturels de l'étage subalpin</v>
      </c>
      <c r="L113" s="857" t="str">
        <f>IF(VLOOKUP(A113,'Données de base - Grunddaten'!$A$2:$M$297,12,FALSE)="","",VLOOKUP(A113,'Données de base - Grunddaten'!$A$2:$M$297,12,FALSE))</f>
        <v>en méandres migrants</v>
      </c>
      <c r="M113" s="858" t="str">
        <f>IF(VLOOKUP(A113,'Données de base - Grunddaten'!$A$2:$M$297,13,FALSE)="","",VLOOKUP(A113,'Données de base - Grunddaten'!$A$2:$M$297,13,FALSE))</f>
        <v>en tresses</v>
      </c>
      <c r="N113" s="872" t="str">
        <f>IF(VLOOKUP(A113,'Charriage - Geschiebehaushalt'!$A$4:$R$275,5,FALSE)="","",VLOOKUP(A113,'Charriage - Geschiebehaushalt'!$A$4:$R$275,5,FALSE))</f>
        <v>pertinent</v>
      </c>
      <c r="O113" s="881" t="str">
        <f>IF(VLOOKUP(A113,'Charriage - Geschiebehaushalt'!$A$4:$R$275,6,FALSE)="","",VLOOKUP(A113,'Charriage - Geschiebehaushalt'!$A$4:$R$275,6,FALSE))</f>
        <v>non documenté</v>
      </c>
      <c r="P113" s="874" t="str">
        <f>IF(VLOOKUP(A113,'Charriage - Geschiebehaushalt'!$A$4:$R$275,7,FALSE)="","",VLOOKUP(A113,'Charriage - Geschiebehaushalt'!$A$4:$R$275,7,FALSE))</f>
        <v/>
      </c>
      <c r="Q113" s="874" t="str">
        <f>IF(VLOOKUP(A113,'Charriage - Geschiebehaushalt'!$A$4:$R$275,8,FALSE)="","",VLOOKUP(A113,'Charriage - Geschiebehaushalt'!$A$4:$R$275,8,FALSE))</f>
        <v>non documenté</v>
      </c>
      <c r="R113" s="875">
        <f>IF(VLOOKUP(A113,'Charriage - Geschiebehaushalt'!$A$4:$R$275,9,FALSE)="","",VLOOKUP(A113,'Charriage - Geschiebehaushalt'!$A$4:$R$275,9,FALSE))</f>
        <v>0.17457338982268</v>
      </c>
      <c r="S113" s="876" t="str">
        <f>IF(VLOOKUP(A113,'Charriage - Geschiebehaushalt'!$A$4:$R$275,10,FALSE)="","",VLOOKUP(A113,'Charriage - Geschiebehaushalt'!$A$4:$R$275,10,FALSE))</f>
        <v>pas ou faiblement entravé</v>
      </c>
      <c r="T113" s="875">
        <f>IF(VLOOKUP(A113,'Charriage - Geschiebehaushalt'!$A$4:$R$275,11,FALSE)="","",VLOOKUP(A113,'Charriage - Geschiebehaushalt'!$A$4:$R$275,11,FALSE))</f>
        <v>0.31278187426999998</v>
      </c>
      <c r="U113" s="876" t="str">
        <f>IF(VLOOKUP(A113,'Charriage - Geschiebehaushalt'!$A$4:$R$275,12,FALSE)="","",VLOOKUP(A113,'Charriage - Geschiebehaushalt'!$A$4:$R$275,12,FALSE))</f>
        <v>déficit dans les formations pionnières</v>
      </c>
      <c r="V113" s="877" t="str">
        <f>IF(VLOOKUP(A113,'Charriage - Geschiebehaushalt'!$A$4:$R$275,13,FALSE)="","",VLOOKUP(A113,'Charriage - Geschiebehaushalt'!$A$4:$R$275,13,FALSE))</f>
        <v>Charriage très actif, très grossier, très forte dynamique; entretien du cours d'eau (chenal-pilote) mais système tressé presque intact (visite sur place du 17.7.13)</v>
      </c>
      <c r="W113" s="878" t="str">
        <f>IF(VLOOKUP(A113,'Charriage - Geschiebehaushalt'!$A$4:$R$275,14,FALSE)="","",VLOOKUP(A113,'Charriage - Geschiebehaushalt'!$A$4:$R$275,14,FALSE))</f>
        <v>charriage présumé naturel</v>
      </c>
      <c r="X113" s="878" t="str">
        <f>IF(VLOOKUP(A113,'Charriage - Geschiebehaushalt'!$A$4:$R$275,15,FALSE)="","",VLOOKUP(A113,'Charriage - Geschiebehaushalt'!$A$4:$R$275,15,FALSE))</f>
        <v/>
      </c>
      <c r="Y113" s="882" t="str">
        <f>IF(VLOOKUP(A113,'Charriage - Geschiebehaushalt'!$A$4:$R$275,16,FALSE)="","",VLOOKUP(A113,'Charriage - Geschiebehaushalt'!$A$4:$R$275,16,FALSE))</f>
        <v/>
      </c>
      <c r="Z113" s="763" t="str">
        <f>IF(VLOOKUP(A113,'Charriage - Geschiebehaushalt'!$A$4:$R$275,17,FALSE)="","",VLOOKUP(A113,'Charriage - Geschiebehaushalt'!$A$4:$R$275,17,FALSE))</f>
        <v>Charriage présumé naturel / Geschiebehaushalt vermutlich natürlich</v>
      </c>
      <c r="AA113" s="880" t="str">
        <f>IF(VLOOKUP(A113,'Charriage - Geschiebehaushalt'!$A$4:$R$275,18,FALSE)="","",VLOOKUP(A113,'Charriage - Geschiebehaushalt'!$A$4:$R$275,18,FALSE))</f>
        <v>a</v>
      </c>
      <c r="AB113" s="737" t="str">
        <f>IF(VLOOKUP(A113,'Charriage - Geschiebehaushalt'!$A$4:$AC$275,19,FALSE)="","",VLOOKUP(A113,'Charriage - Geschiebehaushalt'!$A$4:$AC$275,19,FALSE))</f>
        <v>pas atteinte significative</v>
      </c>
      <c r="AC113" s="738" t="str">
        <f>IF(VLOOKUP(A113,'Charriage - Geschiebehaushalt'!$A$4:$AC$275,20,FALSE)="","",VLOOKUP(A113,'Charriage - Geschiebehaushalt'!$A$4:$AC$275,20,FALSE))</f>
        <v>pas de mesure prévue</v>
      </c>
      <c r="AD113" s="789" t="str">
        <f>IF(VLOOKUP(A113,'Charriage - Geschiebehaushalt'!$A$4:$AC$275,21,FALSE)="","",VLOOKUP(A113,'Charriage - Geschiebehaushalt'!$A$4:$AC$275,21,FALSE))</f>
        <v>0-20%</v>
      </c>
      <c r="AE113" s="772" t="str">
        <f>IF(VLOOKUP(A113,'Charriage - Geschiebehaushalt'!$A$4:$AC$275,22,FALSE)="","",VLOOKUP(A113,'Charriage - Geschiebehaushalt'!$A$4:$AC$275,22,FALSE))</f>
        <v>0-20%</v>
      </c>
      <c r="AF113" s="787" t="str">
        <f>IF(VLOOKUP(A113,'Charriage - Geschiebehaushalt'!$A$4:$AC$275,23,FALSE)="","",VLOOKUP(A113,'Charriage - Geschiebehaushalt'!$A$4:$AC$275,23,FALSE))</f>
        <v>d</v>
      </c>
      <c r="AG113" s="765" t="str">
        <f>IF(VLOOKUP(A113,'Charriage - Geschiebehaushalt'!$A$4:$AC$275,24,FALSE)="","",VLOOKUP(A113,'Charriage - Geschiebehaushalt'!$A$4:$AC$275,24,FALSE))</f>
        <v/>
      </c>
      <c r="AH113" s="764" t="str">
        <f>IF(VLOOKUP(A113,'Charriage - Geschiebehaushalt'!$A$4:$AC$275,25,FALSE)="","",VLOOKUP(A113,'Charriage - Geschiebehaushalt'!$A$4:$AC$275,25,FALSE))</f>
        <v/>
      </c>
      <c r="AI113" s="435" t="str">
        <f>IF(VLOOKUP(A113,'Charriage - Geschiebehaushalt'!$A$4:$AC$275,26,FALSE)="","",VLOOKUP(A113,'Charriage - Geschiebehaushalt'!$A$4:$AC$275,26,FALSE))</f>
        <v/>
      </c>
      <c r="AJ113" s="436" t="str">
        <f>IF(VLOOKUP(A113,'Charriage - Geschiebehaushalt'!$A$4:$AC$275,27,FALSE)="","",VLOOKUP(A113,'Charriage - Geschiebehaushalt'!$A$4:$AC$275,27,FALSE))</f>
        <v/>
      </c>
      <c r="AK113" s="814" t="str">
        <f>IF(VLOOKUP(A113,'Charriage - Geschiebehaushalt'!$A$4:$AC$275,28,FALSE)="","",VLOOKUP(A113,'Charriage - Geschiebehaushalt'!$A$4:$AC$275,28,FALSE))</f>
        <v>0-20%</v>
      </c>
      <c r="AL113" s="1285" t="str">
        <f>IF(VLOOKUP(A113,'Charriage - Geschiebehaushalt'!$A$4:$AD$275,30,FALSE)="","",VLOOKUP(A113,'Charriage - Geschiebehaushalt'!$A$4:$AD$275,30,FALSE))</f>
        <v>a</v>
      </c>
      <c r="AM113" s="1279" t="str">
        <f>IF(VLOOKUP(A113,'Débit - Abfluss'!$A$4:$K$275,5,FALSE)="","",VLOOKUP(A113,'Débit - Abfluss'!$A$4:$M$275,5,FALSE))</f>
        <v>100%</v>
      </c>
      <c r="AN113" s="868" t="str">
        <f>IF(VLOOKUP(A113,'Débit - Abfluss'!$A$4:$K$275,6,FALSE)="","",VLOOKUP(A113,'Débit - Abfluss'!$A$4:$M$275,6,FALSE))</f>
        <v>aucune information supplémentaire</v>
      </c>
      <c r="AO113" s="869" t="str">
        <f>IF(VLOOKUP(A113,'Débit - Abfluss'!$A$4:$K$275,7,FALSE)="","",VLOOKUP(A113,'Débit - Abfluss'!$A$4:$M$275,7,FALSE))</f>
        <v>aucune information supplémentaire</v>
      </c>
      <c r="AP113" s="766" t="str">
        <f>IF(VLOOKUP(A113,'Débit - Abfluss'!$A$4:$K$275,8,FALSE)="","",VLOOKUP(A113,'Débit - Abfluss'!$A$4:$M$275,8,FALSE))</f>
        <v>100%</v>
      </c>
      <c r="AQ113" s="742" t="str">
        <f>IF(VLOOKUP(A113,'Débit - Abfluss'!$A$4:$K$275,9,FALSE)="","",VLOOKUP(A113,'Débit - Abfluss'!$A$4:$M$275,9,FALSE))</f>
        <v>-</v>
      </c>
      <c r="AR113" s="767" t="str">
        <f>IF(VLOOKUP(A113,'Débit - Abfluss'!$A$4:$K$275,10,FALSE)="","",VLOOKUP(A113,'Débit - Abfluss'!$A$4:$M$275,10,FALSE))</f>
        <v>100%</v>
      </c>
      <c r="AS113" s="767" t="str">
        <f>IF(VLOOKUP(A113,'Débit - Abfluss'!$A$4:$K$275,11,FALSE)="","",VLOOKUP(A113,'Débit - Abfluss'!$A$4:$M$275,11,FALSE))</f>
        <v/>
      </c>
      <c r="AT113" s="778" t="str">
        <f>IF(VLOOKUP(A113,'Débit - Abfluss'!$A$4:$Q$275,12,FALSE)="","",VLOOKUP(A113,'Débit - Abfluss'!$A$4:$Q$275,12,FALSE))</f>
        <v/>
      </c>
      <c r="AU113" s="779" t="str">
        <f>IF(VLOOKUP(A113,'Débit - Abfluss'!$A$4:$Q$275,13,FALSE)="","",VLOOKUP(A113,'Débit - Abfluss'!$A$4:$Q$275,13,FALSE))</f>
        <v/>
      </c>
      <c r="AV113" s="746" t="str">
        <f>IF(VLOOKUP(A113,'Débit - Abfluss'!$A$4:$Q$275,14,FALSE)="","",VLOOKUP(A113,'Débit - Abfluss'!$A$4:$Q$275,14,FALSE))</f>
        <v/>
      </c>
      <c r="AW113" s="768" t="str">
        <f>IF(VLOOKUP(A113,'Débit - Abfluss'!$A$4:$Q$275,15,FALSE)="","",VLOOKUP(A113,'Débit - Abfluss'!$A$4:$Q$275,15,FALSE))</f>
        <v/>
      </c>
      <c r="AX113" s="679" t="str">
        <f>IF(VLOOKUP(A113,'Débit - Abfluss'!$A$4:$Q$275,16,FALSE)="","",VLOOKUP(A113,'Débit - Abfluss'!$A$4:$Q$275,16,FALSE))</f>
        <v/>
      </c>
      <c r="AY113" s="769" t="str">
        <f>IF(VLOOKUP(A113,'Débit - Abfluss'!$A$4:$Q$275,17,FALSE)="","",VLOOKUP(A113,'Débit - Abfluss'!$A$4:$Q$275,17,FALSE))</f>
        <v>100%</v>
      </c>
      <c r="AZ113" s="749" t="str">
        <f>IF(VLOOKUP(A113,'Eclusée - Schwall-Sunk'!$A$2:$F$273,5,FALSE)="","",VLOOKUP(A113,'Eclusée - Schwall-Sunk'!$A$2:$F$273,5,FALSE))</f>
        <v/>
      </c>
      <c r="BA113" s="750" t="str">
        <f>IF(VLOOKUP(A113,'Eclusée - Schwall-Sunk'!$A$2:$F$273,6,FALSE)="","",VLOOKUP(A113,'Eclusée - Schwall-Sunk'!$A$2:$F$273,6,FALSE))</f>
        <v>Non affecté / nicht betroffen</v>
      </c>
      <c r="BB113" s="751">
        <f>IF(VLOOKUP(A113,'Revitalisation-Revitalisierung'!$A$4:$Z$275,5,FALSE)="","",VLOOKUP(A113,'Revitalisation-Revitalisierung'!$A$4:$Z$275,5,FALSE))</f>
        <v>8.7090909090909108</v>
      </c>
      <c r="BC113" s="752">
        <f>IF(VLOOKUP(A113,'Revitalisation-Revitalisierung'!$A$4:$Z$275,6,FALSE)="","",VLOOKUP(A113,'Revitalisation-Revitalisierung'!$A$4:$Z$275,6,FALSE))</f>
        <v>12.843881312856194</v>
      </c>
      <c r="BD113" s="752">
        <f>IF(VLOOKUP(A113,'Revitalisation-Revitalisierung'!$A$4:$Z$275,7,FALSE)="","",VLOOKUP(A113,'Revitalisation-Revitalisierung'!$A$4:$Z$275,7,FALSE))</f>
        <v>4.0909090909090908</v>
      </c>
      <c r="BE113" s="753" t="str">
        <f>IF(VLOOKUP(A113,'Revitalisation-Revitalisierung'!$A$4:$Z$275,8,FALSE)="","",VLOOKUP(A113,'Revitalisation-Revitalisierung'!$A$4:$Z$275,8,FALSE))</f>
        <v>peu nécessaire, facile</v>
      </c>
      <c r="BF113" s="754" t="str">
        <f>IF(VLOOKUP(A113,'Revitalisation-Revitalisierung'!$A$4:$Z$275,9,FALSE)="","",VLOOKUP(A113,'Revitalisation-Revitalisierung'!$A$4:$Z$275,9,FALSE))</f>
        <v/>
      </c>
      <c r="BG113" s="754" t="str">
        <f>IF(VLOOKUP(A113,'Revitalisation-Revitalisierung'!$A$4:$Z$275,10,FALSE)="","",VLOOKUP(A113,'Revitalisation-Revitalisierung'!$A$4:$Z$275,10,FALSE))</f>
        <v>K3</v>
      </c>
      <c r="BH113" s="755" t="str">
        <f>IF(VLOOKUP(A113,'Revitalisation-Revitalisierung'!$A$4:$Z$275,11,FALSE)="","",VLOOKUP(A113,'Revitalisation-Revitalisierung'!$A$4:$Z$275,11,FALSE))</f>
        <v/>
      </c>
      <c r="BI113" s="756" t="str">
        <f>IF(VLOOKUP(A113,'Revitalisation-Revitalisierung'!$A$4:$Z$275,12,FALSE)="","",VLOOKUP(A113,'Revitalisation-Revitalisierung'!$A$4:$Z$275,12,FALSE))</f>
        <v/>
      </c>
      <c r="BJ113" s="788" t="str">
        <f>IF(VLOOKUP(A113,'Revitalisation-Revitalisierung'!$A$4:$Z$275,13,FALSE)="","",VLOOKUP(A113,'Revitalisation-Revitalisierung'!$A$4:$Z$275,13,FALSE))</f>
        <v>Partiellement nécessaire, facile / teilweise nötig, einfach</v>
      </c>
      <c r="BK113" s="870" t="str">
        <f>IF(VLOOKUP(A113,'Revitalisation-Revitalisierung'!$A$4:$Z$275,14,FALSE)="","",VLOOKUP(A113,'Revitalisation-Revitalisierung'!$A$4:$Z$275,14,FALSE))</f>
        <v>a</v>
      </c>
      <c r="BL113" s="758" t="str">
        <f>IF(VLOOKUP(A113,'Revitalisation-Revitalisierung'!$A$4:$Z$275,15,FALSE)="","",VLOOKUP(A113,'Revitalisation-Revitalisierung'!$A$4:$Z$275,15,FALSE))</f>
        <v>élevé</v>
      </c>
      <c r="BM113" s="759" t="str">
        <f>IF(VLOOKUP(A113,'Revitalisation-Revitalisierung'!$A$4:$Z$275,16,FALSE)="","",VLOOKUP(A113,'Revitalisation-Revitalisierung'!$A$4:$Z$275,16,FALSE))</f>
        <v>moyen à élevé</v>
      </c>
      <c r="BN113" s="759" t="str">
        <f>IF(VLOOKUP(A113,'Revitalisation-Revitalisierung'!$A$4:$Z$275,17,FALSE)="","",VLOOKUP(A113,'Revitalisation-Revitalisierung'!$A$4:$Z$275,17,FALSE))</f>
        <v>pas de mesure</v>
      </c>
      <c r="BO113" s="760" t="str">
        <f>IF(VLOOKUP(A113,'Revitalisation-Revitalisierung'!$A$4:$Z$275,18,FALSE)="","",VLOOKUP(A113,'Revitalisation-Revitalisierung'!$A$4:$Z$275,18,FALSE))</f>
        <v>Partiellement nécessaire, facile / teilweise nötig, einfach</v>
      </c>
      <c r="BP113" s="761" t="str">
        <f>IF(VLOOKUP(A113,'Revitalisation-Revitalisierung'!$A$4:$Z$275,19,FALSE)="","",VLOOKUP(A113,'Revitalisation-Revitalisierung'!$A$4:$Z$275,19,FALSE))</f>
        <v>Partiellement nécessaire, facile / teilweise nötig, einfach</v>
      </c>
      <c r="BQ113" s="759" t="str">
        <f>IF(VLOOKUP(A113,'Revitalisation-Revitalisierung'!$A$4:$Z$275,20,FALSE)="","",VLOOKUP(A113,'Revitalisation-Revitalisierung'!$A$4:$Z$275,20,FALSE))</f>
        <v>d</v>
      </c>
      <c r="BR113" s="759" t="str">
        <f>IF(VLOOKUP(A113,'Revitalisation-Revitalisierung'!$A$4:$Z$275,21,FALSE)="","",VLOOKUP(A113,'Revitalisation-Revitalisierung'!$A$4:$Z$275,21,FALSE))</f>
        <v/>
      </c>
      <c r="BS113" s="762" t="str">
        <f>IF(VLOOKUP(A113,'Revitalisation-Revitalisierung'!$A$4:$Z$275,22,FALSE)="","",VLOOKUP(A113,'Revitalisation-Revitalisierung'!$A$4:$Z$275,22,FALSE))</f>
        <v/>
      </c>
      <c r="BT113" s="700" t="str">
        <f>IF(VLOOKUP(A113,'Revitalisation-Revitalisierung'!$A$4:$Z$275,23,FALSE)="","",VLOOKUP(A113,'Revitalisation-Revitalisierung'!$A$4:$Z$275,23,FALSE))</f>
        <v/>
      </c>
      <c r="BU113" s="699" t="str">
        <f>IF(VLOOKUP(A113,'Revitalisation-Revitalisierung'!$A$4:$Z$275,24,FALSE)="","",VLOOKUP(A113,'Revitalisation-Revitalisierung'!$A$4:$Z$275,24,FALSE))</f>
        <v/>
      </c>
      <c r="BV113" s="761" t="str">
        <f>IF(VLOOKUP(A113,'Revitalisation-Revitalisierung'!$A$4:$Z$275,25,FALSE)="","",VLOOKUP(A113,'Revitalisation-Revitalisierung'!$A$4:$Z$275,25,FALSE))</f>
        <v>Partiellement nécessaire, facile / teilweise nötig, einfach</v>
      </c>
      <c r="BW113" s="871" t="str">
        <f>IF(VLOOKUP(A113,'Revitalisation-Revitalisierung'!$A$4:$AA$275,27,FALSE)="","",VLOOKUP(A113,'Revitalisation-Revitalisierung'!$A$4:$AA$275,27,FALSE))</f>
        <v>a</v>
      </c>
    </row>
    <row r="114" spans="1:75" ht="59.45" customHeight="1" x14ac:dyDescent="0.25">
      <c r="A114" s="935">
        <v>138</v>
      </c>
      <c r="B114" s="856">
        <f>IF(VLOOKUP(A114,'Données de base - Grunddaten'!$A$2:$M$297,2,FALSE)="","",VLOOKUP(A114,'Données de base - Grunddaten'!$A$2:$M$297,2,FALSE))</f>
        <v>1</v>
      </c>
      <c r="C114" s="857" t="str">
        <f>IF(VLOOKUP(A114,'Données de base - Grunddaten'!$A$2:$M$297,3,FALSE)="","",VLOOKUP(A114,'Données de base - Grunddaten'!$A$2:$M$297,3,FALSE))</f>
        <v>Grund</v>
      </c>
      <c r="D114" s="857" t="str">
        <f>IF(VLOOKUP(A114,'Données de base - Grunddaten'!$A$2:$M$297,4,FALSE)="","",VLOOKUP(A114,'Données de base - Grunddaten'!$A$2:$M$297,4,FALSE))</f>
        <v>Ganterbach, Nesselbach, Saltina, Taferna</v>
      </c>
      <c r="E114" s="857" t="str">
        <f>IF(VLOOKUP(A114,'Données de base - Grunddaten'!$A$2:$M$297,5,FALSE)="","",VLOOKUP(A114,'Données de base - Grunddaten'!$A$2:$M$297,5,FALSE))</f>
        <v>VS</v>
      </c>
      <c r="F114" s="857" t="str">
        <f>IF(VLOOKUP(A114,'Données de base - Grunddaten'!$A$2:$M$297,6,FALSE)="","",VLOOKUP(A114,'Données de base - Grunddaten'!$A$2:$M$297,6,FALSE))</f>
        <v>Alpes centrales occidentales</v>
      </c>
      <c r="G114" s="857" t="str">
        <f>IF(VLOOKUP(A114,'Données de base - Grunddaten'!$A$2:$M$297,7,FALSE)="","",VLOOKUP(A114,'Données de base - Grunddaten'!$A$2:$M$297,7,FALSE))</f>
        <v>Montagnard sup.</v>
      </c>
      <c r="H114" s="857">
        <f>IF(VLOOKUP(A114,'Données de base - Grunddaten'!$A$2:$M$297,8,FALSE)="","",VLOOKUP(A114,'Données de base - Grunddaten'!$A$2:$M$297,8,FALSE))</f>
        <v>1050</v>
      </c>
      <c r="I114" s="857">
        <f>IF(VLOOKUP(A114,'Données de base - Grunddaten'!$A$2:$M$297,9,FALSE)="","",VLOOKUP(A114,'Données de base - Grunddaten'!$A$2:$M$297,9,FALSE))</f>
        <v>1992</v>
      </c>
      <c r="J114" s="857">
        <f>IF(VLOOKUP(A114,'Données de base - Grunddaten'!$A$2:$M$297,10,FALSE)="","",VLOOKUP(A114,'Données de base - Grunddaten'!$A$2:$M$297,10,FALSE))</f>
        <v>41</v>
      </c>
      <c r="K114" s="857" t="str">
        <f>IF(VLOOKUP(A114,'Données de base - Grunddaten'!$A$2:$M$297,11,FALSE)="","",VLOOKUP(A114,'Données de base - Grunddaten'!$A$2:$M$297,11,FALSE))</f>
        <v>Cours d'eau naturels de l'étage montagnard</v>
      </c>
      <c r="L114" s="857" t="str">
        <f>IF(VLOOKUP(A114,'Données de base - Grunddaten'!$A$2:$M$297,12,FALSE)="","",VLOOKUP(A114,'Données de base - Grunddaten'!$A$2:$M$297,12,FALSE))</f>
        <v>en méandres migrants</v>
      </c>
      <c r="M114" s="858" t="str">
        <f>IF(VLOOKUP(A114,'Données de base - Grunddaten'!$A$2:$M$297,13,FALSE)="","",VLOOKUP(A114,'Données de base - Grunddaten'!$A$2:$M$297,13,FALSE))</f>
        <v>en méandres migrants</v>
      </c>
      <c r="N114" s="872" t="str">
        <f>IF(VLOOKUP(A114,'Charriage - Geschiebehaushalt'!$A$4:$R$275,5,FALSE)="","",VLOOKUP(A114,'Charriage - Geschiebehaushalt'!$A$4:$R$275,5,FALSE))</f>
        <v>pertinent</v>
      </c>
      <c r="O114" s="881" t="str">
        <f>IF(VLOOKUP(A114,'Charriage - Geschiebehaushalt'!$A$4:$R$275,6,FALSE)="","",VLOOKUP(A114,'Charriage - Geschiebehaushalt'!$A$4:$R$275,6,FALSE))</f>
        <v>non documenté</v>
      </c>
      <c r="P114" s="874" t="str">
        <f>IF(VLOOKUP(A114,'Charriage - Geschiebehaushalt'!$A$4:$R$275,7,FALSE)="","",VLOOKUP(A114,'Charriage - Geschiebehaushalt'!$A$4:$R$275,7,FALSE))</f>
        <v/>
      </c>
      <c r="Q114" s="874" t="str">
        <f>IF(VLOOKUP(A114,'Charriage - Geschiebehaushalt'!$A$4:$R$275,8,FALSE)="","",VLOOKUP(A114,'Charriage - Geschiebehaushalt'!$A$4:$R$275,8,FALSE))</f>
        <v>non documenté</v>
      </c>
      <c r="R114" s="875">
        <f>IF(VLOOKUP(A114,'Charriage - Geschiebehaushalt'!$A$4:$R$275,9,FALSE)="","",VLOOKUP(A114,'Charriage - Geschiebehaushalt'!$A$4:$R$275,9,FALSE))</f>
        <v>0</v>
      </c>
      <c r="S114" s="876" t="str">
        <f>IF(VLOOKUP(A114,'Charriage - Geschiebehaushalt'!$A$4:$R$275,10,FALSE)="","",VLOOKUP(A114,'Charriage - Geschiebehaushalt'!$A$4:$R$275,10,FALSE))</f>
        <v>pas ou faiblement entravé</v>
      </c>
      <c r="T114" s="875">
        <f>IF(VLOOKUP(A114,'Charriage - Geschiebehaushalt'!$A$4:$R$275,11,FALSE)="","",VLOOKUP(A114,'Charriage - Geschiebehaushalt'!$A$4:$R$275,11,FALSE))</f>
        <v>0.34044310597999999</v>
      </c>
      <c r="U114" s="876" t="str">
        <f>IF(VLOOKUP(A114,'Charriage - Geschiebehaushalt'!$A$4:$R$275,12,FALSE)="","",VLOOKUP(A114,'Charriage - Geschiebehaushalt'!$A$4:$R$275,12,FALSE))</f>
        <v>déficit dans les formations pionnières</v>
      </c>
      <c r="V114" s="877" t="str">
        <f>IF(VLOOKUP(A114,'Charriage - Geschiebehaushalt'!$A$4:$R$275,13,FALSE)="","",VLOOKUP(A114,'Charriage - Geschiebehaushalt'!$A$4:$R$275,13,FALSE))</f>
        <v>Confluence de 3 cours d'eau dont le charriage paraît actif. Extraction de sédiments ?</v>
      </c>
      <c r="W114" s="878" t="str">
        <f>IF(VLOOKUP(A114,'Charriage - Geschiebehaushalt'!$A$4:$R$275,14,FALSE)="","",VLOOKUP(A114,'Charriage - Geschiebehaushalt'!$A$4:$R$275,14,FALSE))</f>
        <v>charriage présumé naturel</v>
      </c>
      <c r="X114" s="878" t="str">
        <f>IF(VLOOKUP(A114,'Charriage - Geschiebehaushalt'!$A$4:$R$275,15,FALSE)="","",VLOOKUP(A114,'Charriage - Geschiebehaushalt'!$A$4:$R$275,15,FALSE))</f>
        <v/>
      </c>
      <c r="Y114" s="882" t="str">
        <f>IF(VLOOKUP(A114,'Charriage - Geschiebehaushalt'!$A$4:$R$275,16,FALSE)="","",VLOOKUP(A114,'Charriage - Geschiebehaushalt'!$A$4:$R$275,16,FALSE))</f>
        <v/>
      </c>
      <c r="Z114" s="763" t="str">
        <f>IF(VLOOKUP(A114,'Charriage - Geschiebehaushalt'!$A$4:$R$275,17,FALSE)="","",VLOOKUP(A114,'Charriage - Geschiebehaushalt'!$A$4:$R$275,17,FALSE))</f>
        <v>Charriage présumé naturel / Geschiebehaushalt vermutlich natürlich</v>
      </c>
      <c r="AA114" s="880" t="str">
        <f>IF(VLOOKUP(A114,'Charriage - Geschiebehaushalt'!$A$4:$R$275,18,FALSE)="","",VLOOKUP(A114,'Charriage - Geschiebehaushalt'!$A$4:$R$275,18,FALSE))</f>
        <v>b</v>
      </c>
      <c r="AB114" s="737" t="str">
        <f>IF(VLOOKUP(A114,'Charriage - Geschiebehaushalt'!$A$4:$AC$275,19,FALSE)="","",VLOOKUP(A114,'Charriage - Geschiebehaushalt'!$A$4:$AC$275,19,FALSE))</f>
        <v>pas atteinte significative</v>
      </c>
      <c r="AC114" s="738" t="str">
        <f>IF(VLOOKUP(A114,'Charriage - Geschiebehaushalt'!$A$4:$AC$275,20,FALSE)="","",VLOOKUP(A114,'Charriage - Geschiebehaushalt'!$A$4:$AC$275,20,FALSE))</f>
        <v>pas de mesure prévue</v>
      </c>
      <c r="AD114" s="789" t="str">
        <f>IF(VLOOKUP(A114,'Charriage - Geschiebehaushalt'!$A$4:$AC$275,21,FALSE)="","",VLOOKUP(A114,'Charriage - Geschiebehaushalt'!$A$4:$AC$275,21,FALSE))</f>
        <v>0-20%</v>
      </c>
      <c r="AE114" s="772" t="str">
        <f>IF(VLOOKUP(A114,'Charriage - Geschiebehaushalt'!$A$4:$AC$275,22,FALSE)="","",VLOOKUP(A114,'Charriage - Geschiebehaushalt'!$A$4:$AC$275,22,FALSE))</f>
        <v>0-20%</v>
      </c>
      <c r="AF114" s="787" t="str">
        <f>IF(VLOOKUP(A114,'Charriage - Geschiebehaushalt'!$A$4:$AC$275,23,FALSE)="","",VLOOKUP(A114,'Charriage - Geschiebehaushalt'!$A$4:$AC$275,23,FALSE))</f>
        <v>d</v>
      </c>
      <c r="AG114" s="765" t="str">
        <f>IF(VLOOKUP(A114,'Charriage - Geschiebehaushalt'!$A$4:$AC$275,24,FALSE)="","",VLOOKUP(A114,'Charriage - Geschiebehaushalt'!$A$4:$AC$275,24,FALSE))</f>
        <v/>
      </c>
      <c r="AH114" s="764" t="str">
        <f>IF(VLOOKUP(A114,'Charriage - Geschiebehaushalt'!$A$4:$AC$275,25,FALSE)="","",VLOOKUP(A114,'Charriage - Geschiebehaushalt'!$A$4:$AC$275,25,FALSE))</f>
        <v/>
      </c>
      <c r="AI114" s="435" t="str">
        <f>IF(VLOOKUP(A114,'Charriage - Geschiebehaushalt'!$A$4:$AC$275,26,FALSE)="","",VLOOKUP(A114,'Charriage - Geschiebehaushalt'!$A$4:$AC$275,26,FALSE))</f>
        <v/>
      </c>
      <c r="AJ114" s="436" t="str">
        <f>IF(VLOOKUP(A114,'Charriage - Geschiebehaushalt'!$A$4:$AC$275,27,FALSE)="","",VLOOKUP(A114,'Charriage - Geschiebehaushalt'!$A$4:$AC$275,27,FALSE))</f>
        <v/>
      </c>
      <c r="AK114" s="814" t="str">
        <f>IF(VLOOKUP(A114,'Charriage - Geschiebehaushalt'!$A$4:$AC$275,28,FALSE)="","",VLOOKUP(A114,'Charriage - Geschiebehaushalt'!$A$4:$AC$275,28,FALSE))</f>
        <v>0-20%</v>
      </c>
      <c r="AL114" s="1285" t="str">
        <f>IF(VLOOKUP(A114,'Charriage - Geschiebehaushalt'!$A$4:$AD$275,30,FALSE)="","",VLOOKUP(A114,'Charriage - Geschiebehaushalt'!$A$4:$AD$275,30,FALSE))</f>
        <v>a</v>
      </c>
      <c r="AM114" s="1279" t="str">
        <f>IF(VLOOKUP(A114,'Débit - Abfluss'!$A$4:$K$275,5,FALSE)="","",VLOOKUP(A114,'Débit - Abfluss'!$A$4:$M$275,5,FALSE))</f>
        <v>0-20%</v>
      </c>
      <c r="AN114" s="868" t="str">
        <f>IF(VLOOKUP(A114,'Débit - Abfluss'!$A$4:$K$275,6,FALSE)="","",VLOOKUP(A114,'Débit - Abfluss'!$A$4:$M$275,6,FALSE))</f>
        <v/>
      </c>
      <c r="AO114" s="869" t="str">
        <f>IF(VLOOKUP(A114,'Débit - Abfluss'!$A$4:$K$275,7,FALSE)="","",VLOOKUP(A114,'Débit - Abfluss'!$A$4:$M$275,7,FALSE))</f>
        <v/>
      </c>
      <c r="AP114" s="770" t="str">
        <f>IF(VLOOKUP(A114,'Débit - Abfluss'!$A$4:$K$275,8,FALSE)="","",VLOOKUP(A114,'Débit - Abfluss'!$A$4:$M$275,8,FALSE))</f>
        <v>0-20%</v>
      </c>
      <c r="AQ114" s="717" t="str">
        <f>IF(VLOOKUP(A114,'Débit - Abfluss'!$A$4:$K$275,9,FALSE)="","",VLOOKUP(A114,'Débit - Abfluss'!$A$4:$M$275,9,FALSE))</f>
        <v>Fehlende Angaben</v>
      </c>
      <c r="AR114" s="773" t="str">
        <f>IF(VLOOKUP(A114,'Débit - Abfluss'!$A$4:$K$275,10,FALSE)="","",VLOOKUP(A114,'Débit - Abfluss'!$A$4:$M$275,10,FALSE))</f>
        <v>0-20%</v>
      </c>
      <c r="AS114" s="773" t="str">
        <f>IF(VLOOKUP(A114,'Débit - Abfluss'!$A$4:$K$275,11,FALSE)="","",VLOOKUP(A114,'Débit - Abfluss'!$A$4:$M$275,11,FALSE))</f>
        <v>X</v>
      </c>
      <c r="AT114" s="778" t="str">
        <f>IF(VLOOKUP(A114,'Débit - Abfluss'!$A$4:$Q$275,12,FALSE)="","",VLOOKUP(A114,'Débit - Abfluss'!$A$4:$Q$275,12,FALSE))</f>
        <v/>
      </c>
      <c r="AU114" s="779" t="str">
        <f>IF(VLOOKUP(A114,'Débit - Abfluss'!$A$4:$Q$275,13,FALSE)="","",VLOOKUP(A114,'Débit - Abfluss'!$A$4:$Q$275,13,FALSE))</f>
        <v/>
      </c>
      <c r="AV114" s="746" t="str">
        <f>IF(VLOOKUP(A114,'Débit - Abfluss'!$A$4:$Q$275,14,FALSE)="","",VLOOKUP(A114,'Débit - Abfluss'!$A$4:$Q$275,14,FALSE))</f>
        <v>VS-269.1
VS-261.2
VS-262.1</v>
      </c>
      <c r="AW114" s="768" t="str">
        <f>IF(VLOOKUP(A114,'Débit - Abfluss'!$A$4:$Q$275,15,FALSE)="","",VLOOKUP(A114,'Débit - Abfluss'!$A$4:$Q$275,15,FALSE))</f>
        <v>Silliboden</v>
      </c>
      <c r="AX114" s="679" t="str">
        <f>IF(VLOOKUP(A114,'Débit - Abfluss'!$A$4:$Q$275,16,FALSE)="","",VLOOKUP(A114,'Débit - Abfluss'!$A$4:$Q$275,16,FALSE))</f>
        <v/>
      </c>
      <c r="AY114" s="775" t="str">
        <f>IF(VLOOKUP(A114,'Débit - Abfluss'!$A$4:$Q$275,17,FALSE)="","",VLOOKUP(A114,'Débit - Abfluss'!$A$4:$Q$275,17,FALSE))</f>
        <v>0-20%</v>
      </c>
      <c r="AZ114" s="749" t="str">
        <f>IF(VLOOKUP(A114,'Eclusée - Schwall-Sunk'!$A$2:$F$273,5,FALSE)="","",VLOOKUP(A114,'Eclusée - Schwall-Sunk'!$A$2:$F$273,5,FALSE))</f>
        <v>force hydraulique</v>
      </c>
      <c r="BA114" s="750" t="str">
        <f>IF(VLOOKUP(A114,'Eclusée - Schwall-Sunk'!$A$2:$F$273,6,FALSE)="","",VLOOKUP(A114,'Eclusée - Schwall-Sunk'!$A$2:$F$273,6,FALSE))</f>
        <v>Potentiellement affecté / möglicherweise betroffen</v>
      </c>
      <c r="BB114" s="751">
        <f>IF(VLOOKUP(A114,'Revitalisation-Revitalisierung'!$A$4:$Z$275,5,FALSE)="","",VLOOKUP(A114,'Revitalisation-Revitalisierung'!$A$4:$Z$275,5,FALSE))</f>
        <v>-2.7272727272727271</v>
      </c>
      <c r="BC114" s="752">
        <f>IF(VLOOKUP(A114,'Revitalisation-Revitalisierung'!$A$4:$Z$275,6,FALSE)="","",VLOOKUP(A114,'Revitalisation-Revitalisierung'!$A$4:$Z$275,6,FALSE))</f>
        <v>0</v>
      </c>
      <c r="BD114" s="752">
        <f>IF(VLOOKUP(A114,'Revitalisation-Revitalisierung'!$A$4:$Z$275,7,FALSE)="","",VLOOKUP(A114,'Revitalisation-Revitalisierung'!$A$4:$Z$275,7,FALSE))</f>
        <v>2.7272727272727271</v>
      </c>
      <c r="BE114" s="753" t="str">
        <f>IF(VLOOKUP(A114,'Revitalisation-Revitalisierung'!$A$4:$Z$275,8,FALSE)="","",VLOOKUP(A114,'Revitalisation-Revitalisierung'!$A$4:$Z$275,8,FALSE))</f>
        <v>non nécessaire</v>
      </c>
      <c r="BF114" s="754" t="str">
        <f>IF(VLOOKUP(A114,'Revitalisation-Revitalisierung'!$A$4:$Z$275,9,FALSE)="","",VLOOKUP(A114,'Revitalisation-Revitalisierung'!$A$4:$Z$275,9,FALSE))</f>
        <v/>
      </c>
      <c r="BG114" s="754" t="str">
        <f>IF(VLOOKUP(A114,'Revitalisation-Revitalisierung'!$A$4:$Z$275,10,FALSE)="","",VLOOKUP(A114,'Revitalisation-Revitalisierung'!$A$4:$Z$275,10,FALSE))</f>
        <v>K2</v>
      </c>
      <c r="BH114" s="755" t="str">
        <f>IF(VLOOKUP(A114,'Revitalisation-Revitalisierung'!$A$4:$Z$275,11,FALSE)="","",VLOOKUP(A114,'Revitalisation-Revitalisierung'!$A$4:$Z$275,11,FALSE))</f>
        <v/>
      </c>
      <c r="BI114" s="756" t="str">
        <f>IF(VLOOKUP(A114,'Revitalisation-Revitalisierung'!$A$4:$Z$275,12,FALSE)="","",VLOOKUP(A114,'Revitalisation-Revitalisierung'!$A$4:$Z$275,12,FALSE))</f>
        <v/>
      </c>
      <c r="BJ114" s="788" t="str">
        <f>IF(VLOOKUP(A114,'Revitalisation-Revitalisierung'!$A$4:$Z$275,13,FALSE)="","",VLOOKUP(A114,'Revitalisation-Revitalisierung'!$A$4:$Z$275,13,FALSE))</f>
        <v>Non nécessaire / nicht nötig</v>
      </c>
      <c r="BK114" s="870" t="str">
        <f>IF(VLOOKUP(A114,'Revitalisation-Revitalisierung'!$A$4:$Z$275,14,FALSE)="","",VLOOKUP(A114,'Revitalisation-Revitalisierung'!$A$4:$Z$275,14,FALSE))</f>
        <v>a</v>
      </c>
      <c r="BL114" s="758" t="str">
        <f>IF(VLOOKUP(A114,'Revitalisation-Revitalisierung'!$A$4:$Z$275,15,FALSE)="","",VLOOKUP(A114,'Revitalisation-Revitalisierung'!$A$4:$Z$275,15,FALSE))</f>
        <v>élevé</v>
      </c>
      <c r="BM114" s="759" t="str">
        <f>IF(VLOOKUP(A114,'Revitalisation-Revitalisierung'!$A$4:$Z$275,16,FALSE)="","",VLOOKUP(A114,'Revitalisation-Revitalisierung'!$A$4:$Z$275,16,FALSE))</f>
        <v>élevé</v>
      </c>
      <c r="BN114" s="759" t="str">
        <f>IF(VLOOKUP(A114,'Revitalisation-Revitalisierung'!$A$4:$Z$275,17,FALSE)="","",VLOOKUP(A114,'Revitalisation-Revitalisierung'!$A$4:$Z$275,17,FALSE))</f>
        <v>mesure</v>
      </c>
      <c r="BO114" s="760" t="str">
        <f>IF(VLOOKUP(A114,'Revitalisation-Revitalisierung'!$A$4:$Z$275,18,FALSE)="","",VLOOKUP(A114,'Revitalisation-Revitalisierung'!$A$4:$Z$275,18,FALSE))</f>
        <v>Très nécessaire, facile / unbedingt nötig, einfach</v>
      </c>
      <c r="BP114" s="761" t="str">
        <f>IF(VLOOKUP(A114,'Revitalisation-Revitalisierung'!$A$4:$Z$275,19,FALSE)="","",VLOOKUP(A114,'Revitalisation-Revitalisierung'!$A$4:$Z$275,19,FALSE))</f>
        <v>Très nécessaire, facile / unbedingt nötig, einfach</v>
      </c>
      <c r="BQ114" s="759" t="str">
        <f>IF(VLOOKUP(A114,'Revitalisation-Revitalisierung'!$A$4:$Z$275,20,FALSE)="","",VLOOKUP(A114,'Revitalisation-Revitalisierung'!$A$4:$Z$275,20,FALSE))</f>
        <v>c</v>
      </c>
      <c r="BR114" s="759" t="str">
        <f>IF(VLOOKUP(A114,'Revitalisation-Revitalisierung'!$A$4:$Z$275,21,FALSE)="","",VLOOKUP(A114,'Revitalisation-Revitalisierung'!$A$4:$Z$275,21,FALSE))</f>
        <v>Stabilisation de berge seront enlevées</v>
      </c>
      <c r="BS114" s="762" t="str">
        <f>IF(VLOOKUP(A114,'Revitalisation-Revitalisierung'!$A$4:$Z$275,22,FALSE)="","",VLOOKUP(A114,'Revitalisation-Revitalisierung'!$A$4:$Z$275,22,FALSE))</f>
        <v/>
      </c>
      <c r="BT114" s="700" t="str">
        <f>IF(VLOOKUP(A114,'Revitalisation-Revitalisierung'!$A$4:$Z$275,23,FALSE)="","",VLOOKUP(A114,'Revitalisation-Revitalisierung'!$A$4:$Z$275,23,FALSE))</f>
        <v/>
      </c>
      <c r="BU114" s="699" t="str">
        <f>IF(VLOOKUP(A114,'Revitalisation-Revitalisierung'!$A$4:$Z$275,24,FALSE)="","",VLOOKUP(A114,'Revitalisation-Revitalisierung'!$A$4:$Z$275,24,FALSE))</f>
        <v/>
      </c>
      <c r="BV114" s="761" t="str">
        <f>IF(VLOOKUP(A114,'Revitalisation-Revitalisierung'!$A$4:$Z$275,25,FALSE)="","",VLOOKUP(A114,'Revitalisation-Revitalisierung'!$A$4:$Z$275,25,FALSE))</f>
        <v>Très nécessaire, facile / unbedingt nötig, einfach</v>
      </c>
      <c r="BW114" s="871" t="str">
        <f>IF(VLOOKUP(A114,'Revitalisation-Revitalisierung'!$A$4:$AA$275,27,FALSE)="","",VLOOKUP(A114,'Revitalisation-Revitalisierung'!$A$4:$AA$275,27,FALSE))</f>
        <v>a</v>
      </c>
    </row>
    <row r="115" spans="1:75" ht="59.45" customHeight="1" x14ac:dyDescent="0.25">
      <c r="A115" s="935">
        <v>139</v>
      </c>
      <c r="B115" s="856">
        <f>IF(VLOOKUP(A115,'Données de base - Grunddaten'!$A$2:$M$297,2,FALSE)="","",VLOOKUP(A115,'Données de base - Grunddaten'!$A$2:$M$297,2,FALSE))</f>
        <v>1</v>
      </c>
      <c r="C115" s="857" t="str">
        <f>IF(VLOOKUP(A115,'Données de base - Grunddaten'!$A$2:$M$297,3,FALSE)="","",VLOOKUP(A115,'Données de base - Grunddaten'!$A$2:$M$297,3,FALSE))</f>
        <v>Bilderne</v>
      </c>
      <c r="D115" s="857" t="str">
        <f>IF(VLOOKUP(A115,'Données de base - Grunddaten'!$A$2:$M$297,4,FALSE)="","",VLOOKUP(A115,'Données de base - Grunddaten'!$A$2:$M$297,4,FALSE))</f>
        <v>Rotten</v>
      </c>
      <c r="E115" s="857" t="str">
        <f>IF(VLOOKUP(A115,'Données de base - Grunddaten'!$A$2:$M$297,5,FALSE)="","",VLOOKUP(A115,'Données de base - Grunddaten'!$A$2:$M$297,5,FALSE))</f>
        <v>VS</v>
      </c>
      <c r="F115" s="857" t="str">
        <f>IF(VLOOKUP(A115,'Données de base - Grunddaten'!$A$2:$M$297,6,FALSE)="","",VLOOKUP(A115,'Données de base - Grunddaten'!$A$2:$M$297,6,FALSE))</f>
        <v>Alpes centrales occidentales</v>
      </c>
      <c r="G115" s="857" t="str">
        <f>IF(VLOOKUP(A115,'Données de base - Grunddaten'!$A$2:$M$297,7,FALSE)="","",VLOOKUP(A115,'Données de base - Grunddaten'!$A$2:$M$297,7,FALSE))</f>
        <v>Montagnard inf.</v>
      </c>
      <c r="H115" s="857">
        <f>IF(VLOOKUP(A115,'Données de base - Grunddaten'!$A$2:$M$297,8,FALSE)="","",VLOOKUP(A115,'Données de base - Grunddaten'!$A$2:$M$297,8,FALSE))</f>
        <v>730</v>
      </c>
      <c r="I115" s="857">
        <f>IF(VLOOKUP(A115,'Données de base - Grunddaten'!$A$2:$M$297,9,FALSE)="","",VLOOKUP(A115,'Données de base - Grunddaten'!$A$2:$M$297,9,FALSE))</f>
        <v>1992</v>
      </c>
      <c r="J115" s="857">
        <f>IF(VLOOKUP(A115,'Données de base - Grunddaten'!$A$2:$M$297,10,FALSE)="","",VLOOKUP(A115,'Données de base - Grunddaten'!$A$2:$M$297,10,FALSE))</f>
        <v>70</v>
      </c>
      <c r="K115" s="857" t="str">
        <f>IF(VLOOKUP(A115,'Données de base - Grunddaten'!$A$2:$M$297,11,FALSE)="","",VLOOKUP(A115,'Données de base - Grunddaten'!$A$2:$M$297,11,FALSE))</f>
        <v>Cours d'eau de l'étage collinéen des Alpes centrales</v>
      </c>
      <c r="L115" s="857" t="str">
        <f>IF(VLOOKUP(A115,'Données de base - Grunddaten'!$A$2:$M$297,12,FALSE)="","",VLOOKUP(A115,'Données de base - Grunddaten'!$A$2:$M$297,12,FALSE))</f>
        <v>en tresses</v>
      </c>
      <c r="M115" s="858" t="str">
        <f>IF(VLOOKUP(A115,'Données de base - Grunddaten'!$A$2:$M$297,13,FALSE)="","",VLOOKUP(A115,'Données de base - Grunddaten'!$A$2:$M$297,13,FALSE))</f>
        <v>en tresses (dégradé)</v>
      </c>
      <c r="N115" s="872" t="str">
        <f>IF(VLOOKUP(A115,'Charriage - Geschiebehaushalt'!$A$4:$R$275,5,FALSE)="","",VLOOKUP(A115,'Charriage - Geschiebehaushalt'!$A$4:$R$275,5,FALSE))</f>
        <v>pertinent</v>
      </c>
      <c r="O115" s="881" t="str">
        <f>IF(VLOOKUP(A115,'Charriage - Geschiebehaushalt'!$A$4:$R$275,6,FALSE)="","",VLOOKUP(A115,'Charriage - Geschiebehaushalt'!$A$4:$R$275,6,FALSE))</f>
        <v>non documenté</v>
      </c>
      <c r="P115" s="874" t="str">
        <f>IF(VLOOKUP(A115,'Charriage - Geschiebehaushalt'!$A$4:$R$275,7,FALSE)="","",VLOOKUP(A115,'Charriage - Geschiebehaushalt'!$A$4:$R$275,7,FALSE))</f>
        <v/>
      </c>
      <c r="Q115" s="874" t="str">
        <f>IF(VLOOKUP(A115,'Charriage - Geschiebehaushalt'!$A$4:$R$275,8,FALSE)="","",VLOOKUP(A115,'Charriage - Geschiebehaushalt'!$A$4:$R$275,8,FALSE))</f>
        <v>non documenté</v>
      </c>
      <c r="R115" s="875">
        <f>IF(VLOOKUP(A115,'Charriage - Geschiebehaushalt'!$A$4:$R$275,9,FALSE)="","",VLOOKUP(A115,'Charriage - Geschiebehaushalt'!$A$4:$R$275,9,FALSE))</f>
        <v>0</v>
      </c>
      <c r="S115" s="876" t="str">
        <f>IF(VLOOKUP(A115,'Charriage - Geschiebehaushalt'!$A$4:$R$275,10,FALSE)="","",VLOOKUP(A115,'Charriage - Geschiebehaushalt'!$A$4:$R$275,10,FALSE))</f>
        <v>pas ou faiblement entravé</v>
      </c>
      <c r="T115" s="875">
        <f>IF(VLOOKUP(A115,'Charriage - Geschiebehaushalt'!$A$4:$R$275,11,FALSE)="","",VLOOKUP(A115,'Charriage - Geschiebehaushalt'!$A$4:$R$275,11,FALSE))</f>
        <v>0.30499365899000003</v>
      </c>
      <c r="U115" s="876" t="str">
        <f>IF(VLOOKUP(A115,'Charriage - Geschiebehaushalt'!$A$4:$R$275,12,FALSE)="","",VLOOKUP(A115,'Charriage - Geschiebehaushalt'!$A$4:$R$275,12,FALSE))</f>
        <v>déficit dans les formations pionnières</v>
      </c>
      <c r="V115" s="877" t="str">
        <f>IF(VLOOKUP(A115,'Charriage - Geschiebehaushalt'!$A$4:$R$275,13,FALSE)="","",VLOOKUP(A115,'Charriage - Geschiebehaushalt'!$A$4:$R$275,13,FALSE))</f>
        <v>Barrage juste en dessus de l'objet</v>
      </c>
      <c r="W115" s="878" t="str">
        <f>IF(VLOOKUP(A115,'Charriage - Geschiebehaushalt'!$A$4:$R$275,14,FALSE)="","",VLOOKUP(A115,'Charriage - Geschiebehaushalt'!$A$4:$R$275,14,FALSE))</f>
        <v>charriage présumé perturbé</v>
      </c>
      <c r="X115" s="878" t="str">
        <f>IF(VLOOKUP(A115,'Charriage - Geschiebehaushalt'!$A$4:$R$275,15,FALSE)="","",VLOOKUP(A115,'Charriage - Geschiebehaushalt'!$A$4:$R$275,15,FALSE))</f>
        <v/>
      </c>
      <c r="Y115" s="882" t="str">
        <f>IF(VLOOKUP(A115,'Charriage - Geschiebehaushalt'!$A$4:$R$275,16,FALSE)="","",VLOOKUP(A115,'Charriage - Geschiebehaushalt'!$A$4:$R$275,16,FALSE))</f>
        <v/>
      </c>
      <c r="Z115" s="763" t="str">
        <f>IF(VLOOKUP(A115,'Charriage - Geschiebehaushalt'!$A$4:$R$275,17,FALSE)="","",VLOOKUP(A115,'Charriage - Geschiebehaushalt'!$A$4:$R$275,17,FALSE))</f>
        <v>51-80%</v>
      </c>
      <c r="AA115" s="880" t="str">
        <f>IF(VLOOKUP(A115,'Charriage - Geschiebehaushalt'!$A$4:$R$275,18,FALSE)="","",VLOOKUP(A115,'Charriage - Geschiebehaushalt'!$A$4:$R$275,18,FALSE))</f>
        <v>a</v>
      </c>
      <c r="AB115" s="737" t="str">
        <f>IF(VLOOKUP(A115,'Charriage - Geschiebehaushalt'!$A$4:$AC$275,19,FALSE)="","",VLOOKUP(A115,'Charriage - Geschiebehaushalt'!$A$4:$AC$275,19,FALSE))</f>
        <v>pas atteinte significative</v>
      </c>
      <c r="AC115" s="738" t="str">
        <f>IF(VLOOKUP(A115,'Charriage - Geschiebehaushalt'!$A$4:$AC$275,20,FALSE)="","",VLOOKUP(A115,'Charriage - Geschiebehaushalt'!$A$4:$AC$275,20,FALSE))</f>
        <v>pas de mesure prévue (assainissement dépotoirs vallées latérales)</v>
      </c>
      <c r="AD115" s="789" t="str">
        <f>IF(VLOOKUP(A115,'Charriage - Geschiebehaushalt'!$A$4:$AC$275,21,FALSE)="","",VLOOKUP(A115,'Charriage - Geschiebehaushalt'!$A$4:$AC$275,21,FALSE))</f>
        <v>21-50%</v>
      </c>
      <c r="AE115" s="772" t="str">
        <f>IF(VLOOKUP(A115,'Charriage - Geschiebehaushalt'!$A$4:$AC$275,22,FALSE)="","",VLOOKUP(A115,'Charriage - Geschiebehaushalt'!$A$4:$AC$275,22,FALSE))</f>
        <v>51-80%</v>
      </c>
      <c r="AF115" s="787" t="str">
        <f>IF(VLOOKUP(A115,'Charriage - Geschiebehaushalt'!$A$4:$AC$275,23,FALSE)="","",VLOOKUP(A115,'Charriage - Geschiebehaushalt'!$A$4:$AC$275,23,FALSE))</f>
        <v>a</v>
      </c>
      <c r="AG115" s="765" t="str">
        <f>IF(VLOOKUP(A115,'Charriage - Geschiebehaushalt'!$A$4:$AC$275,24,FALSE)="","",VLOOKUP(A115,'Charriage - Geschiebehaushalt'!$A$4:$AC$275,24,FALSE))</f>
        <v>Atteinte significative car il y a beaucoup de prélèvements sur les affluents. Assainissement des affluents est d'ailleurs envisagé.</v>
      </c>
      <c r="AH115" s="764" t="str">
        <f>IF(VLOOKUP(A115,'Charriage - Geschiebehaushalt'!$A$4:$AC$275,25,FALSE)="","",VLOOKUP(A115,'Charriage - Geschiebehaushalt'!$A$4:$AC$275,25,FALSE))</f>
        <v/>
      </c>
      <c r="AI115" s="435" t="str">
        <f>IF(VLOOKUP(A115,'Charriage - Geschiebehaushalt'!$A$4:$AC$275,26,FALSE)="","",VLOOKUP(A115,'Charriage - Geschiebehaushalt'!$A$4:$AC$275,26,FALSE))</f>
        <v/>
      </c>
      <c r="AJ115" s="436" t="str">
        <f>IF(VLOOKUP(A115,'Charriage - Geschiebehaushalt'!$A$4:$AC$275,27,FALSE)="","",VLOOKUP(A115,'Charriage - Geschiebehaushalt'!$A$4:$AC$275,27,FALSE))</f>
        <v/>
      </c>
      <c r="AK115" s="814" t="str">
        <f>IF(VLOOKUP(A115,'Charriage - Geschiebehaushalt'!$A$4:$AC$275,28,FALSE)="","",VLOOKUP(A115,'Charriage - Geschiebehaushalt'!$A$4:$AC$275,28,FALSE))</f>
        <v>51-80%</v>
      </c>
      <c r="AL115" s="1285" t="str">
        <f>IF(VLOOKUP(A115,'Charriage - Geschiebehaushalt'!$A$4:$AD$275,30,FALSE)="","",VLOOKUP(A115,'Charriage - Geschiebehaushalt'!$A$4:$AD$275,30,FALSE))</f>
        <v>a</v>
      </c>
      <c r="AM115" s="1279" t="str">
        <f>IF(VLOOKUP(A115,'Débit - Abfluss'!$A$4:$K$275,5,FALSE)="","",VLOOKUP(A115,'Débit - Abfluss'!$A$4:$M$275,5,FALSE))</f>
        <v>81-100%</v>
      </c>
      <c r="AN115" s="868" t="str">
        <f>IF(VLOOKUP(A115,'Débit - Abfluss'!$A$4:$K$275,6,FALSE)="","",VLOOKUP(A115,'Débit - Abfluss'!$A$4:$M$275,6,FALSE))</f>
        <v/>
      </c>
      <c r="AO115" s="869" t="str">
        <f>IF(VLOOKUP(A115,'Débit - Abfluss'!$A$4:$K$275,7,FALSE)="","",VLOOKUP(A115,'Débit - Abfluss'!$A$4:$M$275,7,FALSE))</f>
        <v/>
      </c>
      <c r="AP115" s="766" t="str">
        <f>IF(VLOOKUP(A115,'Débit - Abfluss'!$A$4:$K$275,8,FALSE)="","",VLOOKUP(A115,'Débit - Abfluss'!$A$4:$M$275,8,FALSE))</f>
        <v>81-100%</v>
      </c>
      <c r="AQ115" s="678" t="str">
        <f>IF(VLOOKUP(A115,'Débit - Abfluss'!$A$4:$K$275,9,FALSE)="","",VLOOKUP(A115,'Débit - Abfluss'!$A$4:$M$275,9,FALSE))</f>
        <v>&lt;10%</v>
      </c>
      <c r="AR115" s="773" t="str">
        <f>IF(VLOOKUP(A115,'Débit - Abfluss'!$A$4:$K$275,10,FALSE)="","",VLOOKUP(A115,'Débit - Abfluss'!$A$4:$M$275,10,FALSE))</f>
        <v>81-100%</v>
      </c>
      <c r="AS115" s="773" t="str">
        <f>IF(VLOOKUP(A115,'Débit - Abfluss'!$A$4:$K$275,11,FALSE)="","",VLOOKUP(A115,'Débit - Abfluss'!$A$4:$M$275,11,FALSE))</f>
        <v>X</v>
      </c>
      <c r="AT115" s="778" t="str">
        <f>IF(VLOOKUP(A115,'Débit - Abfluss'!$A$4:$Q$275,12,FALSE)="","",VLOOKUP(A115,'Débit - Abfluss'!$A$4:$Q$275,12,FALSE))</f>
        <v/>
      </c>
      <c r="AU115" s="779" t="str">
        <f>IF(VLOOKUP(A115,'Débit - Abfluss'!$A$4:$Q$275,13,FALSE)="","",VLOOKUP(A115,'Débit - Abfluss'!$A$4:$Q$275,13,FALSE))</f>
        <v/>
      </c>
      <c r="AV115" s="746" t="str">
        <f>IF(VLOOKUP(A115,'Débit - Abfluss'!$A$4:$Q$275,14,FALSE)="","",VLOOKUP(A115,'Débit - Abfluss'!$A$4:$Q$275,14,FALSE))</f>
        <v>VS-200.3</v>
      </c>
      <c r="AW115" s="768" t="str">
        <f>IF(VLOOKUP(A115,'Débit - Abfluss'!$A$4:$Q$275,15,FALSE)="","",VLOOKUP(A115,'Débit - Abfluss'!$A$4:$Q$275,15,FALSE))</f>
        <v>Massaboden</v>
      </c>
      <c r="AX115" s="679" t="str">
        <f>IF(VLOOKUP(A115,'Débit - Abfluss'!$A$4:$Q$275,16,FALSE)="","",VLOOKUP(A115,'Débit - Abfluss'!$A$4:$Q$275,16,FALSE))</f>
        <v/>
      </c>
      <c r="AY115" s="775" t="str">
        <f>IF(VLOOKUP(A115,'Débit - Abfluss'!$A$4:$Q$275,17,FALSE)="","",VLOOKUP(A115,'Débit - Abfluss'!$A$4:$Q$275,17,FALSE))</f>
        <v>81-100%</v>
      </c>
      <c r="AZ115" s="749" t="str">
        <f>IF(VLOOKUP(A115,'Eclusée - Schwall-Sunk'!$A$2:$F$273,5,FALSE)="","",VLOOKUP(A115,'Eclusée - Schwall-Sunk'!$A$2:$F$273,5,FALSE))</f>
        <v>force hydraulique</v>
      </c>
      <c r="BA115" s="750" t="str">
        <f>IF(VLOOKUP(A115,'Eclusée - Schwall-Sunk'!$A$2:$F$273,6,FALSE)="","",VLOOKUP(A115,'Eclusée - Schwall-Sunk'!$A$2:$F$273,6,FALSE))</f>
        <v>Potentiellement affecté / möglicherweise betroffen</v>
      </c>
      <c r="BB115" s="751">
        <f>IF(VLOOKUP(A115,'Revitalisation-Revitalisierung'!$A$4:$Z$275,5,FALSE)="","",VLOOKUP(A115,'Revitalisation-Revitalisierung'!$A$4:$Z$275,5,FALSE))</f>
        <v>-1.3636363636363635</v>
      </c>
      <c r="BC115" s="752">
        <f>IF(VLOOKUP(A115,'Revitalisation-Revitalisierung'!$A$4:$Z$275,6,FALSE)="","",VLOOKUP(A115,'Revitalisation-Revitalisierung'!$A$4:$Z$275,6,FALSE))</f>
        <v>0</v>
      </c>
      <c r="BD115" s="752">
        <f>IF(VLOOKUP(A115,'Revitalisation-Revitalisierung'!$A$4:$Z$275,7,FALSE)="","",VLOOKUP(A115,'Revitalisation-Revitalisierung'!$A$4:$Z$275,7,FALSE))</f>
        <v>1.3636363636363635</v>
      </c>
      <c r="BE115" s="753" t="str">
        <f>IF(VLOOKUP(A115,'Revitalisation-Revitalisierung'!$A$4:$Z$275,8,FALSE)="","",VLOOKUP(A115,'Revitalisation-Revitalisierung'!$A$4:$Z$275,8,FALSE))</f>
        <v>non nécessaire</v>
      </c>
      <c r="BF115" s="754" t="str">
        <f>IF(VLOOKUP(A115,'Revitalisation-Revitalisierung'!$A$4:$Z$275,9,FALSE)="","",VLOOKUP(A115,'Revitalisation-Revitalisierung'!$A$4:$Z$275,9,FALSE))</f>
        <v/>
      </c>
      <c r="BG115" s="754" t="str">
        <f>IF(VLOOKUP(A115,'Revitalisation-Revitalisierung'!$A$4:$Z$275,10,FALSE)="","",VLOOKUP(A115,'Revitalisation-Revitalisierung'!$A$4:$Z$275,10,FALSE))</f>
        <v>K3</v>
      </c>
      <c r="BH115" s="755" t="str">
        <f>IF(VLOOKUP(A115,'Revitalisation-Revitalisierung'!$A$4:$Z$275,11,FALSE)="","",VLOOKUP(A115,'Revitalisation-Revitalisierung'!$A$4:$Z$275,11,FALSE))</f>
        <v/>
      </c>
      <c r="BI115" s="756" t="str">
        <f>IF(VLOOKUP(A115,'Revitalisation-Revitalisierung'!$A$4:$Z$275,12,FALSE)="","",VLOOKUP(A115,'Revitalisation-Revitalisierung'!$A$4:$Z$275,12,FALSE))</f>
        <v/>
      </c>
      <c r="BJ115" s="788" t="str">
        <f>IF(VLOOKUP(A115,'Revitalisation-Revitalisierung'!$A$4:$Z$275,13,FALSE)="","",VLOOKUP(A115,'Revitalisation-Revitalisierung'!$A$4:$Z$275,13,FALSE))</f>
        <v>Très nécessaire, difficile / unbedingt nötig, schwierig</v>
      </c>
      <c r="BK115" s="870" t="str">
        <f>IF(VLOOKUP(A115,'Revitalisation-Revitalisierung'!$A$4:$Z$275,14,FALSE)="","",VLOOKUP(A115,'Revitalisation-Revitalisierung'!$A$4:$Z$275,14,FALSE))</f>
        <v>b</v>
      </c>
      <c r="BL115" s="758" t="str">
        <f>IF(VLOOKUP(A115,'Revitalisation-Revitalisierung'!$A$4:$Z$275,15,FALSE)="","",VLOOKUP(A115,'Revitalisation-Revitalisierung'!$A$4:$Z$275,15,FALSE))</f>
        <v>élevé</v>
      </c>
      <c r="BM115" s="759" t="str">
        <f>IF(VLOOKUP(A115,'Revitalisation-Revitalisierung'!$A$4:$Z$275,16,FALSE)="","",VLOOKUP(A115,'Revitalisation-Revitalisierung'!$A$4:$Z$275,16,FALSE))</f>
        <v>élevé</v>
      </c>
      <c r="BN115" s="759" t="str">
        <f>IF(VLOOKUP(A115,'Revitalisation-Revitalisierung'!$A$4:$Z$275,17,FALSE)="","",VLOOKUP(A115,'Revitalisation-Revitalisierung'!$A$4:$Z$275,17,FALSE))</f>
        <v>pas de mesure</v>
      </c>
      <c r="BO115" s="760" t="str">
        <f>IF(VLOOKUP(A115,'Revitalisation-Revitalisierung'!$A$4:$Z$275,18,FALSE)="","",VLOOKUP(A115,'Revitalisation-Revitalisierung'!$A$4:$Z$275,18,FALSE))</f>
        <v>Très nécessaire, difficile / unbedingt nötig, schwierig</v>
      </c>
      <c r="BP115" s="761" t="str">
        <f>IF(VLOOKUP(A115,'Revitalisation-Revitalisierung'!$A$4:$Z$275,19,FALSE)="","",VLOOKUP(A115,'Revitalisation-Revitalisierung'!$A$4:$Z$275,19,FALSE))</f>
        <v>Très nécessaire, difficile / unbedingt nötig, schwierig</v>
      </c>
      <c r="BQ115" s="759" t="str">
        <f>IF(VLOOKUP(A115,'Revitalisation-Revitalisierung'!$A$4:$Z$275,20,FALSE)="","",VLOOKUP(A115,'Revitalisation-Revitalisierung'!$A$4:$Z$275,20,FALSE))</f>
        <v>d</v>
      </c>
      <c r="BR115" s="759" t="str">
        <f>IF(VLOOKUP(A115,'Revitalisation-Revitalisierung'!$A$4:$Z$275,21,FALSE)="","",VLOOKUP(A115,'Revitalisation-Revitalisierung'!$A$4:$Z$275,21,FALSE))</f>
        <v/>
      </c>
      <c r="BS115" s="762" t="str">
        <f>IF(VLOOKUP(A115,'Revitalisation-Revitalisierung'!$A$4:$Z$275,22,FALSE)="","",VLOOKUP(A115,'Revitalisation-Revitalisierung'!$A$4:$Z$275,22,FALSE))</f>
        <v/>
      </c>
      <c r="BT115" s="700" t="str">
        <f>IF(VLOOKUP(A115,'Revitalisation-Revitalisierung'!$A$4:$Z$275,23,FALSE)="","",VLOOKUP(A115,'Revitalisation-Revitalisierung'!$A$4:$Z$275,23,FALSE))</f>
        <v/>
      </c>
      <c r="BU115" s="699" t="str">
        <f>IF(VLOOKUP(A115,'Revitalisation-Revitalisierung'!$A$4:$Z$275,24,FALSE)="","",VLOOKUP(A115,'Revitalisation-Revitalisierung'!$A$4:$Z$275,24,FALSE))</f>
        <v/>
      </c>
      <c r="BV115" s="761" t="str">
        <f>IF(VLOOKUP(A115,'Revitalisation-Revitalisierung'!$A$4:$Z$275,25,FALSE)="","",VLOOKUP(A115,'Revitalisation-Revitalisierung'!$A$4:$Z$275,25,FALSE))</f>
        <v>Très nécessaire, difficile / unbedingt nötig, schwierig</v>
      </c>
      <c r="BW115" s="871" t="str">
        <f>IF(VLOOKUP(A115,'Revitalisation-Revitalisierung'!$A$4:$AA$275,27,FALSE)="","",VLOOKUP(A115,'Revitalisation-Revitalisierung'!$A$4:$AA$275,27,FALSE))</f>
        <v>a</v>
      </c>
    </row>
    <row r="116" spans="1:75" ht="58.15" customHeight="1" x14ac:dyDescent="0.25">
      <c r="A116" s="935">
        <v>140</v>
      </c>
      <c r="B116" s="856">
        <f>IF(VLOOKUP(A116,'Données de base - Grunddaten'!$A$2:$M$297,2,FALSE)="","",VLOOKUP(A116,'Données de base - Grunddaten'!$A$2:$M$297,2,FALSE))</f>
        <v>1</v>
      </c>
      <c r="C116" s="857" t="str">
        <f>IF(VLOOKUP(A116,'Données de base - Grunddaten'!$A$2:$M$297,3,FALSE)="","",VLOOKUP(A116,'Données de base - Grunddaten'!$A$2:$M$297,3,FALSE))</f>
        <v>Zeiterbode</v>
      </c>
      <c r="D116" s="857" t="str">
        <f>IF(VLOOKUP(A116,'Données de base - Grunddaten'!$A$2:$M$297,4,FALSE)="","",VLOOKUP(A116,'Données de base - Grunddaten'!$A$2:$M$297,4,FALSE))</f>
        <v>Rotten</v>
      </c>
      <c r="E116" s="857" t="str">
        <f>IF(VLOOKUP(A116,'Données de base - Grunddaten'!$A$2:$M$297,5,FALSE)="","",VLOOKUP(A116,'Données de base - Grunddaten'!$A$2:$M$297,5,FALSE))</f>
        <v>VS</v>
      </c>
      <c r="F116" s="857" t="str">
        <f>IF(VLOOKUP(A116,'Données de base - Grunddaten'!$A$2:$M$297,6,FALSE)="","",VLOOKUP(A116,'Données de base - Grunddaten'!$A$2:$M$297,6,FALSE))</f>
        <v>Alpes centrales occidentales</v>
      </c>
      <c r="G116" s="857" t="str">
        <f>IF(VLOOKUP(A116,'Données de base - Grunddaten'!$A$2:$M$297,7,FALSE)="","",VLOOKUP(A116,'Données de base - Grunddaten'!$A$2:$M$297,7,FALSE))</f>
        <v>Subalpin inf.</v>
      </c>
      <c r="H116" s="857">
        <f>IF(VLOOKUP(A116,'Données de base - Grunddaten'!$A$2:$M$297,8,FALSE)="","",VLOOKUP(A116,'Données de base - Grunddaten'!$A$2:$M$297,8,FALSE))</f>
        <v>1270</v>
      </c>
      <c r="I116" s="857">
        <f>IF(VLOOKUP(A116,'Données de base - Grunddaten'!$A$2:$M$297,9,FALSE)="","",VLOOKUP(A116,'Données de base - Grunddaten'!$A$2:$M$297,9,FALSE))</f>
        <v>1992</v>
      </c>
      <c r="J116" s="857">
        <f>IF(VLOOKUP(A116,'Données de base - Grunddaten'!$A$2:$M$297,10,FALSE)="","",VLOOKUP(A116,'Données de base - Grunddaten'!$A$2:$M$297,10,FALSE))</f>
        <v>41</v>
      </c>
      <c r="K116" s="857" t="str">
        <f>IF(VLOOKUP(A116,'Données de base - Grunddaten'!$A$2:$M$297,11,FALSE)="","",VLOOKUP(A116,'Données de base - Grunddaten'!$A$2:$M$297,11,FALSE))</f>
        <v>Cours d'eau naturels de l'étage montagnard</v>
      </c>
      <c r="L116" s="857" t="str">
        <f>IF(VLOOKUP(A116,'Données de base - Grunddaten'!$A$2:$M$297,12,FALSE)="","",VLOOKUP(A116,'Données de base - Grunddaten'!$A$2:$M$297,12,FALSE))</f>
        <v>en tresses</v>
      </c>
      <c r="M116" s="858" t="str">
        <f>IF(VLOOKUP(A116,'Données de base - Grunddaten'!$A$2:$M$297,13,FALSE)="","",VLOOKUP(A116,'Données de base - Grunddaten'!$A$2:$M$297,13,FALSE))</f>
        <v>en tresses</v>
      </c>
      <c r="N116" s="872" t="str">
        <f>IF(VLOOKUP(A116,'Charriage - Geschiebehaushalt'!$A$4:$R$275,5,FALSE)="","",VLOOKUP(A116,'Charriage - Geschiebehaushalt'!$A$4:$R$275,5,FALSE))</f>
        <v>pertinent</v>
      </c>
      <c r="O116" s="873" t="str">
        <f>IF(VLOOKUP(A116,'Charriage - Geschiebehaushalt'!$A$4:$R$275,6,FALSE)="","",VLOOKUP(A116,'Charriage - Geschiebehaushalt'!$A$4:$R$275,6,FALSE))</f>
        <v>21-50%</v>
      </c>
      <c r="P116" s="874" t="str">
        <f>IF(VLOOKUP(A116,'Charriage - Geschiebehaushalt'!$A$4:$R$275,7,FALSE)="","",VLOOKUP(A116,'Charriage - Geschiebehaushalt'!$A$4:$R$275,7,FALSE))</f>
        <v/>
      </c>
      <c r="Q116" s="874" t="str">
        <f>IF(VLOOKUP(A116,'Charriage - Geschiebehaushalt'!$A$4:$R$275,8,FALSE)="","",VLOOKUP(A116,'Charriage - Geschiebehaushalt'!$A$4:$R$275,8,FALSE))</f>
        <v>non documenté</v>
      </c>
      <c r="R116" s="875">
        <f>IF(VLOOKUP(A116,'Charriage - Geschiebehaushalt'!$A$4:$R$275,9,FALSE)="","",VLOOKUP(A116,'Charriage - Geschiebehaushalt'!$A$4:$R$275,9,FALSE))</f>
        <v>0.167096007419585</v>
      </c>
      <c r="S116" s="876" t="str">
        <f>IF(VLOOKUP(A116,'Charriage - Geschiebehaushalt'!$A$4:$R$275,10,FALSE)="","",VLOOKUP(A116,'Charriage - Geschiebehaushalt'!$A$4:$R$275,10,FALSE))</f>
        <v>pas ou faiblement entravé</v>
      </c>
      <c r="T116" s="875">
        <f>IF(VLOOKUP(A116,'Charriage - Geschiebehaushalt'!$A$4:$R$275,11,FALSE)="","",VLOOKUP(A116,'Charriage - Geschiebehaushalt'!$A$4:$R$275,11,FALSE))</f>
        <v>0.46158330491999999</v>
      </c>
      <c r="U116" s="876" t="str">
        <f>IF(VLOOKUP(A116,'Charriage - Geschiebehaushalt'!$A$4:$R$275,12,FALSE)="","",VLOOKUP(A116,'Charriage - Geschiebehaushalt'!$A$4:$R$275,12,FALSE))</f>
        <v>déficit non apparent en charriage ou en remobilisation des sédiments</v>
      </c>
      <c r="V116" s="877" t="str">
        <f>IF(VLOOKUP(A116,'Charriage - Geschiebehaushalt'!$A$4:$R$275,13,FALSE)="","",VLOOKUP(A116,'Charriage - Geschiebehaushalt'!$A$4:$R$275,13,FALSE))</f>
        <v/>
      </c>
      <c r="W116" s="877" t="str">
        <f>IF(VLOOKUP(A116,'Charriage - Geschiebehaushalt'!$A$4:$R$275,14,FALSE)="","",VLOOKUP(A116,'Charriage - Geschiebehaushalt'!$A$4:$R$275,14,FALSE))</f>
        <v/>
      </c>
      <c r="X116" s="877" t="str">
        <f>IF(VLOOKUP(A116,'Charriage - Geschiebehaushalt'!$A$4:$R$275,15,FALSE)="","",VLOOKUP(A116,'Charriage - Geschiebehaushalt'!$A$4:$R$275,15,FALSE))</f>
        <v/>
      </c>
      <c r="Y116" s="879" t="str">
        <f>IF(VLOOKUP(A116,'Charriage - Geschiebehaushalt'!$A$4:$R$275,16,FALSE)="","",VLOOKUP(A116,'Charriage - Geschiebehaushalt'!$A$4:$R$275,16,FALSE))</f>
        <v/>
      </c>
      <c r="Z116" s="763" t="str">
        <f>IF(VLOOKUP(A116,'Charriage - Geschiebehaushalt'!$A$4:$R$275,17,FALSE)="","",VLOOKUP(A116,'Charriage - Geschiebehaushalt'!$A$4:$R$275,17,FALSE))</f>
        <v>21-50%</v>
      </c>
      <c r="AA116" s="880" t="str">
        <f>IF(VLOOKUP(A116,'Charriage - Geschiebehaushalt'!$A$4:$R$275,18,FALSE)="","",VLOOKUP(A116,'Charriage - Geschiebehaushalt'!$A$4:$R$275,18,FALSE))</f>
        <v>a</v>
      </c>
      <c r="AB116" s="737" t="str">
        <f>IF(VLOOKUP(A116,'Charriage - Geschiebehaushalt'!$A$4:$AC$275,19,FALSE)="","",VLOOKUP(A116,'Charriage - Geschiebehaushalt'!$A$4:$AC$275,19,FALSE))</f>
        <v>pas atteinte significative</v>
      </c>
      <c r="AC116" s="738" t="str">
        <f>IF(VLOOKUP(A116,'Charriage - Geschiebehaushalt'!$A$4:$AC$275,20,FALSE)="","",VLOOKUP(A116,'Charriage - Geschiebehaushalt'!$A$4:$AC$275,20,FALSE))</f>
        <v>pas de mesure prévue (assainissement dépotoirs vallées latérales)</v>
      </c>
      <c r="AD116" s="789" t="str">
        <f>IF(VLOOKUP(A116,'Charriage - Geschiebehaushalt'!$A$4:$AC$275,21,FALSE)="","",VLOOKUP(A116,'Charriage - Geschiebehaushalt'!$A$4:$AC$275,21,FALSE))</f>
        <v>21-50%</v>
      </c>
      <c r="AE116" s="772" t="str">
        <f>IF(VLOOKUP(A116,'Charriage - Geschiebehaushalt'!$A$4:$AC$275,22,FALSE)="","",VLOOKUP(A116,'Charriage - Geschiebehaushalt'!$A$4:$AC$275,22,FALSE))</f>
        <v>21-50%</v>
      </c>
      <c r="AF116" s="787" t="str">
        <f>IF(VLOOKUP(A116,'Charriage - Geschiebehaushalt'!$A$4:$AC$275,23,FALSE)="","",VLOOKUP(A116,'Charriage - Geschiebehaushalt'!$A$4:$AC$275,23,FALSE))</f>
        <v>d</v>
      </c>
      <c r="AG116" s="765" t="str">
        <f>IF(VLOOKUP(A116,'Charriage - Geschiebehaushalt'!$A$4:$AC$275,24,FALSE)="","",VLOOKUP(A116,'Charriage - Geschiebehaushalt'!$A$4:$AC$275,24,FALSE))</f>
        <v/>
      </c>
      <c r="AH116" s="764" t="str">
        <f>IF(VLOOKUP(A116,'Charriage - Geschiebehaushalt'!$A$4:$AC$275,25,FALSE)="","",VLOOKUP(A116,'Charriage - Geschiebehaushalt'!$A$4:$AC$275,25,FALSE))</f>
        <v/>
      </c>
      <c r="AI116" s="435" t="str">
        <f>IF(VLOOKUP(A116,'Charriage - Geschiebehaushalt'!$A$4:$AC$275,26,FALSE)="","",VLOOKUP(A116,'Charriage - Geschiebehaushalt'!$A$4:$AC$275,26,FALSE))</f>
        <v/>
      </c>
      <c r="AJ116" s="436" t="str">
        <f>IF(VLOOKUP(A116,'Charriage - Geschiebehaushalt'!$A$4:$AC$275,27,FALSE)="","",VLOOKUP(A116,'Charriage - Geschiebehaushalt'!$A$4:$AC$275,27,FALSE))</f>
        <v/>
      </c>
      <c r="AK116" s="814" t="str">
        <f>IF(VLOOKUP(A116,'Charriage - Geschiebehaushalt'!$A$4:$AC$275,28,FALSE)="","",VLOOKUP(A116,'Charriage - Geschiebehaushalt'!$A$4:$AC$275,28,FALSE))</f>
        <v>21-50%</v>
      </c>
      <c r="AL116" s="1285" t="str">
        <f>IF(VLOOKUP(A116,'Charriage - Geschiebehaushalt'!$A$4:$AD$275,30,FALSE)="","",VLOOKUP(A116,'Charriage - Geschiebehaushalt'!$A$4:$AD$275,30,FALSE))</f>
        <v>a</v>
      </c>
      <c r="AM116" s="1279" t="str">
        <f>IF(VLOOKUP(A116,'Débit - Abfluss'!$A$4:$K$275,5,FALSE)="","",VLOOKUP(A116,'Débit - Abfluss'!$A$4:$M$275,5,FALSE))</f>
        <v>21-40%</v>
      </c>
      <c r="AN116" s="868" t="str">
        <f>IF(VLOOKUP(A116,'Débit - Abfluss'!$A$4:$K$275,6,FALSE)="","",VLOOKUP(A116,'Débit - Abfluss'!$A$4:$M$275,6,FALSE))</f>
        <v/>
      </c>
      <c r="AO116" s="869" t="str">
        <f>IF(VLOOKUP(A116,'Débit - Abfluss'!$A$4:$K$275,7,FALSE)="","",VLOOKUP(A116,'Débit - Abfluss'!$A$4:$M$275,7,FALSE))</f>
        <v/>
      </c>
      <c r="AP116" s="766" t="str">
        <f>IF(VLOOKUP(A116,'Débit - Abfluss'!$A$4:$K$275,8,FALSE)="","",VLOOKUP(A116,'Débit - Abfluss'!$A$4:$M$275,8,FALSE))</f>
        <v>21-40%</v>
      </c>
      <c r="AQ116" s="678" t="str">
        <f>IF(VLOOKUP(A116,'Débit - Abfluss'!$A$4:$K$275,9,FALSE)="","",VLOOKUP(A116,'Débit - Abfluss'!$A$4:$M$275,9,FALSE))</f>
        <v>Fehlende Angaben</v>
      </c>
      <c r="AR116" s="770" t="str">
        <f>IF(VLOOKUP(A116,'Débit - Abfluss'!$A$4:$K$275,10,FALSE)="","",VLOOKUP(A116,'Débit - Abfluss'!$A$4:$M$275,10,FALSE))</f>
        <v>21-40%</v>
      </c>
      <c r="AS116" s="773" t="str">
        <f>IF(VLOOKUP(A116,'Débit - Abfluss'!$A$4:$K$275,11,FALSE)="","",VLOOKUP(A116,'Débit - Abfluss'!$A$4:$M$275,11,FALSE))</f>
        <v>X</v>
      </c>
      <c r="AT116" s="778" t="str">
        <f>IF(VLOOKUP(A116,'Débit - Abfluss'!$A$4:$Q$275,12,FALSE)="","",VLOOKUP(A116,'Débit - Abfluss'!$A$4:$Q$275,12,FALSE))</f>
        <v/>
      </c>
      <c r="AU116" s="779" t="str">
        <f>IF(VLOOKUP(A116,'Débit - Abfluss'!$A$4:$Q$275,13,FALSE)="","",VLOOKUP(A116,'Débit - Abfluss'!$A$4:$Q$275,13,FALSE))</f>
        <v/>
      </c>
      <c r="AV116" s="746" t="str">
        <f>IF(VLOOKUP(A116,'Débit - Abfluss'!$A$4:$Q$275,14,FALSE)="","",VLOOKUP(A116,'Débit - Abfluss'!$A$4:$Q$275,14,FALSE))</f>
        <v>VS-200.1</v>
      </c>
      <c r="AW116" s="768" t="str">
        <f>IF(VLOOKUP(A116,'Débit - Abfluss'!$A$4:$Q$275,15,FALSE)="","",VLOOKUP(A116,'Débit - Abfluss'!$A$4:$Q$275,15,FALSE))</f>
        <v>Ernen</v>
      </c>
      <c r="AX116" s="679" t="str">
        <f>IF(VLOOKUP(A116,'Débit - Abfluss'!$A$4:$Q$275,16,FALSE)="","",VLOOKUP(A116,'Débit - Abfluss'!$A$4:$Q$275,16,FALSE))</f>
        <v/>
      </c>
      <c r="AY116" s="776" t="str">
        <f>IF(VLOOKUP(A116,'Débit - Abfluss'!$A$4:$Q$275,17,FALSE)="","",VLOOKUP(A116,'Débit - Abfluss'!$A$4:$Q$275,17,FALSE))</f>
        <v>21-40%</v>
      </c>
      <c r="AZ116" s="749" t="str">
        <f>IF(VLOOKUP(A116,'Eclusée - Schwall-Sunk'!$A$2:$F$273,5,FALSE)="","",VLOOKUP(A116,'Eclusée - Schwall-Sunk'!$A$2:$F$273,5,FALSE))</f>
        <v>force hydraulique</v>
      </c>
      <c r="BA116" s="750" t="str">
        <f>IF(VLOOKUP(A116,'Eclusée - Schwall-Sunk'!$A$2:$F$273,6,FALSE)="","",VLOOKUP(A116,'Eclusée - Schwall-Sunk'!$A$2:$F$273,6,FALSE))</f>
        <v>Non affecté / nicht betroffen</v>
      </c>
      <c r="BB116" s="751">
        <f>IF(VLOOKUP(A116,'Revitalisation-Revitalisierung'!$A$4:$Z$275,5,FALSE)="","",VLOOKUP(A116,'Revitalisation-Revitalisierung'!$A$4:$Z$275,5,FALSE))</f>
        <v>4.3818181818181809</v>
      </c>
      <c r="BC116" s="752">
        <f>IF(VLOOKUP(A116,'Revitalisation-Revitalisierung'!$A$4:$Z$275,6,FALSE)="","",VLOOKUP(A116,'Revitalisation-Revitalisierung'!$A$4:$Z$275,6,FALSE))</f>
        <v>16.243395292840432</v>
      </c>
      <c r="BD116" s="752">
        <f>IF(VLOOKUP(A116,'Revitalisation-Revitalisierung'!$A$4:$Z$275,7,FALSE)="","",VLOOKUP(A116,'Revitalisation-Revitalisierung'!$A$4:$Z$275,7,FALSE))</f>
        <v>11.818181818181818</v>
      </c>
      <c r="BE116" s="753" t="str">
        <f>IF(VLOOKUP(A116,'Revitalisation-Revitalisierung'!$A$4:$Z$275,8,FALSE)="","",VLOOKUP(A116,'Revitalisation-Revitalisierung'!$A$4:$Z$275,8,FALSE))</f>
        <v>peu nécessaire, facile</v>
      </c>
      <c r="BF116" s="754" t="str">
        <f>IF(VLOOKUP(A116,'Revitalisation-Revitalisierung'!$A$4:$Z$275,9,FALSE)="","",VLOOKUP(A116,'Revitalisation-Revitalisierung'!$A$4:$Z$275,9,FALSE))</f>
        <v/>
      </c>
      <c r="BG116" s="754" t="str">
        <f>IF(VLOOKUP(A116,'Revitalisation-Revitalisierung'!$A$4:$Z$275,10,FALSE)="","",VLOOKUP(A116,'Revitalisation-Revitalisierung'!$A$4:$Z$275,10,FALSE))</f>
        <v>K1</v>
      </c>
      <c r="BH116" s="755" t="str">
        <f>IF(VLOOKUP(A116,'Revitalisation-Revitalisierung'!$A$4:$Z$275,11,FALSE)="","",VLOOKUP(A116,'Revitalisation-Revitalisierung'!$A$4:$Z$275,11,FALSE))</f>
        <v/>
      </c>
      <c r="BI116" s="756" t="str">
        <f>IF(VLOOKUP(A116,'Revitalisation-Revitalisierung'!$A$4:$Z$275,12,FALSE)="","",VLOOKUP(A116,'Revitalisation-Revitalisierung'!$A$4:$Z$275,12,FALSE))</f>
        <v/>
      </c>
      <c r="BJ116" s="788" t="str">
        <f>IF(VLOOKUP(A116,'Revitalisation-Revitalisierung'!$A$4:$Z$275,13,FALSE)="","",VLOOKUP(A116,'Revitalisation-Revitalisierung'!$A$4:$Z$275,13,FALSE))</f>
        <v>Très nécessaire, facile / unbedingt nötig, einfach</v>
      </c>
      <c r="BK116" s="870" t="str">
        <f>IF(VLOOKUP(A116,'Revitalisation-Revitalisierung'!$A$4:$Z$275,14,FALSE)="","",VLOOKUP(A116,'Revitalisation-Revitalisierung'!$A$4:$Z$275,14,FALSE))</f>
        <v>b</v>
      </c>
      <c r="BL116" s="758" t="str">
        <f>IF(VLOOKUP(A116,'Revitalisation-Revitalisierung'!$A$4:$Z$275,15,FALSE)="","",VLOOKUP(A116,'Revitalisation-Revitalisierung'!$A$4:$Z$275,15,FALSE))</f>
        <v>élevé</v>
      </c>
      <c r="BM116" s="759" t="str">
        <f>IF(VLOOKUP(A116,'Revitalisation-Revitalisierung'!$A$4:$Z$275,16,FALSE)="","",VLOOKUP(A116,'Revitalisation-Revitalisierung'!$A$4:$Z$275,16,FALSE))</f>
        <v>élevé</v>
      </c>
      <c r="BN116" s="759" t="str">
        <f>IF(VLOOKUP(A116,'Revitalisation-Revitalisierung'!$A$4:$Z$275,17,FALSE)="","",VLOOKUP(A116,'Revitalisation-Revitalisierung'!$A$4:$Z$275,17,FALSE))</f>
        <v>pas de mesure; mesure R3</v>
      </c>
      <c r="BO116" s="760" t="str">
        <f>IF(VLOOKUP(A116,'Revitalisation-Revitalisierung'!$A$4:$Z$275,18,FALSE)="","",VLOOKUP(A116,'Revitalisation-Revitalisierung'!$A$4:$Z$275,18,FALSE))</f>
        <v>Très nécessaire, facile / unbedingt nötig, einfach</v>
      </c>
      <c r="BP116" s="761" t="str">
        <f>IF(VLOOKUP(A116,'Revitalisation-Revitalisierung'!$A$4:$Z$275,19,FALSE)="","",VLOOKUP(A116,'Revitalisation-Revitalisierung'!$A$4:$Z$275,19,FALSE))</f>
        <v>Très nécessaire, facile / unbedingt nötig, einfach</v>
      </c>
      <c r="BQ116" s="759" t="str">
        <f>IF(VLOOKUP(A116,'Revitalisation-Revitalisierung'!$A$4:$Z$275,20,FALSE)="","",VLOOKUP(A116,'Revitalisation-Revitalisierung'!$A$4:$Z$275,20,FALSE))</f>
        <v>d</v>
      </c>
      <c r="BR116" s="759" t="str">
        <f>IF(VLOOKUP(A116,'Revitalisation-Revitalisierung'!$A$4:$Z$275,21,FALSE)="","",VLOOKUP(A116,'Revitalisation-Revitalisierung'!$A$4:$Z$275,21,FALSE))</f>
        <v/>
      </c>
      <c r="BS116" s="762" t="str">
        <f>IF(VLOOKUP(A116,'Revitalisation-Revitalisierung'!$A$4:$Z$275,22,FALSE)="","",VLOOKUP(A116,'Revitalisation-Revitalisierung'!$A$4:$Z$275,22,FALSE))</f>
        <v/>
      </c>
      <c r="BT116" s="700" t="str">
        <f>IF(VLOOKUP(A116,'Revitalisation-Revitalisierung'!$A$4:$Z$275,23,FALSE)="","",VLOOKUP(A116,'Revitalisation-Revitalisierung'!$A$4:$Z$275,23,FALSE))</f>
        <v/>
      </c>
      <c r="BU116" s="699" t="str">
        <f>IF(VLOOKUP(A116,'Revitalisation-Revitalisierung'!$A$4:$Z$275,24,FALSE)="","",VLOOKUP(A116,'Revitalisation-Revitalisierung'!$A$4:$Z$275,24,FALSE))</f>
        <v/>
      </c>
      <c r="BV116" s="761" t="str">
        <f>IF(VLOOKUP(A116,'Revitalisation-Revitalisierung'!$A$4:$Z$275,25,FALSE)="","",VLOOKUP(A116,'Revitalisation-Revitalisierung'!$A$4:$Z$275,25,FALSE))</f>
        <v>Très nécessaire, facile / unbedingt nötig, einfach</v>
      </c>
      <c r="BW116" s="871" t="str">
        <f>IF(VLOOKUP(A116,'Revitalisation-Revitalisierung'!$A$4:$AA$275,27,FALSE)="","",VLOOKUP(A116,'Revitalisation-Revitalisierung'!$A$4:$AA$275,27,FALSE))</f>
        <v>a</v>
      </c>
    </row>
    <row r="117" spans="1:75" ht="55.15" customHeight="1" x14ac:dyDescent="0.25">
      <c r="A117" s="935">
        <v>141</v>
      </c>
      <c r="B117" s="856">
        <f>IF(VLOOKUP(A117,'Données de base - Grunddaten'!$A$2:$M$297,2,FALSE)="","",VLOOKUP(A117,'Données de base - Grunddaten'!$A$2:$M$297,2,FALSE))</f>
        <v>1</v>
      </c>
      <c r="C117" s="857" t="str">
        <f>IF(VLOOKUP(A117,'Données de base - Grunddaten'!$A$2:$M$297,3,FALSE)="","",VLOOKUP(A117,'Données de base - Grunddaten'!$A$2:$M$297,3,FALSE))</f>
        <v>Matte</v>
      </c>
      <c r="D117" s="857" t="str">
        <f>IF(VLOOKUP(A117,'Données de base - Grunddaten'!$A$2:$M$297,4,FALSE)="","",VLOOKUP(A117,'Données de base - Grunddaten'!$A$2:$M$297,4,FALSE))</f>
        <v>Rotten</v>
      </c>
      <c r="E117" s="857" t="str">
        <f>IF(VLOOKUP(A117,'Données de base - Grunddaten'!$A$2:$M$297,5,FALSE)="","",VLOOKUP(A117,'Données de base - Grunddaten'!$A$2:$M$297,5,FALSE))</f>
        <v>VS</v>
      </c>
      <c r="F117" s="857" t="str">
        <f>IF(VLOOKUP(A117,'Données de base - Grunddaten'!$A$2:$M$297,6,FALSE)="","",VLOOKUP(A117,'Données de base - Grunddaten'!$A$2:$M$297,6,FALSE))</f>
        <v>Alpes centrales occidentales</v>
      </c>
      <c r="G117" s="857" t="str">
        <f>IF(VLOOKUP(A117,'Données de base - Grunddaten'!$A$2:$M$297,7,FALSE)="","",VLOOKUP(A117,'Données de base - Grunddaten'!$A$2:$M$297,7,FALSE))</f>
        <v>Subalpin inf.</v>
      </c>
      <c r="H117" s="857">
        <f>IF(VLOOKUP(A117,'Données de base - Grunddaten'!$A$2:$M$297,8,FALSE)="","",VLOOKUP(A117,'Données de base - Grunddaten'!$A$2:$M$297,8,FALSE))</f>
        <v>1300</v>
      </c>
      <c r="I117" s="857">
        <f>IF(VLOOKUP(A117,'Données de base - Grunddaten'!$A$2:$M$297,9,FALSE)="","",VLOOKUP(A117,'Données de base - Grunddaten'!$A$2:$M$297,9,FALSE))</f>
        <v>1992</v>
      </c>
      <c r="J117" s="857">
        <f>IF(VLOOKUP(A117,'Données de base - Grunddaten'!$A$2:$M$297,10,FALSE)="","",VLOOKUP(A117,'Données de base - Grunddaten'!$A$2:$M$297,10,FALSE))</f>
        <v>41</v>
      </c>
      <c r="K117" s="857" t="str">
        <f>IF(VLOOKUP(A117,'Données de base - Grunddaten'!$A$2:$M$297,11,FALSE)="","",VLOOKUP(A117,'Données de base - Grunddaten'!$A$2:$M$297,11,FALSE))</f>
        <v>Cours d'eau naturels de l'étage montagnard</v>
      </c>
      <c r="L117" s="857" t="str">
        <f>IF(VLOOKUP(A117,'Données de base - Grunddaten'!$A$2:$M$297,12,FALSE)="","",VLOOKUP(A117,'Données de base - Grunddaten'!$A$2:$M$297,12,FALSE))</f>
        <v>en tresses</v>
      </c>
      <c r="M117" s="858" t="str">
        <f>IF(VLOOKUP(A117,'Données de base - Grunddaten'!$A$2:$M$297,13,FALSE)="","",VLOOKUP(A117,'Données de base - Grunddaten'!$A$2:$M$297,13,FALSE))</f>
        <v>en tresses</v>
      </c>
      <c r="N117" s="872" t="str">
        <f>IF(VLOOKUP(A117,'Charriage - Geschiebehaushalt'!$A$4:$R$275,5,FALSE)="","",VLOOKUP(A117,'Charriage - Geschiebehaushalt'!$A$4:$R$275,5,FALSE))</f>
        <v>pertinent</v>
      </c>
      <c r="O117" s="873" t="str">
        <f>IF(VLOOKUP(A117,'Charriage - Geschiebehaushalt'!$A$4:$R$275,6,FALSE)="","",VLOOKUP(A117,'Charriage - Geschiebehaushalt'!$A$4:$R$275,6,FALSE))</f>
        <v>21-50%</v>
      </c>
      <c r="P117" s="874" t="str">
        <f>IF(VLOOKUP(A117,'Charriage - Geschiebehaushalt'!$A$4:$R$275,7,FALSE)="","",VLOOKUP(A117,'Charriage - Geschiebehaushalt'!$A$4:$R$275,7,FALSE))</f>
        <v/>
      </c>
      <c r="Q117" s="874" t="str">
        <f>IF(VLOOKUP(A117,'Charriage - Geschiebehaushalt'!$A$4:$R$275,8,FALSE)="","",VLOOKUP(A117,'Charriage - Geschiebehaushalt'!$A$4:$R$275,8,FALSE))</f>
        <v>non documenté</v>
      </c>
      <c r="R117" s="875">
        <f>IF(VLOOKUP(A117,'Charriage - Geschiebehaushalt'!$A$4:$R$275,9,FALSE)="","",VLOOKUP(A117,'Charriage - Geschiebehaushalt'!$A$4:$R$275,9,FALSE))</f>
        <v>0.84092900510094104</v>
      </c>
      <c r="S117" s="876" t="str">
        <f>IF(VLOOKUP(A117,'Charriage - Geschiebehaushalt'!$A$4:$R$275,10,FALSE)="","",VLOOKUP(A117,'Charriage - Geschiebehaushalt'!$A$4:$R$275,10,FALSE))</f>
        <v>la remobilisation des sédiments est perturbée</v>
      </c>
      <c r="T117" s="875">
        <f>IF(VLOOKUP(A117,'Charriage - Geschiebehaushalt'!$A$4:$R$275,11,FALSE)="","",VLOOKUP(A117,'Charriage - Geschiebehaushalt'!$A$4:$R$275,11,FALSE))</f>
        <v>0.31688552549999999</v>
      </c>
      <c r="U117" s="876" t="str">
        <f>IF(VLOOKUP(A117,'Charriage - Geschiebehaushalt'!$A$4:$R$275,12,FALSE)="","",VLOOKUP(A117,'Charriage - Geschiebehaushalt'!$A$4:$R$275,12,FALSE))</f>
        <v>déficit dans les formations pionnières</v>
      </c>
      <c r="V117" s="877" t="str">
        <f>IF(VLOOKUP(A117,'Charriage - Geschiebehaushalt'!$A$4:$R$275,13,FALSE)="","",VLOOKUP(A117,'Charriage - Geschiebehaushalt'!$A$4:$R$275,13,FALSE))</f>
        <v/>
      </c>
      <c r="W117" s="877" t="str">
        <f>IF(VLOOKUP(A117,'Charriage - Geschiebehaushalt'!$A$4:$R$275,14,FALSE)="","",VLOOKUP(A117,'Charriage - Geschiebehaushalt'!$A$4:$R$275,14,FALSE))</f>
        <v/>
      </c>
      <c r="X117" s="877" t="str">
        <f>IF(VLOOKUP(A117,'Charriage - Geschiebehaushalt'!$A$4:$R$275,15,FALSE)="","",VLOOKUP(A117,'Charriage - Geschiebehaushalt'!$A$4:$R$275,15,FALSE))</f>
        <v/>
      </c>
      <c r="Y117" s="879" t="str">
        <f>IF(VLOOKUP(A117,'Charriage - Geschiebehaushalt'!$A$4:$R$275,16,FALSE)="","",VLOOKUP(A117,'Charriage - Geschiebehaushalt'!$A$4:$R$275,16,FALSE))</f>
        <v/>
      </c>
      <c r="Z117" s="763" t="str">
        <f>IF(VLOOKUP(A117,'Charriage - Geschiebehaushalt'!$A$4:$R$275,17,FALSE)="","",VLOOKUP(A117,'Charriage - Geschiebehaushalt'!$A$4:$R$275,17,FALSE))</f>
        <v>21-50%</v>
      </c>
      <c r="AA117" s="880" t="str">
        <f>IF(VLOOKUP(A117,'Charriage - Geschiebehaushalt'!$A$4:$R$275,18,FALSE)="","",VLOOKUP(A117,'Charriage - Geschiebehaushalt'!$A$4:$R$275,18,FALSE))</f>
        <v>a</v>
      </c>
      <c r="AB117" s="737" t="str">
        <f>IF(VLOOKUP(A117,'Charriage - Geschiebehaushalt'!$A$4:$AC$275,19,FALSE)="","",VLOOKUP(A117,'Charriage - Geschiebehaushalt'!$A$4:$AC$275,19,FALSE))</f>
        <v>pas atteinte significative</v>
      </c>
      <c r="AC117" s="738" t="str">
        <f>IF(VLOOKUP(A117,'Charriage - Geschiebehaushalt'!$A$4:$AC$275,20,FALSE)="","",VLOOKUP(A117,'Charriage - Geschiebehaushalt'!$A$4:$AC$275,20,FALSE))</f>
        <v>pas de mesure prévue (assainissement dépotoirs vallées latérales)</v>
      </c>
      <c r="AD117" s="789" t="str">
        <f>IF(VLOOKUP(A117,'Charriage - Geschiebehaushalt'!$A$4:$AC$275,21,FALSE)="","",VLOOKUP(A117,'Charriage - Geschiebehaushalt'!$A$4:$AC$275,21,FALSE))</f>
        <v>21-50%</v>
      </c>
      <c r="AE117" s="772" t="str">
        <f>IF(VLOOKUP(A117,'Charriage - Geschiebehaushalt'!$A$4:$AC$275,22,FALSE)="","",VLOOKUP(A117,'Charriage - Geschiebehaushalt'!$A$4:$AC$275,22,FALSE))</f>
        <v>21-50%</v>
      </c>
      <c r="AF117" s="787" t="str">
        <f>IF(VLOOKUP(A117,'Charriage - Geschiebehaushalt'!$A$4:$AC$275,23,FALSE)="","",VLOOKUP(A117,'Charriage - Geschiebehaushalt'!$A$4:$AC$275,23,FALSE))</f>
        <v>d</v>
      </c>
      <c r="AG117" s="765" t="str">
        <f>IF(VLOOKUP(A117,'Charriage - Geschiebehaushalt'!$A$4:$AC$275,24,FALSE)="","",VLOOKUP(A117,'Charriage - Geschiebehaushalt'!$A$4:$AC$275,24,FALSE))</f>
        <v/>
      </c>
      <c r="AH117" s="764" t="str">
        <f>IF(VLOOKUP(A117,'Charriage - Geschiebehaushalt'!$A$4:$AC$275,25,FALSE)="","",VLOOKUP(A117,'Charriage - Geschiebehaushalt'!$A$4:$AC$275,25,FALSE))</f>
        <v/>
      </c>
      <c r="AI117" s="435" t="str">
        <f>IF(VLOOKUP(A117,'Charriage - Geschiebehaushalt'!$A$4:$AC$275,26,FALSE)="","",VLOOKUP(A117,'Charriage - Geschiebehaushalt'!$A$4:$AC$275,26,FALSE))</f>
        <v/>
      </c>
      <c r="AJ117" s="436" t="str">
        <f>IF(VLOOKUP(A117,'Charriage - Geschiebehaushalt'!$A$4:$AC$275,27,FALSE)="","",VLOOKUP(A117,'Charriage - Geschiebehaushalt'!$A$4:$AC$275,27,FALSE))</f>
        <v/>
      </c>
      <c r="AK117" s="814" t="str">
        <f>IF(VLOOKUP(A117,'Charriage - Geschiebehaushalt'!$A$4:$AC$275,28,FALSE)="","",VLOOKUP(A117,'Charriage - Geschiebehaushalt'!$A$4:$AC$275,28,FALSE))</f>
        <v>21-50%</v>
      </c>
      <c r="AL117" s="1285" t="str">
        <f>IF(VLOOKUP(A117,'Charriage - Geschiebehaushalt'!$A$4:$AD$275,30,FALSE)="","",VLOOKUP(A117,'Charriage - Geschiebehaushalt'!$A$4:$AD$275,30,FALSE))</f>
        <v>a</v>
      </c>
      <c r="AM117" s="1279" t="str">
        <f>IF(VLOOKUP(A117,'Débit - Abfluss'!$A$4:$K$275,5,FALSE)="","",VLOOKUP(A117,'Débit - Abfluss'!$A$4:$M$275,5,FALSE))</f>
        <v>81-100%</v>
      </c>
      <c r="AN117" s="868" t="str">
        <f>IF(VLOOKUP(A117,'Débit - Abfluss'!$A$4:$K$275,6,FALSE)="","",VLOOKUP(A117,'Débit - Abfluss'!$A$4:$M$275,6,FALSE))</f>
        <v/>
      </c>
      <c r="AO117" s="869" t="str">
        <f>IF(VLOOKUP(A117,'Débit - Abfluss'!$A$4:$K$275,7,FALSE)="","",VLOOKUP(A117,'Débit - Abfluss'!$A$4:$M$275,7,FALSE))</f>
        <v/>
      </c>
      <c r="AP117" s="766" t="str">
        <f>IF(VLOOKUP(A117,'Débit - Abfluss'!$A$4:$K$275,8,FALSE)="","",VLOOKUP(A117,'Débit - Abfluss'!$A$4:$M$275,8,FALSE))</f>
        <v>81-100%</v>
      </c>
      <c r="AQ117" s="742" t="str">
        <f>IF(VLOOKUP(A117,'Débit - Abfluss'!$A$4:$K$275,9,FALSE)="","",VLOOKUP(A117,'Débit - Abfluss'!$A$4:$M$275,9,FALSE))</f>
        <v>-</v>
      </c>
      <c r="AR117" s="767" t="str">
        <f>IF(VLOOKUP(A117,'Débit - Abfluss'!$A$4:$K$275,10,FALSE)="","",VLOOKUP(A117,'Débit - Abfluss'!$A$4:$M$275,10,FALSE))</f>
        <v>81-100%</v>
      </c>
      <c r="AS117" s="767" t="str">
        <f>IF(VLOOKUP(A117,'Débit - Abfluss'!$A$4:$K$275,11,FALSE)="","",VLOOKUP(A117,'Débit - Abfluss'!$A$4:$M$275,11,FALSE))</f>
        <v/>
      </c>
      <c r="AT117" s="778" t="str">
        <f>IF(VLOOKUP(A117,'Débit - Abfluss'!$A$4:$Q$275,12,FALSE)="","",VLOOKUP(A117,'Débit - Abfluss'!$A$4:$Q$275,12,FALSE))</f>
        <v/>
      </c>
      <c r="AU117" s="779" t="str">
        <f>IF(VLOOKUP(A117,'Débit - Abfluss'!$A$4:$Q$275,13,FALSE)="","",VLOOKUP(A117,'Débit - Abfluss'!$A$4:$Q$275,13,FALSE))</f>
        <v/>
      </c>
      <c r="AV117" s="746" t="str">
        <f>IF(VLOOKUP(A117,'Débit - Abfluss'!$A$4:$Q$275,14,FALSE)="","",VLOOKUP(A117,'Débit - Abfluss'!$A$4:$Q$275,14,FALSE))</f>
        <v/>
      </c>
      <c r="AW117" s="768" t="str">
        <f>IF(VLOOKUP(A117,'Débit - Abfluss'!$A$4:$Q$275,15,FALSE)="","",VLOOKUP(A117,'Débit - Abfluss'!$A$4:$Q$275,15,FALSE))</f>
        <v/>
      </c>
      <c r="AX117" s="679" t="str">
        <f>IF(VLOOKUP(A117,'Débit - Abfluss'!$A$4:$Q$275,16,FALSE)="","",VLOOKUP(A117,'Débit - Abfluss'!$A$4:$Q$275,16,FALSE))</f>
        <v/>
      </c>
      <c r="AY117" s="769" t="str">
        <f>IF(VLOOKUP(A117,'Débit - Abfluss'!$A$4:$Q$275,17,FALSE)="","",VLOOKUP(A117,'Débit - Abfluss'!$A$4:$Q$275,17,FALSE))</f>
        <v>81-100%</v>
      </c>
      <c r="AZ117" s="749" t="str">
        <f>IF(VLOOKUP(A117,'Eclusée - Schwall-Sunk'!$A$2:$F$273,5,FALSE)="","",VLOOKUP(A117,'Eclusée - Schwall-Sunk'!$A$2:$F$273,5,FALSE))</f>
        <v>force hydraulique</v>
      </c>
      <c r="BA117" s="750" t="str">
        <f>IF(VLOOKUP(A117,'Eclusée - Schwall-Sunk'!$A$2:$F$273,6,FALSE)="","",VLOOKUP(A117,'Eclusée - Schwall-Sunk'!$A$2:$F$273,6,FALSE))</f>
        <v>Non affecté / nicht betroffen</v>
      </c>
      <c r="BB117" s="751">
        <f>IF(VLOOKUP(A117,'Revitalisation-Revitalisierung'!$A$4:$Z$275,5,FALSE)="","",VLOOKUP(A117,'Revitalisation-Revitalisierung'!$A$4:$Z$275,5,FALSE))</f>
        <v>51.518181818181823</v>
      </c>
      <c r="BC117" s="752">
        <f>IF(VLOOKUP(A117,'Revitalisation-Revitalisierung'!$A$4:$Z$275,6,FALSE)="","",VLOOKUP(A117,'Revitalisation-Revitalisierung'!$A$4:$Z$275,6,FALSE))</f>
        <v>59.675980161666672</v>
      </c>
      <c r="BD117" s="752">
        <f>IF(VLOOKUP(A117,'Revitalisation-Revitalisierung'!$A$4:$Z$275,7,FALSE)="","",VLOOKUP(A117,'Revitalisation-Revitalisierung'!$A$4:$Z$275,7,FALSE))</f>
        <v>8.1818181818181817</v>
      </c>
      <c r="BE117" s="753" t="str">
        <f>IF(VLOOKUP(A117,'Revitalisation-Revitalisierung'!$A$4:$Z$275,8,FALSE)="","",VLOOKUP(A117,'Revitalisation-Revitalisierung'!$A$4:$Z$275,8,FALSE))</f>
        <v>très nécessaire, facile</v>
      </c>
      <c r="BF117" s="754" t="str">
        <f>IF(VLOOKUP(A117,'Revitalisation-Revitalisierung'!$A$4:$Z$275,9,FALSE)="","",VLOOKUP(A117,'Revitalisation-Revitalisierung'!$A$4:$Z$275,9,FALSE))</f>
        <v/>
      </c>
      <c r="BG117" s="754" t="str">
        <f>IF(VLOOKUP(A117,'Revitalisation-Revitalisierung'!$A$4:$Z$275,10,FALSE)="","",VLOOKUP(A117,'Revitalisation-Revitalisierung'!$A$4:$Z$275,10,FALSE))</f>
        <v>K1</v>
      </c>
      <c r="BH117" s="755" t="str">
        <f>IF(VLOOKUP(A117,'Revitalisation-Revitalisierung'!$A$4:$Z$275,11,FALSE)="","",VLOOKUP(A117,'Revitalisation-Revitalisierung'!$A$4:$Z$275,11,FALSE))</f>
        <v/>
      </c>
      <c r="BI117" s="756" t="str">
        <f>IF(VLOOKUP(A117,'Revitalisation-Revitalisierung'!$A$4:$Z$275,12,FALSE)="","",VLOOKUP(A117,'Revitalisation-Revitalisierung'!$A$4:$Z$275,12,FALSE))</f>
        <v/>
      </c>
      <c r="BJ117" s="788" t="str">
        <f>IF(VLOOKUP(A117,'Revitalisation-Revitalisierung'!$A$4:$Z$275,13,FALSE)="","",VLOOKUP(A117,'Revitalisation-Revitalisierung'!$A$4:$Z$275,13,FALSE))</f>
        <v>Très nécessaire, facile / unbedingt nötig, einfach</v>
      </c>
      <c r="BK117" s="870" t="str">
        <f>IF(VLOOKUP(A117,'Revitalisation-Revitalisierung'!$A$4:$Z$275,14,FALSE)="","",VLOOKUP(A117,'Revitalisation-Revitalisierung'!$A$4:$Z$275,14,FALSE))</f>
        <v>a</v>
      </c>
      <c r="BL117" s="758" t="str">
        <f>IF(VLOOKUP(A117,'Revitalisation-Revitalisierung'!$A$4:$Z$275,15,FALSE)="","",VLOOKUP(A117,'Revitalisation-Revitalisierung'!$A$4:$Z$275,15,FALSE))</f>
        <v>élevé</v>
      </c>
      <c r="BM117" s="759" t="str">
        <f>IF(VLOOKUP(A117,'Revitalisation-Revitalisierung'!$A$4:$Z$275,16,FALSE)="","",VLOOKUP(A117,'Revitalisation-Revitalisierung'!$A$4:$Z$275,16,FALSE))</f>
        <v>élevé</v>
      </c>
      <c r="BN117" s="759" t="str">
        <f>IF(VLOOKUP(A117,'Revitalisation-Revitalisierung'!$A$4:$Z$275,17,FALSE)="","",VLOOKUP(A117,'Revitalisation-Revitalisierung'!$A$4:$Z$275,17,FALSE))</f>
        <v>mesure; mesure R3</v>
      </c>
      <c r="BO117" s="760" t="str">
        <f>IF(VLOOKUP(A117,'Revitalisation-Revitalisierung'!$A$4:$Z$275,18,FALSE)="","",VLOOKUP(A117,'Revitalisation-Revitalisierung'!$A$4:$Z$275,18,FALSE))</f>
        <v>Très nécessaire, facile / unbedingt nötig, einfach</v>
      </c>
      <c r="BP117" s="761" t="str">
        <f>IF(VLOOKUP(A117,'Revitalisation-Revitalisierung'!$A$4:$Z$275,19,FALSE)="","",VLOOKUP(A117,'Revitalisation-Revitalisierung'!$A$4:$Z$275,19,FALSE))</f>
        <v>Très nécessaire, facile / unbedingt nötig, einfach</v>
      </c>
      <c r="BQ117" s="759" t="str">
        <f>IF(VLOOKUP(A117,'Revitalisation-Revitalisierung'!$A$4:$Z$275,20,FALSE)="","",VLOOKUP(A117,'Revitalisation-Revitalisierung'!$A$4:$Z$275,20,FALSE))</f>
        <v>d</v>
      </c>
      <c r="BR117" s="759" t="str">
        <f>IF(VLOOKUP(A117,'Revitalisation-Revitalisierung'!$A$4:$Z$275,21,FALSE)="","",VLOOKUP(A117,'Revitalisation-Revitalisierung'!$A$4:$Z$275,21,FALSE))</f>
        <v/>
      </c>
      <c r="BS117" s="762" t="str">
        <f>IF(VLOOKUP(A117,'Revitalisation-Revitalisierung'!$A$4:$Z$275,22,FALSE)="","",VLOOKUP(A117,'Revitalisation-Revitalisierung'!$A$4:$Z$275,22,FALSE))</f>
        <v/>
      </c>
      <c r="BT117" s="700" t="str">
        <f>IF(VLOOKUP(A117,'Revitalisation-Revitalisierung'!$A$4:$Z$275,23,FALSE)="","",VLOOKUP(A117,'Revitalisation-Revitalisierung'!$A$4:$Z$275,23,FALSE))</f>
        <v/>
      </c>
      <c r="BU117" s="699" t="str">
        <f>IF(VLOOKUP(A117,'Revitalisation-Revitalisierung'!$A$4:$Z$275,24,FALSE)="","",VLOOKUP(A117,'Revitalisation-Revitalisierung'!$A$4:$Z$275,24,FALSE))</f>
        <v/>
      </c>
      <c r="BV117" s="761" t="str">
        <f>IF(VLOOKUP(A117,'Revitalisation-Revitalisierung'!$A$4:$Z$275,25,FALSE)="","",VLOOKUP(A117,'Revitalisation-Revitalisierung'!$A$4:$Z$275,25,FALSE))</f>
        <v>Très nécessaire, facile / unbedingt nötig, einfach</v>
      </c>
      <c r="BW117" s="871" t="str">
        <f>IF(VLOOKUP(A117,'Revitalisation-Revitalisierung'!$A$4:$AA$275,27,FALSE)="","",VLOOKUP(A117,'Revitalisation-Revitalisierung'!$A$4:$AA$275,27,FALSE))</f>
        <v>a</v>
      </c>
    </row>
    <row r="118" spans="1:75" ht="51" customHeight="1" x14ac:dyDescent="0.25">
      <c r="A118" s="935">
        <v>142</v>
      </c>
      <c r="B118" s="856">
        <f>IF(VLOOKUP(A118,'Données de base - Grunddaten'!$A$2:$M$297,2,FALSE)="","",VLOOKUP(A118,'Données de base - Grunddaten'!$A$2:$M$297,2,FALSE))</f>
        <v>1</v>
      </c>
      <c r="C118" s="857" t="str">
        <f>IF(VLOOKUP(A118,'Données de base - Grunddaten'!$A$2:$M$297,3,FALSE)="","",VLOOKUP(A118,'Données de base - Grunddaten'!$A$2:$M$297,3,FALSE))</f>
        <v>Sand</v>
      </c>
      <c r="D118" s="857" t="str">
        <f>IF(VLOOKUP(A118,'Données de base - Grunddaten'!$A$2:$M$297,4,FALSE)="","",VLOOKUP(A118,'Données de base - Grunddaten'!$A$2:$M$297,4,FALSE))</f>
        <v>Goneri, Lengesbach, Rotten</v>
      </c>
      <c r="E118" s="857" t="str">
        <f>IF(VLOOKUP(A118,'Données de base - Grunddaten'!$A$2:$M$297,5,FALSE)="","",VLOOKUP(A118,'Données de base - Grunddaten'!$A$2:$M$297,5,FALSE))</f>
        <v>VS</v>
      </c>
      <c r="F118" s="857" t="str">
        <f>IF(VLOOKUP(A118,'Données de base - Grunddaten'!$A$2:$M$297,6,FALSE)="","",VLOOKUP(A118,'Données de base - Grunddaten'!$A$2:$M$297,6,FALSE))</f>
        <v>Alpes centrales occidentales</v>
      </c>
      <c r="G118" s="857" t="str">
        <f>IF(VLOOKUP(A118,'Données de base - Grunddaten'!$A$2:$M$297,7,FALSE)="","",VLOOKUP(A118,'Données de base - Grunddaten'!$A$2:$M$297,7,FALSE))</f>
        <v>Subalpin inf.</v>
      </c>
      <c r="H118" s="857">
        <f>IF(VLOOKUP(A118,'Données de base - Grunddaten'!$A$2:$M$297,8,FALSE)="","",VLOOKUP(A118,'Données de base - Grunddaten'!$A$2:$M$297,8,FALSE))</f>
        <v>1380</v>
      </c>
      <c r="I118" s="857">
        <f>IF(VLOOKUP(A118,'Données de base - Grunddaten'!$A$2:$M$297,9,FALSE)="","",VLOOKUP(A118,'Données de base - Grunddaten'!$A$2:$M$297,9,FALSE))</f>
        <v>1992</v>
      </c>
      <c r="J118" s="857">
        <f>IF(VLOOKUP(A118,'Données de base - Grunddaten'!$A$2:$M$297,10,FALSE)="","",VLOOKUP(A118,'Données de base - Grunddaten'!$A$2:$M$297,10,FALSE))</f>
        <v>41</v>
      </c>
      <c r="K118" s="857" t="str">
        <f>IF(VLOOKUP(A118,'Données de base - Grunddaten'!$A$2:$M$297,11,FALSE)="","",VLOOKUP(A118,'Données de base - Grunddaten'!$A$2:$M$297,11,FALSE))</f>
        <v>Cours d'eau naturels de l'étage montagnard</v>
      </c>
      <c r="L118" s="857" t="str">
        <f>IF(VLOOKUP(A118,'Données de base - Grunddaten'!$A$2:$M$297,12,FALSE)="","",VLOOKUP(A118,'Données de base - Grunddaten'!$A$2:$M$297,12,FALSE))</f>
        <v>en tresses</v>
      </c>
      <c r="M118" s="858" t="str">
        <f>IF(VLOOKUP(A118,'Données de base - Grunddaten'!$A$2:$M$297,13,FALSE)="","",VLOOKUP(A118,'Données de base - Grunddaten'!$A$2:$M$297,13,FALSE))</f>
        <v>en tresses</v>
      </c>
      <c r="N118" s="872" t="str">
        <f>IF(VLOOKUP(A118,'Charriage - Geschiebehaushalt'!$A$4:$R$275,5,FALSE)="","",VLOOKUP(A118,'Charriage - Geschiebehaushalt'!$A$4:$R$275,5,FALSE))</f>
        <v>pertinent</v>
      </c>
      <c r="O118" s="873" t="str">
        <f>IF(VLOOKUP(A118,'Charriage - Geschiebehaushalt'!$A$4:$R$275,6,FALSE)="","",VLOOKUP(A118,'Charriage - Geschiebehaushalt'!$A$4:$R$275,6,FALSE))</f>
        <v>21-50%</v>
      </c>
      <c r="P118" s="874" t="str">
        <f>IF(VLOOKUP(A118,'Charriage - Geschiebehaushalt'!$A$4:$R$275,7,FALSE)="","",VLOOKUP(A118,'Charriage - Geschiebehaushalt'!$A$4:$R$275,7,FALSE))</f>
        <v/>
      </c>
      <c r="Q118" s="874" t="str">
        <f>IF(VLOOKUP(A118,'Charriage - Geschiebehaushalt'!$A$4:$R$275,8,FALSE)="","",VLOOKUP(A118,'Charriage - Geschiebehaushalt'!$A$4:$R$275,8,FALSE))</f>
        <v>non documenté</v>
      </c>
      <c r="R118" s="875">
        <f>IF(VLOOKUP(A118,'Charriage - Geschiebehaushalt'!$A$4:$R$275,9,FALSE)="","",VLOOKUP(A118,'Charriage - Geschiebehaushalt'!$A$4:$R$275,9,FALSE))</f>
        <v>0.19464853170724999</v>
      </c>
      <c r="S118" s="876" t="str">
        <f>IF(VLOOKUP(A118,'Charriage - Geschiebehaushalt'!$A$4:$R$275,10,FALSE)="","",VLOOKUP(A118,'Charriage - Geschiebehaushalt'!$A$4:$R$275,10,FALSE))</f>
        <v>pas ou faiblement entravé</v>
      </c>
      <c r="T118" s="875">
        <f>IF(VLOOKUP(A118,'Charriage - Geschiebehaushalt'!$A$4:$R$275,11,FALSE)="","",VLOOKUP(A118,'Charriage - Geschiebehaushalt'!$A$4:$R$275,11,FALSE))</f>
        <v>0.29441772409</v>
      </c>
      <c r="U118" s="876" t="str">
        <f>IF(VLOOKUP(A118,'Charriage - Geschiebehaushalt'!$A$4:$R$275,12,FALSE)="","",VLOOKUP(A118,'Charriage - Geschiebehaushalt'!$A$4:$R$275,12,FALSE))</f>
        <v>déficit dans les formations pionnières</v>
      </c>
      <c r="V118" s="877" t="str">
        <f>IF(VLOOKUP(A118,'Charriage - Geschiebehaushalt'!$A$4:$R$275,13,FALSE)="","",VLOOKUP(A118,'Charriage - Geschiebehaushalt'!$A$4:$R$275,13,FALSE))</f>
        <v/>
      </c>
      <c r="W118" s="877" t="str">
        <f>IF(VLOOKUP(A118,'Charriage - Geschiebehaushalt'!$A$4:$R$275,14,FALSE)="","",VLOOKUP(A118,'Charriage - Geschiebehaushalt'!$A$4:$R$275,14,FALSE))</f>
        <v/>
      </c>
      <c r="X118" s="877" t="str">
        <f>IF(VLOOKUP(A118,'Charriage - Geschiebehaushalt'!$A$4:$R$275,15,FALSE)="","",VLOOKUP(A118,'Charriage - Geschiebehaushalt'!$A$4:$R$275,15,FALSE))</f>
        <v/>
      </c>
      <c r="Y118" s="879" t="str">
        <f>IF(VLOOKUP(A118,'Charriage - Geschiebehaushalt'!$A$4:$R$275,16,FALSE)="","",VLOOKUP(A118,'Charriage - Geschiebehaushalt'!$A$4:$R$275,16,FALSE))</f>
        <v/>
      </c>
      <c r="Z118" s="763" t="str">
        <f>IF(VLOOKUP(A118,'Charriage - Geschiebehaushalt'!$A$4:$R$275,17,FALSE)="","",VLOOKUP(A118,'Charriage - Geschiebehaushalt'!$A$4:$R$275,17,FALSE))</f>
        <v>21-50%</v>
      </c>
      <c r="AA118" s="880" t="str">
        <f>IF(VLOOKUP(A118,'Charriage - Geschiebehaushalt'!$A$4:$R$275,18,FALSE)="","",VLOOKUP(A118,'Charriage - Geschiebehaushalt'!$A$4:$R$275,18,FALSE))</f>
        <v>a</v>
      </c>
      <c r="AB118" s="737" t="str">
        <f>IF(VLOOKUP(A118,'Charriage - Geschiebehaushalt'!$A$4:$AC$275,19,FALSE)="","",VLOOKUP(A118,'Charriage - Geschiebehaushalt'!$A$4:$AC$275,19,FALSE))</f>
        <v>pas atteinte significative</v>
      </c>
      <c r="AC118" s="738" t="str">
        <f>IF(VLOOKUP(A118,'Charriage - Geschiebehaushalt'!$A$4:$AC$275,20,FALSE)="","",VLOOKUP(A118,'Charriage - Geschiebehaushalt'!$A$4:$AC$275,20,FALSE))</f>
        <v>pas de mesure prévue (assainissement dépotoirs vallées latérales)</v>
      </c>
      <c r="AD118" s="789" t="str">
        <f>IF(VLOOKUP(A118,'Charriage - Geschiebehaushalt'!$A$4:$AC$275,21,FALSE)="","",VLOOKUP(A118,'Charriage - Geschiebehaushalt'!$A$4:$AC$275,21,FALSE))</f>
        <v>21-50%</v>
      </c>
      <c r="AE118" s="772" t="str">
        <f>IF(VLOOKUP(A118,'Charriage - Geschiebehaushalt'!$A$4:$AC$275,22,FALSE)="","",VLOOKUP(A118,'Charriage - Geschiebehaushalt'!$A$4:$AC$275,22,FALSE))</f>
        <v>21-50%</v>
      </c>
      <c r="AF118" s="787" t="str">
        <f>IF(VLOOKUP(A118,'Charriage - Geschiebehaushalt'!$A$4:$AC$275,23,FALSE)="","",VLOOKUP(A118,'Charriage - Geschiebehaushalt'!$A$4:$AC$275,23,FALSE))</f>
        <v>d</v>
      </c>
      <c r="AG118" s="765" t="str">
        <f>IF(VLOOKUP(A118,'Charriage - Geschiebehaushalt'!$A$4:$AC$275,24,FALSE)="","",VLOOKUP(A118,'Charriage - Geschiebehaushalt'!$A$4:$AC$275,24,FALSE))</f>
        <v/>
      </c>
      <c r="AH118" s="764" t="str">
        <f>IF(VLOOKUP(A118,'Charriage - Geschiebehaushalt'!$A$4:$AC$275,25,FALSE)="","",VLOOKUP(A118,'Charriage - Geschiebehaushalt'!$A$4:$AC$275,25,FALSE))</f>
        <v/>
      </c>
      <c r="AI118" s="435" t="str">
        <f>IF(VLOOKUP(A118,'Charriage - Geschiebehaushalt'!$A$4:$AC$275,26,FALSE)="","",VLOOKUP(A118,'Charriage - Geschiebehaushalt'!$A$4:$AC$275,26,FALSE))</f>
        <v/>
      </c>
      <c r="AJ118" s="436" t="str">
        <f>IF(VLOOKUP(A118,'Charriage - Geschiebehaushalt'!$A$4:$AC$275,27,FALSE)="","",VLOOKUP(A118,'Charriage - Geschiebehaushalt'!$A$4:$AC$275,27,FALSE))</f>
        <v/>
      </c>
      <c r="AK118" s="814" t="str">
        <f>IF(VLOOKUP(A118,'Charriage - Geschiebehaushalt'!$A$4:$AC$275,28,FALSE)="","",VLOOKUP(A118,'Charriage - Geschiebehaushalt'!$A$4:$AC$275,28,FALSE))</f>
        <v>21-50%</v>
      </c>
      <c r="AL118" s="1285" t="str">
        <f>IF(VLOOKUP(A118,'Charriage - Geschiebehaushalt'!$A$4:$AD$275,30,FALSE)="","",VLOOKUP(A118,'Charriage - Geschiebehaushalt'!$A$4:$AD$275,30,FALSE))</f>
        <v>a</v>
      </c>
      <c r="AM118" s="1279" t="str">
        <f>IF(VLOOKUP(A118,'Débit - Abfluss'!$A$4:$K$275,5,FALSE)="","",VLOOKUP(A118,'Débit - Abfluss'!$A$4:$M$275,5,FALSE))</f>
        <v>81-100%</v>
      </c>
      <c r="AN118" s="868" t="str">
        <f>IF(VLOOKUP(A118,'Débit - Abfluss'!$A$4:$K$275,6,FALSE)="","",VLOOKUP(A118,'Débit - Abfluss'!$A$4:$M$275,6,FALSE))</f>
        <v/>
      </c>
      <c r="AO118" s="869" t="str">
        <f>IF(VLOOKUP(A118,'Débit - Abfluss'!$A$4:$K$275,7,FALSE)="","",VLOOKUP(A118,'Débit - Abfluss'!$A$4:$M$275,7,FALSE))</f>
        <v/>
      </c>
      <c r="AP118" s="766" t="str">
        <f>IF(VLOOKUP(A118,'Débit - Abfluss'!$A$4:$K$275,8,FALSE)="","",VLOOKUP(A118,'Débit - Abfluss'!$A$4:$M$275,8,FALSE))</f>
        <v>81-100%</v>
      </c>
      <c r="AQ118" s="742" t="str">
        <f>IF(VLOOKUP(A118,'Débit - Abfluss'!$A$4:$K$275,9,FALSE)="","",VLOOKUP(A118,'Débit - Abfluss'!$A$4:$M$275,9,FALSE))</f>
        <v>-</v>
      </c>
      <c r="AR118" s="767" t="str">
        <f>IF(VLOOKUP(A118,'Débit - Abfluss'!$A$4:$K$275,10,FALSE)="","",VLOOKUP(A118,'Débit - Abfluss'!$A$4:$M$275,10,FALSE))</f>
        <v>81-100%</v>
      </c>
      <c r="AS118" s="767" t="str">
        <f>IF(VLOOKUP(A118,'Débit - Abfluss'!$A$4:$K$275,11,FALSE)="","",VLOOKUP(A118,'Débit - Abfluss'!$A$4:$M$275,11,FALSE))</f>
        <v/>
      </c>
      <c r="AT118" s="778" t="str">
        <f>IF(VLOOKUP(A118,'Débit - Abfluss'!$A$4:$Q$275,12,FALSE)="","",VLOOKUP(A118,'Débit - Abfluss'!$A$4:$Q$275,12,FALSE))</f>
        <v/>
      </c>
      <c r="AU118" s="779" t="str">
        <f>IF(VLOOKUP(A118,'Débit - Abfluss'!$A$4:$Q$275,13,FALSE)="","",VLOOKUP(A118,'Débit - Abfluss'!$A$4:$Q$275,13,FALSE))</f>
        <v/>
      </c>
      <c r="AV118" s="746" t="str">
        <f>IF(VLOOKUP(A118,'Débit - Abfluss'!$A$4:$Q$275,14,FALSE)="","",VLOOKUP(A118,'Débit - Abfluss'!$A$4:$Q$275,14,FALSE))</f>
        <v/>
      </c>
      <c r="AW118" s="768" t="str">
        <f>IF(VLOOKUP(A118,'Débit - Abfluss'!$A$4:$Q$275,15,FALSE)="","",VLOOKUP(A118,'Débit - Abfluss'!$A$4:$Q$275,15,FALSE))</f>
        <v/>
      </c>
      <c r="AX118" s="679" t="str">
        <f>IF(VLOOKUP(A118,'Débit - Abfluss'!$A$4:$Q$275,16,FALSE)="","",VLOOKUP(A118,'Débit - Abfluss'!$A$4:$Q$275,16,FALSE))</f>
        <v/>
      </c>
      <c r="AY118" s="769" t="str">
        <f>IF(VLOOKUP(A118,'Débit - Abfluss'!$A$4:$Q$275,17,FALSE)="","",VLOOKUP(A118,'Débit - Abfluss'!$A$4:$Q$275,17,FALSE))</f>
        <v>81-100%</v>
      </c>
      <c r="AZ118" s="749" t="str">
        <f>IF(VLOOKUP(A118,'Eclusée - Schwall-Sunk'!$A$2:$F$273,5,FALSE)="","",VLOOKUP(A118,'Eclusée - Schwall-Sunk'!$A$2:$F$273,5,FALSE))</f>
        <v>force hydraulique</v>
      </c>
      <c r="BA118" s="750" t="str">
        <f>IF(VLOOKUP(A118,'Eclusée - Schwall-Sunk'!$A$2:$F$273,6,FALSE)="","",VLOOKUP(A118,'Eclusée - Schwall-Sunk'!$A$2:$F$273,6,FALSE))</f>
        <v>Non affecté / nicht betroffen</v>
      </c>
      <c r="BB118" s="751">
        <f>IF(VLOOKUP(A118,'Revitalisation-Revitalisierung'!$A$4:$Z$275,5,FALSE)="","",VLOOKUP(A118,'Revitalisation-Revitalisierung'!$A$4:$Z$275,5,FALSE))</f>
        <v>16.899999999999999</v>
      </c>
      <c r="BC118" s="752">
        <f>IF(VLOOKUP(A118,'Revitalisation-Revitalisierung'!$A$4:$Z$275,6,FALSE)="","",VLOOKUP(A118,'Revitalisation-Revitalisierung'!$A$4:$Z$275,6,FALSE))</f>
        <v>21.862533634240975</v>
      </c>
      <c r="BD118" s="752">
        <f>IF(VLOOKUP(A118,'Revitalisation-Revitalisierung'!$A$4:$Z$275,7,FALSE)="","",VLOOKUP(A118,'Revitalisation-Revitalisierung'!$A$4:$Z$275,7,FALSE))</f>
        <v>5</v>
      </c>
      <c r="BE118" s="753" t="str">
        <f>IF(VLOOKUP(A118,'Revitalisation-Revitalisierung'!$A$4:$Z$275,8,FALSE)="","",VLOOKUP(A118,'Revitalisation-Revitalisierung'!$A$4:$Z$275,8,FALSE))</f>
        <v>peu nécessaire, facile</v>
      </c>
      <c r="BF118" s="754" t="str">
        <f>IF(VLOOKUP(A118,'Revitalisation-Revitalisierung'!$A$4:$Z$275,9,FALSE)="","",VLOOKUP(A118,'Revitalisation-Revitalisierung'!$A$4:$Z$275,9,FALSE))</f>
        <v/>
      </c>
      <c r="BG118" s="754" t="str">
        <f>IF(VLOOKUP(A118,'Revitalisation-Revitalisierung'!$A$4:$Z$275,10,FALSE)="","",VLOOKUP(A118,'Revitalisation-Revitalisierung'!$A$4:$Z$275,10,FALSE))</f>
        <v>K3</v>
      </c>
      <c r="BH118" s="755" t="str">
        <f>IF(VLOOKUP(A118,'Revitalisation-Revitalisierung'!$A$4:$Z$275,11,FALSE)="","",VLOOKUP(A118,'Revitalisation-Revitalisierung'!$A$4:$Z$275,11,FALSE))</f>
        <v/>
      </c>
      <c r="BI118" s="756" t="str">
        <f>IF(VLOOKUP(A118,'Revitalisation-Revitalisierung'!$A$4:$Z$275,12,FALSE)="","",VLOOKUP(A118,'Revitalisation-Revitalisierung'!$A$4:$Z$275,12,FALSE))</f>
        <v/>
      </c>
      <c r="BJ118" s="788" t="str">
        <f>IF(VLOOKUP(A118,'Revitalisation-Revitalisierung'!$A$4:$Z$275,13,FALSE)="","",VLOOKUP(A118,'Revitalisation-Revitalisierung'!$A$4:$Z$275,13,FALSE))</f>
        <v>Très nécessaire, difficile / unbedingt nötig, schwierig</v>
      </c>
      <c r="BK118" s="870" t="str">
        <f>IF(VLOOKUP(A118,'Revitalisation-Revitalisierung'!$A$4:$Z$275,14,FALSE)="","",VLOOKUP(A118,'Revitalisation-Revitalisierung'!$A$4:$Z$275,14,FALSE))</f>
        <v>b</v>
      </c>
      <c r="BL118" s="758" t="str">
        <f>IF(VLOOKUP(A118,'Revitalisation-Revitalisierung'!$A$4:$Z$275,15,FALSE)="","",VLOOKUP(A118,'Revitalisation-Revitalisierung'!$A$4:$Z$275,15,FALSE))</f>
        <v>élevé (Goneri moyen)</v>
      </c>
      <c r="BM118" s="759" t="str">
        <f>IF(VLOOKUP(A118,'Revitalisation-Revitalisierung'!$A$4:$Z$275,16,FALSE)="","",VLOOKUP(A118,'Revitalisation-Revitalisierung'!$A$4:$Z$275,16,FALSE))</f>
        <v>élevé (Goneri moyen)</v>
      </c>
      <c r="BN118" s="759" t="str">
        <f>IF(VLOOKUP(A118,'Revitalisation-Revitalisierung'!$A$4:$Z$275,17,FALSE)="","",VLOOKUP(A118,'Revitalisation-Revitalisierung'!$A$4:$Z$275,17,FALSE))</f>
        <v>mesure</v>
      </c>
      <c r="BO118" s="760" t="str">
        <f>IF(VLOOKUP(A118,'Revitalisation-Revitalisierung'!$A$4:$Z$275,18,FALSE)="","",VLOOKUP(A118,'Revitalisation-Revitalisierung'!$A$4:$Z$275,18,FALSE))</f>
        <v>Très nécessaire, difficile / unbedingt nötig, schwierig</v>
      </c>
      <c r="BP118" s="761" t="str">
        <f>IF(VLOOKUP(A118,'Revitalisation-Revitalisierung'!$A$4:$Z$275,19,FALSE)="","",VLOOKUP(A118,'Revitalisation-Revitalisierung'!$A$4:$Z$275,19,FALSE))</f>
        <v>Très nécessaire, difficile / unbedingt nötig, schwierig</v>
      </c>
      <c r="BQ118" s="759" t="str">
        <f>IF(VLOOKUP(A118,'Revitalisation-Revitalisierung'!$A$4:$Z$275,20,FALSE)="","",VLOOKUP(A118,'Revitalisation-Revitalisierung'!$A$4:$Z$275,20,FALSE))</f>
        <v>d</v>
      </c>
      <c r="BR118" s="759" t="str">
        <f>IF(VLOOKUP(A118,'Revitalisation-Revitalisierung'!$A$4:$Z$275,21,FALSE)="","",VLOOKUP(A118,'Revitalisation-Revitalisierung'!$A$4:$Z$275,21,FALSE))</f>
        <v/>
      </c>
      <c r="BS118" s="762" t="str">
        <f>IF(VLOOKUP(A118,'Revitalisation-Revitalisierung'!$A$4:$Z$275,22,FALSE)="","",VLOOKUP(A118,'Revitalisation-Revitalisierung'!$A$4:$Z$275,22,FALSE))</f>
        <v/>
      </c>
      <c r="BT118" s="700" t="str">
        <f>IF(VLOOKUP(A118,'Revitalisation-Revitalisierung'!$A$4:$Z$275,23,FALSE)="","",VLOOKUP(A118,'Revitalisation-Revitalisierung'!$A$4:$Z$275,23,FALSE))</f>
        <v/>
      </c>
      <c r="BU118" s="699" t="str">
        <f>IF(VLOOKUP(A118,'Revitalisation-Revitalisierung'!$A$4:$Z$275,24,FALSE)="","",VLOOKUP(A118,'Revitalisation-Revitalisierung'!$A$4:$Z$275,24,FALSE))</f>
        <v/>
      </c>
      <c r="BV118" s="761" t="str">
        <f>IF(VLOOKUP(A118,'Revitalisation-Revitalisierung'!$A$4:$Z$275,25,FALSE)="","",VLOOKUP(A118,'Revitalisation-Revitalisierung'!$A$4:$Z$275,25,FALSE))</f>
        <v>Très nécessaire, difficile / unbedingt nötig, schwierig</v>
      </c>
      <c r="BW118" s="871" t="str">
        <f>IF(VLOOKUP(A118,'Revitalisation-Revitalisierung'!$A$4:$AA$275,27,FALSE)="","",VLOOKUP(A118,'Revitalisation-Revitalisierung'!$A$4:$AA$275,27,FALSE))</f>
        <v>a</v>
      </c>
    </row>
    <row r="119" spans="1:75" ht="79.900000000000006" customHeight="1" x14ac:dyDescent="0.25">
      <c r="A119" s="935">
        <v>144</v>
      </c>
      <c r="B119" s="856">
        <f>IF(VLOOKUP(A119,'Données de base - Grunddaten'!$A$2:$M$297,2,FALSE)="","",VLOOKUP(A119,'Données de base - Grunddaten'!$A$2:$M$297,2,FALSE))</f>
        <v>1</v>
      </c>
      <c r="C119" s="857" t="str">
        <f>IF(VLOOKUP(A119,'Données de base - Grunddaten'!$A$2:$M$297,3,FALSE)="","",VLOOKUP(A119,'Données de base - Grunddaten'!$A$2:$M$297,3,FALSE))</f>
        <v>La Réchesse</v>
      </c>
      <c r="D119" s="857" t="str">
        <f>IF(VLOOKUP(A119,'Données de base - Grunddaten'!$A$2:$M$297,4,FALSE)="","",VLOOKUP(A119,'Données de base - Grunddaten'!$A$2:$M$297,4,FALSE))</f>
        <v>Le Doubs</v>
      </c>
      <c r="E119" s="857" t="str">
        <f>IF(VLOOKUP(A119,'Données de base - Grunddaten'!$A$2:$M$297,5,FALSE)="","",VLOOKUP(A119,'Données de base - Grunddaten'!$A$2:$M$297,5,FALSE))</f>
        <v>JU</v>
      </c>
      <c r="F119" s="857" t="str">
        <f>IF(VLOOKUP(A119,'Données de base - Grunddaten'!$A$2:$M$297,6,FALSE)="","",VLOOKUP(A119,'Données de base - Grunddaten'!$A$2:$M$297,6,FALSE))</f>
        <v>Jura et Randen</v>
      </c>
      <c r="G119" s="857" t="str">
        <f>IF(VLOOKUP(A119,'Données de base - Grunddaten'!$A$2:$M$297,7,FALSE)="","",VLOOKUP(A119,'Données de base - Grunddaten'!$A$2:$M$297,7,FALSE))</f>
        <v>Collinéen</v>
      </c>
      <c r="H119" s="857">
        <f>IF(VLOOKUP(A119,'Données de base - Grunddaten'!$A$2:$M$297,8,FALSE)="","",VLOOKUP(A119,'Données de base - Grunddaten'!$A$2:$M$297,8,FALSE))</f>
        <v>460</v>
      </c>
      <c r="I119" s="857">
        <f>IF(VLOOKUP(A119,'Données de base - Grunddaten'!$A$2:$M$297,9,FALSE)="","",VLOOKUP(A119,'Données de base - Grunddaten'!$A$2:$M$297,9,FALSE))</f>
        <v>1992</v>
      </c>
      <c r="J119" s="857">
        <f>IF(VLOOKUP(A119,'Données de base - Grunddaten'!$A$2:$M$297,10,FALSE)="","",VLOOKUP(A119,'Données de base - Grunddaten'!$A$2:$M$297,10,FALSE))</f>
        <v>83</v>
      </c>
      <c r="K119" s="857" t="str">
        <f>IF(VLOOKUP(A119,'Données de base - Grunddaten'!$A$2:$M$297,11,FALSE)="","",VLOOKUP(A119,'Données de base - Grunddaten'!$A$2:$M$297,11,FALSE))</f>
        <v>Singularité: Cours d'eau jurassiens</v>
      </c>
      <c r="L119" s="857" t="str">
        <f>IF(VLOOKUP(A119,'Données de base - Grunddaten'!$A$2:$M$297,12,FALSE)="","",VLOOKUP(A119,'Données de base - Grunddaten'!$A$2:$M$297,12,FALSE))</f>
        <v>en méandres migrants</v>
      </c>
      <c r="M119" s="858" t="str">
        <f>IF(VLOOKUP(A119,'Données de base - Grunddaten'!$A$2:$M$297,13,FALSE)="","",VLOOKUP(A119,'Données de base - Grunddaten'!$A$2:$M$297,13,FALSE))</f>
        <v>en méandres migrants</v>
      </c>
      <c r="N119" s="872" t="str">
        <f>IF(VLOOKUP(A119,'Charriage - Geschiebehaushalt'!$A$4:$R$275,5,FALSE)="","",VLOOKUP(A119,'Charriage - Geschiebehaushalt'!$A$4:$R$275,5,FALSE))</f>
        <v>pertinent</v>
      </c>
      <c r="O119" s="881" t="str">
        <f>IF(VLOOKUP(A119,'Charriage - Geschiebehaushalt'!$A$4:$R$275,6,FALSE)="","",VLOOKUP(A119,'Charriage - Geschiebehaushalt'!$A$4:$R$275,6,FALSE))</f>
        <v>non documenté</v>
      </c>
      <c r="P119" s="874" t="str">
        <f>IF(VLOOKUP(A119,'Charriage - Geschiebehaushalt'!$A$4:$R$275,7,FALSE)="","",VLOOKUP(A119,'Charriage - Geschiebehaushalt'!$A$4:$R$275,7,FALSE))</f>
        <v/>
      </c>
      <c r="Q119" s="874" t="str">
        <f>IF(VLOOKUP(A119,'Charriage - Geschiebehaushalt'!$A$4:$R$275,8,FALSE)="","",VLOOKUP(A119,'Charriage - Geschiebehaushalt'!$A$4:$R$275,8,FALSE))</f>
        <v>non documenté</v>
      </c>
      <c r="R119" s="875">
        <f>IF(VLOOKUP(A119,'Charriage - Geschiebehaushalt'!$A$4:$R$275,9,FALSE)="","",VLOOKUP(A119,'Charriage - Geschiebehaushalt'!$A$4:$R$275,9,FALSE))</f>
        <v>5.6788753898518597E-2</v>
      </c>
      <c r="S119" s="876" t="str">
        <f>IF(VLOOKUP(A119,'Charriage - Geschiebehaushalt'!$A$4:$R$275,10,FALSE)="","",VLOOKUP(A119,'Charriage - Geschiebehaushalt'!$A$4:$R$275,10,FALSE))</f>
        <v>pas ou faiblement entravé</v>
      </c>
      <c r="T119" s="875">
        <f>IF(VLOOKUP(A119,'Charriage - Geschiebehaushalt'!$A$4:$R$275,11,FALSE)="","",VLOOKUP(A119,'Charriage - Geschiebehaushalt'!$A$4:$R$275,11,FALSE))</f>
        <v>0.16317608282000001</v>
      </c>
      <c r="U119" s="895" t="str">
        <f>IF(VLOOKUP(A119,'Charriage - Geschiebehaushalt'!$A$4:$R$275,12,FALSE)="","",VLOOKUP(A119,'Charriage - Geschiebehaushalt'!$A$4:$R$275,12,FALSE))</f>
        <v>déficit non apparent en charriage ou en remobilisation des sédiments</v>
      </c>
      <c r="V119" s="877" t="str">
        <f>IF(VLOOKUP(A119,'Charriage - Geschiebehaushalt'!$A$4:$R$275,13,FALSE)="","",VLOOKUP(A119,'Charriage - Geschiebehaushalt'!$A$4:$R$275,13,FALSE))</f>
        <v/>
      </c>
      <c r="W119" s="877" t="str">
        <f>IF(VLOOKUP(A119,'Charriage - Geschiebehaushalt'!$A$4:$R$275,14,FALSE)="","",VLOOKUP(A119,'Charriage - Geschiebehaushalt'!$A$4:$R$275,14,FALSE))</f>
        <v/>
      </c>
      <c r="X119" s="877" t="str">
        <f>IF(VLOOKUP(A119,'Charriage - Geschiebehaushalt'!$A$4:$R$275,15,FALSE)="","",VLOOKUP(A119,'Charriage - Geschiebehaushalt'!$A$4:$R$275,15,FALSE))</f>
        <v/>
      </c>
      <c r="Y119" s="879" t="str">
        <f>IF(VLOOKUP(A119,'Charriage - Geschiebehaushalt'!$A$4:$R$275,16,FALSE)="","",VLOOKUP(A119,'Charriage - Geschiebehaushalt'!$A$4:$R$275,16,FALSE))</f>
        <v/>
      </c>
      <c r="Z119" s="763" t="str">
        <f>IF(VLOOKUP(A119,'Charriage - Geschiebehaushalt'!$A$4:$R$275,17,FALSE)="","",VLOOKUP(A119,'Charriage - Geschiebehaushalt'!$A$4:$R$275,17,FALSE))</f>
        <v>La remobilisation des sédiments est perturbée / Mobilisierung von Geschiebe beeinträchtigt</v>
      </c>
      <c r="AA119" s="880" t="str">
        <f>IF(VLOOKUP(A119,'Charriage - Geschiebehaushalt'!$A$4:$R$275,18,FALSE)="","",VLOOKUP(A119,'Charriage - Geschiebehaushalt'!$A$4:$R$275,18,FALSE))</f>
        <v>b</v>
      </c>
      <c r="AB119" s="737" t="str">
        <f>IF(VLOOKUP(A119,'Charriage - Geschiebehaushalt'!$A$4:$AC$275,19,FALSE)="","",VLOOKUP(A119,'Charriage - Geschiebehaushalt'!$A$4:$AC$275,19,FALSE))</f>
        <v>51-80% (charriage présumé perturbé)</v>
      </c>
      <c r="AC119" s="738" t="str">
        <f>IF(VLOOKUP(A119,'Charriage - Geschiebehaushalt'!$A$4:$AC$275,20,FALSE)="","",VLOOKUP(A119,'Charriage - Geschiebehaushalt'!$A$4:$AC$275,20,FALSE))</f>
        <v>moyen/important</v>
      </c>
      <c r="AD119" s="764" t="str">
        <f>IF(VLOOKUP(A119,'Charriage - Geschiebehaushalt'!$A$4:$AC$275,21,FALSE)="","",VLOOKUP(A119,'Charriage - Geschiebehaushalt'!$A$4:$AC$275,21,FALSE))</f>
        <v>51-80%</v>
      </c>
      <c r="AE119" s="772" t="str">
        <f>IF(VLOOKUP(A119,'Charriage - Geschiebehaushalt'!$A$4:$AC$275,22,FALSE)="","",VLOOKUP(A119,'Charriage - Geschiebehaushalt'!$A$4:$AC$275,22,FALSE))</f>
        <v>51-80%</v>
      </c>
      <c r="AF119" s="787" t="str">
        <f>IF(VLOOKUP(A119,'Charriage - Geschiebehaushalt'!$A$4:$AC$275,23,FALSE)="","",VLOOKUP(A119,'Charriage - Geschiebehaushalt'!$A$4:$AC$275,23,FALSE))</f>
        <v>c</v>
      </c>
      <c r="AG119" s="765" t="str">
        <f>IF(VLOOKUP(A119,'Charriage - Geschiebehaushalt'!$A$4:$AC$275,24,FALSE)="","",VLOOKUP(A119,'Charriage - Geschiebehaushalt'!$A$4:$AC$275,24,FALSE))</f>
        <v/>
      </c>
      <c r="AH119" s="764" t="str">
        <f>IF(VLOOKUP(A119,'Charriage - Geschiebehaushalt'!$A$4:$AC$275,25,FALSE)="","",VLOOKUP(A119,'Charriage - Geschiebehaushalt'!$A$4:$AC$275,25,FALSE))</f>
        <v/>
      </c>
      <c r="AI119" s="437" t="str">
        <f>IF(VLOOKUP(A119,'Charriage - Geschiebehaushalt'!$A$4:$AC$275,26,FALSE)="","",VLOOKUP(A119,'Charriage - Geschiebehaushalt'!$A$4:$AC$275,26,FALSE))</f>
        <v>Notre Office propose de rester à un déficit de 21-50%, comme établi dans le rapport de 2004.</v>
      </c>
      <c r="AJ119" s="436" t="str">
        <f>IF(VLOOKUP(A119,'Charriage - Geschiebehaushalt'!$A$4:$AC$275,27,FALSE)="","",VLOOKUP(A119,'Charriage - Geschiebehaushalt'!$A$4:$AC$275,27,FALSE))</f>
        <v xml:space="preserve"> Selon le rapport " Assainissement du régime de charriage - Planification stratégique - Bassin versant du Doubs" du 26.11.2014, validé par l'OFEV, le charriage est peu ou pas perturbé dans cette ZA. Aucun ouvrage n'y est recensé et ceux qui influencent le charriage se situent bien en amont de la ZA, dont notamment le Châtelot, le Refrain, la Goule, le Theusseret, etc. En comparaison à ce dernier ouvrage, qui retient environ 800 m3/ans, les 3 ouvrages latéraux du Doubs qui restent à assainir selon la planification stratégique jurassienne retiennent 50 m3/ans.</v>
      </c>
      <c r="AK119" s="814" t="str">
        <f>IF(VLOOKUP(A119,'Charriage - Geschiebehaushalt'!$A$4:$AC$275,28,FALSE)="","",VLOOKUP(A119,'Charriage - Geschiebehaushalt'!$A$4:$AC$275,28,FALSE))</f>
        <v>21-50%</v>
      </c>
      <c r="AL119" s="1285" t="str">
        <f>IF(VLOOKUP(A119,'Charriage - Geschiebehaushalt'!$A$4:$AD$275,30,FALSE)="","",VLOOKUP(A119,'Charriage - Geschiebehaushalt'!$A$4:$AD$275,30,FALSE))</f>
        <v>b</v>
      </c>
      <c r="AM119" s="1279" t="str">
        <f>IF(VLOOKUP(A119,'Débit - Abfluss'!$A$4:$K$275,5,FALSE)="","",VLOOKUP(A119,'Débit - Abfluss'!$A$4:$M$275,5,FALSE))</f>
        <v>81-100%</v>
      </c>
      <c r="AN119" s="868" t="str">
        <f>IF(VLOOKUP(A119,'Débit - Abfluss'!$A$4:$K$275,6,FALSE)="","",VLOOKUP(A119,'Débit - Abfluss'!$A$4:$M$275,6,FALSE))</f>
        <v/>
      </c>
      <c r="AO119" s="869" t="str">
        <f>IF(VLOOKUP(A119,'Débit - Abfluss'!$A$4:$K$275,7,FALSE)="","",VLOOKUP(A119,'Débit - Abfluss'!$A$4:$M$275,7,FALSE))</f>
        <v/>
      </c>
      <c r="AP119" s="766" t="str">
        <f>IF(VLOOKUP(A119,'Débit - Abfluss'!$A$4:$K$275,8,FALSE)="","",VLOOKUP(A119,'Débit - Abfluss'!$A$4:$M$275,8,FALSE))</f>
        <v>81-100%</v>
      </c>
      <c r="AQ119" s="742" t="str">
        <f>IF(VLOOKUP(A119,'Débit - Abfluss'!$A$4:$K$275,9,FALSE)="","",VLOOKUP(A119,'Débit - Abfluss'!$A$4:$M$275,9,FALSE))</f>
        <v>-</v>
      </c>
      <c r="AR119" s="767" t="str">
        <f>IF(VLOOKUP(A119,'Débit - Abfluss'!$A$4:$K$275,10,FALSE)="","",VLOOKUP(A119,'Débit - Abfluss'!$A$4:$M$275,10,FALSE))</f>
        <v>81-100%</v>
      </c>
      <c r="AS119" s="767" t="str">
        <f>IF(VLOOKUP(A119,'Débit - Abfluss'!$A$4:$K$275,11,FALSE)="","",VLOOKUP(A119,'Débit - Abfluss'!$A$4:$M$275,11,FALSE))</f>
        <v/>
      </c>
      <c r="AT119" s="790" t="str">
        <f>IF(VLOOKUP(A119,'Débit - Abfluss'!$A$4:$Q$275,12,FALSE)="","",VLOOKUP(A119,'Débit - Abfluss'!$A$4:$Q$275,12,FALSE))</f>
        <v>Pas d'assainissement nécessaire</v>
      </c>
      <c r="AU119" s="790" t="str">
        <f>IF(VLOOKUP(A119,'Débit - Abfluss'!$A$4:$Q$275,13,FALSE)="","",VLOOKUP(A119,'Débit - Abfluss'!$A$4:$Q$275,13,FALSE))</f>
        <v>Pas de tronçon à débit court-circuité</v>
      </c>
      <c r="AV119" s="746" t="str">
        <f>IF(VLOOKUP(A119,'Débit - Abfluss'!$A$4:$Q$275,14,FALSE)="","",VLOOKUP(A119,'Débit - Abfluss'!$A$4:$Q$275,14,FALSE))</f>
        <v/>
      </c>
      <c r="AW119" s="768" t="str">
        <f>IF(VLOOKUP(A119,'Débit - Abfluss'!$A$4:$Q$275,15,FALSE)="","",VLOOKUP(A119,'Débit - Abfluss'!$A$4:$Q$275,15,FALSE))</f>
        <v/>
      </c>
      <c r="AX119" s="677" t="str">
        <f>IF(VLOOKUP(A119,'Débit - Abfluss'!$A$4:$Q$275,16,FALSE)="","",VLOOKUP(A119,'Débit - Abfluss'!$A$4:$Q$275,16,FALSE))</f>
        <v/>
      </c>
      <c r="AY119" s="769" t="str">
        <f>IF(VLOOKUP(A119,'Débit - Abfluss'!$A$4:$Q$275,17,FALSE)="","",VLOOKUP(A119,'Débit - Abfluss'!$A$4:$Q$275,17,FALSE))</f>
        <v>81-100%</v>
      </c>
      <c r="AZ119" s="749" t="str">
        <f>IF(VLOOKUP(A119,'Eclusée - Schwall-Sunk'!$A$2:$F$273,5,FALSE)="","",VLOOKUP(A119,'Eclusée - Schwall-Sunk'!$A$2:$F$273,5,FALSE))</f>
        <v>force hydraulique</v>
      </c>
      <c r="BA119" s="750" t="str">
        <f>IF(VLOOKUP(A119,'Eclusée - Schwall-Sunk'!$A$2:$F$273,6,FALSE)="","",VLOOKUP(A119,'Eclusée - Schwall-Sunk'!$A$2:$F$273,6,FALSE))</f>
        <v>Potentiellement affecté / möglicherweise betroffen</v>
      </c>
      <c r="BB119" s="751">
        <f>IF(VLOOKUP(A119,'Revitalisation-Revitalisierung'!$A$4:$Z$275,5,FALSE)="","",VLOOKUP(A119,'Revitalisation-Revitalisierung'!$A$4:$Z$275,5,FALSE))</f>
        <v>-2.836363636363636</v>
      </c>
      <c r="BC119" s="752">
        <f>IF(VLOOKUP(A119,'Revitalisation-Revitalisierung'!$A$4:$Z$275,6,FALSE)="","",VLOOKUP(A119,'Revitalisation-Revitalisierung'!$A$4:$Z$275,6,FALSE))</f>
        <v>0.83300494775987477</v>
      </c>
      <c r="BD119" s="752">
        <f>IF(VLOOKUP(A119,'Revitalisation-Revitalisierung'!$A$4:$Z$275,7,FALSE)="","",VLOOKUP(A119,'Revitalisation-Revitalisierung'!$A$4:$Z$275,7,FALSE))</f>
        <v>3.6363636363636362</v>
      </c>
      <c r="BE119" s="753" t="str">
        <f>IF(VLOOKUP(A119,'Revitalisation-Revitalisierung'!$A$4:$Z$275,8,FALSE)="","",VLOOKUP(A119,'Revitalisation-Revitalisierung'!$A$4:$Z$275,8,FALSE))</f>
        <v>peu nécessaire, facile</v>
      </c>
      <c r="BF119" s="754" t="str">
        <f>IF(VLOOKUP(A119,'Revitalisation-Revitalisierung'!$A$4:$Z$275,9,FALSE)="","",VLOOKUP(A119,'Revitalisation-Revitalisierung'!$A$4:$Z$275,9,FALSE))</f>
        <v/>
      </c>
      <c r="BG119" s="754" t="str">
        <f>IF(VLOOKUP(A119,'Revitalisation-Revitalisierung'!$A$4:$Z$275,10,FALSE)="","",VLOOKUP(A119,'Revitalisation-Revitalisierung'!$A$4:$Z$275,10,FALSE))</f>
        <v>K3</v>
      </c>
      <c r="BH119" s="755" t="str">
        <f>IF(VLOOKUP(A119,'Revitalisation-Revitalisierung'!$A$4:$Z$275,11,FALSE)="","",VLOOKUP(A119,'Revitalisation-Revitalisierung'!$A$4:$Z$275,11,FALSE))</f>
        <v/>
      </c>
      <c r="BI119" s="756" t="str">
        <f>IF(VLOOKUP(A119,'Revitalisation-Revitalisierung'!$A$4:$Z$275,12,FALSE)="","",VLOOKUP(A119,'Revitalisation-Revitalisierung'!$A$4:$Z$275,12,FALSE))</f>
        <v/>
      </c>
      <c r="BJ119" s="788" t="str">
        <f>IF(VLOOKUP(A119,'Revitalisation-Revitalisierung'!$A$4:$Z$275,13,FALSE)="","",VLOOKUP(A119,'Revitalisation-Revitalisierung'!$A$4:$Z$275,13,FALSE))</f>
        <v>Partiellement nécessaire, facile / teilweise nötig, einfach</v>
      </c>
      <c r="BK119" s="870" t="str">
        <f>IF(VLOOKUP(A119,'Revitalisation-Revitalisierung'!$A$4:$Z$275,14,FALSE)="","",VLOOKUP(A119,'Revitalisation-Revitalisierung'!$A$4:$Z$275,14,FALSE))</f>
        <v>a</v>
      </c>
      <c r="BL119" s="758" t="str">
        <f>IF(VLOOKUP(A119,'Revitalisation-Revitalisierung'!$A$4:$Z$275,15,FALSE)="","",VLOOKUP(A119,'Revitalisation-Revitalisierung'!$A$4:$Z$275,15,FALSE))</f>
        <v>important</v>
      </c>
      <c r="BM119" s="759" t="str">
        <f>IF(VLOOKUP(A119,'Revitalisation-Revitalisierung'!$A$4:$Z$275,16,FALSE)="","",VLOOKUP(A119,'Revitalisation-Revitalisierung'!$A$4:$Z$275,16,FALSE))</f>
        <v>faible</v>
      </c>
      <c r="BN119" s="759" t="str">
        <f>IF(VLOOKUP(A119,'Revitalisation-Revitalisierung'!$A$4:$Z$275,17,FALSE)="","",VLOOKUP(A119,'Revitalisation-Revitalisierung'!$A$4:$Z$275,17,FALSE))</f>
        <v>nulle</v>
      </c>
      <c r="BO119" s="760" t="str">
        <f>IF(VLOOKUP(A119,'Revitalisation-Revitalisierung'!$A$4:$Z$275,18,FALSE)="","",VLOOKUP(A119,'Revitalisation-Revitalisierung'!$A$4:$Z$275,18,FALSE))</f>
        <v>Non nécessaire / nicht nötig</v>
      </c>
      <c r="BP119" s="761" t="str">
        <f>IF(VLOOKUP(A119,'Revitalisation-Revitalisierung'!$A$4:$Z$275,19,FALSE)="","",VLOOKUP(A119,'Revitalisation-Revitalisierung'!$A$4:$Z$275,19,FALSE))</f>
        <v>Non nécessaire / nicht nötig</v>
      </c>
      <c r="BQ119" s="759" t="str">
        <f>IF(VLOOKUP(A119,'Revitalisation-Revitalisierung'!$A$4:$Z$275,20,FALSE)="","",VLOOKUP(A119,'Revitalisation-Revitalisierung'!$A$4:$Z$275,20,FALSE))</f>
        <v>c</v>
      </c>
      <c r="BR119" s="759" t="str">
        <f>IF(VLOOKUP(A119,'Revitalisation-Revitalisierung'!$A$4:$Z$275,21,FALSE)="","",VLOOKUP(A119,'Revitalisation-Revitalisierung'!$A$4:$Z$275,21,FALSE))</f>
        <v/>
      </c>
      <c r="BS119" s="762" t="str">
        <f>IF(VLOOKUP(A119,'Revitalisation-Revitalisierung'!$A$4:$Z$275,22,FALSE)="","",VLOOKUP(A119,'Revitalisation-Revitalisierung'!$A$4:$Z$275,22,FALSE))</f>
        <v/>
      </c>
      <c r="BT119" s="700" t="str">
        <f>IF(VLOOKUP(A119,'Revitalisation-Revitalisierung'!$A$4:$Z$275,23,FALSE)="","",VLOOKUP(A119,'Revitalisation-Revitalisierung'!$A$4:$Z$275,23,FALSE))</f>
        <v>Revitalisation partiellement nécessaire confirmée par le plan de gestion</v>
      </c>
      <c r="BU119" s="699" t="str">
        <f>IF(VLOOKUP(A119,'Revitalisation-Revitalisierung'!$A$4:$Z$275,24,FALSE)="","",VLOOKUP(A119,'Revitalisation-Revitalisierung'!$A$4:$Z$275,24,FALSE))</f>
        <v>La finalisation du plan de gestion est prévue pour le début 2017. Les mesures de gestion vont dans le même sens que celles prévues dans la ZA de la Lomenne.</v>
      </c>
      <c r="BV119" s="761" t="str">
        <f>IF(VLOOKUP(A119,'Revitalisation-Revitalisierung'!$A$4:$Z$275,25,FALSE)="","",VLOOKUP(A119,'Revitalisation-Revitalisierung'!$A$4:$Z$275,25,FALSE))</f>
        <v>Partiellement nécessaire, facile / teilweise nötig, einfach</v>
      </c>
      <c r="BW119" s="871" t="str">
        <f>IF(VLOOKUP(A119,'Revitalisation-Revitalisierung'!$A$4:$AA$275,27,FALSE)="","",VLOOKUP(A119,'Revitalisation-Revitalisierung'!$A$4:$AA$275,27,FALSE))</f>
        <v>a</v>
      </c>
    </row>
    <row r="120" spans="1:75" ht="82.15" customHeight="1" x14ac:dyDescent="0.25">
      <c r="A120" s="935">
        <v>145</v>
      </c>
      <c r="B120" s="856">
        <f>IF(VLOOKUP(A120,'Données de base - Grunddaten'!$A$2:$M$297,2,FALSE)="","",VLOOKUP(A120,'Données de base - Grunddaten'!$A$2:$M$297,2,FALSE))</f>
        <v>1</v>
      </c>
      <c r="C120" s="857" t="str">
        <f>IF(VLOOKUP(A120,'Données de base - Grunddaten'!$A$2:$M$297,3,FALSE)="","",VLOOKUP(A120,'Données de base - Grunddaten'!$A$2:$M$297,3,FALSE))</f>
        <v>La Lomenne</v>
      </c>
      <c r="D120" s="857" t="str">
        <f>IF(VLOOKUP(A120,'Données de base - Grunddaten'!$A$2:$M$297,4,FALSE)="","",VLOOKUP(A120,'Données de base - Grunddaten'!$A$2:$M$297,4,FALSE))</f>
        <v>Le Doubs</v>
      </c>
      <c r="E120" s="857" t="str">
        <f>IF(VLOOKUP(A120,'Données de base - Grunddaten'!$A$2:$M$297,5,FALSE)="","",VLOOKUP(A120,'Données de base - Grunddaten'!$A$2:$M$297,5,FALSE))</f>
        <v>JU</v>
      </c>
      <c r="F120" s="857" t="str">
        <f>IF(VLOOKUP(A120,'Données de base - Grunddaten'!$A$2:$M$297,6,FALSE)="","",VLOOKUP(A120,'Données de base - Grunddaten'!$A$2:$M$297,6,FALSE))</f>
        <v>Jura et Randen</v>
      </c>
      <c r="G120" s="857" t="str">
        <f>IF(VLOOKUP(A120,'Données de base - Grunddaten'!$A$2:$M$297,7,FALSE)="","",VLOOKUP(A120,'Données de base - Grunddaten'!$A$2:$M$297,7,FALSE))</f>
        <v>Collinéen</v>
      </c>
      <c r="H120" s="857">
        <f>IF(VLOOKUP(A120,'Données de base - Grunddaten'!$A$2:$M$297,8,FALSE)="","",VLOOKUP(A120,'Données de base - Grunddaten'!$A$2:$M$297,8,FALSE))</f>
        <v>440</v>
      </c>
      <c r="I120" s="857">
        <f>IF(VLOOKUP(A120,'Données de base - Grunddaten'!$A$2:$M$297,9,FALSE)="","",VLOOKUP(A120,'Données de base - Grunddaten'!$A$2:$M$297,9,FALSE))</f>
        <v>1992</v>
      </c>
      <c r="J120" s="857">
        <f>IF(VLOOKUP(A120,'Données de base - Grunddaten'!$A$2:$M$297,10,FALSE)="","",VLOOKUP(A120,'Données de base - Grunddaten'!$A$2:$M$297,10,FALSE))</f>
        <v>83</v>
      </c>
      <c r="K120" s="857" t="str">
        <f>IF(VLOOKUP(A120,'Données de base - Grunddaten'!$A$2:$M$297,11,FALSE)="","",VLOOKUP(A120,'Données de base - Grunddaten'!$A$2:$M$297,11,FALSE))</f>
        <v>Singularité: Cours d'eau jurassiens</v>
      </c>
      <c r="L120" s="857" t="str">
        <f>IF(VLOOKUP(A120,'Données de base - Grunddaten'!$A$2:$M$297,12,FALSE)="","",VLOOKUP(A120,'Données de base - Grunddaten'!$A$2:$M$297,12,FALSE))</f>
        <v>en méandres migrants</v>
      </c>
      <c r="M120" s="858" t="str">
        <f>IF(VLOOKUP(A120,'Données de base - Grunddaten'!$A$2:$M$297,13,FALSE)="","",VLOOKUP(A120,'Données de base - Grunddaten'!$A$2:$M$297,13,FALSE))</f>
        <v>en méandres migrants</v>
      </c>
      <c r="N120" s="872" t="str">
        <f>IF(VLOOKUP(A120,'Charriage - Geschiebehaushalt'!$A$4:$R$275,5,FALSE)="","",VLOOKUP(A120,'Charriage - Geschiebehaushalt'!$A$4:$R$275,5,FALSE))</f>
        <v>pertinent</v>
      </c>
      <c r="O120" s="881" t="str">
        <f>IF(VLOOKUP(A120,'Charriage - Geschiebehaushalt'!$A$4:$R$275,6,FALSE)="","",VLOOKUP(A120,'Charriage - Geschiebehaushalt'!$A$4:$R$275,6,FALSE))</f>
        <v>non documenté</v>
      </c>
      <c r="P120" s="874" t="str">
        <f>IF(VLOOKUP(A120,'Charriage - Geschiebehaushalt'!$A$4:$R$275,7,FALSE)="","",VLOOKUP(A120,'Charriage - Geschiebehaushalt'!$A$4:$R$275,7,FALSE))</f>
        <v/>
      </c>
      <c r="Q120" s="874" t="str">
        <f>IF(VLOOKUP(A120,'Charriage - Geschiebehaushalt'!$A$4:$R$275,8,FALSE)="","",VLOOKUP(A120,'Charriage - Geschiebehaushalt'!$A$4:$R$275,8,FALSE))</f>
        <v>non documenté</v>
      </c>
      <c r="R120" s="875">
        <f>IF(VLOOKUP(A120,'Charriage - Geschiebehaushalt'!$A$4:$R$275,9,FALSE)="","",VLOOKUP(A120,'Charriage - Geschiebehaushalt'!$A$4:$R$275,9,FALSE))</f>
        <v>3.1852235447369898E-2</v>
      </c>
      <c r="S120" s="876" t="str">
        <f>IF(VLOOKUP(A120,'Charriage - Geschiebehaushalt'!$A$4:$R$275,10,FALSE)="","",VLOOKUP(A120,'Charriage - Geschiebehaushalt'!$A$4:$R$275,10,FALSE))</f>
        <v>pas ou faiblement entravé</v>
      </c>
      <c r="T120" s="875">
        <f>IF(VLOOKUP(A120,'Charriage - Geschiebehaushalt'!$A$4:$R$275,11,FALSE)="","",VLOOKUP(A120,'Charriage - Geschiebehaushalt'!$A$4:$R$275,11,FALSE))</f>
        <v>4.6471104843000002E-2</v>
      </c>
      <c r="U120" s="895" t="str">
        <f>IF(VLOOKUP(A120,'Charriage - Geschiebehaushalt'!$A$4:$R$275,12,FALSE)="","",VLOOKUP(A120,'Charriage - Geschiebehaushalt'!$A$4:$R$275,12,FALSE))</f>
        <v>déficit dans les formations pionnières</v>
      </c>
      <c r="V120" s="878" t="str">
        <f>IF(VLOOKUP(A120,'Charriage - Geschiebehaushalt'!$A$4:$R$275,13,FALSE)="","",VLOOKUP(A120,'Charriage - Geschiebehaushalt'!$A$4:$R$275,13,FALSE))</f>
        <v/>
      </c>
      <c r="W120" s="877" t="str">
        <f>IF(VLOOKUP(A120,'Charriage - Geschiebehaushalt'!$A$4:$R$275,14,FALSE)="","",VLOOKUP(A120,'Charriage - Geschiebehaushalt'!$A$4:$R$275,14,FALSE))</f>
        <v>A vérifier</v>
      </c>
      <c r="X120" s="877" t="str">
        <f>IF(VLOOKUP(A120,'Charriage - Geschiebehaushalt'!$A$4:$R$275,15,FALSE)="","",VLOOKUP(A120,'Charriage - Geschiebehaushalt'!$A$4:$R$275,15,FALSE))</f>
        <v>présent de 3 barrages à plus de 10 km de l'objet</v>
      </c>
      <c r="Y120" s="882" t="str">
        <f>IF(VLOOKUP(A120,'Charriage - Geschiebehaushalt'!$A$4:$R$275,16,FALSE)="","",VLOOKUP(A120,'Charriage - Geschiebehaushalt'!$A$4:$R$275,16,FALSE))</f>
        <v>charriage présumé faiblement perturbé</v>
      </c>
      <c r="Z120" s="763" t="str">
        <f>IF(VLOOKUP(A120,'Charriage - Geschiebehaushalt'!$A$4:$R$275,17,FALSE)="","",VLOOKUP(A120,'Charriage - Geschiebehaushalt'!$A$4:$R$275,17,FALSE))</f>
        <v>La remobilisation des sédiments est perturbée / Mobilisierung von Geschiebe beeinträchtigt</v>
      </c>
      <c r="AA120" s="880" t="str">
        <f>IF(VLOOKUP(A120,'Charriage - Geschiebehaushalt'!$A$4:$R$275,18,FALSE)="","",VLOOKUP(A120,'Charriage - Geschiebehaushalt'!$A$4:$R$275,18,FALSE))</f>
        <v>b</v>
      </c>
      <c r="AB120" s="737" t="str">
        <f>IF(VLOOKUP(A120,'Charriage - Geschiebehaushalt'!$A$4:$AC$275,19,FALSE)="","",VLOOKUP(A120,'Charriage - Geschiebehaushalt'!$A$4:$AC$275,19,FALSE))</f>
        <v>51-80% (charriage présumé perturbé)</v>
      </c>
      <c r="AC120" s="738" t="str">
        <f>IF(VLOOKUP(A120,'Charriage - Geschiebehaushalt'!$A$4:$AC$275,20,FALSE)="","",VLOOKUP(A120,'Charriage - Geschiebehaushalt'!$A$4:$AC$275,20,FALSE))</f>
        <v>moyen/important</v>
      </c>
      <c r="AD120" s="764" t="str">
        <f>IF(VLOOKUP(A120,'Charriage - Geschiebehaushalt'!$A$4:$AC$275,21,FALSE)="","",VLOOKUP(A120,'Charriage - Geschiebehaushalt'!$A$4:$AC$275,21,FALSE))</f>
        <v>51-80%</v>
      </c>
      <c r="AE120" s="772" t="str">
        <f>IF(VLOOKUP(A120,'Charriage - Geschiebehaushalt'!$A$4:$AC$275,22,FALSE)="","",VLOOKUP(A120,'Charriage - Geschiebehaushalt'!$A$4:$AC$275,22,FALSE))</f>
        <v>51-80%</v>
      </c>
      <c r="AF120" s="787" t="str">
        <f>IF(VLOOKUP(A120,'Charriage - Geschiebehaushalt'!$A$4:$AC$275,23,FALSE)="","",VLOOKUP(A120,'Charriage - Geschiebehaushalt'!$A$4:$AC$275,23,FALSE))</f>
        <v>c</v>
      </c>
      <c r="AG120" s="765" t="str">
        <f>IF(VLOOKUP(A120,'Charriage - Geschiebehaushalt'!$A$4:$AC$275,24,FALSE)="","",VLOOKUP(A120,'Charriage - Geschiebehaushalt'!$A$4:$AC$275,24,FALSE))</f>
        <v/>
      </c>
      <c r="AH120" s="764" t="str">
        <f>IF(VLOOKUP(A120,'Charriage - Geschiebehaushalt'!$A$4:$AC$275,25,FALSE)="","",VLOOKUP(A120,'Charriage - Geschiebehaushalt'!$A$4:$AC$275,25,FALSE))</f>
        <v/>
      </c>
      <c r="AI120" s="437" t="str">
        <f>IF(VLOOKUP(A120,'Charriage - Geschiebehaushalt'!$A$4:$AC$275,26,FALSE)="","",VLOOKUP(A120,'Charriage - Geschiebehaushalt'!$A$4:$AC$275,26,FALSE))</f>
        <v>Notre Office propose de rester à un déficit de 21-50%, comme établi dans le rapport de 2004.</v>
      </c>
      <c r="AJ120" s="436" t="str">
        <f>IF(VLOOKUP(A120,'Charriage - Geschiebehaushalt'!$A$4:$AC$275,27,FALSE)="","",VLOOKUP(A120,'Charriage - Geschiebehaushalt'!$A$4:$AC$275,27,FALSE))</f>
        <v xml:space="preserve">Les installations hydroélectriques de Moulin-Grillon se situent à l'extrémité aval de la ZA. Selon le rapport " Assainissement du régime de charriage - Planification stratégique - Bassin versant du Doubs", validée par l'OFEV, aucune mesure d'assainissement n'est prévue pour cet ouvrage.  Pour le reste, nos remarques sont identiques à celles formulées pour la ZA de la Réchesse </v>
      </c>
      <c r="AK120" s="814" t="str">
        <f>IF(VLOOKUP(A120,'Charriage - Geschiebehaushalt'!$A$4:$AC$275,28,FALSE)="","",VLOOKUP(A120,'Charriage - Geschiebehaushalt'!$A$4:$AC$275,28,FALSE))</f>
        <v>21-50%</v>
      </c>
      <c r="AL120" s="1285" t="str">
        <f>IF(VLOOKUP(A120,'Charriage - Geschiebehaushalt'!$A$4:$AD$275,30,FALSE)="","",VLOOKUP(A120,'Charriage - Geschiebehaushalt'!$A$4:$AD$275,30,FALSE))</f>
        <v>b</v>
      </c>
      <c r="AM120" s="1279" t="str">
        <f>IF(VLOOKUP(A120,'Débit - Abfluss'!$A$4:$K$275,5,FALSE)="","",VLOOKUP(A120,'Débit - Abfluss'!$A$4:$M$275,5,FALSE))</f>
        <v>81-100%</v>
      </c>
      <c r="AN120" s="868" t="str">
        <f>IF(VLOOKUP(A120,'Débit - Abfluss'!$A$4:$K$275,6,FALSE)="","",VLOOKUP(A120,'Débit - Abfluss'!$A$4:$M$275,6,FALSE))</f>
        <v/>
      </c>
      <c r="AO120" s="869" t="str">
        <f>IF(VLOOKUP(A120,'Débit - Abfluss'!$A$4:$K$275,7,FALSE)="","",VLOOKUP(A120,'Débit - Abfluss'!$A$4:$M$275,7,FALSE))</f>
        <v/>
      </c>
      <c r="AP120" s="766" t="str">
        <f>IF(VLOOKUP(A120,'Débit - Abfluss'!$A$4:$K$275,8,FALSE)="","",VLOOKUP(A120,'Débit - Abfluss'!$A$4:$M$275,8,FALSE))</f>
        <v>81-100%</v>
      </c>
      <c r="AQ120" s="678" t="str">
        <f>IF(VLOOKUP(A120,'Débit - Abfluss'!$A$4:$K$275,9,FALSE)="","",VLOOKUP(A120,'Débit - Abfluss'!$A$4:$M$275,9,FALSE))</f>
        <v>&lt;10%</v>
      </c>
      <c r="AR120" s="767" t="str">
        <f>IF(VLOOKUP(A120,'Débit - Abfluss'!$A$4:$K$275,10,FALSE)="","",VLOOKUP(A120,'Débit - Abfluss'!$A$4:$M$275,10,FALSE))</f>
        <v>81-100%</v>
      </c>
      <c r="AS120" s="773" t="str">
        <f>IF(VLOOKUP(A120,'Débit - Abfluss'!$A$4:$K$275,11,FALSE)="","",VLOOKUP(A120,'Débit - Abfluss'!$A$4:$M$275,11,FALSE))</f>
        <v>X</v>
      </c>
      <c r="AT120" s="790" t="str">
        <f>IF(VLOOKUP(A120,'Débit - Abfluss'!$A$4:$Q$275,12,FALSE)="","",VLOOKUP(A120,'Débit - Abfluss'!$A$4:$Q$275,12,FALSE))</f>
        <v>Pas d'assainissement nécessaire</v>
      </c>
      <c r="AU120" s="768" t="str">
        <f>IF(VLOOKUP(A120,'Débit - Abfluss'!$A$4:$Q$275,13,FALSE)="","",VLOOKUP(A120,'Débit - Abfluss'!$A$4:$Q$275,13,FALSE))</f>
        <v>Prélèvement d'eau superficielle compatible avec les objectifs de protection de la zone alluviale</v>
      </c>
      <c r="AV120" s="746" t="str">
        <f>IF(VLOOKUP(A120,'Débit - Abfluss'!$A$4:$Q$275,14,FALSE)="","",VLOOKUP(A120,'Débit - Abfluss'!$A$4:$Q$275,14,FALSE))</f>
        <v>JU-56 G 72</v>
      </c>
      <c r="AW120" s="768" t="str">
        <f>IF(VLOOKUP(A120,'Débit - Abfluss'!$A$4:$Q$275,15,FALSE)="","",VLOOKUP(A120,'Débit - Abfluss'!$A$4:$Q$275,15,FALSE))</f>
        <v>Moulin Grillon</v>
      </c>
      <c r="AX120" s="682" t="str">
        <f>IF(VLOOKUP(A120,'Débit - Abfluss'!$A$4:$Q$275,16,FALSE)="","",VLOOKUP(A120,'Débit - Abfluss'!$A$4:$Q$275,16,FALSE))</f>
        <v>Le concessionnaire jouit d'un droit d'eau illimité. Le débit résiduel a été fixé en 1999 à 4 - 4.5 m3/s et confirmé à 4 m3/s en 2013, dans la procédure liée à la réalisation du dispositif de franchissement. Il sera donc augmenté dès réalisation de l'ouvrage. Par ailleurs, la part du débit résiduel qui n'est pas dévolue au débit d'équipement de l'ouvrage de franchissement, doit être déversée sur toute la longueur du seuil pour des raisons paysagères et biologiques. Ce débit de "déversement", sous réserve d'un débit naturel plus faible, doit en tout temps être garanti. Tout prélèvement en-dessous de 11m3/s doit être adapté et proscrit en-dessous 7m3/s.</v>
      </c>
      <c r="AY120" s="769" t="str">
        <f>IF(VLOOKUP(A120,'Débit - Abfluss'!$A$4:$Q$275,17,FALSE)="","",VLOOKUP(A120,'Débit - Abfluss'!$A$4:$Q$275,17,FALSE))</f>
        <v>81-100%</v>
      </c>
      <c r="AZ120" s="749" t="str">
        <f>IF(VLOOKUP(A120,'Eclusée - Schwall-Sunk'!$A$2:$F$273,5,FALSE)="","",VLOOKUP(A120,'Eclusée - Schwall-Sunk'!$A$2:$F$273,5,FALSE))</f>
        <v>force hydraulique</v>
      </c>
      <c r="BA120" s="750" t="str">
        <f>IF(VLOOKUP(A120,'Eclusée - Schwall-Sunk'!$A$2:$F$273,6,FALSE)="","",VLOOKUP(A120,'Eclusée - Schwall-Sunk'!$A$2:$F$273,6,FALSE))</f>
        <v>Potentiellement affecté / möglicherweise betroffen</v>
      </c>
      <c r="BB120" s="751">
        <f>IF(VLOOKUP(A120,'Revitalisation-Revitalisierung'!$A$4:$Z$275,5,FALSE)="","",VLOOKUP(A120,'Revitalisation-Revitalisierung'!$A$4:$Z$275,5,FALSE))</f>
        <v>-12.272727272727273</v>
      </c>
      <c r="BC120" s="752">
        <f>IF(VLOOKUP(A120,'Revitalisation-Revitalisierung'!$A$4:$Z$275,6,FALSE)="","",VLOOKUP(A120,'Revitalisation-Revitalisierung'!$A$4:$Z$275,6,FALSE))</f>
        <v>0</v>
      </c>
      <c r="BD120" s="752">
        <f>IF(VLOOKUP(A120,'Revitalisation-Revitalisierung'!$A$4:$Z$275,7,FALSE)="","",VLOOKUP(A120,'Revitalisation-Revitalisierung'!$A$4:$Z$275,7,FALSE))</f>
        <v>12.272727272727273</v>
      </c>
      <c r="BE120" s="753" t="str">
        <f>IF(VLOOKUP(A120,'Revitalisation-Revitalisierung'!$A$4:$Z$275,8,FALSE)="","",VLOOKUP(A120,'Revitalisation-Revitalisierung'!$A$4:$Z$275,8,FALSE))</f>
        <v>non nécessaire</v>
      </c>
      <c r="BF120" s="754" t="str">
        <f>IF(VLOOKUP(A120,'Revitalisation-Revitalisierung'!$A$4:$Z$275,9,FALSE)="","",VLOOKUP(A120,'Revitalisation-Revitalisierung'!$A$4:$Z$275,9,FALSE))</f>
        <v/>
      </c>
      <c r="BG120" s="754" t="str">
        <f>IF(VLOOKUP(A120,'Revitalisation-Revitalisierung'!$A$4:$Z$275,10,FALSE)="","",VLOOKUP(A120,'Revitalisation-Revitalisierung'!$A$4:$Z$275,10,FALSE))</f>
        <v>K2</v>
      </c>
      <c r="BH120" s="755" t="str">
        <f>IF(VLOOKUP(A120,'Revitalisation-Revitalisierung'!$A$4:$Z$275,11,FALSE)="","",VLOOKUP(A120,'Revitalisation-Revitalisierung'!$A$4:$Z$275,11,FALSE))</f>
        <v/>
      </c>
      <c r="BI120" s="756" t="str">
        <f>IF(VLOOKUP(A120,'Revitalisation-Revitalisierung'!$A$4:$Z$275,12,FALSE)="","",VLOOKUP(A120,'Revitalisation-Revitalisierung'!$A$4:$Z$275,12,FALSE))</f>
        <v/>
      </c>
      <c r="BJ120" s="788" t="str">
        <f>IF(VLOOKUP(A120,'Revitalisation-Revitalisierung'!$A$4:$Z$275,13,FALSE)="","",VLOOKUP(A120,'Revitalisation-Revitalisierung'!$A$4:$Z$275,13,FALSE))</f>
        <v>Non nécessaire / nicht nötig</v>
      </c>
      <c r="BK120" s="870" t="str">
        <f>IF(VLOOKUP(A120,'Revitalisation-Revitalisierung'!$A$4:$Z$275,14,FALSE)="","",VLOOKUP(A120,'Revitalisation-Revitalisierung'!$A$4:$Z$275,14,FALSE))</f>
        <v>a</v>
      </c>
      <c r="BL120" s="758" t="str">
        <f>IF(VLOOKUP(A120,'Revitalisation-Revitalisierung'!$A$4:$Z$275,15,FALSE)="","",VLOOKUP(A120,'Revitalisation-Revitalisierung'!$A$4:$Z$275,15,FALSE))</f>
        <v>important</v>
      </c>
      <c r="BM120" s="759" t="str">
        <f>IF(VLOOKUP(A120,'Revitalisation-Revitalisierung'!$A$4:$Z$275,16,FALSE)="","",VLOOKUP(A120,'Revitalisation-Revitalisierung'!$A$4:$Z$275,16,FALSE))</f>
        <v>faible</v>
      </c>
      <c r="BN120" s="759" t="str">
        <f>IF(VLOOKUP(A120,'Revitalisation-Revitalisierung'!$A$4:$Z$275,17,FALSE)="","",VLOOKUP(A120,'Revitalisation-Revitalisierung'!$A$4:$Z$275,17,FALSE))</f>
        <v>nulle</v>
      </c>
      <c r="BO120" s="760" t="str">
        <f>IF(VLOOKUP(A120,'Revitalisation-Revitalisierung'!$A$4:$Z$275,18,FALSE)="","",VLOOKUP(A120,'Revitalisation-Revitalisierung'!$A$4:$Z$275,18,FALSE))</f>
        <v>Non nécessaire / nicht nötig</v>
      </c>
      <c r="BP120" s="761" t="str">
        <f>IF(VLOOKUP(A120,'Revitalisation-Revitalisierung'!$A$4:$Z$275,19,FALSE)="","",VLOOKUP(A120,'Revitalisation-Revitalisierung'!$A$4:$Z$275,19,FALSE))</f>
        <v>Non nécessaire / nicht nötig</v>
      </c>
      <c r="BQ120" s="759" t="str">
        <f>IF(VLOOKUP(A120,'Revitalisation-Revitalisierung'!$A$4:$Z$275,20,FALSE)="","",VLOOKUP(A120,'Revitalisation-Revitalisierung'!$A$4:$Z$275,20,FALSE))</f>
        <v>d</v>
      </c>
      <c r="BR120" s="759" t="str">
        <f>IF(VLOOKUP(A120,'Revitalisation-Revitalisierung'!$A$4:$Z$275,21,FALSE)="","",VLOOKUP(A120,'Revitalisation-Revitalisierung'!$A$4:$Z$275,21,FALSE))</f>
        <v/>
      </c>
      <c r="BS120" s="762" t="str">
        <f>IF(VLOOKUP(A120,'Revitalisation-Revitalisierung'!$A$4:$Z$275,22,FALSE)="","",VLOOKUP(A120,'Revitalisation-Revitalisierung'!$A$4:$Z$275,22,FALSE))</f>
        <v/>
      </c>
      <c r="BT120" s="700" t="str">
        <f>IF(VLOOKUP(A120,'Revitalisation-Revitalisierung'!$A$4:$Z$275,23,FALSE)="","",VLOOKUP(A120,'Revitalisation-Revitalisierung'!$A$4:$Z$275,23,FALSE))</f>
        <v xml:space="preserve">Selon le plan de gestion finalisé, notre Office propose de modifier le besoin de revitalisation à partiellement nécessaire </v>
      </c>
      <c r="BU120" s="699" t="str">
        <f>IF(VLOOKUP(A120,'Revitalisation-Revitalisierung'!$A$4:$Z$275,24,FALSE)="","",VLOOKUP(A120,'Revitalisation-Revitalisierung'!$A$4:$Z$275,24,FALSE))</f>
        <v>Le plan de gestion est achevé et sera présenté aux propriétaires concernés, selon l'art. 3 OZA, dans le 1er semestre 2017. Celui-ci prévoit notamment une série d'aménagements tels que la création d'annexes hydrauliques, de terrasses basses, le renforcement de la ripisylve avec ou sans abaissement de la rive, la revitalisation de zones humides, la restriction d’utilisation, etc.</v>
      </c>
      <c r="BV120" s="761" t="str">
        <f>IF(VLOOKUP(A120,'Revitalisation-Revitalisierung'!$A$4:$Z$275,25,FALSE)="","",VLOOKUP(A120,'Revitalisation-Revitalisierung'!$A$4:$Z$275,25,FALSE))</f>
        <v>Partiellement nécessaire, facile / teilweise nötig, einfach</v>
      </c>
      <c r="BW120" s="871" t="str">
        <f>IF(VLOOKUP(A120,'Revitalisation-Revitalisierung'!$A$4:$AA$275,27,FALSE)="","",VLOOKUP(A120,'Revitalisation-Revitalisierung'!$A$4:$AA$275,27,FALSE))</f>
        <v>b</v>
      </c>
    </row>
    <row r="121" spans="1:75" ht="73.150000000000006" customHeight="1" x14ac:dyDescent="0.25">
      <c r="A121" s="935">
        <v>146</v>
      </c>
      <c r="B121" s="856">
        <f>IF(VLOOKUP(A121,'Données de base - Grunddaten'!$A$2:$M$297,2,FALSE)="","",VLOOKUP(A121,'Données de base - Grunddaten'!$A$2:$M$297,2,FALSE))</f>
        <v>1</v>
      </c>
      <c r="C121" s="857" t="str">
        <f>IF(VLOOKUP(A121,'Données de base - Grunddaten'!$A$2:$M$297,3,FALSE)="","",VLOOKUP(A121,'Données de base - Grunddaten'!$A$2:$M$297,3,FALSE))</f>
        <v>Bosco dei Valloni</v>
      </c>
      <c r="D121" s="857" t="str">
        <f>IF(VLOOKUP(A121,'Données de base - Grunddaten'!$A$2:$M$297,4,FALSE)="","",VLOOKUP(A121,'Données de base - Grunddaten'!$A$2:$M$297,4,FALSE))</f>
        <v>Ticino</v>
      </c>
      <c r="E121" s="857" t="str">
        <f>IF(VLOOKUP(A121,'Données de base - Grunddaten'!$A$2:$M$297,5,FALSE)="","",VLOOKUP(A121,'Données de base - Grunddaten'!$A$2:$M$297,5,FALSE))</f>
        <v>TI</v>
      </c>
      <c r="F121" s="857" t="str">
        <f>IF(VLOOKUP(A121,'Données de base - Grunddaten'!$A$2:$M$297,6,FALSE)="","",VLOOKUP(A121,'Données de base - Grunddaten'!$A$2:$M$297,6,FALSE))</f>
        <v>Alpes méridionales</v>
      </c>
      <c r="G121" s="857" t="str">
        <f>IF(VLOOKUP(A121,'Données de base - Grunddaten'!$A$2:$M$297,7,FALSE)="","",VLOOKUP(A121,'Données de base - Grunddaten'!$A$2:$M$297,7,FALSE))</f>
        <v>Subalpin inf.</v>
      </c>
      <c r="H121" s="857">
        <f>IF(VLOOKUP(A121,'Données de base - Grunddaten'!$A$2:$M$297,8,FALSE)="","",VLOOKUP(A121,'Données de base - Grunddaten'!$A$2:$M$297,8,FALSE))</f>
        <v>1355</v>
      </c>
      <c r="I121" s="857">
        <f>IF(VLOOKUP(A121,'Données de base - Grunddaten'!$A$2:$M$297,9,FALSE)="","",VLOOKUP(A121,'Données de base - Grunddaten'!$A$2:$M$297,9,FALSE))</f>
        <v>1992</v>
      </c>
      <c r="J121" s="857">
        <f>IF(VLOOKUP(A121,'Données de base - Grunddaten'!$A$2:$M$297,10,FALSE)="","",VLOOKUP(A121,'Données de base - Grunddaten'!$A$2:$M$297,10,FALSE))</f>
        <v>41</v>
      </c>
      <c r="K121" s="857" t="str">
        <f>IF(VLOOKUP(A121,'Données de base - Grunddaten'!$A$2:$M$297,11,FALSE)="","",VLOOKUP(A121,'Données de base - Grunddaten'!$A$2:$M$297,11,FALSE))</f>
        <v>Cours d'eau naturels de l'étage montagnard</v>
      </c>
      <c r="L121" s="857" t="str">
        <f>IF(VLOOKUP(A121,'Données de base - Grunddaten'!$A$2:$M$297,12,FALSE)="","",VLOOKUP(A121,'Données de base - Grunddaten'!$A$2:$M$297,12,FALSE))</f>
        <v>en tresses</v>
      </c>
      <c r="M121" s="858" t="str">
        <f>IF(VLOOKUP(A121,'Données de base - Grunddaten'!$A$2:$M$297,13,FALSE)="","",VLOOKUP(A121,'Données de base - Grunddaten'!$A$2:$M$297,13,FALSE))</f>
        <v>en tresses</v>
      </c>
      <c r="N121" s="872" t="str">
        <f>IF(VLOOKUP(A121,'Charriage - Geschiebehaushalt'!$A$4:$R$275,5,FALSE)="","",VLOOKUP(A121,'Charriage - Geschiebehaushalt'!$A$4:$R$275,5,FALSE))</f>
        <v>pertinent</v>
      </c>
      <c r="O121" s="881" t="str">
        <f>IF(VLOOKUP(A121,'Charriage - Geschiebehaushalt'!$A$4:$R$275,6,FALSE)="","",VLOOKUP(A121,'Charriage - Geschiebehaushalt'!$A$4:$R$275,6,FALSE))</f>
        <v>non documenté</v>
      </c>
      <c r="P121" s="874" t="str">
        <f>IF(VLOOKUP(A121,'Charriage - Geschiebehaushalt'!$A$4:$R$275,7,FALSE)="","",VLOOKUP(A121,'Charriage - Geschiebehaushalt'!$A$4:$R$275,7,FALSE))</f>
        <v/>
      </c>
      <c r="Q121" s="874" t="str">
        <f>IF(VLOOKUP(A121,'Charriage - Geschiebehaushalt'!$A$4:$R$275,8,FALSE)="","",VLOOKUP(A121,'Charriage - Geschiebehaushalt'!$A$4:$R$275,8,FALSE))</f>
        <v>non documenté</v>
      </c>
      <c r="R121" s="875">
        <f>IF(VLOOKUP(A121,'Charriage - Geschiebehaushalt'!$A$4:$R$275,9,FALSE)="","",VLOOKUP(A121,'Charriage - Geschiebehaushalt'!$A$4:$R$275,9,FALSE))</f>
        <v>0.44593965523977203</v>
      </c>
      <c r="S121" s="895" t="str">
        <f>IF(VLOOKUP(A121,'Charriage - Geschiebehaushalt'!$A$4:$R$275,10,FALSE)="","",VLOOKUP(A121,'Charriage - Geschiebehaushalt'!$A$4:$R$275,10,FALSE))</f>
        <v>la remobilisation des sédiments est perturbée</v>
      </c>
      <c r="T121" s="875">
        <f>IF(VLOOKUP(A121,'Charriage - Geschiebehaushalt'!$A$4:$R$275,11,FALSE)="","",VLOOKUP(A121,'Charriage - Geschiebehaushalt'!$A$4:$R$275,11,FALSE))</f>
        <v>0.22549947234000001</v>
      </c>
      <c r="U121" s="876" t="str">
        <f>IF(VLOOKUP(A121,'Charriage - Geschiebehaushalt'!$A$4:$R$275,12,FALSE)="","",VLOOKUP(A121,'Charriage - Geschiebehaushalt'!$A$4:$R$275,12,FALSE))</f>
        <v>déficit dans les formations pionnières</v>
      </c>
      <c r="V121" s="877" t="str">
        <f>IF(VLOOKUP(A121,'Charriage - Geschiebehaushalt'!$A$4:$R$275,13,FALSE)="","",VLOOKUP(A121,'Charriage - Geschiebehaushalt'!$A$4:$R$275,13,FALSE))</f>
        <v/>
      </c>
      <c r="W121" s="877" t="str">
        <f>IF(VLOOKUP(A121,'Charriage - Geschiebehaushalt'!$A$4:$R$275,14,FALSE)="","",VLOOKUP(A121,'Charriage - Geschiebehaushalt'!$A$4:$R$275,14,FALSE))</f>
        <v/>
      </c>
      <c r="X121" s="877" t="str">
        <f>IF(VLOOKUP(A121,'Charriage - Geschiebehaushalt'!$A$4:$R$275,15,FALSE)="","",VLOOKUP(A121,'Charriage - Geschiebehaushalt'!$A$4:$R$275,15,FALSE))</f>
        <v/>
      </c>
      <c r="Y121" s="879" t="str">
        <f>IF(VLOOKUP(A121,'Charriage - Geschiebehaushalt'!$A$4:$R$275,16,FALSE)="","",VLOOKUP(A121,'Charriage - Geschiebehaushalt'!$A$4:$R$275,16,FALSE))</f>
        <v/>
      </c>
      <c r="Z121" s="763" t="str">
        <f>IF(VLOOKUP(A121,'Charriage - Geschiebehaushalt'!$A$4:$R$275,17,FALSE)="","",VLOOKUP(A121,'Charriage - Geschiebehaushalt'!$A$4:$R$275,17,FALSE))</f>
        <v>La remobilisation des sédiments est perturbée / Mobilisierung von Geschiebe beeinträchtigt</v>
      </c>
      <c r="AA121" s="880" t="str">
        <f>IF(VLOOKUP(A121,'Charriage - Geschiebehaushalt'!$A$4:$R$275,18,FALSE)="","",VLOOKUP(A121,'Charriage - Geschiebehaushalt'!$A$4:$R$275,18,FALSE))</f>
        <v>a</v>
      </c>
      <c r="AB121" s="737" t="str">
        <f>IF(VLOOKUP(A121,'Charriage - Geschiebehaushalt'!$A$4:$AC$275,19,FALSE)="","",VLOOKUP(A121,'Charriage - Geschiebehaushalt'!$A$4:$AC$275,19,FALSE))</f>
        <v>nul</v>
      </c>
      <c r="AC121" s="738" t="str">
        <f>IF(VLOOKUP(A121,'Charriage - Geschiebehaushalt'!$A$4:$AC$275,20,FALSE)="","",VLOOKUP(A121,'Charriage - Geschiebehaushalt'!$A$4:$AC$275,20,FALSE))</f>
        <v>nul</v>
      </c>
      <c r="AD121" s="789" t="str">
        <f>IF(VLOOKUP(A121,'Charriage - Geschiebehaushalt'!$A$4:$AC$275,21,FALSE)="","",VLOOKUP(A121,'Charriage - Geschiebehaushalt'!$A$4:$AC$275,21,FALSE))</f>
        <v>0-20%</v>
      </c>
      <c r="AE121" s="772" t="str">
        <f>IF(VLOOKUP(A121,'Charriage - Geschiebehaushalt'!$A$4:$AC$275,22,FALSE)="","",VLOOKUP(A121,'Charriage - Geschiebehaushalt'!$A$4:$AC$275,22,FALSE))</f>
        <v>21-50%</v>
      </c>
      <c r="AF121" s="787" t="str">
        <f>IF(VLOOKUP(A121,'Charriage - Geschiebehaushalt'!$A$4:$AC$275,23,FALSE)="","",VLOOKUP(A121,'Charriage - Geschiebehaushalt'!$A$4:$AC$275,23,FALSE))</f>
        <v>a</v>
      </c>
      <c r="AG121" s="765" t="str">
        <f>IF(VLOOKUP(A121,'Charriage - Geschiebehaushalt'!$A$4:$AC$275,24,FALSE)="","",VLOOKUP(A121,'Charriage - Geschiebehaushalt'!$A$4:$AC$275,24,FALSE))</f>
        <v/>
      </c>
      <c r="AH121" s="764" t="str">
        <f>IF(VLOOKUP(A121,'Charriage - Geschiebehaushalt'!$A$4:$AC$275,25,FALSE)="","",VLOOKUP(A121,'Charriage - Geschiebehaushalt'!$A$4:$AC$275,25,FALSE))</f>
        <v/>
      </c>
      <c r="AI121" s="433" t="str">
        <f>IF(VLOOKUP(A121,'Charriage - Geschiebehaushalt'!$A$4:$AC$275,26,FALSE)="","",VLOOKUP(A121,'Charriage - Geschiebehaushalt'!$A$4:$AC$275,26,FALSE))</f>
        <v/>
      </c>
      <c r="AJ121" s="434" t="str">
        <f>IF(VLOOKUP(A121,'Charriage - Geschiebehaushalt'!$A$4:$AC$275,27,FALSE)="","",VLOOKUP(A121,'Charriage - Geschiebehaushalt'!$A$4:$AC$275,27,FALSE))</f>
        <v/>
      </c>
      <c r="AK121" s="814" t="str">
        <f>IF(VLOOKUP(A121,'Charriage - Geschiebehaushalt'!$A$4:$AC$275,28,FALSE)="","",VLOOKUP(A121,'Charriage - Geschiebehaushalt'!$A$4:$AC$275,28,FALSE))</f>
        <v>21-50%</v>
      </c>
      <c r="AL121" s="1285" t="str">
        <f>IF(VLOOKUP(A121,'Charriage - Geschiebehaushalt'!$A$4:$AD$275,30,FALSE)="","",VLOOKUP(A121,'Charriage - Geschiebehaushalt'!$A$4:$AD$275,30,FALSE))</f>
        <v>a</v>
      </c>
      <c r="AM121" s="1279" t="str">
        <f>IF(VLOOKUP(A121,'Débit - Abfluss'!$A$4:$K$275,5,FALSE)="","",VLOOKUP(A121,'Débit - Abfluss'!$A$4:$M$275,5,FALSE))</f>
        <v>41-60%</v>
      </c>
      <c r="AN121" s="868" t="str">
        <f>IF(VLOOKUP(A121,'Débit - Abfluss'!$A$4:$K$275,6,FALSE)="","",VLOOKUP(A121,'Débit - Abfluss'!$A$4:$M$275,6,FALSE))</f>
        <v/>
      </c>
      <c r="AO121" s="869" t="str">
        <f>IF(VLOOKUP(A121,'Débit - Abfluss'!$A$4:$K$275,7,FALSE)="","",VLOOKUP(A121,'Débit - Abfluss'!$A$4:$M$275,7,FALSE))</f>
        <v/>
      </c>
      <c r="AP121" s="766" t="str">
        <f>IF(VLOOKUP(A121,'Débit - Abfluss'!$A$4:$K$275,8,FALSE)="","",VLOOKUP(A121,'Débit - Abfluss'!$A$4:$M$275,8,FALSE))</f>
        <v>41-60%</v>
      </c>
      <c r="AQ121" s="678" t="str">
        <f>IF(VLOOKUP(A121,'Débit - Abfluss'!$A$4:$K$275,9,FALSE)="","",VLOOKUP(A121,'Débit - Abfluss'!$A$4:$M$275,9,FALSE))</f>
        <v>&lt;10%</v>
      </c>
      <c r="AR121" s="773" t="str">
        <f>IF(VLOOKUP(A121,'Débit - Abfluss'!$A$4:$K$275,10,FALSE)="","",VLOOKUP(A121,'Débit - Abfluss'!$A$4:$M$275,10,FALSE))</f>
        <v>41-60%</v>
      </c>
      <c r="AS121" s="773" t="str">
        <f>IF(VLOOKUP(A121,'Débit - Abfluss'!$A$4:$K$275,11,FALSE)="","",VLOOKUP(A121,'Débit - Abfluss'!$A$4:$M$275,11,FALSE))</f>
        <v>X</v>
      </c>
      <c r="AT121" s="744" t="str">
        <f>IF(VLOOKUP(A121,'Débit - Abfluss'!$A$4:$Q$275,12,FALSE)="","",VLOOKUP(A121,'Débit - Abfluss'!$A$4:$Q$275,12,FALSE))</f>
        <v/>
      </c>
      <c r="AU121" s="683" t="str">
        <f>IF(VLOOKUP(A121,'Débit - Abfluss'!$A$4:$Q$275,13,FALSE)="","",VLOOKUP(A121,'Débit - Abfluss'!$A$4:$Q$275,13,FALSE))</f>
        <v xml:space="preserve">In via di principio concordiamo con UFAM </v>
      </c>
      <c r="AV121" s="791" t="str">
        <f>IF(VLOOKUP(A121,'Débit - Abfluss'!$A$4:$Q$275,14,FALSE)="","",VLOOKUP(A121,'Débit - Abfluss'!$A$4:$Q$275,14,FALSE))</f>
        <v>TI-W 42.1</v>
      </c>
      <c r="AW121" s="768" t="str">
        <f>IF(VLOOKUP(A121,'Débit - Abfluss'!$A$4:$Q$275,15,FALSE)="","",VLOOKUP(A121,'Débit - Abfluss'!$A$4:$Q$275,15,FALSE))</f>
        <v>Bavona</v>
      </c>
      <c r="AX121" s="679" t="str">
        <f>IF(VLOOKUP(A121,'Débit - Abfluss'!$A$4:$Q$275,16,FALSE)="","",VLOOKUP(A121,'Débit - Abfluss'!$A$4:$Q$275,16,FALSE))</f>
        <v/>
      </c>
      <c r="AY121" s="775" t="str">
        <f>IF(VLOOKUP(A121,'Débit - Abfluss'!$A$4:$Q$275,17,FALSE)="","",VLOOKUP(A121,'Débit - Abfluss'!$A$4:$Q$275,17,FALSE))</f>
        <v>41-60%</v>
      </c>
      <c r="AZ121" s="749" t="str">
        <f>IF(VLOOKUP(A121,'Eclusée - Schwall-Sunk'!$A$2:$F$273,5,FALSE)="","",VLOOKUP(A121,'Eclusée - Schwall-Sunk'!$A$2:$F$273,5,FALSE))</f>
        <v>force hydraulique</v>
      </c>
      <c r="BA121" s="750" t="str">
        <f>IF(VLOOKUP(A121,'Eclusée - Schwall-Sunk'!$A$2:$F$273,6,FALSE)="","",VLOOKUP(A121,'Eclusée - Schwall-Sunk'!$A$2:$F$273,6,FALSE))</f>
        <v>Non affecté / nicht betroffen</v>
      </c>
      <c r="BB121" s="751">
        <f>IF(VLOOKUP(A121,'Revitalisation-Revitalisierung'!$A$4:$Z$275,5,FALSE)="","",VLOOKUP(A121,'Revitalisation-Revitalisierung'!$A$4:$Z$275,5,FALSE))</f>
        <v>48.927272727272729</v>
      </c>
      <c r="BC121" s="752">
        <f>IF(VLOOKUP(A121,'Revitalisation-Revitalisierung'!$A$4:$Z$275,6,FALSE)="","",VLOOKUP(A121,'Revitalisation-Revitalisierung'!$A$4:$Z$275,6,FALSE))</f>
        <v>76.242494301416301</v>
      </c>
      <c r="BD121" s="752">
        <f>IF(VLOOKUP(A121,'Revitalisation-Revitalisierung'!$A$4:$Z$275,7,FALSE)="","",VLOOKUP(A121,'Revitalisation-Revitalisierung'!$A$4:$Z$275,7,FALSE))</f>
        <v>27.272727272727273</v>
      </c>
      <c r="BE121" s="753" t="str">
        <f>IF(VLOOKUP(A121,'Revitalisation-Revitalisierung'!$A$4:$Z$275,8,FALSE)="","",VLOOKUP(A121,'Revitalisation-Revitalisierung'!$A$4:$Z$275,8,FALSE))</f>
        <v>très nécessaire, difficile</v>
      </c>
      <c r="BF121" s="754" t="str">
        <f>IF(VLOOKUP(A121,'Revitalisation-Revitalisierung'!$A$4:$Z$275,9,FALSE)="","",VLOOKUP(A121,'Revitalisation-Revitalisierung'!$A$4:$Z$275,9,FALSE))</f>
        <v/>
      </c>
      <c r="BG121" s="754" t="str">
        <f>IF(VLOOKUP(A121,'Revitalisation-Revitalisierung'!$A$4:$Z$275,10,FALSE)="","",VLOOKUP(A121,'Revitalisation-Revitalisierung'!$A$4:$Z$275,10,FALSE))</f>
        <v>K1</v>
      </c>
      <c r="BH121" s="755" t="str">
        <f>IF(VLOOKUP(A121,'Revitalisation-Revitalisierung'!$A$4:$Z$275,11,FALSE)="","",VLOOKUP(A121,'Revitalisation-Revitalisierung'!$A$4:$Z$275,11,FALSE))</f>
        <v/>
      </c>
      <c r="BI121" s="756" t="str">
        <f>IF(VLOOKUP(A121,'Revitalisation-Revitalisierung'!$A$4:$Z$275,12,FALSE)="","",VLOOKUP(A121,'Revitalisation-Revitalisierung'!$A$4:$Z$275,12,FALSE))</f>
        <v/>
      </c>
      <c r="BJ121" s="788" t="str">
        <f>IF(VLOOKUP(A121,'Revitalisation-Revitalisierung'!$A$4:$Z$275,13,FALSE)="","",VLOOKUP(A121,'Revitalisation-Revitalisierung'!$A$4:$Z$275,13,FALSE))</f>
        <v>Très nécessaire, difficile / unbedingt nötig, schwierig</v>
      </c>
      <c r="BK121" s="870" t="str">
        <f>IF(VLOOKUP(A121,'Revitalisation-Revitalisierung'!$A$4:$Z$275,14,FALSE)="","",VLOOKUP(A121,'Revitalisation-Revitalisierung'!$A$4:$Z$275,14,FALSE))</f>
        <v>a</v>
      </c>
      <c r="BL121" s="758" t="str">
        <f>IF(VLOOKUP(A121,'Revitalisation-Revitalisierung'!$A$4:$Z$275,15,FALSE)="","",VLOOKUP(A121,'Revitalisation-Revitalisierung'!$A$4:$Z$275,15,FALSE))</f>
        <v>faible et moyen</v>
      </c>
      <c r="BM121" s="759" t="str">
        <f>IF(VLOOKUP(A121,'Revitalisation-Revitalisierung'!$A$4:$Z$275,16,FALSE)="","",VLOOKUP(A121,'Revitalisation-Revitalisierung'!$A$4:$Z$275,16,FALSE))</f>
        <v>faible</v>
      </c>
      <c r="BN121" s="759" t="str">
        <f>IF(VLOOKUP(A121,'Revitalisation-Revitalisierung'!$A$4:$Z$275,17,FALSE)="","",VLOOKUP(A121,'Revitalisation-Revitalisierung'!$A$4:$Z$275,17,FALSE))</f>
        <v>nulle</v>
      </c>
      <c r="BO121" s="760" t="str">
        <f>IF(VLOOKUP(A121,'Revitalisation-Revitalisierung'!$A$4:$Z$275,18,FALSE)="","",VLOOKUP(A121,'Revitalisation-Revitalisierung'!$A$4:$Z$275,18,FALSE))</f>
        <v>Non nécessaire / nicht nötig</v>
      </c>
      <c r="BP121" s="761" t="str">
        <f>IF(VLOOKUP(A121,'Revitalisation-Revitalisierung'!$A$4:$Z$275,19,FALSE)="","",VLOOKUP(A121,'Revitalisation-Revitalisierung'!$A$4:$Z$275,19,FALSE))</f>
        <v>Partiellement nécessaire, difficile / teilweise nötig, schwierig</v>
      </c>
      <c r="BQ121" s="759" t="str">
        <f>IF(VLOOKUP(A121,'Revitalisation-Revitalisierung'!$A$4:$Z$275,20,FALSE)="","",VLOOKUP(A121,'Revitalisation-Revitalisierung'!$A$4:$Z$275,20,FALSE))</f>
        <v>e</v>
      </c>
      <c r="BR121" s="759" t="str">
        <f>IF(VLOOKUP(A121,'Revitalisation-Revitalisierung'!$A$4:$Z$275,21,FALSE)="","",VLOOKUP(A121,'Revitalisation-Revitalisierung'!$A$4:$Z$275,21,FALSE))</f>
        <v>REVITALISATION: Le fait qu'une revitalisation est prévue dans le tronçon à l'amont de la zone alluviale est très positif. A notre avis (BIOP) le potentiel écologique devrait être moyen à important. Systèmes montagnards très intéressants, à mettre en valeur. Privilegier protection des de berge au pieds de la route et enlever toutes les atteintes dans la zone alluviale (qui ont été mises en place après la crue de 1987, lorsque l'objet avait déjà été cartographié pour sa future insertion dans l'inventaire).</v>
      </c>
      <c r="BS121" s="762" t="str">
        <f>IF(VLOOKUP(A121,'Revitalisation-Revitalisierung'!$A$4:$Z$275,22,FALSE)="","",VLOOKUP(A121,'Revitalisation-Revitalisierung'!$A$4:$Z$275,22,FALSE))</f>
        <v/>
      </c>
      <c r="BT121" s="700" t="str">
        <f>IF(VLOOKUP(A121,'Revitalisation-Revitalisierung'!$A$4:$Z$275,23,FALSE)="","",VLOOKUP(A121,'Revitalisation-Revitalisierung'!$A$4:$Z$275,23,FALSE))</f>
        <v/>
      </c>
      <c r="BU121" s="699" t="str">
        <f>IF(VLOOKUP(A121,'Revitalisation-Revitalisierung'!$A$4:$Z$275,24,FALSE)="","",VLOOKUP(A121,'Revitalisation-Revitalisierung'!$A$4:$Z$275,24,FALSE))</f>
        <v/>
      </c>
      <c r="BV121" s="761" t="str">
        <f>IF(VLOOKUP(A121,'Revitalisation-Revitalisierung'!$A$4:$Z$275,25,FALSE)="","",VLOOKUP(A121,'Revitalisation-Revitalisierung'!$A$4:$Z$275,25,FALSE))</f>
        <v>Partiellement nécessaire, difficile / teilweise nötig, schwierig</v>
      </c>
      <c r="BW121" s="871" t="str">
        <f>IF(VLOOKUP(A121,'Revitalisation-Revitalisierung'!$A$4:$AA$275,27,FALSE)="","",VLOOKUP(A121,'Revitalisation-Revitalisierung'!$A$4:$AA$275,27,FALSE))</f>
        <v>b</v>
      </c>
    </row>
    <row r="122" spans="1:75" ht="94.15" customHeight="1" x14ac:dyDescent="0.25">
      <c r="A122" s="935">
        <v>147</v>
      </c>
      <c r="B122" s="856">
        <f>IF(VLOOKUP(A122,'Données de base - Grunddaten'!$A$2:$M$297,2,FALSE)="","",VLOOKUP(A122,'Données de base - Grunddaten'!$A$2:$M$297,2,FALSE))</f>
        <v>1</v>
      </c>
      <c r="C122" s="857" t="str">
        <f>IF(VLOOKUP(A122,'Données de base - Grunddaten'!$A$2:$M$297,3,FALSE)="","",VLOOKUP(A122,'Données de base - Grunddaten'!$A$2:$M$297,3,FALSE))</f>
        <v>Soria</v>
      </c>
      <c r="D122" s="857" t="str">
        <f>IF(VLOOKUP(A122,'Données de base - Grunddaten'!$A$2:$M$297,4,FALSE)="","",VLOOKUP(A122,'Données de base - Grunddaten'!$A$2:$M$297,4,FALSE))</f>
        <v>Ticino</v>
      </c>
      <c r="E122" s="857" t="str">
        <f>IF(VLOOKUP(A122,'Données de base - Grunddaten'!$A$2:$M$297,5,FALSE)="","",VLOOKUP(A122,'Données de base - Grunddaten'!$A$2:$M$297,5,FALSE))</f>
        <v>TI</v>
      </c>
      <c r="F122" s="857" t="str">
        <f>IF(VLOOKUP(A122,'Données de base - Grunddaten'!$A$2:$M$297,6,FALSE)="","",VLOOKUP(A122,'Données de base - Grunddaten'!$A$2:$M$297,6,FALSE))</f>
        <v>Alpes méridionales</v>
      </c>
      <c r="G122" s="857" t="str">
        <f>IF(VLOOKUP(A122,'Données de base - Grunddaten'!$A$2:$M$297,7,FALSE)="","",VLOOKUP(A122,'Données de base - Grunddaten'!$A$2:$M$297,7,FALSE))</f>
        <v>Subalpin inf.</v>
      </c>
      <c r="H122" s="857">
        <f>IF(VLOOKUP(A122,'Données de base - Grunddaten'!$A$2:$M$297,8,FALSE)="","",VLOOKUP(A122,'Données de base - Grunddaten'!$A$2:$M$297,8,FALSE))</f>
        <v>1290</v>
      </c>
      <c r="I122" s="857">
        <f>IF(VLOOKUP(A122,'Données de base - Grunddaten'!$A$2:$M$297,9,FALSE)="","",VLOOKUP(A122,'Données de base - Grunddaten'!$A$2:$M$297,9,FALSE))</f>
        <v>1992</v>
      </c>
      <c r="J122" s="857">
        <f>IF(VLOOKUP(A122,'Données de base - Grunddaten'!$A$2:$M$297,10,FALSE)="","",VLOOKUP(A122,'Données de base - Grunddaten'!$A$2:$M$297,10,FALSE))</f>
        <v>41</v>
      </c>
      <c r="K122" s="857" t="str">
        <f>IF(VLOOKUP(A122,'Données de base - Grunddaten'!$A$2:$M$297,11,FALSE)="","",VLOOKUP(A122,'Données de base - Grunddaten'!$A$2:$M$297,11,FALSE))</f>
        <v>Cours d'eau naturels de l'étage montagnard</v>
      </c>
      <c r="L122" s="857" t="str">
        <f>IF(VLOOKUP(A122,'Données de base - Grunddaten'!$A$2:$M$297,12,FALSE)="","",VLOOKUP(A122,'Données de base - Grunddaten'!$A$2:$M$297,12,FALSE))</f>
        <v>en tresses</v>
      </c>
      <c r="M122" s="858" t="str">
        <f>IF(VLOOKUP(A122,'Données de base - Grunddaten'!$A$2:$M$297,13,FALSE)="","",VLOOKUP(A122,'Données de base - Grunddaten'!$A$2:$M$297,13,FALSE))</f>
        <v>en tresses</v>
      </c>
      <c r="N122" s="872" t="str">
        <f>IF(VLOOKUP(A122,'Charriage - Geschiebehaushalt'!$A$4:$R$275,5,FALSE)="","",VLOOKUP(A122,'Charriage - Geschiebehaushalt'!$A$4:$R$275,5,FALSE))</f>
        <v>pertinent</v>
      </c>
      <c r="O122" s="881" t="str">
        <f>IF(VLOOKUP(A122,'Charriage - Geschiebehaushalt'!$A$4:$R$275,6,FALSE)="","",VLOOKUP(A122,'Charriage - Geschiebehaushalt'!$A$4:$R$275,6,FALSE))</f>
        <v>non documenté</v>
      </c>
      <c r="P122" s="874" t="str">
        <f>IF(VLOOKUP(A122,'Charriage - Geschiebehaushalt'!$A$4:$R$275,7,FALSE)="","",VLOOKUP(A122,'Charriage - Geschiebehaushalt'!$A$4:$R$275,7,FALSE))</f>
        <v/>
      </c>
      <c r="Q122" s="874" t="str">
        <f>IF(VLOOKUP(A122,'Charriage - Geschiebehaushalt'!$A$4:$R$275,8,FALSE)="","",VLOOKUP(A122,'Charriage - Geschiebehaushalt'!$A$4:$R$275,8,FALSE))</f>
        <v>non documenté</v>
      </c>
      <c r="R122" s="875">
        <f>IF(VLOOKUP(A122,'Charriage - Geschiebehaushalt'!$A$4:$R$275,9,FALSE)="","",VLOOKUP(A122,'Charriage - Geschiebehaushalt'!$A$4:$R$275,9,FALSE))</f>
        <v>1.3477629175237701E-2</v>
      </c>
      <c r="S122" s="876" t="str">
        <f>IF(VLOOKUP(A122,'Charriage - Geschiebehaushalt'!$A$4:$R$275,10,FALSE)="","",VLOOKUP(A122,'Charriage - Geschiebehaushalt'!$A$4:$R$275,10,FALSE))</f>
        <v>pas ou faiblement entravé</v>
      </c>
      <c r="T122" s="875">
        <f>IF(VLOOKUP(A122,'Charriage - Geschiebehaushalt'!$A$4:$R$275,11,FALSE)="","",VLOOKUP(A122,'Charriage - Geschiebehaushalt'!$A$4:$R$275,11,FALSE))</f>
        <v>0.53825726556999998</v>
      </c>
      <c r="U122" s="895" t="str">
        <f>IF(VLOOKUP(A122,'Charriage - Geschiebehaushalt'!$A$4:$R$275,12,FALSE)="","",VLOOKUP(A122,'Charriage - Geschiebehaushalt'!$A$4:$R$275,12,FALSE))</f>
        <v>déficit non apparent en charriage ou en remobilisation des sédiments</v>
      </c>
      <c r="V122" s="877" t="str">
        <f>IF(VLOOKUP(A122,'Charriage - Geschiebehaushalt'!$A$4:$R$275,13,FALSE)="","",VLOOKUP(A122,'Charriage - Geschiebehaushalt'!$A$4:$R$275,13,FALSE))</f>
        <v/>
      </c>
      <c r="W122" s="877" t="str">
        <f>IF(VLOOKUP(A122,'Charriage - Geschiebehaushalt'!$A$4:$R$275,14,FALSE)="","",VLOOKUP(A122,'Charriage - Geschiebehaushalt'!$A$4:$R$275,14,FALSE))</f>
        <v/>
      </c>
      <c r="X122" s="877" t="str">
        <f>IF(VLOOKUP(A122,'Charriage - Geschiebehaushalt'!$A$4:$R$275,15,FALSE)="","",VLOOKUP(A122,'Charriage - Geschiebehaushalt'!$A$4:$R$275,15,FALSE))</f>
        <v/>
      </c>
      <c r="Y122" s="879" t="str">
        <f>IF(VLOOKUP(A122,'Charriage - Geschiebehaushalt'!$A$4:$R$275,16,FALSE)="","",VLOOKUP(A122,'Charriage - Geschiebehaushalt'!$A$4:$R$275,16,FALSE))</f>
        <v/>
      </c>
      <c r="Z122" s="763" t="str">
        <f>IF(VLOOKUP(A122,'Charriage - Geschiebehaushalt'!$A$4:$R$275,17,FALSE)="","",VLOOKUP(A122,'Charriage - Geschiebehaushalt'!$A$4:$R$275,17,FALSE))</f>
        <v>Déficit non apparent en charriage ou en remobilisation des sédiments / kein sichtbares Defizit beim Geschiebehaushalt bzw. bei der Mobilisierung von Geschiebe</v>
      </c>
      <c r="AA122" s="880" t="str">
        <f>IF(VLOOKUP(A122,'Charriage - Geschiebehaushalt'!$A$4:$R$275,18,FALSE)="","",VLOOKUP(A122,'Charriage - Geschiebehaushalt'!$A$4:$R$275,18,FALSE))</f>
        <v>b</v>
      </c>
      <c r="AB122" s="737" t="str">
        <f>IF(VLOOKUP(A122,'Charriage - Geschiebehaushalt'!$A$4:$AC$275,19,FALSE)="","",VLOOKUP(A122,'Charriage - Geschiebehaushalt'!$A$4:$AC$275,19,FALSE))</f>
        <v>nul</v>
      </c>
      <c r="AC122" s="738" t="str">
        <f>IF(VLOOKUP(A122,'Charriage - Geschiebehaushalt'!$A$4:$AC$275,20,FALSE)="","",VLOOKUP(A122,'Charriage - Geschiebehaushalt'!$A$4:$AC$275,20,FALSE))</f>
        <v>nul</v>
      </c>
      <c r="AD122" s="789" t="str">
        <f>IF(VLOOKUP(A122,'Charriage - Geschiebehaushalt'!$A$4:$AC$275,21,FALSE)="","",VLOOKUP(A122,'Charriage - Geschiebehaushalt'!$A$4:$AC$275,21,FALSE))</f>
        <v>0-20%</v>
      </c>
      <c r="AE122" s="772" t="str">
        <f>IF(VLOOKUP(A122,'Charriage - Geschiebehaushalt'!$A$4:$AC$275,22,FALSE)="","",VLOOKUP(A122,'Charriage - Geschiebehaushalt'!$A$4:$AC$275,22,FALSE))</f>
        <v>0-20%</v>
      </c>
      <c r="AF122" s="787" t="str">
        <f>IF(VLOOKUP(A122,'Charriage - Geschiebehaushalt'!$A$4:$AC$275,23,FALSE)="","",VLOOKUP(A122,'Charriage - Geschiebehaushalt'!$A$4:$AC$275,23,FALSE))</f>
        <v>d</v>
      </c>
      <c r="AG122" s="765" t="str">
        <f>IF(VLOOKUP(A122,'Charriage - Geschiebehaushalt'!$A$4:$AC$275,24,FALSE)="","",VLOOKUP(A122,'Charriage - Geschiebehaushalt'!$A$4:$AC$275,24,FALSE))</f>
        <v/>
      </c>
      <c r="AH122" s="764" t="str">
        <f>IF(VLOOKUP(A122,'Charriage - Geschiebehaushalt'!$A$4:$AC$275,25,FALSE)="","",VLOOKUP(A122,'Charriage - Geschiebehaushalt'!$A$4:$AC$275,25,FALSE))</f>
        <v/>
      </c>
      <c r="AI122" s="433" t="str">
        <f>IF(VLOOKUP(A122,'Charriage - Geschiebehaushalt'!$A$4:$AC$275,26,FALSE)="","",VLOOKUP(A122,'Charriage - Geschiebehaushalt'!$A$4:$AC$275,26,FALSE))</f>
        <v/>
      </c>
      <c r="AJ122" s="434" t="str">
        <f>IF(VLOOKUP(A122,'Charriage - Geschiebehaushalt'!$A$4:$AC$275,27,FALSE)="","",VLOOKUP(A122,'Charriage - Geschiebehaushalt'!$A$4:$AC$275,27,FALSE))</f>
        <v/>
      </c>
      <c r="AK122" s="814" t="str">
        <f>IF(VLOOKUP(A122,'Charriage - Geschiebehaushalt'!$A$4:$AC$275,28,FALSE)="","",VLOOKUP(A122,'Charriage - Geschiebehaushalt'!$A$4:$AC$275,28,FALSE))</f>
        <v>0-20%</v>
      </c>
      <c r="AL122" s="1285" t="str">
        <f>IF(VLOOKUP(A122,'Charriage - Geschiebehaushalt'!$A$4:$AD$275,30,FALSE)="","",VLOOKUP(A122,'Charriage - Geschiebehaushalt'!$A$4:$AD$275,30,FALSE))</f>
        <v>a</v>
      </c>
      <c r="AM122" s="1279" t="str">
        <f>IF(VLOOKUP(A122,'Débit - Abfluss'!$A$4:$K$275,5,FALSE)="","",VLOOKUP(A122,'Débit - Abfluss'!$A$4:$M$275,5,FALSE))</f>
        <v>41-60%</v>
      </c>
      <c r="AN122" s="868" t="str">
        <f>IF(VLOOKUP(A122,'Débit - Abfluss'!$A$4:$K$275,6,FALSE)="","",VLOOKUP(A122,'Débit - Abfluss'!$A$4:$M$275,6,FALSE))</f>
        <v/>
      </c>
      <c r="AO122" s="869" t="str">
        <f>IF(VLOOKUP(A122,'Débit - Abfluss'!$A$4:$K$275,7,FALSE)="","",VLOOKUP(A122,'Débit - Abfluss'!$A$4:$M$275,7,FALSE))</f>
        <v/>
      </c>
      <c r="AP122" s="792" t="str">
        <f>IF(VLOOKUP(A122,'Débit - Abfluss'!$A$4:$K$275,8,FALSE)="","",VLOOKUP(A122,'Débit - Abfluss'!$A$4:$M$275,8,FALSE))</f>
        <v>41-60%</v>
      </c>
      <c r="AQ122" s="678" t="str">
        <f>IF(VLOOKUP(A122,'Débit - Abfluss'!$A$4:$K$275,9,FALSE)="","",VLOOKUP(A122,'Débit - Abfluss'!$A$4:$M$275,9,FALSE))</f>
        <v>&lt;10%</v>
      </c>
      <c r="AR122" s="773" t="str">
        <f>IF(VLOOKUP(A122,'Débit - Abfluss'!$A$4:$K$275,10,FALSE)="","",VLOOKUP(A122,'Débit - Abfluss'!$A$4:$M$275,10,FALSE))</f>
        <v>41-60%</v>
      </c>
      <c r="AS122" s="773" t="str">
        <f>IF(VLOOKUP(A122,'Débit - Abfluss'!$A$4:$K$275,11,FALSE)="","",VLOOKUP(A122,'Débit - Abfluss'!$A$4:$M$275,11,FALSE))</f>
        <v>X</v>
      </c>
      <c r="AT122" s="744" t="str">
        <f>IF(VLOOKUP(A122,'Débit - Abfluss'!$A$4:$Q$275,12,FALSE)="","",VLOOKUP(A122,'Débit - Abfluss'!$A$4:$Q$275,12,FALSE))</f>
        <v/>
      </c>
      <c r="AU122" s="683" t="str">
        <f>IF(VLOOKUP(A122,'Débit - Abfluss'!$A$4:$Q$275,13,FALSE)="","",VLOOKUP(A122,'Débit - Abfluss'!$A$4:$Q$275,13,FALSE))</f>
        <v xml:space="preserve">In via di principio concordiamo con UFAM </v>
      </c>
      <c r="AV122" s="791" t="str">
        <f>IF(VLOOKUP(A122,'Débit - Abfluss'!$A$4:$Q$275,14,FALSE)="","",VLOOKUP(A122,'Débit - Abfluss'!$A$4:$Q$275,14,FALSE))</f>
        <v>TI-W 42.1</v>
      </c>
      <c r="AW122" s="768" t="str">
        <f>IF(VLOOKUP(A122,'Débit - Abfluss'!$A$4:$Q$275,15,FALSE)="","",VLOOKUP(A122,'Débit - Abfluss'!$A$4:$Q$275,15,FALSE))</f>
        <v>Bavona</v>
      </c>
      <c r="AX122" s="679" t="str">
        <f>IF(VLOOKUP(A122,'Débit - Abfluss'!$A$4:$Q$275,16,FALSE)="","",VLOOKUP(A122,'Débit - Abfluss'!$A$4:$Q$275,16,FALSE))</f>
        <v/>
      </c>
      <c r="AY122" s="775" t="str">
        <f>IF(VLOOKUP(A122,'Débit - Abfluss'!$A$4:$Q$275,17,FALSE)="","",VLOOKUP(A122,'Débit - Abfluss'!$A$4:$Q$275,17,FALSE))</f>
        <v>41-60%</v>
      </c>
      <c r="AZ122" s="749" t="str">
        <f>IF(VLOOKUP(A122,'Eclusée - Schwall-Sunk'!$A$2:$F$273,5,FALSE)="","",VLOOKUP(A122,'Eclusée - Schwall-Sunk'!$A$2:$F$273,5,FALSE))</f>
        <v>force hydraulique</v>
      </c>
      <c r="BA122" s="750" t="str">
        <f>IF(VLOOKUP(A122,'Eclusée - Schwall-Sunk'!$A$2:$F$273,6,FALSE)="","",VLOOKUP(A122,'Eclusée - Schwall-Sunk'!$A$2:$F$273,6,FALSE))</f>
        <v>Non affecté / nicht betroffen</v>
      </c>
      <c r="BB122" s="751">
        <f>IF(VLOOKUP(A122,'Revitalisation-Revitalisierung'!$A$4:$Z$275,5,FALSE)="","",VLOOKUP(A122,'Revitalisation-Revitalisierung'!$A$4:$Z$275,5,FALSE))</f>
        <v>-20.90909090909091</v>
      </c>
      <c r="BC122" s="752">
        <f>IF(VLOOKUP(A122,'Revitalisation-Revitalisierung'!$A$4:$Z$275,6,FALSE)="","",VLOOKUP(A122,'Revitalisation-Revitalisierung'!$A$4:$Z$275,6,FALSE))</f>
        <v>0</v>
      </c>
      <c r="BD122" s="752">
        <f>IF(VLOOKUP(A122,'Revitalisation-Revitalisierung'!$A$4:$Z$275,7,FALSE)="","",VLOOKUP(A122,'Revitalisation-Revitalisierung'!$A$4:$Z$275,7,FALSE))</f>
        <v>20.90909090909091</v>
      </c>
      <c r="BE122" s="753" t="str">
        <f>IF(VLOOKUP(A122,'Revitalisation-Revitalisierung'!$A$4:$Z$275,8,FALSE)="","",VLOOKUP(A122,'Revitalisation-Revitalisierung'!$A$4:$Z$275,8,FALSE))</f>
        <v>non nécessaire</v>
      </c>
      <c r="BF122" s="754" t="str">
        <f>IF(VLOOKUP(A122,'Revitalisation-Revitalisierung'!$A$4:$Z$275,9,FALSE)="","",VLOOKUP(A122,'Revitalisation-Revitalisierung'!$A$4:$Z$275,9,FALSE))</f>
        <v/>
      </c>
      <c r="BG122" s="754" t="str">
        <f>IF(VLOOKUP(A122,'Revitalisation-Revitalisierung'!$A$4:$Z$275,10,FALSE)="","",VLOOKUP(A122,'Revitalisation-Revitalisierung'!$A$4:$Z$275,10,FALSE))</f>
        <v>K2</v>
      </c>
      <c r="BH122" s="755" t="str">
        <f>IF(VLOOKUP(A122,'Revitalisation-Revitalisierung'!$A$4:$Z$275,11,FALSE)="","",VLOOKUP(A122,'Revitalisation-Revitalisierung'!$A$4:$Z$275,11,FALSE))</f>
        <v/>
      </c>
      <c r="BI122" s="756" t="str">
        <f>IF(VLOOKUP(A122,'Revitalisation-Revitalisierung'!$A$4:$Z$275,12,FALSE)="","",VLOOKUP(A122,'Revitalisation-Revitalisierung'!$A$4:$Z$275,12,FALSE))</f>
        <v/>
      </c>
      <c r="BJ122" s="788" t="str">
        <f>IF(VLOOKUP(A122,'Revitalisation-Revitalisierung'!$A$4:$Z$275,13,FALSE)="","",VLOOKUP(A122,'Revitalisation-Revitalisierung'!$A$4:$Z$275,13,FALSE))</f>
        <v>Non nécessaire / nicht nötig</v>
      </c>
      <c r="BK122" s="870" t="str">
        <f>IF(VLOOKUP(A122,'Revitalisation-Revitalisierung'!$A$4:$Z$275,14,FALSE)="","",VLOOKUP(A122,'Revitalisation-Revitalisierung'!$A$4:$Z$275,14,FALSE))</f>
        <v>a</v>
      </c>
      <c r="BL122" s="758" t="str">
        <f>IF(VLOOKUP(A122,'Revitalisation-Revitalisierung'!$A$4:$Z$275,15,FALSE)="","",VLOOKUP(A122,'Revitalisation-Revitalisierung'!$A$4:$Z$275,15,FALSE))</f>
        <v>moyen</v>
      </c>
      <c r="BM122" s="759" t="str">
        <f>IF(VLOOKUP(A122,'Revitalisation-Revitalisierung'!$A$4:$Z$275,16,FALSE)="","",VLOOKUP(A122,'Revitalisation-Revitalisierung'!$A$4:$Z$275,16,FALSE))</f>
        <v>faible</v>
      </c>
      <c r="BN122" s="759" t="str">
        <f>IF(VLOOKUP(A122,'Revitalisation-Revitalisierung'!$A$4:$Z$275,17,FALSE)="","",VLOOKUP(A122,'Revitalisation-Revitalisierung'!$A$4:$Z$275,17,FALSE))</f>
        <v>nulle</v>
      </c>
      <c r="BO122" s="760" t="str">
        <f>IF(VLOOKUP(A122,'Revitalisation-Revitalisierung'!$A$4:$Z$275,18,FALSE)="","",VLOOKUP(A122,'Revitalisation-Revitalisierung'!$A$4:$Z$275,18,FALSE))</f>
        <v>Non nécessaire / nicht nötig</v>
      </c>
      <c r="BP122" s="761" t="str">
        <f>IF(VLOOKUP(A122,'Revitalisation-Revitalisierung'!$A$4:$Z$275,19,FALSE)="","",VLOOKUP(A122,'Revitalisation-Revitalisierung'!$A$4:$Z$275,19,FALSE))</f>
        <v>Non nécessaire / nicht nötig</v>
      </c>
      <c r="BQ122" s="759" t="str">
        <f>IF(VLOOKUP(A122,'Revitalisation-Revitalisierung'!$A$4:$Z$275,20,FALSE)="","",VLOOKUP(A122,'Revitalisation-Revitalisierung'!$A$4:$Z$275,20,FALSE))</f>
        <v>d</v>
      </c>
      <c r="BR122" s="759" t="str">
        <f>IF(VLOOKUP(A122,'Revitalisation-Revitalisierung'!$A$4:$Z$275,21,FALSE)="","",VLOOKUP(A122,'Revitalisation-Revitalisierung'!$A$4:$Z$275,21,FALSE))</f>
        <v/>
      </c>
      <c r="BS122" s="762" t="str">
        <f>IF(VLOOKUP(A122,'Revitalisation-Revitalisierung'!$A$4:$Z$275,22,FALSE)="","",VLOOKUP(A122,'Revitalisation-Revitalisierung'!$A$4:$Z$275,22,FALSE))</f>
        <v/>
      </c>
      <c r="BT122" s="700" t="str">
        <f>IF(VLOOKUP(A122,'Revitalisation-Revitalisierung'!$A$4:$Z$275,23,FALSE)="","",VLOOKUP(A122,'Revitalisation-Revitalisierung'!$A$4:$Z$275,23,FALSE))</f>
        <v/>
      </c>
      <c r="BU122" s="699" t="str">
        <f>IF(VLOOKUP(A122,'Revitalisation-Revitalisierung'!$A$4:$Z$275,24,FALSE)="","",VLOOKUP(A122,'Revitalisation-Revitalisierung'!$A$4:$Z$275,24,FALSE))</f>
        <v/>
      </c>
      <c r="BV122" s="761" t="str">
        <f>IF(VLOOKUP(A122,'Revitalisation-Revitalisierung'!$A$4:$Z$275,25,FALSE)="","",VLOOKUP(A122,'Revitalisation-Revitalisierung'!$A$4:$Z$275,25,FALSE))</f>
        <v>Non nécessaire / nicht nötig</v>
      </c>
      <c r="BW122" s="871" t="str">
        <f>IF(VLOOKUP(A122,'Revitalisation-Revitalisierung'!$A$4:$AA$275,27,FALSE)="","",VLOOKUP(A122,'Revitalisation-Revitalisierung'!$A$4:$AA$275,27,FALSE))</f>
        <v>a</v>
      </c>
    </row>
    <row r="123" spans="1:75" ht="63.6" customHeight="1" x14ac:dyDescent="0.25">
      <c r="A123" s="935">
        <v>148</v>
      </c>
      <c r="B123" s="856">
        <f>IF(VLOOKUP(A123,'Données de base - Grunddaten'!$A$2:$M$297,2,FALSE)="","",VLOOKUP(A123,'Données de base - Grunddaten'!$A$2:$M$297,2,FALSE))</f>
        <v>1</v>
      </c>
      <c r="C123" s="857" t="str">
        <f>IF(VLOOKUP(A123,'Données de base - Grunddaten'!$A$2:$M$297,3,FALSE)="","",VLOOKUP(A123,'Données de base - Grunddaten'!$A$2:$M$297,3,FALSE))</f>
        <v>Geròra</v>
      </c>
      <c r="D123" s="857" t="str">
        <f>IF(VLOOKUP(A123,'Données de base - Grunddaten'!$A$2:$M$297,4,FALSE)="","",VLOOKUP(A123,'Données de base - Grunddaten'!$A$2:$M$297,4,FALSE))</f>
        <v>Ticino</v>
      </c>
      <c r="E123" s="857" t="str">
        <f>IF(VLOOKUP(A123,'Données de base - Grunddaten'!$A$2:$M$297,5,FALSE)="","",VLOOKUP(A123,'Données de base - Grunddaten'!$A$2:$M$297,5,FALSE))</f>
        <v>TI</v>
      </c>
      <c r="F123" s="857" t="str">
        <f>IF(VLOOKUP(A123,'Données de base - Grunddaten'!$A$2:$M$297,6,FALSE)="","",VLOOKUP(A123,'Données de base - Grunddaten'!$A$2:$M$297,6,FALSE))</f>
        <v>Alpes méridionales</v>
      </c>
      <c r="G123" s="857" t="str">
        <f>IF(VLOOKUP(A123,'Données de base - Grunddaten'!$A$2:$M$297,7,FALSE)="","",VLOOKUP(A123,'Données de base - Grunddaten'!$A$2:$M$297,7,FALSE))</f>
        <v>Subalpin inf.</v>
      </c>
      <c r="H123" s="857">
        <f>IF(VLOOKUP(A123,'Données de base - Grunddaten'!$A$2:$M$297,8,FALSE)="","",VLOOKUP(A123,'Données de base - Grunddaten'!$A$2:$M$297,8,FALSE))</f>
        <v>1235</v>
      </c>
      <c r="I123" s="857">
        <f>IF(VLOOKUP(A123,'Données de base - Grunddaten'!$A$2:$M$297,9,FALSE)="","",VLOOKUP(A123,'Données de base - Grunddaten'!$A$2:$M$297,9,FALSE))</f>
        <v>1992</v>
      </c>
      <c r="J123" s="857">
        <f>IF(VLOOKUP(A123,'Données de base - Grunddaten'!$A$2:$M$297,10,FALSE)="","",VLOOKUP(A123,'Données de base - Grunddaten'!$A$2:$M$297,10,FALSE))</f>
        <v>41</v>
      </c>
      <c r="K123" s="857" t="str">
        <f>IF(VLOOKUP(A123,'Données de base - Grunddaten'!$A$2:$M$297,11,FALSE)="","",VLOOKUP(A123,'Données de base - Grunddaten'!$A$2:$M$297,11,FALSE))</f>
        <v>Cours d'eau naturels de l'étage montagnard</v>
      </c>
      <c r="L123" s="857" t="str">
        <f>IF(VLOOKUP(A123,'Données de base - Grunddaten'!$A$2:$M$297,12,FALSE)="","",VLOOKUP(A123,'Données de base - Grunddaten'!$A$2:$M$297,12,FALSE))</f>
        <v>en tresses</v>
      </c>
      <c r="M123" s="858" t="str">
        <f>IF(VLOOKUP(A123,'Données de base - Grunddaten'!$A$2:$M$297,13,FALSE)="","",VLOOKUP(A123,'Données de base - Grunddaten'!$A$2:$M$297,13,FALSE))</f>
        <v>cours rectiligne (bancs alternés)</v>
      </c>
      <c r="N123" s="872" t="str">
        <f>IF(VLOOKUP(A123,'Charriage - Geschiebehaushalt'!$A$4:$R$275,5,FALSE)="","",VLOOKUP(A123,'Charriage - Geschiebehaushalt'!$A$4:$R$275,5,FALSE))</f>
        <v>pertinent</v>
      </c>
      <c r="O123" s="881" t="str">
        <f>IF(VLOOKUP(A123,'Charriage - Geschiebehaushalt'!$A$4:$R$275,6,FALSE)="","",VLOOKUP(A123,'Charriage - Geschiebehaushalt'!$A$4:$R$275,6,FALSE))</f>
        <v>non documenté</v>
      </c>
      <c r="P123" s="874" t="str">
        <f>IF(VLOOKUP(A123,'Charriage - Geschiebehaushalt'!$A$4:$R$275,7,FALSE)="","",VLOOKUP(A123,'Charriage - Geschiebehaushalt'!$A$4:$R$275,7,FALSE))</f>
        <v/>
      </c>
      <c r="Q123" s="874" t="str">
        <f>IF(VLOOKUP(A123,'Charriage - Geschiebehaushalt'!$A$4:$R$275,8,FALSE)="","",VLOOKUP(A123,'Charriage - Geschiebehaushalt'!$A$4:$R$275,8,FALSE))</f>
        <v>non documenté</v>
      </c>
      <c r="R123" s="875">
        <f>IF(VLOOKUP(A123,'Charriage - Geschiebehaushalt'!$A$4:$R$275,9,FALSE)="","",VLOOKUP(A123,'Charriage - Geschiebehaushalt'!$A$4:$R$275,9,FALSE))</f>
        <v>0.42766678702934102</v>
      </c>
      <c r="S123" s="895" t="str">
        <f>IF(VLOOKUP(A123,'Charriage - Geschiebehaushalt'!$A$4:$R$275,10,FALSE)="","",VLOOKUP(A123,'Charriage - Geschiebehaushalt'!$A$4:$R$275,10,FALSE))</f>
        <v>la remobilisation des sédiments est perturbée</v>
      </c>
      <c r="T123" s="875">
        <f>IF(VLOOKUP(A123,'Charriage - Geschiebehaushalt'!$A$4:$R$275,11,FALSE)="","",VLOOKUP(A123,'Charriage - Geschiebehaushalt'!$A$4:$R$275,11,FALSE))</f>
        <v>0.18970827293</v>
      </c>
      <c r="U123" s="876" t="str">
        <f>IF(VLOOKUP(A123,'Charriage - Geschiebehaushalt'!$A$4:$R$275,12,FALSE)="","",VLOOKUP(A123,'Charriage - Geschiebehaushalt'!$A$4:$R$275,12,FALSE))</f>
        <v>déficit dans les formations pionnières</v>
      </c>
      <c r="V123" s="877" t="str">
        <f>IF(VLOOKUP(A123,'Charriage - Geschiebehaushalt'!$A$4:$R$275,13,FALSE)="","",VLOOKUP(A123,'Charriage - Geschiebehaushalt'!$A$4:$R$275,13,FALSE))</f>
        <v/>
      </c>
      <c r="W123" s="877" t="str">
        <f>IF(VLOOKUP(A123,'Charriage - Geschiebehaushalt'!$A$4:$R$275,14,FALSE)="","",VLOOKUP(A123,'Charriage - Geschiebehaushalt'!$A$4:$R$275,14,FALSE))</f>
        <v/>
      </c>
      <c r="X123" s="877" t="str">
        <f>IF(VLOOKUP(A123,'Charriage - Geschiebehaushalt'!$A$4:$R$275,15,FALSE)="","",VLOOKUP(A123,'Charriage - Geschiebehaushalt'!$A$4:$R$275,15,FALSE))</f>
        <v/>
      </c>
      <c r="Y123" s="879" t="str">
        <f>IF(VLOOKUP(A123,'Charriage - Geschiebehaushalt'!$A$4:$R$275,16,FALSE)="","",VLOOKUP(A123,'Charriage - Geschiebehaushalt'!$A$4:$R$275,16,FALSE))</f>
        <v/>
      </c>
      <c r="Z123" s="763" t="str">
        <f>IF(VLOOKUP(A123,'Charriage - Geschiebehaushalt'!$A$4:$R$275,17,FALSE)="","",VLOOKUP(A123,'Charriage - Geschiebehaushalt'!$A$4:$R$275,17,FALSE))</f>
        <v>La remobilisation des sédiments est perturbée / Mobilisierung von Geschiebe beeinträchtigt</v>
      </c>
      <c r="AA123" s="880" t="str">
        <f>IF(VLOOKUP(A123,'Charriage - Geschiebehaushalt'!$A$4:$R$275,18,FALSE)="","",VLOOKUP(A123,'Charriage - Geschiebehaushalt'!$A$4:$R$275,18,FALSE))</f>
        <v>a</v>
      </c>
      <c r="AB123" s="737" t="str">
        <f>IF(VLOOKUP(A123,'Charriage - Geschiebehaushalt'!$A$4:$AC$275,19,FALSE)="","",VLOOKUP(A123,'Charriage - Geschiebehaushalt'!$A$4:$AC$275,19,FALSE))</f>
        <v>nul</v>
      </c>
      <c r="AC123" s="738" t="str">
        <f>IF(VLOOKUP(A123,'Charriage - Geschiebehaushalt'!$A$4:$AC$275,20,FALSE)="","",VLOOKUP(A123,'Charriage - Geschiebehaushalt'!$A$4:$AC$275,20,FALSE))</f>
        <v>nul</v>
      </c>
      <c r="AD123" s="789" t="str">
        <f>IF(VLOOKUP(A123,'Charriage - Geschiebehaushalt'!$A$4:$AC$275,21,FALSE)="","",VLOOKUP(A123,'Charriage - Geschiebehaushalt'!$A$4:$AC$275,21,FALSE))</f>
        <v>0-20%</v>
      </c>
      <c r="AE123" s="772" t="str">
        <f>IF(VLOOKUP(A123,'Charriage - Geschiebehaushalt'!$A$4:$AC$275,22,FALSE)="","",VLOOKUP(A123,'Charriage - Geschiebehaushalt'!$A$4:$AC$275,22,FALSE))</f>
        <v>21-50%</v>
      </c>
      <c r="AF123" s="787" t="str">
        <f>IF(VLOOKUP(A123,'Charriage - Geschiebehaushalt'!$A$4:$AC$275,23,FALSE)="","",VLOOKUP(A123,'Charriage - Geschiebehaushalt'!$A$4:$AC$275,23,FALSE))</f>
        <v>a</v>
      </c>
      <c r="AG123" s="765" t="str">
        <f>IF(VLOOKUP(A123,'Charriage - Geschiebehaushalt'!$A$4:$AC$275,24,FALSE)="","",VLOOKUP(A123,'Charriage - Geschiebehaushalt'!$A$4:$AC$275,24,FALSE))</f>
        <v/>
      </c>
      <c r="AH123" s="764" t="str">
        <f>IF(VLOOKUP(A123,'Charriage - Geschiebehaushalt'!$A$4:$AC$275,25,FALSE)="","",VLOOKUP(A123,'Charriage - Geschiebehaushalt'!$A$4:$AC$275,25,FALSE))</f>
        <v/>
      </c>
      <c r="AI123" s="433" t="str">
        <f>IF(VLOOKUP(A123,'Charriage - Geschiebehaushalt'!$A$4:$AC$275,26,FALSE)="","",VLOOKUP(A123,'Charriage - Geschiebehaushalt'!$A$4:$AC$275,26,FALSE))</f>
        <v/>
      </c>
      <c r="AJ123" s="434" t="str">
        <f>IF(VLOOKUP(A123,'Charriage - Geschiebehaushalt'!$A$4:$AC$275,27,FALSE)="","",VLOOKUP(A123,'Charriage - Geschiebehaushalt'!$A$4:$AC$275,27,FALSE))</f>
        <v/>
      </c>
      <c r="AK123" s="814" t="str">
        <f>IF(VLOOKUP(A123,'Charriage - Geschiebehaushalt'!$A$4:$AC$275,28,FALSE)="","",VLOOKUP(A123,'Charriage - Geschiebehaushalt'!$A$4:$AC$275,28,FALSE))</f>
        <v>21-50%</v>
      </c>
      <c r="AL123" s="1285" t="str">
        <f>IF(VLOOKUP(A123,'Charriage - Geschiebehaushalt'!$A$4:$AD$275,30,FALSE)="","",VLOOKUP(A123,'Charriage - Geschiebehaushalt'!$A$4:$AD$275,30,FALSE))</f>
        <v>a</v>
      </c>
      <c r="AM123" s="1279" t="str">
        <f>IF(VLOOKUP(A123,'Débit - Abfluss'!$A$4:$K$275,5,FALSE)="","",VLOOKUP(A123,'Débit - Abfluss'!$A$4:$M$275,5,FALSE))</f>
        <v>61-80%</v>
      </c>
      <c r="AN123" s="868" t="str">
        <f>IF(VLOOKUP(A123,'Débit - Abfluss'!$A$4:$K$275,6,FALSE)="","",VLOOKUP(A123,'Débit - Abfluss'!$A$4:$M$275,6,FALSE))</f>
        <v/>
      </c>
      <c r="AO123" s="869" t="str">
        <f>IF(VLOOKUP(A123,'Débit - Abfluss'!$A$4:$K$275,7,FALSE)="","",VLOOKUP(A123,'Débit - Abfluss'!$A$4:$M$275,7,FALSE))</f>
        <v/>
      </c>
      <c r="AP123" s="766" t="str">
        <f>IF(VLOOKUP(A123,'Débit - Abfluss'!$A$4:$K$275,8,FALSE)="","",VLOOKUP(A123,'Débit - Abfluss'!$A$4:$M$275,8,FALSE))</f>
        <v>61-80%</v>
      </c>
      <c r="AQ123" s="678" t="str">
        <f>IF(VLOOKUP(A123,'Débit - Abfluss'!$A$4:$K$275,9,FALSE)="","",VLOOKUP(A123,'Débit - Abfluss'!$A$4:$M$275,9,FALSE))</f>
        <v>&lt;10%</v>
      </c>
      <c r="AR123" s="773" t="str">
        <f>IF(VLOOKUP(A123,'Débit - Abfluss'!$A$4:$K$275,10,FALSE)="","",VLOOKUP(A123,'Débit - Abfluss'!$A$4:$M$275,10,FALSE))</f>
        <v>61-80%</v>
      </c>
      <c r="AS123" s="773" t="str">
        <f>IF(VLOOKUP(A123,'Débit - Abfluss'!$A$4:$K$275,11,FALSE)="","",VLOOKUP(A123,'Débit - Abfluss'!$A$4:$M$275,11,FALSE))</f>
        <v>X</v>
      </c>
      <c r="AT123" s="744" t="str">
        <f>IF(VLOOKUP(A123,'Débit - Abfluss'!$A$4:$Q$275,12,FALSE)="","",VLOOKUP(A123,'Débit - Abfluss'!$A$4:$Q$275,12,FALSE))</f>
        <v/>
      </c>
      <c r="AU123" s="683" t="str">
        <f>IF(VLOOKUP(A123,'Débit - Abfluss'!$A$4:$Q$275,13,FALSE)="","",VLOOKUP(A123,'Débit - Abfluss'!$A$4:$Q$275,13,FALSE))</f>
        <v xml:space="preserve">In via di principio concordiamo con UFAM </v>
      </c>
      <c r="AV123" s="791" t="str">
        <f>IF(VLOOKUP(A123,'Débit - Abfluss'!$A$4:$Q$275,14,FALSE)="","",VLOOKUP(A123,'Débit - Abfluss'!$A$4:$Q$275,14,FALSE))</f>
        <v>TI-W 42.1</v>
      </c>
      <c r="AW123" s="768" t="str">
        <f>IF(VLOOKUP(A123,'Débit - Abfluss'!$A$4:$Q$275,15,FALSE)="","",VLOOKUP(A123,'Débit - Abfluss'!$A$4:$Q$275,15,FALSE))</f>
        <v>Bavona</v>
      </c>
      <c r="AX123" s="679" t="str">
        <f>IF(VLOOKUP(A123,'Débit - Abfluss'!$A$4:$Q$275,16,FALSE)="","",VLOOKUP(A123,'Débit - Abfluss'!$A$4:$Q$275,16,FALSE))</f>
        <v/>
      </c>
      <c r="AY123" s="775" t="str">
        <f>IF(VLOOKUP(A123,'Débit - Abfluss'!$A$4:$Q$275,17,FALSE)="","",VLOOKUP(A123,'Débit - Abfluss'!$A$4:$Q$275,17,FALSE))</f>
        <v>61-80%</v>
      </c>
      <c r="AZ123" s="749" t="str">
        <f>IF(VLOOKUP(A123,'Eclusée - Schwall-Sunk'!$A$2:$F$273,5,FALSE)="","",VLOOKUP(A123,'Eclusée - Schwall-Sunk'!$A$2:$F$273,5,FALSE))</f>
        <v>force hydraulique</v>
      </c>
      <c r="BA123" s="750" t="str">
        <f>IF(VLOOKUP(A123,'Eclusée - Schwall-Sunk'!$A$2:$F$273,6,FALSE)="","",VLOOKUP(A123,'Eclusée - Schwall-Sunk'!$A$2:$F$273,6,FALSE))</f>
        <v>Non affecté / nicht betroffen</v>
      </c>
      <c r="BB123" s="751">
        <f>IF(VLOOKUP(A123,'Revitalisation-Revitalisierung'!$A$4:$Z$275,5,FALSE)="","",VLOOKUP(A123,'Revitalisation-Revitalisierung'!$A$4:$Z$275,5,FALSE))</f>
        <v>61.645454545454541</v>
      </c>
      <c r="BC123" s="752">
        <f>IF(VLOOKUP(A123,'Revitalisation-Revitalisierung'!$A$4:$Z$275,6,FALSE)="","",VLOOKUP(A123,'Revitalisation-Revitalisierung'!$A$4:$Z$275,6,FALSE))</f>
        <v>72.133461936155285</v>
      </c>
      <c r="BD123" s="752">
        <f>IF(VLOOKUP(A123,'Revitalisation-Revitalisierung'!$A$4:$Z$275,7,FALSE)="","",VLOOKUP(A123,'Revitalisation-Revitalisierung'!$A$4:$Z$275,7,FALSE))</f>
        <v>10.454545454545455</v>
      </c>
      <c r="BE123" s="753" t="str">
        <f>IF(VLOOKUP(A123,'Revitalisation-Revitalisierung'!$A$4:$Z$275,8,FALSE)="","",VLOOKUP(A123,'Revitalisation-Revitalisierung'!$A$4:$Z$275,8,FALSE))</f>
        <v>très nécessaire, facile</v>
      </c>
      <c r="BF123" s="754" t="str">
        <f>IF(VLOOKUP(A123,'Revitalisation-Revitalisierung'!$A$4:$Z$275,9,FALSE)="","",VLOOKUP(A123,'Revitalisation-Revitalisierung'!$A$4:$Z$275,9,FALSE))</f>
        <v>nicht nötig</v>
      </c>
      <c r="BG123" s="754" t="str">
        <f>IF(VLOOKUP(A123,'Revitalisation-Revitalisierung'!$A$4:$Z$275,10,FALSE)="","",VLOOKUP(A123,'Revitalisation-Revitalisierung'!$A$4:$Z$275,10,FALSE))</f>
        <v>K2</v>
      </c>
      <c r="BH123" s="755" t="str">
        <f>IF(VLOOKUP(A123,'Revitalisation-Revitalisierung'!$A$4:$Z$275,11,FALSE)="","",VLOOKUP(A123,'Revitalisation-Revitalisierung'!$A$4:$Z$275,11,FALSE))</f>
        <v/>
      </c>
      <c r="BI123" s="756" t="str">
        <f>IF(VLOOKUP(A123,'Revitalisation-Revitalisierung'!$A$4:$Z$275,12,FALSE)="","",VLOOKUP(A123,'Revitalisation-Revitalisierung'!$A$4:$Z$275,12,FALSE))</f>
        <v/>
      </c>
      <c r="BJ123" s="788" t="str">
        <f>IF(VLOOKUP(A123,'Revitalisation-Revitalisierung'!$A$4:$Z$275,13,FALSE)="","",VLOOKUP(A123,'Revitalisation-Revitalisierung'!$A$4:$Z$275,13,FALSE))</f>
        <v>Très nécessaire, facile / unbedingt nötig, einfach</v>
      </c>
      <c r="BK123" s="870" t="str">
        <f>IF(VLOOKUP(A123,'Revitalisation-Revitalisierung'!$A$4:$Z$275,14,FALSE)="","",VLOOKUP(A123,'Revitalisation-Revitalisierung'!$A$4:$Z$275,14,FALSE))</f>
        <v>a</v>
      </c>
      <c r="BL123" s="758" t="str">
        <f>IF(VLOOKUP(A123,'Revitalisation-Revitalisierung'!$A$4:$Z$275,15,FALSE)="","",VLOOKUP(A123,'Revitalisation-Revitalisierung'!$A$4:$Z$275,15,FALSE))</f>
        <v>moyen et faible</v>
      </c>
      <c r="BM123" s="759" t="str">
        <f>IF(VLOOKUP(A123,'Revitalisation-Revitalisierung'!$A$4:$Z$275,16,FALSE)="","",VLOOKUP(A123,'Revitalisation-Revitalisierung'!$A$4:$Z$275,16,FALSE))</f>
        <v>faible</v>
      </c>
      <c r="BN123" s="759" t="str">
        <f>IF(VLOOKUP(A123,'Revitalisation-Revitalisierung'!$A$4:$Z$275,17,FALSE)="","",VLOOKUP(A123,'Revitalisation-Revitalisierung'!$A$4:$Z$275,17,FALSE))</f>
        <v>nulle</v>
      </c>
      <c r="BO123" s="760" t="str">
        <f>IF(VLOOKUP(A123,'Revitalisation-Revitalisierung'!$A$4:$Z$275,18,FALSE)="","",VLOOKUP(A123,'Revitalisation-Revitalisierung'!$A$4:$Z$275,18,FALSE))</f>
        <v>Non nécessaire / nicht nötig</v>
      </c>
      <c r="BP123" s="761" t="str">
        <f>IF(VLOOKUP(A123,'Revitalisation-Revitalisierung'!$A$4:$Z$275,19,FALSE)="","",VLOOKUP(A123,'Revitalisation-Revitalisierung'!$A$4:$Z$275,19,FALSE))</f>
        <v>Très nécessaire, difficile / unbedingt nötig, schwierig</v>
      </c>
      <c r="BQ123" s="759" t="str">
        <f>IF(VLOOKUP(A123,'Revitalisation-Revitalisierung'!$A$4:$Z$275,20,FALSE)="","",VLOOKUP(A123,'Revitalisation-Revitalisierung'!$A$4:$Z$275,20,FALSE))</f>
        <v>e</v>
      </c>
      <c r="BR123" s="759" t="str">
        <f>IF(VLOOKUP(A123,'Revitalisation-Revitalisierung'!$A$4:$Z$275,21,FALSE)="","",VLOOKUP(A123,'Revitalisation-Revitalisierung'!$A$4:$Z$275,21,FALSE))</f>
        <v>REVITALISATION: Tant qu'il y a une utilisation militaire de la partie amont, la revitalisation parait en effet plus difficile que ce qui a été évalué sur la base de la carte des atteintes à l'interieur de la zone.  A notre avis (BIOP) le potentiel écologique devrait être moyen à important. Systèmes montagnards très intéressants, à mettre en valeur.</v>
      </c>
      <c r="BS123" s="762" t="str">
        <f>IF(VLOOKUP(A123,'Revitalisation-Revitalisierung'!$A$4:$Z$275,22,FALSE)="","",VLOOKUP(A123,'Revitalisation-Revitalisierung'!$A$4:$Z$275,22,FALSE))</f>
        <v/>
      </c>
      <c r="BT123" s="700" t="str">
        <f>IF(VLOOKUP(A123,'Revitalisation-Revitalisierung'!$A$4:$Z$275,23,FALSE)="","",VLOOKUP(A123,'Revitalisation-Revitalisierung'!$A$4:$Z$275,23,FALSE))</f>
        <v/>
      </c>
      <c r="BU123" s="699" t="str">
        <f>IF(VLOOKUP(A123,'Revitalisation-Revitalisierung'!$A$4:$Z$275,24,FALSE)="","",VLOOKUP(A123,'Revitalisation-Revitalisierung'!$A$4:$Z$275,24,FALSE))</f>
        <v/>
      </c>
      <c r="BV123" s="761" t="str">
        <f>IF(VLOOKUP(A123,'Revitalisation-Revitalisierung'!$A$4:$Z$275,25,FALSE)="","",VLOOKUP(A123,'Revitalisation-Revitalisierung'!$A$4:$Z$275,25,FALSE))</f>
        <v>Très nécessaire, difficile / unbedingt nötig, schwierig</v>
      </c>
      <c r="BW123" s="871" t="str">
        <f>IF(VLOOKUP(A123,'Revitalisation-Revitalisierung'!$A$4:$AA$275,27,FALSE)="","",VLOOKUP(A123,'Revitalisation-Revitalisierung'!$A$4:$AA$275,27,FALSE))</f>
        <v>a</v>
      </c>
    </row>
    <row r="124" spans="1:75" ht="90" customHeight="1" x14ac:dyDescent="0.25">
      <c r="A124" s="935">
        <v>149</v>
      </c>
      <c r="B124" s="856">
        <f>IF(VLOOKUP(A124,'Données de base - Grunddaten'!$A$2:$M$297,2,FALSE)="","",VLOOKUP(A124,'Données de base - Grunddaten'!$A$2:$M$297,2,FALSE))</f>
        <v>1</v>
      </c>
      <c r="C124" s="857" t="str">
        <f>IF(VLOOKUP(A124,'Données de base - Grunddaten'!$A$2:$M$297,3,FALSE)="","",VLOOKUP(A124,'Données de base - Grunddaten'!$A$2:$M$297,3,FALSE))</f>
        <v>Albinasca</v>
      </c>
      <c r="D124" s="857" t="str">
        <f>IF(VLOOKUP(A124,'Données de base - Grunddaten'!$A$2:$M$297,4,FALSE)="","",VLOOKUP(A124,'Données de base - Grunddaten'!$A$2:$M$297,4,FALSE))</f>
        <v>Ticino</v>
      </c>
      <c r="E124" s="857" t="str">
        <f>IF(VLOOKUP(A124,'Données de base - Grunddaten'!$A$2:$M$297,5,FALSE)="","",VLOOKUP(A124,'Données de base - Grunddaten'!$A$2:$M$297,5,FALSE))</f>
        <v>TI</v>
      </c>
      <c r="F124" s="857" t="str">
        <f>IF(VLOOKUP(A124,'Données de base - Grunddaten'!$A$2:$M$297,6,FALSE)="","",VLOOKUP(A124,'Données de base - Grunddaten'!$A$2:$M$297,6,FALSE))</f>
        <v>Alpes méridionales</v>
      </c>
      <c r="G124" s="857" t="str">
        <f>IF(VLOOKUP(A124,'Données de base - Grunddaten'!$A$2:$M$297,7,FALSE)="","",VLOOKUP(A124,'Données de base - Grunddaten'!$A$2:$M$297,7,FALSE))</f>
        <v>Montagnard sup.</v>
      </c>
      <c r="H124" s="857">
        <f>IF(VLOOKUP(A124,'Données de base - Grunddaten'!$A$2:$M$297,8,FALSE)="","",VLOOKUP(A124,'Données de base - Grunddaten'!$A$2:$M$297,8,FALSE))</f>
        <v>1180</v>
      </c>
      <c r="I124" s="857">
        <f>IF(VLOOKUP(A124,'Données de base - Grunddaten'!$A$2:$M$297,9,FALSE)="","",VLOOKUP(A124,'Données de base - Grunddaten'!$A$2:$M$297,9,FALSE))</f>
        <v>1992</v>
      </c>
      <c r="J124" s="857">
        <f>IF(VLOOKUP(A124,'Données de base - Grunddaten'!$A$2:$M$297,10,FALSE)="","",VLOOKUP(A124,'Données de base - Grunddaten'!$A$2:$M$297,10,FALSE))</f>
        <v>41</v>
      </c>
      <c r="K124" s="857" t="str">
        <f>IF(VLOOKUP(A124,'Données de base - Grunddaten'!$A$2:$M$297,11,FALSE)="","",VLOOKUP(A124,'Données de base - Grunddaten'!$A$2:$M$297,11,FALSE))</f>
        <v>Cours d'eau naturels de l'étage montagnard</v>
      </c>
      <c r="L124" s="857" t="str">
        <f>IF(VLOOKUP(A124,'Données de base - Grunddaten'!$A$2:$M$297,12,FALSE)="","",VLOOKUP(A124,'Données de base - Grunddaten'!$A$2:$M$297,12,FALSE))</f>
        <v>en tresses</v>
      </c>
      <c r="M124" s="858" t="str">
        <f>IF(VLOOKUP(A124,'Données de base - Grunddaten'!$A$2:$M$297,13,FALSE)="","",VLOOKUP(A124,'Données de base - Grunddaten'!$A$2:$M$297,13,FALSE))</f>
        <v>en tresses</v>
      </c>
      <c r="N124" s="872" t="str">
        <f>IF(VLOOKUP(A124,'Charriage - Geschiebehaushalt'!$A$4:$R$275,5,FALSE)="","",VLOOKUP(A124,'Charriage - Geschiebehaushalt'!$A$4:$R$275,5,FALSE))</f>
        <v>pertinent</v>
      </c>
      <c r="O124" s="881" t="str">
        <f>IF(VLOOKUP(A124,'Charriage - Geschiebehaushalt'!$A$4:$R$275,6,FALSE)="","",VLOOKUP(A124,'Charriage - Geschiebehaushalt'!$A$4:$R$275,6,FALSE))</f>
        <v>non documenté</v>
      </c>
      <c r="P124" s="874" t="str">
        <f>IF(VLOOKUP(A124,'Charriage - Geschiebehaushalt'!$A$4:$R$275,7,FALSE)="","",VLOOKUP(A124,'Charriage - Geschiebehaushalt'!$A$4:$R$275,7,FALSE))</f>
        <v/>
      </c>
      <c r="Q124" s="874" t="str">
        <f>IF(VLOOKUP(A124,'Charriage - Geschiebehaushalt'!$A$4:$R$275,8,FALSE)="","",VLOOKUP(A124,'Charriage - Geschiebehaushalt'!$A$4:$R$275,8,FALSE))</f>
        <v>non documenté</v>
      </c>
      <c r="R124" s="875">
        <f>IF(VLOOKUP(A124,'Charriage - Geschiebehaushalt'!$A$4:$R$275,9,FALSE)="","",VLOOKUP(A124,'Charriage - Geschiebehaushalt'!$A$4:$R$275,9,FALSE))</f>
        <v>0</v>
      </c>
      <c r="S124" s="876" t="str">
        <f>IF(VLOOKUP(A124,'Charriage - Geschiebehaushalt'!$A$4:$R$275,10,FALSE)="","",VLOOKUP(A124,'Charriage - Geschiebehaushalt'!$A$4:$R$275,10,FALSE))</f>
        <v>pas ou faiblement entravé</v>
      </c>
      <c r="T124" s="875">
        <f>IF(VLOOKUP(A124,'Charriage - Geschiebehaushalt'!$A$4:$R$275,11,FALSE)="","",VLOOKUP(A124,'Charriage - Geschiebehaushalt'!$A$4:$R$275,11,FALSE))</f>
        <v>0.40928414445</v>
      </c>
      <c r="U124" s="895" t="str">
        <f>IF(VLOOKUP(A124,'Charriage - Geschiebehaushalt'!$A$4:$R$275,12,FALSE)="","",VLOOKUP(A124,'Charriage - Geschiebehaushalt'!$A$4:$R$275,12,FALSE))</f>
        <v>déficit non apparent en charriage ou en remobilisation des sédiments</v>
      </c>
      <c r="V124" s="877" t="str">
        <f>IF(VLOOKUP(A124,'Charriage - Geschiebehaushalt'!$A$4:$R$275,13,FALSE)="","",VLOOKUP(A124,'Charriage - Geschiebehaushalt'!$A$4:$R$275,13,FALSE))</f>
        <v/>
      </c>
      <c r="W124" s="877" t="str">
        <f>IF(VLOOKUP(A124,'Charriage - Geschiebehaushalt'!$A$4:$R$275,14,FALSE)="","",VLOOKUP(A124,'Charriage - Geschiebehaushalt'!$A$4:$R$275,14,FALSE))</f>
        <v/>
      </c>
      <c r="X124" s="877" t="str">
        <f>IF(VLOOKUP(A124,'Charriage - Geschiebehaushalt'!$A$4:$R$275,15,FALSE)="","",VLOOKUP(A124,'Charriage - Geschiebehaushalt'!$A$4:$R$275,15,FALSE))</f>
        <v/>
      </c>
      <c r="Y124" s="879" t="str">
        <f>IF(VLOOKUP(A124,'Charriage - Geschiebehaushalt'!$A$4:$R$275,16,FALSE)="","",VLOOKUP(A124,'Charriage - Geschiebehaushalt'!$A$4:$R$275,16,FALSE))</f>
        <v/>
      </c>
      <c r="Z124" s="763" t="str">
        <f>IF(VLOOKUP(A124,'Charriage - Geschiebehaushalt'!$A$4:$R$275,17,FALSE)="","",VLOOKUP(A124,'Charriage - Geschiebehaushalt'!$A$4:$R$275,17,FALSE))</f>
        <v>Déficit non apparent en charriage ou en remobilisation des sédiments / kein sichtbares Defizit beim Geschiebehaushalt bzw. bei der Mobilisierung von Geschiebe</v>
      </c>
      <c r="AA124" s="880" t="str">
        <f>IF(VLOOKUP(A124,'Charriage - Geschiebehaushalt'!$A$4:$R$275,18,FALSE)="","",VLOOKUP(A124,'Charriage - Geschiebehaushalt'!$A$4:$R$275,18,FALSE))</f>
        <v>b</v>
      </c>
      <c r="AB124" s="737" t="str">
        <f>IF(VLOOKUP(A124,'Charriage - Geschiebehaushalt'!$A$4:$AC$275,19,FALSE)="","",VLOOKUP(A124,'Charriage - Geschiebehaushalt'!$A$4:$AC$275,19,FALSE))</f>
        <v>nul</v>
      </c>
      <c r="AC124" s="738" t="str">
        <f>IF(VLOOKUP(A124,'Charriage - Geschiebehaushalt'!$A$4:$AC$275,20,FALSE)="","",VLOOKUP(A124,'Charriage - Geschiebehaushalt'!$A$4:$AC$275,20,FALSE))</f>
        <v>nul</v>
      </c>
      <c r="AD124" s="789" t="str">
        <f>IF(VLOOKUP(A124,'Charriage - Geschiebehaushalt'!$A$4:$AC$275,21,FALSE)="","",VLOOKUP(A124,'Charriage - Geschiebehaushalt'!$A$4:$AC$275,21,FALSE))</f>
        <v>0-20%</v>
      </c>
      <c r="AE124" s="772" t="str">
        <f>IF(VLOOKUP(A124,'Charriage - Geschiebehaushalt'!$A$4:$AC$275,22,FALSE)="","",VLOOKUP(A124,'Charriage - Geschiebehaushalt'!$A$4:$AC$275,22,FALSE))</f>
        <v>0-20%</v>
      </c>
      <c r="AF124" s="787" t="str">
        <f>IF(VLOOKUP(A124,'Charriage - Geschiebehaushalt'!$A$4:$AC$275,23,FALSE)="","",VLOOKUP(A124,'Charriage - Geschiebehaushalt'!$A$4:$AC$275,23,FALSE))</f>
        <v>d</v>
      </c>
      <c r="AG124" s="765" t="str">
        <f>IF(VLOOKUP(A124,'Charriage - Geschiebehaushalt'!$A$4:$AC$275,24,FALSE)="","",VLOOKUP(A124,'Charriage - Geschiebehaushalt'!$A$4:$AC$275,24,FALSE))</f>
        <v/>
      </c>
      <c r="AH124" s="764" t="str">
        <f>IF(VLOOKUP(A124,'Charriage - Geschiebehaushalt'!$A$4:$AC$275,25,FALSE)="","",VLOOKUP(A124,'Charriage - Geschiebehaushalt'!$A$4:$AC$275,25,FALSE))</f>
        <v/>
      </c>
      <c r="AI124" s="433" t="str">
        <f>IF(VLOOKUP(A124,'Charriage - Geschiebehaushalt'!$A$4:$AC$275,26,FALSE)="","",VLOOKUP(A124,'Charriage - Geschiebehaushalt'!$A$4:$AC$275,26,FALSE))</f>
        <v/>
      </c>
      <c r="AJ124" s="434" t="str">
        <f>IF(VLOOKUP(A124,'Charriage - Geschiebehaushalt'!$A$4:$AC$275,27,FALSE)="","",VLOOKUP(A124,'Charriage - Geschiebehaushalt'!$A$4:$AC$275,27,FALSE))</f>
        <v/>
      </c>
      <c r="AK124" s="814" t="str">
        <f>IF(VLOOKUP(A124,'Charriage - Geschiebehaushalt'!$A$4:$AC$275,28,FALSE)="","",VLOOKUP(A124,'Charriage - Geschiebehaushalt'!$A$4:$AC$275,28,FALSE))</f>
        <v>0-20%</v>
      </c>
      <c r="AL124" s="1285" t="str">
        <f>IF(VLOOKUP(A124,'Charriage - Geschiebehaushalt'!$A$4:$AD$275,30,FALSE)="","",VLOOKUP(A124,'Charriage - Geschiebehaushalt'!$A$4:$AD$275,30,FALSE))</f>
        <v>a</v>
      </c>
      <c r="AM124" s="1279" t="str">
        <f>IF(VLOOKUP(A124,'Débit - Abfluss'!$A$4:$K$275,5,FALSE)="","",VLOOKUP(A124,'Débit - Abfluss'!$A$4:$M$275,5,FALSE))</f>
        <v>61-80%</v>
      </c>
      <c r="AN124" s="868" t="str">
        <f>IF(VLOOKUP(A124,'Débit - Abfluss'!$A$4:$K$275,6,FALSE)="","",VLOOKUP(A124,'Débit - Abfluss'!$A$4:$M$275,6,FALSE))</f>
        <v/>
      </c>
      <c r="AO124" s="869" t="str">
        <f>IF(VLOOKUP(A124,'Débit - Abfluss'!$A$4:$K$275,7,FALSE)="","",VLOOKUP(A124,'Débit - Abfluss'!$A$4:$M$275,7,FALSE))</f>
        <v/>
      </c>
      <c r="AP124" s="766" t="str">
        <f>IF(VLOOKUP(A124,'Débit - Abfluss'!$A$4:$K$275,8,FALSE)="","",VLOOKUP(A124,'Débit - Abfluss'!$A$4:$M$275,8,FALSE))</f>
        <v>61-80%</v>
      </c>
      <c r="AQ124" s="678" t="str">
        <f>IF(VLOOKUP(A124,'Débit - Abfluss'!$A$4:$K$275,9,FALSE)="","",VLOOKUP(A124,'Débit - Abfluss'!$A$4:$M$275,9,FALSE))</f>
        <v>&lt;10%</v>
      </c>
      <c r="AR124" s="773" t="str">
        <f>IF(VLOOKUP(A124,'Débit - Abfluss'!$A$4:$K$275,10,FALSE)="","",VLOOKUP(A124,'Débit - Abfluss'!$A$4:$M$275,10,FALSE))</f>
        <v>61-80%</v>
      </c>
      <c r="AS124" s="773" t="str">
        <f>IF(VLOOKUP(A124,'Débit - Abfluss'!$A$4:$K$275,11,FALSE)="","",VLOOKUP(A124,'Débit - Abfluss'!$A$4:$M$275,11,FALSE))</f>
        <v>X</v>
      </c>
      <c r="AT124" s="744" t="str">
        <f>IF(VLOOKUP(A124,'Débit - Abfluss'!$A$4:$Q$275,12,FALSE)="","",VLOOKUP(A124,'Débit - Abfluss'!$A$4:$Q$275,12,FALSE))</f>
        <v/>
      </c>
      <c r="AU124" s="683" t="str">
        <f>IF(VLOOKUP(A124,'Débit - Abfluss'!$A$4:$Q$275,13,FALSE)="","",VLOOKUP(A124,'Débit - Abfluss'!$A$4:$Q$275,13,FALSE))</f>
        <v xml:space="preserve">In via di principio concordiamo con UFAM </v>
      </c>
      <c r="AV124" s="791" t="str">
        <f>IF(VLOOKUP(A124,'Débit - Abfluss'!$A$4:$Q$275,14,FALSE)="","",VLOOKUP(A124,'Débit - Abfluss'!$A$4:$Q$275,14,FALSE))</f>
        <v>TI-W 42.1</v>
      </c>
      <c r="AW124" s="768" t="str">
        <f>IF(VLOOKUP(A124,'Débit - Abfluss'!$A$4:$Q$275,15,FALSE)="","",VLOOKUP(A124,'Débit - Abfluss'!$A$4:$Q$275,15,FALSE))</f>
        <v>Bavona</v>
      </c>
      <c r="AX124" s="679" t="str">
        <f>IF(VLOOKUP(A124,'Débit - Abfluss'!$A$4:$Q$275,16,FALSE)="","",VLOOKUP(A124,'Débit - Abfluss'!$A$4:$Q$275,16,FALSE))</f>
        <v/>
      </c>
      <c r="AY124" s="775" t="str">
        <f>IF(VLOOKUP(A124,'Débit - Abfluss'!$A$4:$Q$275,17,FALSE)="","",VLOOKUP(A124,'Débit - Abfluss'!$A$4:$Q$275,17,FALSE))</f>
        <v>61-80%</v>
      </c>
      <c r="AZ124" s="749" t="str">
        <f>IF(VLOOKUP(A124,'Eclusée - Schwall-Sunk'!$A$2:$F$273,5,FALSE)="","",VLOOKUP(A124,'Eclusée - Schwall-Sunk'!$A$2:$F$273,5,FALSE))</f>
        <v>force hydraulique</v>
      </c>
      <c r="BA124" s="750" t="str">
        <f>IF(VLOOKUP(A124,'Eclusée - Schwall-Sunk'!$A$2:$F$273,6,FALSE)="","",VLOOKUP(A124,'Eclusée - Schwall-Sunk'!$A$2:$F$273,6,FALSE))</f>
        <v>Non affecté / nicht betroffen</v>
      </c>
      <c r="BB124" s="751">
        <f>IF(VLOOKUP(A124,'Revitalisation-Revitalisierung'!$A$4:$Z$275,5,FALSE)="","",VLOOKUP(A124,'Revitalisation-Revitalisierung'!$A$4:$Z$275,5,FALSE))</f>
        <v>0</v>
      </c>
      <c r="BC124" s="752">
        <f>IF(VLOOKUP(A124,'Revitalisation-Revitalisierung'!$A$4:$Z$275,6,FALSE)="","",VLOOKUP(A124,'Revitalisation-Revitalisierung'!$A$4:$Z$275,6,FALSE))</f>
        <v>0</v>
      </c>
      <c r="BD124" s="752">
        <f>IF(VLOOKUP(A124,'Revitalisation-Revitalisierung'!$A$4:$Z$275,7,FALSE)="","",VLOOKUP(A124,'Revitalisation-Revitalisierung'!$A$4:$Z$275,7,FALSE))</f>
        <v>0</v>
      </c>
      <c r="BE124" s="753" t="str">
        <f>IF(VLOOKUP(A124,'Revitalisation-Revitalisierung'!$A$4:$Z$275,8,FALSE)="","",VLOOKUP(A124,'Revitalisation-Revitalisierung'!$A$4:$Z$275,8,FALSE))</f>
        <v>non nécessaire</v>
      </c>
      <c r="BF124" s="754" t="str">
        <f>IF(VLOOKUP(A124,'Revitalisation-Revitalisierung'!$A$4:$Z$275,9,FALSE)="","",VLOOKUP(A124,'Revitalisation-Revitalisierung'!$A$4:$Z$275,9,FALSE))</f>
        <v/>
      </c>
      <c r="BG124" s="754" t="str">
        <f>IF(VLOOKUP(A124,'Revitalisation-Revitalisierung'!$A$4:$Z$275,10,FALSE)="","",VLOOKUP(A124,'Revitalisation-Revitalisierung'!$A$4:$Z$275,10,FALSE))</f>
        <v>K3</v>
      </c>
      <c r="BH124" s="755" t="str">
        <f>IF(VLOOKUP(A124,'Revitalisation-Revitalisierung'!$A$4:$Z$275,11,FALSE)="","",VLOOKUP(A124,'Revitalisation-Revitalisierung'!$A$4:$Z$275,11,FALSE))</f>
        <v/>
      </c>
      <c r="BI124" s="756" t="str">
        <f>IF(VLOOKUP(A124,'Revitalisation-Revitalisierung'!$A$4:$Z$275,12,FALSE)="","",VLOOKUP(A124,'Revitalisation-Revitalisierung'!$A$4:$Z$275,12,FALSE))</f>
        <v/>
      </c>
      <c r="BJ124" s="788" t="str">
        <f>IF(VLOOKUP(A124,'Revitalisation-Revitalisierung'!$A$4:$Z$275,13,FALSE)="","",VLOOKUP(A124,'Revitalisation-Revitalisierung'!$A$4:$Z$275,13,FALSE))</f>
        <v>Non nécessaire / nicht nötig</v>
      </c>
      <c r="BK124" s="870" t="str">
        <f>IF(VLOOKUP(A124,'Revitalisation-Revitalisierung'!$A$4:$Z$275,14,FALSE)="","",VLOOKUP(A124,'Revitalisation-Revitalisierung'!$A$4:$Z$275,14,FALSE))</f>
        <v>a</v>
      </c>
      <c r="BL124" s="758" t="str">
        <f>IF(VLOOKUP(A124,'Revitalisation-Revitalisierung'!$A$4:$Z$275,15,FALSE)="","",VLOOKUP(A124,'Revitalisation-Revitalisierung'!$A$4:$Z$275,15,FALSE))</f>
        <v>moyen</v>
      </c>
      <c r="BM124" s="759" t="str">
        <f>IF(VLOOKUP(A124,'Revitalisation-Revitalisierung'!$A$4:$Z$275,16,FALSE)="","",VLOOKUP(A124,'Revitalisation-Revitalisierung'!$A$4:$Z$275,16,FALSE))</f>
        <v>faible</v>
      </c>
      <c r="BN124" s="759" t="str">
        <f>IF(VLOOKUP(A124,'Revitalisation-Revitalisierung'!$A$4:$Z$275,17,FALSE)="","",VLOOKUP(A124,'Revitalisation-Revitalisierung'!$A$4:$Z$275,17,FALSE))</f>
        <v>nulle</v>
      </c>
      <c r="BO124" s="760" t="str">
        <f>IF(VLOOKUP(A124,'Revitalisation-Revitalisierung'!$A$4:$Z$275,18,FALSE)="","",VLOOKUP(A124,'Revitalisation-Revitalisierung'!$A$4:$Z$275,18,FALSE))</f>
        <v>Non nécessaire / nicht nötig</v>
      </c>
      <c r="BP124" s="761" t="str">
        <f>IF(VLOOKUP(A124,'Revitalisation-Revitalisierung'!$A$4:$Z$275,19,FALSE)="","",VLOOKUP(A124,'Revitalisation-Revitalisierung'!$A$4:$Z$275,19,FALSE))</f>
        <v>Non nécessaire / nicht nötig</v>
      </c>
      <c r="BQ124" s="759" t="str">
        <f>IF(VLOOKUP(A124,'Revitalisation-Revitalisierung'!$A$4:$Z$275,20,FALSE)="","",VLOOKUP(A124,'Revitalisation-Revitalisierung'!$A$4:$Z$275,20,FALSE))</f>
        <v>d</v>
      </c>
      <c r="BR124" s="759" t="str">
        <f>IF(VLOOKUP(A124,'Revitalisation-Revitalisierung'!$A$4:$Z$275,21,FALSE)="","",VLOOKUP(A124,'Revitalisation-Revitalisierung'!$A$4:$Z$275,21,FALSE))</f>
        <v/>
      </c>
      <c r="BS124" s="762" t="str">
        <f>IF(VLOOKUP(A124,'Revitalisation-Revitalisierung'!$A$4:$Z$275,22,FALSE)="","",VLOOKUP(A124,'Revitalisation-Revitalisierung'!$A$4:$Z$275,22,FALSE))</f>
        <v/>
      </c>
      <c r="BT124" s="700" t="str">
        <f>IF(VLOOKUP(A124,'Revitalisation-Revitalisierung'!$A$4:$Z$275,23,FALSE)="","",VLOOKUP(A124,'Revitalisation-Revitalisierung'!$A$4:$Z$275,23,FALSE))</f>
        <v/>
      </c>
      <c r="BU124" s="699" t="str">
        <f>IF(VLOOKUP(A124,'Revitalisation-Revitalisierung'!$A$4:$Z$275,24,FALSE)="","",VLOOKUP(A124,'Revitalisation-Revitalisierung'!$A$4:$Z$275,24,FALSE))</f>
        <v/>
      </c>
      <c r="BV124" s="761" t="str">
        <f>IF(VLOOKUP(A124,'Revitalisation-Revitalisierung'!$A$4:$Z$275,25,FALSE)="","",VLOOKUP(A124,'Revitalisation-Revitalisierung'!$A$4:$Z$275,25,FALSE))</f>
        <v>Non nécessaire / nicht nötig</v>
      </c>
      <c r="BW124" s="871" t="str">
        <f>IF(VLOOKUP(A124,'Revitalisation-Revitalisierung'!$A$4:$AA$275,27,FALSE)="","",VLOOKUP(A124,'Revitalisation-Revitalisierung'!$A$4:$AA$275,27,FALSE))</f>
        <v>a</v>
      </c>
    </row>
    <row r="125" spans="1:75" ht="58.15" customHeight="1" x14ac:dyDescent="0.25">
      <c r="A125" s="936">
        <v>150.1</v>
      </c>
      <c r="B125" s="856">
        <f>IF(VLOOKUP(A125,'Données de base - Grunddaten'!$A$2:$M$297,2,FALSE)="","",VLOOKUP(A125,'Données de base - Grunddaten'!$A$2:$M$297,2,FALSE))</f>
        <v>1</v>
      </c>
      <c r="C125" s="857" t="str">
        <f>IF(VLOOKUP(A125,'Données de base - Grunddaten'!$A$2:$M$297,3,FALSE)="","",VLOOKUP(A125,'Données de base - Grunddaten'!$A$2:$M$297,3,FALSE))</f>
        <v>Bolla di Loderio</v>
      </c>
      <c r="D125" s="857" t="str">
        <f>IF(VLOOKUP(A125,'Données de base - Grunddaten'!$A$2:$M$297,4,FALSE)="","",VLOOKUP(A125,'Données de base - Grunddaten'!$A$2:$M$297,4,FALSE))</f>
        <v>Brenno</v>
      </c>
      <c r="E125" s="857" t="str">
        <f>IF(VLOOKUP(A125,'Données de base - Grunddaten'!$A$2:$M$297,5,FALSE)="","",VLOOKUP(A125,'Données de base - Grunddaten'!$A$2:$M$297,5,FALSE))</f>
        <v>TI</v>
      </c>
      <c r="F125" s="857" t="str">
        <f>IF(VLOOKUP(A125,'Données de base - Grunddaten'!$A$2:$M$297,6,FALSE)="","",VLOOKUP(A125,'Données de base - Grunddaten'!$A$2:$M$297,6,FALSE))</f>
        <v>Alpes méridionales</v>
      </c>
      <c r="G125" s="857" t="str">
        <f>IF(VLOOKUP(A125,'Données de base - Grunddaten'!$A$2:$M$297,7,FALSE)="","",VLOOKUP(A125,'Données de base - Grunddaten'!$A$2:$M$297,7,FALSE))</f>
        <v>Collinéen</v>
      </c>
      <c r="H125" s="857">
        <f>IF(VLOOKUP(A125,'Données de base - Grunddaten'!$A$2:$M$297,8,FALSE)="","",VLOOKUP(A125,'Données de base - Grunddaten'!$A$2:$M$297,8,FALSE))</f>
        <v>355</v>
      </c>
      <c r="I125" s="857">
        <f>IF(VLOOKUP(A125,'Données de base - Grunddaten'!$A$2:$M$297,9,FALSE)="","",VLOOKUP(A125,'Données de base - Grunddaten'!$A$2:$M$297,9,FALSE))</f>
        <v>1992</v>
      </c>
      <c r="J125" s="857">
        <f>IF(VLOOKUP(A125,'Données de base - Grunddaten'!$A$2:$M$297,10,FALSE)="","",VLOOKUP(A125,'Données de base - Grunddaten'!$A$2:$M$297,10,FALSE))</f>
        <v>61</v>
      </c>
      <c r="K125" s="857" t="str">
        <f>IF(VLOOKUP(A125,'Données de base - Grunddaten'!$A$2:$M$297,11,FALSE)="","",VLOOKUP(A125,'Données de base - Grunddaten'!$A$2:$M$297,11,FALSE))</f>
        <v>Cours d'eau naturels de l'étage collinéen du Sud des Alpes</v>
      </c>
      <c r="L125" s="857" t="str">
        <f>IF(VLOOKUP(A125,'Données de base - Grunddaten'!$A$2:$M$297,12,FALSE)="","",VLOOKUP(A125,'Données de base - Grunddaten'!$A$2:$M$297,12,FALSE))</f>
        <v>en tresses</v>
      </c>
      <c r="M125" s="858" t="str">
        <f>IF(VLOOKUP(A125,'Données de base - Grunddaten'!$A$2:$M$297,13,FALSE)="","",VLOOKUP(A125,'Données de base - Grunddaten'!$A$2:$M$297,13,FALSE))</f>
        <v>cours rectiligne</v>
      </c>
      <c r="N125" s="872" t="str">
        <f>IF(VLOOKUP(A125,'Charriage - Geschiebehaushalt'!$A$4:$R$275,5,FALSE)="","",VLOOKUP(A125,'Charriage - Geschiebehaushalt'!$A$4:$R$275,5,FALSE))</f>
        <v>pertinent</v>
      </c>
      <c r="O125" s="873" t="str">
        <f>IF(VLOOKUP(A125,'Charriage - Geschiebehaushalt'!$A$4:$R$275,6,FALSE)="","",VLOOKUP(A125,'Charriage - Geschiebehaushalt'!$A$4:$R$275,6,FALSE))</f>
        <v>21-50%</v>
      </c>
      <c r="P125" s="874" t="str">
        <f>IF(VLOOKUP(A125,'Charriage - Geschiebehaushalt'!$A$4:$R$275,7,FALSE)="","",VLOOKUP(A125,'Charriage - Geschiebehaushalt'!$A$4:$R$275,7,FALSE))</f>
        <v/>
      </c>
      <c r="Q125" s="874" t="str">
        <f>IF(VLOOKUP(A125,'Charriage - Geschiebehaushalt'!$A$4:$R$275,8,FALSE)="","",VLOOKUP(A125,'Charriage - Geschiebehaushalt'!$A$4:$R$275,8,FALSE))</f>
        <v>non documenté</v>
      </c>
      <c r="R125" s="875">
        <f>IF(VLOOKUP(A125,'Charriage - Geschiebehaushalt'!$A$4:$R$275,9,FALSE)="","",VLOOKUP(A125,'Charriage - Geschiebehaushalt'!$A$4:$R$275,9,FALSE))</f>
        <v>0.66985895248337701</v>
      </c>
      <c r="S125" s="876" t="str">
        <f>IF(VLOOKUP(A125,'Charriage - Geschiebehaushalt'!$A$4:$R$275,10,FALSE)="","",VLOOKUP(A125,'Charriage - Geschiebehaushalt'!$A$4:$R$275,10,FALSE))</f>
        <v>la remobilisation des sédiments est perturbée</v>
      </c>
      <c r="T125" s="875">
        <f>IF(VLOOKUP(A125,'Charriage - Geschiebehaushalt'!$A$4:$R$275,11,FALSE)="","",VLOOKUP(A125,'Charriage - Geschiebehaushalt'!$A$4:$R$275,11,FALSE))</f>
        <v>0.20414845716999999</v>
      </c>
      <c r="U125" s="876" t="str">
        <f>IF(VLOOKUP(A125,'Charriage - Geschiebehaushalt'!$A$4:$R$275,12,FALSE)="","",VLOOKUP(A125,'Charriage - Geschiebehaushalt'!$A$4:$R$275,12,FALSE))</f>
        <v>déficit dans les formations pionnières</v>
      </c>
      <c r="V125" s="877" t="str">
        <f>IF(VLOOKUP(A125,'Charriage - Geschiebehaushalt'!$A$4:$R$275,13,FALSE)="","",VLOOKUP(A125,'Charriage - Geschiebehaushalt'!$A$4:$R$275,13,FALSE))</f>
        <v/>
      </c>
      <c r="W125" s="877" t="str">
        <f>IF(VLOOKUP(A125,'Charriage - Geschiebehaushalt'!$A$4:$R$275,14,FALSE)="","",VLOOKUP(A125,'Charriage - Geschiebehaushalt'!$A$4:$R$275,14,FALSE))</f>
        <v/>
      </c>
      <c r="X125" s="877" t="str">
        <f>IF(VLOOKUP(A125,'Charriage - Geschiebehaushalt'!$A$4:$R$275,15,FALSE)="","",VLOOKUP(A125,'Charriage - Geschiebehaushalt'!$A$4:$R$275,15,FALSE))</f>
        <v/>
      </c>
      <c r="Y125" s="879" t="str">
        <f>IF(VLOOKUP(A125,'Charriage - Geschiebehaushalt'!$A$4:$R$275,16,FALSE)="","",VLOOKUP(A125,'Charriage - Geschiebehaushalt'!$A$4:$R$275,16,FALSE))</f>
        <v/>
      </c>
      <c r="Z125" s="763" t="str">
        <f>IF(VLOOKUP(A125,'Charriage - Geschiebehaushalt'!$A$4:$R$275,17,FALSE)="","",VLOOKUP(A125,'Charriage - Geschiebehaushalt'!$A$4:$R$275,17,FALSE))</f>
        <v>21-50%</v>
      </c>
      <c r="AA125" s="880" t="str">
        <f>IF(VLOOKUP(A125,'Charriage - Geschiebehaushalt'!$A$4:$R$275,18,FALSE)="","",VLOOKUP(A125,'Charriage - Geschiebehaushalt'!$A$4:$R$275,18,FALSE))</f>
        <v>a</v>
      </c>
      <c r="AB125" s="737" t="str">
        <f>IF(VLOOKUP(A125,'Charriage - Geschiebehaushalt'!$A$4:$AC$275,19,FALSE)="","",VLOOKUP(A125,'Charriage - Geschiebehaushalt'!$A$4:$AC$275,19,FALSE))</f>
        <v>faible</v>
      </c>
      <c r="AC125" s="738" t="str">
        <f>IF(VLOOKUP(A125,'Charriage - Geschiebehaushalt'!$A$4:$AC$275,20,FALSE)="","",VLOOKUP(A125,'Charriage - Geschiebehaushalt'!$A$4:$AC$275,20,FALSE))</f>
        <v>nul</v>
      </c>
      <c r="AD125" s="764" t="str">
        <f>IF(VLOOKUP(A125,'Charriage - Geschiebehaushalt'!$A$4:$AC$275,21,FALSE)="","",VLOOKUP(A125,'Charriage - Geschiebehaushalt'!$A$4:$AC$275,21,FALSE))</f>
        <v/>
      </c>
      <c r="AE125" s="772" t="str">
        <f>IF(VLOOKUP(A125,'Charriage - Geschiebehaushalt'!$A$4:$AC$275,22,FALSE)="","",VLOOKUP(A125,'Charriage - Geschiebehaushalt'!$A$4:$AC$275,22,FALSE))</f>
        <v>21-50%</v>
      </c>
      <c r="AF125" s="787" t="str">
        <f>IF(VLOOKUP(A125,'Charriage - Geschiebehaushalt'!$A$4:$AC$275,23,FALSE)="","",VLOOKUP(A125,'Charriage - Geschiebehaushalt'!$A$4:$AC$275,23,FALSE))</f>
        <v>a</v>
      </c>
      <c r="AG125" s="765" t="str">
        <f>IF(VLOOKUP(A125,'Charriage - Geschiebehaushalt'!$A$4:$AC$275,24,FALSE)="","",VLOOKUP(A125,'Charriage - Geschiebehaushalt'!$A$4:$AC$275,24,FALSE))</f>
        <v/>
      </c>
      <c r="AH125" s="764" t="str">
        <f>IF(VLOOKUP(A125,'Charriage - Geschiebehaushalt'!$A$4:$AC$275,25,FALSE)="","",VLOOKUP(A125,'Charriage - Geschiebehaushalt'!$A$4:$AC$275,25,FALSE))</f>
        <v/>
      </c>
      <c r="AI125" s="433" t="str">
        <f>IF(VLOOKUP(A125,'Charriage - Geschiebehaushalt'!$A$4:$AC$275,26,FALSE)="","",VLOOKUP(A125,'Charriage - Geschiebehaushalt'!$A$4:$AC$275,26,FALSE))</f>
        <v/>
      </c>
      <c r="AJ125" s="434" t="str">
        <f>IF(VLOOKUP(A125,'Charriage - Geschiebehaushalt'!$A$4:$AC$275,27,FALSE)="","",VLOOKUP(A125,'Charriage - Geschiebehaushalt'!$A$4:$AC$275,27,FALSE))</f>
        <v/>
      </c>
      <c r="AK125" s="814" t="str">
        <f>IF(VLOOKUP(A125,'Charriage - Geschiebehaushalt'!$A$4:$AC$275,28,FALSE)="","",VLOOKUP(A125,'Charriage - Geschiebehaushalt'!$A$4:$AC$275,28,FALSE))</f>
        <v>21-50%</v>
      </c>
      <c r="AL125" s="1285" t="str">
        <f>IF(VLOOKUP(A125,'Charriage - Geschiebehaushalt'!$A$4:$AD$275,30,FALSE)="","",VLOOKUP(A125,'Charriage - Geschiebehaushalt'!$A$4:$AD$275,30,FALSE))</f>
        <v>a</v>
      </c>
      <c r="AM125" s="1279" t="str">
        <f>IF(VLOOKUP(A125,'Débit - Abfluss'!$A$4:$K$275,5,FALSE)="","",VLOOKUP(A125,'Débit - Abfluss'!$A$4:$M$275,5,FALSE))</f>
        <v>21-40%</v>
      </c>
      <c r="AN125" s="868" t="str">
        <f>IF(VLOOKUP(A125,'Débit - Abfluss'!$A$4:$K$275,6,FALSE)="","",VLOOKUP(A125,'Débit - Abfluss'!$A$4:$M$275,6,FALSE))</f>
        <v/>
      </c>
      <c r="AO125" s="869" t="str">
        <f>IF(VLOOKUP(A125,'Débit - Abfluss'!$A$4:$K$275,7,FALSE)="","",VLOOKUP(A125,'Débit - Abfluss'!$A$4:$M$275,7,FALSE))</f>
        <v/>
      </c>
      <c r="AP125" s="766" t="str">
        <f>IF(VLOOKUP(A125,'Débit - Abfluss'!$A$4:$K$275,8,FALSE)="","",VLOOKUP(A125,'Débit - Abfluss'!$A$4:$M$275,8,FALSE))</f>
        <v>21-40%</v>
      </c>
      <c r="AQ125" s="678" t="str">
        <f>IF(VLOOKUP(A125,'Débit - Abfluss'!$A$4:$K$275,9,FALSE)="","",VLOOKUP(A125,'Débit - Abfluss'!$A$4:$M$275,9,FALSE))</f>
        <v>10-50% / &lt;10%</v>
      </c>
      <c r="AR125" s="767" t="str">
        <f>IF(VLOOKUP(A125,'Débit - Abfluss'!$A$4:$K$275,10,FALSE)="","",VLOOKUP(A125,'Débit - Abfluss'!$A$4:$M$275,10,FALSE))</f>
        <v>21-40%</v>
      </c>
      <c r="AS125" s="767" t="str">
        <f>IF(VLOOKUP(A125,'Débit - Abfluss'!$A$4:$K$275,11,FALSE)="","",VLOOKUP(A125,'Débit - Abfluss'!$A$4:$M$275,11,FALSE))</f>
        <v/>
      </c>
      <c r="AT125" s="744" t="str">
        <f>IF(VLOOKUP(A125,'Débit - Abfluss'!$A$4:$Q$275,12,FALSE)="","",VLOOKUP(A125,'Débit - Abfluss'!$A$4:$Q$275,12,FALSE))</f>
        <v/>
      </c>
      <c r="AU125" s="745" t="str">
        <f>IF(VLOOKUP(A125,'Débit - Abfluss'!$A$4:$Q$275,13,FALSE)="","",VLOOKUP(A125,'Débit - Abfluss'!$A$4:$Q$275,13,FALSE))</f>
        <v/>
      </c>
      <c r="AV125" s="746" t="str">
        <f>IF(VLOOKUP(A125,'Débit - Abfluss'!$A$4:$Q$275,14,FALSE)="","",VLOOKUP(A125,'Débit - Abfluss'!$A$4:$Q$275,14,FALSE))</f>
        <v>TI-W 60</v>
      </c>
      <c r="AW125" s="768" t="str">
        <f>IF(VLOOKUP(A125,'Débit - Abfluss'!$A$4:$Q$275,15,FALSE)="","",VLOOKUP(A125,'Débit - Abfluss'!$A$4:$Q$275,15,FALSE))</f>
        <v>Biasca</v>
      </c>
      <c r="AX125" s="679" t="str">
        <f>IF(VLOOKUP(A125,'Débit - Abfluss'!$A$4:$Q$275,16,FALSE)="","",VLOOKUP(A125,'Débit - Abfluss'!$A$4:$Q$275,16,FALSE))</f>
        <v/>
      </c>
      <c r="AY125" s="769" t="str">
        <f>IF(VLOOKUP(A125,'Débit - Abfluss'!$A$4:$Q$275,17,FALSE)="","",VLOOKUP(A125,'Débit - Abfluss'!$A$4:$Q$275,17,FALSE))</f>
        <v>21-40%</v>
      </c>
      <c r="AZ125" s="749" t="str">
        <f>IF(VLOOKUP(A125,'Eclusée - Schwall-Sunk'!$A$2:$F$273,5,FALSE)="","",VLOOKUP(A125,'Eclusée - Schwall-Sunk'!$A$2:$F$273,5,FALSE))</f>
        <v>force hydraulique</v>
      </c>
      <c r="BA125" s="750" t="str">
        <f>IF(VLOOKUP(A125,'Eclusée - Schwall-Sunk'!$A$2:$F$273,6,FALSE)="","",VLOOKUP(A125,'Eclusée - Schwall-Sunk'!$A$2:$F$273,6,FALSE))</f>
        <v>Non affecté / nicht betroffen</v>
      </c>
      <c r="BB125" s="751">
        <f>IF(VLOOKUP(A125,'Revitalisation-Revitalisierung'!$A$4:$Z$275,5,FALSE)="","",VLOOKUP(A125,'Revitalisation-Revitalisierung'!$A$4:$Z$275,5,FALSE))</f>
        <v>67.190909090909088</v>
      </c>
      <c r="BC125" s="752">
        <f>IF(VLOOKUP(A125,'Revitalisation-Revitalisierung'!$A$4:$Z$275,6,FALSE)="","",VLOOKUP(A125,'Revitalisation-Revitalisierung'!$A$4:$Z$275,6,FALSE))</f>
        <v>73.089218156712832</v>
      </c>
      <c r="BD125" s="752">
        <f>IF(VLOOKUP(A125,'Revitalisation-Revitalisierung'!$A$4:$Z$275,7,FALSE)="","",VLOOKUP(A125,'Revitalisation-Revitalisierung'!$A$4:$Z$275,7,FALSE))</f>
        <v>5.9090909090909092</v>
      </c>
      <c r="BE125" s="753" t="str">
        <f>IF(VLOOKUP(A125,'Revitalisation-Revitalisierung'!$A$4:$Z$275,8,FALSE)="","",VLOOKUP(A125,'Revitalisation-Revitalisierung'!$A$4:$Z$275,8,FALSE))</f>
        <v>très nécessaire, facile</v>
      </c>
      <c r="BF125" s="754" t="str">
        <f>IF(VLOOKUP(A125,'Revitalisation-Revitalisierung'!$A$4:$Z$275,9,FALSE)="","",VLOOKUP(A125,'Revitalisation-Revitalisierung'!$A$4:$Z$275,9,FALSE))</f>
        <v/>
      </c>
      <c r="BG125" s="754" t="str">
        <f>IF(VLOOKUP(A125,'Revitalisation-Revitalisierung'!$A$4:$Z$275,10,FALSE)="","",VLOOKUP(A125,'Revitalisation-Revitalisierung'!$A$4:$Z$275,10,FALSE))</f>
        <v>K1</v>
      </c>
      <c r="BH125" s="755" t="str">
        <f>IF(VLOOKUP(A125,'Revitalisation-Revitalisierung'!$A$4:$Z$275,11,FALSE)="","",VLOOKUP(A125,'Revitalisation-Revitalisierung'!$A$4:$Z$275,11,FALSE))</f>
        <v/>
      </c>
      <c r="BI125" s="756" t="str">
        <f>IF(VLOOKUP(A125,'Revitalisation-Revitalisierung'!$A$4:$Z$275,12,FALSE)="","",VLOOKUP(A125,'Revitalisation-Revitalisierung'!$A$4:$Z$275,12,FALSE))</f>
        <v/>
      </c>
      <c r="BJ125" s="788" t="str">
        <f>IF(VLOOKUP(A125,'Revitalisation-Revitalisierung'!$A$4:$Z$275,13,FALSE)="","",VLOOKUP(A125,'Revitalisation-Revitalisierung'!$A$4:$Z$275,13,FALSE))</f>
        <v>Très nécessaire, facile / unbedingt nötig, einfach</v>
      </c>
      <c r="BK125" s="870" t="str">
        <f>IF(VLOOKUP(A125,'Revitalisation-Revitalisierung'!$A$4:$Z$275,14,FALSE)="","",VLOOKUP(A125,'Revitalisation-Revitalisierung'!$A$4:$Z$275,14,FALSE))</f>
        <v>a</v>
      </c>
      <c r="BL125" s="758" t="str">
        <f>IF(VLOOKUP(A125,'Revitalisation-Revitalisierung'!$A$4:$Z$275,15,FALSE)="","",VLOOKUP(A125,'Revitalisation-Revitalisierung'!$A$4:$Z$275,15,FALSE))</f>
        <v>important</v>
      </c>
      <c r="BM125" s="759" t="str">
        <f>IF(VLOOKUP(A125,'Revitalisation-Revitalisierung'!$A$4:$Z$275,16,FALSE)="","",VLOOKUP(A125,'Revitalisation-Revitalisierung'!$A$4:$Z$275,16,FALSE))</f>
        <v>important et faible</v>
      </c>
      <c r="BN125" s="759" t="str">
        <f>IF(VLOOKUP(A125,'Revitalisation-Revitalisierung'!$A$4:$Z$275,17,FALSE)="","",VLOOKUP(A125,'Revitalisation-Revitalisierung'!$A$4:$Z$275,17,FALSE))</f>
        <v>important et faible</v>
      </c>
      <c r="BO125" s="760" t="str">
        <f>IF(VLOOKUP(A125,'Revitalisation-Revitalisierung'!$A$4:$Z$275,18,FALSE)="","",VLOOKUP(A125,'Revitalisation-Revitalisierung'!$A$4:$Z$275,18,FALSE))</f>
        <v/>
      </c>
      <c r="BP125" s="761" t="str">
        <f>IF(VLOOKUP(A125,'Revitalisation-Revitalisierung'!$A$4:$Z$275,19,FALSE)="","",VLOOKUP(A125,'Revitalisation-Revitalisierung'!$A$4:$Z$275,19,FALSE))</f>
        <v>Très nécessaire, facile / unbedingt nötig, einfach</v>
      </c>
      <c r="BQ125" s="759" t="str">
        <f>IF(VLOOKUP(A125,'Revitalisation-Revitalisierung'!$A$4:$Z$275,20,FALSE)="","",VLOOKUP(A125,'Revitalisation-Revitalisierung'!$A$4:$Z$275,20,FALSE))</f>
        <v>a</v>
      </c>
      <c r="BR125" s="759" t="str">
        <f>IF(VLOOKUP(A125,'Revitalisation-Revitalisierung'!$A$4:$Z$275,21,FALSE)="","",VLOOKUP(A125,'Revitalisation-Revitalisierung'!$A$4:$Z$275,21,FALSE))</f>
        <v/>
      </c>
      <c r="BS125" s="762" t="str">
        <f>IF(VLOOKUP(A125,'Revitalisation-Revitalisierung'!$A$4:$Z$275,22,FALSE)="","",VLOOKUP(A125,'Revitalisation-Revitalisierung'!$A$4:$Z$275,22,FALSE))</f>
        <v/>
      </c>
      <c r="BT125" s="700" t="str">
        <f>IF(VLOOKUP(A125,'Revitalisation-Revitalisierung'!$A$4:$Z$275,23,FALSE)="","",VLOOKUP(A125,'Revitalisation-Revitalisierung'!$A$4:$Z$275,23,FALSE))</f>
        <v/>
      </c>
      <c r="BU125" s="699" t="str">
        <f>IF(VLOOKUP(A125,'Revitalisation-Revitalisierung'!$A$4:$Z$275,24,FALSE)="","",VLOOKUP(A125,'Revitalisation-Revitalisierung'!$A$4:$Z$275,24,FALSE))</f>
        <v/>
      </c>
      <c r="BV125" s="761" t="str">
        <f>IF(VLOOKUP(A125,'Revitalisation-Revitalisierung'!$A$4:$Z$275,25,FALSE)="","",VLOOKUP(A125,'Revitalisation-Revitalisierung'!$A$4:$Z$275,25,FALSE))</f>
        <v>Très nécessaire, facile / unbedingt nötig, einfach</v>
      </c>
      <c r="BW125" s="871" t="str">
        <f>IF(VLOOKUP(A125,'Revitalisation-Revitalisierung'!$A$4:$AA$275,27,FALSE)="","",VLOOKUP(A125,'Revitalisation-Revitalisierung'!$A$4:$AA$275,27,FALSE))</f>
        <v>a</v>
      </c>
    </row>
    <row r="126" spans="1:75" ht="56.45" customHeight="1" x14ac:dyDescent="0.25">
      <c r="A126" s="936">
        <v>150.19999999999999</v>
      </c>
      <c r="B126" s="856">
        <f>IF(VLOOKUP(A126,'Données de base - Grunddaten'!$A$2:$M$297,2,FALSE)="","",VLOOKUP(A126,'Données de base - Grunddaten'!$A$2:$M$297,2,FALSE))</f>
        <v>2</v>
      </c>
      <c r="C126" s="857" t="str">
        <f>IF(VLOOKUP(A126,'Données de base - Grunddaten'!$A$2:$M$297,3,FALSE)="","",VLOOKUP(A126,'Données de base - Grunddaten'!$A$2:$M$297,3,FALSE))</f>
        <v>Bolla di Loderio</v>
      </c>
      <c r="D126" s="857" t="str">
        <f>IF(VLOOKUP(A126,'Données de base - Grunddaten'!$A$2:$M$297,4,FALSE)="","",VLOOKUP(A126,'Données de base - Grunddaten'!$A$2:$M$297,4,FALSE))</f>
        <v>Brenno</v>
      </c>
      <c r="E126" s="857" t="str">
        <f>IF(VLOOKUP(A126,'Données de base - Grunddaten'!$A$2:$M$297,5,FALSE)="","",VLOOKUP(A126,'Données de base - Grunddaten'!$A$2:$M$297,5,FALSE))</f>
        <v>TI</v>
      </c>
      <c r="F126" s="857" t="str">
        <f>IF(VLOOKUP(A126,'Données de base - Grunddaten'!$A$2:$M$297,6,FALSE)="","",VLOOKUP(A126,'Données de base - Grunddaten'!$A$2:$M$297,6,FALSE))</f>
        <v>Alpes méridionales</v>
      </c>
      <c r="G126" s="857" t="str">
        <f>IF(VLOOKUP(A126,'Données de base - Grunddaten'!$A$2:$M$297,7,FALSE)="","",VLOOKUP(A126,'Données de base - Grunddaten'!$A$2:$M$297,7,FALSE))</f>
        <v>Collinéen</v>
      </c>
      <c r="H126" s="857">
        <f>IF(VLOOKUP(A126,'Données de base - Grunddaten'!$A$2:$M$297,8,FALSE)="","",VLOOKUP(A126,'Données de base - Grunddaten'!$A$2:$M$297,8,FALSE))</f>
        <v>355</v>
      </c>
      <c r="I126" s="857">
        <f>IF(VLOOKUP(A126,'Données de base - Grunddaten'!$A$2:$M$297,9,FALSE)="","",VLOOKUP(A126,'Données de base - Grunddaten'!$A$2:$M$297,9,FALSE))</f>
        <v>1992</v>
      </c>
      <c r="J126" s="857">
        <f>IF(VLOOKUP(A126,'Données de base - Grunddaten'!$A$2:$M$297,10,FALSE)="","",VLOOKUP(A126,'Données de base - Grunddaten'!$A$2:$M$297,10,FALSE))</f>
        <v>62</v>
      </c>
      <c r="K126" s="857" t="str">
        <f>IF(VLOOKUP(A126,'Données de base - Grunddaten'!$A$2:$M$297,11,FALSE)="","",VLOOKUP(A126,'Données de base - Grunddaten'!$A$2:$M$297,11,FALSE))</f>
        <v>Cours d'eau naturels de l'étage collinéen du Sud des Alpes</v>
      </c>
      <c r="L126" s="857" t="str">
        <f>IF(VLOOKUP(A126,'Données de base - Grunddaten'!$A$2:$M$297,12,FALSE)="","",VLOOKUP(A126,'Données de base - Grunddaten'!$A$2:$M$297,12,FALSE))</f>
        <v>en tresses</v>
      </c>
      <c r="M126" s="858" t="str">
        <f>IF(VLOOKUP(A126,'Données de base - Grunddaten'!$A$2:$M$297,13,FALSE)="","",VLOOKUP(A126,'Données de base - Grunddaten'!$A$2:$M$297,13,FALSE))</f>
        <v>en tresses</v>
      </c>
      <c r="N126" s="872" t="str">
        <f>IF(VLOOKUP(A126,'Charriage - Geschiebehaushalt'!$A$4:$R$275,5,FALSE)="","",VLOOKUP(A126,'Charriage - Geschiebehaushalt'!$A$4:$R$275,5,FALSE))</f>
        <v>pertinent</v>
      </c>
      <c r="O126" s="873" t="str">
        <f>IF(VLOOKUP(A126,'Charriage - Geschiebehaushalt'!$A$4:$R$275,6,FALSE)="","",VLOOKUP(A126,'Charriage - Geschiebehaushalt'!$A$4:$R$275,6,FALSE))</f>
        <v>21-50%</v>
      </c>
      <c r="P126" s="874" t="str">
        <f>IF(VLOOKUP(A126,'Charriage - Geschiebehaushalt'!$A$4:$R$275,7,FALSE)="","",VLOOKUP(A126,'Charriage - Geschiebehaushalt'!$A$4:$R$275,7,FALSE))</f>
        <v/>
      </c>
      <c r="Q126" s="874" t="str">
        <f>IF(VLOOKUP(A126,'Charriage - Geschiebehaushalt'!$A$4:$R$275,8,FALSE)="","",VLOOKUP(A126,'Charriage - Geschiebehaushalt'!$A$4:$R$275,8,FALSE))</f>
        <v>non documenté</v>
      </c>
      <c r="R126" s="875">
        <f>IF(VLOOKUP(A126,'Charriage - Geschiebehaushalt'!$A$4:$R$275,9,FALSE)="","",VLOOKUP(A126,'Charriage - Geschiebehaushalt'!$A$4:$R$275,9,FALSE))</f>
        <v>0.66985895248337701</v>
      </c>
      <c r="S126" s="876" t="str">
        <f>IF(VLOOKUP(A126,'Charriage - Geschiebehaushalt'!$A$4:$R$275,10,FALSE)="","",VLOOKUP(A126,'Charriage - Geschiebehaushalt'!$A$4:$R$275,10,FALSE))</f>
        <v>la remobilisation des sédiments est perturbée</v>
      </c>
      <c r="T126" s="875">
        <f>IF(VLOOKUP(A126,'Charriage - Geschiebehaushalt'!$A$4:$R$275,11,FALSE)="","",VLOOKUP(A126,'Charriage - Geschiebehaushalt'!$A$4:$R$275,11,FALSE))</f>
        <v>0.20414845716999999</v>
      </c>
      <c r="U126" s="876" t="str">
        <f>IF(VLOOKUP(A126,'Charriage - Geschiebehaushalt'!$A$4:$R$275,12,FALSE)="","",VLOOKUP(A126,'Charriage - Geschiebehaushalt'!$A$4:$R$275,12,FALSE))</f>
        <v>déficit dans les formations pionnières</v>
      </c>
      <c r="V126" s="877" t="str">
        <f>IF(VLOOKUP(A126,'Charriage - Geschiebehaushalt'!$A$4:$R$275,13,FALSE)="","",VLOOKUP(A126,'Charriage - Geschiebehaushalt'!$A$4:$R$275,13,FALSE))</f>
        <v/>
      </c>
      <c r="W126" s="877" t="str">
        <f>IF(VLOOKUP(A126,'Charriage - Geschiebehaushalt'!$A$4:$R$275,14,FALSE)="","",VLOOKUP(A126,'Charriage - Geschiebehaushalt'!$A$4:$R$275,14,FALSE))</f>
        <v/>
      </c>
      <c r="X126" s="877" t="str">
        <f>IF(VLOOKUP(A126,'Charriage - Geschiebehaushalt'!$A$4:$R$275,15,FALSE)="","",VLOOKUP(A126,'Charriage - Geschiebehaushalt'!$A$4:$R$275,15,FALSE))</f>
        <v/>
      </c>
      <c r="Y126" s="879" t="str">
        <f>IF(VLOOKUP(A126,'Charriage - Geschiebehaushalt'!$A$4:$R$275,16,FALSE)="","",VLOOKUP(A126,'Charriage - Geschiebehaushalt'!$A$4:$R$275,16,FALSE))</f>
        <v/>
      </c>
      <c r="Z126" s="763" t="str">
        <f>IF(VLOOKUP(A126,'Charriage - Geschiebehaushalt'!$A$4:$R$275,17,FALSE)="","",VLOOKUP(A126,'Charriage - Geschiebehaushalt'!$A$4:$R$275,17,FALSE))</f>
        <v>21-50%</v>
      </c>
      <c r="AA126" s="880" t="str">
        <f>IF(VLOOKUP(A126,'Charriage - Geschiebehaushalt'!$A$4:$R$275,18,FALSE)="","",VLOOKUP(A126,'Charriage - Geschiebehaushalt'!$A$4:$R$275,18,FALSE))</f>
        <v>a</v>
      </c>
      <c r="AB126" s="737">
        <f>IF(VLOOKUP(A126,'Charriage - Geschiebehaushalt'!$A$4:$AC$275,19,FALSE)="","",VLOOKUP(A126,'Charriage - Geschiebehaushalt'!$A$4:$AC$275,19,FALSE))</f>
        <v>0</v>
      </c>
      <c r="AC126" s="738">
        <f>IF(VLOOKUP(A126,'Charriage - Geschiebehaushalt'!$A$4:$AC$275,20,FALSE)="","",VLOOKUP(A126,'Charriage - Geschiebehaushalt'!$A$4:$AC$275,20,FALSE))</f>
        <v>0</v>
      </c>
      <c r="AD126" s="789" t="str">
        <f>IF(VLOOKUP(A126,'Charriage - Geschiebehaushalt'!$A$4:$AC$275,21,FALSE)="","",VLOOKUP(A126,'Charriage - Geschiebehaushalt'!$A$4:$AC$275,21,FALSE))</f>
        <v>21-50%</v>
      </c>
      <c r="AE126" s="772" t="str">
        <f>IF(VLOOKUP(A126,'Charriage - Geschiebehaushalt'!$A$4:$AC$275,22,FALSE)="","",VLOOKUP(A126,'Charriage - Geschiebehaushalt'!$A$4:$AC$275,22,FALSE))</f>
        <v>21-50%</v>
      </c>
      <c r="AF126" s="787" t="str">
        <f>IF(VLOOKUP(A126,'Charriage - Geschiebehaushalt'!$A$4:$AC$275,23,FALSE)="","",VLOOKUP(A126,'Charriage - Geschiebehaushalt'!$A$4:$AC$275,23,FALSE))</f>
        <v>d</v>
      </c>
      <c r="AG126" s="765" t="str">
        <f>IF(VLOOKUP(A126,'Charriage - Geschiebehaushalt'!$A$4:$AC$275,24,FALSE)="","",VLOOKUP(A126,'Charriage - Geschiebehaushalt'!$A$4:$AC$275,24,FALSE))</f>
        <v/>
      </c>
      <c r="AH126" s="764" t="str">
        <f>IF(VLOOKUP(A126,'Charriage - Geschiebehaushalt'!$A$4:$AC$275,25,FALSE)="","",VLOOKUP(A126,'Charriage - Geschiebehaushalt'!$A$4:$AC$275,25,FALSE))</f>
        <v/>
      </c>
      <c r="AI126" s="433" t="str">
        <f>IF(VLOOKUP(A126,'Charriage - Geschiebehaushalt'!$A$4:$AC$275,26,FALSE)="","",VLOOKUP(A126,'Charriage - Geschiebehaushalt'!$A$4:$AC$275,26,FALSE))</f>
        <v/>
      </c>
      <c r="AJ126" s="434" t="str">
        <f>IF(VLOOKUP(A126,'Charriage - Geschiebehaushalt'!$A$4:$AC$275,27,FALSE)="","",VLOOKUP(A126,'Charriage - Geschiebehaushalt'!$A$4:$AC$275,27,FALSE))</f>
        <v/>
      </c>
      <c r="AK126" s="814" t="str">
        <f>IF(VLOOKUP(A126,'Charriage - Geschiebehaushalt'!$A$4:$AC$275,28,FALSE)="","",VLOOKUP(A126,'Charriage - Geschiebehaushalt'!$A$4:$AC$275,28,FALSE))</f>
        <v>21-50%</v>
      </c>
      <c r="AL126" s="1285" t="str">
        <f>IF(VLOOKUP(A126,'Charriage - Geschiebehaushalt'!$A$4:$AD$275,30,FALSE)="","",VLOOKUP(A126,'Charriage - Geschiebehaushalt'!$A$4:$AD$275,30,FALSE))</f>
        <v>a</v>
      </c>
      <c r="AM126" s="1279" t="str">
        <f>IF(VLOOKUP(A126,'Débit - Abfluss'!$A$4:$K$275,5,FALSE)="","",VLOOKUP(A126,'Débit - Abfluss'!$A$4:$M$275,5,FALSE))</f>
        <v>21-40%</v>
      </c>
      <c r="AN126" s="868" t="str">
        <f>IF(VLOOKUP(A126,'Débit - Abfluss'!$A$4:$K$275,6,FALSE)="","",VLOOKUP(A126,'Débit - Abfluss'!$A$4:$M$275,6,FALSE))</f>
        <v/>
      </c>
      <c r="AO126" s="869" t="str">
        <f>IF(VLOOKUP(A126,'Débit - Abfluss'!$A$4:$K$275,7,FALSE)="","",VLOOKUP(A126,'Débit - Abfluss'!$A$4:$M$275,7,FALSE))</f>
        <v/>
      </c>
      <c r="AP126" s="766" t="str">
        <f>IF(VLOOKUP(A126,'Débit - Abfluss'!$A$4:$K$275,8,FALSE)="","",VLOOKUP(A126,'Débit - Abfluss'!$A$4:$M$275,8,FALSE))</f>
        <v>21-40%</v>
      </c>
      <c r="AQ126" s="678" t="str">
        <f>IF(VLOOKUP(A126,'Débit - Abfluss'!$A$4:$K$275,9,FALSE)="","",VLOOKUP(A126,'Débit - Abfluss'!$A$4:$M$275,9,FALSE))</f>
        <v>10-50% / &lt;10%</v>
      </c>
      <c r="AR126" s="773" t="str">
        <f>IF(VLOOKUP(A126,'Débit - Abfluss'!$A$4:$K$275,10,FALSE)="","",VLOOKUP(A126,'Débit - Abfluss'!$A$4:$M$275,10,FALSE))</f>
        <v>21-40%</v>
      </c>
      <c r="AS126" s="767" t="str">
        <f>IF(VLOOKUP(A126,'Débit - Abfluss'!$A$4:$K$275,11,FALSE)="","",VLOOKUP(A126,'Débit - Abfluss'!$A$4:$M$275,11,FALSE))</f>
        <v/>
      </c>
      <c r="AT126" s="744" t="str">
        <f>IF(VLOOKUP(A126,'Débit - Abfluss'!$A$4:$Q$275,12,FALSE)="","",VLOOKUP(A126,'Débit - Abfluss'!$A$4:$Q$275,12,FALSE))</f>
        <v/>
      </c>
      <c r="AU126" s="745" t="str">
        <f>IF(VLOOKUP(A126,'Débit - Abfluss'!$A$4:$Q$275,13,FALSE)="","",VLOOKUP(A126,'Débit - Abfluss'!$A$4:$Q$275,13,FALSE))</f>
        <v/>
      </c>
      <c r="AV126" s="746" t="str">
        <f>IF(VLOOKUP(A126,'Débit - Abfluss'!$A$4:$Q$275,14,FALSE)="","",VLOOKUP(A126,'Débit - Abfluss'!$A$4:$Q$275,14,FALSE))</f>
        <v>TI-W 65.2</v>
      </c>
      <c r="AW126" s="768" t="str">
        <f>IF(VLOOKUP(A126,'Débit - Abfluss'!$A$4:$Q$275,15,FALSE)="","",VLOOKUP(A126,'Débit - Abfluss'!$A$4:$Q$275,15,FALSE))</f>
        <v>Biasca</v>
      </c>
      <c r="AX126" s="679" t="str">
        <f>IF(VLOOKUP(A126,'Débit - Abfluss'!$A$4:$Q$275,16,FALSE)="","",VLOOKUP(A126,'Débit - Abfluss'!$A$4:$Q$275,16,FALSE))</f>
        <v/>
      </c>
      <c r="AY126" s="775" t="str">
        <f>IF(VLOOKUP(A126,'Débit - Abfluss'!$A$4:$Q$275,17,FALSE)="","",VLOOKUP(A126,'Débit - Abfluss'!$A$4:$Q$275,17,FALSE))</f>
        <v>21-40%</v>
      </c>
      <c r="AZ126" s="749" t="str">
        <f>IF(VLOOKUP(A126,'Eclusée - Schwall-Sunk'!$A$2:$F$273,5,FALSE)="","",VLOOKUP(A126,'Eclusée - Schwall-Sunk'!$A$2:$F$273,5,FALSE))</f>
        <v>force hydraulique</v>
      </c>
      <c r="BA126" s="750" t="str">
        <f>IF(VLOOKUP(A126,'Eclusée - Schwall-Sunk'!$A$2:$F$273,6,FALSE)="","",VLOOKUP(A126,'Eclusée - Schwall-Sunk'!$A$2:$F$273,6,FALSE))</f>
        <v>Non affecté / nicht betroffen</v>
      </c>
      <c r="BB126" s="751" t="str">
        <f>IF(VLOOKUP(A126,'Revitalisation-Revitalisierung'!$A$4:$Z$275,5,FALSE)="","",VLOOKUP(A126,'Revitalisation-Revitalisierung'!$A$4:$Z$275,5,FALSE))</f>
        <v/>
      </c>
      <c r="BC126" s="752" t="str">
        <f>IF(VLOOKUP(A126,'Revitalisation-Revitalisierung'!$A$4:$Z$275,6,FALSE)="","",VLOOKUP(A126,'Revitalisation-Revitalisierung'!$A$4:$Z$275,6,FALSE))</f>
        <v/>
      </c>
      <c r="BD126" s="752" t="str">
        <f>IF(VLOOKUP(A126,'Revitalisation-Revitalisierung'!$A$4:$Z$275,7,FALSE)="","",VLOOKUP(A126,'Revitalisation-Revitalisierung'!$A$4:$Z$275,7,FALSE))</f>
        <v/>
      </c>
      <c r="BE126" s="920" t="str">
        <f>IF(VLOOKUP(A126,'Revitalisation-Revitalisierung'!$A$4:$Z$275,8,FALSE)="","",VLOOKUP(A126,'Revitalisation-Revitalisierung'!$A$4:$Z$275,8,FALSE))</f>
        <v/>
      </c>
      <c r="BF126" s="754" t="str">
        <f>IF(VLOOKUP(A126,'Revitalisation-Revitalisierung'!$A$4:$Z$275,9,FALSE)="","",VLOOKUP(A126,'Revitalisation-Revitalisierung'!$A$4:$Z$275,9,FALSE))</f>
        <v/>
      </c>
      <c r="BG126" s="754" t="str">
        <f>IF(VLOOKUP(A126,'Revitalisation-Revitalisierung'!$A$4:$Z$275,10,FALSE)="","",VLOOKUP(A126,'Revitalisation-Revitalisierung'!$A$4:$Z$275,10,FALSE))</f>
        <v/>
      </c>
      <c r="BH126" s="755" t="str">
        <f>IF(VLOOKUP(A126,'Revitalisation-Revitalisierung'!$A$4:$Z$275,11,FALSE)="","",VLOOKUP(A126,'Revitalisation-Revitalisierung'!$A$4:$Z$275,11,FALSE))</f>
        <v>peu  nécessaire, facile</v>
      </c>
      <c r="BI126" s="756" t="str">
        <f>IF(VLOOKUP(A126,'Revitalisation-Revitalisierung'!$A$4:$Z$275,12,FALSE)="","",VLOOKUP(A126,'Revitalisation-Revitalisierung'!$A$4:$Z$275,12,FALSE))</f>
        <v>assainir le charriage et revitaliser l'affluent</v>
      </c>
      <c r="BJ126" s="788" t="str">
        <f>IF(VLOOKUP(A126,'Revitalisation-Revitalisierung'!$A$4:$Z$275,13,FALSE)="","",VLOOKUP(A126,'Revitalisation-Revitalisierung'!$A$4:$Z$275,13,FALSE))</f>
        <v>Partiellement nécessaire, facile / teilweise nötig, einfach</v>
      </c>
      <c r="BK126" s="870" t="str">
        <f>IF(VLOOKUP(A126,'Revitalisation-Revitalisierung'!$A$4:$Z$275,14,FALSE)="","",VLOOKUP(A126,'Revitalisation-Revitalisierung'!$A$4:$Z$275,14,FALSE))</f>
        <v>a</v>
      </c>
      <c r="BL126" s="758">
        <f>IF(VLOOKUP(A126,'Revitalisation-Revitalisierung'!$A$4:$Z$275,15,FALSE)="","",VLOOKUP(A126,'Revitalisation-Revitalisierung'!$A$4:$Z$275,15,FALSE))</f>
        <v>0</v>
      </c>
      <c r="BM126" s="759">
        <f>IF(VLOOKUP(A126,'Revitalisation-Revitalisierung'!$A$4:$Z$275,16,FALSE)="","",VLOOKUP(A126,'Revitalisation-Revitalisierung'!$A$4:$Z$275,16,FALSE))</f>
        <v>0</v>
      </c>
      <c r="BN126" s="759">
        <f>IF(VLOOKUP(A126,'Revitalisation-Revitalisierung'!$A$4:$Z$275,17,FALSE)="","",VLOOKUP(A126,'Revitalisation-Revitalisierung'!$A$4:$Z$275,17,FALSE))</f>
        <v>0</v>
      </c>
      <c r="BO126" s="760" t="str">
        <f>IF(VLOOKUP(A126,'Revitalisation-Revitalisierung'!$A$4:$Z$275,18,FALSE)="","",VLOOKUP(A126,'Revitalisation-Revitalisierung'!$A$4:$Z$275,18,FALSE))</f>
        <v>Partiellement nécessaire, facile / teilweise nötig, einfach</v>
      </c>
      <c r="BP126" s="761" t="str">
        <f>IF(VLOOKUP(A126,'Revitalisation-Revitalisierung'!$A$4:$Z$275,19,FALSE)="","",VLOOKUP(A126,'Revitalisation-Revitalisierung'!$A$4:$Z$275,19,FALSE))</f>
        <v>Partiellement nécessaire, facile / teilweise nötig, einfach</v>
      </c>
      <c r="BQ126" s="759" t="str">
        <f>IF(VLOOKUP(A126,'Revitalisation-Revitalisierung'!$A$4:$Z$275,20,FALSE)="","",VLOOKUP(A126,'Revitalisation-Revitalisierung'!$A$4:$Z$275,20,FALSE))</f>
        <v>d</v>
      </c>
      <c r="BR126" s="759" t="str">
        <f>IF(VLOOKUP(A126,'Revitalisation-Revitalisierung'!$A$4:$Z$275,21,FALSE)="","",VLOOKUP(A126,'Revitalisation-Revitalisierung'!$A$4:$Z$275,21,FALSE))</f>
        <v/>
      </c>
      <c r="BS126" s="762" t="str">
        <f>IF(VLOOKUP(A126,'Revitalisation-Revitalisierung'!$A$4:$Z$275,22,FALSE)="","",VLOOKUP(A126,'Revitalisation-Revitalisierung'!$A$4:$Z$275,22,FALSE))</f>
        <v/>
      </c>
      <c r="BT126" s="700" t="str">
        <f>IF(VLOOKUP(A126,'Revitalisation-Revitalisierung'!$A$4:$Z$275,23,FALSE)="","",VLOOKUP(A126,'Revitalisation-Revitalisierung'!$A$4:$Z$275,23,FALSE))</f>
        <v/>
      </c>
      <c r="BU126" s="699" t="str">
        <f>IF(VLOOKUP(A126,'Revitalisation-Revitalisierung'!$A$4:$Z$275,24,FALSE)="","",VLOOKUP(A126,'Revitalisation-Revitalisierung'!$A$4:$Z$275,24,FALSE))</f>
        <v/>
      </c>
      <c r="BV126" s="761" t="str">
        <f>IF(VLOOKUP(A126,'Revitalisation-Revitalisierung'!$A$4:$Z$275,25,FALSE)="","",VLOOKUP(A126,'Revitalisation-Revitalisierung'!$A$4:$Z$275,25,FALSE))</f>
        <v>Partiellement nécessaire, facile / teilweise nötig, einfach</v>
      </c>
      <c r="BW126" s="871" t="str">
        <f>IF(VLOOKUP(A126,'Revitalisation-Revitalisierung'!$A$4:$AA$275,27,FALSE)="","",VLOOKUP(A126,'Revitalisation-Revitalisierung'!$A$4:$AA$275,27,FALSE))</f>
        <v>a</v>
      </c>
    </row>
    <row r="127" spans="1:75" ht="66.599999999999994" customHeight="1" x14ac:dyDescent="0.25">
      <c r="A127" s="937">
        <v>151</v>
      </c>
      <c r="B127" s="856">
        <f>IF(VLOOKUP(A127,'Données de base - Grunddaten'!$A$2:$M$297,2,FALSE)="","",VLOOKUP(A127,'Données de base - Grunddaten'!$A$2:$M$297,2,FALSE))</f>
        <v>1</v>
      </c>
      <c r="C127" s="857" t="str">
        <f>IF(VLOOKUP(A127,'Données de base - Grunddaten'!$A$2:$M$297,3,FALSE)="","",VLOOKUP(A127,'Données de base - Grunddaten'!$A$2:$M$297,3,FALSE))</f>
        <v>Brenno di Blenio</v>
      </c>
      <c r="D127" s="857" t="str">
        <f>IF(VLOOKUP(A127,'Données de base - Grunddaten'!$A$2:$M$297,4,FALSE)="","",VLOOKUP(A127,'Données de base - Grunddaten'!$A$2:$M$297,4,FALSE))</f>
        <v>Brenno</v>
      </c>
      <c r="E127" s="857" t="str">
        <f>IF(VLOOKUP(A127,'Données de base - Grunddaten'!$A$2:$M$297,5,FALSE)="","",VLOOKUP(A127,'Données de base - Grunddaten'!$A$2:$M$297,5,FALSE))</f>
        <v>TI</v>
      </c>
      <c r="F127" s="857" t="str">
        <f>IF(VLOOKUP(A127,'Données de base - Grunddaten'!$A$2:$M$297,6,FALSE)="","",VLOOKUP(A127,'Données de base - Grunddaten'!$A$2:$M$297,6,FALSE))</f>
        <v>Alpes méridionales</v>
      </c>
      <c r="G127" s="857" t="str">
        <f>IF(VLOOKUP(A127,'Données de base - Grunddaten'!$A$2:$M$297,7,FALSE)="","",VLOOKUP(A127,'Données de base - Grunddaten'!$A$2:$M$297,7,FALSE))</f>
        <v>Collinéen</v>
      </c>
      <c r="H127" s="857">
        <f>IF(VLOOKUP(A127,'Données de base - Grunddaten'!$A$2:$M$297,8,FALSE)="","",VLOOKUP(A127,'Données de base - Grunddaten'!$A$2:$M$297,8,FALSE))</f>
        <v>590</v>
      </c>
      <c r="I127" s="857">
        <f>IF(VLOOKUP(A127,'Données de base - Grunddaten'!$A$2:$M$297,9,FALSE)="","",VLOOKUP(A127,'Données de base - Grunddaten'!$A$2:$M$297,9,FALSE))</f>
        <v>1992</v>
      </c>
      <c r="J127" s="857">
        <f>IF(VLOOKUP(A127,'Données de base - Grunddaten'!$A$2:$M$297,10,FALSE)="","",VLOOKUP(A127,'Données de base - Grunddaten'!$A$2:$M$297,10,FALSE))</f>
        <v>41</v>
      </c>
      <c r="K127" s="857" t="str">
        <f>IF(VLOOKUP(A127,'Données de base - Grunddaten'!$A$2:$M$297,11,FALSE)="","",VLOOKUP(A127,'Données de base - Grunddaten'!$A$2:$M$297,11,FALSE))</f>
        <v>Cours d'eau naturels de l'étage montagnard</v>
      </c>
      <c r="L127" s="857" t="str">
        <f>IF(VLOOKUP(A127,'Données de base - Grunddaten'!$A$2:$M$297,12,FALSE)="","",VLOOKUP(A127,'Données de base - Grunddaten'!$A$2:$M$297,12,FALSE))</f>
        <v>en tresses</v>
      </c>
      <c r="M127" s="858" t="str">
        <f>IF(VLOOKUP(A127,'Données de base - Grunddaten'!$A$2:$M$297,13,FALSE)="","",VLOOKUP(A127,'Données de base - Grunddaten'!$A$2:$M$297,13,FALSE))</f>
        <v>en tresses</v>
      </c>
      <c r="N127" s="872" t="str">
        <f>IF(VLOOKUP(A127,'Charriage - Geschiebehaushalt'!$A$4:$R$275,5,FALSE)="","",VLOOKUP(A127,'Charriage - Geschiebehaushalt'!$A$4:$R$275,5,FALSE))</f>
        <v>pertinent</v>
      </c>
      <c r="O127" s="873" t="str">
        <f>IF(VLOOKUP(A127,'Charriage - Geschiebehaushalt'!$A$4:$R$275,6,FALSE)="","",VLOOKUP(A127,'Charriage - Geschiebehaushalt'!$A$4:$R$275,6,FALSE))</f>
        <v>21-50%</v>
      </c>
      <c r="P127" s="874" t="str">
        <f>IF(VLOOKUP(A127,'Charriage - Geschiebehaushalt'!$A$4:$R$275,7,FALSE)="","",VLOOKUP(A127,'Charriage - Geschiebehaushalt'!$A$4:$R$275,7,FALSE))</f>
        <v/>
      </c>
      <c r="Q127" s="874" t="str">
        <f>IF(VLOOKUP(A127,'Charriage - Geschiebehaushalt'!$A$4:$R$275,8,FALSE)="","",VLOOKUP(A127,'Charriage - Geschiebehaushalt'!$A$4:$R$275,8,FALSE))</f>
        <v>non documenté</v>
      </c>
      <c r="R127" s="875">
        <f>IF(VLOOKUP(A127,'Charriage - Geschiebehaushalt'!$A$4:$R$275,9,FALSE)="","",VLOOKUP(A127,'Charriage - Geschiebehaushalt'!$A$4:$R$275,9,FALSE))</f>
        <v>0.61431315334771175</v>
      </c>
      <c r="S127" s="876" t="str">
        <f>IF(VLOOKUP(A127,'Charriage - Geschiebehaushalt'!$A$4:$R$275,10,FALSE)="","",VLOOKUP(A127,'Charriage - Geschiebehaushalt'!$A$4:$R$275,10,FALSE))</f>
        <v>la remobilisation des sédiments est perturbée</v>
      </c>
      <c r="T127" s="875">
        <f>IF(VLOOKUP(A127,'Charriage - Geschiebehaushalt'!$A$4:$R$275,11,FALSE)="","",VLOOKUP(A127,'Charriage - Geschiebehaushalt'!$A$4:$R$275,11,FALSE))</f>
        <v>0.12302526133</v>
      </c>
      <c r="U127" s="876" t="str">
        <f>IF(VLOOKUP(A127,'Charriage - Geschiebehaushalt'!$A$4:$R$275,12,FALSE)="","",VLOOKUP(A127,'Charriage - Geschiebehaushalt'!$A$4:$R$275,12,FALSE))</f>
        <v>déficit dans les formations pionnières</v>
      </c>
      <c r="V127" s="877" t="str">
        <f>IF(VLOOKUP(A127,'Charriage - Geschiebehaushalt'!$A$4:$R$275,13,FALSE)="","",VLOOKUP(A127,'Charriage - Geschiebehaushalt'!$A$4:$R$275,13,FALSE))</f>
        <v/>
      </c>
      <c r="W127" s="877" t="str">
        <f>IF(VLOOKUP(A127,'Charriage - Geschiebehaushalt'!$A$4:$R$275,14,FALSE)="","",VLOOKUP(A127,'Charriage - Geschiebehaushalt'!$A$4:$R$275,14,FALSE))</f>
        <v/>
      </c>
      <c r="X127" s="877" t="str">
        <f>IF(VLOOKUP(A127,'Charriage - Geschiebehaushalt'!$A$4:$R$275,15,FALSE)="","",VLOOKUP(A127,'Charriage - Geschiebehaushalt'!$A$4:$R$275,15,FALSE))</f>
        <v/>
      </c>
      <c r="Y127" s="879" t="str">
        <f>IF(VLOOKUP(A127,'Charriage - Geschiebehaushalt'!$A$4:$R$275,16,FALSE)="","",VLOOKUP(A127,'Charriage - Geschiebehaushalt'!$A$4:$R$275,16,FALSE))</f>
        <v/>
      </c>
      <c r="Z127" s="763" t="str">
        <f>IF(VLOOKUP(A127,'Charriage - Geschiebehaushalt'!$A$4:$R$275,17,FALSE)="","",VLOOKUP(A127,'Charriage - Geschiebehaushalt'!$A$4:$R$275,17,FALSE))</f>
        <v>21-50%</v>
      </c>
      <c r="AA127" s="880" t="str">
        <f>IF(VLOOKUP(A127,'Charriage - Geschiebehaushalt'!$A$4:$R$275,18,FALSE)="","",VLOOKUP(A127,'Charriage - Geschiebehaushalt'!$A$4:$R$275,18,FALSE))</f>
        <v>a</v>
      </c>
      <c r="AB127" s="737" t="str">
        <f>IF(VLOOKUP(A127,'Charriage - Geschiebehaushalt'!$A$4:$AC$275,19,FALSE)="","",VLOOKUP(A127,'Charriage - Geschiebehaushalt'!$A$4:$AC$275,19,FALSE))</f>
        <v>faible</v>
      </c>
      <c r="AC127" s="738" t="str">
        <f>IF(VLOOKUP(A127,'Charriage - Geschiebehaushalt'!$A$4:$AC$275,20,FALSE)="","",VLOOKUP(A127,'Charriage - Geschiebehaushalt'!$A$4:$AC$275,20,FALSE))</f>
        <v>nul</v>
      </c>
      <c r="AD127" s="789" t="str">
        <f>IF(VLOOKUP(A127,'Charriage - Geschiebehaushalt'!$A$4:$AC$275,21,FALSE)="","",VLOOKUP(A127,'Charriage - Geschiebehaushalt'!$A$4:$AC$275,21,FALSE))</f>
        <v>21-50%</v>
      </c>
      <c r="AE127" s="772" t="str">
        <f>IF(VLOOKUP(A127,'Charriage - Geschiebehaushalt'!$A$4:$AC$275,22,FALSE)="","",VLOOKUP(A127,'Charriage - Geschiebehaushalt'!$A$4:$AC$275,22,FALSE))</f>
        <v>21-50%</v>
      </c>
      <c r="AF127" s="787" t="str">
        <f>IF(VLOOKUP(A127,'Charriage - Geschiebehaushalt'!$A$4:$AC$275,23,FALSE)="","",VLOOKUP(A127,'Charriage - Geschiebehaushalt'!$A$4:$AC$275,23,FALSE))</f>
        <v>d</v>
      </c>
      <c r="AG127" s="765" t="str">
        <f>IF(VLOOKUP(A127,'Charriage - Geschiebehaushalt'!$A$4:$AC$275,24,FALSE)="","",VLOOKUP(A127,'Charriage - Geschiebehaushalt'!$A$4:$AC$275,24,FALSE))</f>
        <v/>
      </c>
      <c r="AH127" s="764" t="str">
        <f>IF(VLOOKUP(A127,'Charriage - Geschiebehaushalt'!$A$4:$AC$275,25,FALSE)="","",VLOOKUP(A127,'Charriage - Geschiebehaushalt'!$A$4:$AC$275,25,FALSE))</f>
        <v/>
      </c>
      <c r="AI127" s="433" t="str">
        <f>IF(VLOOKUP(A127,'Charriage - Geschiebehaushalt'!$A$4:$AC$275,26,FALSE)="","",VLOOKUP(A127,'Charriage - Geschiebehaushalt'!$A$4:$AC$275,26,FALSE))</f>
        <v/>
      </c>
      <c r="AJ127" s="434" t="str">
        <f>IF(VLOOKUP(A127,'Charriage - Geschiebehaushalt'!$A$4:$AC$275,27,FALSE)="","",VLOOKUP(A127,'Charriage - Geschiebehaushalt'!$A$4:$AC$275,27,FALSE))</f>
        <v/>
      </c>
      <c r="AK127" s="814" t="str">
        <f>IF(VLOOKUP(A127,'Charriage - Geschiebehaushalt'!$A$4:$AC$275,28,FALSE)="","",VLOOKUP(A127,'Charriage - Geschiebehaushalt'!$A$4:$AC$275,28,FALSE))</f>
        <v>21-50%</v>
      </c>
      <c r="AL127" s="1285" t="str">
        <f>IF(VLOOKUP(A127,'Charriage - Geschiebehaushalt'!$A$4:$AD$275,30,FALSE)="","",VLOOKUP(A127,'Charriage - Geschiebehaushalt'!$A$4:$AD$275,30,FALSE))</f>
        <v>a</v>
      </c>
      <c r="AM127" s="1279" t="str">
        <f>IF(VLOOKUP(A127,'Débit - Abfluss'!$A$4:$K$275,5,FALSE)="","",VLOOKUP(A127,'Débit - Abfluss'!$A$4:$M$275,5,FALSE))</f>
        <v>0-20%</v>
      </c>
      <c r="AN127" s="868" t="str">
        <f>IF(VLOOKUP(A127,'Débit - Abfluss'!$A$4:$K$275,6,FALSE)="","",VLOOKUP(A127,'Débit - Abfluss'!$A$4:$M$275,6,FALSE))</f>
        <v/>
      </c>
      <c r="AO127" s="869" t="str">
        <f>IF(VLOOKUP(A127,'Débit - Abfluss'!$A$4:$K$275,7,FALSE)="","",VLOOKUP(A127,'Débit - Abfluss'!$A$4:$M$275,7,FALSE))</f>
        <v/>
      </c>
      <c r="AP127" s="766" t="str">
        <f>IF(VLOOKUP(A127,'Débit - Abfluss'!$A$4:$K$275,8,FALSE)="","",VLOOKUP(A127,'Débit - Abfluss'!$A$4:$M$275,8,FALSE))</f>
        <v>0-20%</v>
      </c>
      <c r="AQ127" s="678" t="str">
        <f>IF(VLOOKUP(A127,'Débit - Abfluss'!$A$4:$K$275,9,FALSE)="","",VLOOKUP(A127,'Débit - Abfluss'!$A$4:$M$275,9,FALSE))</f>
        <v>&lt;10% / 10-50%</v>
      </c>
      <c r="AR127" s="767" t="str">
        <f>IF(VLOOKUP(A127,'Débit - Abfluss'!$A$4:$K$275,10,FALSE)="","",VLOOKUP(A127,'Débit - Abfluss'!$A$4:$M$275,10,FALSE))</f>
        <v>0-20%</v>
      </c>
      <c r="AS127" s="767" t="str">
        <f>IF(VLOOKUP(A127,'Débit - Abfluss'!$A$4:$K$275,11,FALSE)="","",VLOOKUP(A127,'Débit - Abfluss'!$A$4:$M$275,11,FALSE))</f>
        <v/>
      </c>
      <c r="AT127" s="744" t="str">
        <f>IF(VLOOKUP(A127,'Débit - Abfluss'!$A$4:$Q$275,12,FALSE)="","",VLOOKUP(A127,'Débit - Abfluss'!$A$4:$Q$275,12,FALSE))</f>
        <v/>
      </c>
      <c r="AU127" s="745" t="str">
        <f>IF(VLOOKUP(A127,'Débit - Abfluss'!$A$4:$Q$275,13,FALSE)="","",VLOOKUP(A127,'Débit - Abfluss'!$A$4:$Q$275,13,FALSE))</f>
        <v/>
      </c>
      <c r="AV127" s="746" t="str">
        <f>IF(VLOOKUP(A127,'Débit - Abfluss'!$A$4:$Q$275,14,FALSE)="","",VLOOKUP(A127,'Débit - Abfluss'!$A$4:$Q$275,14,FALSE))</f>
        <v>TI-W 58
TI-W 60</v>
      </c>
      <c r="AW127" s="768" t="str">
        <f>IF(VLOOKUP(A127,'Débit - Abfluss'!$A$4:$Q$275,15,FALSE)="","",VLOOKUP(A127,'Débit - Abfluss'!$A$4:$Q$275,15,FALSE))</f>
        <v>Biasca</v>
      </c>
      <c r="AX127" s="679" t="str">
        <f>IF(VLOOKUP(A127,'Débit - Abfluss'!$A$4:$Q$275,16,FALSE)="","",VLOOKUP(A127,'Débit - Abfluss'!$A$4:$Q$275,16,FALSE))</f>
        <v/>
      </c>
      <c r="AY127" s="769" t="str">
        <f>IF(VLOOKUP(A127,'Débit - Abfluss'!$A$4:$Q$275,17,FALSE)="","",VLOOKUP(A127,'Débit - Abfluss'!$A$4:$Q$275,17,FALSE))</f>
        <v>0-20%</v>
      </c>
      <c r="AZ127" s="749" t="str">
        <f>IF(VLOOKUP(A127,'Eclusée - Schwall-Sunk'!$A$2:$F$273,5,FALSE)="","",VLOOKUP(A127,'Eclusée - Schwall-Sunk'!$A$2:$F$273,5,FALSE))</f>
        <v>force hydraulique</v>
      </c>
      <c r="BA127" s="750" t="str">
        <f>IF(VLOOKUP(A127,'Eclusée - Schwall-Sunk'!$A$2:$F$273,6,FALSE)="","",VLOOKUP(A127,'Eclusée - Schwall-Sunk'!$A$2:$F$273,6,FALSE))</f>
        <v>Non affecté / nicht betroffen</v>
      </c>
      <c r="BB127" s="751">
        <f>IF(VLOOKUP(A127,'Revitalisation-Revitalisierung'!$A$4:$Z$275,5,FALSE)="","",VLOOKUP(A127,'Revitalisation-Revitalisierung'!$A$4:$Z$275,5,FALSE))</f>
        <v>-39.127272727272725</v>
      </c>
      <c r="BC127" s="752">
        <f>IF(VLOOKUP(A127,'Revitalisation-Revitalisierung'!$A$4:$Z$275,6,FALSE)="","",VLOOKUP(A127,'Revitalisation-Revitalisierung'!$A$4:$Z$275,6,FALSE))</f>
        <v>8.6037445780744779</v>
      </c>
      <c r="BD127" s="752">
        <f>IF(VLOOKUP(A127,'Revitalisation-Revitalisierung'!$A$4:$Z$275,7,FALSE)="","",VLOOKUP(A127,'Revitalisation-Revitalisierung'!$A$4:$Z$275,7,FALSE))</f>
        <v>47.727272727272727</v>
      </c>
      <c r="BE127" s="753" t="str">
        <f>IF(VLOOKUP(A127,'Revitalisation-Revitalisierung'!$A$4:$Z$275,8,FALSE)="","",VLOOKUP(A127,'Revitalisation-Revitalisierung'!$A$4:$Z$275,8,FALSE))</f>
        <v>peu nécessaire, difficile</v>
      </c>
      <c r="BF127" s="754" t="str">
        <f>IF(VLOOKUP(A127,'Revitalisation-Revitalisierung'!$A$4:$Z$275,9,FALSE)="","",VLOOKUP(A127,'Revitalisation-Revitalisierung'!$A$4:$Z$275,9,FALSE))</f>
        <v/>
      </c>
      <c r="BG127" s="754" t="str">
        <f>IF(VLOOKUP(A127,'Revitalisation-Revitalisierung'!$A$4:$Z$275,10,FALSE)="","",VLOOKUP(A127,'Revitalisation-Revitalisierung'!$A$4:$Z$275,10,FALSE))</f>
        <v>K1</v>
      </c>
      <c r="BH127" s="755" t="str">
        <f>IF(VLOOKUP(A127,'Revitalisation-Revitalisierung'!$A$4:$Z$275,11,FALSE)="","",VLOOKUP(A127,'Revitalisation-Revitalisierung'!$A$4:$Z$275,11,FALSE))</f>
        <v/>
      </c>
      <c r="BI127" s="756" t="str">
        <f>IF(VLOOKUP(A127,'Revitalisation-Revitalisierung'!$A$4:$Z$275,12,FALSE)="","",VLOOKUP(A127,'Revitalisation-Revitalisierung'!$A$4:$Z$275,12,FALSE))</f>
        <v/>
      </c>
      <c r="BJ127" s="788" t="str">
        <f>IF(VLOOKUP(A127,'Revitalisation-Revitalisierung'!$A$4:$Z$275,13,FALSE)="","",VLOOKUP(A127,'Revitalisation-Revitalisierung'!$A$4:$Z$275,13,FALSE))</f>
        <v>Partiellement nécessaire, difficile / teilweise nötig, schwierig</v>
      </c>
      <c r="BK127" s="870" t="str">
        <f>IF(VLOOKUP(A127,'Revitalisation-Revitalisierung'!$A$4:$Z$275,14,FALSE)="","",VLOOKUP(A127,'Revitalisation-Revitalisierung'!$A$4:$Z$275,14,FALSE))</f>
        <v>a</v>
      </c>
      <c r="BL127" s="758" t="str">
        <f>IF(VLOOKUP(A127,'Revitalisation-Revitalisierung'!$A$4:$Z$275,15,FALSE)="","",VLOOKUP(A127,'Revitalisation-Revitalisierung'!$A$4:$Z$275,15,FALSE))</f>
        <v>moyen et important</v>
      </c>
      <c r="BM127" s="759" t="str">
        <f>IF(VLOOKUP(A127,'Revitalisation-Revitalisierung'!$A$4:$Z$275,16,FALSE)="","",VLOOKUP(A127,'Revitalisation-Revitalisierung'!$A$4:$Z$275,16,FALSE))</f>
        <v>faible et important</v>
      </c>
      <c r="BN127" s="759" t="str">
        <f>IF(VLOOKUP(A127,'Revitalisation-Revitalisierung'!$A$4:$Z$275,17,FALSE)="","",VLOOKUP(A127,'Revitalisation-Revitalisierung'!$A$4:$Z$275,17,FALSE))</f>
        <v>nulle et important</v>
      </c>
      <c r="BO127" s="760" t="str">
        <f>IF(VLOOKUP(A127,'Revitalisation-Revitalisierung'!$A$4:$Z$275,18,FALSE)="","",VLOOKUP(A127,'Revitalisation-Revitalisierung'!$A$4:$Z$275,18,FALSE))</f>
        <v>Partiellement nécessaire, difficile / teilweise nötig, schwierig</v>
      </c>
      <c r="BP127" s="761" t="str">
        <f>IF(VLOOKUP(A127,'Revitalisation-Revitalisierung'!$A$4:$Z$275,19,FALSE)="","",VLOOKUP(A127,'Revitalisation-Revitalisierung'!$A$4:$Z$275,19,FALSE))</f>
        <v>Partiellement nécessaire, difficile / teilweise nötig, schwierig</v>
      </c>
      <c r="BQ127" s="759" t="str">
        <f>IF(VLOOKUP(A127,'Revitalisation-Revitalisierung'!$A$4:$Z$275,20,FALSE)="","",VLOOKUP(A127,'Revitalisation-Revitalisierung'!$A$4:$Z$275,20,FALSE))</f>
        <v>d</v>
      </c>
      <c r="BR127" s="759" t="str">
        <f>IF(VLOOKUP(A127,'Revitalisation-Revitalisierung'!$A$4:$Z$275,21,FALSE)="","",VLOOKUP(A127,'Revitalisation-Revitalisierung'!$A$4:$Z$275,21,FALSE))</f>
        <v/>
      </c>
      <c r="BS127" s="762" t="str">
        <f>IF(VLOOKUP(A127,'Revitalisation-Revitalisierung'!$A$4:$Z$275,22,FALSE)="","",VLOOKUP(A127,'Revitalisation-Revitalisierung'!$A$4:$Z$275,22,FALSE))</f>
        <v/>
      </c>
      <c r="BT127" s="700" t="str">
        <f>IF(VLOOKUP(A127,'Revitalisation-Revitalisierung'!$A$4:$Z$275,23,FALSE)="","",VLOOKUP(A127,'Revitalisation-Revitalisierung'!$A$4:$Z$275,23,FALSE))</f>
        <v/>
      </c>
      <c r="BU127" s="699" t="str">
        <f>IF(VLOOKUP(A127,'Revitalisation-Revitalisierung'!$A$4:$Z$275,24,FALSE)="","",VLOOKUP(A127,'Revitalisation-Revitalisierung'!$A$4:$Z$275,24,FALSE))</f>
        <v/>
      </c>
      <c r="BV127" s="761" t="str">
        <f>IF(VLOOKUP(A127,'Revitalisation-Revitalisierung'!$A$4:$Z$275,25,FALSE)="","",VLOOKUP(A127,'Revitalisation-Revitalisierung'!$A$4:$Z$275,25,FALSE))</f>
        <v>Partiellement nécessaire, difficile / teilweise nötig, schwierig</v>
      </c>
      <c r="BW127" s="871" t="str">
        <f>IF(VLOOKUP(A127,'Revitalisation-Revitalisierung'!$A$4:$AA$275,27,FALSE)="","",VLOOKUP(A127,'Revitalisation-Revitalisierung'!$A$4:$AA$275,27,FALSE))</f>
        <v>a</v>
      </c>
    </row>
    <row r="128" spans="1:75" ht="99" customHeight="1" x14ac:dyDescent="0.25">
      <c r="A128" s="935">
        <v>155</v>
      </c>
      <c r="B128" s="856">
        <f>IF(VLOOKUP(A128,'Données de base - Grunddaten'!$A$2:$M$297,2,FALSE)="","",VLOOKUP(A128,'Données de base - Grunddaten'!$A$2:$M$297,2,FALSE))</f>
        <v>1</v>
      </c>
      <c r="C128" s="857" t="str">
        <f>IF(VLOOKUP(A128,'Données de base - Grunddaten'!$A$2:$M$297,3,FALSE)="","",VLOOKUP(A128,'Données de base - Grunddaten'!$A$2:$M$297,3,FALSE))</f>
        <v>Campall</v>
      </c>
      <c r="D128" s="857" t="str">
        <f>IF(VLOOKUP(A128,'Données de base - Grunddaten'!$A$2:$M$297,4,FALSE)="","",VLOOKUP(A128,'Données de base - Grunddaten'!$A$2:$M$297,4,FALSE))</f>
        <v>Brenno del Lucomagno</v>
      </c>
      <c r="E128" s="857" t="str">
        <f>IF(VLOOKUP(A128,'Données de base - Grunddaten'!$A$2:$M$297,5,FALSE)="","",VLOOKUP(A128,'Données de base - Grunddaten'!$A$2:$M$297,5,FALSE))</f>
        <v>TI</v>
      </c>
      <c r="F128" s="857" t="str">
        <f>IF(VLOOKUP(A128,'Données de base - Grunddaten'!$A$2:$M$297,6,FALSE)="","",VLOOKUP(A128,'Données de base - Grunddaten'!$A$2:$M$297,6,FALSE))</f>
        <v>Alpes méridionales</v>
      </c>
      <c r="G128" s="857" t="str">
        <f>IF(VLOOKUP(A128,'Données de base - Grunddaten'!$A$2:$M$297,7,FALSE)="","",VLOOKUP(A128,'Données de base - Grunddaten'!$A$2:$M$297,7,FALSE))</f>
        <v>Subalpin inf.</v>
      </c>
      <c r="H128" s="857">
        <f>IF(VLOOKUP(A128,'Données de base - Grunddaten'!$A$2:$M$297,8,FALSE)="","",VLOOKUP(A128,'Données de base - Grunddaten'!$A$2:$M$297,8,FALSE))</f>
        <v>1420</v>
      </c>
      <c r="I128" s="857">
        <f>IF(VLOOKUP(A128,'Données de base - Grunddaten'!$A$2:$M$297,9,FALSE)="","",VLOOKUP(A128,'Données de base - Grunddaten'!$A$2:$M$297,9,FALSE))</f>
        <v>1992</v>
      </c>
      <c r="J128" s="857">
        <f>IF(VLOOKUP(A128,'Données de base - Grunddaten'!$A$2:$M$297,10,FALSE)="","",VLOOKUP(A128,'Données de base - Grunddaten'!$A$2:$M$297,10,FALSE))</f>
        <v>41</v>
      </c>
      <c r="K128" s="857" t="str">
        <f>IF(VLOOKUP(A128,'Données de base - Grunddaten'!$A$2:$M$297,11,FALSE)="","",VLOOKUP(A128,'Données de base - Grunddaten'!$A$2:$M$297,11,FALSE))</f>
        <v>Cours d'eau naturels de l'étage montagnard</v>
      </c>
      <c r="L128" s="857" t="str">
        <f>IF(VLOOKUP(A128,'Données de base - Grunddaten'!$A$2:$M$297,12,FALSE)="","",VLOOKUP(A128,'Données de base - Grunddaten'!$A$2:$M$297,12,FALSE))</f>
        <v>en tresses</v>
      </c>
      <c r="M128" s="858" t="str">
        <f>IF(VLOOKUP(A128,'Données de base - Grunddaten'!$A$2:$M$297,13,FALSE)="","",VLOOKUP(A128,'Données de base - Grunddaten'!$A$2:$M$297,13,FALSE))</f>
        <v>en tresses</v>
      </c>
      <c r="N128" s="872" t="str">
        <f>IF(VLOOKUP(A128,'Charriage - Geschiebehaushalt'!$A$4:$R$275,5,FALSE)="","",VLOOKUP(A128,'Charriage - Geschiebehaushalt'!$A$4:$R$275,5,FALSE))</f>
        <v>pertinent</v>
      </c>
      <c r="O128" s="881" t="str">
        <f>IF(VLOOKUP(A128,'Charriage - Geschiebehaushalt'!$A$4:$R$275,6,FALSE)="","",VLOOKUP(A128,'Charriage - Geschiebehaushalt'!$A$4:$R$275,6,FALSE))</f>
        <v>non documenté</v>
      </c>
      <c r="P128" s="874" t="str">
        <f>IF(VLOOKUP(A128,'Charriage - Geschiebehaushalt'!$A$4:$R$275,7,FALSE)="","",VLOOKUP(A128,'Charriage - Geschiebehaushalt'!$A$4:$R$275,7,FALSE))</f>
        <v/>
      </c>
      <c r="Q128" s="874" t="str">
        <f>IF(VLOOKUP(A128,'Charriage - Geschiebehaushalt'!$A$4:$R$275,8,FALSE)="","",VLOOKUP(A128,'Charriage - Geschiebehaushalt'!$A$4:$R$275,8,FALSE))</f>
        <v>non documenté</v>
      </c>
      <c r="R128" s="875">
        <f>IF(VLOOKUP(A128,'Charriage - Geschiebehaushalt'!$A$4:$R$275,9,FALSE)="","",VLOOKUP(A128,'Charriage - Geschiebehaushalt'!$A$4:$R$275,9,FALSE))</f>
        <v>0</v>
      </c>
      <c r="S128" s="876" t="str">
        <f>IF(VLOOKUP(A128,'Charriage - Geschiebehaushalt'!$A$4:$R$275,10,FALSE)="","",VLOOKUP(A128,'Charriage - Geschiebehaushalt'!$A$4:$R$275,10,FALSE))</f>
        <v>pas ou faiblement entravé</v>
      </c>
      <c r="T128" s="875">
        <f>IF(VLOOKUP(A128,'Charriage - Geschiebehaushalt'!$A$4:$R$275,11,FALSE)="","",VLOOKUP(A128,'Charriage - Geschiebehaushalt'!$A$4:$R$275,11,FALSE))</f>
        <v>0.53947623569000003</v>
      </c>
      <c r="U128" s="895" t="str">
        <f>IF(VLOOKUP(A128,'Charriage - Geschiebehaushalt'!$A$4:$R$275,12,FALSE)="","",VLOOKUP(A128,'Charriage - Geschiebehaushalt'!$A$4:$R$275,12,FALSE))</f>
        <v>déficit non apparent en charriage ou en remobilisation des sédiments</v>
      </c>
      <c r="V128" s="877" t="str">
        <f>IF(VLOOKUP(A128,'Charriage - Geschiebehaushalt'!$A$4:$R$275,13,FALSE)="","",VLOOKUP(A128,'Charriage - Geschiebehaushalt'!$A$4:$R$275,13,FALSE))</f>
        <v/>
      </c>
      <c r="W128" s="877" t="str">
        <f>IF(VLOOKUP(A128,'Charriage - Geschiebehaushalt'!$A$4:$R$275,14,FALSE)="","",VLOOKUP(A128,'Charriage - Geschiebehaushalt'!$A$4:$R$275,14,FALSE))</f>
        <v/>
      </c>
      <c r="X128" s="877" t="str">
        <f>IF(VLOOKUP(A128,'Charriage - Geschiebehaushalt'!$A$4:$R$275,15,FALSE)="","",VLOOKUP(A128,'Charriage - Geschiebehaushalt'!$A$4:$R$275,15,FALSE))</f>
        <v/>
      </c>
      <c r="Y128" s="879" t="str">
        <f>IF(VLOOKUP(A128,'Charriage - Geschiebehaushalt'!$A$4:$R$275,16,FALSE)="","",VLOOKUP(A128,'Charriage - Geschiebehaushalt'!$A$4:$R$275,16,FALSE))</f>
        <v/>
      </c>
      <c r="Z128" s="763" t="str">
        <f>IF(VLOOKUP(A128,'Charriage - Geschiebehaushalt'!$A$4:$R$275,17,FALSE)="","",VLOOKUP(A128,'Charriage - Geschiebehaushalt'!$A$4:$R$275,17,FALSE))</f>
        <v>Déficit non apparent en charriage ou en remobilisation des sédiments / kein sichtbares Defizit beim Geschiebehaushalt bzw. bei der Mobilisierung von Geschiebe</v>
      </c>
      <c r="AA128" s="880" t="str">
        <f>IF(VLOOKUP(A128,'Charriage - Geschiebehaushalt'!$A$4:$R$275,18,FALSE)="","",VLOOKUP(A128,'Charriage - Geschiebehaushalt'!$A$4:$R$275,18,FALSE))</f>
        <v>b</v>
      </c>
      <c r="AB128" s="737" t="str">
        <f>IF(VLOOKUP(A128,'Charriage - Geschiebehaushalt'!$A$4:$AC$275,19,FALSE)="","",VLOOKUP(A128,'Charriage - Geschiebehaushalt'!$A$4:$AC$275,19,FALSE))</f>
        <v>faible</v>
      </c>
      <c r="AC128" s="738" t="str">
        <f>IF(VLOOKUP(A128,'Charriage - Geschiebehaushalt'!$A$4:$AC$275,20,FALSE)="","",VLOOKUP(A128,'Charriage - Geschiebehaushalt'!$A$4:$AC$275,20,FALSE))</f>
        <v>nul</v>
      </c>
      <c r="AD128" s="789" t="str">
        <f>IF(VLOOKUP(A128,'Charriage - Geschiebehaushalt'!$A$4:$AC$275,21,FALSE)="","",VLOOKUP(A128,'Charriage - Geschiebehaushalt'!$A$4:$AC$275,21,FALSE))</f>
        <v>21-50%</v>
      </c>
      <c r="AE128" s="772" t="str">
        <f>IF(VLOOKUP(A128,'Charriage - Geschiebehaushalt'!$A$4:$AC$275,22,FALSE)="","",VLOOKUP(A128,'Charriage - Geschiebehaushalt'!$A$4:$AC$275,22,FALSE))</f>
        <v>21-50%</v>
      </c>
      <c r="AF128" s="787" t="str">
        <f>IF(VLOOKUP(A128,'Charriage - Geschiebehaushalt'!$A$4:$AC$275,23,FALSE)="","",VLOOKUP(A128,'Charriage - Geschiebehaushalt'!$A$4:$AC$275,23,FALSE))</f>
        <v>c</v>
      </c>
      <c r="AG128" s="765" t="str">
        <f>IF(VLOOKUP(A128,'Charriage - Geschiebehaushalt'!$A$4:$AC$275,24,FALSE)="","",VLOOKUP(A128,'Charriage - Geschiebehaushalt'!$A$4:$AC$275,24,FALSE))</f>
        <v/>
      </c>
      <c r="AH128" s="764" t="str">
        <f>IF(VLOOKUP(A128,'Charriage - Geschiebehaushalt'!$A$4:$AC$275,25,FALSE)="","",VLOOKUP(A128,'Charriage - Geschiebehaushalt'!$A$4:$AC$275,25,FALSE))</f>
        <v/>
      </c>
      <c r="AI128" s="433" t="str">
        <f>IF(VLOOKUP(A128,'Charriage - Geschiebehaushalt'!$A$4:$AC$275,26,FALSE)="","",VLOOKUP(A128,'Charriage - Geschiebehaushalt'!$A$4:$AC$275,26,FALSE))</f>
        <v/>
      </c>
      <c r="AJ128" s="434" t="str">
        <f>IF(VLOOKUP(A128,'Charriage - Geschiebehaushalt'!$A$4:$AC$275,27,FALSE)="","",VLOOKUP(A128,'Charriage - Geschiebehaushalt'!$A$4:$AC$275,27,FALSE))</f>
        <v/>
      </c>
      <c r="AK128" s="814" t="str">
        <f>IF(VLOOKUP(A128,'Charriage - Geschiebehaushalt'!$A$4:$AC$275,28,FALSE)="","",VLOOKUP(A128,'Charriage - Geschiebehaushalt'!$A$4:$AC$275,28,FALSE))</f>
        <v>21-50%</v>
      </c>
      <c r="AL128" s="1285" t="str">
        <f>IF(VLOOKUP(A128,'Charriage - Geschiebehaushalt'!$A$4:$AD$275,30,FALSE)="","",VLOOKUP(A128,'Charriage - Geschiebehaushalt'!$A$4:$AD$275,30,FALSE))</f>
        <v>a</v>
      </c>
      <c r="AM128" s="1279" t="str">
        <f>IF(VLOOKUP(A128,'Débit - Abfluss'!$A$4:$K$275,5,FALSE)="","",VLOOKUP(A128,'Débit - Abfluss'!$A$4:$M$275,5,FALSE))</f>
        <v>0-20%</v>
      </c>
      <c r="AN128" s="868" t="str">
        <f>IF(VLOOKUP(A128,'Débit - Abfluss'!$A$4:$K$275,6,FALSE)="","",VLOOKUP(A128,'Débit - Abfluss'!$A$4:$M$275,6,FALSE))</f>
        <v/>
      </c>
      <c r="AO128" s="869" t="str">
        <f>IF(VLOOKUP(A128,'Débit - Abfluss'!$A$4:$K$275,7,FALSE)="","",VLOOKUP(A128,'Débit - Abfluss'!$A$4:$M$275,7,FALSE))</f>
        <v/>
      </c>
      <c r="AP128" s="766" t="str">
        <f>IF(VLOOKUP(A128,'Débit - Abfluss'!$A$4:$K$275,8,FALSE)="","",VLOOKUP(A128,'Débit - Abfluss'!$A$4:$M$275,8,FALSE))</f>
        <v>0-20%</v>
      </c>
      <c r="AQ128" s="678" t="str">
        <f>IF(VLOOKUP(A128,'Débit - Abfluss'!$A$4:$K$275,9,FALSE)="","",VLOOKUP(A128,'Débit - Abfluss'!$A$4:$M$275,9,FALSE))</f>
        <v>10-50%</v>
      </c>
      <c r="AR128" s="767" t="str">
        <f>IF(VLOOKUP(A128,'Débit - Abfluss'!$A$4:$K$275,10,FALSE)="","",VLOOKUP(A128,'Débit - Abfluss'!$A$4:$M$275,10,FALSE))</f>
        <v>0-20%</v>
      </c>
      <c r="AS128" s="767" t="str">
        <f>IF(VLOOKUP(A128,'Débit - Abfluss'!$A$4:$K$275,11,FALSE)="","",VLOOKUP(A128,'Débit - Abfluss'!$A$4:$M$275,11,FALSE))</f>
        <v/>
      </c>
      <c r="AT128" s="744" t="str">
        <f>IF(VLOOKUP(A128,'Débit - Abfluss'!$A$4:$Q$275,12,FALSE)="","",VLOOKUP(A128,'Débit - Abfluss'!$A$4:$Q$275,12,FALSE))</f>
        <v/>
      </c>
      <c r="AU128" s="745" t="str">
        <f>IF(VLOOKUP(A128,'Débit - Abfluss'!$A$4:$Q$275,13,FALSE)="","",VLOOKUP(A128,'Débit - Abfluss'!$A$4:$Q$275,13,FALSE))</f>
        <v/>
      </c>
      <c r="AV128" s="746" t="str">
        <f>IF(VLOOKUP(A128,'Débit - Abfluss'!$A$4:$Q$275,14,FALSE)="","",VLOOKUP(A128,'Débit - Abfluss'!$A$4:$Q$275,14,FALSE))</f>
        <v>TI-W 47</v>
      </c>
      <c r="AW128" s="768" t="str">
        <f>IF(VLOOKUP(A128,'Débit - Abfluss'!$A$4:$Q$275,15,FALSE)="","",VLOOKUP(A128,'Débit - Abfluss'!$A$4:$Q$275,15,FALSE))</f>
        <v>Luzzone</v>
      </c>
      <c r="AX128" s="679" t="str">
        <f>IF(VLOOKUP(A128,'Débit - Abfluss'!$A$4:$Q$275,16,FALSE)="","",VLOOKUP(A128,'Débit - Abfluss'!$A$4:$Q$275,16,FALSE))</f>
        <v/>
      </c>
      <c r="AY128" s="769" t="str">
        <f>IF(VLOOKUP(A128,'Débit - Abfluss'!$A$4:$Q$275,17,FALSE)="","",VLOOKUP(A128,'Débit - Abfluss'!$A$4:$Q$275,17,FALSE))</f>
        <v>0-20%</v>
      </c>
      <c r="AZ128" s="749" t="str">
        <f>IF(VLOOKUP(A128,'Eclusée - Schwall-Sunk'!$A$2:$F$273,5,FALSE)="","",VLOOKUP(A128,'Eclusée - Schwall-Sunk'!$A$2:$F$273,5,FALSE))</f>
        <v>force hydraulique</v>
      </c>
      <c r="BA128" s="750" t="str">
        <f>IF(VLOOKUP(A128,'Eclusée - Schwall-Sunk'!$A$2:$F$273,6,FALSE)="","",VLOOKUP(A128,'Eclusée - Schwall-Sunk'!$A$2:$F$273,6,FALSE))</f>
        <v>Non affecté / nicht betroffen</v>
      </c>
      <c r="BB128" s="751">
        <f>IF(VLOOKUP(A128,'Revitalisation-Revitalisierung'!$A$4:$Z$275,5,FALSE)="","",VLOOKUP(A128,'Revitalisation-Revitalisierung'!$A$4:$Z$275,5,FALSE))</f>
        <v>-18.636363636363637</v>
      </c>
      <c r="BC128" s="752">
        <f>IF(VLOOKUP(A128,'Revitalisation-Revitalisierung'!$A$4:$Z$275,6,FALSE)="","",VLOOKUP(A128,'Revitalisation-Revitalisierung'!$A$4:$Z$275,6,FALSE))</f>
        <v>0</v>
      </c>
      <c r="BD128" s="752">
        <f>IF(VLOOKUP(A128,'Revitalisation-Revitalisierung'!$A$4:$Z$275,7,FALSE)="","",VLOOKUP(A128,'Revitalisation-Revitalisierung'!$A$4:$Z$275,7,FALSE))</f>
        <v>18.636363636363637</v>
      </c>
      <c r="BE128" s="753" t="str">
        <f>IF(VLOOKUP(A128,'Revitalisation-Revitalisierung'!$A$4:$Z$275,8,FALSE)="","",VLOOKUP(A128,'Revitalisation-Revitalisierung'!$A$4:$Z$275,8,FALSE))</f>
        <v>non nécessaire</v>
      </c>
      <c r="BF128" s="754" t="str">
        <f>IF(VLOOKUP(A128,'Revitalisation-Revitalisierung'!$A$4:$Z$275,9,FALSE)="","",VLOOKUP(A128,'Revitalisation-Revitalisierung'!$A$4:$Z$275,9,FALSE))</f>
        <v/>
      </c>
      <c r="BG128" s="754" t="str">
        <f>IF(VLOOKUP(A128,'Revitalisation-Revitalisierung'!$A$4:$Z$275,10,FALSE)="","",VLOOKUP(A128,'Revitalisation-Revitalisierung'!$A$4:$Z$275,10,FALSE))</f>
        <v>K1</v>
      </c>
      <c r="BH128" s="755" t="str">
        <f>IF(VLOOKUP(A128,'Revitalisation-Revitalisierung'!$A$4:$Z$275,11,FALSE)="","",VLOOKUP(A128,'Revitalisation-Revitalisierung'!$A$4:$Z$275,11,FALSE))</f>
        <v/>
      </c>
      <c r="BI128" s="756" t="str">
        <f>IF(VLOOKUP(A128,'Revitalisation-Revitalisierung'!$A$4:$Z$275,12,FALSE)="","",VLOOKUP(A128,'Revitalisation-Revitalisierung'!$A$4:$Z$275,12,FALSE))</f>
        <v/>
      </c>
      <c r="BJ128" s="788" t="str">
        <f>IF(VLOOKUP(A128,'Revitalisation-Revitalisierung'!$A$4:$Z$275,13,FALSE)="","",VLOOKUP(A128,'Revitalisation-Revitalisierung'!$A$4:$Z$275,13,FALSE))</f>
        <v>Non nécessaire / nicht nötig</v>
      </c>
      <c r="BK128" s="870" t="str">
        <f>IF(VLOOKUP(A128,'Revitalisation-Revitalisierung'!$A$4:$Z$275,14,FALSE)="","",VLOOKUP(A128,'Revitalisation-Revitalisierung'!$A$4:$Z$275,14,FALSE))</f>
        <v>a</v>
      </c>
      <c r="BL128" s="758" t="str">
        <f>IF(VLOOKUP(A128,'Revitalisation-Revitalisierung'!$A$4:$Z$275,15,FALSE)="","",VLOOKUP(A128,'Revitalisation-Revitalisierung'!$A$4:$Z$275,15,FALSE))</f>
        <v>important</v>
      </c>
      <c r="BM128" s="759" t="str">
        <f>IF(VLOOKUP(A128,'Revitalisation-Revitalisierung'!$A$4:$Z$275,16,FALSE)="","",VLOOKUP(A128,'Revitalisation-Revitalisierung'!$A$4:$Z$275,16,FALSE))</f>
        <v>moyen</v>
      </c>
      <c r="BN128" s="759" t="str">
        <f>IF(VLOOKUP(A128,'Revitalisation-Revitalisierung'!$A$4:$Z$275,17,FALSE)="","",VLOOKUP(A128,'Revitalisation-Revitalisierung'!$A$4:$Z$275,17,FALSE))</f>
        <v>nulle</v>
      </c>
      <c r="BO128" s="760" t="str">
        <f>IF(VLOOKUP(A128,'Revitalisation-Revitalisierung'!$A$4:$Z$275,18,FALSE)="","",VLOOKUP(A128,'Revitalisation-Revitalisierung'!$A$4:$Z$275,18,FALSE))</f>
        <v>Partiellement nécessaire, facile / teilweise nötig, einfach</v>
      </c>
      <c r="BP128" s="761" t="str">
        <f>IF(VLOOKUP(A128,'Revitalisation-Revitalisierung'!$A$4:$Z$275,19,FALSE)="","",VLOOKUP(A128,'Revitalisation-Revitalisierung'!$A$4:$Z$275,19,FALSE))</f>
        <v>Partiellement nécessaire, facile / teilweise nötig, einfach</v>
      </c>
      <c r="BQ128" s="759" t="str">
        <f>IF(VLOOKUP(A128,'Revitalisation-Revitalisierung'!$A$4:$Z$275,20,FALSE)="","",VLOOKUP(A128,'Revitalisation-Revitalisierung'!$A$4:$Z$275,20,FALSE))</f>
        <v>c</v>
      </c>
      <c r="BR128" s="759" t="str">
        <f>IF(VLOOKUP(A128,'Revitalisation-Revitalisierung'!$A$4:$Z$275,21,FALSE)="","",VLOOKUP(A128,'Revitalisation-Revitalisierung'!$A$4:$Z$275,21,FALSE))</f>
        <v/>
      </c>
      <c r="BS128" s="762" t="str">
        <f>IF(VLOOKUP(A128,'Revitalisation-Revitalisierung'!$A$4:$Z$275,22,FALSE)="","",VLOOKUP(A128,'Revitalisation-Revitalisierung'!$A$4:$Z$275,22,FALSE))</f>
        <v/>
      </c>
      <c r="BT128" s="700" t="str">
        <f>IF(VLOOKUP(A128,'Revitalisation-Revitalisierung'!$A$4:$Z$275,23,FALSE)="","",VLOOKUP(A128,'Revitalisation-Revitalisierung'!$A$4:$Z$275,23,FALSE))</f>
        <v/>
      </c>
      <c r="BU128" s="699" t="str">
        <f>IF(VLOOKUP(A128,'Revitalisation-Revitalisierung'!$A$4:$Z$275,24,FALSE)="","",VLOOKUP(A128,'Revitalisation-Revitalisierung'!$A$4:$Z$275,24,FALSE))</f>
        <v/>
      </c>
      <c r="BV128" s="761" t="str">
        <f>IF(VLOOKUP(A128,'Revitalisation-Revitalisierung'!$A$4:$Z$275,25,FALSE)="","",VLOOKUP(A128,'Revitalisation-Revitalisierung'!$A$4:$Z$275,25,FALSE))</f>
        <v>Partiellement nécessaire, facile / teilweise nötig, einfach</v>
      </c>
      <c r="BW128" s="871" t="str">
        <f>IF(VLOOKUP(A128,'Revitalisation-Revitalisierung'!$A$4:$AA$275,27,FALSE)="","",VLOOKUP(A128,'Revitalisation-Revitalisierung'!$A$4:$AA$275,27,FALSE))</f>
        <v>a</v>
      </c>
    </row>
    <row r="129" spans="1:75" ht="66.599999999999994" customHeight="1" x14ac:dyDescent="0.25">
      <c r="A129" s="935">
        <v>156</v>
      </c>
      <c r="B129" s="856">
        <f>IF(VLOOKUP(A129,'Données de base - Grunddaten'!$A$2:$M$297,2,FALSE)="","",VLOOKUP(A129,'Données de base - Grunddaten'!$A$2:$M$297,2,FALSE))</f>
        <v>1</v>
      </c>
      <c r="C129" s="857" t="str">
        <f>IF(VLOOKUP(A129,'Données de base - Grunddaten'!$A$2:$M$297,3,FALSE)="","",VLOOKUP(A129,'Données de base - Grunddaten'!$A$2:$M$297,3,FALSE))</f>
        <v>Bassa</v>
      </c>
      <c r="D129" s="857" t="str">
        <f>IF(VLOOKUP(A129,'Données de base - Grunddaten'!$A$2:$M$297,4,FALSE)="","",VLOOKUP(A129,'Données de base - Grunddaten'!$A$2:$M$297,4,FALSE))</f>
        <v>Moesa</v>
      </c>
      <c r="E129" s="857" t="str">
        <f>IF(VLOOKUP(A129,'Données de base - Grunddaten'!$A$2:$M$297,5,FALSE)="","",VLOOKUP(A129,'Données de base - Grunddaten'!$A$2:$M$297,5,FALSE))</f>
        <v>TI</v>
      </c>
      <c r="F129" s="857" t="str">
        <f>IF(VLOOKUP(A129,'Données de base - Grunddaten'!$A$2:$M$297,6,FALSE)="","",VLOOKUP(A129,'Données de base - Grunddaten'!$A$2:$M$297,6,FALSE))</f>
        <v>Tessin méridional</v>
      </c>
      <c r="G129" s="857" t="str">
        <f>IF(VLOOKUP(A129,'Données de base - Grunddaten'!$A$2:$M$297,7,FALSE)="","",VLOOKUP(A129,'Données de base - Grunddaten'!$A$2:$M$297,7,FALSE))</f>
        <v>Collinéen</v>
      </c>
      <c r="H129" s="857">
        <f>IF(VLOOKUP(A129,'Données de base - Grunddaten'!$A$2:$M$297,8,FALSE)="","",VLOOKUP(A129,'Données de base - Grunddaten'!$A$2:$M$297,8,FALSE))</f>
        <v>250</v>
      </c>
      <c r="I129" s="857">
        <f>IF(VLOOKUP(A129,'Données de base - Grunddaten'!$A$2:$M$297,9,FALSE)="","",VLOOKUP(A129,'Données de base - Grunddaten'!$A$2:$M$297,9,FALSE))</f>
        <v>1992</v>
      </c>
      <c r="J129" s="857">
        <f>IF(VLOOKUP(A129,'Données de base - Grunddaten'!$A$2:$M$297,10,FALSE)="","",VLOOKUP(A129,'Données de base - Grunddaten'!$A$2:$M$297,10,FALSE))</f>
        <v>62</v>
      </c>
      <c r="K129" s="857" t="str">
        <f>IF(VLOOKUP(A129,'Données de base - Grunddaten'!$A$2:$M$297,11,FALSE)="","",VLOOKUP(A129,'Données de base - Grunddaten'!$A$2:$M$297,11,FALSE))</f>
        <v>Cours d'eau corrigés de l'étage collinéen du Sud des Alpes</v>
      </c>
      <c r="L129" s="857" t="str">
        <f>IF(VLOOKUP(A129,'Données de base - Grunddaten'!$A$2:$M$297,12,FALSE)="","",VLOOKUP(A129,'Données de base - Grunddaten'!$A$2:$M$297,12,FALSE))</f>
        <v>en tresses</v>
      </c>
      <c r="M129" s="858" t="str">
        <f>IF(VLOOKUP(A129,'Données de base - Grunddaten'!$A$2:$M$297,13,FALSE)="","",VLOOKUP(A129,'Données de base - Grunddaten'!$A$2:$M$297,13,FALSE))</f>
        <v>cours rectiligne</v>
      </c>
      <c r="N129" s="872" t="str">
        <f>IF(VLOOKUP(A129,'Charriage - Geschiebehaushalt'!$A$4:$R$275,5,FALSE)="","",VLOOKUP(A129,'Charriage - Geschiebehaushalt'!$A$4:$R$275,5,FALSE))</f>
        <v>pertinent</v>
      </c>
      <c r="O129" s="881" t="str">
        <f>IF(VLOOKUP(A129,'Charriage - Geschiebehaushalt'!$A$4:$R$275,6,FALSE)="","",VLOOKUP(A129,'Charriage - Geschiebehaushalt'!$A$4:$R$275,6,FALSE))</f>
        <v>non documenté</v>
      </c>
      <c r="P129" s="874" t="str">
        <f>IF(VLOOKUP(A129,'Charriage - Geschiebehaushalt'!$A$4:$R$275,7,FALSE)="","",VLOOKUP(A129,'Charriage - Geschiebehaushalt'!$A$4:$R$275,7,FALSE))</f>
        <v/>
      </c>
      <c r="Q129" s="874" t="str">
        <f>IF(VLOOKUP(A129,'Charriage - Geschiebehaushalt'!$A$4:$R$275,8,FALSE)="","",VLOOKUP(A129,'Charriage - Geschiebehaushalt'!$A$4:$R$275,8,FALSE))</f>
        <v>non documenté</v>
      </c>
      <c r="R129" s="875">
        <f>IF(VLOOKUP(A129,'Charriage - Geschiebehaushalt'!$A$4:$R$275,9,FALSE)="","",VLOOKUP(A129,'Charriage - Geschiebehaushalt'!$A$4:$R$275,9,FALSE))</f>
        <v>0</v>
      </c>
      <c r="S129" s="876" t="str">
        <f>IF(VLOOKUP(A129,'Charriage - Geschiebehaushalt'!$A$4:$R$275,10,FALSE)="","",VLOOKUP(A129,'Charriage - Geschiebehaushalt'!$A$4:$R$275,10,FALSE))</f>
        <v>pas ou faiblement entravé</v>
      </c>
      <c r="T129" s="875">
        <f>IF(VLOOKUP(A129,'Charriage - Geschiebehaushalt'!$A$4:$R$275,11,FALSE)="","",VLOOKUP(A129,'Charriage - Geschiebehaushalt'!$A$4:$R$275,11,FALSE))</f>
        <v>0.1840969516</v>
      </c>
      <c r="U129" s="876" t="str">
        <f>IF(VLOOKUP(A129,'Charriage - Geschiebehaushalt'!$A$4:$R$275,12,FALSE)="","",VLOOKUP(A129,'Charriage - Geschiebehaushalt'!$A$4:$R$275,12,FALSE))</f>
        <v>déficit dans les formations pionnières</v>
      </c>
      <c r="V129" s="877" t="str">
        <f>IF(VLOOKUP(A129,'Charriage - Geschiebehaushalt'!$A$4:$R$275,13,FALSE)="","",VLOOKUP(A129,'Charriage - Geschiebehaushalt'!$A$4:$R$275,13,FALSE))</f>
        <v>Charriage faible, cours rectiligne</v>
      </c>
      <c r="W129" s="878" t="str">
        <f>IF(VLOOKUP(A129,'Charriage - Geschiebehaushalt'!$A$4:$R$275,14,FALSE)="","",VLOOKUP(A129,'Charriage - Geschiebehaushalt'!$A$4:$R$275,14,FALSE))</f>
        <v>charriage présumé perturbé</v>
      </c>
      <c r="X129" s="878" t="str">
        <f>IF(VLOOKUP(A129,'Charriage - Geschiebehaushalt'!$A$4:$R$275,15,FALSE)="","",VLOOKUP(A129,'Charriage - Geschiebehaushalt'!$A$4:$R$275,15,FALSE))</f>
        <v/>
      </c>
      <c r="Y129" s="882" t="str">
        <f>IF(VLOOKUP(A129,'Charriage - Geschiebehaushalt'!$A$4:$R$275,16,FALSE)="","",VLOOKUP(A129,'Charriage - Geschiebehaushalt'!$A$4:$R$275,16,FALSE))</f>
        <v/>
      </c>
      <c r="Z129" s="763" t="str">
        <f>IF(VLOOKUP(A129,'Charriage - Geschiebehaushalt'!$A$4:$R$275,17,FALSE)="","",VLOOKUP(A129,'Charriage - Geschiebehaushalt'!$A$4:$R$275,17,FALSE))</f>
        <v>Charriage présumé perturbé / Geschiebehaushalt vermutlich beeinträchtigt</v>
      </c>
      <c r="AA129" s="880" t="str">
        <f>IF(VLOOKUP(A129,'Charriage - Geschiebehaushalt'!$A$4:$R$275,18,FALSE)="","",VLOOKUP(A129,'Charriage - Geschiebehaushalt'!$A$4:$R$275,18,FALSE))</f>
        <v>b</v>
      </c>
      <c r="AB129" s="737" t="str">
        <f>IF(VLOOKUP(A129,'Charriage - Geschiebehaushalt'!$A$4:$AC$275,19,FALSE)="","",VLOOKUP(A129,'Charriage - Geschiebehaushalt'!$A$4:$AC$275,19,FALSE))</f>
        <v>négligeable</v>
      </c>
      <c r="AC129" s="738">
        <f>IF(VLOOKUP(A129,'Charriage - Geschiebehaushalt'!$A$4:$AC$275,20,FALSE)="","",VLOOKUP(A129,'Charriage - Geschiebehaushalt'!$A$4:$AC$275,20,FALSE))</f>
        <v>0</v>
      </c>
      <c r="AD129" s="789" t="str">
        <f>IF(VLOOKUP(A129,'Charriage - Geschiebehaushalt'!$A$4:$AC$275,21,FALSE)="","",VLOOKUP(A129,'Charriage - Geschiebehaushalt'!$A$4:$AC$275,21,FALSE))</f>
        <v>0-20%</v>
      </c>
      <c r="AE129" s="772" t="str">
        <f>IF(VLOOKUP(A129,'Charriage - Geschiebehaushalt'!$A$4:$AC$275,22,FALSE)="","",VLOOKUP(A129,'Charriage - Geschiebehaushalt'!$A$4:$AC$275,22,FALSE))</f>
        <v>21-50%</v>
      </c>
      <c r="AF129" s="787" t="str">
        <f>IF(VLOOKUP(A129,'Charriage - Geschiebehaushalt'!$A$4:$AC$275,23,FALSE)="","",VLOOKUP(A129,'Charriage - Geschiebehaushalt'!$A$4:$AC$275,23,FALSE))</f>
        <v>e</v>
      </c>
      <c r="AG129" s="765" t="str">
        <f>IF(VLOOKUP(A129,'Charriage - Geschiebehaushalt'!$A$4:$AC$275,24,FALSE)="","",VLOOKUP(A129,'Charriage - Geschiebehaushalt'!$A$4:$AC$275,24,FALSE))</f>
        <v>21-50% choisi: voir  157-158</v>
      </c>
      <c r="AH129" s="764" t="str">
        <f>IF(VLOOKUP(A129,'Charriage - Geschiebehaushalt'!$A$4:$AC$275,25,FALSE)="","",VLOOKUP(A129,'Charriage - Geschiebehaushalt'!$A$4:$AC$275,25,FALSE))</f>
        <v/>
      </c>
      <c r="AI129" s="433" t="str">
        <f>IF(VLOOKUP(A129,'Charriage - Geschiebehaushalt'!$A$4:$AC$275,26,FALSE)="","",VLOOKUP(A129,'Charriage - Geschiebehaushalt'!$A$4:$AC$275,26,FALSE))</f>
        <v/>
      </c>
      <c r="AJ129" s="434" t="str">
        <f>IF(VLOOKUP(A129,'Charriage - Geschiebehaushalt'!$A$4:$AC$275,27,FALSE)="","",VLOOKUP(A129,'Charriage - Geschiebehaushalt'!$A$4:$AC$275,27,FALSE))</f>
        <v/>
      </c>
      <c r="AK129" s="814" t="str">
        <f>IF(VLOOKUP(A129,'Charriage - Geschiebehaushalt'!$A$4:$AC$275,28,FALSE)="","",VLOOKUP(A129,'Charriage - Geschiebehaushalt'!$A$4:$AC$275,28,FALSE))</f>
        <v>21-50%</v>
      </c>
      <c r="AL129" s="1285" t="str">
        <f>IF(VLOOKUP(A129,'Charriage - Geschiebehaushalt'!$A$4:$AD$275,30,FALSE)="","",VLOOKUP(A129,'Charriage - Geschiebehaushalt'!$A$4:$AD$275,30,FALSE))</f>
        <v>b</v>
      </c>
      <c r="AM129" s="1279" t="str">
        <f>IF(VLOOKUP(A129,'Débit - Abfluss'!$A$4:$K$275,5,FALSE)="","",VLOOKUP(A129,'Débit - Abfluss'!$A$4:$M$275,5,FALSE))</f>
        <v>81-100%</v>
      </c>
      <c r="AN129" s="868" t="str">
        <f>IF(VLOOKUP(A129,'Débit - Abfluss'!$A$4:$K$275,6,FALSE)="","",VLOOKUP(A129,'Débit - Abfluss'!$A$4:$M$275,6,FALSE))</f>
        <v/>
      </c>
      <c r="AO129" s="869" t="str">
        <f>IF(VLOOKUP(A129,'Débit - Abfluss'!$A$4:$K$275,7,FALSE)="","",VLOOKUP(A129,'Débit - Abfluss'!$A$4:$M$275,7,FALSE))</f>
        <v/>
      </c>
      <c r="AP129" s="766" t="str">
        <f>IF(VLOOKUP(A129,'Débit - Abfluss'!$A$4:$K$275,8,FALSE)="","",VLOOKUP(A129,'Débit - Abfluss'!$A$4:$M$275,8,FALSE))</f>
        <v>81-100%</v>
      </c>
      <c r="AQ129" s="742" t="str">
        <f>IF(VLOOKUP(A129,'Débit - Abfluss'!$A$4:$K$275,9,FALSE)="","",VLOOKUP(A129,'Débit - Abfluss'!$A$4:$M$275,9,FALSE))</f>
        <v>-</v>
      </c>
      <c r="AR129" s="767" t="str">
        <f>IF(VLOOKUP(A129,'Débit - Abfluss'!$A$4:$K$275,10,FALSE)="","",VLOOKUP(A129,'Débit - Abfluss'!$A$4:$M$275,10,FALSE))</f>
        <v>81-100%</v>
      </c>
      <c r="AS129" s="767" t="str">
        <f>IF(VLOOKUP(A129,'Débit - Abfluss'!$A$4:$K$275,11,FALSE)="","",VLOOKUP(A129,'Débit - Abfluss'!$A$4:$M$275,11,FALSE))</f>
        <v/>
      </c>
      <c r="AT129" s="744" t="str">
        <f>IF(VLOOKUP(A129,'Débit - Abfluss'!$A$4:$Q$275,12,FALSE)="","",VLOOKUP(A129,'Débit - Abfluss'!$A$4:$Q$275,12,FALSE))</f>
        <v/>
      </c>
      <c r="AU129" s="745" t="str">
        <f>IF(VLOOKUP(A129,'Débit - Abfluss'!$A$4:$Q$275,13,FALSE)="","",VLOOKUP(A129,'Débit - Abfluss'!$A$4:$Q$275,13,FALSE))</f>
        <v/>
      </c>
      <c r="AV129" s="746" t="str">
        <f>IF(VLOOKUP(A129,'Débit - Abfluss'!$A$4:$Q$275,14,FALSE)="","",VLOOKUP(A129,'Débit - Abfluss'!$A$4:$Q$275,14,FALSE))</f>
        <v/>
      </c>
      <c r="AW129" s="768" t="str">
        <f>IF(VLOOKUP(A129,'Débit - Abfluss'!$A$4:$Q$275,15,FALSE)="","",VLOOKUP(A129,'Débit - Abfluss'!$A$4:$Q$275,15,FALSE))</f>
        <v/>
      </c>
      <c r="AX129" s="679" t="str">
        <f>IF(VLOOKUP(A129,'Débit - Abfluss'!$A$4:$Q$275,16,FALSE)="","",VLOOKUP(A129,'Débit - Abfluss'!$A$4:$Q$275,16,FALSE))</f>
        <v/>
      </c>
      <c r="AY129" s="769" t="str">
        <f>IF(VLOOKUP(A129,'Débit - Abfluss'!$A$4:$Q$275,17,FALSE)="","",VLOOKUP(A129,'Débit - Abfluss'!$A$4:$Q$275,17,FALSE))</f>
        <v>81-100%</v>
      </c>
      <c r="AZ129" s="749" t="str">
        <f>IF(VLOOKUP(A129,'Eclusée - Schwall-Sunk'!$A$2:$F$273,5,FALSE)="","",VLOOKUP(A129,'Eclusée - Schwall-Sunk'!$A$2:$F$273,5,FALSE))</f>
        <v>force hydraulique</v>
      </c>
      <c r="BA129" s="750" t="str">
        <f>IF(VLOOKUP(A129,'Eclusée - Schwall-Sunk'!$A$2:$F$273,6,FALSE)="","",VLOOKUP(A129,'Eclusée - Schwall-Sunk'!$A$2:$F$273,6,FALSE))</f>
        <v>Potentiellement affecté / möglicherweise betroffen</v>
      </c>
      <c r="BB129" s="751">
        <f>IF(VLOOKUP(A129,'Revitalisation-Revitalisierung'!$A$4:$Z$275,5,FALSE)="","",VLOOKUP(A129,'Revitalisation-Revitalisierung'!$A$4:$Z$275,5,FALSE))</f>
        <v>0</v>
      </c>
      <c r="BC129" s="752">
        <f>IF(VLOOKUP(A129,'Revitalisation-Revitalisierung'!$A$4:$Z$275,6,FALSE)="","",VLOOKUP(A129,'Revitalisation-Revitalisierung'!$A$4:$Z$275,6,FALSE))</f>
        <v>0</v>
      </c>
      <c r="BD129" s="752">
        <f>IF(VLOOKUP(A129,'Revitalisation-Revitalisierung'!$A$4:$Z$275,7,FALSE)="","",VLOOKUP(A129,'Revitalisation-Revitalisierung'!$A$4:$Z$275,7,FALSE))</f>
        <v>0</v>
      </c>
      <c r="BE129" s="753" t="str">
        <f>IF(VLOOKUP(A129,'Revitalisation-Revitalisierung'!$A$4:$Z$275,8,FALSE)="","",VLOOKUP(A129,'Revitalisation-Revitalisierung'!$A$4:$Z$275,8,FALSE))</f>
        <v>non nécessaire</v>
      </c>
      <c r="BF129" s="754" t="str">
        <f>IF(VLOOKUP(A129,'Revitalisation-Revitalisierung'!$A$4:$Z$275,9,FALSE)="","",VLOOKUP(A129,'Revitalisation-Revitalisierung'!$A$4:$Z$275,9,FALSE))</f>
        <v/>
      </c>
      <c r="BG129" s="754" t="str">
        <f>IF(VLOOKUP(A129,'Revitalisation-Revitalisierung'!$A$4:$Z$275,10,FALSE)="","",VLOOKUP(A129,'Revitalisation-Revitalisierung'!$A$4:$Z$275,10,FALSE))</f>
        <v>K3</v>
      </c>
      <c r="BH129" s="755" t="str">
        <f>IF(VLOOKUP(A129,'Revitalisation-Revitalisierung'!$A$4:$Z$275,11,FALSE)="","",VLOOKUP(A129,'Revitalisation-Revitalisierung'!$A$4:$Z$275,11,FALSE))</f>
        <v/>
      </c>
      <c r="BI129" s="756" t="str">
        <f>IF(VLOOKUP(A129,'Revitalisation-Revitalisierung'!$A$4:$Z$275,12,FALSE)="","",VLOOKUP(A129,'Revitalisation-Revitalisierung'!$A$4:$Z$275,12,FALSE))</f>
        <v/>
      </c>
      <c r="BJ129" s="788" t="str">
        <f>IF(VLOOKUP(A129,'Revitalisation-Revitalisierung'!$A$4:$Z$275,13,FALSE)="","",VLOOKUP(A129,'Revitalisation-Revitalisierung'!$A$4:$Z$275,13,FALSE))</f>
        <v>Très nécessaire, facile / unbedingt nötig, einfach</v>
      </c>
      <c r="BK129" s="870" t="str">
        <f>IF(VLOOKUP(A129,'Revitalisation-Revitalisierung'!$A$4:$Z$275,14,FALSE)="","",VLOOKUP(A129,'Revitalisation-Revitalisierung'!$A$4:$Z$275,14,FALSE))</f>
        <v>b</v>
      </c>
      <c r="BL129" s="758" t="str">
        <f>IF(VLOOKUP(A129,'Revitalisation-Revitalisierung'!$A$4:$Z$275,15,FALSE)="","",VLOOKUP(A129,'Revitalisation-Revitalisierung'!$A$4:$Z$275,15,FALSE))</f>
        <v>moyen</v>
      </c>
      <c r="BM129" s="759" t="str">
        <f>IF(VLOOKUP(A129,'Revitalisation-Revitalisierung'!$A$4:$Z$275,16,FALSE)="","",VLOOKUP(A129,'Revitalisation-Revitalisierung'!$A$4:$Z$275,16,FALSE))</f>
        <v>moyen</v>
      </c>
      <c r="BN129" s="759" t="str">
        <f>IF(VLOOKUP(A129,'Revitalisation-Revitalisierung'!$A$4:$Z$275,17,FALSE)="","",VLOOKUP(A129,'Revitalisation-Revitalisierung'!$A$4:$Z$275,17,FALSE))</f>
        <v>nulle</v>
      </c>
      <c r="BO129" s="760" t="str">
        <f>IF(VLOOKUP(A129,'Revitalisation-Revitalisierung'!$A$4:$Z$275,18,FALSE)="","",VLOOKUP(A129,'Revitalisation-Revitalisierung'!$A$4:$Z$275,18,FALSE))</f>
        <v>Partiellement nécessaire, facile / teilweise nötig, einfach</v>
      </c>
      <c r="BP129" s="761" t="str">
        <f>IF(VLOOKUP(A129,'Revitalisation-Revitalisierung'!$A$4:$Z$275,19,FALSE)="","",VLOOKUP(A129,'Revitalisation-Revitalisierung'!$A$4:$Z$275,19,FALSE))</f>
        <v>Très nécessaire, difficile / unbedingt nötig, schwierig</v>
      </c>
      <c r="BQ129" s="759" t="str">
        <f>IF(VLOOKUP(A129,'Revitalisation-Revitalisierung'!$A$4:$Z$275,20,FALSE)="","",VLOOKUP(A129,'Revitalisation-Revitalisierung'!$A$4:$Z$275,20,FALSE))</f>
        <v>e</v>
      </c>
      <c r="BR129" s="759" t="str">
        <f>IF(VLOOKUP(A129,'Revitalisation-Revitalisierung'!$A$4:$Z$275,21,FALSE)="","",VLOOKUP(A129,'Revitalisation-Revitalisierung'!$A$4:$Z$275,21,FALSE))</f>
        <v>TG: selon moi c'est difficile au vu de l'autoroute en RD et de la montagne + grotto etc. en RG</v>
      </c>
      <c r="BS129" s="762" t="str">
        <f>IF(VLOOKUP(A129,'Revitalisation-Revitalisierung'!$A$4:$Z$275,22,FALSE)="","",VLOOKUP(A129,'Revitalisation-Revitalisierung'!$A$4:$Z$275,22,FALSE))</f>
        <v/>
      </c>
      <c r="BT129" s="700" t="str">
        <f>IF(VLOOKUP(A129,'Revitalisation-Revitalisierung'!$A$4:$Z$275,23,FALSE)="","",VLOOKUP(A129,'Revitalisation-Revitalisierung'!$A$4:$Z$275,23,FALSE))</f>
        <v/>
      </c>
      <c r="BU129" s="699" t="str">
        <f>IF(VLOOKUP(A129,'Revitalisation-Revitalisierung'!$A$4:$Z$275,24,FALSE)="","",VLOOKUP(A129,'Revitalisation-Revitalisierung'!$A$4:$Z$275,24,FALSE))</f>
        <v/>
      </c>
      <c r="BV129" s="761" t="str">
        <f>IF(VLOOKUP(A129,'Revitalisation-Revitalisierung'!$A$4:$Z$275,25,FALSE)="","",VLOOKUP(A129,'Revitalisation-Revitalisierung'!$A$4:$Z$275,25,FALSE))</f>
        <v>Très nécessaire, difficile / unbedingt nötig, schwierig</v>
      </c>
      <c r="BW129" s="871" t="str">
        <f>IF(VLOOKUP(A129,'Revitalisation-Revitalisierung'!$A$4:$AA$275,27,FALSE)="","",VLOOKUP(A129,'Revitalisation-Revitalisierung'!$A$4:$AA$275,27,FALSE))</f>
        <v>b</v>
      </c>
    </row>
    <row r="130" spans="1:75" ht="76.150000000000006" customHeight="1" x14ac:dyDescent="0.25">
      <c r="A130" s="935">
        <v>157</v>
      </c>
      <c r="B130" s="856">
        <f>IF(VLOOKUP(A130,'Données de base - Grunddaten'!$A$2:$M$297,2,FALSE)="","",VLOOKUP(A130,'Données de base - Grunddaten'!$A$2:$M$297,2,FALSE))</f>
        <v>1</v>
      </c>
      <c r="C130" s="857" t="str">
        <f>IF(VLOOKUP(A130,'Données de base - Grunddaten'!$A$2:$M$297,3,FALSE)="","",VLOOKUP(A130,'Données de base - Grunddaten'!$A$2:$M$297,3,FALSE))</f>
        <v>Isola</v>
      </c>
      <c r="D130" s="857" t="str">
        <f>IF(VLOOKUP(A130,'Données de base - Grunddaten'!$A$2:$M$297,4,FALSE)="","",VLOOKUP(A130,'Données de base - Grunddaten'!$A$2:$M$297,4,FALSE))</f>
        <v>Moesa</v>
      </c>
      <c r="E130" s="857" t="str">
        <f>IF(VLOOKUP(A130,'Données de base - Grunddaten'!$A$2:$M$297,5,FALSE)="","",VLOOKUP(A130,'Données de base - Grunddaten'!$A$2:$M$297,5,FALSE))</f>
        <v>GR/TI</v>
      </c>
      <c r="F130" s="857" t="str">
        <f>IF(VLOOKUP(A130,'Données de base - Grunddaten'!$A$2:$M$297,6,FALSE)="","",VLOOKUP(A130,'Données de base - Grunddaten'!$A$2:$M$297,6,FALSE))</f>
        <v>Tessin méridional</v>
      </c>
      <c r="G130" s="857" t="str">
        <f>IF(VLOOKUP(A130,'Données de base - Grunddaten'!$A$2:$M$297,7,FALSE)="","",VLOOKUP(A130,'Données de base - Grunddaten'!$A$2:$M$297,7,FALSE))</f>
        <v>Collinéen</v>
      </c>
      <c r="H130" s="857">
        <f>IF(VLOOKUP(A130,'Données de base - Grunddaten'!$A$2:$M$297,8,FALSE)="","",VLOOKUP(A130,'Données de base - Grunddaten'!$A$2:$M$297,8,FALSE))</f>
        <v>260</v>
      </c>
      <c r="I130" s="857">
        <f>IF(VLOOKUP(A130,'Données de base - Grunddaten'!$A$2:$M$297,9,FALSE)="","",VLOOKUP(A130,'Données de base - Grunddaten'!$A$2:$M$297,9,FALSE))</f>
        <v>1992</v>
      </c>
      <c r="J130" s="857">
        <f>IF(VLOOKUP(A130,'Données de base - Grunddaten'!$A$2:$M$297,10,FALSE)="","",VLOOKUP(A130,'Données de base - Grunddaten'!$A$2:$M$297,10,FALSE))</f>
        <v>62</v>
      </c>
      <c r="K130" s="857" t="str">
        <f>IF(VLOOKUP(A130,'Données de base - Grunddaten'!$A$2:$M$297,11,FALSE)="","",VLOOKUP(A130,'Données de base - Grunddaten'!$A$2:$M$297,11,FALSE))</f>
        <v>Cours d'eau corrigés de l'étage collinéen du Sud des Alpes</v>
      </c>
      <c r="L130" s="857" t="str">
        <f>IF(VLOOKUP(A130,'Données de base - Grunddaten'!$A$2:$M$297,12,FALSE)="","",VLOOKUP(A130,'Données de base - Grunddaten'!$A$2:$M$297,12,FALSE))</f>
        <v>en méandres migrants ?????</v>
      </c>
      <c r="M130" s="858" t="str">
        <f>IF(VLOOKUP(A130,'Données de base - Grunddaten'!$A$2:$M$297,13,FALSE)="","",VLOOKUP(A130,'Données de base - Grunddaten'!$A$2:$M$297,13,FALSE))</f>
        <v>cours rectiligne</v>
      </c>
      <c r="N130" s="872" t="str">
        <f>IF(VLOOKUP(A130,'Charriage - Geschiebehaushalt'!$A$4:$R$275,5,FALSE)="","",VLOOKUP(A130,'Charriage - Geschiebehaushalt'!$A$4:$R$275,5,FALSE))</f>
        <v>pertinent</v>
      </c>
      <c r="O130" s="881" t="str">
        <f>IF(VLOOKUP(A130,'Charriage - Geschiebehaushalt'!$A$4:$R$275,6,FALSE)="","",VLOOKUP(A130,'Charriage - Geschiebehaushalt'!$A$4:$R$275,6,FALSE))</f>
        <v>non documenté</v>
      </c>
      <c r="P130" s="874" t="str">
        <f>IF(VLOOKUP(A130,'Charriage - Geschiebehaushalt'!$A$4:$R$275,7,FALSE)="","",VLOOKUP(A130,'Charriage - Geschiebehaushalt'!$A$4:$R$275,7,FALSE))</f>
        <v/>
      </c>
      <c r="Q130" s="874" t="str">
        <f>IF(VLOOKUP(A130,'Charriage - Geschiebehaushalt'!$A$4:$R$275,8,FALSE)="","",VLOOKUP(A130,'Charriage - Geschiebehaushalt'!$A$4:$R$275,8,FALSE))</f>
        <v>non documenté</v>
      </c>
      <c r="R130" s="875">
        <f>IF(VLOOKUP(A130,'Charriage - Geschiebehaushalt'!$A$4:$R$275,9,FALSE)="","",VLOOKUP(A130,'Charriage - Geschiebehaushalt'!$A$4:$R$275,9,FALSE))</f>
        <v>0</v>
      </c>
      <c r="S130" s="876" t="str">
        <f>IF(VLOOKUP(A130,'Charriage - Geschiebehaushalt'!$A$4:$R$275,10,FALSE)="","",VLOOKUP(A130,'Charriage - Geschiebehaushalt'!$A$4:$R$275,10,FALSE))</f>
        <v>pas ou faiblement entravé</v>
      </c>
      <c r="T130" s="875">
        <f>IF(VLOOKUP(A130,'Charriage - Geschiebehaushalt'!$A$4:$R$275,11,FALSE)="","",VLOOKUP(A130,'Charriage - Geschiebehaushalt'!$A$4:$R$275,11,FALSE))</f>
        <v>0.16622219158000001</v>
      </c>
      <c r="U130" s="876" t="str">
        <f>IF(VLOOKUP(A130,'Charriage - Geschiebehaushalt'!$A$4:$R$275,12,FALSE)="","",VLOOKUP(A130,'Charriage - Geschiebehaushalt'!$A$4:$R$275,12,FALSE))</f>
        <v>déficit dans les formations pionnières</v>
      </c>
      <c r="V130" s="877" t="str">
        <f>IF(VLOOKUP(A130,'Charriage - Geschiebehaushalt'!$A$4:$R$275,13,FALSE)="","",VLOOKUP(A130,'Charriage - Geschiebehaushalt'!$A$4:$R$275,13,FALSE))</f>
        <v xml:space="preserve">Objet derrière digue et autoroute. </v>
      </c>
      <c r="W130" s="878" t="str">
        <f>IF(VLOOKUP(A130,'Charriage - Geschiebehaushalt'!$A$4:$R$275,14,FALSE)="","",VLOOKUP(A130,'Charriage - Geschiebehaushalt'!$A$4:$R$275,14,FALSE))</f>
        <v>charriage présumé perturbé</v>
      </c>
      <c r="X130" s="878" t="str">
        <f>IF(VLOOKUP(A130,'Charriage - Geschiebehaushalt'!$A$4:$R$275,15,FALSE)="","",VLOOKUP(A130,'Charriage - Geschiebehaushalt'!$A$4:$R$275,15,FALSE))</f>
        <v/>
      </c>
      <c r="Y130" s="882" t="str">
        <f>IF(VLOOKUP(A130,'Charriage - Geschiebehaushalt'!$A$4:$R$275,16,FALSE)="","",VLOOKUP(A130,'Charriage - Geschiebehaushalt'!$A$4:$R$275,16,FALSE))</f>
        <v/>
      </c>
      <c r="Z130" s="763" t="str">
        <f>IF(VLOOKUP(A130,'Charriage - Geschiebehaushalt'!$A$4:$R$275,17,FALSE)="","",VLOOKUP(A130,'Charriage - Geschiebehaushalt'!$A$4:$R$275,17,FALSE))</f>
        <v>Charriage présumé perturbé / Geschiebehaushalt vermutlich beeinträchtigt</v>
      </c>
      <c r="AA130" s="880" t="str">
        <f>IF(VLOOKUP(A130,'Charriage - Geschiebehaushalt'!$A$4:$R$275,18,FALSE)="","",VLOOKUP(A130,'Charriage - Geschiebehaushalt'!$A$4:$R$275,18,FALSE))</f>
        <v>b</v>
      </c>
      <c r="AB130" s="737" t="str">
        <f>IF(VLOOKUP(A130,'Charriage - Geschiebehaushalt'!$A$4:$AC$275,19,FALSE)="","",VLOOKUP(A130,'Charriage - Geschiebehaushalt'!$A$4:$AC$275,19,FALSE))</f>
        <v>vernachlässigbar /
-</v>
      </c>
      <c r="AC130" s="738" t="str">
        <f>IF(VLOOKUP(A130,'Charriage - Geschiebehaushalt'!$A$4:$AC$275,20,FALSE)="","",VLOOKUP(A130,'Charriage - Geschiebehaushalt'!$A$4:$AC$275,20,FALSE))</f>
        <v>- /
-</v>
      </c>
      <c r="AD130" s="793" t="str">
        <f>IF(VLOOKUP(A130,'Charriage - Geschiebehaushalt'!$A$4:$AC$275,21,FALSE)="","",VLOOKUP(A130,'Charriage - Geschiebehaushalt'!$A$4:$AC$275,21,FALSE))</f>
        <v>21-50%</v>
      </c>
      <c r="AE130" s="740" t="str">
        <f>IF(VLOOKUP(A130,'Charriage - Geschiebehaushalt'!$A$4:$AC$275,22,FALSE)="","",VLOOKUP(A130,'Charriage - Geschiebehaushalt'!$A$4:$AC$275,22,FALSE))</f>
        <v>21-50%</v>
      </c>
      <c r="AF130" s="787" t="str">
        <f>IF(VLOOKUP(A130,'Charriage - Geschiebehaushalt'!$A$4:$AC$275,23,FALSE)="","",VLOOKUP(A130,'Charriage - Geschiebehaushalt'!$A$4:$AC$275,23,FALSE))</f>
        <v>c</v>
      </c>
      <c r="AG130" s="765" t="str">
        <f>IF(VLOOKUP(A130,'Charriage - Geschiebehaushalt'!$A$4:$AC$275,24,FALSE)="","",VLOOKUP(A130,'Charriage - Geschiebehaushalt'!$A$4:$AC$275,24,FALSE))</f>
        <v>charriage cours inférieur Moesa à documenter plus précisément</v>
      </c>
      <c r="AH130" s="764" t="str">
        <f>IF(VLOOKUP(A130,'Charriage - Geschiebehaushalt'!$A$4:$AC$275,25,FALSE)="","",VLOOKUP(A130,'Charriage - Geschiebehaushalt'!$A$4:$AC$275,25,FALSE))</f>
        <v/>
      </c>
      <c r="AI130" s="435" t="str">
        <f>IF(VLOOKUP(A130,'Charriage - Geschiebehaushalt'!$A$4:$AC$275,26,FALSE)="","",VLOOKUP(A130,'Charriage - Geschiebehaushalt'!$A$4:$AC$275,26,FALSE))</f>
        <v/>
      </c>
      <c r="AJ130" s="436" t="str">
        <f>IF(VLOOKUP(A130,'Charriage - Geschiebehaushalt'!$A$4:$AC$275,27,FALSE)="","",VLOOKUP(A130,'Charriage - Geschiebehaushalt'!$A$4:$AC$275,27,FALSE))</f>
        <v/>
      </c>
      <c r="AK130" s="801" t="str">
        <f>IF(VLOOKUP(A130,'Charriage - Geschiebehaushalt'!$A$4:$AC$275,28,FALSE)="","",VLOOKUP(A130,'Charriage - Geschiebehaushalt'!$A$4:$AC$275,28,FALSE))</f>
        <v>21-50%</v>
      </c>
      <c r="AL130" s="1285" t="str">
        <f>IF(VLOOKUP(A130,'Charriage - Geschiebehaushalt'!$A$4:$AD$275,30,FALSE)="","",VLOOKUP(A130,'Charriage - Geschiebehaushalt'!$A$4:$AD$275,30,FALSE))</f>
        <v>a</v>
      </c>
      <c r="AM130" s="1279" t="str">
        <f>IF(VLOOKUP(A130,'Débit - Abfluss'!$A$4:$K$275,5,FALSE)="","",VLOOKUP(A130,'Débit - Abfluss'!$A$4:$M$275,5,FALSE))</f>
        <v>81-100%</v>
      </c>
      <c r="AN130" s="868" t="str">
        <f>IF(VLOOKUP(A130,'Débit - Abfluss'!$A$4:$K$275,6,FALSE)="","",VLOOKUP(A130,'Débit - Abfluss'!$A$4:$M$275,6,FALSE))</f>
        <v/>
      </c>
      <c r="AO130" s="869" t="str">
        <f>IF(VLOOKUP(A130,'Débit - Abfluss'!$A$4:$K$275,7,FALSE)="","",VLOOKUP(A130,'Débit - Abfluss'!$A$4:$M$275,7,FALSE))</f>
        <v/>
      </c>
      <c r="AP130" s="766" t="str">
        <f>IF(VLOOKUP(A130,'Débit - Abfluss'!$A$4:$K$275,8,FALSE)="","",VLOOKUP(A130,'Débit - Abfluss'!$A$4:$M$275,8,FALSE))</f>
        <v>81-100%</v>
      </c>
      <c r="AQ130" s="742" t="str">
        <f>IF(VLOOKUP(A130,'Débit - Abfluss'!$A$4:$K$275,9,FALSE)="","",VLOOKUP(A130,'Débit - Abfluss'!$A$4:$M$275,9,FALSE))</f>
        <v>-</v>
      </c>
      <c r="AR130" s="767" t="str">
        <f>IF(VLOOKUP(A130,'Débit - Abfluss'!$A$4:$K$275,10,FALSE)="","",VLOOKUP(A130,'Débit - Abfluss'!$A$4:$M$275,10,FALSE))</f>
        <v>81-100%</v>
      </c>
      <c r="AS130" s="767" t="str">
        <f>IF(VLOOKUP(A130,'Débit - Abfluss'!$A$4:$K$275,11,FALSE)="","",VLOOKUP(A130,'Débit - Abfluss'!$A$4:$M$275,11,FALSE))</f>
        <v/>
      </c>
      <c r="AT130" s="778" t="str">
        <f>IF(VLOOKUP(A130,'Débit - Abfluss'!$A$4:$Q$275,12,FALSE)="","",VLOOKUP(A130,'Débit - Abfluss'!$A$4:$Q$275,12,FALSE))</f>
        <v/>
      </c>
      <c r="AU130" s="779" t="str">
        <f>IF(VLOOKUP(A130,'Débit - Abfluss'!$A$4:$Q$275,13,FALSE)="","",VLOOKUP(A130,'Débit - Abfluss'!$A$4:$Q$275,13,FALSE))</f>
        <v/>
      </c>
      <c r="AV130" s="746" t="str">
        <f>IF(VLOOKUP(A130,'Débit - Abfluss'!$A$4:$Q$275,14,FALSE)="","",VLOOKUP(A130,'Débit - Abfluss'!$A$4:$Q$275,14,FALSE))</f>
        <v/>
      </c>
      <c r="AW130" s="768" t="str">
        <f>IF(VLOOKUP(A130,'Débit - Abfluss'!$A$4:$Q$275,15,FALSE)="","",VLOOKUP(A130,'Débit - Abfluss'!$A$4:$Q$275,15,FALSE))</f>
        <v/>
      </c>
      <c r="AX130" s="682" t="str">
        <f>IF(VLOOKUP(A130,'Débit - Abfluss'!$A$4:$Q$275,16,FALSE)="","",VLOOKUP(A130,'Débit - Abfluss'!$A$4:$Q$275,16,FALSE))</f>
        <v/>
      </c>
      <c r="AY130" s="769" t="str">
        <f>IF(VLOOKUP(A130,'Débit - Abfluss'!$A$4:$Q$275,17,FALSE)="","",VLOOKUP(A130,'Débit - Abfluss'!$A$4:$Q$275,17,FALSE))</f>
        <v>81-100%</v>
      </c>
      <c r="AZ130" s="749" t="str">
        <f>IF(VLOOKUP(A130,'Eclusée - Schwall-Sunk'!$A$2:$F$273,5,FALSE)="","",VLOOKUP(A130,'Eclusée - Schwall-Sunk'!$A$2:$F$273,5,FALSE))</f>
        <v>force hydraulique</v>
      </c>
      <c r="BA130" s="750" t="str">
        <f>IF(VLOOKUP(A130,'Eclusée - Schwall-Sunk'!$A$2:$F$273,6,FALSE)="","",VLOOKUP(A130,'Eclusée - Schwall-Sunk'!$A$2:$F$273,6,FALSE))</f>
        <v>Potentiellement affecté / möglicherweise betroffen</v>
      </c>
      <c r="BB130" s="751">
        <f>IF(VLOOKUP(A130,'Revitalisation-Revitalisierung'!$A$4:$Z$275,5,FALSE)="","",VLOOKUP(A130,'Revitalisation-Revitalisierung'!$A$4:$Z$275,5,FALSE))</f>
        <v>-4.5454545454545459</v>
      </c>
      <c r="BC130" s="752">
        <f>IF(VLOOKUP(A130,'Revitalisation-Revitalisierung'!$A$4:$Z$275,6,FALSE)="","",VLOOKUP(A130,'Revitalisation-Revitalisierung'!$A$4:$Z$275,6,FALSE))</f>
        <v>0</v>
      </c>
      <c r="BD130" s="752">
        <f>IF(VLOOKUP(A130,'Revitalisation-Revitalisierung'!$A$4:$Z$275,7,FALSE)="","",VLOOKUP(A130,'Revitalisation-Revitalisierung'!$A$4:$Z$275,7,FALSE))</f>
        <v>4.5454545454545459</v>
      </c>
      <c r="BE130" s="753" t="str">
        <f>IF(VLOOKUP(A130,'Revitalisation-Revitalisierung'!$A$4:$Z$275,8,FALSE)="","",VLOOKUP(A130,'Revitalisation-Revitalisierung'!$A$4:$Z$275,8,FALSE))</f>
        <v>non nécessaire</v>
      </c>
      <c r="BF130" s="754" t="str">
        <f>IF(VLOOKUP(A130,'Revitalisation-Revitalisierung'!$A$4:$Z$275,9,FALSE)="","",VLOOKUP(A130,'Revitalisation-Revitalisierung'!$A$4:$Z$275,9,FALSE))</f>
        <v/>
      </c>
      <c r="BG130" s="754" t="str">
        <f>IF(VLOOKUP(A130,'Revitalisation-Revitalisierung'!$A$4:$Z$275,10,FALSE)="","",VLOOKUP(A130,'Revitalisation-Revitalisierung'!$A$4:$Z$275,10,FALSE))</f>
        <v>K3</v>
      </c>
      <c r="BH130" s="755" t="str">
        <f>IF(VLOOKUP(A130,'Revitalisation-Revitalisierung'!$A$4:$Z$275,11,FALSE)="","",VLOOKUP(A130,'Revitalisation-Revitalisierung'!$A$4:$Z$275,11,FALSE))</f>
        <v/>
      </c>
      <c r="BI130" s="756" t="str">
        <f>IF(VLOOKUP(A130,'Revitalisation-Revitalisierung'!$A$4:$Z$275,12,FALSE)="","",VLOOKUP(A130,'Revitalisation-Revitalisierung'!$A$4:$Z$275,12,FALSE))</f>
        <v/>
      </c>
      <c r="BJ130" s="788" t="str">
        <f>IF(VLOOKUP(A130,'Revitalisation-Revitalisierung'!$A$4:$Z$275,13,FALSE)="","",VLOOKUP(A130,'Revitalisation-Revitalisierung'!$A$4:$Z$275,13,FALSE))</f>
        <v>Très nécessaire, difficile / unbedingt nötig, schwierig</v>
      </c>
      <c r="BK130" s="870" t="str">
        <f>IF(VLOOKUP(A130,'Revitalisation-Revitalisierung'!$A$4:$Z$275,14,FALSE)="","",VLOOKUP(A130,'Revitalisation-Revitalisierung'!$A$4:$Z$275,14,FALSE))</f>
        <v>b</v>
      </c>
      <c r="BL130" s="758" t="str">
        <f>IF(VLOOKUP(A130,'Revitalisation-Revitalisierung'!$A$4:$Z$275,15,FALSE)="","",VLOOKUP(A130,'Revitalisation-Revitalisierung'!$A$4:$Z$275,15,FALSE))</f>
        <v>gross /
moyen</v>
      </c>
      <c r="BM130" s="759" t="str">
        <f>IF(VLOOKUP(A130,'Revitalisation-Revitalisierung'!$A$4:$Z$275,16,FALSE)="","",VLOOKUP(A130,'Revitalisation-Revitalisierung'!$A$4:$Z$275,16,FALSE))</f>
        <v>minim /
moyen et faible</v>
      </c>
      <c r="BN130" s="759" t="str">
        <f>IF(VLOOKUP(A130,'Revitalisation-Revitalisierung'!$A$4:$Z$275,17,FALSE)="","",VLOOKUP(A130,'Revitalisation-Revitalisierung'!$A$4:$Z$275,17,FALSE))</f>
        <v>gering /
nulle</v>
      </c>
      <c r="BO130" s="760" t="str">
        <f>IF(VLOOKUP(A130,'Revitalisation-Revitalisierung'!$A$4:$Z$275,18,FALSE)="","",VLOOKUP(A130,'Revitalisation-Revitalisierung'!$A$4:$Z$275,18,FALSE))</f>
        <v>Partiellement nécessaire, difficile / teilweise nötig, schwierig</v>
      </c>
      <c r="BP130" s="761" t="str">
        <f>IF(VLOOKUP(A130,'Revitalisation-Revitalisierung'!$A$4:$Z$275,19,FALSE)="","",VLOOKUP(A130,'Revitalisation-Revitalisierung'!$A$4:$Z$275,19,FALSE))</f>
        <v>Très nécessaire, difficile / unbedingt nötig, schwierig</v>
      </c>
      <c r="BQ130" s="759" t="str">
        <f>IF(VLOOKUP(A130,'Revitalisation-Revitalisierung'!$A$4:$Z$275,20,FALSE)="","",VLOOKUP(A130,'Revitalisation-Revitalisierung'!$A$4:$Z$275,20,FALSE))</f>
        <v>b</v>
      </c>
      <c r="BR130" s="759" t="str">
        <f>IF(VLOOKUP(A130,'Revitalisation-Revitalisierung'!$A$4:$Z$275,21,FALSE)="","",VLOOKUP(A130,'Revitalisation-Revitalisierung'!$A$4:$Z$275,21,FALSE))</f>
        <v/>
      </c>
      <c r="BS130" s="762" t="str">
        <f>IF(VLOOKUP(A130,'Revitalisation-Revitalisierung'!$A$4:$Z$275,22,FALSE)="","",VLOOKUP(A130,'Revitalisation-Revitalisierung'!$A$4:$Z$275,22,FALSE))</f>
        <v/>
      </c>
      <c r="BT130" s="700" t="str">
        <f>IF(VLOOKUP(A130,'Revitalisation-Revitalisierung'!$A$4:$Z$275,23,FALSE)="","",VLOOKUP(A130,'Revitalisation-Revitalisierung'!$A$4:$Z$275,23,FALSE))</f>
        <v/>
      </c>
      <c r="BU130" s="699" t="str">
        <f>IF(VLOOKUP(A130,'Revitalisation-Revitalisierung'!$A$4:$Z$275,24,FALSE)="","",VLOOKUP(A130,'Revitalisation-Revitalisierung'!$A$4:$Z$275,24,FALSE))</f>
        <v/>
      </c>
      <c r="BV130" s="761" t="str">
        <f>IF(VLOOKUP(A130,'Revitalisation-Revitalisierung'!$A$4:$Z$275,25,FALSE)="","",VLOOKUP(A130,'Revitalisation-Revitalisierung'!$A$4:$Z$275,25,FALSE))</f>
        <v>Très nécessaire, difficile / unbedingt nötig, schwierig</v>
      </c>
      <c r="BW130" s="871" t="str">
        <f>IF(VLOOKUP(A130,'Revitalisation-Revitalisierung'!$A$4:$AA$275,27,FALSE)="","",VLOOKUP(A130,'Revitalisation-Revitalisierung'!$A$4:$AA$275,27,FALSE))</f>
        <v>b</v>
      </c>
    </row>
    <row r="131" spans="1:75" ht="72.599999999999994" customHeight="1" x14ac:dyDescent="0.25">
      <c r="A131" s="935">
        <v>158</v>
      </c>
      <c r="B131" s="856">
        <f>IF(VLOOKUP(A131,'Données de base - Grunddaten'!$A$2:$M$297,2,FALSE)="","",VLOOKUP(A131,'Données de base - Grunddaten'!$A$2:$M$297,2,FALSE))</f>
        <v>1</v>
      </c>
      <c r="C131" s="857" t="str">
        <f>IF(VLOOKUP(A131,'Données de base - Grunddaten'!$A$2:$M$297,3,FALSE)="","",VLOOKUP(A131,'Données de base - Grunddaten'!$A$2:$M$297,3,FALSE))</f>
        <v>Ai Fornas</v>
      </c>
      <c r="D131" s="857" t="str">
        <f>IF(VLOOKUP(A131,'Données de base - Grunddaten'!$A$2:$M$297,4,FALSE)="","",VLOOKUP(A131,'Données de base - Grunddaten'!$A$2:$M$297,4,FALSE))</f>
        <v>Moesa</v>
      </c>
      <c r="E131" s="857" t="str">
        <f>IF(VLOOKUP(A131,'Données de base - Grunddaten'!$A$2:$M$297,5,FALSE)="","",VLOOKUP(A131,'Données de base - Grunddaten'!$A$2:$M$297,5,FALSE))</f>
        <v>GR</v>
      </c>
      <c r="F131" s="857" t="str">
        <f>IF(VLOOKUP(A131,'Données de base - Grunddaten'!$A$2:$M$297,6,FALSE)="","",VLOOKUP(A131,'Données de base - Grunddaten'!$A$2:$M$297,6,FALSE))</f>
        <v>Tessin méridional</v>
      </c>
      <c r="G131" s="857" t="str">
        <f>IF(VLOOKUP(A131,'Données de base - Grunddaten'!$A$2:$M$297,7,FALSE)="","",VLOOKUP(A131,'Données de base - Grunddaten'!$A$2:$M$297,7,FALSE))</f>
        <v>Collinéen</v>
      </c>
      <c r="H131" s="857">
        <f>IF(VLOOKUP(A131,'Données de base - Grunddaten'!$A$2:$M$297,8,FALSE)="","",VLOOKUP(A131,'Données de base - Grunddaten'!$A$2:$M$297,8,FALSE))</f>
        <v>270</v>
      </c>
      <c r="I131" s="857">
        <f>IF(VLOOKUP(A131,'Données de base - Grunddaten'!$A$2:$M$297,9,FALSE)="","",VLOOKUP(A131,'Données de base - Grunddaten'!$A$2:$M$297,9,FALSE))</f>
        <v>1992</v>
      </c>
      <c r="J131" s="857">
        <f>IF(VLOOKUP(A131,'Données de base - Grunddaten'!$A$2:$M$297,10,FALSE)="","",VLOOKUP(A131,'Données de base - Grunddaten'!$A$2:$M$297,10,FALSE))</f>
        <v>62</v>
      </c>
      <c r="K131" s="857" t="str">
        <f>IF(VLOOKUP(A131,'Données de base - Grunddaten'!$A$2:$M$297,11,FALSE)="","",VLOOKUP(A131,'Données de base - Grunddaten'!$A$2:$M$297,11,FALSE))</f>
        <v>Cours d'eau corrigés de l'étage collinéen du Sud des Alpes</v>
      </c>
      <c r="L131" s="857" t="str">
        <f>IF(VLOOKUP(A131,'Données de base - Grunddaten'!$A$2:$M$297,12,FALSE)="","",VLOOKUP(A131,'Données de base - Grunddaten'!$A$2:$M$297,12,FALSE))</f>
        <v>en méandres migrants ?????</v>
      </c>
      <c r="M131" s="858" t="str">
        <f>IF(VLOOKUP(A131,'Données de base - Grunddaten'!$A$2:$M$297,13,FALSE)="","",VLOOKUP(A131,'Données de base - Grunddaten'!$A$2:$M$297,13,FALSE))</f>
        <v>cours rectiligne</v>
      </c>
      <c r="N131" s="872" t="str">
        <f>IF(VLOOKUP(A131,'Charriage - Geschiebehaushalt'!$A$4:$R$275,5,FALSE)="","",VLOOKUP(A131,'Charriage - Geschiebehaushalt'!$A$4:$R$275,5,FALSE))</f>
        <v>pertinent</v>
      </c>
      <c r="O131" s="881" t="str">
        <f>IF(VLOOKUP(A131,'Charriage - Geschiebehaushalt'!$A$4:$R$275,6,FALSE)="","",VLOOKUP(A131,'Charriage - Geschiebehaushalt'!$A$4:$R$275,6,FALSE))</f>
        <v>non documenté</v>
      </c>
      <c r="P131" s="874">
        <f>IF(VLOOKUP(A131,'Charriage - Geschiebehaushalt'!$A$4:$R$275,7,FALSE)="","",VLOOKUP(A131,'Charriage - Geschiebehaushalt'!$A$4:$R$275,7,FALSE))</f>
        <v>0.881068053791631</v>
      </c>
      <c r="Q131" s="874" t="str">
        <f>IF(VLOOKUP(A131,'Charriage - Geschiebehaushalt'!$A$4:$R$275,8,FALSE)="","",VLOOKUP(A131,'Charriage - Geschiebehaushalt'!$A$4:$R$275,8,FALSE))</f>
        <v>pas d'incision</v>
      </c>
      <c r="R131" s="875">
        <f>IF(VLOOKUP(A131,'Charriage - Geschiebehaushalt'!$A$4:$R$275,9,FALSE)="","",VLOOKUP(A131,'Charriage - Geschiebehaushalt'!$A$4:$R$275,9,FALSE))</f>
        <v>0.32502504685919498</v>
      </c>
      <c r="S131" s="895" t="str">
        <f>IF(VLOOKUP(A131,'Charriage - Geschiebehaushalt'!$A$4:$R$275,10,FALSE)="","",VLOOKUP(A131,'Charriage - Geschiebehaushalt'!$A$4:$R$275,10,FALSE))</f>
        <v>la remobilisation des sédiments est perturbée</v>
      </c>
      <c r="T131" s="875">
        <f>IF(VLOOKUP(A131,'Charriage - Geschiebehaushalt'!$A$4:$R$275,11,FALSE)="","",VLOOKUP(A131,'Charriage - Geschiebehaushalt'!$A$4:$R$275,11,FALSE))</f>
        <v>0.25155593261999998</v>
      </c>
      <c r="U131" s="876" t="str">
        <f>IF(VLOOKUP(A131,'Charriage - Geschiebehaushalt'!$A$4:$R$275,12,FALSE)="","",VLOOKUP(A131,'Charriage - Geschiebehaushalt'!$A$4:$R$275,12,FALSE))</f>
        <v>déficit non apparent en charriage ou en remobilisation des sédiments</v>
      </c>
      <c r="V131" s="877" t="str">
        <f>IF(VLOOKUP(A131,'Charriage - Geschiebehaushalt'!$A$4:$R$275,13,FALSE)="","",VLOOKUP(A131,'Charriage - Geschiebehaushalt'!$A$4:$R$275,13,FALSE))</f>
        <v/>
      </c>
      <c r="W131" s="877" t="str">
        <f>IF(VLOOKUP(A131,'Charriage - Geschiebehaushalt'!$A$4:$R$275,14,FALSE)="","",VLOOKUP(A131,'Charriage - Geschiebehaushalt'!$A$4:$R$275,14,FALSE))</f>
        <v/>
      </c>
      <c r="X131" s="877" t="str">
        <f>IF(VLOOKUP(A131,'Charriage - Geschiebehaushalt'!$A$4:$R$275,15,FALSE)="","",VLOOKUP(A131,'Charriage - Geschiebehaushalt'!$A$4:$R$275,15,FALSE))</f>
        <v/>
      </c>
      <c r="Y131" s="879" t="str">
        <f>IF(VLOOKUP(A131,'Charriage - Geschiebehaushalt'!$A$4:$R$275,16,FALSE)="","",VLOOKUP(A131,'Charriage - Geschiebehaushalt'!$A$4:$R$275,16,FALSE))</f>
        <v/>
      </c>
      <c r="Z131" s="763" t="str">
        <f>IF(VLOOKUP(A131,'Charriage - Geschiebehaushalt'!$A$4:$R$275,17,FALSE)="","",VLOOKUP(A131,'Charriage - Geschiebehaushalt'!$A$4:$R$275,17,FALSE))</f>
        <v>La remobilisation des sédiments est perturbée / Mobilisierung von Geschiebe beeinträchtigt</v>
      </c>
      <c r="AA131" s="880" t="str">
        <f>IF(VLOOKUP(A131,'Charriage - Geschiebehaushalt'!$A$4:$R$275,18,FALSE)="","",VLOOKUP(A131,'Charriage - Geschiebehaushalt'!$A$4:$R$275,18,FALSE))</f>
        <v>b</v>
      </c>
      <c r="AB131" s="737" t="str">
        <f>IF(VLOOKUP(A131,'Charriage - Geschiebehaushalt'!$A$4:$AC$275,19,FALSE)="","",VLOOKUP(A131,'Charriage - Geschiebehaushalt'!$A$4:$AC$275,19,FALSE))</f>
        <v>vernachlässigbar</v>
      </c>
      <c r="AC131" s="738">
        <f>IF(VLOOKUP(A131,'Charriage - Geschiebehaushalt'!$A$4:$AC$275,20,FALSE)="","",VLOOKUP(A131,'Charriage - Geschiebehaushalt'!$A$4:$AC$275,20,FALSE))</f>
        <v>0</v>
      </c>
      <c r="AD131" s="764" t="str">
        <f>IF(VLOOKUP(A131,'Charriage - Geschiebehaushalt'!$A$4:$AC$275,21,FALSE)="","",VLOOKUP(A131,'Charriage - Geschiebehaushalt'!$A$4:$AC$275,21,FALSE))</f>
        <v>21-50%</v>
      </c>
      <c r="AE131" s="772" t="str">
        <f>IF(VLOOKUP(A131,'Charriage - Geschiebehaushalt'!$A$4:$AC$275,22,FALSE)="","",VLOOKUP(A131,'Charriage - Geschiebehaushalt'!$A$4:$AC$275,22,FALSE))</f>
        <v>21-50%</v>
      </c>
      <c r="AF131" s="787" t="str">
        <f>IF(VLOOKUP(A131,'Charriage - Geschiebehaushalt'!$A$4:$AC$275,23,FALSE)="","",VLOOKUP(A131,'Charriage - Geschiebehaushalt'!$A$4:$AC$275,23,FALSE))</f>
        <v>c</v>
      </c>
      <c r="AG131" s="765" t="str">
        <f>IF(VLOOKUP(A131,'Charriage - Geschiebehaushalt'!$A$4:$AC$275,24,FALSE)="","",VLOOKUP(A131,'Charriage - Geschiebehaushalt'!$A$4:$AC$275,24,FALSE))</f>
        <v>charriage cours inférieur Moesa à documenter plus précisément</v>
      </c>
      <c r="AH131" s="764" t="str">
        <f>IF(VLOOKUP(A131,'Charriage - Geschiebehaushalt'!$A$4:$AC$275,25,FALSE)="","",VLOOKUP(A131,'Charriage - Geschiebehaushalt'!$A$4:$AC$275,25,FALSE))</f>
        <v/>
      </c>
      <c r="AI131" s="435" t="str">
        <f>IF(VLOOKUP(A131,'Charriage - Geschiebehaushalt'!$A$4:$AC$275,26,FALSE)="","",VLOOKUP(A131,'Charriage - Geschiebehaushalt'!$A$4:$AC$275,26,FALSE))</f>
        <v/>
      </c>
      <c r="AJ131" s="436" t="str">
        <f>IF(VLOOKUP(A131,'Charriage - Geschiebehaushalt'!$A$4:$AC$275,27,FALSE)="","",VLOOKUP(A131,'Charriage - Geschiebehaushalt'!$A$4:$AC$275,27,FALSE))</f>
        <v/>
      </c>
      <c r="AK131" s="814" t="str">
        <f>IF(VLOOKUP(A131,'Charriage - Geschiebehaushalt'!$A$4:$AC$275,28,FALSE)="","",VLOOKUP(A131,'Charriage - Geschiebehaushalt'!$A$4:$AC$275,28,FALSE))</f>
        <v>21-50%</v>
      </c>
      <c r="AL131" s="1285" t="str">
        <f>IF(VLOOKUP(A131,'Charriage - Geschiebehaushalt'!$A$4:$AD$275,30,FALSE)="","",VLOOKUP(A131,'Charriage - Geschiebehaushalt'!$A$4:$AD$275,30,FALSE))</f>
        <v>a</v>
      </c>
      <c r="AM131" s="1279" t="str">
        <f>IF(VLOOKUP(A131,'Débit - Abfluss'!$A$4:$K$275,5,FALSE)="","",VLOOKUP(A131,'Débit - Abfluss'!$A$4:$M$275,5,FALSE))</f>
        <v>81-100%</v>
      </c>
      <c r="AN131" s="868" t="str">
        <f>IF(VLOOKUP(A131,'Débit - Abfluss'!$A$4:$K$275,6,FALSE)="","",VLOOKUP(A131,'Débit - Abfluss'!$A$4:$M$275,6,FALSE))</f>
        <v/>
      </c>
      <c r="AO131" s="869" t="str">
        <f>IF(VLOOKUP(A131,'Débit - Abfluss'!$A$4:$K$275,7,FALSE)="","",VLOOKUP(A131,'Débit - Abfluss'!$A$4:$M$275,7,FALSE))</f>
        <v/>
      </c>
      <c r="AP131" s="766" t="str">
        <f>IF(VLOOKUP(A131,'Débit - Abfluss'!$A$4:$K$275,8,FALSE)="","",VLOOKUP(A131,'Débit - Abfluss'!$A$4:$M$275,8,FALSE))</f>
        <v>81-100%</v>
      </c>
      <c r="AQ131" s="742" t="str">
        <f>IF(VLOOKUP(A131,'Débit - Abfluss'!$A$4:$K$275,9,FALSE)="","",VLOOKUP(A131,'Débit - Abfluss'!$A$4:$M$275,9,FALSE))</f>
        <v>-</v>
      </c>
      <c r="AR131" s="767" t="str">
        <f>IF(VLOOKUP(A131,'Débit - Abfluss'!$A$4:$K$275,10,FALSE)="","",VLOOKUP(A131,'Débit - Abfluss'!$A$4:$M$275,10,FALSE))</f>
        <v>81-100%</v>
      </c>
      <c r="AS131" s="767" t="str">
        <f>IF(VLOOKUP(A131,'Débit - Abfluss'!$A$4:$K$275,11,FALSE)="","",VLOOKUP(A131,'Débit - Abfluss'!$A$4:$M$275,11,FALSE))</f>
        <v/>
      </c>
      <c r="AT131" s="778" t="str">
        <f>IF(VLOOKUP(A131,'Débit - Abfluss'!$A$4:$Q$275,12,FALSE)="","",VLOOKUP(A131,'Débit - Abfluss'!$A$4:$Q$275,12,FALSE))</f>
        <v/>
      </c>
      <c r="AU131" s="779" t="str">
        <f>IF(VLOOKUP(A131,'Débit - Abfluss'!$A$4:$Q$275,13,FALSE)="","",VLOOKUP(A131,'Débit - Abfluss'!$A$4:$Q$275,13,FALSE))</f>
        <v/>
      </c>
      <c r="AV131" s="746" t="str">
        <f>IF(VLOOKUP(A131,'Débit - Abfluss'!$A$4:$Q$275,14,FALSE)="","",VLOOKUP(A131,'Débit - Abfluss'!$A$4:$Q$275,14,FALSE))</f>
        <v/>
      </c>
      <c r="AW131" s="768" t="str">
        <f>IF(VLOOKUP(A131,'Débit - Abfluss'!$A$4:$Q$275,15,FALSE)="","",VLOOKUP(A131,'Débit - Abfluss'!$A$4:$Q$275,15,FALSE))</f>
        <v/>
      </c>
      <c r="AX131" s="679" t="str">
        <f>IF(VLOOKUP(A131,'Débit - Abfluss'!$A$4:$Q$275,16,FALSE)="","",VLOOKUP(A131,'Débit - Abfluss'!$A$4:$Q$275,16,FALSE))</f>
        <v/>
      </c>
      <c r="AY131" s="769" t="str">
        <f>IF(VLOOKUP(A131,'Débit - Abfluss'!$A$4:$Q$275,17,FALSE)="","",VLOOKUP(A131,'Débit - Abfluss'!$A$4:$Q$275,17,FALSE))</f>
        <v>81-100%</v>
      </c>
      <c r="AZ131" s="749" t="str">
        <f>IF(VLOOKUP(A131,'Eclusée - Schwall-Sunk'!$A$2:$F$273,5,FALSE)="","",VLOOKUP(A131,'Eclusée - Schwall-Sunk'!$A$2:$F$273,5,FALSE))</f>
        <v>force hydraulique</v>
      </c>
      <c r="BA131" s="750" t="str">
        <f>IF(VLOOKUP(A131,'Eclusée - Schwall-Sunk'!$A$2:$F$273,6,FALSE)="","",VLOOKUP(A131,'Eclusée - Schwall-Sunk'!$A$2:$F$273,6,FALSE))</f>
        <v>Potentiellement affecté / möglicherweise betroffen</v>
      </c>
      <c r="BB131" s="751">
        <f>IF(VLOOKUP(A131,'Revitalisation-Revitalisierung'!$A$4:$Z$275,5,FALSE)="","",VLOOKUP(A131,'Revitalisation-Revitalisierung'!$A$4:$Z$275,5,FALSE))</f>
        <v>23.354545454545452</v>
      </c>
      <c r="BC131" s="752">
        <f>IF(VLOOKUP(A131,'Revitalisation-Revitalisierung'!$A$4:$Z$275,6,FALSE)="","",VLOOKUP(A131,'Revitalisation-Revitalisierung'!$A$4:$Z$275,6,FALSE))</f>
        <v>47.928530978313518</v>
      </c>
      <c r="BD131" s="752">
        <f>IF(VLOOKUP(A131,'Revitalisation-Revitalisierung'!$A$4:$Z$275,7,FALSE)="","",VLOOKUP(A131,'Revitalisation-Revitalisierung'!$A$4:$Z$275,7,FALSE))</f>
        <v>24.545454545454547</v>
      </c>
      <c r="BE131" s="753" t="str">
        <f>IF(VLOOKUP(A131,'Revitalisation-Revitalisierung'!$A$4:$Z$275,8,FALSE)="","",VLOOKUP(A131,'Revitalisation-Revitalisierung'!$A$4:$Z$275,8,FALSE))</f>
        <v>très nécessaire, difficile</v>
      </c>
      <c r="BF131" s="754" t="str">
        <f>IF(VLOOKUP(A131,'Revitalisation-Revitalisierung'!$A$4:$Z$275,9,FALSE)="","",VLOOKUP(A131,'Revitalisation-Revitalisierung'!$A$4:$Z$275,9,FALSE))</f>
        <v/>
      </c>
      <c r="BG131" s="754" t="str">
        <f>IF(VLOOKUP(A131,'Revitalisation-Revitalisierung'!$A$4:$Z$275,10,FALSE)="","",VLOOKUP(A131,'Revitalisation-Revitalisierung'!$A$4:$Z$275,10,FALSE))</f>
        <v>K2</v>
      </c>
      <c r="BH131" s="755" t="str">
        <f>IF(VLOOKUP(A131,'Revitalisation-Revitalisierung'!$A$4:$Z$275,11,FALSE)="","",VLOOKUP(A131,'Revitalisation-Revitalisierung'!$A$4:$Z$275,11,FALSE))</f>
        <v/>
      </c>
      <c r="BI131" s="756" t="str">
        <f>IF(VLOOKUP(A131,'Revitalisation-Revitalisierung'!$A$4:$Z$275,12,FALSE)="","",VLOOKUP(A131,'Revitalisation-Revitalisierung'!$A$4:$Z$275,12,FALSE))</f>
        <v/>
      </c>
      <c r="BJ131" s="788" t="str">
        <f>IF(VLOOKUP(A131,'Revitalisation-Revitalisierung'!$A$4:$Z$275,13,FALSE)="","",VLOOKUP(A131,'Revitalisation-Revitalisierung'!$A$4:$Z$275,13,FALSE))</f>
        <v>Très nécessaire, facile / unbedingt nötig, einfach</v>
      </c>
      <c r="BK131" s="870" t="str">
        <f>IF(VLOOKUP(A131,'Revitalisation-Revitalisierung'!$A$4:$Z$275,14,FALSE)="","",VLOOKUP(A131,'Revitalisation-Revitalisierung'!$A$4:$Z$275,14,FALSE))</f>
        <v>b</v>
      </c>
      <c r="BL131" s="758" t="str">
        <f>IF(VLOOKUP(A131,'Revitalisation-Revitalisierung'!$A$4:$Z$275,15,FALSE)="","",VLOOKUP(A131,'Revitalisation-Revitalisierung'!$A$4:$Z$275,15,FALSE))</f>
        <v>gross</v>
      </c>
      <c r="BM131" s="759" t="str">
        <f>IF(VLOOKUP(A131,'Revitalisation-Revitalisierung'!$A$4:$Z$275,16,FALSE)="","",VLOOKUP(A131,'Revitalisation-Revitalisierung'!$A$4:$Z$275,16,FALSE))</f>
        <v>minim</v>
      </c>
      <c r="BN131" s="759" t="str">
        <f>IF(VLOOKUP(A131,'Revitalisation-Revitalisierung'!$A$4:$Z$275,17,FALSE)="","",VLOOKUP(A131,'Revitalisation-Revitalisierung'!$A$4:$Z$275,17,FALSE))</f>
        <v>hoch/gering</v>
      </c>
      <c r="BO131" s="760" t="str">
        <f>IF(VLOOKUP(A131,'Revitalisation-Revitalisierung'!$A$4:$Z$275,18,FALSE)="","",VLOOKUP(A131,'Revitalisation-Revitalisierung'!$A$4:$Z$275,18,FALSE))</f>
        <v>Non nécessaire / nicht nötig</v>
      </c>
      <c r="BP131" s="761" t="str">
        <f>IF(VLOOKUP(A131,'Revitalisation-Revitalisierung'!$A$4:$Z$275,19,FALSE)="","",VLOOKUP(A131,'Revitalisation-Revitalisierung'!$A$4:$Z$275,19,FALSE))</f>
        <v>Partiellement nécessaire, facile / teilweise nötig, einfach</v>
      </c>
      <c r="BQ131" s="759" t="str">
        <f>IF(VLOOKUP(A131,'Revitalisation-Revitalisierung'!$A$4:$Z$275,20,FALSE)="","",VLOOKUP(A131,'Revitalisation-Revitalisierung'!$A$4:$Z$275,20,FALSE))</f>
        <v>e</v>
      </c>
      <c r="BR131" s="759" t="str">
        <f>IF(VLOOKUP(A131,'Revitalisation-Revitalisierung'!$A$4:$Z$275,21,FALSE)="","",VLOOKUP(A131,'Revitalisation-Revitalisierung'!$A$4:$Z$275,21,FALSE))</f>
        <v/>
      </c>
      <c r="BS131" s="762" t="str">
        <f>IF(VLOOKUP(A131,'Revitalisation-Revitalisierung'!$A$4:$Z$275,22,FALSE)="","",VLOOKUP(A131,'Revitalisation-Revitalisierung'!$A$4:$Z$275,22,FALSE))</f>
        <v>X</v>
      </c>
      <c r="BT131" s="700" t="str">
        <f>IF(VLOOKUP(A131,'Revitalisation-Revitalisierung'!$A$4:$Z$275,23,FALSE)="","",VLOOKUP(A131,'Revitalisation-Revitalisierung'!$A$4:$Z$275,23,FALSE))</f>
        <v/>
      </c>
      <c r="BU131" s="699" t="str">
        <f>IF(VLOOKUP(A131,'Revitalisation-Revitalisierung'!$A$4:$Z$275,24,FALSE)="","",VLOOKUP(A131,'Revitalisation-Revitalisierung'!$A$4:$Z$275,24,FALSE))</f>
        <v/>
      </c>
      <c r="BV131" s="761" t="str">
        <f>IF(VLOOKUP(A131,'Revitalisation-Revitalisierung'!$A$4:$Z$275,25,FALSE)="","",VLOOKUP(A131,'Revitalisation-Revitalisierung'!$A$4:$Z$275,25,FALSE))</f>
        <v>Partiellement nécessaire, facile / teilweise nötig, einfach</v>
      </c>
      <c r="BW131" s="871" t="str">
        <f>IF(VLOOKUP(A131,'Revitalisation-Revitalisierung'!$A$4:$AA$275,27,FALSE)="","",VLOOKUP(A131,'Revitalisation-Revitalisierung'!$A$4:$AA$275,27,FALSE))</f>
        <v>b</v>
      </c>
    </row>
    <row r="132" spans="1:75" ht="165.6" customHeight="1" x14ac:dyDescent="0.25">
      <c r="A132" s="935">
        <v>160</v>
      </c>
      <c r="B132" s="856">
        <f>IF(VLOOKUP(A132,'Données de base - Grunddaten'!$A$2:$M$297,2,FALSE)="","",VLOOKUP(A132,'Données de base - Grunddaten'!$A$2:$M$297,2,FALSE))</f>
        <v>1</v>
      </c>
      <c r="C132" s="857" t="str">
        <f>IF(VLOOKUP(A132,'Données de base - Grunddaten'!$A$2:$M$297,3,FALSE)="","",VLOOKUP(A132,'Données de base - Grunddaten'!$A$2:$M$297,3,FALSE))</f>
        <v>Pascoletto</v>
      </c>
      <c r="D132" s="857" t="str">
        <f>IF(VLOOKUP(A132,'Données de base - Grunddaten'!$A$2:$M$297,4,FALSE)="","",VLOOKUP(A132,'Données de base - Grunddaten'!$A$2:$M$297,4,FALSE))</f>
        <v>Moesa</v>
      </c>
      <c r="E132" s="857" t="str">
        <f>IF(VLOOKUP(A132,'Données de base - Grunddaten'!$A$2:$M$297,5,FALSE)="","",VLOOKUP(A132,'Données de base - Grunddaten'!$A$2:$M$297,5,FALSE))</f>
        <v>GR</v>
      </c>
      <c r="F132" s="857" t="str">
        <f>IF(VLOOKUP(A132,'Données de base - Grunddaten'!$A$2:$M$297,6,FALSE)="","",VLOOKUP(A132,'Données de base - Grunddaten'!$A$2:$M$297,6,FALSE))</f>
        <v>Tessin méridional</v>
      </c>
      <c r="G132" s="857" t="str">
        <f>IF(VLOOKUP(A132,'Données de base - Grunddaten'!$A$2:$M$297,7,FALSE)="","",VLOOKUP(A132,'Données de base - Grunddaten'!$A$2:$M$297,7,FALSE))</f>
        <v>Collinéen</v>
      </c>
      <c r="H132" s="857">
        <f>IF(VLOOKUP(A132,'Données de base - Grunddaten'!$A$2:$M$297,8,FALSE)="","",VLOOKUP(A132,'Données de base - Grunddaten'!$A$2:$M$297,8,FALSE))</f>
        <v>320</v>
      </c>
      <c r="I132" s="857">
        <f>IF(VLOOKUP(A132,'Données de base - Grunddaten'!$A$2:$M$297,9,FALSE)="","",VLOOKUP(A132,'Données de base - Grunddaten'!$A$2:$M$297,9,FALSE))</f>
        <v>1992</v>
      </c>
      <c r="J132" s="857">
        <f>IF(VLOOKUP(A132,'Données de base - Grunddaten'!$A$2:$M$297,10,FALSE)="","",VLOOKUP(A132,'Données de base - Grunddaten'!$A$2:$M$297,10,FALSE))</f>
        <v>62</v>
      </c>
      <c r="K132" s="857" t="str">
        <f>IF(VLOOKUP(A132,'Données de base - Grunddaten'!$A$2:$M$297,11,FALSE)="","",VLOOKUP(A132,'Données de base - Grunddaten'!$A$2:$M$297,11,FALSE))</f>
        <v>Cours d'eau corrigés de l'étage collinéen du Sud des Alpes</v>
      </c>
      <c r="L132" s="857" t="str">
        <f>IF(VLOOKUP(A132,'Données de base - Grunddaten'!$A$2:$M$297,12,FALSE)="","",VLOOKUP(A132,'Données de base - Grunddaten'!$A$2:$M$297,12,FALSE))</f>
        <v>en tresses</v>
      </c>
      <c r="M132" s="858" t="str">
        <f>IF(VLOOKUP(A132,'Données de base - Grunddaten'!$A$2:$M$297,13,FALSE)="","",VLOOKUP(A132,'Données de base - Grunddaten'!$A$2:$M$297,13,FALSE))</f>
        <v>en tresses</v>
      </c>
      <c r="N132" s="872" t="str">
        <f>IF(VLOOKUP(A132,'Charriage - Geschiebehaushalt'!$A$4:$R$275,5,FALSE)="","",VLOOKUP(A132,'Charriage - Geschiebehaushalt'!$A$4:$R$275,5,FALSE))</f>
        <v>pertinent</v>
      </c>
      <c r="O132" s="881" t="str">
        <f>IF(VLOOKUP(A132,'Charriage - Geschiebehaushalt'!$A$4:$R$275,6,FALSE)="","",VLOOKUP(A132,'Charriage - Geschiebehaushalt'!$A$4:$R$275,6,FALSE))</f>
        <v>non documenté</v>
      </c>
      <c r="P132" s="874">
        <f>IF(VLOOKUP(A132,'Charriage - Geschiebehaushalt'!$A$4:$R$275,7,FALSE)="","",VLOOKUP(A132,'Charriage - Geschiebehaushalt'!$A$4:$R$275,7,FALSE))</f>
        <v>-2.2609674016743</v>
      </c>
      <c r="Q132" s="898" t="str">
        <f>IF(VLOOKUP(A132,'Charriage - Geschiebehaushalt'!$A$4:$R$275,8,FALSE)="","",VLOOKUP(A132,'Charriage - Geschiebehaushalt'!$A$4:$R$275,8,FALSE))</f>
        <v>problème lié à un manque de charriage ou à un manque de remobilisation des sédiments</v>
      </c>
      <c r="R132" s="875">
        <f>IF(VLOOKUP(A132,'Charriage - Geschiebehaushalt'!$A$4:$R$275,9,FALSE)="","",VLOOKUP(A132,'Charriage - Geschiebehaushalt'!$A$4:$R$275,9,FALSE))</f>
        <v>1.0325566843688101</v>
      </c>
      <c r="S132" s="876" t="str">
        <f>IF(VLOOKUP(A132,'Charriage - Geschiebehaushalt'!$A$4:$R$275,10,FALSE)="","",VLOOKUP(A132,'Charriage - Geschiebehaushalt'!$A$4:$R$275,10,FALSE))</f>
        <v>la remobilisation des sédiments est perturbée</v>
      </c>
      <c r="T132" s="875">
        <f>IF(VLOOKUP(A132,'Charriage - Geschiebehaushalt'!$A$4:$R$275,11,FALSE)="","",VLOOKUP(A132,'Charriage - Geschiebehaushalt'!$A$4:$R$275,11,FALSE))</f>
        <v>9.4861242358000003E-2</v>
      </c>
      <c r="U132" s="876" t="str">
        <f>IF(VLOOKUP(A132,'Charriage - Geschiebehaushalt'!$A$4:$R$275,12,FALSE)="","",VLOOKUP(A132,'Charriage - Geschiebehaushalt'!$A$4:$R$275,12,FALSE))</f>
        <v>déficit dans les formations pionnières</v>
      </c>
      <c r="V132" s="877" t="str">
        <f>IF(VLOOKUP(A132,'Charriage - Geschiebehaushalt'!$A$4:$R$275,13,FALSE)="","",VLOOKUP(A132,'Charriage - Geschiebehaushalt'!$A$4:$R$275,13,FALSE))</f>
        <v/>
      </c>
      <c r="W132" s="877" t="str">
        <f>IF(VLOOKUP(A132,'Charriage - Geschiebehaushalt'!$A$4:$R$275,14,FALSE)="","",VLOOKUP(A132,'Charriage - Geschiebehaushalt'!$A$4:$R$275,14,FALSE))</f>
        <v/>
      </c>
      <c r="X132" s="877" t="str">
        <f>IF(VLOOKUP(A132,'Charriage - Geschiebehaushalt'!$A$4:$R$275,15,FALSE)="","",VLOOKUP(A132,'Charriage - Geschiebehaushalt'!$A$4:$R$275,15,FALSE))</f>
        <v/>
      </c>
      <c r="Y132" s="879" t="str">
        <f>IF(VLOOKUP(A132,'Charriage - Geschiebehaushalt'!$A$4:$R$275,16,FALSE)="","",VLOOKUP(A132,'Charriage - Geschiebehaushalt'!$A$4:$R$275,16,FALSE))</f>
        <v/>
      </c>
      <c r="Z132" s="763" t="str">
        <f>IF(VLOOKUP(A132,'Charriage - Geschiebehaushalt'!$A$4:$R$275,17,FALSE)="","",VLOOKUP(A132,'Charriage - Geschiebehaushalt'!$A$4:$R$275,17,FALSE))</f>
        <v>Problème lié à un manque de charriage ou à un manque de remobilisation des sédiments / Problem aufgrund Geschiebemangels bzw. mangelnder Mobilisierung von Geschiebe</v>
      </c>
      <c r="AA132" s="880" t="str">
        <f>IF(VLOOKUP(A132,'Charriage - Geschiebehaushalt'!$A$4:$R$275,18,FALSE)="","",VLOOKUP(A132,'Charriage - Geschiebehaushalt'!$A$4:$R$275,18,FALSE))</f>
        <v>b</v>
      </c>
      <c r="AB132" s="737" t="str">
        <f>IF(VLOOKUP(A132,'Charriage - Geschiebehaushalt'!$A$4:$AC$275,19,FALSE)="","",VLOOKUP(A132,'Charriage - Geschiebehaushalt'!$A$4:$AC$275,19,FALSE))</f>
        <v>vernachlässigbar</v>
      </c>
      <c r="AC132" s="738">
        <f>IF(VLOOKUP(A132,'Charriage - Geschiebehaushalt'!$A$4:$AC$275,20,FALSE)="","",VLOOKUP(A132,'Charriage - Geschiebehaushalt'!$A$4:$AC$275,20,FALSE))</f>
        <v>0</v>
      </c>
      <c r="AD132" s="764" t="str">
        <f>IF(VLOOKUP(A132,'Charriage - Geschiebehaushalt'!$A$4:$AC$275,21,FALSE)="","",VLOOKUP(A132,'Charriage - Geschiebehaushalt'!$A$4:$AC$275,21,FALSE))</f>
        <v>21-50%</v>
      </c>
      <c r="AE132" s="772" t="str">
        <f>IF(VLOOKUP(A132,'Charriage - Geschiebehaushalt'!$A$4:$AC$275,22,FALSE)="","",VLOOKUP(A132,'Charriage - Geschiebehaushalt'!$A$4:$AC$275,22,FALSE))</f>
        <v>21-50%</v>
      </c>
      <c r="AF132" s="787" t="str">
        <f>IF(VLOOKUP(A132,'Charriage - Geschiebehaushalt'!$A$4:$AC$275,23,FALSE)="","",VLOOKUP(A132,'Charriage - Geschiebehaushalt'!$A$4:$AC$275,23,FALSE))</f>
        <v>c</v>
      </c>
      <c r="AG132" s="765" t="str">
        <f>IF(VLOOKUP(A132,'Charriage - Geschiebehaushalt'!$A$4:$AC$275,24,FALSE)="","",VLOOKUP(A132,'Charriage - Geschiebehaushalt'!$A$4:$AC$275,24,FALSE))</f>
        <v>charriage cours inférieur Moesa à documenter plus précisément</v>
      </c>
      <c r="AH132" s="764" t="str">
        <f>IF(VLOOKUP(A132,'Charriage - Geschiebehaushalt'!$A$4:$AC$275,25,FALSE)="","",VLOOKUP(A132,'Charriage - Geschiebehaushalt'!$A$4:$AC$275,25,FALSE))</f>
        <v/>
      </c>
      <c r="AI132" s="435" t="str">
        <f>IF(VLOOKUP(A132,'Charriage - Geschiebehaushalt'!$A$4:$AC$275,26,FALSE)="","",VLOOKUP(A132,'Charriage - Geschiebehaushalt'!$A$4:$AC$275,26,FALSE))</f>
        <v/>
      </c>
      <c r="AJ132" s="436" t="str">
        <f>IF(VLOOKUP(A132,'Charriage - Geschiebehaushalt'!$A$4:$AC$275,27,FALSE)="","",VLOOKUP(A132,'Charriage - Geschiebehaushalt'!$A$4:$AC$275,27,FALSE))</f>
        <v/>
      </c>
      <c r="AK132" s="814" t="str">
        <f>IF(VLOOKUP(A132,'Charriage - Geschiebehaushalt'!$A$4:$AC$275,28,FALSE)="","",VLOOKUP(A132,'Charriage - Geschiebehaushalt'!$A$4:$AC$275,28,FALSE))</f>
        <v>21-50%</v>
      </c>
      <c r="AL132" s="1285" t="str">
        <f>IF(VLOOKUP(A132,'Charriage - Geschiebehaushalt'!$A$4:$AD$275,30,FALSE)="","",VLOOKUP(A132,'Charriage - Geschiebehaushalt'!$A$4:$AD$275,30,FALSE))</f>
        <v>a</v>
      </c>
      <c r="AM132" s="1279" t="str">
        <f>IF(VLOOKUP(A132,'Débit - Abfluss'!$A$4:$K$275,5,FALSE)="","",VLOOKUP(A132,'Débit - Abfluss'!$A$4:$M$275,5,FALSE))</f>
        <v>81-100%</v>
      </c>
      <c r="AN132" s="868" t="str">
        <f>IF(VLOOKUP(A132,'Débit - Abfluss'!$A$4:$K$275,6,FALSE)="","",VLOOKUP(A132,'Débit - Abfluss'!$A$4:$M$275,6,FALSE))</f>
        <v/>
      </c>
      <c r="AO132" s="869" t="str">
        <f>IF(VLOOKUP(A132,'Débit - Abfluss'!$A$4:$K$275,7,FALSE)="","",VLOOKUP(A132,'Débit - Abfluss'!$A$4:$M$275,7,FALSE))</f>
        <v/>
      </c>
      <c r="AP132" s="766" t="str">
        <f>IF(VLOOKUP(A132,'Débit - Abfluss'!$A$4:$K$275,8,FALSE)="","",VLOOKUP(A132,'Débit - Abfluss'!$A$4:$M$275,8,FALSE))</f>
        <v>81-100%</v>
      </c>
      <c r="AQ132" s="742" t="str">
        <f>IF(VLOOKUP(A132,'Débit - Abfluss'!$A$4:$K$275,9,FALSE)="","",VLOOKUP(A132,'Débit - Abfluss'!$A$4:$M$275,9,FALSE))</f>
        <v>-</v>
      </c>
      <c r="AR132" s="767" t="str">
        <f>IF(VLOOKUP(A132,'Débit - Abfluss'!$A$4:$K$275,10,FALSE)="","",VLOOKUP(A132,'Débit - Abfluss'!$A$4:$M$275,10,FALSE))</f>
        <v>81-100%</v>
      </c>
      <c r="AS132" s="767" t="str">
        <f>IF(VLOOKUP(A132,'Débit - Abfluss'!$A$4:$K$275,11,FALSE)="","",VLOOKUP(A132,'Débit - Abfluss'!$A$4:$M$275,11,FALSE))</f>
        <v/>
      </c>
      <c r="AT132" s="778" t="str">
        <f>IF(VLOOKUP(A132,'Débit - Abfluss'!$A$4:$Q$275,12,FALSE)="","",VLOOKUP(A132,'Débit - Abfluss'!$A$4:$Q$275,12,FALSE))</f>
        <v/>
      </c>
      <c r="AU132" s="779" t="str">
        <f>IF(VLOOKUP(A132,'Débit - Abfluss'!$A$4:$Q$275,13,FALSE)="","",VLOOKUP(A132,'Débit - Abfluss'!$A$4:$Q$275,13,FALSE))</f>
        <v/>
      </c>
      <c r="AV132" s="746" t="str">
        <f>IF(VLOOKUP(A132,'Débit - Abfluss'!$A$4:$Q$275,14,FALSE)="","",VLOOKUP(A132,'Débit - Abfluss'!$A$4:$Q$275,14,FALSE))</f>
        <v/>
      </c>
      <c r="AW132" s="768" t="str">
        <f>IF(VLOOKUP(A132,'Débit - Abfluss'!$A$4:$Q$275,15,FALSE)="","",VLOOKUP(A132,'Débit - Abfluss'!$A$4:$Q$275,15,FALSE))</f>
        <v/>
      </c>
      <c r="AX132" s="679" t="str">
        <f>IF(VLOOKUP(A132,'Débit - Abfluss'!$A$4:$Q$275,16,FALSE)="","",VLOOKUP(A132,'Débit - Abfluss'!$A$4:$Q$275,16,FALSE))</f>
        <v/>
      </c>
      <c r="AY132" s="769" t="str">
        <f>IF(VLOOKUP(A132,'Débit - Abfluss'!$A$4:$Q$275,17,FALSE)="","",VLOOKUP(A132,'Débit - Abfluss'!$A$4:$Q$275,17,FALSE))</f>
        <v>81-100%</v>
      </c>
      <c r="AZ132" s="749" t="str">
        <f>IF(VLOOKUP(A132,'Eclusée - Schwall-Sunk'!$A$2:$F$273,5,FALSE)="","",VLOOKUP(A132,'Eclusée - Schwall-Sunk'!$A$2:$F$273,5,FALSE))</f>
        <v>force hydraulique</v>
      </c>
      <c r="BA132" s="750" t="str">
        <f>IF(VLOOKUP(A132,'Eclusée - Schwall-Sunk'!$A$2:$F$273,6,FALSE)="","",VLOOKUP(A132,'Eclusée - Schwall-Sunk'!$A$2:$F$273,6,FALSE))</f>
        <v>Potentiellement affecté / möglicherweise betroffen</v>
      </c>
      <c r="BB132" s="751">
        <f>IF(VLOOKUP(A132,'Revitalisation-Revitalisierung'!$A$4:$Z$275,5,FALSE)="","",VLOOKUP(A132,'Revitalisation-Revitalisierung'!$A$4:$Z$275,5,FALSE))</f>
        <v>72.390909090909091</v>
      </c>
      <c r="BC132" s="752">
        <f>IF(VLOOKUP(A132,'Revitalisation-Revitalisierung'!$A$4:$Z$275,6,FALSE)="","",VLOOKUP(A132,'Revitalisation-Revitalisierung'!$A$4:$Z$275,6,FALSE))</f>
        <v>78.253399547907819</v>
      </c>
      <c r="BD132" s="752">
        <f>IF(VLOOKUP(A132,'Revitalisation-Revitalisierung'!$A$4:$Z$275,7,FALSE)="","",VLOOKUP(A132,'Revitalisation-Revitalisierung'!$A$4:$Z$275,7,FALSE))</f>
        <v>5.9090909090909092</v>
      </c>
      <c r="BE132" s="753" t="str">
        <f>IF(VLOOKUP(A132,'Revitalisation-Revitalisierung'!$A$4:$Z$275,8,FALSE)="","",VLOOKUP(A132,'Revitalisation-Revitalisierung'!$A$4:$Z$275,8,FALSE))</f>
        <v>très nécessaire, facile</v>
      </c>
      <c r="BF132" s="754" t="str">
        <f>IF(VLOOKUP(A132,'Revitalisation-Revitalisierung'!$A$4:$Z$275,9,FALSE)="","",VLOOKUP(A132,'Revitalisation-Revitalisierung'!$A$4:$Z$275,9,FALSE))</f>
        <v/>
      </c>
      <c r="BG132" s="754" t="str">
        <f>IF(VLOOKUP(A132,'Revitalisation-Revitalisierung'!$A$4:$Z$275,10,FALSE)="","",VLOOKUP(A132,'Revitalisation-Revitalisierung'!$A$4:$Z$275,10,FALSE))</f>
        <v>K1</v>
      </c>
      <c r="BH132" s="755" t="str">
        <f>IF(VLOOKUP(A132,'Revitalisation-Revitalisierung'!$A$4:$Z$275,11,FALSE)="","",VLOOKUP(A132,'Revitalisation-Revitalisierung'!$A$4:$Z$275,11,FALSE))</f>
        <v/>
      </c>
      <c r="BI132" s="756" t="str">
        <f>IF(VLOOKUP(A132,'Revitalisation-Revitalisierung'!$A$4:$Z$275,12,FALSE)="","",VLOOKUP(A132,'Revitalisation-Revitalisierung'!$A$4:$Z$275,12,FALSE))</f>
        <v/>
      </c>
      <c r="BJ132" s="788" t="str">
        <f>IF(VLOOKUP(A132,'Revitalisation-Revitalisierung'!$A$4:$Z$275,13,FALSE)="","",VLOOKUP(A132,'Revitalisation-Revitalisierung'!$A$4:$Z$275,13,FALSE))</f>
        <v>Non nécessaire / nicht nötig</v>
      </c>
      <c r="BK132" s="870" t="str">
        <f>IF(VLOOKUP(A132,'Revitalisation-Revitalisierung'!$A$4:$Z$275,14,FALSE)="","",VLOOKUP(A132,'Revitalisation-Revitalisierung'!$A$4:$Z$275,14,FALSE))</f>
        <v>b</v>
      </c>
      <c r="BL132" s="758" t="str">
        <f>IF(VLOOKUP(A132,'Revitalisation-Revitalisierung'!$A$4:$Z$275,15,FALSE)="","",VLOOKUP(A132,'Revitalisation-Revitalisierung'!$A$4:$Z$275,15,FALSE))</f>
        <v>gross</v>
      </c>
      <c r="BM132" s="759" t="str">
        <f>IF(VLOOKUP(A132,'Revitalisation-Revitalisierung'!$A$4:$Z$275,16,FALSE)="","",VLOOKUP(A132,'Revitalisation-Revitalisierung'!$A$4:$Z$275,16,FALSE))</f>
        <v>gross/mittel/kein/nicht best.</v>
      </c>
      <c r="BN132" s="759" t="str">
        <f>IF(VLOOKUP(A132,'Revitalisation-Revitalisierung'!$A$4:$Z$275,17,FALSE)="","",VLOOKUP(A132,'Revitalisation-Revitalisierung'!$A$4:$Z$275,17,FALSE))</f>
        <v>mittel</v>
      </c>
      <c r="BO132" s="760" t="str">
        <f>IF(VLOOKUP(A132,'Revitalisation-Revitalisierung'!$A$4:$Z$275,18,FALSE)="","",VLOOKUP(A132,'Revitalisation-Revitalisierung'!$A$4:$Z$275,18,FALSE))</f>
        <v>Partiellement nécessaire, facile / teilweise nötig, einfach</v>
      </c>
      <c r="BP132" s="761" t="str">
        <f>IF(VLOOKUP(A132,'Revitalisation-Revitalisierung'!$A$4:$Z$275,19,FALSE)="","",VLOOKUP(A132,'Revitalisation-Revitalisierung'!$A$4:$Z$275,19,FALSE))</f>
        <v>Partiellement nécessaire, facile / teilweise nötig, einfach</v>
      </c>
      <c r="BQ132" s="759" t="str">
        <f>IF(VLOOKUP(A132,'Revitalisation-Revitalisierung'!$A$4:$Z$275,20,FALSE)="","",VLOOKUP(A132,'Revitalisation-Revitalisierung'!$A$4:$Z$275,20,FALSE))</f>
        <v>c</v>
      </c>
      <c r="BR132" s="759" t="str">
        <f>IF(VLOOKUP(A132,'Revitalisation-Revitalisierung'!$A$4:$Z$275,21,FALSE)="","",VLOOKUP(A132,'Revitalisation-Revitalisierung'!$A$4:$Z$275,21,FALSE))</f>
        <v/>
      </c>
      <c r="BS132" s="762" t="str">
        <f>IF(VLOOKUP(A132,'Revitalisation-Revitalisierung'!$A$4:$Z$275,22,FALSE)="","",VLOOKUP(A132,'Revitalisation-Revitalisierung'!$A$4:$Z$275,22,FALSE))</f>
        <v/>
      </c>
      <c r="BT132" s="700" t="str">
        <f>IF(VLOOKUP(A132,'Revitalisation-Revitalisierung'!$A$4:$Z$275,23,FALSE)="","",VLOOKUP(A132,'Revitalisation-Revitalisierung'!$A$4:$Z$275,23,FALSE))</f>
        <v/>
      </c>
      <c r="BU132" s="699" t="str">
        <f>IF(VLOOKUP(A132,'Revitalisation-Revitalisierung'!$A$4:$Z$275,24,FALSE)="","",VLOOKUP(A132,'Revitalisation-Revitalisierung'!$A$4:$Z$275,24,FALSE))</f>
        <v/>
      </c>
      <c r="BV132" s="761" t="str">
        <f>IF(VLOOKUP(A132,'Revitalisation-Revitalisierung'!$A$4:$Z$275,25,FALSE)="","",VLOOKUP(A132,'Revitalisation-Revitalisierung'!$A$4:$Z$275,25,FALSE))</f>
        <v>Partiellement nécessaire, facile / teilweise nötig, einfach</v>
      </c>
      <c r="BW132" s="871" t="str">
        <f>IF(VLOOKUP(A132,'Revitalisation-Revitalisierung'!$A$4:$AA$275,27,FALSE)="","",VLOOKUP(A132,'Revitalisation-Revitalisierung'!$A$4:$AA$275,27,FALSE))</f>
        <v>a</v>
      </c>
    </row>
    <row r="133" spans="1:75" ht="156" customHeight="1" x14ac:dyDescent="0.25">
      <c r="A133" s="935">
        <v>161</v>
      </c>
      <c r="B133" s="856">
        <f>IF(VLOOKUP(A133,'Données de base - Grunddaten'!$A$2:$M$297,2,FALSE)="","",VLOOKUP(A133,'Données de base - Grunddaten'!$A$2:$M$297,2,FALSE))</f>
        <v>1</v>
      </c>
      <c r="C133" s="857" t="str">
        <f>IF(VLOOKUP(A133,'Données de base - Grunddaten'!$A$2:$M$297,3,FALSE)="","",VLOOKUP(A133,'Données de base - Grunddaten'!$A$2:$M$297,3,FALSE))</f>
        <v>Rosera</v>
      </c>
      <c r="D133" s="857" t="str">
        <f>IF(VLOOKUP(A133,'Données de base - Grunddaten'!$A$2:$M$297,4,FALSE)="","",VLOOKUP(A133,'Données de base - Grunddaten'!$A$2:$M$297,4,FALSE))</f>
        <v>Moesa</v>
      </c>
      <c r="E133" s="857" t="str">
        <f>IF(VLOOKUP(A133,'Données de base - Grunddaten'!$A$2:$M$297,5,FALSE)="","",VLOOKUP(A133,'Données de base - Grunddaten'!$A$2:$M$297,5,FALSE))</f>
        <v>GR</v>
      </c>
      <c r="F133" s="857" t="str">
        <f>IF(VLOOKUP(A133,'Données de base - Grunddaten'!$A$2:$M$297,6,FALSE)="","",VLOOKUP(A133,'Données de base - Grunddaten'!$A$2:$M$297,6,FALSE))</f>
        <v>Alpes méridionales</v>
      </c>
      <c r="G133" s="857" t="str">
        <f>IF(VLOOKUP(A133,'Données de base - Grunddaten'!$A$2:$M$297,7,FALSE)="","",VLOOKUP(A133,'Données de base - Grunddaten'!$A$2:$M$297,7,FALSE))</f>
        <v>Collinéen</v>
      </c>
      <c r="H133" s="857">
        <f>IF(VLOOKUP(A133,'Données de base - Grunddaten'!$A$2:$M$297,8,FALSE)="","",VLOOKUP(A133,'Données de base - Grunddaten'!$A$2:$M$297,8,FALSE))</f>
        <v>410</v>
      </c>
      <c r="I133" s="857">
        <f>IF(VLOOKUP(A133,'Données de base - Grunddaten'!$A$2:$M$297,9,FALSE)="","",VLOOKUP(A133,'Données de base - Grunddaten'!$A$2:$M$297,9,FALSE))</f>
        <v>1992</v>
      </c>
      <c r="J133" s="857">
        <f>IF(VLOOKUP(A133,'Données de base - Grunddaten'!$A$2:$M$297,10,FALSE)="","",VLOOKUP(A133,'Données de base - Grunddaten'!$A$2:$M$297,10,FALSE))</f>
        <v>62</v>
      </c>
      <c r="K133" s="857" t="str">
        <f>IF(VLOOKUP(A133,'Données de base - Grunddaten'!$A$2:$M$297,11,FALSE)="","",VLOOKUP(A133,'Données de base - Grunddaten'!$A$2:$M$297,11,FALSE))</f>
        <v>Cours d'eau corrigés de l'étage collinéen du Sud des Alpes</v>
      </c>
      <c r="L133" s="857" t="str">
        <f>IF(VLOOKUP(A133,'Données de base - Grunddaten'!$A$2:$M$297,12,FALSE)="","",VLOOKUP(A133,'Données de base - Grunddaten'!$A$2:$M$297,12,FALSE))</f>
        <v>en tresses</v>
      </c>
      <c r="M133" s="858" t="str">
        <f>IF(VLOOKUP(A133,'Données de base - Grunddaten'!$A$2:$M$297,13,FALSE)="","",VLOOKUP(A133,'Données de base - Grunddaten'!$A$2:$M$297,13,FALSE))</f>
        <v>cours rectiligne (avec élargissement latéral)</v>
      </c>
      <c r="N133" s="872" t="str">
        <f>IF(VLOOKUP(A133,'Charriage - Geschiebehaushalt'!$A$4:$R$275,5,FALSE)="","",VLOOKUP(A133,'Charriage - Geschiebehaushalt'!$A$4:$R$275,5,FALSE))</f>
        <v>pertinent</v>
      </c>
      <c r="O133" s="881" t="str">
        <f>IF(VLOOKUP(A133,'Charriage - Geschiebehaushalt'!$A$4:$R$275,6,FALSE)="","",VLOOKUP(A133,'Charriage - Geschiebehaushalt'!$A$4:$R$275,6,FALSE))</f>
        <v>non documenté</v>
      </c>
      <c r="P133" s="874">
        <f>IF(VLOOKUP(A133,'Charriage - Geschiebehaushalt'!$A$4:$R$275,7,FALSE)="","",VLOOKUP(A133,'Charriage - Geschiebehaushalt'!$A$4:$R$275,7,FALSE))</f>
        <v>-4.3630512870886102</v>
      </c>
      <c r="Q133" s="898" t="str">
        <f>IF(VLOOKUP(A133,'Charriage - Geschiebehaushalt'!$A$4:$R$275,8,FALSE)="","",VLOOKUP(A133,'Charriage - Geschiebehaushalt'!$A$4:$R$275,8,FALSE))</f>
        <v>problème lié à un manque de charriage ou à un manque de remobilisation des sédiments</v>
      </c>
      <c r="R133" s="875">
        <f>IF(VLOOKUP(A133,'Charriage - Geschiebehaushalt'!$A$4:$R$275,9,FALSE)="","",VLOOKUP(A133,'Charriage - Geschiebehaushalt'!$A$4:$R$275,9,FALSE))</f>
        <v>0.80383635869196002</v>
      </c>
      <c r="S133" s="876" t="str">
        <f>IF(VLOOKUP(A133,'Charriage - Geschiebehaushalt'!$A$4:$R$275,10,FALSE)="","",VLOOKUP(A133,'Charriage - Geschiebehaushalt'!$A$4:$R$275,10,FALSE))</f>
        <v>la remobilisation des sédiments est perturbée</v>
      </c>
      <c r="T133" s="875">
        <f>IF(VLOOKUP(A133,'Charriage - Geschiebehaushalt'!$A$4:$R$275,11,FALSE)="","",VLOOKUP(A133,'Charriage - Geschiebehaushalt'!$A$4:$R$275,11,FALSE))</f>
        <v>0.30172513239999998</v>
      </c>
      <c r="U133" s="876" t="str">
        <f>IF(VLOOKUP(A133,'Charriage - Geschiebehaushalt'!$A$4:$R$275,12,FALSE)="","",VLOOKUP(A133,'Charriage - Geschiebehaushalt'!$A$4:$R$275,12,FALSE))</f>
        <v>déficit non apparent en charriage ou en remobilisation des sédiments</v>
      </c>
      <c r="V133" s="877" t="str">
        <f>IF(VLOOKUP(A133,'Charriage - Geschiebehaushalt'!$A$4:$R$275,13,FALSE)="","",VLOOKUP(A133,'Charriage - Geschiebehaushalt'!$A$4:$R$275,13,FALSE))</f>
        <v/>
      </c>
      <c r="W133" s="877" t="str">
        <f>IF(VLOOKUP(A133,'Charriage - Geschiebehaushalt'!$A$4:$R$275,14,FALSE)="","",VLOOKUP(A133,'Charriage - Geschiebehaushalt'!$A$4:$R$275,14,FALSE))</f>
        <v/>
      </c>
      <c r="X133" s="877" t="str">
        <f>IF(VLOOKUP(A133,'Charriage - Geschiebehaushalt'!$A$4:$R$275,15,FALSE)="","",VLOOKUP(A133,'Charriage - Geschiebehaushalt'!$A$4:$R$275,15,FALSE))</f>
        <v/>
      </c>
      <c r="Y133" s="879" t="str">
        <f>IF(VLOOKUP(A133,'Charriage - Geschiebehaushalt'!$A$4:$R$275,16,FALSE)="","",VLOOKUP(A133,'Charriage - Geschiebehaushalt'!$A$4:$R$275,16,FALSE))</f>
        <v/>
      </c>
      <c r="Z133" s="763" t="str">
        <f>IF(VLOOKUP(A133,'Charriage - Geschiebehaushalt'!$A$4:$R$275,17,FALSE)="","",VLOOKUP(A133,'Charriage - Geschiebehaushalt'!$A$4:$R$275,17,FALSE))</f>
        <v>Problème lié à un manque de charriage ou à un manque de remobilisation des sédiments / Problem aufgrund Geschiebemangels bzw. mangelnder Mobilisierung von Geschiebe</v>
      </c>
      <c r="AA133" s="880" t="str">
        <f>IF(VLOOKUP(A133,'Charriage - Geschiebehaushalt'!$A$4:$R$275,18,FALSE)="","",VLOOKUP(A133,'Charriage - Geschiebehaushalt'!$A$4:$R$275,18,FALSE))</f>
        <v>b</v>
      </c>
      <c r="AB133" s="737" t="str">
        <f>IF(VLOOKUP(A133,'Charriage - Geschiebehaushalt'!$A$4:$AC$275,19,FALSE)="","",VLOOKUP(A133,'Charriage - Geschiebehaushalt'!$A$4:$AC$275,19,FALSE))</f>
        <v>vernachlässigbar</v>
      </c>
      <c r="AC133" s="738">
        <f>IF(VLOOKUP(A133,'Charriage - Geschiebehaushalt'!$A$4:$AC$275,20,FALSE)="","",VLOOKUP(A133,'Charriage - Geschiebehaushalt'!$A$4:$AC$275,20,FALSE))</f>
        <v>0</v>
      </c>
      <c r="AD133" s="764" t="str">
        <f>IF(VLOOKUP(A133,'Charriage - Geschiebehaushalt'!$A$4:$AC$275,21,FALSE)="","",VLOOKUP(A133,'Charriage - Geschiebehaushalt'!$A$4:$AC$275,21,FALSE))</f>
        <v>21-50%</v>
      </c>
      <c r="AE133" s="772" t="str">
        <f>IF(VLOOKUP(A133,'Charriage - Geschiebehaushalt'!$A$4:$AC$275,22,FALSE)="","",VLOOKUP(A133,'Charriage - Geschiebehaushalt'!$A$4:$AC$275,22,FALSE))</f>
        <v>21-50%</v>
      </c>
      <c r="AF133" s="787" t="str">
        <f>IF(VLOOKUP(A133,'Charriage - Geschiebehaushalt'!$A$4:$AC$275,23,FALSE)="","",VLOOKUP(A133,'Charriage - Geschiebehaushalt'!$A$4:$AC$275,23,FALSE))</f>
        <v>c</v>
      </c>
      <c r="AG133" s="765" t="str">
        <f>IF(VLOOKUP(A133,'Charriage - Geschiebehaushalt'!$A$4:$AC$275,24,FALSE)="","",VLOOKUP(A133,'Charriage - Geschiebehaushalt'!$A$4:$AC$275,24,FALSE))</f>
        <v>charriage cours inférieur Moesa à documenter plus précisément</v>
      </c>
      <c r="AH133" s="764" t="str">
        <f>IF(VLOOKUP(A133,'Charriage - Geschiebehaushalt'!$A$4:$AC$275,25,FALSE)="","",VLOOKUP(A133,'Charriage - Geschiebehaushalt'!$A$4:$AC$275,25,FALSE))</f>
        <v/>
      </c>
      <c r="AI133" s="435" t="str">
        <f>IF(VLOOKUP(A133,'Charriage - Geschiebehaushalt'!$A$4:$AC$275,26,FALSE)="","",VLOOKUP(A133,'Charriage - Geschiebehaushalt'!$A$4:$AC$275,26,FALSE))</f>
        <v/>
      </c>
      <c r="AJ133" s="436" t="str">
        <f>IF(VLOOKUP(A133,'Charriage - Geschiebehaushalt'!$A$4:$AC$275,27,FALSE)="","",VLOOKUP(A133,'Charriage - Geschiebehaushalt'!$A$4:$AC$275,27,FALSE))</f>
        <v/>
      </c>
      <c r="AK133" s="814" t="str">
        <f>IF(VLOOKUP(A133,'Charriage - Geschiebehaushalt'!$A$4:$AC$275,28,FALSE)="","",VLOOKUP(A133,'Charriage - Geschiebehaushalt'!$A$4:$AC$275,28,FALSE))</f>
        <v>21-50%</v>
      </c>
      <c r="AL133" s="1285" t="str">
        <f>IF(VLOOKUP(A133,'Charriage - Geschiebehaushalt'!$A$4:$AD$275,30,FALSE)="","",VLOOKUP(A133,'Charriage - Geschiebehaushalt'!$A$4:$AD$275,30,FALSE))</f>
        <v>a</v>
      </c>
      <c r="AM133" s="1279" t="str">
        <f>IF(VLOOKUP(A133,'Débit - Abfluss'!$A$4:$K$275,5,FALSE)="","",VLOOKUP(A133,'Débit - Abfluss'!$A$4:$M$275,5,FALSE))</f>
        <v>81-100%</v>
      </c>
      <c r="AN133" s="868" t="str">
        <f>IF(VLOOKUP(A133,'Débit - Abfluss'!$A$4:$K$275,6,FALSE)="","",VLOOKUP(A133,'Débit - Abfluss'!$A$4:$M$275,6,FALSE))</f>
        <v/>
      </c>
      <c r="AO133" s="869" t="str">
        <f>IF(VLOOKUP(A133,'Débit - Abfluss'!$A$4:$K$275,7,FALSE)="","",VLOOKUP(A133,'Débit - Abfluss'!$A$4:$M$275,7,FALSE))</f>
        <v/>
      </c>
      <c r="AP133" s="766" t="str">
        <f>IF(VLOOKUP(A133,'Débit - Abfluss'!$A$4:$K$275,8,FALSE)="","",VLOOKUP(A133,'Débit - Abfluss'!$A$4:$M$275,8,FALSE))</f>
        <v>81-100%</v>
      </c>
      <c r="AQ133" s="742" t="str">
        <f>IF(VLOOKUP(A133,'Débit - Abfluss'!$A$4:$K$275,9,FALSE)="","",VLOOKUP(A133,'Débit - Abfluss'!$A$4:$M$275,9,FALSE))</f>
        <v>-</v>
      </c>
      <c r="AR133" s="767" t="str">
        <f>IF(VLOOKUP(A133,'Débit - Abfluss'!$A$4:$K$275,10,FALSE)="","",VLOOKUP(A133,'Débit - Abfluss'!$A$4:$M$275,10,FALSE))</f>
        <v>81-100%</v>
      </c>
      <c r="AS133" s="767" t="str">
        <f>IF(VLOOKUP(A133,'Débit - Abfluss'!$A$4:$K$275,11,FALSE)="","",VLOOKUP(A133,'Débit - Abfluss'!$A$4:$M$275,11,FALSE))</f>
        <v/>
      </c>
      <c r="AT133" s="778" t="str">
        <f>IF(VLOOKUP(A133,'Débit - Abfluss'!$A$4:$Q$275,12,FALSE)="","",VLOOKUP(A133,'Débit - Abfluss'!$A$4:$Q$275,12,FALSE))</f>
        <v/>
      </c>
      <c r="AU133" s="779" t="str">
        <f>IF(VLOOKUP(A133,'Débit - Abfluss'!$A$4:$Q$275,13,FALSE)="","",VLOOKUP(A133,'Débit - Abfluss'!$A$4:$Q$275,13,FALSE))</f>
        <v/>
      </c>
      <c r="AV133" s="746" t="str">
        <f>IF(VLOOKUP(A133,'Débit - Abfluss'!$A$4:$Q$275,14,FALSE)="","",VLOOKUP(A133,'Débit - Abfluss'!$A$4:$Q$275,14,FALSE))</f>
        <v/>
      </c>
      <c r="AW133" s="768" t="str">
        <f>IF(VLOOKUP(A133,'Débit - Abfluss'!$A$4:$Q$275,15,FALSE)="","",VLOOKUP(A133,'Débit - Abfluss'!$A$4:$Q$275,15,FALSE))</f>
        <v/>
      </c>
      <c r="AX133" s="679" t="str">
        <f>IF(VLOOKUP(A133,'Débit - Abfluss'!$A$4:$Q$275,16,FALSE)="","",VLOOKUP(A133,'Débit - Abfluss'!$A$4:$Q$275,16,FALSE))</f>
        <v/>
      </c>
      <c r="AY133" s="769" t="str">
        <f>IF(VLOOKUP(A133,'Débit - Abfluss'!$A$4:$Q$275,17,FALSE)="","",VLOOKUP(A133,'Débit - Abfluss'!$A$4:$Q$275,17,FALSE))</f>
        <v>81-100%</v>
      </c>
      <c r="AZ133" s="749" t="str">
        <f>IF(VLOOKUP(A133,'Eclusée - Schwall-Sunk'!$A$2:$F$273,5,FALSE)="","",VLOOKUP(A133,'Eclusée - Schwall-Sunk'!$A$2:$F$273,5,FALSE))</f>
        <v>force hydraulique</v>
      </c>
      <c r="BA133" s="750" t="str">
        <f>IF(VLOOKUP(A133,'Eclusée - Schwall-Sunk'!$A$2:$F$273,6,FALSE)="","",VLOOKUP(A133,'Eclusée - Schwall-Sunk'!$A$2:$F$273,6,FALSE))</f>
        <v>Potentiellement affecté / möglicherweise betroffen</v>
      </c>
      <c r="BB133" s="751">
        <f>IF(VLOOKUP(A133,'Revitalisation-Revitalisierung'!$A$4:$Z$275,5,FALSE)="","",VLOOKUP(A133,'Revitalisation-Revitalisierung'!$A$4:$Z$275,5,FALSE))</f>
        <v>32.718181818181826</v>
      </c>
      <c r="BC133" s="752">
        <f>IF(VLOOKUP(A133,'Revitalisation-Revitalisierung'!$A$4:$Z$275,6,FALSE)="","",VLOOKUP(A133,'Revitalisation-Revitalisierung'!$A$4:$Z$275,6,FALSE))</f>
        <v>70.896101296666671</v>
      </c>
      <c r="BD133" s="752">
        <f>IF(VLOOKUP(A133,'Revitalisation-Revitalisierung'!$A$4:$Z$275,7,FALSE)="","",VLOOKUP(A133,'Revitalisation-Revitalisierung'!$A$4:$Z$275,7,FALSE))</f>
        <v>38.18181818181818</v>
      </c>
      <c r="BE133" s="753" t="str">
        <f>IF(VLOOKUP(A133,'Revitalisation-Revitalisierung'!$A$4:$Z$275,8,FALSE)="","",VLOOKUP(A133,'Revitalisation-Revitalisierung'!$A$4:$Z$275,8,FALSE))</f>
        <v>très nécessaire, difficile</v>
      </c>
      <c r="BF133" s="754" t="str">
        <f>IF(VLOOKUP(A133,'Revitalisation-Revitalisierung'!$A$4:$Z$275,9,FALSE)="","",VLOOKUP(A133,'Revitalisation-Revitalisierung'!$A$4:$Z$275,9,FALSE))</f>
        <v/>
      </c>
      <c r="BG133" s="754" t="str">
        <f>IF(VLOOKUP(A133,'Revitalisation-Revitalisierung'!$A$4:$Z$275,10,FALSE)="","",VLOOKUP(A133,'Revitalisation-Revitalisierung'!$A$4:$Z$275,10,FALSE))</f>
        <v>K1</v>
      </c>
      <c r="BH133" s="755" t="str">
        <f>IF(VLOOKUP(A133,'Revitalisation-Revitalisierung'!$A$4:$Z$275,11,FALSE)="","",VLOOKUP(A133,'Revitalisation-Revitalisierung'!$A$4:$Z$275,11,FALSE))</f>
        <v/>
      </c>
      <c r="BI133" s="756" t="str">
        <f>IF(VLOOKUP(A133,'Revitalisation-Revitalisierung'!$A$4:$Z$275,12,FALSE)="","",VLOOKUP(A133,'Revitalisation-Revitalisierung'!$A$4:$Z$275,12,FALSE))</f>
        <v/>
      </c>
      <c r="BJ133" s="788" t="str">
        <f>IF(VLOOKUP(A133,'Revitalisation-Revitalisierung'!$A$4:$Z$275,13,FALSE)="","",VLOOKUP(A133,'Revitalisation-Revitalisierung'!$A$4:$Z$275,13,FALSE))</f>
        <v>Très nécessaire, facile / unbedingt nötig, einfach</v>
      </c>
      <c r="BK133" s="870" t="str">
        <f>IF(VLOOKUP(A133,'Revitalisation-Revitalisierung'!$A$4:$Z$275,14,FALSE)="","",VLOOKUP(A133,'Revitalisation-Revitalisierung'!$A$4:$Z$275,14,FALSE))</f>
        <v>b</v>
      </c>
      <c r="BL133" s="758" t="str">
        <f>IF(VLOOKUP(A133,'Revitalisation-Revitalisierung'!$A$4:$Z$275,15,FALSE)="","",VLOOKUP(A133,'Revitalisation-Revitalisierung'!$A$4:$Z$275,15,FALSE))</f>
        <v>gross</v>
      </c>
      <c r="BM133" s="759" t="str">
        <f>IF(VLOOKUP(A133,'Revitalisation-Revitalisierung'!$A$4:$Z$275,16,FALSE)="","",VLOOKUP(A133,'Revitalisation-Revitalisierung'!$A$4:$Z$275,16,FALSE))</f>
        <v>gross/mittel/minim/kein/nicht best.</v>
      </c>
      <c r="BN133" s="759" t="str">
        <f>IF(VLOOKUP(A133,'Revitalisation-Revitalisierung'!$A$4:$Z$275,17,FALSE)="","",VLOOKUP(A133,'Revitalisation-Revitalisierung'!$A$4:$Z$275,17,FALSE))</f>
        <v>hoch/mittel</v>
      </c>
      <c r="BO133" s="760" t="str">
        <f>IF(VLOOKUP(A133,'Revitalisation-Revitalisierung'!$A$4:$Z$275,18,FALSE)="","",VLOOKUP(A133,'Revitalisation-Revitalisierung'!$A$4:$Z$275,18,FALSE))</f>
        <v>Très nécessaire, facile / unbedingt nötig, einfach</v>
      </c>
      <c r="BP133" s="761" t="str">
        <f>IF(VLOOKUP(A133,'Revitalisation-Revitalisierung'!$A$4:$Z$275,19,FALSE)="","",VLOOKUP(A133,'Revitalisation-Revitalisierung'!$A$4:$Z$275,19,FALSE))</f>
        <v>Très nécessaire, facile / unbedingt nötig, einfach</v>
      </c>
      <c r="BQ133" s="759" t="str">
        <f>IF(VLOOKUP(A133,'Revitalisation-Revitalisierung'!$A$4:$Z$275,20,FALSE)="","",VLOOKUP(A133,'Revitalisation-Revitalisierung'!$A$4:$Z$275,20,FALSE))</f>
        <v>d</v>
      </c>
      <c r="BR133" s="759" t="str">
        <f>IF(VLOOKUP(A133,'Revitalisation-Revitalisierung'!$A$4:$Z$275,21,FALSE)="","",VLOOKUP(A133,'Revitalisation-Revitalisierung'!$A$4:$Z$275,21,FALSE))</f>
        <v/>
      </c>
      <c r="BS133" s="762" t="str">
        <f>IF(VLOOKUP(A133,'Revitalisation-Revitalisierung'!$A$4:$Z$275,22,FALSE)="","",VLOOKUP(A133,'Revitalisation-Revitalisierung'!$A$4:$Z$275,22,FALSE))</f>
        <v/>
      </c>
      <c r="BT133" s="700" t="str">
        <f>IF(VLOOKUP(A133,'Revitalisation-Revitalisierung'!$A$4:$Z$275,23,FALSE)="","",VLOOKUP(A133,'Revitalisation-Revitalisierung'!$A$4:$Z$275,23,FALSE))</f>
        <v/>
      </c>
      <c r="BU133" s="699" t="str">
        <f>IF(VLOOKUP(A133,'Revitalisation-Revitalisierung'!$A$4:$Z$275,24,FALSE)="","",VLOOKUP(A133,'Revitalisation-Revitalisierung'!$A$4:$Z$275,24,FALSE))</f>
        <v/>
      </c>
      <c r="BV133" s="761" t="str">
        <f>IF(VLOOKUP(A133,'Revitalisation-Revitalisierung'!$A$4:$Z$275,25,FALSE)="","",VLOOKUP(A133,'Revitalisation-Revitalisierung'!$A$4:$Z$275,25,FALSE))</f>
        <v>Très nécessaire, facile / unbedingt nötig, einfach</v>
      </c>
      <c r="BW133" s="871" t="str">
        <f>IF(VLOOKUP(A133,'Revitalisation-Revitalisierung'!$A$4:$AA$275,27,FALSE)="","",VLOOKUP(A133,'Revitalisation-Revitalisierung'!$A$4:$AA$275,27,FALSE))</f>
        <v>a</v>
      </c>
    </row>
    <row r="134" spans="1:75" ht="62.45" customHeight="1" x14ac:dyDescent="0.25">
      <c r="A134" s="935">
        <v>162</v>
      </c>
      <c r="B134" s="856">
        <f>IF(VLOOKUP(A134,'Données de base - Grunddaten'!$A$2:$M$297,2,FALSE)="","",VLOOKUP(A134,'Données de base - Grunddaten'!$A$2:$M$297,2,FALSE))</f>
        <v>1</v>
      </c>
      <c r="C134" s="857" t="str">
        <f>IF(VLOOKUP(A134,'Données de base - Grunddaten'!$A$2:$M$297,3,FALSE)="","",VLOOKUP(A134,'Données de base - Grunddaten'!$A$2:$M$297,3,FALSE))</f>
        <v>Pomareda</v>
      </c>
      <c r="D134" s="857" t="str">
        <f>IF(VLOOKUP(A134,'Données de base - Grunddaten'!$A$2:$M$297,4,FALSE)="","",VLOOKUP(A134,'Données de base - Grunddaten'!$A$2:$M$297,4,FALSE))</f>
        <v>Moesa</v>
      </c>
      <c r="E134" s="857" t="str">
        <f>IF(VLOOKUP(A134,'Données de base - Grunddaten'!$A$2:$M$297,5,FALSE)="","",VLOOKUP(A134,'Données de base - Grunddaten'!$A$2:$M$297,5,FALSE))</f>
        <v>GR</v>
      </c>
      <c r="F134" s="857" t="str">
        <f>IF(VLOOKUP(A134,'Données de base - Grunddaten'!$A$2:$M$297,6,FALSE)="","",VLOOKUP(A134,'Données de base - Grunddaten'!$A$2:$M$297,6,FALSE))</f>
        <v>Alpes méridionales</v>
      </c>
      <c r="G134" s="857" t="str">
        <f>IF(VLOOKUP(A134,'Données de base - Grunddaten'!$A$2:$M$297,7,FALSE)="","",VLOOKUP(A134,'Données de base - Grunddaten'!$A$2:$M$297,7,FALSE))</f>
        <v>Collinéen</v>
      </c>
      <c r="H134" s="857">
        <f>IF(VLOOKUP(A134,'Données de base - Grunddaten'!$A$2:$M$297,8,FALSE)="","",VLOOKUP(A134,'Données de base - Grunddaten'!$A$2:$M$297,8,FALSE))</f>
        <v>485</v>
      </c>
      <c r="I134" s="857">
        <f>IF(VLOOKUP(A134,'Données de base - Grunddaten'!$A$2:$M$297,9,FALSE)="","",VLOOKUP(A134,'Données de base - Grunddaten'!$A$2:$M$297,9,FALSE))</f>
        <v>1992</v>
      </c>
      <c r="J134" s="857">
        <f>IF(VLOOKUP(A134,'Données de base - Grunddaten'!$A$2:$M$297,10,FALSE)="","",VLOOKUP(A134,'Données de base - Grunddaten'!$A$2:$M$297,10,FALSE))</f>
        <v>61</v>
      </c>
      <c r="K134" s="857" t="str">
        <f>IF(VLOOKUP(A134,'Données de base - Grunddaten'!$A$2:$M$297,11,FALSE)="","",VLOOKUP(A134,'Données de base - Grunddaten'!$A$2:$M$297,11,FALSE))</f>
        <v>Cours d'eau naturels de l'étage collinéen du Sud des Alpes</v>
      </c>
      <c r="L134" s="857" t="str">
        <f>IF(VLOOKUP(A134,'Données de base - Grunddaten'!$A$2:$M$297,12,FALSE)="","",VLOOKUP(A134,'Données de base - Grunddaten'!$A$2:$M$297,12,FALSE))</f>
        <v>en tresses</v>
      </c>
      <c r="M134" s="858" t="str">
        <f>IF(VLOOKUP(A134,'Données de base - Grunddaten'!$A$2:$M$297,13,FALSE)="","",VLOOKUP(A134,'Données de base - Grunddaten'!$A$2:$M$297,13,FALSE))</f>
        <v>en méandres migrants</v>
      </c>
      <c r="N134" s="872" t="str">
        <f>IF(VLOOKUP(A134,'Charriage - Geschiebehaushalt'!$A$4:$R$275,5,FALSE)="","",VLOOKUP(A134,'Charriage - Geschiebehaushalt'!$A$4:$R$275,5,FALSE))</f>
        <v>pertinent</v>
      </c>
      <c r="O134" s="881" t="str">
        <f>IF(VLOOKUP(A134,'Charriage - Geschiebehaushalt'!$A$4:$R$275,6,FALSE)="","",VLOOKUP(A134,'Charriage - Geschiebehaushalt'!$A$4:$R$275,6,FALSE))</f>
        <v>non documenté</v>
      </c>
      <c r="P134" s="874" t="str">
        <f>IF(VLOOKUP(A134,'Charriage - Geschiebehaushalt'!$A$4:$R$275,7,FALSE)="","",VLOOKUP(A134,'Charriage - Geschiebehaushalt'!$A$4:$R$275,7,FALSE))</f>
        <v/>
      </c>
      <c r="Q134" s="874" t="str">
        <f>IF(VLOOKUP(A134,'Charriage - Geschiebehaushalt'!$A$4:$R$275,8,FALSE)="","",VLOOKUP(A134,'Charriage - Geschiebehaushalt'!$A$4:$R$275,8,FALSE))</f>
        <v>non documenté</v>
      </c>
      <c r="R134" s="875">
        <f>IF(VLOOKUP(A134,'Charriage - Geschiebehaushalt'!$A$4:$R$275,9,FALSE)="","",VLOOKUP(A134,'Charriage - Geschiebehaushalt'!$A$4:$R$275,9,FALSE))</f>
        <v>0.86799999999999999</v>
      </c>
      <c r="S134" s="895" t="str">
        <f>IF(VLOOKUP(A134,'Charriage - Geschiebehaushalt'!$A$4:$R$275,10,FALSE)="","",VLOOKUP(A134,'Charriage - Geschiebehaushalt'!$A$4:$R$275,10,FALSE))</f>
        <v>la remobilisation des sédiments est perturbée</v>
      </c>
      <c r="T134" s="875">
        <f>IF(VLOOKUP(A134,'Charriage - Geschiebehaushalt'!$A$4:$R$275,11,FALSE)="","",VLOOKUP(A134,'Charriage - Geschiebehaushalt'!$A$4:$R$275,11,FALSE))</f>
        <v>0.12273236718</v>
      </c>
      <c r="U134" s="876" t="str">
        <f>IF(VLOOKUP(A134,'Charriage - Geschiebehaushalt'!$A$4:$R$275,12,FALSE)="","",VLOOKUP(A134,'Charriage - Geschiebehaushalt'!$A$4:$R$275,12,FALSE))</f>
        <v>déficit dans les formations pionnières</v>
      </c>
      <c r="V134" s="877" t="str">
        <f>IF(VLOOKUP(A134,'Charriage - Geschiebehaushalt'!$A$4:$R$275,13,FALSE)="","",VLOOKUP(A134,'Charriage - Geschiebehaushalt'!$A$4:$R$275,13,FALSE))</f>
        <v/>
      </c>
      <c r="W134" s="877" t="str">
        <f>IF(VLOOKUP(A134,'Charriage - Geschiebehaushalt'!$A$4:$R$275,14,FALSE)="","",VLOOKUP(A134,'Charriage - Geschiebehaushalt'!$A$4:$R$275,14,FALSE))</f>
        <v/>
      </c>
      <c r="X134" s="877" t="str">
        <f>IF(VLOOKUP(A134,'Charriage - Geschiebehaushalt'!$A$4:$R$275,15,FALSE)="","",VLOOKUP(A134,'Charriage - Geschiebehaushalt'!$A$4:$R$275,15,FALSE))</f>
        <v/>
      </c>
      <c r="Y134" s="879" t="str">
        <f>IF(VLOOKUP(A134,'Charriage - Geschiebehaushalt'!$A$4:$R$275,16,FALSE)="","",VLOOKUP(A134,'Charriage - Geschiebehaushalt'!$A$4:$R$275,16,FALSE))</f>
        <v/>
      </c>
      <c r="Z134" s="763" t="str">
        <f>IF(VLOOKUP(A134,'Charriage - Geschiebehaushalt'!$A$4:$R$275,17,FALSE)="","",VLOOKUP(A134,'Charriage - Geschiebehaushalt'!$A$4:$R$275,17,FALSE))</f>
        <v>La remobilisation des sédiments est perturbée / Mobilisierung von Geschiebe beeinträchtigt</v>
      </c>
      <c r="AA134" s="880" t="str">
        <f>IF(VLOOKUP(A134,'Charriage - Geschiebehaushalt'!$A$4:$R$275,18,FALSE)="","",VLOOKUP(A134,'Charriage - Geschiebehaushalt'!$A$4:$R$275,18,FALSE))</f>
        <v>b</v>
      </c>
      <c r="AB134" s="737" t="str">
        <f>IF(VLOOKUP(A134,'Charriage - Geschiebehaushalt'!$A$4:$AC$275,19,FALSE)="","",VLOOKUP(A134,'Charriage - Geschiebehaushalt'!$A$4:$AC$275,19,FALSE))</f>
        <v>vernachlässigbar</v>
      </c>
      <c r="AC134" s="738">
        <f>IF(VLOOKUP(A134,'Charriage - Geschiebehaushalt'!$A$4:$AC$275,20,FALSE)="","",VLOOKUP(A134,'Charriage - Geschiebehaushalt'!$A$4:$AC$275,20,FALSE))</f>
        <v>0</v>
      </c>
      <c r="AD134" s="764" t="str">
        <f>IF(VLOOKUP(A134,'Charriage - Geschiebehaushalt'!$A$4:$AC$275,21,FALSE)="","",VLOOKUP(A134,'Charriage - Geschiebehaushalt'!$A$4:$AC$275,21,FALSE))</f>
        <v>21-50%</v>
      </c>
      <c r="AE134" s="772" t="str">
        <f>IF(VLOOKUP(A134,'Charriage - Geschiebehaushalt'!$A$4:$AC$275,22,FALSE)="","",VLOOKUP(A134,'Charriage - Geschiebehaushalt'!$A$4:$AC$275,22,FALSE))</f>
        <v>21-50%</v>
      </c>
      <c r="AF134" s="787" t="str">
        <f>IF(VLOOKUP(A134,'Charriage - Geschiebehaushalt'!$A$4:$AC$275,23,FALSE)="","",VLOOKUP(A134,'Charriage - Geschiebehaushalt'!$A$4:$AC$275,23,FALSE))</f>
        <v>d</v>
      </c>
      <c r="AG134" s="765" t="str">
        <f>IF(VLOOKUP(A134,'Charriage - Geschiebehaushalt'!$A$4:$AC$275,24,FALSE)="","",VLOOKUP(A134,'Charriage - Geschiebehaushalt'!$A$4:$AC$275,24,FALSE))</f>
        <v/>
      </c>
      <c r="AH134" s="764" t="str">
        <f>IF(VLOOKUP(A134,'Charriage - Geschiebehaushalt'!$A$4:$AC$275,25,FALSE)="","",VLOOKUP(A134,'Charriage - Geschiebehaushalt'!$A$4:$AC$275,25,FALSE))</f>
        <v/>
      </c>
      <c r="AI134" s="435" t="str">
        <f>IF(VLOOKUP(A134,'Charriage - Geschiebehaushalt'!$A$4:$AC$275,26,FALSE)="","",VLOOKUP(A134,'Charriage - Geschiebehaushalt'!$A$4:$AC$275,26,FALSE))</f>
        <v/>
      </c>
      <c r="AJ134" s="436" t="str">
        <f>IF(VLOOKUP(A134,'Charriage - Geschiebehaushalt'!$A$4:$AC$275,27,FALSE)="","",VLOOKUP(A134,'Charriage - Geschiebehaushalt'!$A$4:$AC$275,27,FALSE))</f>
        <v/>
      </c>
      <c r="AK134" s="814" t="str">
        <f>IF(VLOOKUP(A134,'Charriage - Geschiebehaushalt'!$A$4:$AC$275,28,FALSE)="","",VLOOKUP(A134,'Charriage - Geschiebehaushalt'!$A$4:$AC$275,28,FALSE))</f>
        <v>21-50%</v>
      </c>
      <c r="AL134" s="1285" t="str">
        <f>IF(VLOOKUP(A134,'Charriage - Geschiebehaushalt'!$A$4:$AD$275,30,FALSE)="","",VLOOKUP(A134,'Charriage - Geschiebehaushalt'!$A$4:$AD$275,30,FALSE))</f>
        <v>a</v>
      </c>
      <c r="AM134" s="1279" t="str">
        <f>IF(VLOOKUP(A134,'Débit - Abfluss'!$A$4:$K$275,5,FALSE)="","",VLOOKUP(A134,'Débit - Abfluss'!$A$4:$M$275,5,FALSE))</f>
        <v>21-40%</v>
      </c>
      <c r="AN134" s="868" t="str">
        <f>IF(VLOOKUP(A134,'Débit - Abfluss'!$A$4:$K$275,6,FALSE)="","",VLOOKUP(A134,'Débit - Abfluss'!$A$4:$M$275,6,FALSE))</f>
        <v/>
      </c>
      <c r="AO134" s="869" t="str">
        <f>IF(VLOOKUP(A134,'Débit - Abfluss'!$A$4:$K$275,7,FALSE)="","",VLOOKUP(A134,'Débit - Abfluss'!$A$4:$M$275,7,FALSE))</f>
        <v/>
      </c>
      <c r="AP134" s="766" t="str">
        <f>IF(VLOOKUP(A134,'Débit - Abfluss'!$A$4:$K$275,8,FALSE)="","",VLOOKUP(A134,'Débit - Abfluss'!$A$4:$M$275,8,FALSE))</f>
        <v>21-40%</v>
      </c>
      <c r="AQ134" s="678" t="str">
        <f>IF(VLOOKUP(A134,'Débit - Abfluss'!$A$4:$K$275,9,FALSE)="","",VLOOKUP(A134,'Débit - Abfluss'!$A$4:$M$275,9,FALSE))</f>
        <v>Fehlende Angaben</v>
      </c>
      <c r="AR134" s="767" t="str">
        <f>IF(VLOOKUP(A134,'Débit - Abfluss'!$A$4:$K$275,10,FALSE)="","",VLOOKUP(A134,'Débit - Abfluss'!$A$4:$M$275,10,FALSE))</f>
        <v>21-40%</v>
      </c>
      <c r="AS134" s="767" t="str">
        <f>IF(VLOOKUP(A134,'Débit - Abfluss'!$A$4:$K$275,11,FALSE)="","",VLOOKUP(A134,'Débit - Abfluss'!$A$4:$M$275,11,FALSE))</f>
        <v/>
      </c>
      <c r="AT134" s="778" t="str">
        <f>IF(VLOOKUP(A134,'Débit - Abfluss'!$A$4:$Q$275,12,FALSE)="","",VLOOKUP(A134,'Débit - Abfluss'!$A$4:$Q$275,12,FALSE))</f>
        <v/>
      </c>
      <c r="AU134" s="779" t="str">
        <f>IF(VLOOKUP(A134,'Débit - Abfluss'!$A$4:$Q$275,13,FALSE)="","",VLOOKUP(A134,'Débit - Abfluss'!$A$4:$Q$275,13,FALSE))</f>
        <v/>
      </c>
      <c r="AV134" s="746" t="str">
        <f>IF(VLOOKUP(A134,'Débit - Abfluss'!$A$4:$Q$275,14,FALSE)="","",VLOOKUP(A134,'Débit - Abfluss'!$A$4:$Q$275,14,FALSE))</f>
        <v>GR-MKW3-4</v>
      </c>
      <c r="AW134" s="768" t="str">
        <f>IF(VLOOKUP(A134,'Débit - Abfluss'!$A$4:$Q$275,15,FALSE)="","",VLOOKUP(A134,'Débit - Abfluss'!$A$4:$Q$275,15,FALSE))</f>
        <v>Soazza</v>
      </c>
      <c r="AX134" s="679" t="str">
        <f>IF(VLOOKUP(A134,'Débit - Abfluss'!$A$4:$Q$275,16,FALSE)="","",VLOOKUP(A134,'Débit - Abfluss'!$A$4:$Q$275,16,FALSE))</f>
        <v/>
      </c>
      <c r="AY134" s="769" t="str">
        <f>IF(VLOOKUP(A134,'Débit - Abfluss'!$A$4:$Q$275,17,FALSE)="","",VLOOKUP(A134,'Débit - Abfluss'!$A$4:$Q$275,17,FALSE))</f>
        <v>21-40%</v>
      </c>
      <c r="AZ134" s="749" t="str">
        <f>IF(VLOOKUP(A134,'Eclusée - Schwall-Sunk'!$A$2:$F$273,5,FALSE)="","",VLOOKUP(A134,'Eclusée - Schwall-Sunk'!$A$2:$F$273,5,FALSE))</f>
        <v>force hydraulique</v>
      </c>
      <c r="BA134" s="750" t="str">
        <f>IF(VLOOKUP(A134,'Eclusée - Schwall-Sunk'!$A$2:$F$273,6,FALSE)="","",VLOOKUP(A134,'Eclusée - Schwall-Sunk'!$A$2:$F$273,6,FALSE))</f>
        <v>Potentiellement affecté / möglicherweise betroffen</v>
      </c>
      <c r="BB134" s="751">
        <f>IF(VLOOKUP(A134,'Revitalisation-Revitalisierung'!$A$4:$Z$275,5,FALSE)="","",VLOOKUP(A134,'Revitalisation-Revitalisierung'!$A$4:$Z$275,5,FALSE))</f>
        <v>15.390909090909091</v>
      </c>
      <c r="BC134" s="752">
        <f>IF(VLOOKUP(A134,'Revitalisation-Revitalisierung'!$A$4:$Z$275,6,FALSE)="","",VLOOKUP(A134,'Revitalisation-Revitalisierung'!$A$4:$Z$275,6,FALSE))</f>
        <v>71.296420526540018</v>
      </c>
      <c r="BD134" s="752">
        <f>IF(VLOOKUP(A134,'Revitalisation-Revitalisierung'!$A$4:$Z$275,7,FALSE)="","",VLOOKUP(A134,'Revitalisation-Revitalisierung'!$A$4:$Z$275,7,FALSE))</f>
        <v>55.909090909090907</v>
      </c>
      <c r="BE134" s="753" t="str">
        <f>IF(VLOOKUP(A134,'Revitalisation-Revitalisierung'!$A$4:$Z$275,8,FALSE)="","",VLOOKUP(A134,'Revitalisation-Revitalisierung'!$A$4:$Z$275,8,FALSE))</f>
        <v>très nécessaire, difficile</v>
      </c>
      <c r="BF134" s="754" t="str">
        <f>IF(VLOOKUP(A134,'Revitalisation-Revitalisierung'!$A$4:$Z$275,9,FALSE)="","",VLOOKUP(A134,'Revitalisation-Revitalisierung'!$A$4:$Z$275,9,FALSE))</f>
        <v>schwierig</v>
      </c>
      <c r="BG134" s="754" t="str">
        <f>IF(VLOOKUP(A134,'Revitalisation-Revitalisierung'!$A$4:$Z$275,10,FALSE)="","",VLOOKUP(A134,'Revitalisation-Revitalisierung'!$A$4:$Z$275,10,FALSE))</f>
        <v/>
      </c>
      <c r="BH134" s="755" t="str">
        <f>IF(VLOOKUP(A134,'Revitalisation-Revitalisierung'!$A$4:$Z$275,11,FALSE)="","",VLOOKUP(A134,'Revitalisation-Revitalisierung'!$A$4:$Z$275,11,FALSE))</f>
        <v/>
      </c>
      <c r="BI134" s="756" t="str">
        <f>IF(VLOOKUP(A134,'Revitalisation-Revitalisierung'!$A$4:$Z$275,12,FALSE)="","",VLOOKUP(A134,'Revitalisation-Revitalisierung'!$A$4:$Z$275,12,FALSE))</f>
        <v/>
      </c>
      <c r="BJ134" s="788" t="str">
        <f>IF(VLOOKUP(A134,'Revitalisation-Revitalisierung'!$A$4:$Z$275,13,FALSE)="","",VLOOKUP(A134,'Revitalisation-Revitalisierung'!$A$4:$Z$275,13,FALSE))</f>
        <v>Très nécessaire, facile / unbedingt nötig, einfach</v>
      </c>
      <c r="BK134" s="870" t="str">
        <f>IF(VLOOKUP(A134,'Revitalisation-Revitalisierung'!$A$4:$Z$275,14,FALSE)="","",VLOOKUP(A134,'Revitalisation-Revitalisierung'!$A$4:$Z$275,14,FALSE))</f>
        <v>b</v>
      </c>
      <c r="BL134" s="758" t="str">
        <f>IF(VLOOKUP(A134,'Revitalisation-Revitalisierung'!$A$4:$Z$275,15,FALSE)="","",VLOOKUP(A134,'Revitalisation-Revitalisierung'!$A$4:$Z$275,15,FALSE))</f>
        <v>gross</v>
      </c>
      <c r="BM134" s="759" t="str">
        <f>IF(VLOOKUP(A134,'Revitalisation-Revitalisierung'!$A$4:$Z$275,16,FALSE)="","",VLOOKUP(A134,'Revitalisation-Revitalisierung'!$A$4:$Z$275,16,FALSE))</f>
        <v>gross/mittel/minim/kein/nicht best.</v>
      </c>
      <c r="BN134" s="759" t="str">
        <f>IF(VLOOKUP(A134,'Revitalisation-Revitalisierung'!$A$4:$Z$275,17,FALSE)="","",VLOOKUP(A134,'Revitalisation-Revitalisierung'!$A$4:$Z$275,17,FALSE))</f>
        <v>hoch/mittel</v>
      </c>
      <c r="BO134" s="760" t="str">
        <f>IF(VLOOKUP(A134,'Revitalisation-Revitalisierung'!$A$4:$Z$275,18,FALSE)="","",VLOOKUP(A134,'Revitalisation-Revitalisierung'!$A$4:$Z$275,18,FALSE))</f>
        <v>Très nécessaire, facile / unbedingt nötig, einfach</v>
      </c>
      <c r="BP134" s="761" t="str">
        <f>IF(VLOOKUP(A134,'Revitalisation-Revitalisierung'!$A$4:$Z$275,19,FALSE)="","",VLOOKUP(A134,'Revitalisation-Revitalisierung'!$A$4:$Z$275,19,FALSE))</f>
        <v>Très nécessaire, facile / unbedingt nötig, einfach</v>
      </c>
      <c r="BQ134" s="759" t="str">
        <f>IF(VLOOKUP(A134,'Revitalisation-Revitalisierung'!$A$4:$Z$275,20,FALSE)="","",VLOOKUP(A134,'Revitalisation-Revitalisierung'!$A$4:$Z$275,20,FALSE))</f>
        <v>d</v>
      </c>
      <c r="BR134" s="759" t="str">
        <f>IF(VLOOKUP(A134,'Revitalisation-Revitalisierung'!$A$4:$Z$275,21,FALSE)="","",VLOOKUP(A134,'Revitalisation-Revitalisierung'!$A$4:$Z$275,21,FALSE))</f>
        <v/>
      </c>
      <c r="BS134" s="762" t="str">
        <f>IF(VLOOKUP(A134,'Revitalisation-Revitalisierung'!$A$4:$Z$275,22,FALSE)="","",VLOOKUP(A134,'Revitalisation-Revitalisierung'!$A$4:$Z$275,22,FALSE))</f>
        <v/>
      </c>
      <c r="BT134" s="700" t="str">
        <f>IF(VLOOKUP(A134,'Revitalisation-Revitalisierung'!$A$4:$Z$275,23,FALSE)="","",VLOOKUP(A134,'Revitalisation-Revitalisierung'!$A$4:$Z$275,23,FALSE))</f>
        <v/>
      </c>
      <c r="BU134" s="699" t="str">
        <f>IF(VLOOKUP(A134,'Revitalisation-Revitalisierung'!$A$4:$Z$275,24,FALSE)="","",VLOOKUP(A134,'Revitalisation-Revitalisierung'!$A$4:$Z$275,24,FALSE))</f>
        <v/>
      </c>
      <c r="BV134" s="761" t="str">
        <f>IF(VLOOKUP(A134,'Revitalisation-Revitalisierung'!$A$4:$Z$275,25,FALSE)="","",VLOOKUP(A134,'Revitalisation-Revitalisierung'!$A$4:$Z$275,25,FALSE))</f>
        <v>Très nécessaire, facile / unbedingt nötig, einfach</v>
      </c>
      <c r="BW134" s="871" t="str">
        <f>IF(VLOOKUP(A134,'Revitalisation-Revitalisierung'!$A$4:$AA$275,27,FALSE)="","",VLOOKUP(A134,'Revitalisation-Revitalisierung'!$A$4:$AA$275,27,FALSE))</f>
        <v>a</v>
      </c>
    </row>
    <row r="135" spans="1:75" ht="97.15" customHeight="1" x14ac:dyDescent="0.25">
      <c r="A135" s="935">
        <v>164</v>
      </c>
      <c r="B135" s="856">
        <f>IF(VLOOKUP(A135,'Données de base - Grunddaten'!$A$2:$M$297,2,FALSE)="","",VLOOKUP(A135,'Données de base - Grunddaten'!$A$2:$M$297,2,FALSE))</f>
        <v>1</v>
      </c>
      <c r="C135" s="857" t="str">
        <f>IF(VLOOKUP(A135,'Données de base - Grunddaten'!$A$2:$M$297,3,FALSE)="","",VLOOKUP(A135,'Données de base - Grunddaten'!$A$2:$M$297,3,FALSE))</f>
        <v>Canton</v>
      </c>
      <c r="D135" s="857" t="str">
        <f>IF(VLOOKUP(A135,'Données de base - Grunddaten'!$A$2:$M$297,4,FALSE)="","",VLOOKUP(A135,'Données de base - Grunddaten'!$A$2:$M$297,4,FALSE))</f>
        <v>Moesa</v>
      </c>
      <c r="E135" s="857" t="str">
        <f>IF(VLOOKUP(A135,'Données de base - Grunddaten'!$A$2:$M$297,5,FALSE)="","",VLOOKUP(A135,'Données de base - Grunddaten'!$A$2:$M$297,5,FALSE))</f>
        <v>GR</v>
      </c>
      <c r="F135" s="857" t="str">
        <f>IF(VLOOKUP(A135,'Données de base - Grunddaten'!$A$2:$M$297,6,FALSE)="","",VLOOKUP(A135,'Données de base - Grunddaten'!$A$2:$M$297,6,FALSE))</f>
        <v>Alpes méridionales</v>
      </c>
      <c r="G135" s="857" t="str">
        <f>IF(VLOOKUP(A135,'Données de base - Grunddaten'!$A$2:$M$297,7,FALSE)="","",VLOOKUP(A135,'Données de base - Grunddaten'!$A$2:$M$297,7,FALSE))</f>
        <v>Collinéen</v>
      </c>
      <c r="H135" s="857">
        <f>IF(VLOOKUP(A135,'Données de base - Grunddaten'!$A$2:$M$297,8,FALSE)="","",VLOOKUP(A135,'Données de base - Grunddaten'!$A$2:$M$297,8,FALSE))</f>
        <v>590</v>
      </c>
      <c r="I135" s="857">
        <f>IF(VLOOKUP(A135,'Données de base - Grunddaten'!$A$2:$M$297,9,FALSE)="","",VLOOKUP(A135,'Données de base - Grunddaten'!$A$2:$M$297,9,FALSE))</f>
        <v>1992</v>
      </c>
      <c r="J135" s="857">
        <f>IF(VLOOKUP(A135,'Données de base - Grunddaten'!$A$2:$M$297,10,FALSE)="","",VLOOKUP(A135,'Données de base - Grunddaten'!$A$2:$M$297,10,FALSE))</f>
        <v>61</v>
      </c>
      <c r="K135" s="857" t="str">
        <f>IF(VLOOKUP(A135,'Données de base - Grunddaten'!$A$2:$M$297,11,FALSE)="","",VLOOKUP(A135,'Données de base - Grunddaten'!$A$2:$M$297,11,FALSE))</f>
        <v>Cours d'eau naturels de l'étage collinéen du Sud des Alpes</v>
      </c>
      <c r="L135" s="857" t="str">
        <f>IF(VLOOKUP(A135,'Données de base - Grunddaten'!$A$2:$M$297,12,FALSE)="","",VLOOKUP(A135,'Données de base - Grunddaten'!$A$2:$M$297,12,FALSE))</f>
        <v>en méandres migrants</v>
      </c>
      <c r="M135" s="858" t="str">
        <f>IF(VLOOKUP(A135,'Données de base - Grunddaten'!$A$2:$M$297,13,FALSE)="","",VLOOKUP(A135,'Données de base - Grunddaten'!$A$2:$M$297,13,FALSE))</f>
        <v>en méandres migrants</v>
      </c>
      <c r="N135" s="872" t="str">
        <f>IF(VLOOKUP(A135,'Charriage - Geschiebehaushalt'!$A$4:$R$275,5,FALSE)="","",VLOOKUP(A135,'Charriage - Geschiebehaushalt'!$A$4:$R$275,5,FALSE))</f>
        <v>pertinent</v>
      </c>
      <c r="O135" s="881" t="str">
        <f>IF(VLOOKUP(A135,'Charriage - Geschiebehaushalt'!$A$4:$R$275,6,FALSE)="","",VLOOKUP(A135,'Charriage - Geschiebehaushalt'!$A$4:$R$275,6,FALSE))</f>
        <v>non documenté</v>
      </c>
      <c r="P135" s="874" t="str">
        <f>IF(VLOOKUP(A135,'Charriage - Geschiebehaushalt'!$A$4:$R$275,7,FALSE)="","",VLOOKUP(A135,'Charriage - Geschiebehaushalt'!$A$4:$R$275,7,FALSE))</f>
        <v/>
      </c>
      <c r="Q135" s="874" t="str">
        <f>IF(VLOOKUP(A135,'Charriage - Geschiebehaushalt'!$A$4:$R$275,8,FALSE)="","",VLOOKUP(A135,'Charriage - Geschiebehaushalt'!$A$4:$R$275,8,FALSE))</f>
        <v>non documenté</v>
      </c>
      <c r="R135" s="875">
        <f>IF(VLOOKUP(A135,'Charriage - Geschiebehaushalt'!$A$4:$R$275,9,FALSE)="","",VLOOKUP(A135,'Charriage - Geschiebehaushalt'!$A$4:$R$275,9,FALSE))</f>
        <v>6.7810987129744401E-3</v>
      </c>
      <c r="S135" s="876" t="str">
        <f>IF(VLOOKUP(A135,'Charriage - Geschiebehaushalt'!$A$4:$R$275,10,FALSE)="","",VLOOKUP(A135,'Charriage - Geschiebehaushalt'!$A$4:$R$275,10,FALSE))</f>
        <v>pas ou faiblement entravé</v>
      </c>
      <c r="T135" s="875">
        <f>IF(VLOOKUP(A135,'Charriage - Geschiebehaushalt'!$A$4:$R$275,11,FALSE)="","",VLOOKUP(A135,'Charriage - Geschiebehaushalt'!$A$4:$R$275,11,FALSE))</f>
        <v>9.4646610623000005E-2</v>
      </c>
      <c r="U135" s="876" t="str">
        <f>IF(VLOOKUP(A135,'Charriage - Geschiebehaushalt'!$A$4:$R$275,12,FALSE)="","",VLOOKUP(A135,'Charriage - Geschiebehaushalt'!$A$4:$R$275,12,FALSE))</f>
        <v>déficit dans les formations pionnières</v>
      </c>
      <c r="V135" s="877" t="str">
        <f>IF(VLOOKUP(A135,'Charriage - Geschiebehaushalt'!$A$4:$R$275,13,FALSE)="","",VLOOKUP(A135,'Charriage - Geschiebehaushalt'!$A$4:$R$275,13,FALSE))</f>
        <v>Objet situé sous des gorges. Cours large, tendance à bras multiples (tresses). Mais proximité autoroute ne permet peut-être pas charriage naturel</v>
      </c>
      <c r="W135" s="878" t="str">
        <f>IF(VLOOKUP(A135,'Charriage - Geschiebehaushalt'!$A$4:$R$275,14,FALSE)="","",VLOOKUP(A135,'Charriage - Geschiebehaushalt'!$A$4:$R$275,14,FALSE))</f>
        <v>charriage présumé faiblement perturbé</v>
      </c>
      <c r="X135" s="878" t="str">
        <f>IF(VLOOKUP(A135,'Charriage - Geschiebehaushalt'!$A$4:$R$275,15,FALSE)="","",VLOOKUP(A135,'Charriage - Geschiebehaushalt'!$A$4:$R$275,15,FALSE))</f>
        <v/>
      </c>
      <c r="Y135" s="882" t="str">
        <f>IF(VLOOKUP(A135,'Charriage - Geschiebehaushalt'!$A$4:$R$275,16,FALSE)="","",VLOOKUP(A135,'Charriage - Geschiebehaushalt'!$A$4:$R$275,16,FALSE))</f>
        <v/>
      </c>
      <c r="Z135" s="763" t="str">
        <f>IF(VLOOKUP(A135,'Charriage - Geschiebehaushalt'!$A$4:$R$275,17,FALSE)="","",VLOOKUP(A135,'Charriage - Geschiebehaushalt'!$A$4:$R$275,17,FALSE))</f>
        <v>Charriage présumé faiblement perturbé / Geschiebe vermutlich leicht beeinträchtigt</v>
      </c>
      <c r="AA135" s="880" t="str">
        <f>IF(VLOOKUP(A135,'Charriage - Geschiebehaushalt'!$A$4:$R$275,18,FALSE)="","",VLOOKUP(A135,'Charriage - Geschiebehaushalt'!$A$4:$R$275,18,FALSE))</f>
        <v>b</v>
      </c>
      <c r="AB135" s="737" t="str">
        <f>IF(VLOOKUP(A135,'Charriage - Geschiebehaushalt'!$A$4:$AC$275,19,FALSE)="","",VLOOKUP(A135,'Charriage - Geschiebehaushalt'!$A$4:$AC$275,19,FALSE))</f>
        <v>vernachlässigbar</v>
      </c>
      <c r="AC135" s="738">
        <f>IF(VLOOKUP(A135,'Charriage - Geschiebehaushalt'!$A$4:$AC$275,20,FALSE)="","",VLOOKUP(A135,'Charriage - Geschiebehaushalt'!$A$4:$AC$275,20,FALSE))</f>
        <v>0</v>
      </c>
      <c r="AD135" s="764" t="str">
        <f>IF(VLOOKUP(A135,'Charriage - Geschiebehaushalt'!$A$4:$AC$275,21,FALSE)="","",VLOOKUP(A135,'Charriage - Geschiebehaushalt'!$A$4:$AC$275,21,FALSE))</f>
        <v>21-50%</v>
      </c>
      <c r="AE135" s="772" t="str">
        <f>IF(VLOOKUP(A135,'Charriage - Geschiebehaushalt'!$A$4:$AC$275,22,FALSE)="","",VLOOKUP(A135,'Charriage - Geschiebehaushalt'!$A$4:$AC$275,22,FALSE))</f>
        <v>21-50%</v>
      </c>
      <c r="AF135" s="787" t="str">
        <f>IF(VLOOKUP(A135,'Charriage - Geschiebehaushalt'!$A$4:$AC$275,23,FALSE)="","",VLOOKUP(A135,'Charriage - Geschiebehaushalt'!$A$4:$AC$275,23,FALSE))</f>
        <v>d</v>
      </c>
      <c r="AG135" s="765" t="str">
        <f>IF(VLOOKUP(A135,'Charriage - Geschiebehaushalt'!$A$4:$AC$275,24,FALSE)="","",VLOOKUP(A135,'Charriage - Geschiebehaushalt'!$A$4:$AC$275,24,FALSE))</f>
        <v/>
      </c>
      <c r="AH135" s="764" t="str">
        <f>IF(VLOOKUP(A135,'Charriage - Geschiebehaushalt'!$A$4:$AC$275,25,FALSE)="","",VLOOKUP(A135,'Charriage - Geschiebehaushalt'!$A$4:$AC$275,25,FALSE))</f>
        <v/>
      </c>
      <c r="AI135" s="435" t="str">
        <f>IF(VLOOKUP(A135,'Charriage - Geschiebehaushalt'!$A$4:$AC$275,26,FALSE)="","",VLOOKUP(A135,'Charriage - Geschiebehaushalt'!$A$4:$AC$275,26,FALSE))</f>
        <v/>
      </c>
      <c r="AJ135" s="436" t="str">
        <f>IF(VLOOKUP(A135,'Charriage - Geschiebehaushalt'!$A$4:$AC$275,27,FALSE)="","",VLOOKUP(A135,'Charriage - Geschiebehaushalt'!$A$4:$AC$275,27,FALSE))</f>
        <v/>
      </c>
      <c r="AK135" s="814" t="str">
        <f>IF(VLOOKUP(A135,'Charriage - Geschiebehaushalt'!$A$4:$AC$275,28,FALSE)="","",VLOOKUP(A135,'Charriage - Geschiebehaushalt'!$A$4:$AC$275,28,FALSE))</f>
        <v>21-50%</v>
      </c>
      <c r="AL135" s="1285" t="str">
        <f>IF(VLOOKUP(A135,'Charriage - Geschiebehaushalt'!$A$4:$AD$275,30,FALSE)="","",VLOOKUP(A135,'Charriage - Geschiebehaushalt'!$A$4:$AD$275,30,FALSE))</f>
        <v>a</v>
      </c>
      <c r="AM135" s="1279" t="str">
        <f>IF(VLOOKUP(A135,'Débit - Abfluss'!$A$4:$K$275,5,FALSE)="","",VLOOKUP(A135,'Débit - Abfluss'!$A$4:$M$275,5,FALSE))</f>
        <v>21-40%</v>
      </c>
      <c r="AN135" s="868" t="str">
        <f>IF(VLOOKUP(A135,'Débit - Abfluss'!$A$4:$K$275,6,FALSE)="","",VLOOKUP(A135,'Débit - Abfluss'!$A$4:$M$275,6,FALSE))</f>
        <v/>
      </c>
      <c r="AO135" s="869" t="str">
        <f>IF(VLOOKUP(A135,'Débit - Abfluss'!$A$4:$K$275,7,FALSE)="","",VLOOKUP(A135,'Débit - Abfluss'!$A$4:$M$275,7,FALSE))</f>
        <v/>
      </c>
      <c r="AP135" s="766" t="str">
        <f>IF(VLOOKUP(A135,'Débit - Abfluss'!$A$4:$K$275,8,FALSE)="","",VLOOKUP(A135,'Débit - Abfluss'!$A$4:$M$275,8,FALSE))</f>
        <v>21-40%</v>
      </c>
      <c r="AQ135" s="678" t="str">
        <f>IF(VLOOKUP(A135,'Débit - Abfluss'!$A$4:$K$275,9,FALSE)="","",VLOOKUP(A135,'Débit - Abfluss'!$A$4:$M$275,9,FALSE))</f>
        <v>Fehlende Angaben</v>
      </c>
      <c r="AR135" s="767" t="str">
        <f>IF(VLOOKUP(A135,'Débit - Abfluss'!$A$4:$K$275,10,FALSE)="","",VLOOKUP(A135,'Débit - Abfluss'!$A$4:$M$275,10,FALSE))</f>
        <v>21-40%</v>
      </c>
      <c r="AS135" s="767" t="str">
        <f>IF(VLOOKUP(A135,'Débit - Abfluss'!$A$4:$K$275,11,FALSE)="","",VLOOKUP(A135,'Débit - Abfluss'!$A$4:$M$275,11,FALSE))</f>
        <v/>
      </c>
      <c r="AT135" s="778" t="str">
        <f>IF(VLOOKUP(A135,'Débit - Abfluss'!$A$4:$Q$275,12,FALSE)="","",VLOOKUP(A135,'Débit - Abfluss'!$A$4:$Q$275,12,FALSE))</f>
        <v/>
      </c>
      <c r="AU135" s="779" t="str">
        <f>IF(VLOOKUP(A135,'Débit - Abfluss'!$A$4:$Q$275,13,FALSE)="","",VLOOKUP(A135,'Débit - Abfluss'!$A$4:$Q$275,13,FALSE))</f>
        <v/>
      </c>
      <c r="AV135" s="746" t="str">
        <f>IF(VLOOKUP(A135,'Débit - Abfluss'!$A$4:$Q$275,14,FALSE)="","",VLOOKUP(A135,'Débit - Abfluss'!$A$4:$Q$275,14,FALSE))</f>
        <v>GR-MKW3-4</v>
      </c>
      <c r="AW135" s="768" t="str">
        <f>IF(VLOOKUP(A135,'Débit - Abfluss'!$A$4:$Q$275,15,FALSE)="","",VLOOKUP(A135,'Débit - Abfluss'!$A$4:$Q$275,15,FALSE))</f>
        <v>Soazza</v>
      </c>
      <c r="AX135" s="679" t="str">
        <f>IF(VLOOKUP(A135,'Débit - Abfluss'!$A$4:$Q$275,16,FALSE)="","",VLOOKUP(A135,'Débit - Abfluss'!$A$4:$Q$275,16,FALSE))</f>
        <v/>
      </c>
      <c r="AY135" s="769" t="str">
        <f>IF(VLOOKUP(A135,'Débit - Abfluss'!$A$4:$Q$275,17,FALSE)="","",VLOOKUP(A135,'Débit - Abfluss'!$A$4:$Q$275,17,FALSE))</f>
        <v>21-40%</v>
      </c>
      <c r="AZ135" s="749" t="str">
        <f>IF(VLOOKUP(A135,'Eclusée - Schwall-Sunk'!$A$2:$F$273,5,FALSE)="","",VLOOKUP(A135,'Eclusée - Schwall-Sunk'!$A$2:$F$273,5,FALSE))</f>
        <v>force hydraulique</v>
      </c>
      <c r="BA135" s="750" t="str">
        <f>IF(VLOOKUP(A135,'Eclusée - Schwall-Sunk'!$A$2:$F$273,6,FALSE)="","",VLOOKUP(A135,'Eclusée - Schwall-Sunk'!$A$2:$F$273,6,FALSE))</f>
        <v>Non affecté / nicht betroffen</v>
      </c>
      <c r="BB135" s="751">
        <f>IF(VLOOKUP(A135,'Revitalisation-Revitalisierung'!$A$4:$Z$275,5,FALSE)="","",VLOOKUP(A135,'Revitalisation-Revitalisierung'!$A$4:$Z$275,5,FALSE))</f>
        <v>-3.1818181818181817</v>
      </c>
      <c r="BC135" s="752">
        <f>IF(VLOOKUP(A135,'Revitalisation-Revitalisierung'!$A$4:$Z$275,6,FALSE)="","",VLOOKUP(A135,'Revitalisation-Revitalisierung'!$A$4:$Z$275,6,FALSE))</f>
        <v>0</v>
      </c>
      <c r="BD135" s="752">
        <f>IF(VLOOKUP(A135,'Revitalisation-Revitalisierung'!$A$4:$Z$275,7,FALSE)="","",VLOOKUP(A135,'Revitalisation-Revitalisierung'!$A$4:$Z$275,7,FALSE))</f>
        <v>3.1818181818181817</v>
      </c>
      <c r="BE135" s="753" t="str">
        <f>IF(VLOOKUP(A135,'Revitalisation-Revitalisierung'!$A$4:$Z$275,8,FALSE)="","",VLOOKUP(A135,'Revitalisation-Revitalisierung'!$A$4:$Z$275,8,FALSE))</f>
        <v>non nécessaire</v>
      </c>
      <c r="BF135" s="754" t="str">
        <f>IF(VLOOKUP(A135,'Revitalisation-Revitalisierung'!$A$4:$Z$275,9,FALSE)="","",VLOOKUP(A135,'Revitalisation-Revitalisierung'!$A$4:$Z$275,9,FALSE))</f>
        <v/>
      </c>
      <c r="BG135" s="754" t="str">
        <f>IF(VLOOKUP(A135,'Revitalisation-Revitalisierung'!$A$4:$Z$275,10,FALSE)="","",VLOOKUP(A135,'Revitalisation-Revitalisierung'!$A$4:$Z$275,10,FALSE))</f>
        <v>K3</v>
      </c>
      <c r="BH135" s="755" t="str">
        <f>IF(VLOOKUP(A135,'Revitalisation-Revitalisierung'!$A$4:$Z$275,11,FALSE)="","",VLOOKUP(A135,'Revitalisation-Revitalisierung'!$A$4:$Z$275,11,FALSE))</f>
        <v/>
      </c>
      <c r="BI135" s="756" t="str">
        <f>IF(VLOOKUP(A135,'Revitalisation-Revitalisierung'!$A$4:$Z$275,12,FALSE)="","",VLOOKUP(A135,'Revitalisation-Revitalisierung'!$A$4:$Z$275,12,FALSE))</f>
        <v/>
      </c>
      <c r="BJ135" s="788" t="str">
        <f>IF(VLOOKUP(A135,'Revitalisation-Revitalisierung'!$A$4:$Z$275,13,FALSE)="","",VLOOKUP(A135,'Revitalisation-Revitalisierung'!$A$4:$Z$275,13,FALSE))</f>
        <v>Non nécessaire / nicht nötig</v>
      </c>
      <c r="BK135" s="870" t="str">
        <f>IF(VLOOKUP(A135,'Revitalisation-Revitalisierung'!$A$4:$Z$275,14,FALSE)="","",VLOOKUP(A135,'Revitalisation-Revitalisierung'!$A$4:$Z$275,14,FALSE))</f>
        <v>a</v>
      </c>
      <c r="BL135" s="758" t="str">
        <f>IF(VLOOKUP(A135,'Revitalisation-Revitalisierung'!$A$4:$Z$275,15,FALSE)="","",VLOOKUP(A135,'Revitalisation-Revitalisierung'!$A$4:$Z$275,15,FALSE))</f>
        <v>gross</v>
      </c>
      <c r="BM135" s="759" t="str">
        <f>IF(VLOOKUP(A135,'Revitalisation-Revitalisierung'!$A$4:$Z$275,16,FALSE)="","",VLOOKUP(A135,'Revitalisation-Revitalisierung'!$A$4:$Z$275,16,FALSE))</f>
        <v>kein/nicht best.</v>
      </c>
      <c r="BN135" s="759" t="str">
        <f>IF(VLOOKUP(A135,'Revitalisation-Revitalisierung'!$A$4:$Z$275,17,FALSE)="","",VLOOKUP(A135,'Revitalisation-Revitalisierung'!$A$4:$Z$275,17,FALSE))</f>
        <v>gering</v>
      </c>
      <c r="BO135" s="760" t="str">
        <f>IF(VLOOKUP(A135,'Revitalisation-Revitalisierung'!$A$4:$Z$275,18,FALSE)="","",VLOOKUP(A135,'Revitalisation-Revitalisierung'!$A$4:$Z$275,18,FALSE))</f>
        <v>Non nécessaire / nicht nötig</v>
      </c>
      <c r="BP135" s="761" t="str">
        <f>IF(VLOOKUP(A135,'Revitalisation-Revitalisierung'!$A$4:$Z$275,19,FALSE)="","",VLOOKUP(A135,'Revitalisation-Revitalisierung'!$A$4:$Z$275,19,FALSE))</f>
        <v>Non nécessaire / nicht nötig</v>
      </c>
      <c r="BQ135" s="759" t="str">
        <f>IF(VLOOKUP(A135,'Revitalisation-Revitalisierung'!$A$4:$Z$275,20,FALSE)="","",VLOOKUP(A135,'Revitalisation-Revitalisierung'!$A$4:$Z$275,20,FALSE))</f>
        <v>d</v>
      </c>
      <c r="BR135" s="759" t="str">
        <f>IF(VLOOKUP(A135,'Revitalisation-Revitalisierung'!$A$4:$Z$275,21,FALSE)="","",VLOOKUP(A135,'Revitalisation-Revitalisierung'!$A$4:$Z$275,21,FALSE))</f>
        <v/>
      </c>
      <c r="BS135" s="762" t="str">
        <f>IF(VLOOKUP(A135,'Revitalisation-Revitalisierung'!$A$4:$Z$275,22,FALSE)="","",VLOOKUP(A135,'Revitalisation-Revitalisierung'!$A$4:$Z$275,22,FALSE))</f>
        <v/>
      </c>
      <c r="BT135" s="700" t="str">
        <f>IF(VLOOKUP(A135,'Revitalisation-Revitalisierung'!$A$4:$Z$275,23,FALSE)="","",VLOOKUP(A135,'Revitalisation-Revitalisierung'!$A$4:$Z$275,23,FALSE))</f>
        <v/>
      </c>
      <c r="BU135" s="699" t="str">
        <f>IF(VLOOKUP(A135,'Revitalisation-Revitalisierung'!$A$4:$Z$275,24,FALSE)="","",VLOOKUP(A135,'Revitalisation-Revitalisierung'!$A$4:$Z$275,24,FALSE))</f>
        <v/>
      </c>
      <c r="BV135" s="761" t="str">
        <f>IF(VLOOKUP(A135,'Revitalisation-Revitalisierung'!$A$4:$Z$275,25,FALSE)="","",VLOOKUP(A135,'Revitalisation-Revitalisierung'!$A$4:$Z$275,25,FALSE))</f>
        <v>Non nécessaire / nicht nötig</v>
      </c>
      <c r="BW135" s="871" t="str">
        <f>IF(VLOOKUP(A135,'Revitalisation-Revitalisierung'!$A$4:$AA$275,27,FALSE)="","",VLOOKUP(A135,'Revitalisation-Revitalisierung'!$A$4:$AA$275,27,FALSE))</f>
        <v>a</v>
      </c>
    </row>
    <row r="136" spans="1:75" ht="69.599999999999994" customHeight="1" x14ac:dyDescent="0.25">
      <c r="A136" s="935">
        <v>166</v>
      </c>
      <c r="B136" s="856">
        <f>IF(VLOOKUP(A136,'Données de base - Grunddaten'!$A$2:$M$297,2,FALSE)="","",VLOOKUP(A136,'Données de base - Grunddaten'!$A$2:$M$297,2,FALSE))</f>
        <v>1</v>
      </c>
      <c r="C136" s="857" t="str">
        <f>IF(VLOOKUP(A136,'Données de base - Grunddaten'!$A$2:$M$297,3,FALSE)="","",VLOOKUP(A136,'Données de base - Grunddaten'!$A$2:$M$297,3,FALSE))</f>
        <v>Pian di Alne</v>
      </c>
      <c r="D136" s="857" t="str">
        <f>IF(VLOOKUP(A136,'Données de base - Grunddaten'!$A$2:$M$297,4,FALSE)="","",VLOOKUP(A136,'Données de base - Grunddaten'!$A$2:$M$297,4,FALSE))</f>
        <v>Calancasca</v>
      </c>
      <c r="E136" s="857" t="str">
        <f>IF(VLOOKUP(A136,'Données de base - Grunddaten'!$A$2:$M$297,5,FALSE)="","",VLOOKUP(A136,'Données de base - Grunddaten'!$A$2:$M$297,5,FALSE))</f>
        <v>GR</v>
      </c>
      <c r="F136" s="857" t="str">
        <f>IF(VLOOKUP(A136,'Données de base - Grunddaten'!$A$2:$M$297,6,FALSE)="","",VLOOKUP(A136,'Données de base - Grunddaten'!$A$2:$M$297,6,FALSE))</f>
        <v>Alpes méridionales</v>
      </c>
      <c r="G136" s="857" t="str">
        <f>IF(VLOOKUP(A136,'Données de base - Grunddaten'!$A$2:$M$297,7,FALSE)="","",VLOOKUP(A136,'Données de base - Grunddaten'!$A$2:$M$297,7,FALSE))</f>
        <v>Montagnard sup.</v>
      </c>
      <c r="H136" s="857">
        <f>IF(VLOOKUP(A136,'Données de base - Grunddaten'!$A$2:$M$297,8,FALSE)="","",VLOOKUP(A136,'Données de base - Grunddaten'!$A$2:$M$297,8,FALSE))</f>
        <v>985</v>
      </c>
      <c r="I136" s="857">
        <f>IF(VLOOKUP(A136,'Données de base - Grunddaten'!$A$2:$M$297,9,FALSE)="","",VLOOKUP(A136,'Données de base - Grunddaten'!$A$2:$M$297,9,FALSE))</f>
        <v>1992</v>
      </c>
      <c r="J136" s="857">
        <f>IF(VLOOKUP(A136,'Données de base - Grunddaten'!$A$2:$M$297,10,FALSE)="","",VLOOKUP(A136,'Données de base - Grunddaten'!$A$2:$M$297,10,FALSE))</f>
        <v>42</v>
      </c>
      <c r="K136" s="857" t="str">
        <f>IF(VLOOKUP(A136,'Données de base - Grunddaten'!$A$2:$M$297,11,FALSE)="","",VLOOKUP(A136,'Données de base - Grunddaten'!$A$2:$M$297,11,FALSE))</f>
        <v>Cours d'eau corrigés de l'étage montagnard</v>
      </c>
      <c r="L136" s="857" t="str">
        <f>IF(VLOOKUP(A136,'Données de base - Grunddaten'!$A$2:$M$297,12,FALSE)="","",VLOOKUP(A136,'Données de base - Grunddaten'!$A$2:$M$297,12,FALSE))</f>
        <v>en tresses</v>
      </c>
      <c r="M136" s="858" t="str">
        <f>IF(VLOOKUP(A136,'Données de base - Grunddaten'!$A$2:$M$297,13,FALSE)="","",VLOOKUP(A136,'Données de base - Grunddaten'!$A$2:$M$297,13,FALSE))</f>
        <v>en tresses (dégradé)</v>
      </c>
      <c r="N136" s="872" t="str">
        <f>IF(VLOOKUP(A136,'Charriage - Geschiebehaushalt'!$A$4:$R$275,5,FALSE)="","",VLOOKUP(A136,'Charriage - Geschiebehaushalt'!$A$4:$R$275,5,FALSE))</f>
        <v>pertinent</v>
      </c>
      <c r="O136" s="881" t="str">
        <f>IF(VLOOKUP(A136,'Charriage - Geschiebehaushalt'!$A$4:$R$275,6,FALSE)="","",VLOOKUP(A136,'Charriage - Geschiebehaushalt'!$A$4:$R$275,6,FALSE))</f>
        <v>non documenté</v>
      </c>
      <c r="P136" s="874" t="str">
        <f>IF(VLOOKUP(A136,'Charriage - Geschiebehaushalt'!$A$4:$R$275,7,FALSE)="","",VLOOKUP(A136,'Charriage - Geschiebehaushalt'!$A$4:$R$275,7,FALSE))</f>
        <v/>
      </c>
      <c r="Q136" s="874" t="str">
        <f>IF(VLOOKUP(A136,'Charriage - Geschiebehaushalt'!$A$4:$R$275,8,FALSE)="","",VLOOKUP(A136,'Charriage - Geschiebehaushalt'!$A$4:$R$275,8,FALSE))</f>
        <v>non documenté</v>
      </c>
      <c r="R136" s="875">
        <f>IF(VLOOKUP(A136,'Charriage - Geschiebehaushalt'!$A$4:$R$275,9,FALSE)="","",VLOOKUP(A136,'Charriage - Geschiebehaushalt'!$A$4:$R$275,9,FALSE))</f>
        <v>0.78351997556178898</v>
      </c>
      <c r="S136" s="895" t="str">
        <f>IF(VLOOKUP(A136,'Charriage - Geschiebehaushalt'!$A$4:$R$275,10,FALSE)="","",VLOOKUP(A136,'Charriage - Geschiebehaushalt'!$A$4:$R$275,10,FALSE))</f>
        <v>la remobilisation des sédiments est perturbée</v>
      </c>
      <c r="T136" s="875">
        <f>IF(VLOOKUP(A136,'Charriage - Geschiebehaushalt'!$A$4:$R$275,11,FALSE)="","",VLOOKUP(A136,'Charriage - Geschiebehaushalt'!$A$4:$R$275,11,FALSE))</f>
        <v>0.38657007724999998</v>
      </c>
      <c r="U136" s="876" t="str">
        <f>IF(VLOOKUP(A136,'Charriage - Geschiebehaushalt'!$A$4:$R$275,12,FALSE)="","",VLOOKUP(A136,'Charriage - Geschiebehaushalt'!$A$4:$R$275,12,FALSE))</f>
        <v>déficit non apparent en charriage ou en remobilisation des sédiments</v>
      </c>
      <c r="V136" s="877" t="str">
        <f>IF(VLOOKUP(A136,'Charriage - Geschiebehaushalt'!$A$4:$R$275,13,FALSE)="","",VLOOKUP(A136,'Charriage - Geschiebehaushalt'!$A$4:$R$275,13,FALSE))</f>
        <v/>
      </c>
      <c r="W136" s="877" t="str">
        <f>IF(VLOOKUP(A136,'Charriage - Geschiebehaushalt'!$A$4:$R$275,14,FALSE)="","",VLOOKUP(A136,'Charriage - Geschiebehaushalt'!$A$4:$R$275,14,FALSE))</f>
        <v/>
      </c>
      <c r="X136" s="877" t="str">
        <f>IF(VLOOKUP(A136,'Charriage - Geschiebehaushalt'!$A$4:$R$275,15,FALSE)="","",VLOOKUP(A136,'Charriage - Geschiebehaushalt'!$A$4:$R$275,15,FALSE))</f>
        <v/>
      </c>
      <c r="Y136" s="879" t="str">
        <f>IF(VLOOKUP(A136,'Charriage - Geschiebehaushalt'!$A$4:$R$275,16,FALSE)="","",VLOOKUP(A136,'Charriage - Geschiebehaushalt'!$A$4:$R$275,16,FALSE))</f>
        <v/>
      </c>
      <c r="Z136" s="763" t="str">
        <f>IF(VLOOKUP(A136,'Charriage - Geschiebehaushalt'!$A$4:$R$275,17,FALSE)="","",VLOOKUP(A136,'Charriage - Geschiebehaushalt'!$A$4:$R$275,17,FALSE))</f>
        <v>La remobilisation des sédiments est perturbée / Mobilisierung von Geschiebe beeinträchtigt</v>
      </c>
      <c r="AA136" s="880" t="str">
        <f>IF(VLOOKUP(A136,'Charriage - Geschiebehaushalt'!$A$4:$R$275,18,FALSE)="","",VLOOKUP(A136,'Charriage - Geschiebehaushalt'!$A$4:$R$275,18,FALSE))</f>
        <v>b</v>
      </c>
      <c r="AB136" s="737" t="str">
        <f>IF(VLOOKUP(A136,'Charriage - Geschiebehaushalt'!$A$4:$AC$275,19,FALSE)="","",VLOOKUP(A136,'Charriage - Geschiebehaushalt'!$A$4:$AC$275,19,FALSE))</f>
        <v>keine</v>
      </c>
      <c r="AC136" s="738">
        <f>IF(VLOOKUP(A136,'Charriage - Geschiebehaushalt'!$A$4:$AC$275,20,FALSE)="","",VLOOKUP(A136,'Charriage - Geschiebehaushalt'!$A$4:$AC$275,20,FALSE))</f>
        <v>0</v>
      </c>
      <c r="AD136" s="764" t="str">
        <f>IF(VLOOKUP(A136,'Charriage - Geschiebehaushalt'!$A$4:$AC$275,21,FALSE)="","",VLOOKUP(A136,'Charriage - Geschiebehaushalt'!$A$4:$AC$275,21,FALSE))</f>
        <v>0-20%</v>
      </c>
      <c r="AE136" s="772" t="str">
        <f>IF(VLOOKUP(A136,'Charriage - Geschiebehaushalt'!$A$4:$AC$275,22,FALSE)="","",VLOOKUP(A136,'Charriage - Geschiebehaushalt'!$A$4:$AC$275,22,FALSE))</f>
        <v>0-20%</v>
      </c>
      <c r="AF136" s="787" t="str">
        <f>IF(VLOOKUP(A136,'Charriage - Geschiebehaushalt'!$A$4:$AC$275,23,FALSE)="","",VLOOKUP(A136,'Charriage - Geschiebehaushalt'!$A$4:$AC$275,23,FALSE))</f>
        <v>c</v>
      </c>
      <c r="AG136" s="765" t="str">
        <f>IF(VLOOKUP(A136,'Charriage - Geschiebehaushalt'!$A$4:$AC$275,24,FALSE)="","",VLOOKUP(A136,'Charriage - Geschiebehaushalt'!$A$4:$AC$275,24,FALSE))</f>
        <v/>
      </c>
      <c r="AH136" s="764" t="str">
        <f>IF(VLOOKUP(A136,'Charriage - Geschiebehaushalt'!$A$4:$AC$275,25,FALSE)="","",VLOOKUP(A136,'Charriage - Geschiebehaushalt'!$A$4:$AC$275,25,FALSE))</f>
        <v/>
      </c>
      <c r="AI136" s="435" t="str">
        <f>IF(VLOOKUP(A136,'Charriage - Geschiebehaushalt'!$A$4:$AC$275,26,FALSE)="","",VLOOKUP(A136,'Charriage - Geschiebehaushalt'!$A$4:$AC$275,26,FALSE))</f>
        <v/>
      </c>
      <c r="AJ136" s="436" t="str">
        <f>IF(VLOOKUP(A136,'Charriage - Geschiebehaushalt'!$A$4:$AC$275,27,FALSE)="","",VLOOKUP(A136,'Charriage - Geschiebehaushalt'!$A$4:$AC$275,27,FALSE))</f>
        <v/>
      </c>
      <c r="AK136" s="814" t="str">
        <f>IF(VLOOKUP(A136,'Charriage - Geschiebehaushalt'!$A$4:$AC$275,28,FALSE)="","",VLOOKUP(A136,'Charriage - Geschiebehaushalt'!$A$4:$AC$275,28,FALSE))</f>
        <v>0-20%</v>
      </c>
      <c r="AL136" s="1285" t="str">
        <f>IF(VLOOKUP(A136,'Charriage - Geschiebehaushalt'!$A$4:$AD$275,30,FALSE)="","",VLOOKUP(A136,'Charriage - Geschiebehaushalt'!$A$4:$AD$275,30,FALSE))</f>
        <v>a</v>
      </c>
      <c r="AM136" s="1279" t="str">
        <f>IF(VLOOKUP(A136,'Débit - Abfluss'!$A$4:$K$275,5,FALSE)="","",VLOOKUP(A136,'Débit - Abfluss'!$A$4:$M$275,5,FALSE))</f>
        <v>41-60%</v>
      </c>
      <c r="AN136" s="868" t="str">
        <f>IF(VLOOKUP(A136,'Débit - Abfluss'!$A$4:$K$275,6,FALSE)="","",VLOOKUP(A136,'Débit - Abfluss'!$A$4:$M$275,6,FALSE))</f>
        <v/>
      </c>
      <c r="AO136" s="869" t="str">
        <f>IF(VLOOKUP(A136,'Débit - Abfluss'!$A$4:$K$275,7,FALSE)="","",VLOOKUP(A136,'Débit - Abfluss'!$A$4:$M$275,7,FALSE))</f>
        <v/>
      </c>
      <c r="AP136" s="766" t="str">
        <f>IF(VLOOKUP(A136,'Débit - Abfluss'!$A$4:$K$275,8,FALSE)="","",VLOOKUP(A136,'Débit - Abfluss'!$A$4:$M$275,8,FALSE))</f>
        <v>41-60%</v>
      </c>
      <c r="AQ136" s="678" t="str">
        <f>IF(VLOOKUP(A136,'Débit - Abfluss'!$A$4:$K$275,9,FALSE)="","",VLOOKUP(A136,'Débit - Abfluss'!$A$4:$M$275,9,FALSE))</f>
        <v>Fehlende Angaben</v>
      </c>
      <c r="AR136" s="770" t="str">
        <f>IF(VLOOKUP(A136,'Débit - Abfluss'!$A$4:$K$275,10,FALSE)="","",VLOOKUP(A136,'Débit - Abfluss'!$A$4:$M$275,10,FALSE))</f>
        <v>41-60%</v>
      </c>
      <c r="AS136" s="767" t="str">
        <f>IF(VLOOKUP(A136,'Débit - Abfluss'!$A$4:$K$275,11,FALSE)="","",VLOOKUP(A136,'Débit - Abfluss'!$A$4:$M$275,11,FALSE))</f>
        <v/>
      </c>
      <c r="AT136" s="778" t="str">
        <f>IF(VLOOKUP(A136,'Débit - Abfluss'!$A$4:$Q$275,12,FALSE)="","",VLOOKUP(A136,'Débit - Abfluss'!$A$4:$Q$275,12,FALSE))</f>
        <v/>
      </c>
      <c r="AU136" s="779" t="str">
        <f>IF(VLOOKUP(A136,'Débit - Abfluss'!$A$4:$Q$275,13,FALSE)="","",VLOOKUP(A136,'Débit - Abfluss'!$A$4:$Q$275,13,FALSE))</f>
        <v/>
      </c>
      <c r="AV136" s="746" t="str">
        <f>IF(VLOOKUP(A136,'Débit - Abfluss'!$A$4:$Q$275,14,FALSE)="","",VLOOKUP(A136,'Débit - Abfluss'!$A$4:$Q$275,14,FALSE))</f>
        <v>GR-MKW1-2</v>
      </c>
      <c r="AW136" s="768" t="str">
        <f>IF(VLOOKUP(A136,'Débit - Abfluss'!$A$4:$Q$275,15,FALSE)="","",VLOOKUP(A136,'Débit - Abfluss'!$A$4:$Q$275,15,FALSE))</f>
        <v>Spina (Valbella)</v>
      </c>
      <c r="AX136" s="679" t="str">
        <f>IF(VLOOKUP(A136,'Débit - Abfluss'!$A$4:$Q$275,16,FALSE)="","",VLOOKUP(A136,'Débit - Abfluss'!$A$4:$Q$275,16,FALSE))</f>
        <v/>
      </c>
      <c r="AY136" s="776" t="str">
        <f>IF(VLOOKUP(A136,'Débit - Abfluss'!$A$4:$Q$275,17,FALSE)="","",VLOOKUP(A136,'Débit - Abfluss'!$A$4:$Q$275,17,FALSE))</f>
        <v>41-60%</v>
      </c>
      <c r="AZ136" s="749" t="str">
        <f>IF(VLOOKUP(A136,'Eclusée - Schwall-Sunk'!$A$2:$F$273,5,FALSE)="","",VLOOKUP(A136,'Eclusée - Schwall-Sunk'!$A$2:$F$273,5,FALSE))</f>
        <v>force hydraulique</v>
      </c>
      <c r="BA136" s="750" t="str">
        <f>IF(VLOOKUP(A136,'Eclusée - Schwall-Sunk'!$A$2:$F$273,6,FALSE)="","",VLOOKUP(A136,'Eclusée - Schwall-Sunk'!$A$2:$F$273,6,FALSE))</f>
        <v>Non affecté / nicht betroffen</v>
      </c>
      <c r="BB136" s="751">
        <f>IF(VLOOKUP(A136,'Revitalisation-Revitalisierung'!$A$4:$Z$275,5,FALSE)="","",VLOOKUP(A136,'Revitalisation-Revitalisierung'!$A$4:$Z$275,5,FALSE))</f>
        <v>42.86363636363636</v>
      </c>
      <c r="BC136" s="752">
        <f>IF(VLOOKUP(A136,'Revitalisation-Revitalisierung'!$A$4:$Z$275,6,FALSE)="","",VLOOKUP(A136,'Revitalisation-Revitalisierung'!$A$4:$Z$275,6,FALSE))</f>
        <v>66.533809601658845</v>
      </c>
      <c r="BD136" s="752">
        <f>IF(VLOOKUP(A136,'Revitalisation-Revitalisierung'!$A$4:$Z$275,7,FALSE)="","",VLOOKUP(A136,'Revitalisation-Revitalisierung'!$A$4:$Z$275,7,FALSE))</f>
        <v>23.636363636363637</v>
      </c>
      <c r="BE136" s="753" t="str">
        <f>IF(VLOOKUP(A136,'Revitalisation-Revitalisierung'!$A$4:$Z$275,8,FALSE)="","",VLOOKUP(A136,'Revitalisation-Revitalisierung'!$A$4:$Z$275,8,FALSE))</f>
        <v>très nécessaire, difficile</v>
      </c>
      <c r="BF136" s="754" t="str">
        <f>IF(VLOOKUP(A136,'Revitalisation-Revitalisierung'!$A$4:$Z$275,9,FALSE)="","",VLOOKUP(A136,'Revitalisation-Revitalisierung'!$A$4:$Z$275,9,FALSE))</f>
        <v/>
      </c>
      <c r="BG136" s="754" t="str">
        <f>IF(VLOOKUP(A136,'Revitalisation-Revitalisierung'!$A$4:$Z$275,10,FALSE)="","",VLOOKUP(A136,'Revitalisation-Revitalisierung'!$A$4:$Z$275,10,FALSE))</f>
        <v>K1</v>
      </c>
      <c r="BH136" s="755" t="str">
        <f>IF(VLOOKUP(A136,'Revitalisation-Revitalisierung'!$A$4:$Z$275,11,FALSE)="","",VLOOKUP(A136,'Revitalisation-Revitalisierung'!$A$4:$Z$275,11,FALSE))</f>
        <v/>
      </c>
      <c r="BI136" s="756" t="str">
        <f>IF(VLOOKUP(A136,'Revitalisation-Revitalisierung'!$A$4:$Z$275,12,FALSE)="","",VLOOKUP(A136,'Revitalisation-Revitalisierung'!$A$4:$Z$275,12,FALSE))</f>
        <v/>
      </c>
      <c r="BJ136" s="788" t="str">
        <f>IF(VLOOKUP(A136,'Revitalisation-Revitalisierung'!$A$4:$Z$275,13,FALSE)="","",VLOOKUP(A136,'Revitalisation-Revitalisierung'!$A$4:$Z$275,13,FALSE))</f>
        <v>Très nécessaire, difficile / unbedingt nötig, schwierig</v>
      </c>
      <c r="BK136" s="870" t="str">
        <f>IF(VLOOKUP(A136,'Revitalisation-Revitalisierung'!$A$4:$Z$275,14,FALSE)="","",VLOOKUP(A136,'Revitalisation-Revitalisierung'!$A$4:$Z$275,14,FALSE))</f>
        <v>a</v>
      </c>
      <c r="BL136" s="758" t="str">
        <f>IF(VLOOKUP(A136,'Revitalisation-Revitalisierung'!$A$4:$Z$275,15,FALSE)="","",VLOOKUP(A136,'Revitalisation-Revitalisierung'!$A$4:$Z$275,15,FALSE))</f>
        <v>gross</v>
      </c>
      <c r="BM136" s="759" t="str">
        <f>IF(VLOOKUP(A136,'Revitalisation-Revitalisierung'!$A$4:$Z$275,16,FALSE)="","",VLOOKUP(A136,'Revitalisation-Revitalisierung'!$A$4:$Z$275,16,FALSE))</f>
        <v>gering</v>
      </c>
      <c r="BN136" s="759" t="str">
        <f>IF(VLOOKUP(A136,'Revitalisation-Revitalisierung'!$A$4:$Z$275,17,FALSE)="","",VLOOKUP(A136,'Revitalisation-Revitalisierung'!$A$4:$Z$275,17,FALSE))</f>
        <v>gering</v>
      </c>
      <c r="BO136" s="760" t="str">
        <f>IF(VLOOKUP(A136,'Revitalisation-Revitalisierung'!$A$4:$Z$275,18,FALSE)="","",VLOOKUP(A136,'Revitalisation-Revitalisierung'!$A$4:$Z$275,18,FALSE))</f>
        <v>Non nécessaire / nicht nötig</v>
      </c>
      <c r="BP136" s="760" t="str">
        <f>IF(VLOOKUP(A136,'Revitalisation-Revitalisierung'!$A$4:$Z$275,19,FALSE)="","",VLOOKUP(A136,'Revitalisation-Revitalisierung'!$A$4:$Z$275,19,FALSE))</f>
        <v>Très nécessaire, difficile / unbedingt nötig, schwierig</v>
      </c>
      <c r="BQ136" s="759" t="str">
        <f>IF(VLOOKUP(A136,'Revitalisation-Revitalisierung'!$A$4:$Z$275,20,FALSE)="","",VLOOKUP(A136,'Revitalisation-Revitalisierung'!$A$4:$Z$275,20,FALSE))</f>
        <v>e</v>
      </c>
      <c r="BR136" s="759" t="str">
        <f>IF(VLOOKUP(A136,'Revitalisation-Revitalisierung'!$A$4:$Z$275,21,FALSE)="","",VLOOKUP(A136,'Revitalisation-Revitalisierung'!$A$4:$Z$275,21,FALSE))</f>
        <v/>
      </c>
      <c r="BS136" s="762" t="str">
        <f>IF(VLOOKUP(A136,'Revitalisation-Revitalisierung'!$A$4:$Z$275,22,FALSE)="","",VLOOKUP(A136,'Revitalisation-Revitalisierung'!$A$4:$Z$275,22,FALSE))</f>
        <v>X</v>
      </c>
      <c r="BT136" s="700" t="str">
        <f>IF(VLOOKUP(A136,'Revitalisation-Revitalisierung'!$A$4:$Z$275,23,FALSE)="","",VLOOKUP(A136,'Revitalisation-Revitalisierung'!$A$4:$Z$275,23,FALSE))</f>
        <v/>
      </c>
      <c r="BU136" s="699" t="str">
        <f>IF(VLOOKUP(A136,'Revitalisation-Revitalisierung'!$A$4:$Z$275,24,FALSE)="","",VLOOKUP(A136,'Revitalisation-Revitalisierung'!$A$4:$Z$275,24,FALSE))</f>
        <v/>
      </c>
      <c r="BV136" s="760" t="str">
        <f>IF(VLOOKUP(A136,'Revitalisation-Revitalisierung'!$A$4:$Z$275,25,FALSE)="","",VLOOKUP(A136,'Revitalisation-Revitalisierung'!$A$4:$Z$275,25,FALSE))</f>
        <v>Très nécessaire, difficile / unbedingt nötig, schwierig</v>
      </c>
      <c r="BW136" s="871" t="str">
        <f>IF(VLOOKUP(A136,'Revitalisation-Revitalisierung'!$A$4:$AA$275,27,FALSE)="","",VLOOKUP(A136,'Revitalisation-Revitalisierung'!$A$4:$AA$275,27,FALSE))</f>
        <v>a</v>
      </c>
    </row>
    <row r="137" spans="1:75" ht="65.45" customHeight="1" x14ac:dyDescent="0.25">
      <c r="A137" s="935">
        <v>167</v>
      </c>
      <c r="B137" s="856">
        <f>IF(VLOOKUP(A137,'Données de base - Grunddaten'!$A$2:$M$297,2,FALSE)="","",VLOOKUP(A137,'Données de base - Grunddaten'!$A$2:$M$297,2,FALSE))</f>
        <v>1</v>
      </c>
      <c r="C137" s="857" t="str">
        <f>IF(VLOOKUP(A137,'Données de base - Grunddaten'!$A$2:$M$297,3,FALSE)="","",VLOOKUP(A137,'Données de base - Grunddaten'!$A$2:$M$297,3,FALSE))</f>
        <v>Boschetti</v>
      </c>
      <c r="D137" s="857" t="str">
        <f>IF(VLOOKUP(A137,'Données de base - Grunddaten'!$A$2:$M$297,4,FALSE)="","",VLOOKUP(A137,'Données de base - Grunddaten'!$A$2:$M$297,4,FALSE))</f>
        <v>Ticino</v>
      </c>
      <c r="E137" s="857" t="str">
        <f>IF(VLOOKUP(A137,'Données de base - Grunddaten'!$A$2:$M$297,5,FALSE)="","",VLOOKUP(A137,'Données de base - Grunddaten'!$A$2:$M$297,5,FALSE))</f>
        <v>TI</v>
      </c>
      <c r="F137" s="857" t="str">
        <f>IF(VLOOKUP(A137,'Données de base - Grunddaten'!$A$2:$M$297,6,FALSE)="","",VLOOKUP(A137,'Données de base - Grunddaten'!$A$2:$M$297,6,FALSE))</f>
        <v>Tessin méridional</v>
      </c>
      <c r="G137" s="857" t="str">
        <f>IF(VLOOKUP(A137,'Données de base - Grunddaten'!$A$2:$M$297,7,FALSE)="","",VLOOKUP(A137,'Données de base - Grunddaten'!$A$2:$M$297,7,FALSE))</f>
        <v>Collinéen</v>
      </c>
      <c r="H137" s="857">
        <f>IF(VLOOKUP(A137,'Données de base - Grunddaten'!$A$2:$M$297,8,FALSE)="","",VLOOKUP(A137,'Données de base - Grunddaten'!$A$2:$M$297,8,FALSE))</f>
        <v>215</v>
      </c>
      <c r="I137" s="857">
        <f>IF(VLOOKUP(A137,'Données de base - Grunddaten'!$A$2:$M$297,9,FALSE)="","",VLOOKUP(A137,'Données de base - Grunddaten'!$A$2:$M$297,9,FALSE))</f>
        <v>1992</v>
      </c>
      <c r="J137" s="857">
        <f>IF(VLOOKUP(A137,'Données de base - Grunddaten'!$A$2:$M$297,10,FALSE)="","",VLOOKUP(A137,'Données de base - Grunddaten'!$A$2:$M$297,10,FALSE))</f>
        <v>62</v>
      </c>
      <c r="K137" s="857" t="str">
        <f>IF(VLOOKUP(A137,'Données de base - Grunddaten'!$A$2:$M$297,11,FALSE)="","",VLOOKUP(A137,'Données de base - Grunddaten'!$A$2:$M$297,11,FALSE))</f>
        <v>Cours d'eau corrigés de l'étage collinéen du Sud des Alpes</v>
      </c>
      <c r="L137" s="857" t="str">
        <f>IF(VLOOKUP(A137,'Données de base - Grunddaten'!$A$2:$M$297,12,FALSE)="","",VLOOKUP(A137,'Données de base - Grunddaten'!$A$2:$M$297,12,FALSE))</f>
        <v>en tresses</v>
      </c>
      <c r="M137" s="858" t="str">
        <f>IF(VLOOKUP(A137,'Données de base - Grunddaten'!$A$2:$M$297,13,FALSE)="","",VLOOKUP(A137,'Données de base - Grunddaten'!$A$2:$M$297,13,FALSE))</f>
        <v>cours rectiligne</v>
      </c>
      <c r="N137" s="872" t="str">
        <f>IF(VLOOKUP(A137,'Charriage - Geschiebehaushalt'!$A$4:$R$275,5,FALSE)="","",VLOOKUP(A137,'Charriage - Geschiebehaushalt'!$A$4:$R$275,5,FALSE))</f>
        <v>pertinent</v>
      </c>
      <c r="O137" s="881" t="str">
        <f>IF(VLOOKUP(A137,'Charriage - Geschiebehaushalt'!$A$4:$R$275,6,FALSE)="","",VLOOKUP(A137,'Charriage - Geschiebehaushalt'!$A$4:$R$275,6,FALSE))</f>
        <v>non documenté</v>
      </c>
      <c r="P137" s="874" t="str">
        <f>IF(VLOOKUP(A137,'Charriage - Geschiebehaushalt'!$A$4:$R$275,7,FALSE)="","",VLOOKUP(A137,'Charriage - Geschiebehaushalt'!$A$4:$R$275,7,FALSE))</f>
        <v/>
      </c>
      <c r="Q137" s="874" t="str">
        <f>IF(VLOOKUP(A137,'Charriage - Geschiebehaushalt'!$A$4:$R$275,8,FALSE)="","",VLOOKUP(A137,'Charriage - Geschiebehaushalt'!$A$4:$R$275,8,FALSE))</f>
        <v>non documenté</v>
      </c>
      <c r="R137" s="875">
        <f>IF(VLOOKUP(A137,'Charriage - Geschiebehaushalt'!$A$4:$R$275,9,FALSE)="","",VLOOKUP(A137,'Charriage - Geschiebehaushalt'!$A$4:$R$275,9,FALSE))</f>
        <v>0.36205902004548501</v>
      </c>
      <c r="S137" s="895" t="str">
        <f>IF(VLOOKUP(A137,'Charriage - Geschiebehaushalt'!$A$4:$R$275,10,FALSE)="","",VLOOKUP(A137,'Charriage - Geschiebehaushalt'!$A$4:$R$275,10,FALSE))</f>
        <v>la remobilisation des sédiments est perturbée</v>
      </c>
      <c r="T137" s="875">
        <f>IF(VLOOKUP(A137,'Charriage - Geschiebehaushalt'!$A$4:$R$275,11,FALSE)="","",VLOOKUP(A137,'Charriage - Geschiebehaushalt'!$A$4:$R$275,11,FALSE))</f>
        <v>1.6466133748E-2</v>
      </c>
      <c r="U137" s="876" t="str">
        <f>IF(VLOOKUP(A137,'Charriage - Geschiebehaushalt'!$A$4:$R$275,12,FALSE)="","",VLOOKUP(A137,'Charriage - Geschiebehaushalt'!$A$4:$R$275,12,FALSE))</f>
        <v>déficit dans les formations pionnières</v>
      </c>
      <c r="V137" s="877" t="str">
        <f>IF(VLOOKUP(A137,'Charriage - Geschiebehaushalt'!$A$4:$R$275,13,FALSE)="","",VLOOKUP(A137,'Charriage - Geschiebehaushalt'!$A$4:$R$275,13,FALSE))</f>
        <v/>
      </c>
      <c r="W137" s="877" t="str">
        <f>IF(VLOOKUP(A137,'Charriage - Geschiebehaushalt'!$A$4:$R$275,14,FALSE)="","",VLOOKUP(A137,'Charriage - Geschiebehaushalt'!$A$4:$R$275,14,FALSE))</f>
        <v/>
      </c>
      <c r="X137" s="877" t="str">
        <f>IF(VLOOKUP(A137,'Charriage - Geschiebehaushalt'!$A$4:$R$275,15,FALSE)="","",VLOOKUP(A137,'Charriage - Geschiebehaushalt'!$A$4:$R$275,15,FALSE))</f>
        <v/>
      </c>
      <c r="Y137" s="879" t="str">
        <f>IF(VLOOKUP(A137,'Charriage - Geschiebehaushalt'!$A$4:$R$275,16,FALSE)="","",VLOOKUP(A137,'Charriage - Geschiebehaushalt'!$A$4:$R$275,16,FALSE))</f>
        <v/>
      </c>
      <c r="Z137" s="763" t="str">
        <f>IF(VLOOKUP(A137,'Charriage - Geschiebehaushalt'!$A$4:$R$275,17,FALSE)="","",VLOOKUP(A137,'Charriage - Geschiebehaushalt'!$A$4:$R$275,17,FALSE))</f>
        <v>Charriage présumé perturbé / Geschiebehaushalt vermutlich beeinträchtigt</v>
      </c>
      <c r="AA137" s="880" t="str">
        <f>IF(VLOOKUP(A137,'Charriage - Geschiebehaushalt'!$A$4:$R$275,18,FALSE)="","",VLOOKUP(A137,'Charriage - Geschiebehaushalt'!$A$4:$R$275,18,FALSE))</f>
        <v>b</v>
      </c>
      <c r="AB137" s="737" t="str">
        <f>IF(VLOOKUP(A137,'Charriage - Geschiebehaushalt'!$A$4:$AC$275,19,FALSE)="","",VLOOKUP(A137,'Charriage - Geschiebehaushalt'!$A$4:$AC$275,19,FALSE))</f>
        <v>important</v>
      </c>
      <c r="AC137" s="738">
        <f>IF(VLOOKUP(A137,'Charriage - Geschiebehaushalt'!$A$4:$AC$275,20,FALSE)="","",VLOOKUP(A137,'Charriage - Geschiebehaushalt'!$A$4:$AC$275,20,FALSE))</f>
        <v>0</v>
      </c>
      <c r="AD137" s="764" t="str">
        <f>IF(VLOOKUP(A137,'Charriage - Geschiebehaushalt'!$A$4:$AC$275,21,FALSE)="","",VLOOKUP(A137,'Charriage - Geschiebehaushalt'!$A$4:$AC$275,21,FALSE))</f>
        <v>81-100%</v>
      </c>
      <c r="AE137" s="772" t="str">
        <f>IF(VLOOKUP(A137,'Charriage - Geschiebehaushalt'!$A$4:$AC$275,22,FALSE)="","",VLOOKUP(A137,'Charriage - Geschiebehaushalt'!$A$4:$AC$275,22,FALSE))</f>
        <v>81-100%</v>
      </c>
      <c r="AF137" s="787" t="str">
        <f>IF(VLOOKUP(A137,'Charriage - Geschiebehaushalt'!$A$4:$AC$275,23,FALSE)="","",VLOOKUP(A137,'Charriage - Geschiebehaushalt'!$A$4:$AC$275,23,FALSE))</f>
        <v>c</v>
      </c>
      <c r="AG137" s="765" t="str">
        <f>IF(VLOOKUP(A137,'Charriage - Geschiebehaushalt'!$A$4:$AC$275,24,FALSE)="","",VLOOKUP(A137,'Charriage - Geschiebehaushalt'!$A$4:$AC$275,24,FALSE))</f>
        <v/>
      </c>
      <c r="AH137" s="764" t="str">
        <f>IF(VLOOKUP(A137,'Charriage - Geschiebehaushalt'!$A$4:$AC$275,25,FALSE)="","",VLOOKUP(A137,'Charriage - Geschiebehaushalt'!$A$4:$AC$275,25,FALSE))</f>
        <v/>
      </c>
      <c r="AI137" s="433" t="str">
        <f>IF(VLOOKUP(A137,'Charriage - Geschiebehaushalt'!$A$4:$AC$275,26,FALSE)="","",VLOOKUP(A137,'Charriage - Geschiebehaushalt'!$A$4:$AC$275,26,FALSE))</f>
        <v/>
      </c>
      <c r="AJ137" s="434" t="str">
        <f>IF(VLOOKUP(A137,'Charriage - Geschiebehaushalt'!$A$4:$AC$275,27,FALSE)="","",VLOOKUP(A137,'Charriage - Geschiebehaushalt'!$A$4:$AC$275,27,FALSE))</f>
        <v/>
      </c>
      <c r="AK137" s="814" t="str">
        <f>IF(VLOOKUP(A137,'Charriage - Geschiebehaushalt'!$A$4:$AC$275,28,FALSE)="","",VLOOKUP(A137,'Charriage - Geschiebehaushalt'!$A$4:$AC$275,28,FALSE))</f>
        <v>81-100%</v>
      </c>
      <c r="AL137" s="1285" t="str">
        <f>IF(VLOOKUP(A137,'Charriage - Geschiebehaushalt'!$A$4:$AD$275,30,FALSE)="","",VLOOKUP(A137,'Charriage - Geschiebehaushalt'!$A$4:$AD$275,30,FALSE))</f>
        <v>a</v>
      </c>
      <c r="AM137" s="1279" t="str">
        <f>IF(VLOOKUP(A137,'Débit - Abfluss'!$A$4:$K$275,5,FALSE)="","",VLOOKUP(A137,'Débit - Abfluss'!$A$4:$M$275,5,FALSE))</f>
        <v>81-100%</v>
      </c>
      <c r="AN137" s="868" t="str">
        <f>IF(VLOOKUP(A137,'Débit - Abfluss'!$A$4:$K$275,6,FALSE)="","",VLOOKUP(A137,'Débit - Abfluss'!$A$4:$M$275,6,FALSE))</f>
        <v/>
      </c>
      <c r="AO137" s="869" t="str">
        <f>IF(VLOOKUP(A137,'Débit - Abfluss'!$A$4:$K$275,7,FALSE)="","",VLOOKUP(A137,'Débit - Abfluss'!$A$4:$M$275,7,FALSE))</f>
        <v/>
      </c>
      <c r="AP137" s="766" t="str">
        <f>IF(VLOOKUP(A137,'Débit - Abfluss'!$A$4:$K$275,8,FALSE)="","",VLOOKUP(A137,'Débit - Abfluss'!$A$4:$M$275,8,FALSE))</f>
        <v>81-100%</v>
      </c>
      <c r="AQ137" s="742" t="str">
        <f>IF(VLOOKUP(A137,'Débit - Abfluss'!$A$4:$K$275,9,FALSE)="","",VLOOKUP(A137,'Débit - Abfluss'!$A$4:$M$275,9,FALSE))</f>
        <v>-</v>
      </c>
      <c r="AR137" s="767" t="str">
        <f>IF(VLOOKUP(A137,'Débit - Abfluss'!$A$4:$K$275,10,FALSE)="","",VLOOKUP(A137,'Débit - Abfluss'!$A$4:$M$275,10,FALSE))</f>
        <v>81-100%</v>
      </c>
      <c r="AS137" s="767" t="str">
        <f>IF(VLOOKUP(A137,'Débit - Abfluss'!$A$4:$K$275,11,FALSE)="","",VLOOKUP(A137,'Débit - Abfluss'!$A$4:$M$275,11,FALSE))</f>
        <v/>
      </c>
      <c r="AT137" s="744" t="str">
        <f>IF(VLOOKUP(A137,'Débit - Abfluss'!$A$4:$Q$275,12,FALSE)="","",VLOOKUP(A137,'Débit - Abfluss'!$A$4:$Q$275,12,FALSE))</f>
        <v/>
      </c>
      <c r="AU137" s="745" t="str">
        <f>IF(VLOOKUP(A137,'Débit - Abfluss'!$A$4:$Q$275,13,FALSE)="","",VLOOKUP(A137,'Débit - Abfluss'!$A$4:$Q$275,13,FALSE))</f>
        <v/>
      </c>
      <c r="AV137" s="746" t="str">
        <f>IF(VLOOKUP(A137,'Débit - Abfluss'!$A$4:$Q$275,14,FALSE)="","",VLOOKUP(A137,'Débit - Abfluss'!$A$4:$Q$275,14,FALSE))</f>
        <v/>
      </c>
      <c r="AW137" s="768" t="str">
        <f>IF(VLOOKUP(A137,'Débit - Abfluss'!$A$4:$Q$275,15,FALSE)="","",VLOOKUP(A137,'Débit - Abfluss'!$A$4:$Q$275,15,FALSE))</f>
        <v/>
      </c>
      <c r="AX137" s="679" t="str">
        <f>IF(VLOOKUP(A137,'Débit - Abfluss'!$A$4:$Q$275,16,FALSE)="","",VLOOKUP(A137,'Débit - Abfluss'!$A$4:$Q$275,16,FALSE))</f>
        <v/>
      </c>
      <c r="AY137" s="769" t="str">
        <f>IF(VLOOKUP(A137,'Débit - Abfluss'!$A$4:$Q$275,17,FALSE)="","",VLOOKUP(A137,'Débit - Abfluss'!$A$4:$Q$275,17,FALSE))</f>
        <v>81-100%</v>
      </c>
      <c r="AZ137" s="749" t="str">
        <f>IF(VLOOKUP(A137,'Eclusée - Schwall-Sunk'!$A$2:$F$273,5,FALSE)="","",VLOOKUP(A137,'Eclusée - Schwall-Sunk'!$A$2:$F$273,5,FALSE))</f>
        <v>force hydraulique</v>
      </c>
      <c r="BA137" s="750" t="str">
        <f>IF(VLOOKUP(A137,'Eclusée - Schwall-Sunk'!$A$2:$F$273,6,FALSE)="","",VLOOKUP(A137,'Eclusée - Schwall-Sunk'!$A$2:$F$273,6,FALSE))</f>
        <v>Potentiellement affecté / möglicherweise betroffen</v>
      </c>
      <c r="BB137" s="751">
        <f>IF(VLOOKUP(A137,'Revitalisation-Revitalisierung'!$A$4:$Z$275,5,FALSE)="","",VLOOKUP(A137,'Revitalisation-Revitalisierung'!$A$4:$Z$275,5,FALSE))</f>
        <v>63.545454545454547</v>
      </c>
      <c r="BC137" s="752">
        <f>IF(VLOOKUP(A137,'Revitalisation-Revitalisierung'!$A$4:$Z$275,6,FALSE)="","",VLOOKUP(A137,'Revitalisation-Revitalisierung'!$A$4:$Z$275,6,FALSE))</f>
        <v>69.042643133976128</v>
      </c>
      <c r="BD137" s="752">
        <f>IF(VLOOKUP(A137,'Revitalisation-Revitalisierung'!$A$4:$Z$275,7,FALSE)="","",VLOOKUP(A137,'Revitalisation-Revitalisierung'!$A$4:$Z$275,7,FALSE))</f>
        <v>5.4545454545454541</v>
      </c>
      <c r="BE137" s="753" t="str">
        <f>IF(VLOOKUP(A137,'Revitalisation-Revitalisierung'!$A$4:$Z$275,8,FALSE)="","",VLOOKUP(A137,'Revitalisation-Revitalisierung'!$A$4:$Z$275,8,FALSE))</f>
        <v>très nécessaire, facile</v>
      </c>
      <c r="BF137" s="754" t="str">
        <f>IF(VLOOKUP(A137,'Revitalisation-Revitalisierung'!$A$4:$Z$275,9,FALSE)="","",VLOOKUP(A137,'Revitalisation-Revitalisierung'!$A$4:$Z$275,9,FALSE))</f>
        <v/>
      </c>
      <c r="BG137" s="754" t="str">
        <f>IF(VLOOKUP(A137,'Revitalisation-Revitalisierung'!$A$4:$Z$275,10,FALSE)="","",VLOOKUP(A137,'Revitalisation-Revitalisierung'!$A$4:$Z$275,10,FALSE))</f>
        <v>K1</v>
      </c>
      <c r="BH137" s="755" t="str">
        <f>IF(VLOOKUP(A137,'Revitalisation-Revitalisierung'!$A$4:$Z$275,11,FALSE)="","",VLOOKUP(A137,'Revitalisation-Revitalisierung'!$A$4:$Z$275,11,FALSE))</f>
        <v/>
      </c>
      <c r="BI137" s="756" t="str">
        <f>IF(VLOOKUP(A137,'Revitalisation-Revitalisierung'!$A$4:$Z$275,12,FALSE)="","",VLOOKUP(A137,'Revitalisation-Revitalisierung'!$A$4:$Z$275,12,FALSE))</f>
        <v/>
      </c>
      <c r="BJ137" s="788" t="str">
        <f>IF(VLOOKUP(A137,'Revitalisation-Revitalisierung'!$A$4:$Z$275,13,FALSE)="","",VLOOKUP(A137,'Revitalisation-Revitalisierung'!$A$4:$Z$275,13,FALSE))</f>
        <v>Très nécessaire, facile / unbedingt nötig, einfach</v>
      </c>
      <c r="BK137" s="870" t="str">
        <f>IF(VLOOKUP(A137,'Revitalisation-Revitalisierung'!$A$4:$Z$275,14,FALSE)="","",VLOOKUP(A137,'Revitalisation-Revitalisierung'!$A$4:$Z$275,14,FALSE))</f>
        <v>a</v>
      </c>
      <c r="BL137" s="758" t="str">
        <f>IF(VLOOKUP(A137,'Revitalisation-Revitalisierung'!$A$4:$Z$275,15,FALSE)="","",VLOOKUP(A137,'Revitalisation-Revitalisierung'!$A$4:$Z$275,15,FALSE))</f>
        <v>important</v>
      </c>
      <c r="BM137" s="759" t="str">
        <f>IF(VLOOKUP(A137,'Revitalisation-Revitalisierung'!$A$4:$Z$275,16,FALSE)="","",VLOOKUP(A137,'Revitalisation-Revitalisierung'!$A$4:$Z$275,16,FALSE))</f>
        <v>important</v>
      </c>
      <c r="BN137" s="759" t="str">
        <f>IF(VLOOKUP(A137,'Revitalisation-Revitalisierung'!$A$4:$Z$275,17,FALSE)="","",VLOOKUP(A137,'Revitalisation-Revitalisierung'!$A$4:$Z$275,17,FALSE))</f>
        <v>important</v>
      </c>
      <c r="BO137" s="760" t="str">
        <f>IF(VLOOKUP(A137,'Revitalisation-Revitalisierung'!$A$4:$Z$275,18,FALSE)="","",VLOOKUP(A137,'Revitalisation-Revitalisierung'!$A$4:$Z$275,18,FALSE))</f>
        <v>Très nécessaire, facile / unbedingt nötig, einfach</v>
      </c>
      <c r="BP137" s="761" t="str">
        <f>IF(VLOOKUP(A137,'Revitalisation-Revitalisierung'!$A$4:$Z$275,19,FALSE)="","",VLOOKUP(A137,'Revitalisation-Revitalisierung'!$A$4:$Z$275,19,FALSE))</f>
        <v>Très nécessaire, facile / unbedingt nötig, einfach</v>
      </c>
      <c r="BQ137" s="759" t="str">
        <f>IF(VLOOKUP(A137,'Revitalisation-Revitalisierung'!$A$4:$Z$275,20,FALSE)="","",VLOOKUP(A137,'Revitalisation-Revitalisierung'!$A$4:$Z$275,20,FALSE))</f>
        <v>d</v>
      </c>
      <c r="BR137" s="759" t="str">
        <f>IF(VLOOKUP(A137,'Revitalisation-Revitalisierung'!$A$4:$Z$275,21,FALSE)="","",VLOOKUP(A137,'Revitalisation-Revitalisierung'!$A$4:$Z$275,21,FALSE))</f>
        <v/>
      </c>
      <c r="BS137" s="762" t="str">
        <f>IF(VLOOKUP(A137,'Revitalisation-Revitalisierung'!$A$4:$Z$275,22,FALSE)="","",VLOOKUP(A137,'Revitalisation-Revitalisierung'!$A$4:$Z$275,22,FALSE))</f>
        <v/>
      </c>
      <c r="BT137" s="700" t="str">
        <f>IF(VLOOKUP(A137,'Revitalisation-Revitalisierung'!$A$4:$Z$275,23,FALSE)="","",VLOOKUP(A137,'Revitalisation-Revitalisierung'!$A$4:$Z$275,23,FALSE))</f>
        <v/>
      </c>
      <c r="BU137" s="699" t="str">
        <f>IF(VLOOKUP(A137,'Revitalisation-Revitalisierung'!$A$4:$Z$275,24,FALSE)="","",VLOOKUP(A137,'Revitalisation-Revitalisierung'!$A$4:$Z$275,24,FALSE))</f>
        <v/>
      </c>
      <c r="BV137" s="761" t="str">
        <f>IF(VLOOKUP(A137,'Revitalisation-Revitalisierung'!$A$4:$Z$275,25,FALSE)="","",VLOOKUP(A137,'Revitalisation-Revitalisierung'!$A$4:$Z$275,25,FALSE))</f>
        <v>Très nécessaire, facile / unbedingt nötig, einfach</v>
      </c>
      <c r="BW137" s="871" t="str">
        <f>IF(VLOOKUP(A137,'Revitalisation-Revitalisierung'!$A$4:$AA$275,27,FALSE)="","",VLOOKUP(A137,'Revitalisation-Revitalisierung'!$A$4:$AA$275,27,FALSE))</f>
        <v>a</v>
      </c>
    </row>
    <row r="138" spans="1:75" ht="76.150000000000006" customHeight="1" x14ac:dyDescent="0.25">
      <c r="A138" s="935">
        <v>168</v>
      </c>
      <c r="B138" s="856">
        <f>IF(VLOOKUP(A138,'Données de base - Grunddaten'!$A$2:$M$297,2,FALSE)="","",VLOOKUP(A138,'Données de base - Grunddaten'!$A$2:$M$297,2,FALSE))</f>
        <v>1</v>
      </c>
      <c r="C138" s="857" t="str">
        <f>IF(VLOOKUP(A138,'Données de base - Grunddaten'!$A$2:$M$297,3,FALSE)="","",VLOOKUP(A138,'Données de base - Grunddaten'!$A$2:$M$297,3,FALSE))</f>
        <v>Ciossa Antognini</v>
      </c>
      <c r="D138" s="857" t="str">
        <f>IF(VLOOKUP(A138,'Données de base - Grunddaten'!$A$2:$M$297,4,FALSE)="","",VLOOKUP(A138,'Données de base - Grunddaten'!$A$2:$M$297,4,FALSE))</f>
        <v>Ticino</v>
      </c>
      <c r="E138" s="857" t="str">
        <f>IF(VLOOKUP(A138,'Données de base - Grunddaten'!$A$2:$M$297,5,FALSE)="","",VLOOKUP(A138,'Données de base - Grunddaten'!$A$2:$M$297,5,FALSE))</f>
        <v>TI</v>
      </c>
      <c r="F138" s="857" t="str">
        <f>IF(VLOOKUP(A138,'Données de base - Grunddaten'!$A$2:$M$297,6,FALSE)="","",VLOOKUP(A138,'Données de base - Grunddaten'!$A$2:$M$297,6,FALSE))</f>
        <v>Tessin méridional</v>
      </c>
      <c r="G138" s="857" t="str">
        <f>IF(VLOOKUP(A138,'Données de base - Grunddaten'!$A$2:$M$297,7,FALSE)="","",VLOOKUP(A138,'Données de base - Grunddaten'!$A$2:$M$297,7,FALSE))</f>
        <v>Collinéen</v>
      </c>
      <c r="H138" s="857">
        <f>IF(VLOOKUP(A138,'Données de base - Grunddaten'!$A$2:$M$297,8,FALSE)="","",VLOOKUP(A138,'Données de base - Grunddaten'!$A$2:$M$297,8,FALSE))</f>
        <v>200</v>
      </c>
      <c r="I138" s="857">
        <f>IF(VLOOKUP(A138,'Données de base - Grunddaten'!$A$2:$M$297,9,FALSE)="","",VLOOKUP(A138,'Données de base - Grunddaten'!$A$2:$M$297,9,FALSE))</f>
        <v>1992</v>
      </c>
      <c r="J138" s="857">
        <f>IF(VLOOKUP(A138,'Données de base - Grunddaten'!$A$2:$M$297,10,FALSE)="","",VLOOKUP(A138,'Données de base - Grunddaten'!$A$2:$M$297,10,FALSE))</f>
        <v>62</v>
      </c>
      <c r="K138" s="857" t="str">
        <f>IF(VLOOKUP(A138,'Données de base - Grunddaten'!$A$2:$M$297,11,FALSE)="","",VLOOKUP(A138,'Données de base - Grunddaten'!$A$2:$M$297,11,FALSE))</f>
        <v>Cours d'eau corrigés de l'étage collinéen du Sud des Alpes</v>
      </c>
      <c r="L138" s="857" t="str">
        <f>IF(VLOOKUP(A138,'Données de base - Grunddaten'!$A$2:$M$297,12,FALSE)="","",VLOOKUP(A138,'Données de base - Grunddaten'!$A$2:$M$297,12,FALSE))</f>
        <v>en tresses</v>
      </c>
      <c r="M138" s="858" t="str">
        <f>IF(VLOOKUP(A138,'Données de base - Grunddaten'!$A$2:$M$297,13,FALSE)="","",VLOOKUP(A138,'Données de base - Grunddaten'!$A$2:$M$297,13,FALSE))</f>
        <v>cours rectiligne</v>
      </c>
      <c r="N138" s="872" t="str">
        <f>IF(VLOOKUP(A138,'Charriage - Geschiebehaushalt'!$A$4:$R$275,5,FALSE)="","",VLOOKUP(A138,'Charriage - Geschiebehaushalt'!$A$4:$R$275,5,FALSE))</f>
        <v>pertinent</v>
      </c>
      <c r="O138" s="881" t="str">
        <f>IF(VLOOKUP(A138,'Charriage - Geschiebehaushalt'!$A$4:$R$275,6,FALSE)="","",VLOOKUP(A138,'Charriage - Geschiebehaushalt'!$A$4:$R$275,6,FALSE))</f>
        <v>non documenté</v>
      </c>
      <c r="P138" s="874" t="str">
        <f>IF(VLOOKUP(A138,'Charriage - Geschiebehaushalt'!$A$4:$R$275,7,FALSE)="","",VLOOKUP(A138,'Charriage - Geschiebehaushalt'!$A$4:$R$275,7,FALSE))</f>
        <v/>
      </c>
      <c r="Q138" s="874" t="str">
        <f>IF(VLOOKUP(A138,'Charriage - Geschiebehaushalt'!$A$4:$R$275,8,FALSE)="","",VLOOKUP(A138,'Charriage - Geschiebehaushalt'!$A$4:$R$275,8,FALSE))</f>
        <v>non documenté</v>
      </c>
      <c r="R138" s="875">
        <f>IF(VLOOKUP(A138,'Charriage - Geschiebehaushalt'!$A$4:$R$275,9,FALSE)="","",VLOOKUP(A138,'Charriage - Geschiebehaushalt'!$A$4:$R$275,9,FALSE))</f>
        <v>0.53982165837891505</v>
      </c>
      <c r="S138" s="895" t="str">
        <f>IF(VLOOKUP(A138,'Charriage - Geschiebehaushalt'!$A$4:$R$275,10,FALSE)="","",VLOOKUP(A138,'Charriage - Geschiebehaushalt'!$A$4:$R$275,10,FALSE))</f>
        <v>la remobilisation des sédiments est perturbée</v>
      </c>
      <c r="T138" s="875">
        <f>IF(VLOOKUP(A138,'Charriage - Geschiebehaushalt'!$A$4:$R$275,11,FALSE)="","",VLOOKUP(A138,'Charriage - Geschiebehaushalt'!$A$4:$R$275,11,FALSE))</f>
        <v>0.13950436630999999</v>
      </c>
      <c r="U138" s="876" t="str">
        <f>IF(VLOOKUP(A138,'Charriage - Geschiebehaushalt'!$A$4:$R$275,12,FALSE)="","",VLOOKUP(A138,'Charriage - Geschiebehaushalt'!$A$4:$R$275,12,FALSE))</f>
        <v>déficit dans les formations pionnières</v>
      </c>
      <c r="V138" s="877" t="str">
        <f>IF(VLOOKUP(A138,'Charriage - Geschiebehaushalt'!$A$4:$R$275,13,FALSE)="","",VLOOKUP(A138,'Charriage - Geschiebehaushalt'!$A$4:$R$275,13,FALSE))</f>
        <v/>
      </c>
      <c r="W138" s="877" t="str">
        <f>IF(VLOOKUP(A138,'Charriage - Geschiebehaushalt'!$A$4:$R$275,14,FALSE)="","",VLOOKUP(A138,'Charriage - Geschiebehaushalt'!$A$4:$R$275,14,FALSE))</f>
        <v/>
      </c>
      <c r="X138" s="877" t="str">
        <f>IF(VLOOKUP(A138,'Charriage - Geschiebehaushalt'!$A$4:$R$275,15,FALSE)="","",VLOOKUP(A138,'Charriage - Geschiebehaushalt'!$A$4:$R$275,15,FALSE))</f>
        <v/>
      </c>
      <c r="Y138" s="879" t="str">
        <f>IF(VLOOKUP(A138,'Charriage - Geschiebehaushalt'!$A$4:$R$275,16,FALSE)="","",VLOOKUP(A138,'Charriage - Geschiebehaushalt'!$A$4:$R$275,16,FALSE))</f>
        <v/>
      </c>
      <c r="Z138" s="763" t="str">
        <f>IF(VLOOKUP(A138,'Charriage - Geschiebehaushalt'!$A$4:$R$275,17,FALSE)="","",VLOOKUP(A138,'Charriage - Geschiebehaushalt'!$A$4:$R$275,17,FALSE))</f>
        <v>Charriage présumé perturbé / Geschiebehaushalt vermutlich beeinträchtigt</v>
      </c>
      <c r="AA138" s="880" t="str">
        <f>IF(VLOOKUP(A138,'Charriage - Geschiebehaushalt'!$A$4:$R$275,18,FALSE)="","",VLOOKUP(A138,'Charriage - Geschiebehaushalt'!$A$4:$R$275,18,FALSE))</f>
        <v>b</v>
      </c>
      <c r="AB138" s="737" t="str">
        <f>IF(VLOOKUP(A138,'Charriage - Geschiebehaushalt'!$A$4:$AC$275,19,FALSE)="","",VLOOKUP(A138,'Charriage - Geschiebehaushalt'!$A$4:$AC$275,19,FALSE))</f>
        <v>important</v>
      </c>
      <c r="AC138" s="738">
        <f>IF(VLOOKUP(A138,'Charriage - Geschiebehaushalt'!$A$4:$AC$275,20,FALSE)="","",VLOOKUP(A138,'Charriage - Geschiebehaushalt'!$A$4:$AC$275,20,FALSE))</f>
        <v>0</v>
      </c>
      <c r="AD138" s="764" t="str">
        <f>IF(VLOOKUP(A138,'Charriage - Geschiebehaushalt'!$A$4:$AC$275,21,FALSE)="","",VLOOKUP(A138,'Charriage - Geschiebehaushalt'!$A$4:$AC$275,21,FALSE))</f>
        <v>81-100%</v>
      </c>
      <c r="AE138" s="772" t="str">
        <f>IF(VLOOKUP(A138,'Charriage - Geschiebehaushalt'!$A$4:$AC$275,22,FALSE)="","",VLOOKUP(A138,'Charriage - Geschiebehaushalt'!$A$4:$AC$275,22,FALSE))</f>
        <v>81-100%</v>
      </c>
      <c r="AF138" s="787" t="str">
        <f>IF(VLOOKUP(A138,'Charriage - Geschiebehaushalt'!$A$4:$AC$275,23,FALSE)="","",VLOOKUP(A138,'Charriage - Geschiebehaushalt'!$A$4:$AC$275,23,FALSE))</f>
        <v>c</v>
      </c>
      <c r="AG138" s="765" t="str">
        <f>IF(VLOOKUP(A138,'Charriage - Geschiebehaushalt'!$A$4:$AC$275,24,FALSE)="","",VLOOKUP(A138,'Charriage - Geschiebehaushalt'!$A$4:$AC$275,24,FALSE))</f>
        <v/>
      </c>
      <c r="AH138" s="764" t="str">
        <f>IF(VLOOKUP(A138,'Charriage - Geschiebehaushalt'!$A$4:$AC$275,25,FALSE)="","",VLOOKUP(A138,'Charriage - Geschiebehaushalt'!$A$4:$AC$275,25,FALSE))</f>
        <v/>
      </c>
      <c r="AI138" s="433" t="str">
        <f>IF(VLOOKUP(A138,'Charriage - Geschiebehaushalt'!$A$4:$AC$275,26,FALSE)="","",VLOOKUP(A138,'Charriage - Geschiebehaushalt'!$A$4:$AC$275,26,FALSE))</f>
        <v/>
      </c>
      <c r="AJ138" s="434" t="str">
        <f>IF(VLOOKUP(A138,'Charriage - Geschiebehaushalt'!$A$4:$AC$275,27,FALSE)="","",VLOOKUP(A138,'Charriage - Geschiebehaushalt'!$A$4:$AC$275,27,FALSE))</f>
        <v/>
      </c>
      <c r="AK138" s="814" t="str">
        <f>IF(VLOOKUP(A138,'Charriage - Geschiebehaushalt'!$A$4:$AC$275,28,FALSE)="","",VLOOKUP(A138,'Charriage - Geschiebehaushalt'!$A$4:$AC$275,28,FALSE))</f>
        <v>81-100%</v>
      </c>
      <c r="AL138" s="1285" t="str">
        <f>IF(VLOOKUP(A138,'Charriage - Geschiebehaushalt'!$A$4:$AD$275,30,FALSE)="","",VLOOKUP(A138,'Charriage - Geschiebehaushalt'!$A$4:$AD$275,30,FALSE))</f>
        <v>a</v>
      </c>
      <c r="AM138" s="1279" t="str">
        <f>IF(VLOOKUP(A138,'Débit - Abfluss'!$A$4:$K$275,5,FALSE)="","",VLOOKUP(A138,'Débit - Abfluss'!$A$4:$M$275,5,FALSE))</f>
        <v>81-100%</v>
      </c>
      <c r="AN138" s="868" t="str">
        <f>IF(VLOOKUP(A138,'Débit - Abfluss'!$A$4:$K$275,6,FALSE)="","",VLOOKUP(A138,'Débit - Abfluss'!$A$4:$M$275,6,FALSE))</f>
        <v/>
      </c>
      <c r="AO138" s="869" t="str">
        <f>IF(VLOOKUP(A138,'Débit - Abfluss'!$A$4:$K$275,7,FALSE)="","",VLOOKUP(A138,'Débit - Abfluss'!$A$4:$M$275,7,FALSE))</f>
        <v/>
      </c>
      <c r="AP138" s="766" t="str">
        <f>IF(VLOOKUP(A138,'Débit - Abfluss'!$A$4:$K$275,8,FALSE)="","",VLOOKUP(A138,'Débit - Abfluss'!$A$4:$M$275,8,FALSE))</f>
        <v>81-100%</v>
      </c>
      <c r="AQ138" s="742" t="str">
        <f>IF(VLOOKUP(A138,'Débit - Abfluss'!$A$4:$K$275,9,FALSE)="","",VLOOKUP(A138,'Débit - Abfluss'!$A$4:$M$275,9,FALSE))</f>
        <v>-</v>
      </c>
      <c r="AR138" s="767" t="str">
        <f>IF(VLOOKUP(A138,'Débit - Abfluss'!$A$4:$K$275,10,FALSE)="","",VLOOKUP(A138,'Débit - Abfluss'!$A$4:$M$275,10,FALSE))</f>
        <v>81-100%</v>
      </c>
      <c r="AS138" s="767" t="str">
        <f>IF(VLOOKUP(A138,'Débit - Abfluss'!$A$4:$K$275,11,FALSE)="","",VLOOKUP(A138,'Débit - Abfluss'!$A$4:$M$275,11,FALSE))</f>
        <v/>
      </c>
      <c r="AT138" s="744" t="str">
        <f>IF(VLOOKUP(A138,'Débit - Abfluss'!$A$4:$Q$275,12,FALSE)="","",VLOOKUP(A138,'Débit - Abfluss'!$A$4:$Q$275,12,FALSE))</f>
        <v/>
      </c>
      <c r="AU138" s="745" t="str">
        <f>IF(VLOOKUP(A138,'Débit - Abfluss'!$A$4:$Q$275,13,FALSE)="","",VLOOKUP(A138,'Débit - Abfluss'!$A$4:$Q$275,13,FALSE))</f>
        <v/>
      </c>
      <c r="AV138" s="746" t="str">
        <f>IF(VLOOKUP(A138,'Débit - Abfluss'!$A$4:$Q$275,14,FALSE)="","",VLOOKUP(A138,'Débit - Abfluss'!$A$4:$Q$275,14,FALSE))</f>
        <v/>
      </c>
      <c r="AW138" s="768" t="str">
        <f>IF(VLOOKUP(A138,'Débit - Abfluss'!$A$4:$Q$275,15,FALSE)="","",VLOOKUP(A138,'Débit - Abfluss'!$A$4:$Q$275,15,FALSE))</f>
        <v/>
      </c>
      <c r="AX138" s="679" t="str">
        <f>IF(VLOOKUP(A138,'Débit - Abfluss'!$A$4:$Q$275,16,FALSE)="","",VLOOKUP(A138,'Débit - Abfluss'!$A$4:$Q$275,16,FALSE))</f>
        <v/>
      </c>
      <c r="AY138" s="769" t="str">
        <f>IF(VLOOKUP(A138,'Débit - Abfluss'!$A$4:$Q$275,17,FALSE)="","",VLOOKUP(A138,'Débit - Abfluss'!$A$4:$Q$275,17,FALSE))</f>
        <v>81-100%</v>
      </c>
      <c r="AZ138" s="749" t="str">
        <f>IF(VLOOKUP(A138,'Eclusée - Schwall-Sunk'!$A$2:$F$273,5,FALSE)="","",VLOOKUP(A138,'Eclusée - Schwall-Sunk'!$A$2:$F$273,5,FALSE))</f>
        <v>force hydraulique</v>
      </c>
      <c r="BA138" s="750" t="str">
        <f>IF(VLOOKUP(A138,'Eclusée - Schwall-Sunk'!$A$2:$F$273,6,FALSE)="","",VLOOKUP(A138,'Eclusée - Schwall-Sunk'!$A$2:$F$273,6,FALSE))</f>
        <v>Potentiellement affecté / möglicherweise betroffen</v>
      </c>
      <c r="BB138" s="751">
        <f>IF(VLOOKUP(A138,'Revitalisation-Revitalisierung'!$A$4:$Z$275,5,FALSE)="","",VLOOKUP(A138,'Revitalisation-Revitalisierung'!$A$4:$Z$275,5,FALSE))</f>
        <v>72.627272727272739</v>
      </c>
      <c r="BC138" s="752">
        <f>IF(VLOOKUP(A138,'Revitalisation-Revitalisierung'!$A$4:$Z$275,6,FALSE)="","",VLOOKUP(A138,'Revitalisation-Revitalisierung'!$A$4:$Z$275,6,FALSE))</f>
        <v>74.882039901105045</v>
      </c>
      <c r="BD138" s="752">
        <f>IF(VLOOKUP(A138,'Revitalisation-Revitalisierung'!$A$4:$Z$275,7,FALSE)="","",VLOOKUP(A138,'Revitalisation-Revitalisierung'!$A$4:$Z$275,7,FALSE))</f>
        <v>2.2727272727272729</v>
      </c>
      <c r="BE138" s="753" t="str">
        <f>IF(VLOOKUP(A138,'Revitalisation-Revitalisierung'!$A$4:$Z$275,8,FALSE)="","",VLOOKUP(A138,'Revitalisation-Revitalisierung'!$A$4:$Z$275,8,FALSE))</f>
        <v>très nécessaire, facile</v>
      </c>
      <c r="BF138" s="754" t="str">
        <f>IF(VLOOKUP(A138,'Revitalisation-Revitalisierung'!$A$4:$Z$275,9,FALSE)="","",VLOOKUP(A138,'Revitalisation-Revitalisierung'!$A$4:$Z$275,9,FALSE))</f>
        <v/>
      </c>
      <c r="BG138" s="754" t="str">
        <f>IF(VLOOKUP(A138,'Revitalisation-Revitalisierung'!$A$4:$Z$275,10,FALSE)="","",VLOOKUP(A138,'Revitalisation-Revitalisierung'!$A$4:$Z$275,10,FALSE))</f>
        <v>K1</v>
      </c>
      <c r="BH138" s="755" t="str">
        <f>IF(VLOOKUP(A138,'Revitalisation-Revitalisierung'!$A$4:$Z$275,11,FALSE)="","",VLOOKUP(A138,'Revitalisation-Revitalisierung'!$A$4:$Z$275,11,FALSE))</f>
        <v/>
      </c>
      <c r="BI138" s="756" t="str">
        <f>IF(VLOOKUP(A138,'Revitalisation-Revitalisierung'!$A$4:$Z$275,12,FALSE)="","",VLOOKUP(A138,'Revitalisation-Revitalisierung'!$A$4:$Z$275,12,FALSE))</f>
        <v/>
      </c>
      <c r="BJ138" s="788" t="str">
        <f>IF(VLOOKUP(A138,'Revitalisation-Revitalisierung'!$A$4:$Z$275,13,FALSE)="","",VLOOKUP(A138,'Revitalisation-Revitalisierung'!$A$4:$Z$275,13,FALSE))</f>
        <v>Très nécessaire, facile / unbedingt nötig, einfach</v>
      </c>
      <c r="BK138" s="870" t="str">
        <f>IF(VLOOKUP(A138,'Revitalisation-Revitalisierung'!$A$4:$Z$275,14,FALSE)="","",VLOOKUP(A138,'Revitalisation-Revitalisierung'!$A$4:$Z$275,14,FALSE))</f>
        <v>a</v>
      </c>
      <c r="BL138" s="758" t="str">
        <f>IF(VLOOKUP(A138,'Revitalisation-Revitalisierung'!$A$4:$Z$275,15,FALSE)="","",VLOOKUP(A138,'Revitalisation-Revitalisierung'!$A$4:$Z$275,15,FALSE))</f>
        <v>important</v>
      </c>
      <c r="BM138" s="759" t="str">
        <f>IF(VLOOKUP(A138,'Revitalisation-Revitalisierung'!$A$4:$Z$275,16,FALSE)="","",VLOOKUP(A138,'Revitalisation-Revitalisierung'!$A$4:$Z$275,16,FALSE))</f>
        <v>important</v>
      </c>
      <c r="BN138" s="759" t="str">
        <f>IF(VLOOKUP(A138,'Revitalisation-Revitalisierung'!$A$4:$Z$275,17,FALSE)="","",VLOOKUP(A138,'Revitalisation-Revitalisierung'!$A$4:$Z$275,17,FALSE))</f>
        <v>moyen et important</v>
      </c>
      <c r="BO138" s="760" t="str">
        <f>IF(VLOOKUP(A138,'Revitalisation-Revitalisierung'!$A$4:$Z$275,18,FALSE)="","",VLOOKUP(A138,'Revitalisation-Revitalisierung'!$A$4:$Z$275,18,FALSE))</f>
        <v>Très nécessaire, facile / unbedingt nötig, einfach</v>
      </c>
      <c r="BP138" s="761" t="str">
        <f>IF(VLOOKUP(A138,'Revitalisation-Revitalisierung'!$A$4:$Z$275,19,FALSE)="","",VLOOKUP(A138,'Revitalisation-Revitalisierung'!$A$4:$Z$275,19,FALSE))</f>
        <v>Très nécessaire, facile / unbedingt nötig, einfach</v>
      </c>
      <c r="BQ138" s="759" t="str">
        <f>IF(VLOOKUP(A138,'Revitalisation-Revitalisierung'!$A$4:$Z$275,20,FALSE)="","",VLOOKUP(A138,'Revitalisation-Revitalisierung'!$A$4:$Z$275,20,FALSE))</f>
        <v>d</v>
      </c>
      <c r="BR138" s="759" t="str">
        <f>IF(VLOOKUP(A138,'Revitalisation-Revitalisierung'!$A$4:$Z$275,21,FALSE)="","",VLOOKUP(A138,'Revitalisation-Revitalisierung'!$A$4:$Z$275,21,FALSE))</f>
        <v/>
      </c>
      <c r="BS138" s="762" t="str">
        <f>IF(VLOOKUP(A138,'Revitalisation-Revitalisierung'!$A$4:$Z$275,22,FALSE)="","",VLOOKUP(A138,'Revitalisation-Revitalisierung'!$A$4:$Z$275,22,FALSE))</f>
        <v/>
      </c>
      <c r="BT138" s="700" t="str">
        <f>IF(VLOOKUP(A138,'Revitalisation-Revitalisierung'!$A$4:$Z$275,23,FALSE)="","",VLOOKUP(A138,'Revitalisation-Revitalisierung'!$A$4:$Z$275,23,FALSE))</f>
        <v/>
      </c>
      <c r="BU138" s="699" t="str">
        <f>IF(VLOOKUP(A138,'Revitalisation-Revitalisierung'!$A$4:$Z$275,24,FALSE)="","",VLOOKUP(A138,'Revitalisation-Revitalisierung'!$A$4:$Z$275,24,FALSE))</f>
        <v/>
      </c>
      <c r="BV138" s="761" t="str">
        <f>IF(VLOOKUP(A138,'Revitalisation-Revitalisierung'!$A$4:$Z$275,25,FALSE)="","",VLOOKUP(A138,'Revitalisation-Revitalisierung'!$A$4:$Z$275,25,FALSE))</f>
        <v>Très nécessaire, facile / unbedingt nötig, einfach</v>
      </c>
      <c r="BW138" s="871" t="str">
        <f>IF(VLOOKUP(A138,'Revitalisation-Revitalisierung'!$A$4:$AA$275,27,FALSE)="","",VLOOKUP(A138,'Revitalisation-Revitalisierung'!$A$4:$AA$275,27,FALSE))</f>
        <v>a</v>
      </c>
    </row>
    <row r="139" spans="1:75" ht="84" customHeight="1" x14ac:dyDescent="0.25">
      <c r="A139" s="936">
        <v>169.1</v>
      </c>
      <c r="B139" s="856">
        <f>IF(VLOOKUP(A139,'Données de base - Grunddaten'!$A$2:$M$297,2,FALSE)="","",VLOOKUP(A139,'Données de base - Grunddaten'!$A$2:$M$297,2,FALSE))</f>
        <v>1</v>
      </c>
      <c r="C139" s="857" t="str">
        <f>IF(VLOOKUP(A139,'Données de base - Grunddaten'!$A$2:$M$297,3,FALSE)="","",VLOOKUP(A139,'Données de base - Grunddaten'!$A$2:$M$297,3,FALSE))</f>
        <v>Bolle di Magadino</v>
      </c>
      <c r="D139" s="857" t="str">
        <f>IF(VLOOKUP(A139,'Données de base - Grunddaten'!$A$2:$M$297,4,FALSE)="","",VLOOKUP(A139,'Données de base - Grunddaten'!$A$2:$M$297,4,FALSE))</f>
        <v>Lago Maggiore, Ticino, Verzasca</v>
      </c>
      <c r="E139" s="857" t="str">
        <f>IF(VLOOKUP(A139,'Données de base - Grunddaten'!$A$2:$M$297,5,FALSE)="","",VLOOKUP(A139,'Données de base - Grunddaten'!$A$2:$M$297,5,FALSE))</f>
        <v>TI</v>
      </c>
      <c r="F139" s="857" t="str">
        <f>IF(VLOOKUP(A139,'Données de base - Grunddaten'!$A$2:$M$297,6,FALSE)="","",VLOOKUP(A139,'Données de base - Grunddaten'!$A$2:$M$297,6,FALSE))</f>
        <v>Tessin méridional</v>
      </c>
      <c r="G139" s="857" t="str">
        <f>IF(VLOOKUP(A139,'Données de base - Grunddaten'!$A$2:$M$297,7,FALSE)="","",VLOOKUP(A139,'Données de base - Grunddaten'!$A$2:$M$297,7,FALSE))</f>
        <v>Collinéen</v>
      </c>
      <c r="H139" s="857">
        <f>IF(VLOOKUP(A139,'Données de base - Grunddaten'!$A$2:$M$297,8,FALSE)="","",VLOOKUP(A139,'Données de base - Grunddaten'!$A$2:$M$297,8,FALSE))</f>
        <v>190</v>
      </c>
      <c r="I139" s="857">
        <f>IF(VLOOKUP(A139,'Données de base - Grunddaten'!$A$2:$M$297,9,FALSE)="","",VLOOKUP(A139,'Données de base - Grunddaten'!$A$2:$M$297,9,FALSE))</f>
        <v>1992</v>
      </c>
      <c r="J139" s="857">
        <f>IF(VLOOKUP(A139,'Données de base - Grunddaten'!$A$2:$M$297,10,FALSE)="","",VLOOKUP(A139,'Données de base - Grunddaten'!$A$2:$M$297,10,FALSE))</f>
        <v>90</v>
      </c>
      <c r="K139" s="857" t="str">
        <f>IF(VLOOKUP(A139,'Données de base - Grunddaten'!$A$2:$M$297,11,FALSE)="","",VLOOKUP(A139,'Données de base - Grunddaten'!$A$2:$M$297,11,FALSE))</f>
        <v>Delta</v>
      </c>
      <c r="L139" s="857" t="str">
        <f>IF(VLOOKUP(A139,'Données de base - Grunddaten'!$A$2:$M$297,12,FALSE)="","",VLOOKUP(A139,'Données de base - Grunddaten'!$A$2:$M$297,12,FALSE))</f>
        <v>en tresses</v>
      </c>
      <c r="M139" s="858" t="str">
        <f>IF(VLOOKUP(A139,'Données de base - Grunddaten'!$A$2:$M$297,13,FALSE)="","",VLOOKUP(A139,'Données de base - Grunddaten'!$A$2:$M$297,13,FALSE))</f>
        <v>en tresses</v>
      </c>
      <c r="N139" s="872" t="str">
        <f>IF(VLOOKUP(A139,'Charriage - Geschiebehaushalt'!$A$4:$R$275,5,FALSE)="","",VLOOKUP(A139,'Charriage - Geschiebehaushalt'!$A$4:$R$275,5,FALSE))</f>
        <v>pertinent</v>
      </c>
      <c r="O139" s="881" t="str">
        <f>IF(VLOOKUP(A139,'Charriage - Geschiebehaushalt'!$A$4:$R$275,6,FALSE)="","",VLOOKUP(A139,'Charriage - Geschiebehaushalt'!$A$4:$R$275,6,FALSE))</f>
        <v>non documenté</v>
      </c>
      <c r="P139" s="874" t="str">
        <f>IF(VLOOKUP(A139,'Charriage - Geschiebehaushalt'!$A$4:$R$275,7,FALSE)="","",VLOOKUP(A139,'Charriage - Geschiebehaushalt'!$A$4:$R$275,7,FALSE))</f>
        <v/>
      </c>
      <c r="Q139" s="874" t="str">
        <f>IF(VLOOKUP(A139,'Charriage - Geschiebehaushalt'!$A$4:$R$275,8,FALSE)="","",VLOOKUP(A139,'Charriage - Geschiebehaushalt'!$A$4:$R$275,8,FALSE))</f>
        <v>non documenté</v>
      </c>
      <c r="R139" s="875">
        <f>IF(VLOOKUP(A139,'Charriage - Geschiebehaushalt'!$A$4:$R$275,9,FALSE)="","",VLOOKUP(A139,'Charriage - Geschiebehaushalt'!$A$4:$R$275,9,FALSE))</f>
        <v>0.10099755641505501</v>
      </c>
      <c r="S139" s="876" t="str">
        <f>IF(VLOOKUP(A139,'Charriage - Geschiebehaushalt'!$A$4:$R$275,10,FALSE)="","",VLOOKUP(A139,'Charriage - Geschiebehaushalt'!$A$4:$R$275,10,FALSE))</f>
        <v>pas ou faiblement entravé</v>
      </c>
      <c r="T139" s="875">
        <f>IF(VLOOKUP(A139,'Charriage - Geschiebehaushalt'!$A$4:$R$275,11,FALSE)="","",VLOOKUP(A139,'Charriage - Geschiebehaushalt'!$A$4:$R$275,11,FALSE))</f>
        <v>0.37747844869000002</v>
      </c>
      <c r="U139" s="895" t="str">
        <f>IF(VLOOKUP(A139,'Charriage - Geschiebehaushalt'!$A$4:$R$275,12,FALSE)="","",VLOOKUP(A139,'Charriage - Geschiebehaushalt'!$A$4:$R$275,12,FALSE))</f>
        <v>déficit non apparent en charriage ou en remobilisation des sédiments</v>
      </c>
      <c r="V139" s="878" t="str">
        <f>IF(VLOOKUP(A139,'Charriage - Geschiebehaushalt'!$A$4:$R$275,13,FALSE)="","",VLOOKUP(A139,'Charriage - Geschiebehaushalt'!$A$4:$R$275,13,FALSE))</f>
        <v/>
      </c>
      <c r="W139" s="878" t="str">
        <f>IF(VLOOKUP(A139,'Charriage - Geschiebehaushalt'!$A$4:$R$275,14,FALSE)="","",VLOOKUP(A139,'Charriage - Geschiebehaushalt'!$A$4:$R$275,14,FALSE))</f>
        <v/>
      </c>
      <c r="X139" s="878" t="str">
        <f>IF(VLOOKUP(A139,'Charriage - Geschiebehaushalt'!$A$4:$R$275,15,FALSE)="","",VLOOKUP(A139,'Charriage - Geschiebehaushalt'!$A$4:$R$275,15,FALSE))</f>
        <v/>
      </c>
      <c r="Y139" s="882" t="str">
        <f>IF(VLOOKUP(A139,'Charriage - Geschiebehaushalt'!$A$4:$R$275,16,FALSE)="","",VLOOKUP(A139,'Charriage - Geschiebehaushalt'!$A$4:$R$275,16,FALSE))</f>
        <v/>
      </c>
      <c r="Z139" s="763" t="str">
        <f>IF(VLOOKUP(A139,'Charriage - Geschiebehaushalt'!$A$4:$R$275,17,FALSE)="","",VLOOKUP(A139,'Charriage - Geschiebehaushalt'!$A$4:$R$275,17,FALSE))</f>
        <v>Charriage présumé perturbé / Geschiebehaushalt vermutlich beeinträchtigt</v>
      </c>
      <c r="AA139" s="880" t="str">
        <f>IF(VLOOKUP(A139,'Charriage - Geschiebehaushalt'!$A$4:$R$275,18,FALSE)="","",VLOOKUP(A139,'Charriage - Geschiebehaushalt'!$A$4:$R$275,18,FALSE))</f>
        <v>b</v>
      </c>
      <c r="AB139" s="737" t="str">
        <f>IF(VLOOKUP(A139,'Charriage - Geschiebehaushalt'!$A$4:$AC$275,19,FALSE)="","",VLOOKUP(A139,'Charriage - Geschiebehaushalt'!$A$4:$AC$275,19,FALSE))</f>
        <v>important</v>
      </c>
      <c r="AC139" s="738">
        <f>IF(VLOOKUP(A139,'Charriage - Geschiebehaushalt'!$A$4:$AC$275,20,FALSE)="","",VLOOKUP(A139,'Charriage - Geschiebehaushalt'!$A$4:$AC$275,20,FALSE))</f>
        <v>0</v>
      </c>
      <c r="AD139" s="764" t="str">
        <f>IF(VLOOKUP(A139,'Charriage - Geschiebehaushalt'!$A$4:$AC$275,21,FALSE)="","",VLOOKUP(A139,'Charriage - Geschiebehaushalt'!$A$4:$AC$275,21,FALSE))</f>
        <v/>
      </c>
      <c r="AE139" s="772" t="str">
        <f>IF(VLOOKUP(A139,'Charriage - Geschiebehaushalt'!$A$4:$AC$275,22,FALSE)="","",VLOOKUP(A139,'Charriage - Geschiebehaushalt'!$A$4:$AC$275,22,FALSE))</f>
        <v>81-100%</v>
      </c>
      <c r="AF139" s="787" t="str">
        <f>IF(VLOOKUP(A139,'Charriage - Geschiebehaushalt'!$A$4:$AC$275,23,FALSE)="","",VLOOKUP(A139,'Charriage - Geschiebehaushalt'!$A$4:$AC$275,23,FALSE))</f>
        <v>c</v>
      </c>
      <c r="AG139" s="765" t="str">
        <f>IF(VLOOKUP(A139,'Charriage - Geschiebehaushalt'!$A$4:$AC$275,24,FALSE)="","",VLOOKUP(A139,'Charriage - Geschiebehaushalt'!$A$4:$AC$275,24,FALSE))</f>
        <v/>
      </c>
      <c r="AH139" s="764" t="str">
        <f>IF(VLOOKUP(A139,'Charriage - Geschiebehaushalt'!$A$4:$AC$275,25,FALSE)="","",VLOOKUP(A139,'Charriage - Geschiebehaushalt'!$A$4:$AC$275,25,FALSE))</f>
        <v/>
      </c>
      <c r="AI139" s="433" t="str">
        <f>IF(VLOOKUP(A139,'Charriage - Geschiebehaushalt'!$A$4:$AC$275,26,FALSE)="","",VLOOKUP(A139,'Charriage - Geschiebehaushalt'!$A$4:$AC$275,26,FALSE))</f>
        <v/>
      </c>
      <c r="AJ139" s="434" t="str">
        <f>IF(VLOOKUP(A139,'Charriage - Geschiebehaushalt'!$A$4:$AC$275,27,FALSE)="","",VLOOKUP(A139,'Charriage - Geschiebehaushalt'!$A$4:$AC$275,27,FALSE))</f>
        <v/>
      </c>
      <c r="AK139" s="814" t="str">
        <f>IF(VLOOKUP(A139,'Charriage - Geschiebehaushalt'!$A$4:$AC$275,28,FALSE)="","",VLOOKUP(A139,'Charriage - Geschiebehaushalt'!$A$4:$AC$275,28,FALSE))</f>
        <v>81-100%</v>
      </c>
      <c r="AL139" s="1285" t="str">
        <f>IF(VLOOKUP(A139,'Charriage - Geschiebehaushalt'!$A$4:$AD$275,30,FALSE)="","",VLOOKUP(A139,'Charriage - Geschiebehaushalt'!$A$4:$AD$275,30,FALSE))</f>
        <v>a</v>
      </c>
      <c r="AM139" s="1279" t="str">
        <f>IF(VLOOKUP(A139,'Débit - Abfluss'!$A$4:$K$275,5,FALSE)="","",VLOOKUP(A139,'Débit - Abfluss'!$A$4:$M$275,5,FALSE))</f>
        <v>81-100%</v>
      </c>
      <c r="AN139" s="868" t="str">
        <f>IF(VLOOKUP(A139,'Débit - Abfluss'!$A$4:$K$275,6,FALSE)="","",VLOOKUP(A139,'Débit - Abfluss'!$A$4:$M$275,6,FALSE))</f>
        <v/>
      </c>
      <c r="AO139" s="869" t="str">
        <f>IF(VLOOKUP(A139,'Débit - Abfluss'!$A$4:$K$275,7,FALSE)="","",VLOOKUP(A139,'Débit - Abfluss'!$A$4:$M$275,7,FALSE))</f>
        <v/>
      </c>
      <c r="AP139" s="766" t="str">
        <f>IF(VLOOKUP(A139,'Débit - Abfluss'!$A$4:$K$275,8,FALSE)="","",VLOOKUP(A139,'Débit - Abfluss'!$A$4:$M$275,8,FALSE))</f>
        <v>81-100%</v>
      </c>
      <c r="AQ139" s="742" t="str">
        <f>IF(VLOOKUP(A139,'Débit - Abfluss'!$A$4:$K$275,9,FALSE)="","",VLOOKUP(A139,'Débit - Abfluss'!$A$4:$M$275,9,FALSE))</f>
        <v>-</v>
      </c>
      <c r="AR139" s="767" t="str">
        <f>IF(VLOOKUP(A139,'Débit - Abfluss'!$A$4:$K$275,10,FALSE)="","",VLOOKUP(A139,'Débit - Abfluss'!$A$4:$M$275,10,FALSE))</f>
        <v>81-100%</v>
      </c>
      <c r="AS139" s="767" t="str">
        <f>IF(VLOOKUP(A139,'Débit - Abfluss'!$A$4:$K$275,11,FALSE)="","",VLOOKUP(A139,'Débit - Abfluss'!$A$4:$M$275,11,FALSE))</f>
        <v/>
      </c>
      <c r="AT139" s="744" t="str">
        <f>IF(VLOOKUP(A139,'Débit - Abfluss'!$A$4:$Q$275,12,FALSE)="","",VLOOKUP(A139,'Débit - Abfluss'!$A$4:$Q$275,12,FALSE))</f>
        <v/>
      </c>
      <c r="AU139" s="745" t="str">
        <f>IF(VLOOKUP(A139,'Débit - Abfluss'!$A$4:$Q$275,13,FALSE)="","",VLOOKUP(A139,'Débit - Abfluss'!$A$4:$Q$275,13,FALSE))</f>
        <v/>
      </c>
      <c r="AV139" s="746" t="str">
        <f>IF(VLOOKUP(A139,'Débit - Abfluss'!$A$4:$Q$275,14,FALSE)="","",VLOOKUP(A139,'Débit - Abfluss'!$A$4:$Q$275,14,FALSE))</f>
        <v/>
      </c>
      <c r="AW139" s="768" t="str">
        <f>IF(VLOOKUP(A139,'Débit - Abfluss'!$A$4:$Q$275,15,FALSE)="","",VLOOKUP(A139,'Débit - Abfluss'!$A$4:$Q$275,15,FALSE))</f>
        <v/>
      </c>
      <c r="AX139" s="679" t="str">
        <f>IF(VLOOKUP(A139,'Débit - Abfluss'!$A$4:$Q$275,16,FALSE)="","",VLOOKUP(A139,'Débit - Abfluss'!$A$4:$Q$275,16,FALSE))</f>
        <v/>
      </c>
      <c r="AY139" s="769" t="str">
        <f>IF(VLOOKUP(A139,'Débit - Abfluss'!$A$4:$Q$275,17,FALSE)="","",VLOOKUP(A139,'Débit - Abfluss'!$A$4:$Q$275,17,FALSE))</f>
        <v>81-100%</v>
      </c>
      <c r="AZ139" s="749" t="str">
        <f>IF(VLOOKUP(A139,'Eclusée - Schwall-Sunk'!$A$2:$F$273,5,FALSE)="","",VLOOKUP(A139,'Eclusée - Schwall-Sunk'!$A$2:$F$273,5,FALSE))</f>
        <v>force hydraulique</v>
      </c>
      <c r="BA139" s="750" t="str">
        <f>IF(VLOOKUP(A139,'Eclusée - Schwall-Sunk'!$A$2:$F$273,6,FALSE)="","",VLOOKUP(A139,'Eclusée - Schwall-Sunk'!$A$2:$F$273,6,FALSE))</f>
        <v>Potentiellement affecté / möglicherweise betroffen</v>
      </c>
      <c r="BB139" s="751" t="str">
        <f>IF(VLOOKUP(A139,'Revitalisation-Revitalisierung'!$A$4:$Z$275,5,FALSE)="","",VLOOKUP(A139,'Revitalisation-Revitalisierung'!$A$4:$Z$275,5,FALSE))</f>
        <v/>
      </c>
      <c r="BC139" s="752" t="str">
        <f>IF(VLOOKUP(A139,'Revitalisation-Revitalisierung'!$A$4:$Z$275,6,FALSE)="","",VLOOKUP(A139,'Revitalisation-Revitalisierung'!$A$4:$Z$275,6,FALSE))</f>
        <v/>
      </c>
      <c r="BD139" s="752" t="str">
        <f>IF(VLOOKUP(A139,'Revitalisation-Revitalisierung'!$A$4:$Z$275,7,FALSE)="","",VLOOKUP(A139,'Revitalisation-Revitalisierung'!$A$4:$Z$275,7,FALSE))</f>
        <v/>
      </c>
      <c r="BE139" s="753" t="str">
        <f>IF(VLOOKUP(A139,'Revitalisation-Revitalisierung'!$A$4:$Z$275,8,FALSE)="","",VLOOKUP(A139,'Revitalisation-Revitalisierung'!$A$4:$Z$275,8,FALSE))</f>
        <v/>
      </c>
      <c r="BF139" s="754" t="str">
        <f>IF(VLOOKUP(A139,'Revitalisation-Revitalisierung'!$A$4:$Z$275,9,FALSE)="","",VLOOKUP(A139,'Revitalisation-Revitalisierung'!$A$4:$Z$275,9,FALSE))</f>
        <v/>
      </c>
      <c r="BG139" s="754" t="str">
        <f>IF(VLOOKUP(A139,'Revitalisation-Revitalisierung'!$A$4:$Z$275,10,FALSE)="","",VLOOKUP(A139,'Revitalisation-Revitalisierung'!$A$4:$Z$275,10,FALSE))</f>
        <v>K2</v>
      </c>
      <c r="BH139" s="755" t="str">
        <f>IF(VLOOKUP(A139,'Revitalisation-Revitalisierung'!$A$4:$Z$275,11,FALSE)="","",VLOOKUP(A139,'Revitalisation-Revitalisierung'!$A$4:$Z$275,11,FALSE))</f>
        <v>non nécessaire</v>
      </c>
      <c r="BI139" s="756" t="str">
        <f>IF(VLOOKUP(A139,'Revitalisation-Revitalisierung'!$A$4:$Z$275,12,FALSE)="","",VLOOKUP(A139,'Revitalisation-Revitalisierung'!$A$4:$Z$275,12,FALSE))</f>
        <v>revitalisation terminée</v>
      </c>
      <c r="BJ139" s="788" t="str">
        <f>IF(VLOOKUP(A139,'Revitalisation-Revitalisierung'!$A$4:$Z$275,13,FALSE)="","",VLOOKUP(A139,'Revitalisation-Revitalisierung'!$A$4:$Z$275,13,FALSE))</f>
        <v>Non nécessaire / nicht nötig</v>
      </c>
      <c r="BK139" s="870" t="str">
        <f>IF(VLOOKUP(A139,'Revitalisation-Revitalisierung'!$A$4:$Z$275,14,FALSE)="","",VLOOKUP(A139,'Revitalisation-Revitalisierung'!$A$4:$Z$275,14,FALSE))</f>
        <v>a</v>
      </c>
      <c r="BL139" s="758" t="str">
        <f>IF(VLOOKUP(A139,'Revitalisation-Revitalisierung'!$A$4:$Z$275,15,FALSE)="","",VLOOKUP(A139,'Revitalisation-Revitalisierung'!$A$4:$Z$275,15,FALSE))</f>
        <v>important</v>
      </c>
      <c r="BM139" s="759" t="str">
        <f>IF(VLOOKUP(A139,'Revitalisation-Revitalisierung'!$A$4:$Z$275,16,FALSE)="","",VLOOKUP(A139,'Revitalisation-Revitalisierung'!$A$4:$Z$275,16,FALSE))</f>
        <v>important</v>
      </c>
      <c r="BN139" s="759" t="str">
        <f>IF(VLOOKUP(A139,'Revitalisation-Revitalisierung'!$A$4:$Z$275,17,FALSE)="","",VLOOKUP(A139,'Revitalisation-Revitalisierung'!$A$4:$Z$275,17,FALSE))</f>
        <v>important</v>
      </c>
      <c r="BO139" s="760" t="str">
        <f>IF(VLOOKUP(A139,'Revitalisation-Revitalisierung'!$A$4:$Z$275,18,FALSE)="","",VLOOKUP(A139,'Revitalisation-Revitalisierung'!$A$4:$Z$275,18,FALSE))</f>
        <v/>
      </c>
      <c r="BP139" s="761" t="str">
        <f>IF(VLOOKUP(A139,'Revitalisation-Revitalisierung'!$A$4:$Z$275,19,FALSE)="","",VLOOKUP(A139,'Revitalisation-Revitalisierung'!$A$4:$Z$275,19,FALSE))</f>
        <v>Non nécessaire / nicht nötig</v>
      </c>
      <c r="BQ139" s="759" t="str">
        <f>IF(VLOOKUP(A139,'Revitalisation-Revitalisierung'!$A$4:$Z$275,20,FALSE)="","",VLOOKUP(A139,'Revitalisation-Revitalisierung'!$A$4:$Z$275,20,FALSE))</f>
        <v>a</v>
      </c>
      <c r="BR139" s="759" t="str">
        <f>IF(VLOOKUP(A139,'Revitalisation-Revitalisierung'!$A$4:$Z$275,21,FALSE)="","",VLOOKUP(A139,'Revitalisation-Revitalisierung'!$A$4:$Z$275,21,FALSE))</f>
        <v/>
      </c>
      <c r="BS139" s="762" t="str">
        <f>IF(VLOOKUP(A139,'Revitalisation-Revitalisierung'!$A$4:$Z$275,22,FALSE)="","",VLOOKUP(A139,'Revitalisation-Revitalisierung'!$A$4:$Z$275,22,FALSE))</f>
        <v/>
      </c>
      <c r="BT139" s="700" t="str">
        <f>IF(VLOOKUP(A139,'Revitalisation-Revitalisierung'!$A$4:$Z$275,23,FALSE)="","",VLOOKUP(A139,'Revitalisation-Revitalisierung'!$A$4:$Z$275,23,FALSE))</f>
        <v/>
      </c>
      <c r="BU139" s="699" t="str">
        <f>IF(VLOOKUP(A139,'Revitalisation-Revitalisierung'!$A$4:$Z$275,24,FALSE)="","",VLOOKUP(A139,'Revitalisation-Revitalisierung'!$A$4:$Z$275,24,FALSE))</f>
        <v/>
      </c>
      <c r="BV139" s="761" t="str">
        <f>IF(VLOOKUP(A139,'Revitalisation-Revitalisierung'!$A$4:$Z$275,25,FALSE)="","",VLOOKUP(A139,'Revitalisation-Revitalisierung'!$A$4:$Z$275,25,FALSE))</f>
        <v>Non nécessaire / nicht nötig</v>
      </c>
      <c r="BW139" s="871" t="str">
        <f>IF(VLOOKUP(A139,'Revitalisation-Revitalisierung'!$A$4:$AA$275,27,FALSE)="","",VLOOKUP(A139,'Revitalisation-Revitalisierung'!$A$4:$AA$275,27,FALSE))</f>
        <v>a</v>
      </c>
    </row>
    <row r="140" spans="1:75" ht="72" customHeight="1" x14ac:dyDescent="0.25">
      <c r="A140" s="936">
        <v>169.2</v>
      </c>
      <c r="B140" s="856">
        <f>IF(VLOOKUP(A140,'Données de base - Grunddaten'!$A$2:$M$297,2,FALSE)="","",VLOOKUP(A140,'Données de base - Grunddaten'!$A$2:$M$297,2,FALSE))</f>
        <v>2</v>
      </c>
      <c r="C140" s="857" t="str">
        <f>IF(VLOOKUP(A140,'Données de base - Grunddaten'!$A$2:$M$297,3,FALSE)="","",VLOOKUP(A140,'Données de base - Grunddaten'!$A$2:$M$297,3,FALSE))</f>
        <v>Bolle di Magadino</v>
      </c>
      <c r="D140" s="857" t="str">
        <f>IF(VLOOKUP(A140,'Données de base - Grunddaten'!$A$2:$M$297,4,FALSE)="","",VLOOKUP(A140,'Données de base - Grunddaten'!$A$2:$M$297,4,FALSE))</f>
        <v>Lago Maggiore, Ticino, Verzasca</v>
      </c>
      <c r="E140" s="857" t="str">
        <f>IF(VLOOKUP(A140,'Données de base - Grunddaten'!$A$2:$M$297,5,FALSE)="","",VLOOKUP(A140,'Données de base - Grunddaten'!$A$2:$M$297,5,FALSE))</f>
        <v>TI</v>
      </c>
      <c r="F140" s="857" t="str">
        <f>IF(VLOOKUP(A140,'Données de base - Grunddaten'!$A$2:$M$297,6,FALSE)="","",VLOOKUP(A140,'Données de base - Grunddaten'!$A$2:$M$297,6,FALSE))</f>
        <v>Tessin méridional</v>
      </c>
      <c r="G140" s="857" t="str">
        <f>IF(VLOOKUP(A140,'Données de base - Grunddaten'!$A$2:$M$297,7,FALSE)="","",VLOOKUP(A140,'Données de base - Grunddaten'!$A$2:$M$297,7,FALSE))</f>
        <v>Collinéen</v>
      </c>
      <c r="H140" s="857">
        <f>IF(VLOOKUP(A140,'Données de base - Grunddaten'!$A$2:$M$297,8,FALSE)="","",VLOOKUP(A140,'Données de base - Grunddaten'!$A$2:$M$297,8,FALSE))</f>
        <v>190</v>
      </c>
      <c r="I140" s="857">
        <f>IF(VLOOKUP(A140,'Données de base - Grunddaten'!$A$2:$M$297,9,FALSE)="","",VLOOKUP(A140,'Données de base - Grunddaten'!$A$2:$M$297,9,FALSE))</f>
        <v>1992</v>
      </c>
      <c r="J140" s="857">
        <f>IF(VLOOKUP(A140,'Données de base - Grunddaten'!$A$2:$M$297,10,FALSE)="","",VLOOKUP(A140,'Données de base - Grunddaten'!$A$2:$M$297,10,FALSE))</f>
        <v>62</v>
      </c>
      <c r="K140" s="857" t="str">
        <f>IF(VLOOKUP(A140,'Données de base - Grunddaten'!$A$2:$M$297,11,FALSE)="","",VLOOKUP(A140,'Données de base - Grunddaten'!$A$2:$M$297,11,FALSE))</f>
        <v>Cours d'eau corrigés de l'étage collinéen du Sud des Alpes</v>
      </c>
      <c r="L140" s="857" t="str">
        <f>IF(VLOOKUP(A140,'Données de base - Grunddaten'!$A$2:$M$297,12,FALSE)="","",VLOOKUP(A140,'Données de base - Grunddaten'!$A$2:$M$297,12,FALSE))</f>
        <v>en tresses</v>
      </c>
      <c r="M140" s="858" t="str">
        <f>IF(VLOOKUP(A140,'Données de base - Grunddaten'!$A$2:$M$297,13,FALSE)="","",VLOOKUP(A140,'Données de base - Grunddaten'!$A$2:$M$297,13,FALSE))</f>
        <v>cours rectiligne</v>
      </c>
      <c r="N140" s="872" t="str">
        <f>IF(VLOOKUP(A140,'Charriage - Geschiebehaushalt'!$A$4:$R$275,5,FALSE)="","",VLOOKUP(A140,'Charriage - Geschiebehaushalt'!$A$4:$R$275,5,FALSE))</f>
        <v>pertinent</v>
      </c>
      <c r="O140" s="881" t="str">
        <f>IF(VLOOKUP(A140,'Charriage - Geschiebehaushalt'!$A$4:$R$275,6,FALSE)="","",VLOOKUP(A140,'Charriage - Geschiebehaushalt'!$A$4:$R$275,6,FALSE))</f>
        <v>non documenté</v>
      </c>
      <c r="P140" s="874" t="str">
        <f>IF(VLOOKUP(A140,'Charriage - Geschiebehaushalt'!$A$4:$R$275,7,FALSE)="","",VLOOKUP(A140,'Charriage - Geschiebehaushalt'!$A$4:$R$275,7,FALSE))</f>
        <v/>
      </c>
      <c r="Q140" s="874" t="str">
        <f>IF(VLOOKUP(A140,'Charriage - Geschiebehaushalt'!$A$4:$R$275,8,FALSE)="","",VLOOKUP(A140,'Charriage - Geschiebehaushalt'!$A$4:$R$275,8,FALSE))</f>
        <v>non documenté</v>
      </c>
      <c r="R140" s="875">
        <f>IF(VLOOKUP(A140,'Charriage - Geschiebehaushalt'!$A$4:$R$275,9,FALSE)="","",VLOOKUP(A140,'Charriage - Geschiebehaushalt'!$A$4:$R$275,9,FALSE))</f>
        <v>1.2861113854453401</v>
      </c>
      <c r="S140" s="895" t="str">
        <f>IF(VLOOKUP(A140,'Charriage - Geschiebehaushalt'!$A$4:$R$275,10,FALSE)="","",VLOOKUP(A140,'Charriage - Geschiebehaushalt'!$A$4:$R$275,10,FALSE))</f>
        <v>la remobilisation des sédiments est perturbée</v>
      </c>
      <c r="T140" s="875">
        <f>IF(VLOOKUP(A140,'Charriage - Geschiebehaushalt'!$A$4:$R$275,11,FALSE)="","",VLOOKUP(A140,'Charriage - Geschiebehaushalt'!$A$4:$R$275,11,FALSE))</f>
        <v>0.22187013757999999</v>
      </c>
      <c r="U140" s="876" t="str">
        <f>IF(VLOOKUP(A140,'Charriage - Geschiebehaushalt'!$A$4:$R$275,12,FALSE)="","",VLOOKUP(A140,'Charriage - Geschiebehaushalt'!$A$4:$R$275,12,FALSE))</f>
        <v>déficit dans les formations pionnières</v>
      </c>
      <c r="V140" s="877" t="str">
        <f>IF(VLOOKUP(A140,'Charriage - Geschiebehaushalt'!$A$4:$R$275,13,FALSE)="","",VLOOKUP(A140,'Charriage - Geschiebehaushalt'!$A$4:$R$275,13,FALSE))</f>
        <v/>
      </c>
      <c r="W140" s="877" t="str">
        <f>IF(VLOOKUP(A140,'Charriage - Geschiebehaushalt'!$A$4:$R$275,14,FALSE)="","",VLOOKUP(A140,'Charriage - Geschiebehaushalt'!$A$4:$R$275,14,FALSE))</f>
        <v/>
      </c>
      <c r="X140" s="877" t="str">
        <f>IF(VLOOKUP(A140,'Charriage - Geschiebehaushalt'!$A$4:$R$275,15,FALSE)="","",VLOOKUP(A140,'Charriage - Geschiebehaushalt'!$A$4:$R$275,15,FALSE))</f>
        <v/>
      </c>
      <c r="Y140" s="879" t="str">
        <f>IF(VLOOKUP(A140,'Charriage - Geschiebehaushalt'!$A$4:$R$275,16,FALSE)="","",VLOOKUP(A140,'Charriage - Geschiebehaushalt'!$A$4:$R$275,16,FALSE))</f>
        <v/>
      </c>
      <c r="Z140" s="763" t="str">
        <f>IF(VLOOKUP(A140,'Charriage - Geschiebehaushalt'!$A$4:$R$275,17,FALSE)="","",VLOOKUP(A140,'Charriage - Geschiebehaushalt'!$A$4:$R$275,17,FALSE))</f>
        <v>Charriage présumé perturbé / Geschiebehaushalt vermutlich beeinträchtigt</v>
      </c>
      <c r="AA140" s="880" t="str">
        <f>IF(VLOOKUP(A140,'Charriage - Geschiebehaushalt'!$A$4:$R$275,18,FALSE)="","",VLOOKUP(A140,'Charriage - Geschiebehaushalt'!$A$4:$R$275,18,FALSE))</f>
        <v>b</v>
      </c>
      <c r="AB140" s="737">
        <f>IF(VLOOKUP(A140,'Charriage - Geschiebehaushalt'!$A$4:$AC$275,19,FALSE)="","",VLOOKUP(A140,'Charriage - Geschiebehaushalt'!$A$4:$AC$275,19,FALSE))</f>
        <v>0</v>
      </c>
      <c r="AC140" s="738">
        <f>IF(VLOOKUP(A140,'Charriage - Geschiebehaushalt'!$A$4:$AC$275,20,FALSE)="","",VLOOKUP(A140,'Charriage - Geschiebehaushalt'!$A$4:$AC$275,20,FALSE))</f>
        <v>0</v>
      </c>
      <c r="AD140" s="764" t="str">
        <f>IF(VLOOKUP(A140,'Charriage - Geschiebehaushalt'!$A$4:$AC$275,21,FALSE)="","",VLOOKUP(A140,'Charriage - Geschiebehaushalt'!$A$4:$AC$275,21,FALSE))</f>
        <v>81-100%</v>
      </c>
      <c r="AE140" s="772" t="str">
        <f>IF(VLOOKUP(A140,'Charriage - Geschiebehaushalt'!$A$4:$AC$275,22,FALSE)="","",VLOOKUP(A140,'Charriage - Geschiebehaushalt'!$A$4:$AC$275,22,FALSE))</f>
        <v>81-100%</v>
      </c>
      <c r="AF140" s="787" t="str">
        <f>IF(VLOOKUP(A140,'Charriage - Geschiebehaushalt'!$A$4:$AC$275,23,FALSE)="","",VLOOKUP(A140,'Charriage - Geschiebehaushalt'!$A$4:$AC$275,23,FALSE))</f>
        <v>c</v>
      </c>
      <c r="AG140" s="765" t="str">
        <f>IF(VLOOKUP(A140,'Charriage - Geschiebehaushalt'!$A$4:$AC$275,24,FALSE)="","",VLOOKUP(A140,'Charriage - Geschiebehaushalt'!$A$4:$AC$275,24,FALSE))</f>
        <v/>
      </c>
      <c r="AH140" s="764" t="str">
        <f>IF(VLOOKUP(A140,'Charriage - Geschiebehaushalt'!$A$4:$AC$275,25,FALSE)="","",VLOOKUP(A140,'Charriage - Geschiebehaushalt'!$A$4:$AC$275,25,FALSE))</f>
        <v/>
      </c>
      <c r="AI140" s="433" t="str">
        <f>IF(VLOOKUP(A140,'Charriage - Geschiebehaushalt'!$A$4:$AC$275,26,FALSE)="","",VLOOKUP(A140,'Charriage - Geschiebehaushalt'!$A$4:$AC$275,26,FALSE))</f>
        <v/>
      </c>
      <c r="AJ140" s="434" t="str">
        <f>IF(VLOOKUP(A140,'Charriage - Geschiebehaushalt'!$A$4:$AC$275,27,FALSE)="","",VLOOKUP(A140,'Charriage - Geschiebehaushalt'!$A$4:$AC$275,27,FALSE))</f>
        <v/>
      </c>
      <c r="AK140" s="814" t="str">
        <f>IF(VLOOKUP(A140,'Charriage - Geschiebehaushalt'!$A$4:$AC$275,28,FALSE)="","",VLOOKUP(A140,'Charriage - Geschiebehaushalt'!$A$4:$AC$275,28,FALSE))</f>
        <v>81-100%</v>
      </c>
      <c r="AL140" s="1285" t="str">
        <f>IF(VLOOKUP(A140,'Charriage - Geschiebehaushalt'!$A$4:$AD$275,30,FALSE)="","",VLOOKUP(A140,'Charriage - Geschiebehaushalt'!$A$4:$AD$275,30,FALSE))</f>
        <v>a</v>
      </c>
      <c r="AM140" s="1279" t="str">
        <f>IF(VLOOKUP(A140,'Débit - Abfluss'!$A$4:$K$275,5,FALSE)="","",VLOOKUP(A140,'Débit - Abfluss'!$A$4:$M$275,5,FALSE))</f>
        <v>81-100%</v>
      </c>
      <c r="AN140" s="868" t="str">
        <f>IF(VLOOKUP(A140,'Débit - Abfluss'!$A$4:$K$275,6,FALSE)="","",VLOOKUP(A140,'Débit - Abfluss'!$A$4:$M$275,6,FALSE))</f>
        <v/>
      </c>
      <c r="AO140" s="869" t="str">
        <f>IF(VLOOKUP(A140,'Débit - Abfluss'!$A$4:$K$275,7,FALSE)="","",VLOOKUP(A140,'Débit - Abfluss'!$A$4:$M$275,7,FALSE))</f>
        <v/>
      </c>
      <c r="AP140" s="766" t="str">
        <f>IF(VLOOKUP(A140,'Débit - Abfluss'!$A$4:$K$275,8,FALSE)="","",VLOOKUP(A140,'Débit - Abfluss'!$A$4:$M$275,8,FALSE))</f>
        <v>81-100%</v>
      </c>
      <c r="AQ140" s="742" t="str">
        <f>IF(VLOOKUP(A140,'Débit - Abfluss'!$A$4:$K$275,9,FALSE)="","",VLOOKUP(A140,'Débit - Abfluss'!$A$4:$M$275,9,FALSE))</f>
        <v>-</v>
      </c>
      <c r="AR140" s="767" t="str">
        <f>IF(VLOOKUP(A140,'Débit - Abfluss'!$A$4:$K$275,10,FALSE)="","",VLOOKUP(A140,'Débit - Abfluss'!$A$4:$M$275,10,FALSE))</f>
        <v>81-100%</v>
      </c>
      <c r="AS140" s="767" t="str">
        <f>IF(VLOOKUP(A140,'Débit - Abfluss'!$A$4:$K$275,11,FALSE)="","",VLOOKUP(A140,'Débit - Abfluss'!$A$4:$M$275,11,FALSE))</f>
        <v/>
      </c>
      <c r="AT140" s="744" t="str">
        <f>IF(VLOOKUP(A140,'Débit - Abfluss'!$A$4:$Q$275,12,FALSE)="","",VLOOKUP(A140,'Débit - Abfluss'!$A$4:$Q$275,12,FALSE))</f>
        <v/>
      </c>
      <c r="AU140" s="745" t="str">
        <f>IF(VLOOKUP(A140,'Débit - Abfluss'!$A$4:$Q$275,13,FALSE)="","",VLOOKUP(A140,'Débit - Abfluss'!$A$4:$Q$275,13,FALSE))</f>
        <v/>
      </c>
      <c r="AV140" s="746" t="str">
        <f>IF(VLOOKUP(A140,'Débit - Abfluss'!$A$4:$Q$275,14,FALSE)="","",VLOOKUP(A140,'Débit - Abfluss'!$A$4:$Q$275,14,FALSE))</f>
        <v/>
      </c>
      <c r="AW140" s="768" t="str">
        <f>IF(VLOOKUP(A140,'Débit - Abfluss'!$A$4:$Q$275,15,FALSE)="","",VLOOKUP(A140,'Débit - Abfluss'!$A$4:$Q$275,15,FALSE))</f>
        <v/>
      </c>
      <c r="AX140" s="679" t="str">
        <f>IF(VLOOKUP(A140,'Débit - Abfluss'!$A$4:$Q$275,16,FALSE)="","",VLOOKUP(A140,'Débit - Abfluss'!$A$4:$Q$275,16,FALSE))</f>
        <v/>
      </c>
      <c r="AY140" s="769" t="str">
        <f>IF(VLOOKUP(A140,'Débit - Abfluss'!$A$4:$Q$275,17,FALSE)="","",VLOOKUP(A140,'Débit - Abfluss'!$A$4:$Q$275,17,FALSE))</f>
        <v>81-100%</v>
      </c>
      <c r="AZ140" s="749" t="str">
        <f>IF(VLOOKUP(A140,'Eclusée - Schwall-Sunk'!$A$2:$F$273,5,FALSE)="","",VLOOKUP(A140,'Eclusée - Schwall-Sunk'!$A$2:$F$273,5,FALSE))</f>
        <v>force hydraulique</v>
      </c>
      <c r="BA140" s="750" t="str">
        <f>IF(VLOOKUP(A140,'Eclusée - Schwall-Sunk'!$A$2:$F$273,6,FALSE)="","",VLOOKUP(A140,'Eclusée - Schwall-Sunk'!$A$2:$F$273,6,FALSE))</f>
        <v>Potentiellement affecté / möglicherweise betroffen</v>
      </c>
      <c r="BB140" s="751">
        <f>IF(VLOOKUP(A140,'Revitalisation-Revitalisierung'!$A$4:$Z$275,5,FALSE)="","",VLOOKUP(A140,'Revitalisation-Revitalisierung'!$A$4:$Z$275,5,FALSE))</f>
        <v>55.6</v>
      </c>
      <c r="BC140" s="752">
        <f>IF(VLOOKUP(A140,'Revitalisation-Revitalisierung'!$A$4:$Z$275,6,FALSE)="","",VLOOKUP(A140,'Revitalisation-Revitalisierung'!$A$4:$Z$275,6,FALSE))</f>
        <v>2.9373864398786451</v>
      </c>
      <c r="BD140" s="752">
        <f>IF(VLOOKUP(A140,'Revitalisation-Revitalisierung'!$A$4:$Z$275,7,FALSE)="","",VLOOKUP(A140,'Revitalisation-Revitalisierung'!$A$4:$Z$275,7,FALSE))</f>
        <v>10</v>
      </c>
      <c r="BE140" s="753" t="str">
        <f>IF(VLOOKUP(A140,'Revitalisation-Revitalisierung'!$A$4:$Z$275,8,FALSE)="","",VLOOKUP(A140,'Revitalisation-Revitalisierung'!$A$4:$Z$275,8,FALSE))</f>
        <v>peu nécessaire, facile</v>
      </c>
      <c r="BF140" s="754" t="str">
        <f>IF(VLOOKUP(A140,'Revitalisation-Revitalisierung'!$A$4:$Z$275,9,FALSE)="","",VLOOKUP(A140,'Revitalisation-Revitalisierung'!$A$4:$Z$275,9,FALSE))</f>
        <v/>
      </c>
      <c r="BG140" s="754" t="str">
        <f>IF(VLOOKUP(A140,'Revitalisation-Revitalisierung'!$A$4:$Z$275,10,FALSE)="","",VLOOKUP(A140,'Revitalisation-Revitalisierung'!$A$4:$Z$275,10,FALSE))</f>
        <v>K1</v>
      </c>
      <c r="BH140" s="755" t="str">
        <f>IF(VLOOKUP(A140,'Revitalisation-Revitalisierung'!$A$4:$Z$275,11,FALSE)="","",VLOOKUP(A140,'Revitalisation-Revitalisierung'!$A$4:$Z$275,11,FALSE))</f>
        <v/>
      </c>
      <c r="BI140" s="756" t="str">
        <f>IF(VLOOKUP(A140,'Revitalisation-Revitalisierung'!$A$4:$Z$275,12,FALSE)="","",VLOOKUP(A140,'Revitalisation-Revitalisierung'!$A$4:$Z$275,12,FALSE))</f>
        <v/>
      </c>
      <c r="BJ140" s="788" t="str">
        <f>IF(VLOOKUP(A140,'Revitalisation-Revitalisierung'!$A$4:$Z$275,13,FALSE)="","",VLOOKUP(A140,'Revitalisation-Revitalisierung'!$A$4:$Z$275,13,FALSE))</f>
        <v>Très nécessaire, facile / unbedingt nötig, einfach</v>
      </c>
      <c r="BK140" s="870" t="str">
        <f>IF(VLOOKUP(A140,'Revitalisation-Revitalisierung'!$A$4:$Z$275,14,FALSE)="","",VLOOKUP(A140,'Revitalisation-Revitalisierung'!$A$4:$Z$275,14,FALSE))</f>
        <v>b</v>
      </c>
      <c r="BL140" s="758">
        <f>IF(VLOOKUP(A140,'Revitalisation-Revitalisierung'!$A$4:$Z$275,15,FALSE)="","",VLOOKUP(A140,'Revitalisation-Revitalisierung'!$A$4:$Z$275,15,FALSE))</f>
        <v>0</v>
      </c>
      <c r="BM140" s="759" t="str">
        <f>IF(VLOOKUP(A140,'Revitalisation-Revitalisierung'!$A$4:$Z$275,16,FALSE)="","",VLOOKUP(A140,'Revitalisation-Revitalisierung'!$A$4:$Z$275,16,FALSE))</f>
        <v>faible</v>
      </c>
      <c r="BN140" s="759" t="str">
        <f>IF(VLOOKUP(A140,'Revitalisation-Revitalisierung'!$A$4:$Z$275,17,FALSE)="","",VLOOKUP(A140,'Revitalisation-Revitalisierung'!$A$4:$Z$275,17,FALSE))</f>
        <v>nulle</v>
      </c>
      <c r="BO140" s="760" t="str">
        <f>IF(VLOOKUP(A140,'Revitalisation-Revitalisierung'!$A$4:$Z$275,18,FALSE)="","",VLOOKUP(A140,'Revitalisation-Revitalisierung'!$A$4:$Z$275,18,FALSE))</f>
        <v>Très nécessaire, facile / unbedingt nötig, einfach</v>
      </c>
      <c r="BP140" s="761" t="str">
        <f>IF(VLOOKUP(A140,'Revitalisation-Revitalisierung'!$A$4:$Z$275,19,FALSE)="","",VLOOKUP(A140,'Revitalisation-Revitalisierung'!$A$4:$Z$275,19,FALSE))</f>
        <v>Très nécessaire, facile / unbedingt nötig, einfach</v>
      </c>
      <c r="BQ140" s="759" t="str">
        <f>IF(VLOOKUP(A140,'Revitalisation-Revitalisierung'!$A$4:$Z$275,20,FALSE)="","",VLOOKUP(A140,'Revitalisation-Revitalisierung'!$A$4:$Z$275,20,FALSE))</f>
        <v>d</v>
      </c>
      <c r="BR140" s="759" t="str">
        <f>IF(VLOOKUP(A140,'Revitalisation-Revitalisierung'!$A$4:$Z$275,21,FALSE)="","",VLOOKUP(A140,'Revitalisation-Revitalisierung'!$A$4:$Z$275,21,FALSE))</f>
        <v/>
      </c>
      <c r="BS140" s="762" t="str">
        <f>IF(VLOOKUP(A140,'Revitalisation-Revitalisierung'!$A$4:$Z$275,22,FALSE)="","",VLOOKUP(A140,'Revitalisation-Revitalisierung'!$A$4:$Z$275,22,FALSE))</f>
        <v/>
      </c>
      <c r="BT140" s="700" t="str">
        <f>IF(VLOOKUP(A140,'Revitalisation-Revitalisierung'!$A$4:$Z$275,23,FALSE)="","",VLOOKUP(A140,'Revitalisation-Revitalisierung'!$A$4:$Z$275,23,FALSE))</f>
        <v/>
      </c>
      <c r="BU140" s="699" t="str">
        <f>IF(VLOOKUP(A140,'Revitalisation-Revitalisierung'!$A$4:$Z$275,24,FALSE)="","",VLOOKUP(A140,'Revitalisation-Revitalisierung'!$A$4:$Z$275,24,FALSE))</f>
        <v/>
      </c>
      <c r="BV140" s="761" t="str">
        <f>IF(VLOOKUP(A140,'Revitalisation-Revitalisierung'!$A$4:$Z$275,25,FALSE)="","",VLOOKUP(A140,'Revitalisation-Revitalisierung'!$A$4:$Z$275,25,FALSE))</f>
        <v>Très nécessaire, facile / unbedingt nötig, einfach</v>
      </c>
      <c r="BW140" s="871" t="str">
        <f>IF(VLOOKUP(A140,'Revitalisation-Revitalisierung'!$A$4:$AA$275,27,FALSE)="","",VLOOKUP(A140,'Revitalisation-Revitalisierung'!$A$4:$AA$275,27,FALSE))</f>
        <v>a</v>
      </c>
    </row>
    <row r="141" spans="1:75" ht="69.599999999999994" customHeight="1" x14ac:dyDescent="0.25">
      <c r="A141" s="935">
        <v>170</v>
      </c>
      <c r="B141" s="856">
        <f>IF(VLOOKUP(A141,'Données de base - Grunddaten'!$A$2:$M$297,2,FALSE)="","",VLOOKUP(A141,'Données de base - Grunddaten'!$A$2:$M$297,2,FALSE))</f>
        <v>1</v>
      </c>
      <c r="C141" s="857" t="str">
        <f>IF(VLOOKUP(A141,'Données de base - Grunddaten'!$A$2:$M$297,3,FALSE)="","",VLOOKUP(A141,'Données de base - Grunddaten'!$A$2:$M$297,3,FALSE))</f>
        <v>Saleggio</v>
      </c>
      <c r="D141" s="857" t="str">
        <f>IF(VLOOKUP(A141,'Données de base - Grunddaten'!$A$2:$M$297,4,FALSE)="","",VLOOKUP(A141,'Données de base - Grunddaten'!$A$2:$M$297,4,FALSE))</f>
        <v>Maggia</v>
      </c>
      <c r="E141" s="857" t="str">
        <f>IF(VLOOKUP(A141,'Données de base - Grunddaten'!$A$2:$M$297,5,FALSE)="","",VLOOKUP(A141,'Données de base - Grunddaten'!$A$2:$M$297,5,FALSE))</f>
        <v>TI</v>
      </c>
      <c r="F141" s="857" t="str">
        <f>IF(VLOOKUP(A141,'Données de base - Grunddaten'!$A$2:$M$297,6,FALSE)="","",VLOOKUP(A141,'Données de base - Grunddaten'!$A$2:$M$297,6,FALSE))</f>
        <v>Tessin méridional</v>
      </c>
      <c r="G141" s="857" t="str">
        <f>IF(VLOOKUP(A141,'Données de base - Grunddaten'!$A$2:$M$297,7,FALSE)="","",VLOOKUP(A141,'Données de base - Grunddaten'!$A$2:$M$297,7,FALSE))</f>
        <v>Collinéen</v>
      </c>
      <c r="H141" s="857">
        <f>IF(VLOOKUP(A141,'Données de base - Grunddaten'!$A$2:$M$297,8,FALSE)="","",VLOOKUP(A141,'Données de base - Grunddaten'!$A$2:$M$297,8,FALSE))</f>
        <v>300</v>
      </c>
      <c r="I141" s="857">
        <f>IF(VLOOKUP(A141,'Données de base - Grunddaten'!$A$2:$M$297,9,FALSE)="","",VLOOKUP(A141,'Données de base - Grunddaten'!$A$2:$M$297,9,FALSE))</f>
        <v>1992</v>
      </c>
      <c r="J141" s="857">
        <f>IF(VLOOKUP(A141,'Données de base - Grunddaten'!$A$2:$M$297,10,FALSE)="","",VLOOKUP(A141,'Données de base - Grunddaten'!$A$2:$M$297,10,FALSE))</f>
        <v>61</v>
      </c>
      <c r="K141" s="857" t="str">
        <f>IF(VLOOKUP(A141,'Données de base - Grunddaten'!$A$2:$M$297,11,FALSE)="","",VLOOKUP(A141,'Données de base - Grunddaten'!$A$2:$M$297,11,FALSE))</f>
        <v>Cours d'eau naturels de l'étage collinéen du Sud des Alpes</v>
      </c>
      <c r="L141" s="857" t="str">
        <f>IF(VLOOKUP(A141,'Données de base - Grunddaten'!$A$2:$M$297,12,FALSE)="","",VLOOKUP(A141,'Données de base - Grunddaten'!$A$2:$M$297,12,FALSE))</f>
        <v>en tresses</v>
      </c>
      <c r="M141" s="858" t="str">
        <f>IF(VLOOKUP(A141,'Données de base - Grunddaten'!$A$2:$M$297,13,FALSE)="","",VLOOKUP(A141,'Données de base - Grunddaten'!$A$2:$M$297,13,FALSE))</f>
        <v>cours rectiligne (en bancs alternés)</v>
      </c>
      <c r="N141" s="872" t="str">
        <f>IF(VLOOKUP(A141,'Charriage - Geschiebehaushalt'!$A$4:$R$275,5,FALSE)="","",VLOOKUP(A141,'Charriage - Geschiebehaushalt'!$A$4:$R$275,5,FALSE))</f>
        <v>pertinent</v>
      </c>
      <c r="O141" s="881" t="str">
        <f>IF(VLOOKUP(A141,'Charriage - Geschiebehaushalt'!$A$4:$R$275,6,FALSE)="","",VLOOKUP(A141,'Charriage - Geschiebehaushalt'!$A$4:$R$275,6,FALSE))</f>
        <v>non documenté</v>
      </c>
      <c r="P141" s="874" t="str">
        <f>IF(VLOOKUP(A141,'Charriage - Geschiebehaushalt'!$A$4:$R$275,7,FALSE)="","",VLOOKUP(A141,'Charriage - Geschiebehaushalt'!$A$4:$R$275,7,FALSE))</f>
        <v/>
      </c>
      <c r="Q141" s="874" t="str">
        <f>IF(VLOOKUP(A141,'Charriage - Geschiebehaushalt'!$A$4:$R$275,8,FALSE)="","",VLOOKUP(A141,'Charriage - Geschiebehaushalt'!$A$4:$R$275,8,FALSE))</f>
        <v>non documenté</v>
      </c>
      <c r="R141" s="875">
        <f>IF(VLOOKUP(A141,'Charriage - Geschiebehaushalt'!$A$4:$R$275,9,FALSE)="","",VLOOKUP(A141,'Charriage - Geschiebehaushalt'!$A$4:$R$275,9,FALSE))</f>
        <v>0.31862011603373003</v>
      </c>
      <c r="S141" s="895" t="str">
        <f>IF(VLOOKUP(A141,'Charriage - Geschiebehaushalt'!$A$4:$R$275,10,FALSE)="","",VLOOKUP(A141,'Charriage - Geschiebehaushalt'!$A$4:$R$275,10,FALSE))</f>
        <v>la remobilisation des sédiments est perturbée</v>
      </c>
      <c r="T141" s="875">
        <f>IF(VLOOKUP(A141,'Charriage - Geschiebehaushalt'!$A$4:$R$275,11,FALSE)="","",VLOOKUP(A141,'Charriage - Geschiebehaushalt'!$A$4:$R$275,11,FALSE))</f>
        <v>0.12437150512</v>
      </c>
      <c r="U141" s="876" t="str">
        <f>IF(VLOOKUP(A141,'Charriage - Geschiebehaushalt'!$A$4:$R$275,12,FALSE)="","",VLOOKUP(A141,'Charriage - Geschiebehaushalt'!$A$4:$R$275,12,FALSE))</f>
        <v>déficit dans les formations pionnières</v>
      </c>
      <c r="V141" s="877" t="str">
        <f>IF(VLOOKUP(A141,'Charriage - Geschiebehaushalt'!$A$4:$R$275,13,FALSE)="","",VLOOKUP(A141,'Charriage - Geschiebehaushalt'!$A$4:$R$275,13,FALSE))</f>
        <v/>
      </c>
      <c r="W141" s="877" t="str">
        <f>IF(VLOOKUP(A141,'Charriage - Geschiebehaushalt'!$A$4:$R$275,14,FALSE)="","",VLOOKUP(A141,'Charriage - Geschiebehaushalt'!$A$4:$R$275,14,FALSE))</f>
        <v/>
      </c>
      <c r="X141" s="877" t="str">
        <f>IF(VLOOKUP(A141,'Charriage - Geschiebehaushalt'!$A$4:$R$275,15,FALSE)="","",VLOOKUP(A141,'Charriage - Geschiebehaushalt'!$A$4:$R$275,15,FALSE))</f>
        <v/>
      </c>
      <c r="Y141" s="879" t="str">
        <f>IF(VLOOKUP(A141,'Charriage - Geschiebehaushalt'!$A$4:$R$275,16,FALSE)="","",VLOOKUP(A141,'Charriage - Geschiebehaushalt'!$A$4:$R$275,16,FALSE))</f>
        <v/>
      </c>
      <c r="Z141" s="763" t="str">
        <f>IF(VLOOKUP(A141,'Charriage - Geschiebehaushalt'!$A$4:$R$275,17,FALSE)="","",VLOOKUP(A141,'Charriage - Geschiebehaushalt'!$A$4:$R$275,17,FALSE))</f>
        <v>Charriage présumé perturbé / Geschiebehaushalt vermutlich beeinträchtigt</v>
      </c>
      <c r="AA141" s="880" t="str">
        <f>IF(VLOOKUP(A141,'Charriage - Geschiebehaushalt'!$A$4:$R$275,18,FALSE)="","",VLOOKUP(A141,'Charriage - Geschiebehaushalt'!$A$4:$R$275,18,FALSE))</f>
        <v>b</v>
      </c>
      <c r="AB141" s="737" t="str">
        <f>IF(VLOOKUP(A141,'Charriage - Geschiebehaushalt'!$A$4:$AC$275,19,FALSE)="","",VLOOKUP(A141,'Charriage - Geschiebehaushalt'!$A$4:$AC$275,19,FALSE))</f>
        <v>négligeable</v>
      </c>
      <c r="AC141" s="738">
        <f>IF(VLOOKUP(A141,'Charriage - Geschiebehaushalt'!$A$4:$AC$275,20,FALSE)="","",VLOOKUP(A141,'Charriage - Geschiebehaushalt'!$A$4:$AC$275,20,FALSE))</f>
        <v>0</v>
      </c>
      <c r="AD141" s="789" t="str">
        <f>IF(VLOOKUP(A141,'Charriage - Geschiebehaushalt'!$A$4:$AC$275,21,FALSE)="","",VLOOKUP(A141,'Charriage - Geschiebehaushalt'!$A$4:$AC$275,21,FALSE))</f>
        <v>0-20%</v>
      </c>
      <c r="AE141" s="740" t="str">
        <f>IF(VLOOKUP(A141,'Charriage - Geschiebehaushalt'!$A$4:$AC$275,22,FALSE)="","",VLOOKUP(A141,'Charriage - Geschiebehaushalt'!$A$4:$AC$275,22,FALSE))</f>
        <v>51-80%</v>
      </c>
      <c r="AF141" s="787" t="str">
        <f>IF(VLOOKUP(A141,'Charriage - Geschiebehaushalt'!$A$4:$AC$275,23,FALSE)="","",VLOOKUP(A141,'Charriage - Geschiebehaushalt'!$A$4:$AC$275,23,FALSE))</f>
        <v>b</v>
      </c>
      <c r="AG141" s="765" t="str">
        <f>IF(VLOOKUP(A141,'Charriage - Geschiebehaushalt'!$A$4:$AC$275,24,FALSE)="","",VLOOKUP(A141,'Charriage - Geschiebehaushalt'!$A$4:$AC$275,24,FALSE))</f>
        <v>A cause des stabilisations de berges</v>
      </c>
      <c r="AH141" s="764" t="str">
        <f>IF(VLOOKUP(A141,'Charriage - Geschiebehaushalt'!$A$4:$AC$275,25,FALSE)="","",VLOOKUP(A141,'Charriage - Geschiebehaushalt'!$A$4:$AC$275,25,FALSE))</f>
        <v>X</v>
      </c>
      <c r="AI141" s="433" t="str">
        <f>IF(VLOOKUP(A141,'Charriage - Geschiebehaushalt'!$A$4:$AC$275,26,FALSE)="","",VLOOKUP(A141,'Charriage - Geschiebehaushalt'!$A$4:$AC$275,26,FALSE))</f>
        <v/>
      </c>
      <c r="AJ141" s="440" t="str">
        <f>IF(VLOOKUP(A141,'Charriage - Geschiebehaushalt'!$A$4:$AC$275,27,FALSE)="","",VLOOKUP(A141,'Charriage - Geschiebehaushalt'!$A$4:$AC$275,27,FALSE))</f>
        <v xml:space="preserve">Le osservazioni del SCZA possono pertanto essere considerate soddisfatte dalla Pianificazione delle rivitalizzazioni. </v>
      </c>
      <c r="AK141" s="801" t="str">
        <f>IF(VLOOKUP(A141,'Charriage - Geschiebehaushalt'!$A$4:$AC$275,28,FALSE)="","",VLOOKUP(A141,'Charriage - Geschiebehaushalt'!$A$4:$AC$275,28,FALSE))</f>
        <v>51-80%</v>
      </c>
      <c r="AL141" s="1285" t="str">
        <f>IF(VLOOKUP(A141,'Charriage - Geschiebehaushalt'!$A$4:$AD$275,30,FALSE)="","",VLOOKUP(A141,'Charriage - Geschiebehaushalt'!$A$4:$AD$275,30,FALSE))</f>
        <v>b</v>
      </c>
      <c r="AM141" s="1279" t="str">
        <f>IF(VLOOKUP(A141,'Débit - Abfluss'!$A$4:$K$275,5,FALSE)="","",VLOOKUP(A141,'Débit - Abfluss'!$A$4:$M$275,5,FALSE))</f>
        <v>21-40%</v>
      </c>
      <c r="AN141" s="868" t="str">
        <f>IF(VLOOKUP(A141,'Débit - Abfluss'!$A$4:$K$275,6,FALSE)="","",VLOOKUP(A141,'Débit - Abfluss'!$A$4:$M$275,6,FALSE))</f>
        <v/>
      </c>
      <c r="AO141" s="869" t="str">
        <f>IF(VLOOKUP(A141,'Débit - Abfluss'!$A$4:$K$275,7,FALSE)="","",VLOOKUP(A141,'Débit - Abfluss'!$A$4:$M$275,7,FALSE))</f>
        <v/>
      </c>
      <c r="AP141" s="766" t="str">
        <f>IF(VLOOKUP(A141,'Débit - Abfluss'!$A$4:$K$275,8,FALSE)="","",VLOOKUP(A141,'Débit - Abfluss'!$A$4:$M$275,8,FALSE))</f>
        <v>21-40%</v>
      </c>
      <c r="AQ141" s="678" t="str">
        <f>IF(VLOOKUP(A141,'Débit - Abfluss'!$A$4:$K$275,9,FALSE)="","",VLOOKUP(A141,'Débit - Abfluss'!$A$4:$M$275,9,FALSE))</f>
        <v>50-90%</v>
      </c>
      <c r="AR141" s="767" t="str">
        <f>IF(VLOOKUP(A141,'Débit - Abfluss'!$A$4:$K$275,10,FALSE)="","",VLOOKUP(A141,'Débit - Abfluss'!$A$4:$M$275,10,FALSE))</f>
        <v>21-40%</v>
      </c>
      <c r="AS141" s="767" t="str">
        <f>IF(VLOOKUP(A141,'Débit - Abfluss'!$A$4:$K$275,11,FALSE)="","",VLOOKUP(A141,'Débit - Abfluss'!$A$4:$M$275,11,FALSE))</f>
        <v/>
      </c>
      <c r="AT141" s="744" t="str">
        <f>IF(VLOOKUP(A141,'Débit - Abfluss'!$A$4:$Q$275,12,FALSE)="","",VLOOKUP(A141,'Débit - Abfluss'!$A$4:$Q$275,12,FALSE))</f>
        <v/>
      </c>
      <c r="AU141" s="745" t="str">
        <f>IF(VLOOKUP(A141,'Débit - Abfluss'!$A$4:$Q$275,13,FALSE)="","",VLOOKUP(A141,'Débit - Abfluss'!$A$4:$Q$275,13,FALSE))</f>
        <v/>
      </c>
      <c r="AV141" s="746" t="str">
        <f>IF(VLOOKUP(A141,'Débit - Abfluss'!$A$4:$Q$275,14,FALSE)="","",VLOOKUP(A141,'Débit - Abfluss'!$A$4:$Q$275,14,FALSE))</f>
        <v>TI-W 26</v>
      </c>
      <c r="AW141" s="768" t="str">
        <f>IF(VLOOKUP(A141,'Débit - Abfluss'!$A$4:$Q$275,15,FALSE)="","",VLOOKUP(A141,'Débit - Abfluss'!$A$4:$Q$275,15,FALSE))</f>
        <v>Verbano</v>
      </c>
      <c r="AX141" s="679" t="str">
        <f>IF(VLOOKUP(A141,'Débit - Abfluss'!$A$4:$Q$275,16,FALSE)="","",VLOOKUP(A141,'Débit - Abfluss'!$A$4:$Q$275,16,FALSE))</f>
        <v/>
      </c>
      <c r="AY141" s="769" t="str">
        <f>IF(VLOOKUP(A141,'Débit - Abfluss'!$A$4:$Q$275,17,FALSE)="","",VLOOKUP(A141,'Débit - Abfluss'!$A$4:$Q$275,17,FALSE))</f>
        <v>21-40%</v>
      </c>
      <c r="AZ141" s="749" t="str">
        <f>IF(VLOOKUP(A141,'Eclusée - Schwall-Sunk'!$A$2:$F$273,5,FALSE)="","",VLOOKUP(A141,'Eclusée - Schwall-Sunk'!$A$2:$F$273,5,FALSE))</f>
        <v>force hydraulique</v>
      </c>
      <c r="BA141" s="750" t="str">
        <f>IF(VLOOKUP(A141,'Eclusée - Schwall-Sunk'!$A$2:$F$273,6,FALSE)="","",VLOOKUP(A141,'Eclusée - Schwall-Sunk'!$A$2:$F$273,6,FALSE))</f>
        <v>Non affecté / nicht betroffen</v>
      </c>
      <c r="BB141" s="751">
        <f>IF(VLOOKUP(A141,'Revitalisation-Revitalisierung'!$A$4:$Z$275,5,FALSE)="","",VLOOKUP(A141,'Revitalisation-Revitalisierung'!$A$4:$Z$275,5,FALSE))</f>
        <v>24.154545454545456</v>
      </c>
      <c r="BC141" s="752">
        <f>IF(VLOOKUP(A141,'Revitalisation-Revitalisierung'!$A$4:$Z$275,6,FALSE)="","",VLOOKUP(A141,'Revitalisation-Revitalisierung'!$A$4:$Z$275,6,FALSE))</f>
        <v>63.66860766019466</v>
      </c>
      <c r="BD141" s="752">
        <f>IF(VLOOKUP(A141,'Revitalisation-Revitalisierung'!$A$4:$Z$275,7,FALSE)="","",VLOOKUP(A141,'Revitalisation-Revitalisierung'!$A$4:$Z$275,7,FALSE))</f>
        <v>39.545454545454547</v>
      </c>
      <c r="BE141" s="753" t="str">
        <f>IF(VLOOKUP(A141,'Revitalisation-Revitalisierung'!$A$4:$Z$275,8,FALSE)="","",VLOOKUP(A141,'Revitalisation-Revitalisierung'!$A$4:$Z$275,8,FALSE))</f>
        <v>très nécessaire, difficile</v>
      </c>
      <c r="BF141" s="754" t="str">
        <f>IF(VLOOKUP(A141,'Revitalisation-Revitalisierung'!$A$4:$Z$275,9,FALSE)="","",VLOOKUP(A141,'Revitalisation-Revitalisierung'!$A$4:$Z$275,9,FALSE))</f>
        <v>leicht</v>
      </c>
      <c r="BG141" s="754" t="str">
        <f>IF(VLOOKUP(A141,'Revitalisation-Revitalisierung'!$A$4:$Z$275,10,FALSE)="","",VLOOKUP(A141,'Revitalisation-Revitalisierung'!$A$4:$Z$275,10,FALSE))</f>
        <v>K1</v>
      </c>
      <c r="BH141" s="755" t="str">
        <f>IF(VLOOKUP(A141,'Revitalisation-Revitalisierung'!$A$4:$Z$275,11,FALSE)="","",VLOOKUP(A141,'Revitalisation-Revitalisierung'!$A$4:$Z$275,11,FALSE))</f>
        <v/>
      </c>
      <c r="BI141" s="756" t="str">
        <f>IF(VLOOKUP(A141,'Revitalisation-Revitalisierung'!$A$4:$Z$275,12,FALSE)="","",VLOOKUP(A141,'Revitalisation-Revitalisierung'!$A$4:$Z$275,12,FALSE))</f>
        <v/>
      </c>
      <c r="BJ141" s="788" t="str">
        <f>IF(VLOOKUP(A141,'Revitalisation-Revitalisierung'!$A$4:$Z$275,13,FALSE)="","",VLOOKUP(A141,'Revitalisation-Revitalisierung'!$A$4:$Z$275,13,FALSE))</f>
        <v>Très nécessaire, facile / unbedingt nötig, einfach</v>
      </c>
      <c r="BK141" s="870" t="str">
        <f>IF(VLOOKUP(A141,'Revitalisation-Revitalisierung'!$A$4:$Z$275,14,FALSE)="","",VLOOKUP(A141,'Revitalisation-Revitalisierung'!$A$4:$Z$275,14,FALSE))</f>
        <v>b</v>
      </c>
      <c r="BL141" s="758" t="str">
        <f>IF(VLOOKUP(A141,'Revitalisation-Revitalisierung'!$A$4:$Z$275,15,FALSE)="","",VLOOKUP(A141,'Revitalisation-Revitalisierung'!$A$4:$Z$275,15,FALSE))</f>
        <v>moyen</v>
      </c>
      <c r="BM141" s="759" t="str">
        <f>IF(VLOOKUP(A141,'Revitalisation-Revitalisierung'!$A$4:$Z$275,16,FALSE)="","",VLOOKUP(A141,'Revitalisation-Revitalisierung'!$A$4:$Z$275,16,FALSE))</f>
        <v>important et faible</v>
      </c>
      <c r="BN141" s="759" t="str">
        <f>IF(VLOOKUP(A141,'Revitalisation-Revitalisierung'!$A$4:$Z$275,17,FALSE)="","",VLOOKUP(A141,'Revitalisation-Revitalisierung'!$A$4:$Z$275,17,FALSE))</f>
        <v>faible et nulle</v>
      </c>
      <c r="BO141" s="760" t="str">
        <f>IF(VLOOKUP(A141,'Revitalisation-Revitalisierung'!$A$4:$Z$275,18,FALSE)="","",VLOOKUP(A141,'Revitalisation-Revitalisierung'!$A$4:$Z$275,18,FALSE))</f>
        <v>Très nécessaire, facile / unbedingt nötig, einfach</v>
      </c>
      <c r="BP141" s="761" t="str">
        <f>IF(VLOOKUP(A141,'Revitalisation-Revitalisierung'!$A$4:$Z$275,19,FALSE)="","",VLOOKUP(A141,'Revitalisation-Revitalisierung'!$A$4:$Z$275,19,FALSE))</f>
        <v>Très nécessaire, facile / unbedingt nötig, einfach</v>
      </c>
      <c r="BQ141" s="759" t="str">
        <f>IF(VLOOKUP(A141,'Revitalisation-Revitalisierung'!$A$4:$Z$275,20,FALSE)="","",VLOOKUP(A141,'Revitalisation-Revitalisierung'!$A$4:$Z$275,20,FALSE))</f>
        <v>d</v>
      </c>
      <c r="BR141" s="759" t="str">
        <f>IF(VLOOKUP(A141,'Revitalisation-Revitalisierung'!$A$4:$Z$275,21,FALSE)="","",VLOOKUP(A141,'Revitalisation-Revitalisierung'!$A$4:$Z$275,21,FALSE))</f>
        <v/>
      </c>
      <c r="BS141" s="762" t="str">
        <f>IF(VLOOKUP(A141,'Revitalisation-Revitalisierung'!$A$4:$Z$275,22,FALSE)="","",VLOOKUP(A141,'Revitalisation-Revitalisierung'!$A$4:$Z$275,22,FALSE))</f>
        <v/>
      </c>
      <c r="BT141" s="700" t="str">
        <f>IF(VLOOKUP(A141,'Revitalisation-Revitalisierung'!$A$4:$Z$275,23,FALSE)="","",VLOOKUP(A141,'Revitalisation-Revitalisierung'!$A$4:$Z$275,23,FALSE))</f>
        <v/>
      </c>
      <c r="BU141" s="699" t="str">
        <f>IF(VLOOKUP(A141,'Revitalisation-Revitalisierung'!$A$4:$Z$275,24,FALSE)="","",VLOOKUP(A141,'Revitalisation-Revitalisierung'!$A$4:$Z$275,24,FALSE))</f>
        <v/>
      </c>
      <c r="BV141" s="761" t="str">
        <f>IF(VLOOKUP(A141,'Revitalisation-Revitalisierung'!$A$4:$Z$275,25,FALSE)="","",VLOOKUP(A141,'Revitalisation-Revitalisierung'!$A$4:$Z$275,25,FALSE))</f>
        <v>Très nécessaire, facile / unbedingt nötig, einfach</v>
      </c>
      <c r="BW141" s="871" t="str">
        <f>IF(VLOOKUP(A141,'Revitalisation-Revitalisierung'!$A$4:$AA$275,27,FALSE)="","",VLOOKUP(A141,'Revitalisation-Revitalisierung'!$A$4:$AA$275,27,FALSE))</f>
        <v>a</v>
      </c>
    </row>
    <row r="142" spans="1:75" ht="66.599999999999994" customHeight="1" x14ac:dyDescent="0.25">
      <c r="A142" s="937">
        <v>171</v>
      </c>
      <c r="B142" s="856">
        <f>IF(VLOOKUP(A142,'Données de base - Grunddaten'!$A$2:$M$297,2,FALSE)="","",VLOOKUP(A142,'Données de base - Grunddaten'!$A$2:$M$297,2,FALSE))</f>
        <v>1</v>
      </c>
      <c r="C142" s="857" t="str">
        <f>IF(VLOOKUP(A142,'Données de base - Grunddaten'!$A$2:$M$297,3,FALSE)="","",VLOOKUP(A142,'Données de base - Grunddaten'!$A$2:$M$297,3,FALSE))</f>
        <v>Maggia</v>
      </c>
      <c r="D142" s="857" t="str">
        <f>IF(VLOOKUP(A142,'Données de base - Grunddaten'!$A$2:$M$297,4,FALSE)="","",VLOOKUP(A142,'Données de base - Grunddaten'!$A$2:$M$297,4,FALSE))</f>
        <v>Maggia</v>
      </c>
      <c r="E142" s="857" t="str">
        <f>IF(VLOOKUP(A142,'Données de base - Grunddaten'!$A$2:$M$297,5,FALSE)="","",VLOOKUP(A142,'Données de base - Grunddaten'!$A$2:$M$297,5,FALSE))</f>
        <v>TI</v>
      </c>
      <c r="F142" s="857" t="str">
        <f>IF(VLOOKUP(A142,'Données de base - Grunddaten'!$A$2:$M$297,6,FALSE)="","",VLOOKUP(A142,'Données de base - Grunddaten'!$A$2:$M$297,6,FALSE))</f>
        <v>Tessin méridional, Alpes méridionales</v>
      </c>
      <c r="G142" s="857" t="str">
        <f>IF(VLOOKUP(A142,'Données de base - Grunddaten'!$A$2:$M$297,7,FALSE)="","",VLOOKUP(A142,'Données de base - Grunddaten'!$A$2:$M$297,7,FALSE))</f>
        <v>Collinéen</v>
      </c>
      <c r="H142" s="857">
        <f>IF(VLOOKUP(A142,'Données de base - Grunddaten'!$A$2:$M$297,8,FALSE)="","",VLOOKUP(A142,'Données de base - Grunddaten'!$A$2:$M$297,8,FALSE))</f>
        <v>360</v>
      </c>
      <c r="I142" s="857">
        <f>IF(VLOOKUP(A142,'Données de base - Grunddaten'!$A$2:$M$297,9,FALSE)="","",VLOOKUP(A142,'Données de base - Grunddaten'!$A$2:$M$297,9,FALSE))</f>
        <v>1992</v>
      </c>
      <c r="J142" s="857">
        <f>IF(VLOOKUP(A142,'Données de base - Grunddaten'!$A$2:$M$297,10,FALSE)="","",VLOOKUP(A142,'Données de base - Grunddaten'!$A$2:$M$297,10,FALSE))</f>
        <v>61</v>
      </c>
      <c r="K142" s="857" t="str">
        <f>IF(VLOOKUP(A142,'Données de base - Grunddaten'!$A$2:$M$297,11,FALSE)="","",VLOOKUP(A142,'Données de base - Grunddaten'!$A$2:$M$297,11,FALSE))</f>
        <v>Cours d'eau naturels de l'étage collinéen du Sud des Alpes</v>
      </c>
      <c r="L142" s="857" t="str">
        <f>IF(VLOOKUP(A142,'Données de base - Grunddaten'!$A$2:$M$297,12,FALSE)="","",VLOOKUP(A142,'Données de base - Grunddaten'!$A$2:$M$297,12,FALSE))</f>
        <v>en tresses</v>
      </c>
      <c r="M142" s="858" t="str">
        <f>IF(VLOOKUP(A142,'Données de base - Grunddaten'!$A$2:$M$297,13,FALSE)="","",VLOOKUP(A142,'Données de base - Grunddaten'!$A$2:$M$297,13,FALSE))</f>
        <v>en tresses</v>
      </c>
      <c r="N142" s="872" t="str">
        <f>IF(VLOOKUP(A142,'Charriage - Geschiebehaushalt'!$A$4:$R$275,5,FALSE)="","",VLOOKUP(A142,'Charriage - Geschiebehaushalt'!$A$4:$R$275,5,FALSE))</f>
        <v>pertinent</v>
      </c>
      <c r="O142" s="881" t="str">
        <f>IF(VLOOKUP(A142,'Charriage - Geschiebehaushalt'!$A$4:$R$275,6,FALSE)="","",VLOOKUP(A142,'Charriage - Geschiebehaushalt'!$A$4:$R$275,6,FALSE))</f>
        <v>non documenté</v>
      </c>
      <c r="P142" s="874" t="str">
        <f>IF(VLOOKUP(A142,'Charriage - Geschiebehaushalt'!$A$4:$R$275,7,FALSE)="","",VLOOKUP(A142,'Charriage - Geschiebehaushalt'!$A$4:$R$275,7,FALSE))</f>
        <v/>
      </c>
      <c r="Q142" s="874" t="str">
        <f>IF(VLOOKUP(A142,'Charriage - Geschiebehaushalt'!$A$4:$R$275,8,FALSE)="","",VLOOKUP(A142,'Charriage - Geschiebehaushalt'!$A$4:$R$275,8,FALSE))</f>
        <v>non documenté</v>
      </c>
      <c r="R142" s="875">
        <f>IF(VLOOKUP(A142,'Charriage - Geschiebehaushalt'!$A$4:$R$275,9,FALSE)="","",VLOOKUP(A142,'Charriage - Geschiebehaushalt'!$A$4:$R$275,9,FALSE))</f>
        <v>0.13363219922484301</v>
      </c>
      <c r="S142" s="876" t="str">
        <f>IF(VLOOKUP(A142,'Charriage - Geschiebehaushalt'!$A$4:$R$275,10,FALSE)="","",VLOOKUP(A142,'Charriage - Geschiebehaushalt'!$A$4:$R$275,10,FALSE))</f>
        <v>pas ou faiblement entravé</v>
      </c>
      <c r="T142" s="875">
        <f>IF(VLOOKUP(A142,'Charriage - Geschiebehaushalt'!$A$4:$R$275,11,FALSE)="","",VLOOKUP(A142,'Charriage - Geschiebehaushalt'!$A$4:$R$275,11,FALSE))</f>
        <v>0.17435170982000001</v>
      </c>
      <c r="U142" s="876" t="str">
        <f>IF(VLOOKUP(A142,'Charriage - Geschiebehaushalt'!$A$4:$R$275,12,FALSE)="","",VLOOKUP(A142,'Charriage - Geschiebehaushalt'!$A$4:$R$275,12,FALSE))</f>
        <v>déficit dans les formations pionnières</v>
      </c>
      <c r="V142" s="877" t="str">
        <f>IF(VLOOKUP(A142,'Charriage - Geschiebehaushalt'!$A$4:$R$275,13,FALSE)="","",VLOOKUP(A142,'Charriage - Geschiebehaushalt'!$A$4:$R$275,13,FALSE))</f>
        <v/>
      </c>
      <c r="W142" s="877" t="str">
        <f>IF(VLOOKUP(A142,'Charriage - Geschiebehaushalt'!$A$4:$R$275,14,FALSE)="","",VLOOKUP(A142,'Charriage - Geschiebehaushalt'!$A$4:$R$275,14,FALSE))</f>
        <v>A vérifier</v>
      </c>
      <c r="X142" s="877" t="str">
        <f>IF(VLOOKUP(A142,'Charriage - Geschiebehaushalt'!$A$4:$R$275,15,FALSE)="","",VLOOKUP(A142,'Charriage - Geschiebehaushalt'!$A$4:$R$275,15,FALSE))</f>
        <v>un barrage situé à proximité de la zone alluviale</v>
      </c>
      <c r="Y142" s="882" t="str">
        <f>IF(VLOOKUP(A142,'Charriage - Geschiebehaushalt'!$A$4:$R$275,16,FALSE)="","",VLOOKUP(A142,'Charriage - Geschiebehaushalt'!$A$4:$R$275,16,FALSE))</f>
        <v>charriage présumé perturbé</v>
      </c>
      <c r="Z142" s="763" t="str">
        <f>IF(VLOOKUP(A142,'Charriage - Geschiebehaushalt'!$A$4:$R$275,17,FALSE)="","",VLOOKUP(A142,'Charriage - Geschiebehaushalt'!$A$4:$R$275,17,FALSE))</f>
        <v>Charriage présumé perturbé / Geschiebehaushalt vermutlich beeinträchtigt</v>
      </c>
      <c r="AA142" s="880" t="str">
        <f>IF(VLOOKUP(A142,'Charriage - Geschiebehaushalt'!$A$4:$R$275,18,FALSE)="","",VLOOKUP(A142,'Charriage - Geschiebehaushalt'!$A$4:$R$275,18,FALSE))</f>
        <v>b</v>
      </c>
      <c r="AB142" s="737" t="str">
        <f>IF(VLOOKUP(A142,'Charriage - Geschiebehaushalt'!$A$4:$AC$275,19,FALSE)="","",VLOOKUP(A142,'Charriage - Geschiebehaushalt'!$A$4:$AC$275,19,FALSE))</f>
        <v>négligeable</v>
      </c>
      <c r="AC142" s="738">
        <f>IF(VLOOKUP(A142,'Charriage - Geschiebehaushalt'!$A$4:$AC$275,20,FALSE)="","",VLOOKUP(A142,'Charriage - Geschiebehaushalt'!$A$4:$AC$275,20,FALSE))</f>
        <v>0</v>
      </c>
      <c r="AD142" s="789" t="str">
        <f>IF(VLOOKUP(A142,'Charriage - Geschiebehaushalt'!$A$4:$AC$275,21,FALSE)="","",VLOOKUP(A142,'Charriage - Geschiebehaushalt'!$A$4:$AC$275,21,FALSE))</f>
        <v>0-20%</v>
      </c>
      <c r="AE142" s="740" t="str">
        <f>IF(VLOOKUP(A142,'Charriage - Geschiebehaushalt'!$A$4:$AC$275,22,FALSE)="","",VLOOKUP(A142,'Charriage - Geschiebehaushalt'!$A$4:$AC$275,22,FALSE))</f>
        <v>51-80%</v>
      </c>
      <c r="AF142" s="787" t="str">
        <f>IF(VLOOKUP(A142,'Charriage - Geschiebehaushalt'!$A$4:$AC$275,23,FALSE)="","",VLOOKUP(A142,'Charriage - Geschiebehaushalt'!$A$4:$AC$275,23,FALSE))</f>
        <v>b</v>
      </c>
      <c r="AG142" s="765" t="str">
        <f>IF(VLOOKUP(A142,'Charriage - Geschiebehaushalt'!$A$4:$AC$275,24,FALSE)="","",VLOOKUP(A142,'Charriage - Geschiebehaushalt'!$A$4:$AC$275,24,FALSE))</f>
        <v>A cause des stabilisations de berges et extraction de gravier des affluents</v>
      </c>
      <c r="AH142" s="764" t="str">
        <f>IF(VLOOKUP(A142,'Charriage - Geschiebehaushalt'!$A$4:$AC$275,25,FALSE)="","",VLOOKUP(A142,'Charriage - Geschiebehaushalt'!$A$4:$AC$275,25,FALSE))</f>
        <v>X</v>
      </c>
      <c r="AI142" s="433" t="str">
        <f>IF(VLOOKUP(A142,'Charriage - Geschiebehaushalt'!$A$4:$AC$275,26,FALSE)="","",VLOOKUP(A142,'Charriage - Geschiebehaushalt'!$A$4:$AC$275,26,FALSE))</f>
        <v/>
      </c>
      <c r="AJ142" s="440" t="str">
        <f>IF(VLOOKUP(A142,'Charriage - Geschiebehaushalt'!$A$4:$AC$275,27,FALSE)="","",VLOOKUP(A142,'Charriage - Geschiebehaushalt'!$A$4:$AC$275,27,FALSE))</f>
        <v>Impact dépotoires est négligeable.</v>
      </c>
      <c r="AK142" s="801" t="str">
        <f>IF(VLOOKUP(A142,'Charriage - Geschiebehaushalt'!$A$4:$AC$275,28,FALSE)="","",VLOOKUP(A142,'Charriage - Geschiebehaushalt'!$A$4:$AC$275,28,FALSE))</f>
        <v>51-80%</v>
      </c>
      <c r="AL142" s="1285" t="str">
        <f>IF(VLOOKUP(A142,'Charriage - Geschiebehaushalt'!$A$4:$AD$275,30,FALSE)="","",VLOOKUP(A142,'Charriage - Geschiebehaushalt'!$A$4:$AD$275,30,FALSE))</f>
        <v>b</v>
      </c>
      <c r="AM142" s="1279" t="str">
        <f>IF(VLOOKUP(A142,'Débit - Abfluss'!$A$4:$K$275,5,FALSE)="","",VLOOKUP(A142,'Débit - Abfluss'!$A$4:$M$275,5,FALSE))</f>
        <v>21-40%</v>
      </c>
      <c r="AN142" s="868" t="str">
        <f>IF(VLOOKUP(A142,'Débit - Abfluss'!$A$4:$K$275,6,FALSE)="","",VLOOKUP(A142,'Débit - Abfluss'!$A$4:$M$275,6,FALSE))</f>
        <v/>
      </c>
      <c r="AO142" s="869" t="str">
        <f>IF(VLOOKUP(A142,'Débit - Abfluss'!$A$4:$K$275,7,FALSE)="","",VLOOKUP(A142,'Débit - Abfluss'!$A$4:$M$275,7,FALSE))</f>
        <v/>
      </c>
      <c r="AP142" s="766" t="str">
        <f>IF(VLOOKUP(A142,'Débit - Abfluss'!$A$4:$K$275,8,FALSE)="","",VLOOKUP(A142,'Débit - Abfluss'!$A$4:$M$275,8,FALSE))</f>
        <v>21-40%</v>
      </c>
      <c r="AQ142" s="678" t="str">
        <f>IF(VLOOKUP(A142,'Débit - Abfluss'!$A$4:$K$275,9,FALSE)="","",VLOOKUP(A142,'Débit - Abfluss'!$A$4:$M$275,9,FALSE))</f>
        <v>50-90%</v>
      </c>
      <c r="AR142" s="767" t="str">
        <f>IF(VLOOKUP(A142,'Débit - Abfluss'!$A$4:$K$275,10,FALSE)="","",VLOOKUP(A142,'Débit - Abfluss'!$A$4:$M$275,10,FALSE))</f>
        <v>21-40%</v>
      </c>
      <c r="AS142" s="767" t="str">
        <f>IF(VLOOKUP(A142,'Débit - Abfluss'!$A$4:$K$275,11,FALSE)="","",VLOOKUP(A142,'Débit - Abfluss'!$A$4:$M$275,11,FALSE))</f>
        <v/>
      </c>
      <c r="AT142" s="744" t="str">
        <f>IF(VLOOKUP(A142,'Débit - Abfluss'!$A$4:$Q$275,12,FALSE)="","",VLOOKUP(A142,'Débit - Abfluss'!$A$4:$Q$275,12,FALSE))</f>
        <v/>
      </c>
      <c r="AU142" s="745" t="str">
        <f>IF(VLOOKUP(A142,'Débit - Abfluss'!$A$4:$Q$275,13,FALSE)="","",VLOOKUP(A142,'Débit - Abfluss'!$A$4:$Q$275,13,FALSE))</f>
        <v/>
      </c>
      <c r="AV142" s="746" t="str">
        <f>IF(VLOOKUP(A142,'Débit - Abfluss'!$A$4:$Q$275,14,FALSE)="","",VLOOKUP(A142,'Débit - Abfluss'!$A$4:$Q$275,14,FALSE))</f>
        <v>TI-W 26</v>
      </c>
      <c r="AW142" s="768" t="str">
        <f>IF(VLOOKUP(A142,'Débit - Abfluss'!$A$4:$Q$275,15,FALSE)="","",VLOOKUP(A142,'Débit - Abfluss'!$A$4:$Q$275,15,FALSE))</f>
        <v>Verbano</v>
      </c>
      <c r="AX142" s="679" t="str">
        <f>IF(VLOOKUP(A142,'Débit - Abfluss'!$A$4:$Q$275,16,FALSE)="","",VLOOKUP(A142,'Débit - Abfluss'!$A$4:$Q$275,16,FALSE))</f>
        <v/>
      </c>
      <c r="AY142" s="769" t="str">
        <f>IF(VLOOKUP(A142,'Débit - Abfluss'!$A$4:$Q$275,17,FALSE)="","",VLOOKUP(A142,'Débit - Abfluss'!$A$4:$Q$275,17,FALSE))</f>
        <v>21-40%</v>
      </c>
      <c r="AZ142" s="749" t="str">
        <f>IF(VLOOKUP(A142,'Eclusée - Schwall-Sunk'!$A$2:$F$273,5,FALSE)="","",VLOOKUP(A142,'Eclusée - Schwall-Sunk'!$A$2:$F$273,5,FALSE))</f>
        <v>force hydraulique</v>
      </c>
      <c r="BA142" s="750" t="str">
        <f>IF(VLOOKUP(A142,'Eclusée - Schwall-Sunk'!$A$2:$F$273,6,FALSE)="","",VLOOKUP(A142,'Eclusée - Schwall-Sunk'!$A$2:$F$273,6,FALSE))</f>
        <v>Non affecté / nicht betroffen</v>
      </c>
      <c r="BB142" s="751">
        <f>IF(VLOOKUP(A142,'Revitalisation-Revitalisierung'!$A$4:$Z$275,5,FALSE)="","",VLOOKUP(A142,'Revitalisation-Revitalisierung'!$A$4:$Z$275,5,FALSE))</f>
        <v>-35.309090909090905</v>
      </c>
      <c r="BC142" s="752">
        <f>IF(VLOOKUP(A142,'Revitalisation-Revitalisierung'!$A$4:$Z$275,6,FALSE)="","",VLOOKUP(A142,'Revitalisation-Revitalisierung'!$A$4:$Z$275,6,FALSE))</f>
        <v>10.628506108160048</v>
      </c>
      <c r="BD142" s="752">
        <f>IF(VLOOKUP(A142,'Revitalisation-Revitalisierung'!$A$4:$Z$275,7,FALSE)="","",VLOOKUP(A142,'Revitalisation-Revitalisierung'!$A$4:$Z$275,7,FALSE))</f>
        <v>45.909090909090907</v>
      </c>
      <c r="BE142" s="753" t="str">
        <f>IF(VLOOKUP(A142,'Revitalisation-Revitalisierung'!$A$4:$Z$275,8,FALSE)="","",VLOOKUP(A142,'Revitalisation-Revitalisierung'!$A$4:$Z$275,8,FALSE))</f>
        <v>peu nécessaire, difficile</v>
      </c>
      <c r="BF142" s="754" t="str">
        <f>IF(VLOOKUP(A142,'Revitalisation-Revitalisierung'!$A$4:$Z$275,9,FALSE)="","",VLOOKUP(A142,'Revitalisation-Revitalisierung'!$A$4:$Z$275,9,FALSE))</f>
        <v/>
      </c>
      <c r="BG142" s="794" t="str">
        <f>IF(VLOOKUP(A142,'Revitalisation-Revitalisierung'!$A$4:$Z$275,10,FALSE)="","",VLOOKUP(A142,'Revitalisation-Revitalisierung'!$A$4:$Z$275,10,FALSE))</f>
        <v>K2</v>
      </c>
      <c r="BH142" s="755" t="str">
        <f>IF(VLOOKUP(A142,'Revitalisation-Revitalisierung'!$A$4:$Z$275,11,FALSE)="","",VLOOKUP(A142,'Revitalisation-Revitalisierung'!$A$4:$Z$275,11,FALSE))</f>
        <v/>
      </c>
      <c r="BI142" s="756" t="str">
        <f>IF(VLOOKUP(A142,'Revitalisation-Revitalisierung'!$A$4:$Z$275,12,FALSE)="","",VLOOKUP(A142,'Revitalisation-Revitalisierung'!$A$4:$Z$275,12,FALSE))</f>
        <v/>
      </c>
      <c r="BJ142" s="788" t="str">
        <f>IF(VLOOKUP(A142,'Revitalisation-Revitalisierung'!$A$4:$Z$275,13,FALSE)="","",VLOOKUP(A142,'Revitalisation-Revitalisierung'!$A$4:$Z$275,13,FALSE))</f>
        <v>Partiellement nécessaire, difficile / teilweise nötig, schwierig</v>
      </c>
      <c r="BK142" s="870" t="str">
        <f>IF(VLOOKUP(A142,'Revitalisation-Revitalisierung'!$A$4:$Z$275,14,FALSE)="","",VLOOKUP(A142,'Revitalisation-Revitalisierung'!$A$4:$Z$275,14,FALSE))</f>
        <v>a</v>
      </c>
      <c r="BL142" s="758" t="str">
        <f>IF(VLOOKUP(A142,'Revitalisation-Revitalisierung'!$A$4:$Z$275,15,FALSE)="","",VLOOKUP(A142,'Revitalisation-Revitalisierung'!$A$4:$Z$275,15,FALSE))</f>
        <v>important et moyen</v>
      </c>
      <c r="BM142" s="759" t="str">
        <f>IF(VLOOKUP(A142,'Revitalisation-Revitalisierung'!$A$4:$Z$275,16,FALSE)="","",VLOOKUP(A142,'Revitalisation-Revitalisierung'!$A$4:$Z$275,16,FALSE))</f>
        <v>important et faible</v>
      </c>
      <c r="BN142" s="759" t="str">
        <f>IF(VLOOKUP(A142,'Revitalisation-Revitalisierung'!$A$4:$Z$275,17,FALSE)="","",VLOOKUP(A142,'Revitalisation-Revitalisierung'!$A$4:$Z$275,17,FALSE))</f>
        <v>moyen et nulle</v>
      </c>
      <c r="BO142" s="760" t="str">
        <f>IF(VLOOKUP(A142,'Revitalisation-Revitalisierung'!$A$4:$Z$275,18,FALSE)="","",VLOOKUP(A142,'Revitalisation-Revitalisierung'!$A$4:$Z$275,18,FALSE))</f>
        <v>Partiellement nécessaire, difficile / teilweise nötig, schwierig</v>
      </c>
      <c r="BP142" s="761" t="str">
        <f>IF(VLOOKUP(A142,'Revitalisation-Revitalisierung'!$A$4:$Z$275,19,FALSE)="","",VLOOKUP(A142,'Revitalisation-Revitalisierung'!$A$4:$Z$275,19,FALSE))</f>
        <v>Partiellement nécessaire, difficile / teilweise nötig, schwierig</v>
      </c>
      <c r="BQ142" s="759" t="str">
        <f>IF(VLOOKUP(A142,'Revitalisation-Revitalisierung'!$A$4:$Z$275,20,FALSE)="","",VLOOKUP(A142,'Revitalisation-Revitalisierung'!$A$4:$Z$275,20,FALSE))</f>
        <v>d</v>
      </c>
      <c r="BR142" s="759" t="str">
        <f>IF(VLOOKUP(A142,'Revitalisation-Revitalisierung'!$A$4:$Z$275,21,FALSE)="","",VLOOKUP(A142,'Revitalisation-Revitalisierung'!$A$4:$Z$275,21,FALSE))</f>
        <v/>
      </c>
      <c r="BS142" s="762" t="str">
        <f>IF(VLOOKUP(A142,'Revitalisation-Revitalisierung'!$A$4:$Z$275,22,FALSE)="","",VLOOKUP(A142,'Revitalisation-Revitalisierung'!$A$4:$Z$275,22,FALSE))</f>
        <v/>
      </c>
      <c r="BT142" s="700" t="str">
        <f>IF(VLOOKUP(A142,'Revitalisation-Revitalisierung'!$A$4:$Z$275,23,FALSE)="","",VLOOKUP(A142,'Revitalisation-Revitalisierung'!$A$4:$Z$275,23,FALSE))</f>
        <v/>
      </c>
      <c r="BU142" s="699" t="str">
        <f>IF(VLOOKUP(A142,'Revitalisation-Revitalisierung'!$A$4:$Z$275,24,FALSE)="","",VLOOKUP(A142,'Revitalisation-Revitalisierung'!$A$4:$Z$275,24,FALSE))</f>
        <v/>
      </c>
      <c r="BV142" s="761" t="str">
        <f>IF(VLOOKUP(A142,'Revitalisation-Revitalisierung'!$A$4:$Z$275,25,FALSE)="","",VLOOKUP(A142,'Revitalisation-Revitalisierung'!$A$4:$Z$275,25,FALSE))</f>
        <v>Partiellement nécessaire, difficile / teilweise nötig, schwierig</v>
      </c>
      <c r="BW142" s="871" t="str">
        <f>IF(VLOOKUP(A142,'Revitalisation-Revitalisierung'!$A$4:$AA$275,27,FALSE)="","",VLOOKUP(A142,'Revitalisation-Revitalisierung'!$A$4:$AA$275,27,FALSE))</f>
        <v>a</v>
      </c>
    </row>
    <row r="143" spans="1:75" ht="68.45" customHeight="1" x14ac:dyDescent="0.25">
      <c r="A143" s="935">
        <v>172</v>
      </c>
      <c r="B143" s="856">
        <f>IF(VLOOKUP(A143,'Données de base - Grunddaten'!$A$2:$M$297,2,FALSE)="","",VLOOKUP(A143,'Données de base - Grunddaten'!$A$2:$M$297,2,FALSE))</f>
        <v>1</v>
      </c>
      <c r="C143" s="857" t="str">
        <f>IF(VLOOKUP(A143,'Données de base - Grunddaten'!$A$2:$M$297,3,FALSE)="","",VLOOKUP(A143,'Données de base - Grunddaten'!$A$2:$M$297,3,FALSE))</f>
        <v>Somprei–Lovalt</v>
      </c>
      <c r="D143" s="857" t="str">
        <f>IF(VLOOKUP(A143,'Données de base - Grunddaten'!$A$2:$M$297,4,FALSE)="","",VLOOKUP(A143,'Données de base - Grunddaten'!$A$2:$M$297,4,FALSE))</f>
        <v>Maggia</v>
      </c>
      <c r="E143" s="857" t="str">
        <f>IF(VLOOKUP(A143,'Données de base - Grunddaten'!$A$2:$M$297,5,FALSE)="","",VLOOKUP(A143,'Données de base - Grunddaten'!$A$2:$M$297,5,FALSE))</f>
        <v>TI</v>
      </c>
      <c r="F143" s="857" t="str">
        <f>IF(VLOOKUP(A143,'Données de base - Grunddaten'!$A$2:$M$297,6,FALSE)="","",VLOOKUP(A143,'Données de base - Grunddaten'!$A$2:$M$297,6,FALSE))</f>
        <v>Alpes méridionales</v>
      </c>
      <c r="G143" s="857" t="str">
        <f>IF(VLOOKUP(A143,'Données de base - Grunddaten'!$A$2:$M$297,7,FALSE)="","",VLOOKUP(A143,'Données de base - Grunddaten'!$A$2:$M$297,7,FALSE))</f>
        <v>Montagnard inf.</v>
      </c>
      <c r="H143" s="857">
        <f>IF(VLOOKUP(A143,'Données de base - Grunddaten'!$A$2:$M$297,8,FALSE)="","",VLOOKUP(A143,'Données de base - Grunddaten'!$A$2:$M$297,8,FALSE))</f>
        <v>690</v>
      </c>
      <c r="I143" s="857">
        <f>IF(VLOOKUP(A143,'Données de base - Grunddaten'!$A$2:$M$297,9,FALSE)="","",VLOOKUP(A143,'Données de base - Grunddaten'!$A$2:$M$297,9,FALSE))</f>
        <v>1992</v>
      </c>
      <c r="J143" s="857">
        <f>IF(VLOOKUP(A143,'Données de base - Grunddaten'!$A$2:$M$297,10,FALSE)="","",VLOOKUP(A143,'Données de base - Grunddaten'!$A$2:$M$297,10,FALSE))</f>
        <v>41</v>
      </c>
      <c r="K143" s="857" t="str">
        <f>IF(VLOOKUP(A143,'Données de base - Grunddaten'!$A$2:$M$297,11,FALSE)="","",VLOOKUP(A143,'Données de base - Grunddaten'!$A$2:$M$297,11,FALSE))</f>
        <v>Cours d'eau naturels de l'étage montagnard</v>
      </c>
      <c r="L143" s="857" t="str">
        <f>IF(VLOOKUP(A143,'Données de base - Grunddaten'!$A$2:$M$297,12,FALSE)="","",VLOOKUP(A143,'Données de base - Grunddaten'!$A$2:$M$297,12,FALSE))</f>
        <v>en tresses</v>
      </c>
      <c r="M143" s="858" t="str">
        <f>IF(VLOOKUP(A143,'Données de base - Grunddaten'!$A$2:$M$297,13,FALSE)="","",VLOOKUP(A143,'Données de base - Grunddaten'!$A$2:$M$297,13,FALSE))</f>
        <v>en tresses (dégradé)</v>
      </c>
      <c r="N143" s="872" t="str">
        <f>IF(VLOOKUP(A143,'Charriage - Geschiebehaushalt'!$A$4:$R$275,5,FALSE)="","",VLOOKUP(A143,'Charriage - Geschiebehaushalt'!$A$4:$R$275,5,FALSE))</f>
        <v>pertinent</v>
      </c>
      <c r="O143" s="881" t="str">
        <f>IF(VLOOKUP(A143,'Charriage - Geschiebehaushalt'!$A$4:$R$275,6,FALSE)="","",VLOOKUP(A143,'Charriage - Geschiebehaushalt'!$A$4:$R$275,6,FALSE))</f>
        <v>non documenté</v>
      </c>
      <c r="P143" s="874" t="str">
        <f>IF(VLOOKUP(A143,'Charriage - Geschiebehaushalt'!$A$4:$R$275,7,FALSE)="","",VLOOKUP(A143,'Charriage - Geschiebehaushalt'!$A$4:$R$275,7,FALSE))</f>
        <v/>
      </c>
      <c r="Q143" s="874" t="str">
        <f>IF(VLOOKUP(A143,'Charriage - Geschiebehaushalt'!$A$4:$R$275,8,FALSE)="","",VLOOKUP(A143,'Charriage - Geschiebehaushalt'!$A$4:$R$275,8,FALSE))</f>
        <v>non documenté</v>
      </c>
      <c r="R143" s="875">
        <f>IF(VLOOKUP(A143,'Charriage - Geschiebehaushalt'!$A$4:$R$275,9,FALSE)="","",VLOOKUP(A143,'Charriage - Geschiebehaushalt'!$A$4:$R$275,9,FALSE))</f>
        <v>7.2776069664901202E-2</v>
      </c>
      <c r="S143" s="876" t="str">
        <f>IF(VLOOKUP(A143,'Charriage - Geschiebehaushalt'!$A$4:$R$275,10,FALSE)="","",VLOOKUP(A143,'Charriage - Geschiebehaushalt'!$A$4:$R$275,10,FALSE))</f>
        <v>pas ou faiblement entravé</v>
      </c>
      <c r="T143" s="875">
        <f>IF(VLOOKUP(A143,'Charriage - Geschiebehaushalt'!$A$4:$R$275,11,FALSE)="","",VLOOKUP(A143,'Charriage - Geschiebehaushalt'!$A$4:$R$275,11,FALSE))</f>
        <v>0.19803176964999999</v>
      </c>
      <c r="U143" s="876" t="str">
        <f>IF(VLOOKUP(A143,'Charriage - Geschiebehaushalt'!$A$4:$R$275,12,FALSE)="","",VLOOKUP(A143,'Charriage - Geschiebehaushalt'!$A$4:$R$275,12,FALSE))</f>
        <v>déficit dans les formations pionnières</v>
      </c>
      <c r="V143" s="877" t="str">
        <f>IF(VLOOKUP(A143,'Charriage - Geschiebehaushalt'!$A$4:$R$275,13,FALSE)="","",VLOOKUP(A143,'Charriage - Geschiebehaushalt'!$A$4:$R$275,13,FALSE))</f>
        <v>Visite 16.11.11 avec G. Carraro: incision de 2 m. Ouvrages hydroélectriques en amont.</v>
      </c>
      <c r="W143" s="878" t="str">
        <f>IF(VLOOKUP(A143,'Charriage - Geschiebehaushalt'!$A$4:$R$275,14,FALSE)="","",VLOOKUP(A143,'Charriage - Geschiebehaushalt'!$A$4:$R$275,14,FALSE))</f>
        <v>charriage présumé perturbé</v>
      </c>
      <c r="X143" s="878" t="str">
        <f>IF(VLOOKUP(A143,'Charriage - Geschiebehaushalt'!$A$4:$R$275,15,FALSE)="","",VLOOKUP(A143,'Charriage - Geschiebehaushalt'!$A$4:$R$275,15,FALSE))</f>
        <v/>
      </c>
      <c r="Y143" s="882" t="str">
        <f>IF(VLOOKUP(A143,'Charriage - Geschiebehaushalt'!$A$4:$R$275,16,FALSE)="","",VLOOKUP(A143,'Charriage - Geschiebehaushalt'!$A$4:$R$275,16,FALSE))</f>
        <v/>
      </c>
      <c r="Z143" s="763" t="str">
        <f>IF(VLOOKUP(A143,'Charriage - Geschiebehaushalt'!$A$4:$R$275,17,FALSE)="","",VLOOKUP(A143,'Charriage - Geschiebehaushalt'!$A$4:$R$275,17,FALSE))</f>
        <v>Charriage présumé perturbé / Geschiebehaushalt vermutlich beeinträchtigt</v>
      </c>
      <c r="AA143" s="880" t="str">
        <f>IF(VLOOKUP(A143,'Charriage - Geschiebehaushalt'!$A$4:$R$275,18,FALSE)="","",VLOOKUP(A143,'Charriage - Geschiebehaushalt'!$A$4:$R$275,18,FALSE))</f>
        <v>b</v>
      </c>
      <c r="AB143" s="737" t="str">
        <f>IF(VLOOKUP(A143,'Charriage - Geschiebehaushalt'!$A$4:$AC$275,19,FALSE)="","",VLOOKUP(A143,'Charriage - Geschiebehaushalt'!$A$4:$AC$275,19,FALSE))</f>
        <v>faible</v>
      </c>
      <c r="AC143" s="738">
        <f>IF(VLOOKUP(A143,'Charriage - Geschiebehaushalt'!$A$4:$AC$275,20,FALSE)="","",VLOOKUP(A143,'Charriage - Geschiebehaushalt'!$A$4:$AC$275,20,FALSE))</f>
        <v>0</v>
      </c>
      <c r="AD143" s="793" t="str">
        <f>IF(VLOOKUP(A143,'Charriage - Geschiebehaushalt'!$A$4:$AC$275,21,FALSE)="","",VLOOKUP(A143,'Charriage - Geschiebehaushalt'!$A$4:$AC$275,21,FALSE))</f>
        <v>21-50%</v>
      </c>
      <c r="AE143" s="740" t="str">
        <f>IF(VLOOKUP(A143,'Charriage - Geschiebehaushalt'!$A$4:$AC$275,22,FALSE)="","",VLOOKUP(A143,'Charriage - Geschiebehaushalt'!$A$4:$AC$275,22,FALSE))</f>
        <v>21-50%</v>
      </c>
      <c r="AF143" s="787" t="str">
        <f>IF(VLOOKUP(A143,'Charriage - Geschiebehaushalt'!$A$4:$AC$275,23,FALSE)="","",VLOOKUP(A143,'Charriage - Geschiebehaushalt'!$A$4:$AC$275,23,FALSE))</f>
        <v>c</v>
      </c>
      <c r="AG143" s="765" t="str">
        <f>IF(VLOOKUP(A143,'Charriage - Geschiebehaushalt'!$A$4:$AC$275,24,FALSE)="","",VLOOKUP(A143,'Charriage - Geschiebehaushalt'!$A$4:$AC$275,24,FALSE))</f>
        <v>nous maquons d'arguments pour conserver l'évaluation initiale</v>
      </c>
      <c r="AH143" s="764" t="str">
        <f>IF(VLOOKUP(A143,'Charriage - Geschiebehaushalt'!$A$4:$AC$275,25,FALSE)="","",VLOOKUP(A143,'Charriage - Geschiebehaushalt'!$A$4:$AC$275,25,FALSE))</f>
        <v>X</v>
      </c>
      <c r="AI143" s="433" t="str">
        <f>IF(VLOOKUP(A143,'Charriage - Geschiebehaushalt'!$A$4:$AC$275,26,FALSE)="","",VLOOKUP(A143,'Charriage - Geschiebehaushalt'!$A$4:$AC$275,26,FALSE))</f>
        <v/>
      </c>
      <c r="AJ143" s="440" t="str">
        <f>IF(VLOOKUP(A143,'Charriage - Geschiebehaushalt'!$A$4:$AC$275,27,FALSE)="","",VLOOKUP(A143,'Charriage - Geschiebehaushalt'!$A$4:$AC$275,27,FALSE))</f>
        <v xml:space="preserve">Al momento attuale non disponiamo di sufficienti dati per poter definire l’entità del pregiudizio al trasporto solido. In termini generali vale quanto sopra esposto in merito all’assenza di importanti opere di trattenuta del materiale. </v>
      </c>
      <c r="AK143" s="801" t="str">
        <f>IF(VLOOKUP(A143,'Charriage - Geschiebehaushalt'!$A$4:$AC$275,28,FALSE)="","",VLOOKUP(A143,'Charriage - Geschiebehaushalt'!$A$4:$AC$275,28,FALSE))</f>
        <v>21-50%</v>
      </c>
      <c r="AL143" s="1285" t="str">
        <f>IF(VLOOKUP(A143,'Charriage - Geschiebehaushalt'!$A$4:$AD$275,30,FALSE)="","",VLOOKUP(A143,'Charriage - Geschiebehaushalt'!$A$4:$AD$275,30,FALSE))</f>
        <v>a</v>
      </c>
      <c r="AM143" s="1279" t="str">
        <f>IF(VLOOKUP(A143,'Débit - Abfluss'!$A$4:$K$275,5,FALSE)="","",VLOOKUP(A143,'Débit - Abfluss'!$A$4:$M$275,5,FALSE))</f>
        <v>0-20%</v>
      </c>
      <c r="AN143" s="868" t="str">
        <f>IF(VLOOKUP(A143,'Débit - Abfluss'!$A$4:$K$275,6,FALSE)="","",VLOOKUP(A143,'Débit - Abfluss'!$A$4:$M$275,6,FALSE))</f>
        <v/>
      </c>
      <c r="AO143" s="869" t="str">
        <f>IF(VLOOKUP(A143,'Débit - Abfluss'!$A$4:$K$275,7,FALSE)="","",VLOOKUP(A143,'Débit - Abfluss'!$A$4:$M$275,7,FALSE))</f>
        <v/>
      </c>
      <c r="AP143" s="766" t="str">
        <f>IF(VLOOKUP(A143,'Débit - Abfluss'!$A$4:$K$275,8,FALSE)="","",VLOOKUP(A143,'Débit - Abfluss'!$A$4:$M$275,8,FALSE))</f>
        <v>0-20%</v>
      </c>
      <c r="AQ143" s="678" t="str">
        <f>IF(VLOOKUP(A143,'Débit - Abfluss'!$A$4:$K$275,9,FALSE)="","",VLOOKUP(A143,'Débit - Abfluss'!$A$4:$M$275,9,FALSE))</f>
        <v>10-50%</v>
      </c>
      <c r="AR143" s="767" t="str">
        <f>IF(VLOOKUP(A143,'Débit - Abfluss'!$A$4:$K$275,10,FALSE)="","",VLOOKUP(A143,'Débit - Abfluss'!$A$4:$M$275,10,FALSE))</f>
        <v>0-20%</v>
      </c>
      <c r="AS143" s="767" t="str">
        <f>IF(VLOOKUP(A143,'Débit - Abfluss'!$A$4:$K$275,11,FALSE)="","",VLOOKUP(A143,'Débit - Abfluss'!$A$4:$M$275,11,FALSE))</f>
        <v/>
      </c>
      <c r="AT143" s="744" t="str">
        <f>IF(VLOOKUP(A143,'Débit - Abfluss'!$A$4:$Q$275,12,FALSE)="","",VLOOKUP(A143,'Débit - Abfluss'!$A$4:$Q$275,12,FALSE))</f>
        <v/>
      </c>
      <c r="AU143" s="745" t="str">
        <f>IF(VLOOKUP(A143,'Débit - Abfluss'!$A$4:$Q$275,13,FALSE)="","",VLOOKUP(A143,'Débit - Abfluss'!$A$4:$Q$275,13,FALSE))</f>
        <v/>
      </c>
      <c r="AV143" s="746" t="str">
        <f>IF(VLOOKUP(A143,'Débit - Abfluss'!$A$4:$Q$275,14,FALSE)="","",VLOOKUP(A143,'Débit - Abfluss'!$A$4:$Q$275,14,FALSE))</f>
        <v>TI-W 25</v>
      </c>
      <c r="AW143" s="768" t="str">
        <f>IF(VLOOKUP(A143,'Débit - Abfluss'!$A$4:$Q$275,15,FALSE)="","",VLOOKUP(A143,'Débit - Abfluss'!$A$4:$Q$275,15,FALSE))</f>
        <v>Peccia</v>
      </c>
      <c r="AX143" s="679" t="str">
        <f>IF(VLOOKUP(A143,'Débit - Abfluss'!$A$4:$Q$275,16,FALSE)="","",VLOOKUP(A143,'Débit - Abfluss'!$A$4:$Q$275,16,FALSE))</f>
        <v/>
      </c>
      <c r="AY143" s="769" t="str">
        <f>IF(VLOOKUP(A143,'Débit - Abfluss'!$A$4:$Q$275,17,FALSE)="","",VLOOKUP(A143,'Débit - Abfluss'!$A$4:$Q$275,17,FALSE))</f>
        <v>0-20%</v>
      </c>
      <c r="AZ143" s="749" t="str">
        <f>IF(VLOOKUP(A143,'Eclusée - Schwall-Sunk'!$A$2:$F$273,5,FALSE)="","",VLOOKUP(A143,'Eclusée - Schwall-Sunk'!$A$2:$F$273,5,FALSE))</f>
        <v>force hydraulique</v>
      </c>
      <c r="BA143" s="750" t="str">
        <f>IF(VLOOKUP(A143,'Eclusée - Schwall-Sunk'!$A$2:$F$273,6,FALSE)="","",VLOOKUP(A143,'Eclusée - Schwall-Sunk'!$A$2:$F$273,6,FALSE))</f>
        <v>Non affecté / nicht betroffen</v>
      </c>
      <c r="BB143" s="751">
        <f>IF(VLOOKUP(A143,'Revitalisation-Revitalisierung'!$A$4:$Z$275,5,FALSE)="","",VLOOKUP(A143,'Revitalisation-Revitalisierung'!$A$4:$Z$275,5,FALSE))</f>
        <v>-12.872727272727273</v>
      </c>
      <c r="BC143" s="752">
        <f>IF(VLOOKUP(A143,'Revitalisation-Revitalisierung'!$A$4:$Z$275,6,FALSE)="","",VLOOKUP(A143,'Revitalisation-Revitalisierung'!$A$4:$Z$275,6,FALSE))</f>
        <v>4.3546647013972084</v>
      </c>
      <c r="BD143" s="752">
        <f>IF(VLOOKUP(A143,'Revitalisation-Revitalisierung'!$A$4:$Z$275,7,FALSE)="","",VLOOKUP(A143,'Revitalisation-Revitalisierung'!$A$4:$Z$275,7,FALSE))</f>
        <v>17.272727272727273</v>
      </c>
      <c r="BE143" s="753" t="str">
        <f>IF(VLOOKUP(A143,'Revitalisation-Revitalisierung'!$A$4:$Z$275,8,FALSE)="","",VLOOKUP(A143,'Revitalisation-Revitalisierung'!$A$4:$Z$275,8,FALSE))</f>
        <v>peu nécessaire, facile</v>
      </c>
      <c r="BF143" s="754" t="str">
        <f>IF(VLOOKUP(A143,'Revitalisation-Revitalisierung'!$A$4:$Z$275,9,FALSE)="","",VLOOKUP(A143,'Revitalisation-Revitalisierung'!$A$4:$Z$275,9,FALSE))</f>
        <v>leicht</v>
      </c>
      <c r="BG143" s="754" t="str">
        <f>IF(VLOOKUP(A143,'Revitalisation-Revitalisierung'!$A$4:$Z$275,10,FALSE)="","",VLOOKUP(A143,'Revitalisation-Revitalisierung'!$A$4:$Z$275,10,FALSE))</f>
        <v>K2</v>
      </c>
      <c r="BH143" s="755" t="str">
        <f>IF(VLOOKUP(A143,'Revitalisation-Revitalisierung'!$A$4:$Z$275,11,FALSE)="","",VLOOKUP(A143,'Revitalisation-Revitalisierung'!$A$4:$Z$275,11,FALSE))</f>
        <v/>
      </c>
      <c r="BI143" s="756" t="str">
        <f>IF(VLOOKUP(A143,'Revitalisation-Revitalisierung'!$A$4:$Z$275,12,FALSE)="","",VLOOKUP(A143,'Revitalisation-Revitalisierung'!$A$4:$Z$275,12,FALSE))</f>
        <v/>
      </c>
      <c r="BJ143" s="788" t="str">
        <f>IF(VLOOKUP(A143,'Revitalisation-Revitalisierung'!$A$4:$Z$275,13,FALSE)="","",VLOOKUP(A143,'Revitalisation-Revitalisierung'!$A$4:$Z$275,13,FALSE))</f>
        <v>Partiellement nécessaire, facile / teilweise nötig, einfach</v>
      </c>
      <c r="BK143" s="870" t="str">
        <f>IF(VLOOKUP(A143,'Revitalisation-Revitalisierung'!$A$4:$Z$275,14,FALSE)="","",VLOOKUP(A143,'Revitalisation-Revitalisierung'!$A$4:$Z$275,14,FALSE))</f>
        <v>a</v>
      </c>
      <c r="BL143" s="758" t="str">
        <f>IF(VLOOKUP(A143,'Revitalisation-Revitalisierung'!$A$4:$Z$275,15,FALSE)="","",VLOOKUP(A143,'Revitalisation-Revitalisierung'!$A$4:$Z$275,15,FALSE))</f>
        <v>moyen</v>
      </c>
      <c r="BM143" s="759" t="str">
        <f>IF(VLOOKUP(A143,'Revitalisation-Revitalisierung'!$A$4:$Z$275,16,FALSE)="","",VLOOKUP(A143,'Revitalisation-Revitalisierung'!$A$4:$Z$275,16,FALSE))</f>
        <v>faible</v>
      </c>
      <c r="BN143" s="759" t="str">
        <f>IF(VLOOKUP(A143,'Revitalisation-Revitalisierung'!$A$4:$Z$275,17,FALSE)="","",VLOOKUP(A143,'Revitalisation-Revitalisierung'!$A$4:$Z$275,17,FALSE))</f>
        <v>nulle</v>
      </c>
      <c r="BO143" s="760" t="str">
        <f>IF(VLOOKUP(A143,'Revitalisation-Revitalisierung'!$A$4:$Z$275,18,FALSE)="","",VLOOKUP(A143,'Revitalisation-Revitalisierung'!$A$4:$Z$275,18,FALSE))</f>
        <v>Non nécessaire / nicht nötig</v>
      </c>
      <c r="BP143" s="761" t="str">
        <f>IF(VLOOKUP(A143,'Revitalisation-Revitalisierung'!$A$4:$Z$275,19,FALSE)="","",VLOOKUP(A143,'Revitalisation-Revitalisierung'!$A$4:$Z$275,19,FALSE))</f>
        <v>Non nécessaire / nicht nötig</v>
      </c>
      <c r="BQ143" s="759" t="str">
        <f>IF(VLOOKUP(A143,'Revitalisation-Revitalisierung'!$A$4:$Z$275,20,FALSE)="","",VLOOKUP(A143,'Revitalisation-Revitalisierung'!$A$4:$Z$275,20,FALSE))</f>
        <v>c</v>
      </c>
      <c r="BR143" s="759" t="str">
        <f>IF(VLOOKUP(A143,'Revitalisation-Revitalisierung'!$A$4:$Z$275,21,FALSE)="","",VLOOKUP(A143,'Revitalisation-Revitalisierung'!$A$4:$Z$275,21,FALSE))</f>
        <v/>
      </c>
      <c r="BS143" s="762" t="str">
        <f>IF(VLOOKUP(A143,'Revitalisation-Revitalisierung'!$A$4:$Z$275,22,FALSE)="","",VLOOKUP(A143,'Revitalisation-Revitalisierung'!$A$4:$Z$275,22,FALSE))</f>
        <v/>
      </c>
      <c r="BT143" s="700" t="str">
        <f>IF(VLOOKUP(A143,'Revitalisation-Revitalisierung'!$A$4:$Z$275,23,FALSE)="","",VLOOKUP(A143,'Revitalisation-Revitalisierung'!$A$4:$Z$275,23,FALSE))</f>
        <v/>
      </c>
      <c r="BU143" s="699" t="str">
        <f>IF(VLOOKUP(A143,'Revitalisation-Revitalisierung'!$A$4:$Z$275,24,FALSE)="","",VLOOKUP(A143,'Revitalisation-Revitalisierung'!$A$4:$Z$275,24,FALSE))</f>
        <v/>
      </c>
      <c r="BV143" s="761" t="str">
        <f>IF(VLOOKUP(A143,'Revitalisation-Revitalisierung'!$A$4:$Z$275,25,FALSE)="","",VLOOKUP(A143,'Revitalisation-Revitalisierung'!$A$4:$Z$275,25,FALSE))</f>
        <v>Non nécessaire / nicht nötig</v>
      </c>
      <c r="BW143" s="871" t="str">
        <f>IF(VLOOKUP(A143,'Revitalisation-Revitalisierung'!$A$4:$AA$275,27,FALSE)="","",VLOOKUP(A143,'Revitalisation-Revitalisierung'!$A$4:$AA$275,27,FALSE))</f>
        <v>a</v>
      </c>
    </row>
    <row r="144" spans="1:75" ht="82.9" customHeight="1" x14ac:dyDescent="0.25">
      <c r="A144" s="935">
        <v>174</v>
      </c>
      <c r="B144" s="856">
        <f>IF(VLOOKUP(A144,'Données de base - Grunddaten'!$A$2:$M$297,2,FALSE)="","",VLOOKUP(A144,'Données de base - Grunddaten'!$A$2:$M$297,2,FALSE))</f>
        <v>1</v>
      </c>
      <c r="C144" s="857" t="str">
        <f>IF(VLOOKUP(A144,'Données de base - Grunddaten'!$A$2:$M$297,3,FALSE)="","",VLOOKUP(A144,'Données de base - Grunddaten'!$A$2:$M$297,3,FALSE))</f>
        <v>Strada</v>
      </c>
      <c r="D144" s="857" t="str">
        <f>IF(VLOOKUP(A144,'Données de base - Grunddaten'!$A$2:$M$297,4,FALSE)="","",VLOOKUP(A144,'Données de base - Grunddaten'!$A$2:$M$297,4,FALSE))</f>
        <v>Inn</v>
      </c>
      <c r="E144" s="857" t="str">
        <f>IF(VLOOKUP(A144,'Données de base - Grunddaten'!$A$2:$M$297,5,FALSE)="","",VLOOKUP(A144,'Données de base - Grunddaten'!$A$2:$M$297,5,FALSE))</f>
        <v>GR</v>
      </c>
      <c r="F144" s="857" t="str">
        <f>IF(VLOOKUP(A144,'Données de base - Grunddaten'!$A$2:$M$297,6,FALSE)="","",VLOOKUP(A144,'Données de base - Grunddaten'!$A$2:$M$297,6,FALSE))</f>
        <v>Alpes centrales orientales</v>
      </c>
      <c r="G144" s="857" t="str">
        <f>IF(VLOOKUP(A144,'Données de base - Grunddaten'!$A$2:$M$297,7,FALSE)="","",VLOOKUP(A144,'Données de base - Grunddaten'!$A$2:$M$297,7,FALSE))</f>
        <v>Montagnard sup.</v>
      </c>
      <c r="H144" s="857">
        <f>IF(VLOOKUP(A144,'Données de base - Grunddaten'!$A$2:$M$297,8,FALSE)="","",VLOOKUP(A144,'Données de base - Grunddaten'!$A$2:$M$297,8,FALSE))</f>
        <v>1070</v>
      </c>
      <c r="I144" s="857">
        <f>IF(VLOOKUP(A144,'Données de base - Grunddaten'!$A$2:$M$297,9,FALSE)="","",VLOOKUP(A144,'Données de base - Grunddaten'!$A$2:$M$297,9,FALSE))</f>
        <v>1992</v>
      </c>
      <c r="J144" s="857">
        <f>IF(VLOOKUP(A144,'Données de base - Grunddaten'!$A$2:$M$297,10,FALSE)="","",VLOOKUP(A144,'Données de base - Grunddaten'!$A$2:$M$297,10,FALSE))</f>
        <v>41</v>
      </c>
      <c r="K144" s="857" t="str">
        <f>IF(VLOOKUP(A144,'Données de base - Grunddaten'!$A$2:$M$297,11,FALSE)="","",VLOOKUP(A144,'Données de base - Grunddaten'!$A$2:$M$297,11,FALSE))</f>
        <v>Cours d'eau naturels de l'étage montagnard</v>
      </c>
      <c r="L144" s="857" t="str">
        <f>IF(VLOOKUP(A144,'Données de base - Grunddaten'!$A$2:$M$297,12,FALSE)="","",VLOOKUP(A144,'Données de base - Grunddaten'!$A$2:$M$297,12,FALSE))</f>
        <v>en tresses</v>
      </c>
      <c r="M144" s="858" t="str">
        <f>IF(VLOOKUP(A144,'Données de base - Grunddaten'!$A$2:$M$297,13,FALSE)="","",VLOOKUP(A144,'Données de base - Grunddaten'!$A$2:$M$297,13,FALSE))</f>
        <v>en tresses</v>
      </c>
      <c r="N144" s="872" t="str">
        <f>IF(VLOOKUP(A144,'Charriage - Geschiebehaushalt'!$A$4:$R$275,5,FALSE)="","",VLOOKUP(A144,'Charriage - Geschiebehaushalt'!$A$4:$R$275,5,FALSE))</f>
        <v>pertinent</v>
      </c>
      <c r="O144" s="881" t="str">
        <f>IF(VLOOKUP(A144,'Charriage - Geschiebehaushalt'!$A$4:$R$275,6,FALSE)="","",VLOOKUP(A144,'Charriage - Geschiebehaushalt'!$A$4:$R$275,6,FALSE))</f>
        <v>non documenté</v>
      </c>
      <c r="P144" s="874">
        <f>IF(VLOOKUP(A144,'Charriage - Geschiebehaushalt'!$A$4:$R$275,7,FALSE)="","",VLOOKUP(A144,'Charriage - Geschiebehaushalt'!$A$4:$R$275,7,FALSE))</f>
        <v>11.8317842507089</v>
      </c>
      <c r="Q144" s="898" t="str">
        <f>IF(VLOOKUP(A144,'Charriage - Geschiebehaushalt'!$A$4:$R$275,8,FALSE)="","",VLOOKUP(A144,'Charriage - Geschiebehaushalt'!$A$4:$R$275,8,FALSE))</f>
        <v>dépôt donc pas de problème de charriage</v>
      </c>
      <c r="R144" s="875">
        <f>IF(VLOOKUP(A144,'Charriage - Geschiebehaushalt'!$A$4:$R$275,9,FALSE)="","",VLOOKUP(A144,'Charriage - Geschiebehaushalt'!$A$4:$R$275,9,FALSE))</f>
        <v>0.104757739029132</v>
      </c>
      <c r="S144" s="876" t="str">
        <f>IF(VLOOKUP(A144,'Charriage - Geschiebehaushalt'!$A$4:$R$275,10,FALSE)="","",VLOOKUP(A144,'Charriage - Geschiebehaushalt'!$A$4:$R$275,10,FALSE))</f>
        <v>pas ou faiblement entravé</v>
      </c>
      <c r="T144" s="875">
        <f>IF(VLOOKUP(A144,'Charriage - Geschiebehaushalt'!$A$4:$R$275,11,FALSE)="","",VLOOKUP(A144,'Charriage - Geschiebehaushalt'!$A$4:$R$275,11,FALSE))</f>
        <v>0.39891636836</v>
      </c>
      <c r="U144" s="876" t="str">
        <f>IF(VLOOKUP(A144,'Charriage - Geschiebehaushalt'!$A$4:$R$275,12,FALSE)="","",VLOOKUP(A144,'Charriage - Geschiebehaushalt'!$A$4:$R$275,12,FALSE))</f>
        <v>déficit non apparent en charriage ou en remobilisation des sédiments</v>
      </c>
      <c r="V144" s="877" t="str">
        <f>IF(VLOOKUP(A144,'Charriage - Geschiebehaushalt'!$A$4:$R$275,13,FALSE)="","",VLOOKUP(A144,'Charriage - Geschiebehaushalt'!$A$4:$R$275,13,FALSE))</f>
        <v/>
      </c>
      <c r="W144" s="877" t="str">
        <f>IF(VLOOKUP(A144,'Charriage - Geschiebehaushalt'!$A$4:$R$275,14,FALSE)="","",VLOOKUP(A144,'Charriage - Geschiebehaushalt'!$A$4:$R$275,14,FALSE))</f>
        <v/>
      </c>
      <c r="X144" s="877" t="str">
        <f>IF(VLOOKUP(A144,'Charriage - Geschiebehaushalt'!$A$4:$R$275,15,FALSE)="","",VLOOKUP(A144,'Charriage - Geschiebehaushalt'!$A$4:$R$275,15,FALSE))</f>
        <v/>
      </c>
      <c r="Y144" s="879" t="str">
        <f>IF(VLOOKUP(A144,'Charriage - Geschiebehaushalt'!$A$4:$R$275,16,FALSE)="","",VLOOKUP(A144,'Charriage - Geschiebehaushalt'!$A$4:$R$275,16,FALSE))</f>
        <v/>
      </c>
      <c r="Z144" s="763" t="str">
        <f>IF(VLOOKUP(A144,'Charriage - Geschiebehaushalt'!$A$4:$R$275,17,FALSE)="","",VLOOKUP(A144,'Charriage - Geschiebehaushalt'!$A$4:$R$275,17,FALSE))</f>
        <v>Charriage présumé naturel / Geschiebehaushalt vermutlich natürlich</v>
      </c>
      <c r="AA144" s="880" t="str">
        <f>IF(VLOOKUP(A144,'Charriage - Geschiebehaushalt'!$A$4:$R$275,18,FALSE)="","",VLOOKUP(A144,'Charriage - Geschiebehaushalt'!$A$4:$R$275,18,FALSE))</f>
        <v>b</v>
      </c>
      <c r="AB144" s="737" t="str">
        <f>IF(VLOOKUP(A144,'Charriage - Geschiebehaushalt'!$A$4:$AC$275,19,FALSE)="","",VLOOKUP(A144,'Charriage - Geschiebehaushalt'!$A$4:$AC$275,19,FALSE))</f>
        <v>vernachlässigbar</v>
      </c>
      <c r="AC144" s="738">
        <f>IF(VLOOKUP(A144,'Charriage - Geschiebehaushalt'!$A$4:$AC$275,20,FALSE)="","",VLOOKUP(A144,'Charriage - Geschiebehaushalt'!$A$4:$AC$275,20,FALSE))</f>
        <v>0</v>
      </c>
      <c r="AD144" s="764" t="str">
        <f>IF(VLOOKUP(A144,'Charriage - Geschiebehaushalt'!$A$4:$AC$275,21,FALSE)="","",VLOOKUP(A144,'Charriage - Geschiebehaushalt'!$A$4:$AC$275,21,FALSE))</f>
        <v>21-50%</v>
      </c>
      <c r="AE144" s="772" t="str">
        <f>IF(VLOOKUP(A144,'Charriage - Geschiebehaushalt'!$A$4:$AC$275,22,FALSE)="","",VLOOKUP(A144,'Charriage - Geschiebehaushalt'!$A$4:$AC$275,22,FALSE))</f>
        <v>21-50%</v>
      </c>
      <c r="AF144" s="787" t="str">
        <f>IF(VLOOKUP(A144,'Charriage - Geschiebehaushalt'!$A$4:$AC$275,23,FALSE)="","",VLOOKUP(A144,'Charriage - Geschiebehaushalt'!$A$4:$AC$275,23,FALSE))</f>
        <v>c</v>
      </c>
      <c r="AG144" s="765" t="str">
        <f>IF(VLOOKUP(A144,'Charriage - Geschiebehaushalt'!$A$4:$AC$275,24,FALSE)="","",VLOOKUP(A144,'Charriage - Geschiebehaushalt'!$A$4:$AC$275,24,FALSE))</f>
        <v/>
      </c>
      <c r="AH144" s="764" t="str">
        <f>IF(VLOOKUP(A144,'Charriage - Geschiebehaushalt'!$A$4:$AC$275,25,FALSE)="","",VLOOKUP(A144,'Charriage - Geschiebehaushalt'!$A$4:$AC$275,25,FALSE))</f>
        <v/>
      </c>
      <c r="AI144" s="435" t="str">
        <f>IF(VLOOKUP(A144,'Charriage - Geschiebehaushalt'!$A$4:$AC$275,26,FALSE)="","",VLOOKUP(A144,'Charriage - Geschiebehaushalt'!$A$4:$AC$275,26,FALSE))</f>
        <v/>
      </c>
      <c r="AJ144" s="432" t="str">
        <f>IF(VLOOKUP(A144,'Charriage - Geschiebehaushalt'!$A$4:$AC$275,27,FALSE)="","",VLOOKUP(A144,'Charriage - Geschiebehaushalt'!$A$4:$AC$275,27,FALSE))</f>
        <v/>
      </c>
      <c r="AK144" s="814" t="str">
        <f>IF(VLOOKUP(A144,'Charriage - Geschiebehaushalt'!$A$4:$AC$275,28,FALSE)="","",VLOOKUP(A144,'Charriage - Geschiebehaushalt'!$A$4:$AC$275,28,FALSE))</f>
        <v>21-50%</v>
      </c>
      <c r="AL144" s="1285" t="str">
        <f>IF(VLOOKUP(A144,'Charriage - Geschiebehaushalt'!$A$4:$AD$275,30,FALSE)="","",VLOOKUP(A144,'Charriage - Geschiebehaushalt'!$A$4:$AD$275,30,FALSE))</f>
        <v>a</v>
      </c>
      <c r="AM144" s="1279" t="str">
        <f>IF(VLOOKUP(A144,'Débit - Abfluss'!$A$4:$K$275,5,FALSE)="","",VLOOKUP(A144,'Débit - Abfluss'!$A$4:$M$275,5,FALSE))</f>
        <v>21-40%</v>
      </c>
      <c r="AN144" s="868" t="str">
        <f>IF(VLOOKUP(A144,'Débit - Abfluss'!$A$4:$K$275,6,FALSE)="","",VLOOKUP(A144,'Débit - Abfluss'!$A$4:$M$275,6,FALSE))</f>
        <v/>
      </c>
      <c r="AO144" s="869" t="str">
        <f>IF(VLOOKUP(A144,'Débit - Abfluss'!$A$4:$K$275,7,FALSE)="","",VLOOKUP(A144,'Débit - Abfluss'!$A$4:$M$275,7,FALSE))</f>
        <v/>
      </c>
      <c r="AP144" s="766" t="str">
        <f>IF(VLOOKUP(A144,'Débit - Abfluss'!$A$4:$K$275,8,FALSE)="","",VLOOKUP(A144,'Débit - Abfluss'!$A$4:$M$275,8,FALSE))</f>
        <v>21-40%</v>
      </c>
      <c r="AQ144" s="678" t="str">
        <f>IF(VLOOKUP(A144,'Débit - Abfluss'!$A$4:$K$275,9,FALSE)="","",VLOOKUP(A144,'Débit - Abfluss'!$A$4:$M$275,9,FALSE))</f>
        <v>&gt;90%</v>
      </c>
      <c r="AR144" s="767" t="str">
        <f>IF(VLOOKUP(A144,'Débit - Abfluss'!$A$4:$K$275,10,FALSE)="","",VLOOKUP(A144,'Débit - Abfluss'!$A$4:$M$275,10,FALSE))</f>
        <v>21-40%</v>
      </c>
      <c r="AS144" s="767" t="str">
        <f>IF(VLOOKUP(A144,'Débit - Abfluss'!$A$4:$K$275,11,FALSE)="","",VLOOKUP(A144,'Débit - Abfluss'!$A$4:$M$275,11,FALSE))</f>
        <v/>
      </c>
      <c r="AT144" s="778" t="str">
        <f>IF(VLOOKUP(A144,'Débit - Abfluss'!$A$4:$Q$275,12,FALSE)="","",VLOOKUP(A144,'Débit - Abfluss'!$A$4:$Q$275,12,FALSE))</f>
        <v/>
      </c>
      <c r="AU144" s="779" t="str">
        <f>IF(VLOOKUP(A144,'Débit - Abfluss'!$A$4:$Q$275,13,FALSE)="","",VLOOKUP(A144,'Débit - Abfluss'!$A$4:$Q$275,13,FALSE))</f>
        <v/>
      </c>
      <c r="AV144" s="746" t="str">
        <f>IF(VLOOKUP(A144,'Débit - Abfluss'!$A$4:$Q$275,14,FALSE)="","",VLOOKUP(A144,'Débit - Abfluss'!$A$4:$Q$275,14,FALSE))</f>
        <v>GR-EKW5-1</v>
      </c>
      <c r="AW144" s="768" t="str">
        <f>IF(VLOOKUP(A144,'Débit - Abfluss'!$A$4:$Q$275,15,FALSE)="","",VLOOKUP(A144,'Débit - Abfluss'!$A$4:$Q$275,15,FALSE))</f>
        <v>Martina</v>
      </c>
      <c r="AX144" s="679" t="str">
        <f>IF(VLOOKUP(A144,'Débit - Abfluss'!$A$4:$Q$275,16,FALSE)="","",VLOOKUP(A144,'Débit - Abfluss'!$A$4:$Q$275,16,FALSE))</f>
        <v/>
      </c>
      <c r="AY144" s="769" t="str">
        <f>IF(VLOOKUP(A144,'Débit - Abfluss'!$A$4:$Q$275,17,FALSE)="","",VLOOKUP(A144,'Débit - Abfluss'!$A$4:$Q$275,17,FALSE))</f>
        <v>21-40%</v>
      </c>
      <c r="AZ144" s="749" t="str">
        <f>IF(VLOOKUP(A144,'Eclusée - Schwall-Sunk'!$A$2:$F$273,5,FALSE)="","",VLOOKUP(A144,'Eclusée - Schwall-Sunk'!$A$2:$F$273,5,FALSE))</f>
        <v>force hydraulique</v>
      </c>
      <c r="BA144" s="750" t="str">
        <f>IF(VLOOKUP(A144,'Eclusée - Schwall-Sunk'!$A$2:$F$273,6,FALSE)="","",VLOOKUP(A144,'Eclusée - Schwall-Sunk'!$A$2:$F$273,6,FALSE))</f>
        <v>Non affecté / nicht betroffen</v>
      </c>
      <c r="BB144" s="751">
        <f>IF(VLOOKUP(A144,'Revitalisation-Revitalisierung'!$A$4:$Z$275,5,FALSE)="","",VLOOKUP(A144,'Revitalisation-Revitalisierung'!$A$4:$Z$275,5,FALSE))</f>
        <v>1.8909090909090907</v>
      </c>
      <c r="BC144" s="752">
        <f>IF(VLOOKUP(A144,'Revitalisation-Revitalisierung'!$A$4:$Z$275,6,FALSE)="","",VLOOKUP(A144,'Revitalisation-Revitalisierung'!$A$4:$Z$275,6,FALSE))</f>
        <v>7.8152810729948916</v>
      </c>
      <c r="BD144" s="752">
        <f>IF(VLOOKUP(A144,'Revitalisation-Revitalisierung'!$A$4:$Z$275,7,FALSE)="","",VLOOKUP(A144,'Revitalisation-Revitalisierung'!$A$4:$Z$275,7,FALSE))</f>
        <v>5.9090909090909092</v>
      </c>
      <c r="BE144" s="753" t="str">
        <f>IF(VLOOKUP(A144,'Revitalisation-Revitalisierung'!$A$4:$Z$275,8,FALSE)="","",VLOOKUP(A144,'Revitalisation-Revitalisierung'!$A$4:$Z$275,8,FALSE))</f>
        <v>peu nécessaire, facile</v>
      </c>
      <c r="BF144" s="754" t="str">
        <f>IF(VLOOKUP(A144,'Revitalisation-Revitalisierung'!$A$4:$Z$275,9,FALSE)="","",VLOOKUP(A144,'Revitalisation-Revitalisierung'!$A$4:$Z$275,9,FALSE))</f>
        <v/>
      </c>
      <c r="BG144" s="754" t="str">
        <f>IF(VLOOKUP(A144,'Revitalisation-Revitalisierung'!$A$4:$Z$275,10,FALSE)="","",VLOOKUP(A144,'Revitalisation-Revitalisierung'!$A$4:$Z$275,10,FALSE))</f>
        <v>K1</v>
      </c>
      <c r="BH144" s="755" t="str">
        <f>IF(VLOOKUP(A144,'Revitalisation-Revitalisierung'!$A$4:$Z$275,11,FALSE)="","",VLOOKUP(A144,'Revitalisation-Revitalisierung'!$A$4:$Z$275,11,FALSE))</f>
        <v/>
      </c>
      <c r="BI144" s="756" t="str">
        <f>IF(VLOOKUP(A144,'Revitalisation-Revitalisierung'!$A$4:$Z$275,12,FALSE)="","",VLOOKUP(A144,'Revitalisation-Revitalisierung'!$A$4:$Z$275,12,FALSE))</f>
        <v>déjà revitalisé</v>
      </c>
      <c r="BJ144" s="788" t="str">
        <f>IF(VLOOKUP(A144,'Revitalisation-Revitalisierung'!$A$4:$Z$275,13,FALSE)="","",VLOOKUP(A144,'Revitalisation-Revitalisierung'!$A$4:$Z$275,13,FALSE))</f>
        <v>Non nécessaire / nicht nötig</v>
      </c>
      <c r="BK144" s="870" t="str">
        <f>IF(VLOOKUP(A144,'Revitalisation-Revitalisierung'!$A$4:$Z$275,14,FALSE)="","",VLOOKUP(A144,'Revitalisation-Revitalisierung'!$A$4:$Z$275,14,FALSE))</f>
        <v>b</v>
      </c>
      <c r="BL144" s="758" t="str">
        <f>IF(VLOOKUP(A144,'Revitalisation-Revitalisierung'!$A$4:$Z$275,15,FALSE)="","",VLOOKUP(A144,'Revitalisation-Revitalisierung'!$A$4:$Z$275,15,FALSE))</f>
        <v>gross</v>
      </c>
      <c r="BM144" s="759" t="str">
        <f>IF(VLOOKUP(A144,'Revitalisation-Revitalisierung'!$A$4:$Z$275,16,FALSE)="","",VLOOKUP(A144,'Revitalisation-Revitalisierung'!$A$4:$Z$275,16,FALSE))</f>
        <v>mittel/kein/nicht best.</v>
      </c>
      <c r="BN144" s="759" t="str">
        <f>IF(VLOOKUP(A144,'Revitalisation-Revitalisierung'!$A$4:$Z$275,17,FALSE)="","",VLOOKUP(A144,'Revitalisation-Revitalisierung'!$A$4:$Z$275,17,FALSE))</f>
        <v>hoch</v>
      </c>
      <c r="BO144" s="760" t="str">
        <f>IF(VLOOKUP(A144,'Revitalisation-Revitalisierung'!$A$4:$Z$275,18,FALSE)="","",VLOOKUP(A144,'Revitalisation-Revitalisierung'!$A$4:$Z$275,18,FALSE))</f>
        <v>Partiellement nécessaire, facile / teilweise nötig, einfach</v>
      </c>
      <c r="BP144" s="761" t="str">
        <f>IF(VLOOKUP(A144,'Revitalisation-Revitalisierung'!$A$4:$Z$275,19,FALSE)="","",VLOOKUP(A144,'Revitalisation-Revitalisierung'!$A$4:$Z$275,19,FALSE))</f>
        <v>Partiellement nécessaire, facile / teilweise nötig, einfach</v>
      </c>
      <c r="BQ144" s="759" t="str">
        <f>IF(VLOOKUP(A144,'Revitalisation-Revitalisierung'!$A$4:$Z$275,20,FALSE)="","",VLOOKUP(A144,'Revitalisation-Revitalisierung'!$A$4:$Z$275,20,FALSE))</f>
        <v>c</v>
      </c>
      <c r="BR144" s="759" t="str">
        <f>IF(VLOOKUP(A144,'Revitalisation-Revitalisierung'!$A$4:$Z$275,21,FALSE)="","",VLOOKUP(A144,'Revitalisation-Revitalisierung'!$A$4:$Z$275,21,FALSE))</f>
        <v/>
      </c>
      <c r="BS144" s="762" t="str">
        <f>IF(VLOOKUP(A144,'Revitalisation-Revitalisierung'!$A$4:$Z$275,22,FALSE)="","",VLOOKUP(A144,'Revitalisation-Revitalisierung'!$A$4:$Z$275,22,FALSE))</f>
        <v/>
      </c>
      <c r="BT144" s="700" t="str">
        <f>IF(VLOOKUP(A144,'Revitalisation-Revitalisierung'!$A$4:$Z$275,23,FALSE)="","",VLOOKUP(A144,'Revitalisation-Revitalisierung'!$A$4:$Z$275,23,FALSE))</f>
        <v/>
      </c>
      <c r="BU144" s="699" t="str">
        <f>IF(VLOOKUP(A144,'Revitalisation-Revitalisierung'!$A$4:$Z$275,24,FALSE)="","",VLOOKUP(A144,'Revitalisation-Revitalisierung'!$A$4:$Z$275,24,FALSE))</f>
        <v/>
      </c>
      <c r="BV144" s="788" t="str">
        <f>IF(VLOOKUP(A144,'Revitalisation-Revitalisierung'!$A$4:$Z$275,25,FALSE)="","",VLOOKUP(A144,'Revitalisation-Revitalisierung'!$A$4:$Z$275,25,FALSE))</f>
        <v>Partiellement nécessaire, facile / teilweise nötig, einfach</v>
      </c>
      <c r="BW144" s="871" t="str">
        <f>IF(VLOOKUP(A144,'Revitalisation-Revitalisierung'!$A$4:$AA$275,27,FALSE)="","",VLOOKUP(A144,'Revitalisation-Revitalisierung'!$A$4:$AA$275,27,FALSE))</f>
        <v>a</v>
      </c>
    </row>
    <row r="145" spans="1:75" ht="95.45" customHeight="1" x14ac:dyDescent="0.25">
      <c r="A145" s="935">
        <v>176</v>
      </c>
      <c r="B145" s="856">
        <f>IF(VLOOKUP(A145,'Données de base - Grunddaten'!$A$2:$M$297,2,FALSE)="","",VLOOKUP(A145,'Données de base - Grunddaten'!$A$2:$M$297,2,FALSE))</f>
        <v>1</v>
      </c>
      <c r="C145" s="857" t="str">
        <f>IF(VLOOKUP(A145,'Données de base - Grunddaten'!$A$2:$M$297,3,FALSE)="","",VLOOKUP(A145,'Données de base - Grunddaten'!$A$2:$M$297,3,FALSE))</f>
        <v>Plan-Sot</v>
      </c>
      <c r="D145" s="857" t="str">
        <f>IF(VLOOKUP(A145,'Données de base - Grunddaten'!$A$2:$M$297,4,FALSE)="","",VLOOKUP(A145,'Données de base - Grunddaten'!$A$2:$M$297,4,FALSE))</f>
        <v>Inn</v>
      </c>
      <c r="E145" s="857" t="str">
        <f>IF(VLOOKUP(A145,'Données de base - Grunddaten'!$A$2:$M$297,5,FALSE)="","",VLOOKUP(A145,'Données de base - Grunddaten'!$A$2:$M$297,5,FALSE))</f>
        <v>GR</v>
      </c>
      <c r="F145" s="857" t="str">
        <f>IF(VLOOKUP(A145,'Données de base - Grunddaten'!$A$2:$M$297,6,FALSE)="","",VLOOKUP(A145,'Données de base - Grunddaten'!$A$2:$M$297,6,FALSE))</f>
        <v>Alpes centrales orientales</v>
      </c>
      <c r="G145" s="857" t="str">
        <f>IF(VLOOKUP(A145,'Données de base - Grunddaten'!$A$2:$M$297,7,FALSE)="","",VLOOKUP(A145,'Données de base - Grunddaten'!$A$2:$M$297,7,FALSE))</f>
        <v>Montagnard sup.</v>
      </c>
      <c r="H145" s="857">
        <f>IF(VLOOKUP(A145,'Données de base - Grunddaten'!$A$2:$M$297,8,FALSE)="","",VLOOKUP(A145,'Données de base - Grunddaten'!$A$2:$M$297,8,FALSE))</f>
        <v>1070</v>
      </c>
      <c r="I145" s="857">
        <f>IF(VLOOKUP(A145,'Données de base - Grunddaten'!$A$2:$M$297,9,FALSE)="","",VLOOKUP(A145,'Données de base - Grunddaten'!$A$2:$M$297,9,FALSE))</f>
        <v>1992</v>
      </c>
      <c r="J145" s="857">
        <f>IF(VLOOKUP(A145,'Données de base - Grunddaten'!$A$2:$M$297,10,FALSE)="","",VLOOKUP(A145,'Données de base - Grunddaten'!$A$2:$M$297,10,FALSE))</f>
        <v>41</v>
      </c>
      <c r="K145" s="857" t="str">
        <f>IF(VLOOKUP(A145,'Données de base - Grunddaten'!$A$2:$M$297,11,FALSE)="","",VLOOKUP(A145,'Données de base - Grunddaten'!$A$2:$M$297,11,FALSE))</f>
        <v>Cours d'eau naturels de l'étage montagnard</v>
      </c>
      <c r="L145" s="857" t="str">
        <f>IF(VLOOKUP(A145,'Données de base - Grunddaten'!$A$2:$M$297,12,FALSE)="","",VLOOKUP(A145,'Données de base - Grunddaten'!$A$2:$M$297,12,FALSE))</f>
        <v>en tresses</v>
      </c>
      <c r="M145" s="858" t="str">
        <f>IF(VLOOKUP(A145,'Données de base - Grunddaten'!$A$2:$M$297,13,FALSE)="","",VLOOKUP(A145,'Données de base - Grunddaten'!$A$2:$M$297,13,FALSE))</f>
        <v>en tresses</v>
      </c>
      <c r="N145" s="872" t="str">
        <f>IF(VLOOKUP(A145,'Charriage - Geschiebehaushalt'!$A$4:$R$275,5,FALSE)="","",VLOOKUP(A145,'Charriage - Geschiebehaushalt'!$A$4:$R$275,5,FALSE))</f>
        <v>pertinent</v>
      </c>
      <c r="O145" s="881" t="str">
        <f>IF(VLOOKUP(A145,'Charriage - Geschiebehaushalt'!$A$4:$R$275,6,FALSE)="","",VLOOKUP(A145,'Charriage - Geschiebehaushalt'!$A$4:$R$275,6,FALSE))</f>
        <v>non documenté</v>
      </c>
      <c r="P145" s="874">
        <f>IF(VLOOKUP(A145,'Charriage - Geschiebehaushalt'!$A$4:$R$275,7,FALSE)="","",VLOOKUP(A145,'Charriage - Geschiebehaushalt'!$A$4:$R$275,7,FALSE))</f>
        <v>-0.26432023070243799</v>
      </c>
      <c r="Q145" s="874" t="str">
        <f>IF(VLOOKUP(A145,'Charriage - Geschiebehaushalt'!$A$4:$R$275,8,FALSE)="","",VLOOKUP(A145,'Charriage - Geschiebehaushalt'!$A$4:$R$275,8,FALSE))</f>
        <v>pas d'incision</v>
      </c>
      <c r="R145" s="875">
        <f>IF(VLOOKUP(A145,'Charriage - Geschiebehaushalt'!$A$4:$R$275,9,FALSE)="","",VLOOKUP(A145,'Charriage - Geschiebehaushalt'!$A$4:$R$275,9,FALSE))</f>
        <v>0</v>
      </c>
      <c r="S145" s="876" t="str">
        <f>IF(VLOOKUP(A145,'Charriage - Geschiebehaushalt'!$A$4:$R$275,10,FALSE)="","",VLOOKUP(A145,'Charriage - Geschiebehaushalt'!$A$4:$R$275,10,FALSE))</f>
        <v>pas ou faiblement entravé</v>
      </c>
      <c r="T145" s="875">
        <f>IF(VLOOKUP(A145,'Charriage - Geschiebehaushalt'!$A$4:$R$275,11,FALSE)="","",VLOOKUP(A145,'Charriage - Geschiebehaushalt'!$A$4:$R$275,11,FALSE))</f>
        <v>0.42661315481000001</v>
      </c>
      <c r="U145" s="895" t="str">
        <f>IF(VLOOKUP(A145,'Charriage - Geschiebehaushalt'!$A$4:$R$275,12,FALSE)="","",VLOOKUP(A145,'Charriage - Geschiebehaushalt'!$A$4:$R$275,12,FALSE))</f>
        <v>déficit non apparent en charriage ou en remobilisation des sédiments</v>
      </c>
      <c r="V145" s="877" t="str">
        <f>IF(VLOOKUP(A145,'Charriage - Geschiebehaushalt'!$A$4:$R$275,13,FALSE)="","",VLOOKUP(A145,'Charriage - Geschiebehaushalt'!$A$4:$R$275,13,FALSE))</f>
        <v/>
      </c>
      <c r="W145" s="877" t="str">
        <f>IF(VLOOKUP(A145,'Charriage - Geschiebehaushalt'!$A$4:$R$275,14,FALSE)="","",VLOOKUP(A145,'Charriage - Geschiebehaushalt'!$A$4:$R$275,14,FALSE))</f>
        <v/>
      </c>
      <c r="X145" s="877" t="str">
        <f>IF(VLOOKUP(A145,'Charriage - Geschiebehaushalt'!$A$4:$R$275,15,FALSE)="","",VLOOKUP(A145,'Charriage - Geschiebehaushalt'!$A$4:$R$275,15,FALSE))</f>
        <v/>
      </c>
      <c r="Y145" s="879" t="str">
        <f>IF(VLOOKUP(A145,'Charriage - Geschiebehaushalt'!$A$4:$R$275,16,FALSE)="","",VLOOKUP(A145,'Charriage - Geschiebehaushalt'!$A$4:$R$275,16,FALSE))</f>
        <v/>
      </c>
      <c r="Z145" s="763" t="str">
        <f>IF(VLOOKUP(A145,'Charriage - Geschiebehaushalt'!$A$4:$R$275,17,FALSE)="","",VLOOKUP(A145,'Charriage - Geschiebehaushalt'!$A$4:$R$275,17,FALSE))</f>
        <v>Déficit non apparent en charriage ou en remobilisation des sédiments / kein sichtbares Defizit beim Geschiebehaushalt bzw. bei der Mobilisierung von Geschiebe</v>
      </c>
      <c r="AA145" s="880" t="str">
        <f>IF(VLOOKUP(A145,'Charriage - Geschiebehaushalt'!$A$4:$R$275,18,FALSE)="","",VLOOKUP(A145,'Charriage - Geschiebehaushalt'!$A$4:$R$275,18,FALSE))</f>
        <v>b</v>
      </c>
      <c r="AB145" s="737" t="str">
        <f>IF(VLOOKUP(A145,'Charriage - Geschiebehaushalt'!$A$4:$AC$275,19,FALSE)="","",VLOOKUP(A145,'Charriage - Geschiebehaushalt'!$A$4:$AC$275,19,FALSE))</f>
        <v>vernachlässigbar</v>
      </c>
      <c r="AC145" s="738">
        <f>IF(VLOOKUP(A145,'Charriage - Geschiebehaushalt'!$A$4:$AC$275,20,FALSE)="","",VLOOKUP(A145,'Charriage - Geschiebehaushalt'!$A$4:$AC$275,20,FALSE))</f>
        <v>0</v>
      </c>
      <c r="AD145" s="764" t="str">
        <f>IF(VLOOKUP(A145,'Charriage - Geschiebehaushalt'!$A$4:$AC$275,21,FALSE)="","",VLOOKUP(A145,'Charriage - Geschiebehaushalt'!$A$4:$AC$275,21,FALSE))</f>
        <v>21-50%</v>
      </c>
      <c r="AE145" s="772" t="str">
        <f>IF(VLOOKUP(A145,'Charriage - Geschiebehaushalt'!$A$4:$AC$275,22,FALSE)="","",VLOOKUP(A145,'Charriage - Geschiebehaushalt'!$A$4:$AC$275,22,FALSE))</f>
        <v>21-50%</v>
      </c>
      <c r="AF145" s="787" t="str">
        <f>IF(VLOOKUP(A145,'Charriage - Geschiebehaushalt'!$A$4:$AC$275,23,FALSE)="","",VLOOKUP(A145,'Charriage - Geschiebehaushalt'!$A$4:$AC$275,23,FALSE))</f>
        <v>c</v>
      </c>
      <c r="AG145" s="765" t="str">
        <f>IF(VLOOKUP(A145,'Charriage - Geschiebehaushalt'!$A$4:$AC$275,24,FALSE)="","",VLOOKUP(A145,'Charriage - Geschiebehaushalt'!$A$4:$AC$275,24,FALSE))</f>
        <v/>
      </c>
      <c r="AH145" s="764" t="str">
        <f>IF(VLOOKUP(A145,'Charriage - Geschiebehaushalt'!$A$4:$AC$275,25,FALSE)="","",VLOOKUP(A145,'Charriage - Geschiebehaushalt'!$A$4:$AC$275,25,FALSE))</f>
        <v/>
      </c>
      <c r="AI145" s="435" t="str">
        <f>IF(VLOOKUP(A145,'Charriage - Geschiebehaushalt'!$A$4:$AC$275,26,FALSE)="","",VLOOKUP(A145,'Charriage - Geschiebehaushalt'!$A$4:$AC$275,26,FALSE))</f>
        <v/>
      </c>
      <c r="AJ145" s="436" t="str">
        <f>IF(VLOOKUP(A145,'Charriage - Geschiebehaushalt'!$A$4:$AC$275,27,FALSE)="","",VLOOKUP(A145,'Charriage - Geschiebehaushalt'!$A$4:$AC$275,27,FALSE))</f>
        <v/>
      </c>
      <c r="AK145" s="814" t="str">
        <f>IF(VLOOKUP(A145,'Charriage - Geschiebehaushalt'!$A$4:$AC$275,28,FALSE)="","",VLOOKUP(A145,'Charriage - Geschiebehaushalt'!$A$4:$AC$275,28,FALSE))</f>
        <v>21-50%</v>
      </c>
      <c r="AL145" s="1285" t="str">
        <f>IF(VLOOKUP(A145,'Charriage - Geschiebehaushalt'!$A$4:$AD$275,30,FALSE)="","",VLOOKUP(A145,'Charriage - Geschiebehaushalt'!$A$4:$AD$275,30,FALSE))</f>
        <v>a</v>
      </c>
      <c r="AM145" s="1279" t="str">
        <f>IF(VLOOKUP(A145,'Débit - Abfluss'!$A$4:$K$275,5,FALSE)="","",VLOOKUP(A145,'Débit - Abfluss'!$A$4:$M$275,5,FALSE))</f>
        <v>21-40%</v>
      </c>
      <c r="AN145" s="868" t="str">
        <f>IF(VLOOKUP(A145,'Débit - Abfluss'!$A$4:$K$275,6,FALSE)="","",VLOOKUP(A145,'Débit - Abfluss'!$A$4:$M$275,6,FALSE))</f>
        <v/>
      </c>
      <c r="AO145" s="869" t="str">
        <f>IF(VLOOKUP(A145,'Débit - Abfluss'!$A$4:$K$275,7,FALSE)="","",VLOOKUP(A145,'Débit - Abfluss'!$A$4:$M$275,7,FALSE))</f>
        <v/>
      </c>
      <c r="AP145" s="766" t="str">
        <f>IF(VLOOKUP(A145,'Débit - Abfluss'!$A$4:$K$275,8,FALSE)="","",VLOOKUP(A145,'Débit - Abfluss'!$A$4:$M$275,8,FALSE))</f>
        <v>21-40%</v>
      </c>
      <c r="AQ145" s="678" t="str">
        <f>IF(VLOOKUP(A145,'Débit - Abfluss'!$A$4:$K$275,9,FALSE)="","",VLOOKUP(A145,'Débit - Abfluss'!$A$4:$M$275,9,FALSE))</f>
        <v>&gt;90%</v>
      </c>
      <c r="AR145" s="773" t="str">
        <f>IF(VLOOKUP(A145,'Débit - Abfluss'!$A$4:$K$275,10,FALSE)="","",VLOOKUP(A145,'Débit - Abfluss'!$A$4:$M$275,10,FALSE))</f>
        <v>21-40%</v>
      </c>
      <c r="AS145" s="773" t="str">
        <f>IF(VLOOKUP(A145,'Débit - Abfluss'!$A$4:$K$275,11,FALSE)="","",VLOOKUP(A145,'Débit - Abfluss'!$A$4:$M$275,11,FALSE))</f>
        <v>X</v>
      </c>
      <c r="AT145" s="778" t="str">
        <f>IF(VLOOKUP(A145,'Débit - Abfluss'!$A$4:$Q$275,12,FALSE)="","",VLOOKUP(A145,'Débit - Abfluss'!$A$4:$Q$275,12,FALSE))</f>
        <v/>
      </c>
      <c r="AU145" s="779" t="str">
        <f>IF(VLOOKUP(A145,'Débit - Abfluss'!$A$4:$Q$275,13,FALSE)="","",VLOOKUP(A145,'Débit - Abfluss'!$A$4:$Q$275,13,FALSE))</f>
        <v/>
      </c>
      <c r="AV145" s="746" t="str">
        <f>IF(VLOOKUP(A145,'Débit - Abfluss'!$A$4:$Q$275,14,FALSE)="","",VLOOKUP(A145,'Débit - Abfluss'!$A$4:$Q$275,14,FALSE))</f>
        <v>GR-EKW5-1</v>
      </c>
      <c r="AW145" s="768" t="str">
        <f>IF(VLOOKUP(A145,'Débit - Abfluss'!$A$4:$Q$275,15,FALSE)="","",VLOOKUP(A145,'Débit - Abfluss'!$A$4:$Q$275,15,FALSE))</f>
        <v>Martina</v>
      </c>
      <c r="AX145" s="679" t="str">
        <f>IF(VLOOKUP(A145,'Débit - Abfluss'!$A$4:$Q$275,16,FALSE)="","",VLOOKUP(A145,'Débit - Abfluss'!$A$4:$Q$275,16,FALSE))</f>
        <v/>
      </c>
      <c r="AY145" s="775" t="str">
        <f>IF(VLOOKUP(A145,'Débit - Abfluss'!$A$4:$Q$275,17,FALSE)="","",VLOOKUP(A145,'Débit - Abfluss'!$A$4:$Q$275,17,FALSE))</f>
        <v>21-40%</v>
      </c>
      <c r="AZ145" s="749" t="str">
        <f>IF(VLOOKUP(A145,'Eclusée - Schwall-Sunk'!$A$2:$F$273,5,FALSE)="","",VLOOKUP(A145,'Eclusée - Schwall-Sunk'!$A$2:$F$273,5,FALSE))</f>
        <v>force hydraulique</v>
      </c>
      <c r="BA145" s="750" t="str">
        <f>IF(VLOOKUP(A145,'Eclusée - Schwall-Sunk'!$A$2:$F$273,6,FALSE)="","",VLOOKUP(A145,'Eclusée - Schwall-Sunk'!$A$2:$F$273,6,FALSE))</f>
        <v>Non affecté / nicht betroffen</v>
      </c>
      <c r="BB145" s="751">
        <f>IF(VLOOKUP(A145,'Revitalisation-Revitalisierung'!$A$4:$Z$275,5,FALSE)="","",VLOOKUP(A145,'Revitalisation-Revitalisierung'!$A$4:$Z$275,5,FALSE))</f>
        <v>-6.3636363636363633</v>
      </c>
      <c r="BC145" s="752">
        <f>IF(VLOOKUP(A145,'Revitalisation-Revitalisierung'!$A$4:$Z$275,6,FALSE)="","",VLOOKUP(A145,'Revitalisation-Revitalisierung'!$A$4:$Z$275,6,FALSE))</f>
        <v>0</v>
      </c>
      <c r="BD145" s="752">
        <f>IF(VLOOKUP(A145,'Revitalisation-Revitalisierung'!$A$4:$Z$275,7,FALSE)="","",VLOOKUP(A145,'Revitalisation-Revitalisierung'!$A$4:$Z$275,7,FALSE))</f>
        <v>6.3636363636363633</v>
      </c>
      <c r="BE145" s="753" t="str">
        <f>IF(VLOOKUP(A145,'Revitalisation-Revitalisierung'!$A$4:$Z$275,8,FALSE)="","",VLOOKUP(A145,'Revitalisation-Revitalisierung'!$A$4:$Z$275,8,FALSE))</f>
        <v>non nécessaire</v>
      </c>
      <c r="BF145" s="754" t="str">
        <f>IF(VLOOKUP(A145,'Revitalisation-Revitalisierung'!$A$4:$Z$275,9,FALSE)="","",VLOOKUP(A145,'Revitalisation-Revitalisierung'!$A$4:$Z$275,9,FALSE))</f>
        <v/>
      </c>
      <c r="BG145" s="754" t="str">
        <f>IF(VLOOKUP(A145,'Revitalisation-Revitalisierung'!$A$4:$Z$275,10,FALSE)="","",VLOOKUP(A145,'Revitalisation-Revitalisierung'!$A$4:$Z$275,10,FALSE))</f>
        <v>K1</v>
      </c>
      <c r="BH145" s="755" t="str">
        <f>IF(VLOOKUP(A145,'Revitalisation-Revitalisierung'!$A$4:$Z$275,11,FALSE)="","",VLOOKUP(A145,'Revitalisation-Revitalisierung'!$A$4:$Z$275,11,FALSE))</f>
        <v/>
      </c>
      <c r="BI145" s="756" t="str">
        <f>IF(VLOOKUP(A145,'Revitalisation-Revitalisierung'!$A$4:$Z$275,12,FALSE)="","",VLOOKUP(A145,'Revitalisation-Revitalisierung'!$A$4:$Z$275,12,FALSE))</f>
        <v/>
      </c>
      <c r="BJ145" s="788" t="str">
        <f>IF(VLOOKUP(A145,'Revitalisation-Revitalisierung'!$A$4:$Z$275,13,FALSE)="","",VLOOKUP(A145,'Revitalisation-Revitalisierung'!$A$4:$Z$275,13,FALSE))</f>
        <v>Non nécessaire / nicht nötig</v>
      </c>
      <c r="BK145" s="870" t="str">
        <f>IF(VLOOKUP(A145,'Revitalisation-Revitalisierung'!$A$4:$Z$275,14,FALSE)="","",VLOOKUP(A145,'Revitalisation-Revitalisierung'!$A$4:$Z$275,14,FALSE))</f>
        <v>a</v>
      </c>
      <c r="BL145" s="758" t="str">
        <f>IF(VLOOKUP(A145,'Revitalisation-Revitalisierung'!$A$4:$Z$275,15,FALSE)="","",VLOOKUP(A145,'Revitalisation-Revitalisierung'!$A$4:$Z$275,15,FALSE))</f>
        <v>gross</v>
      </c>
      <c r="BM145" s="759" t="str">
        <f>IF(VLOOKUP(A145,'Revitalisation-Revitalisierung'!$A$4:$Z$275,16,FALSE)="","",VLOOKUP(A145,'Revitalisation-Revitalisierung'!$A$4:$Z$275,16,FALSE))</f>
        <v>gering</v>
      </c>
      <c r="BN145" s="759" t="str">
        <f>IF(VLOOKUP(A145,'Revitalisation-Revitalisierung'!$A$4:$Z$275,17,FALSE)="","",VLOOKUP(A145,'Revitalisation-Revitalisierung'!$A$4:$Z$275,17,FALSE))</f>
        <v>gering</v>
      </c>
      <c r="BO145" s="760" t="str">
        <f>IF(VLOOKUP(A145,'Revitalisation-Revitalisierung'!$A$4:$Z$275,18,FALSE)="","",VLOOKUP(A145,'Revitalisation-Revitalisierung'!$A$4:$Z$275,18,FALSE))</f>
        <v>Non nécessaire / nicht nötig</v>
      </c>
      <c r="BP145" s="761" t="str">
        <f>IF(VLOOKUP(A145,'Revitalisation-Revitalisierung'!$A$4:$Z$275,19,FALSE)="","",VLOOKUP(A145,'Revitalisation-Revitalisierung'!$A$4:$Z$275,19,FALSE))</f>
        <v>Non nécessaire / nicht nötig</v>
      </c>
      <c r="BQ145" s="759" t="str">
        <f>IF(VLOOKUP(A145,'Revitalisation-Revitalisierung'!$A$4:$Z$275,20,FALSE)="","",VLOOKUP(A145,'Revitalisation-Revitalisierung'!$A$4:$Z$275,20,FALSE))</f>
        <v>d</v>
      </c>
      <c r="BR145" s="759" t="str">
        <f>IF(VLOOKUP(A145,'Revitalisation-Revitalisierung'!$A$4:$Z$275,21,FALSE)="","",VLOOKUP(A145,'Revitalisation-Revitalisierung'!$A$4:$Z$275,21,FALSE))</f>
        <v/>
      </c>
      <c r="BS145" s="762" t="str">
        <f>IF(VLOOKUP(A145,'Revitalisation-Revitalisierung'!$A$4:$Z$275,22,FALSE)="","",VLOOKUP(A145,'Revitalisation-Revitalisierung'!$A$4:$Z$275,22,FALSE))</f>
        <v/>
      </c>
      <c r="BT145" s="700" t="str">
        <f>IF(VLOOKUP(A145,'Revitalisation-Revitalisierung'!$A$4:$Z$275,23,FALSE)="","",VLOOKUP(A145,'Revitalisation-Revitalisierung'!$A$4:$Z$275,23,FALSE))</f>
        <v/>
      </c>
      <c r="BU145" s="699" t="str">
        <f>IF(VLOOKUP(A145,'Revitalisation-Revitalisierung'!$A$4:$Z$275,24,FALSE)="","",VLOOKUP(A145,'Revitalisation-Revitalisierung'!$A$4:$Z$275,24,FALSE))</f>
        <v/>
      </c>
      <c r="BV145" s="788" t="str">
        <f>IF(VLOOKUP(A145,'Revitalisation-Revitalisierung'!$A$4:$Z$275,25,FALSE)="","",VLOOKUP(A145,'Revitalisation-Revitalisierung'!$A$4:$Z$275,25,FALSE))</f>
        <v>Non nécessaire / nicht nötig</v>
      </c>
      <c r="BW145" s="871" t="str">
        <f>IF(VLOOKUP(A145,'Revitalisation-Revitalisierung'!$A$4:$AA$275,27,FALSE)="","",VLOOKUP(A145,'Revitalisation-Revitalisierung'!$A$4:$AA$275,27,FALSE))</f>
        <v>a</v>
      </c>
    </row>
    <row r="146" spans="1:75" ht="70.900000000000006" customHeight="1" x14ac:dyDescent="0.25">
      <c r="A146" s="935">
        <v>177</v>
      </c>
      <c r="B146" s="856">
        <f>IF(VLOOKUP(A146,'Données de base - Grunddaten'!$A$2:$M$297,2,FALSE)="","",VLOOKUP(A146,'Données de base - Grunddaten'!$A$2:$M$297,2,FALSE))</f>
        <v>1</v>
      </c>
      <c r="C146" s="857" t="str">
        <f>IF(VLOOKUP(A146,'Données de base - Grunddaten'!$A$2:$M$297,3,FALSE)="","",VLOOKUP(A146,'Données de base - Grunddaten'!$A$2:$M$297,3,FALSE))</f>
        <v>Panas-ch–Resgia</v>
      </c>
      <c r="D146" s="857" t="str">
        <f>IF(VLOOKUP(A146,'Données de base - Grunddaten'!$A$2:$M$297,4,FALSE)="","",VLOOKUP(A146,'Données de base - Grunddaten'!$A$2:$M$297,4,FALSE))</f>
        <v>Inn</v>
      </c>
      <c r="E146" s="857" t="str">
        <f>IF(VLOOKUP(A146,'Données de base - Grunddaten'!$A$2:$M$297,5,FALSE)="","",VLOOKUP(A146,'Données de base - Grunddaten'!$A$2:$M$297,5,FALSE))</f>
        <v>GR</v>
      </c>
      <c r="F146" s="857" t="str">
        <f>IF(VLOOKUP(A146,'Données de base - Grunddaten'!$A$2:$M$297,6,FALSE)="","",VLOOKUP(A146,'Données de base - Grunddaten'!$A$2:$M$297,6,FALSE))</f>
        <v>Alpes centrales orientales</v>
      </c>
      <c r="G146" s="857" t="str">
        <f>IF(VLOOKUP(A146,'Données de base - Grunddaten'!$A$2:$M$297,7,FALSE)="","",VLOOKUP(A146,'Données de base - Grunddaten'!$A$2:$M$297,7,FALSE))</f>
        <v>Montagnard sup.</v>
      </c>
      <c r="H146" s="857">
        <f>IF(VLOOKUP(A146,'Données de base - Grunddaten'!$A$2:$M$297,8,FALSE)="","",VLOOKUP(A146,'Données de base - Grunddaten'!$A$2:$M$297,8,FALSE))</f>
        <v>1088</v>
      </c>
      <c r="I146" s="857">
        <f>IF(VLOOKUP(A146,'Données de base - Grunddaten'!$A$2:$M$297,9,FALSE)="","",VLOOKUP(A146,'Données de base - Grunddaten'!$A$2:$M$297,9,FALSE))</f>
        <v>1992</v>
      </c>
      <c r="J146" s="857">
        <f>IF(VLOOKUP(A146,'Données de base - Grunddaten'!$A$2:$M$297,10,FALSE)="","",VLOOKUP(A146,'Données de base - Grunddaten'!$A$2:$M$297,10,FALSE))</f>
        <v>41</v>
      </c>
      <c r="K146" s="857" t="str">
        <f>IF(VLOOKUP(A146,'Données de base - Grunddaten'!$A$2:$M$297,11,FALSE)="","",VLOOKUP(A146,'Données de base - Grunddaten'!$A$2:$M$297,11,FALSE))</f>
        <v>Cours d'eau naturels de l'étage montagnard</v>
      </c>
      <c r="L146" s="857" t="str">
        <f>IF(VLOOKUP(A146,'Données de base - Grunddaten'!$A$2:$M$297,12,FALSE)="","",VLOOKUP(A146,'Données de base - Grunddaten'!$A$2:$M$297,12,FALSE))</f>
        <v>méandres migrants (en bancs alternés)</v>
      </c>
      <c r="M146" s="858" t="str">
        <f>IF(VLOOKUP(A146,'Données de base - Grunddaten'!$A$2:$M$297,13,FALSE)="","",VLOOKUP(A146,'Données de base - Grunddaten'!$A$2:$M$297,13,FALSE))</f>
        <v>cours rectiligne (en bancs alternés)</v>
      </c>
      <c r="N146" s="872" t="str">
        <f>IF(VLOOKUP(A146,'Charriage - Geschiebehaushalt'!$A$4:$R$275,5,FALSE)="","",VLOOKUP(A146,'Charriage - Geschiebehaushalt'!$A$4:$R$275,5,FALSE))</f>
        <v>pertinent</v>
      </c>
      <c r="O146" s="881" t="str">
        <f>IF(VLOOKUP(A146,'Charriage - Geschiebehaushalt'!$A$4:$R$275,6,FALSE)="","",VLOOKUP(A146,'Charriage - Geschiebehaushalt'!$A$4:$R$275,6,FALSE))</f>
        <v>non documenté</v>
      </c>
      <c r="P146" s="874">
        <f>IF(VLOOKUP(A146,'Charriage - Geschiebehaushalt'!$A$4:$R$275,7,FALSE)="","",VLOOKUP(A146,'Charriage - Geschiebehaushalt'!$A$4:$R$275,7,FALSE))</f>
        <v>-0.474283717459897</v>
      </c>
      <c r="Q146" s="874" t="str">
        <f>IF(VLOOKUP(A146,'Charriage - Geschiebehaushalt'!$A$4:$R$275,8,FALSE)="","",VLOOKUP(A146,'Charriage - Geschiebehaushalt'!$A$4:$R$275,8,FALSE))</f>
        <v>pas d'incision</v>
      </c>
      <c r="R146" s="875">
        <f>IF(VLOOKUP(A146,'Charriage - Geschiebehaushalt'!$A$4:$R$275,9,FALSE)="","",VLOOKUP(A146,'Charriage - Geschiebehaushalt'!$A$4:$R$275,9,FALSE))</f>
        <v>1.1606285783557799E-2</v>
      </c>
      <c r="S146" s="876" t="str">
        <f>IF(VLOOKUP(A146,'Charriage - Geschiebehaushalt'!$A$4:$R$275,10,FALSE)="","",VLOOKUP(A146,'Charriage - Geschiebehaushalt'!$A$4:$R$275,10,FALSE))</f>
        <v>pas ou faiblement entravé</v>
      </c>
      <c r="T146" s="875">
        <f>IF(VLOOKUP(A146,'Charriage - Geschiebehaushalt'!$A$4:$R$275,11,FALSE)="","",VLOOKUP(A146,'Charriage - Geschiebehaushalt'!$A$4:$R$275,11,FALSE))</f>
        <v>0.24972785682000001</v>
      </c>
      <c r="U146" s="876" t="str">
        <f>IF(VLOOKUP(A146,'Charriage - Geschiebehaushalt'!$A$4:$R$275,12,FALSE)="","",VLOOKUP(A146,'Charriage - Geschiebehaushalt'!$A$4:$R$275,12,FALSE))</f>
        <v>déficit dans les formations pionnières</v>
      </c>
      <c r="V146" s="877" t="str">
        <f>IF(VLOOKUP(A146,'Charriage - Geschiebehaushalt'!$A$4:$R$275,13,FALSE)="","",VLOOKUP(A146,'Charriage - Geschiebehaushalt'!$A$4:$R$275,13,FALSE))</f>
        <v>Charriage interrompu par ouvrage 3.5 km en amont, mais apport de 2 affluents (torrents)</v>
      </c>
      <c r="W146" s="878" t="str">
        <f>IF(VLOOKUP(A146,'Charriage - Geschiebehaushalt'!$A$4:$R$275,14,FALSE)="","",VLOOKUP(A146,'Charriage - Geschiebehaushalt'!$A$4:$R$275,14,FALSE))</f>
        <v>charriage présumé perturbé</v>
      </c>
      <c r="X146" s="878" t="str">
        <f>IF(VLOOKUP(A146,'Charriage - Geschiebehaushalt'!$A$4:$R$275,15,FALSE)="","",VLOOKUP(A146,'Charriage - Geschiebehaushalt'!$A$4:$R$275,15,FALSE))</f>
        <v/>
      </c>
      <c r="Y146" s="882" t="str">
        <f>IF(VLOOKUP(A146,'Charriage - Geschiebehaushalt'!$A$4:$R$275,16,FALSE)="","",VLOOKUP(A146,'Charriage - Geschiebehaushalt'!$A$4:$R$275,16,FALSE))</f>
        <v/>
      </c>
      <c r="Z146" s="763" t="str">
        <f>IF(VLOOKUP(A146,'Charriage - Geschiebehaushalt'!$A$4:$R$275,17,FALSE)="","",VLOOKUP(A146,'Charriage - Geschiebehaushalt'!$A$4:$R$275,17,FALSE))</f>
        <v>Charriage présumé perturbé / Geschiebehaushalt vermutlich beeinträchtigt</v>
      </c>
      <c r="AA146" s="880" t="str">
        <f>IF(VLOOKUP(A146,'Charriage - Geschiebehaushalt'!$A$4:$R$275,18,FALSE)="","",VLOOKUP(A146,'Charriage - Geschiebehaushalt'!$A$4:$R$275,18,FALSE))</f>
        <v>b</v>
      </c>
      <c r="AB146" s="737" t="str">
        <f>IF(VLOOKUP(A146,'Charriage - Geschiebehaushalt'!$A$4:$AC$275,19,FALSE)="","",VLOOKUP(A146,'Charriage - Geschiebehaushalt'!$A$4:$AC$275,19,FALSE))</f>
        <v>besond. Verhältnisse</v>
      </c>
      <c r="AC146" s="738">
        <f>IF(VLOOKUP(A146,'Charriage - Geschiebehaushalt'!$A$4:$AC$275,20,FALSE)="","",VLOOKUP(A146,'Charriage - Geschiebehaushalt'!$A$4:$AC$275,20,FALSE))</f>
        <v>0</v>
      </c>
      <c r="AD146" s="764" t="str">
        <f>IF(VLOOKUP(A146,'Charriage - Geschiebehaushalt'!$A$4:$AC$275,21,FALSE)="","",VLOOKUP(A146,'Charriage - Geschiebehaushalt'!$A$4:$AC$275,21,FALSE))</f>
        <v>51-80%</v>
      </c>
      <c r="AE146" s="772" t="str">
        <f>IF(VLOOKUP(A146,'Charriage - Geschiebehaushalt'!$A$4:$AC$275,22,FALSE)="","",VLOOKUP(A146,'Charriage - Geschiebehaushalt'!$A$4:$AC$275,22,FALSE))</f>
        <v>51-80%</v>
      </c>
      <c r="AF146" s="787" t="str">
        <f>IF(VLOOKUP(A146,'Charriage - Geschiebehaushalt'!$A$4:$AC$275,23,FALSE)="","",VLOOKUP(A146,'Charriage - Geschiebehaushalt'!$A$4:$AC$275,23,FALSE))</f>
        <v>d</v>
      </c>
      <c r="AG146" s="765" t="str">
        <f>IF(VLOOKUP(A146,'Charriage - Geschiebehaushalt'!$A$4:$AC$275,24,FALSE)="","",VLOOKUP(A146,'Charriage - Geschiebehaushalt'!$A$4:$AC$275,24,FALSE))</f>
        <v/>
      </c>
      <c r="AH146" s="764" t="str">
        <f>IF(VLOOKUP(A146,'Charriage - Geschiebehaushalt'!$A$4:$AC$275,25,FALSE)="","",VLOOKUP(A146,'Charriage - Geschiebehaushalt'!$A$4:$AC$275,25,FALSE))</f>
        <v/>
      </c>
      <c r="AI146" s="435" t="str">
        <f>IF(VLOOKUP(A146,'Charriage - Geschiebehaushalt'!$A$4:$AC$275,26,FALSE)="","",VLOOKUP(A146,'Charriage - Geschiebehaushalt'!$A$4:$AC$275,26,FALSE))</f>
        <v/>
      </c>
      <c r="AJ146" s="436" t="str">
        <f>IF(VLOOKUP(A146,'Charriage - Geschiebehaushalt'!$A$4:$AC$275,27,FALSE)="","",VLOOKUP(A146,'Charriage - Geschiebehaushalt'!$A$4:$AC$275,27,FALSE))</f>
        <v/>
      </c>
      <c r="AK146" s="814" t="str">
        <f>IF(VLOOKUP(A146,'Charriage - Geschiebehaushalt'!$A$4:$AC$275,28,FALSE)="","",VLOOKUP(A146,'Charriage - Geschiebehaushalt'!$A$4:$AC$275,28,FALSE))</f>
        <v>51-80%</v>
      </c>
      <c r="AL146" s="1285" t="str">
        <f>IF(VLOOKUP(A146,'Charriage - Geschiebehaushalt'!$A$4:$AD$275,30,FALSE)="","",VLOOKUP(A146,'Charriage - Geschiebehaushalt'!$A$4:$AD$275,30,FALSE))</f>
        <v>a</v>
      </c>
      <c r="AM146" s="1279" t="str">
        <f>IF(VLOOKUP(A146,'Débit - Abfluss'!$A$4:$K$275,5,FALSE)="","",VLOOKUP(A146,'Débit - Abfluss'!$A$4:$M$275,5,FALSE))</f>
        <v>21-40%</v>
      </c>
      <c r="AN146" s="868" t="str">
        <f>IF(VLOOKUP(A146,'Débit - Abfluss'!$A$4:$K$275,6,FALSE)="","",VLOOKUP(A146,'Débit - Abfluss'!$A$4:$M$275,6,FALSE))</f>
        <v/>
      </c>
      <c r="AO146" s="869" t="str">
        <f>IF(VLOOKUP(A146,'Débit - Abfluss'!$A$4:$K$275,7,FALSE)="","",VLOOKUP(A146,'Débit - Abfluss'!$A$4:$M$275,7,FALSE))</f>
        <v/>
      </c>
      <c r="AP146" s="792" t="str">
        <f>IF(VLOOKUP(A146,'Débit - Abfluss'!$A$4:$K$275,8,FALSE)="","",VLOOKUP(A146,'Débit - Abfluss'!$A$4:$M$275,8,FALSE))</f>
        <v>21-40%</v>
      </c>
      <c r="AQ146" s="795" t="str">
        <f>IF(VLOOKUP(A146,'Débit - Abfluss'!$A$4:$K$275,9,FALSE)="","",VLOOKUP(A146,'Débit - Abfluss'!$A$4:$M$275,9,FALSE))</f>
        <v>21-40%</v>
      </c>
      <c r="AR146" s="773" t="str">
        <f>IF(VLOOKUP(A146,'Débit - Abfluss'!$A$4:$K$275,10,FALSE)="","",VLOOKUP(A146,'Débit - Abfluss'!$A$4:$M$275,10,FALSE))</f>
        <v>21-40%</v>
      </c>
      <c r="AS146" s="773" t="str">
        <f>IF(VLOOKUP(A146,'Débit - Abfluss'!$A$4:$K$275,11,FALSE)="","",VLOOKUP(A146,'Débit - Abfluss'!$A$4:$M$275,11,FALSE))</f>
        <v>X</v>
      </c>
      <c r="AT146" s="778" t="str">
        <f>IF(VLOOKUP(A146,'Débit - Abfluss'!$A$4:$Q$275,12,FALSE)="","",VLOOKUP(A146,'Débit - Abfluss'!$A$4:$Q$275,12,FALSE))</f>
        <v/>
      </c>
      <c r="AU146" s="779" t="str">
        <f>IF(VLOOKUP(A146,'Débit - Abfluss'!$A$4:$Q$275,13,FALSE)="","",VLOOKUP(A146,'Débit - Abfluss'!$A$4:$Q$275,13,FALSE))</f>
        <v/>
      </c>
      <c r="AV146" s="746" t="str">
        <f>IF(VLOOKUP(A146,'Débit - Abfluss'!$A$4:$Q$275,14,FALSE)="","",VLOOKUP(A146,'Débit - Abfluss'!$A$4:$Q$275,14,FALSE))</f>
        <v>GR-EKW5-1</v>
      </c>
      <c r="AW146" s="768" t="str">
        <f>IF(VLOOKUP(A146,'Débit - Abfluss'!$A$4:$Q$275,15,FALSE)="","",VLOOKUP(A146,'Débit - Abfluss'!$A$4:$Q$275,15,FALSE))</f>
        <v>Martina</v>
      </c>
      <c r="AX146" s="679" t="str">
        <f>IF(VLOOKUP(A146,'Débit - Abfluss'!$A$4:$Q$275,16,FALSE)="","",VLOOKUP(A146,'Débit - Abfluss'!$A$4:$Q$275,16,FALSE))</f>
        <v/>
      </c>
      <c r="AY146" s="775" t="str">
        <f>IF(VLOOKUP(A146,'Débit - Abfluss'!$A$4:$Q$275,17,FALSE)="","",VLOOKUP(A146,'Débit - Abfluss'!$A$4:$Q$275,17,FALSE))</f>
        <v>21-40%</v>
      </c>
      <c r="AZ146" s="749" t="str">
        <f>IF(VLOOKUP(A146,'Eclusée - Schwall-Sunk'!$A$2:$F$273,5,FALSE)="","",VLOOKUP(A146,'Eclusée - Schwall-Sunk'!$A$2:$F$273,5,FALSE))</f>
        <v>force hydraulique</v>
      </c>
      <c r="BA146" s="750" t="str">
        <f>IF(VLOOKUP(A146,'Eclusée - Schwall-Sunk'!$A$2:$F$273,6,FALSE)="","",VLOOKUP(A146,'Eclusée - Schwall-Sunk'!$A$2:$F$273,6,FALSE))</f>
        <v>Non affecté / nicht betroffen</v>
      </c>
      <c r="BB146" s="751">
        <f>IF(VLOOKUP(A146,'Revitalisation-Revitalisierung'!$A$4:$Z$275,5,FALSE)="","",VLOOKUP(A146,'Revitalisation-Revitalisierung'!$A$4:$Z$275,5,FALSE))</f>
        <v>-6.8181818181818183</v>
      </c>
      <c r="BC146" s="752">
        <f>IF(VLOOKUP(A146,'Revitalisation-Revitalisierung'!$A$4:$Z$275,6,FALSE)="","",VLOOKUP(A146,'Revitalisation-Revitalisierung'!$A$4:$Z$275,6,FALSE))</f>
        <v>0</v>
      </c>
      <c r="BD146" s="752">
        <f>IF(VLOOKUP(A146,'Revitalisation-Revitalisierung'!$A$4:$Z$275,7,FALSE)="","",VLOOKUP(A146,'Revitalisation-Revitalisierung'!$A$4:$Z$275,7,FALSE))</f>
        <v>6.8181818181818183</v>
      </c>
      <c r="BE146" s="753" t="str">
        <f>IF(VLOOKUP(A146,'Revitalisation-Revitalisierung'!$A$4:$Z$275,8,FALSE)="","",VLOOKUP(A146,'Revitalisation-Revitalisierung'!$A$4:$Z$275,8,FALSE))</f>
        <v>non nécessaire</v>
      </c>
      <c r="BF146" s="794" t="str">
        <f>IF(VLOOKUP(A146,'Revitalisation-Revitalisierung'!$A$4:$Z$275,9,FALSE)="","",VLOOKUP(A146,'Revitalisation-Revitalisierung'!$A$4:$Z$275,9,FALSE))</f>
        <v/>
      </c>
      <c r="BG146" s="794" t="str">
        <f>IF(VLOOKUP(A146,'Revitalisation-Revitalisierung'!$A$4:$Z$275,10,FALSE)="","",VLOOKUP(A146,'Revitalisation-Revitalisierung'!$A$4:$Z$275,10,FALSE))</f>
        <v>K2</v>
      </c>
      <c r="BH146" s="755" t="str">
        <f>IF(VLOOKUP(A146,'Revitalisation-Revitalisierung'!$A$4:$Z$275,11,FALSE)="","",VLOOKUP(A146,'Revitalisation-Revitalisierung'!$A$4:$Z$275,11,FALSE))</f>
        <v/>
      </c>
      <c r="BI146" s="756" t="str">
        <f>IF(VLOOKUP(A146,'Revitalisation-Revitalisierung'!$A$4:$Z$275,12,FALSE)="","",VLOOKUP(A146,'Revitalisation-Revitalisierung'!$A$4:$Z$275,12,FALSE))</f>
        <v/>
      </c>
      <c r="BJ146" s="788" t="str">
        <f>IF(VLOOKUP(A146,'Revitalisation-Revitalisierung'!$A$4:$Z$275,13,FALSE)="","",VLOOKUP(A146,'Revitalisation-Revitalisierung'!$A$4:$Z$275,13,FALSE))</f>
        <v>Non nécessaire / nicht nötig</v>
      </c>
      <c r="BK146" s="870" t="str">
        <f>IF(VLOOKUP(A146,'Revitalisation-Revitalisierung'!$A$4:$Z$275,14,FALSE)="","",VLOOKUP(A146,'Revitalisation-Revitalisierung'!$A$4:$Z$275,14,FALSE))</f>
        <v>a</v>
      </c>
      <c r="BL146" s="758" t="str">
        <f>IF(VLOOKUP(A146,'Revitalisation-Revitalisierung'!$A$4:$Z$275,15,FALSE)="","",VLOOKUP(A146,'Revitalisation-Revitalisierung'!$A$4:$Z$275,15,FALSE))</f>
        <v>gross</v>
      </c>
      <c r="BM146" s="759" t="str">
        <f>IF(VLOOKUP(A146,'Revitalisation-Revitalisierung'!$A$4:$Z$275,16,FALSE)="","",VLOOKUP(A146,'Revitalisation-Revitalisierung'!$A$4:$Z$275,16,FALSE))</f>
        <v>gross/kein/nicht best.</v>
      </c>
      <c r="BN146" s="759" t="str">
        <f>IF(VLOOKUP(A146,'Revitalisation-Revitalisierung'!$A$4:$Z$275,17,FALSE)="","",VLOOKUP(A146,'Revitalisation-Revitalisierung'!$A$4:$Z$275,17,FALSE))</f>
        <v>hoch/gering</v>
      </c>
      <c r="BO146" s="760" t="str">
        <f>IF(VLOOKUP(A146,'Revitalisation-Revitalisierung'!$A$4:$Z$275,18,FALSE)="","",VLOOKUP(A146,'Revitalisation-Revitalisierung'!$A$4:$Z$275,18,FALSE))</f>
        <v>Partiellement nécessaire, facile / teilweise nötig, einfach</v>
      </c>
      <c r="BP146" s="761" t="str">
        <f>IF(VLOOKUP(A146,'Revitalisation-Revitalisierung'!$A$4:$Z$275,19,FALSE)="","",VLOOKUP(A146,'Revitalisation-Revitalisierung'!$A$4:$Z$275,19,FALSE))</f>
        <v>Partiellement nécessaire, facile / teilweise nötig, einfach</v>
      </c>
      <c r="BQ146" s="759" t="str">
        <f>IF(VLOOKUP(A146,'Revitalisation-Revitalisierung'!$A$4:$Z$275,20,FALSE)="","",VLOOKUP(A146,'Revitalisation-Revitalisierung'!$A$4:$Z$275,20,FALSE))</f>
        <v>c</v>
      </c>
      <c r="BR146" s="759" t="str">
        <f>IF(VLOOKUP(A146,'Revitalisation-Revitalisierung'!$A$4:$Z$275,21,FALSE)="","",VLOOKUP(A146,'Revitalisation-Revitalisierung'!$A$4:$Z$275,21,FALSE))</f>
        <v/>
      </c>
      <c r="BS146" s="762" t="str">
        <f>IF(VLOOKUP(A146,'Revitalisation-Revitalisierung'!$A$4:$Z$275,22,FALSE)="","",VLOOKUP(A146,'Revitalisation-Revitalisierung'!$A$4:$Z$275,22,FALSE))</f>
        <v/>
      </c>
      <c r="BT146" s="700" t="str">
        <f>IF(VLOOKUP(A146,'Revitalisation-Revitalisierung'!$A$4:$Z$275,23,FALSE)="","",VLOOKUP(A146,'Revitalisation-Revitalisierung'!$A$4:$Z$275,23,FALSE))</f>
        <v/>
      </c>
      <c r="BU146" s="699" t="str">
        <f>IF(VLOOKUP(A146,'Revitalisation-Revitalisierung'!$A$4:$Z$275,24,FALSE)="","",VLOOKUP(A146,'Revitalisation-Revitalisierung'!$A$4:$Z$275,24,FALSE))</f>
        <v/>
      </c>
      <c r="BV146" s="761" t="str">
        <f>IF(VLOOKUP(A146,'Revitalisation-Revitalisierung'!$A$4:$Z$275,25,FALSE)="","",VLOOKUP(A146,'Revitalisation-Revitalisierung'!$A$4:$Z$275,25,FALSE))</f>
        <v>Partiellement nécessaire, facile / teilweise nötig, einfach</v>
      </c>
      <c r="BW146" s="871" t="str">
        <f>IF(VLOOKUP(A146,'Revitalisation-Revitalisierung'!$A$4:$AA$275,27,FALSE)="","",VLOOKUP(A146,'Revitalisation-Revitalisierung'!$A$4:$AA$275,27,FALSE))</f>
        <v>a</v>
      </c>
    </row>
    <row r="147" spans="1:75" ht="78" customHeight="1" x14ac:dyDescent="0.25">
      <c r="A147" s="935">
        <v>181</v>
      </c>
      <c r="B147" s="856">
        <f>IF(VLOOKUP(A147,'Données de base - Grunddaten'!$A$2:$M$297,2,FALSE)="","",VLOOKUP(A147,'Données de base - Grunddaten'!$A$2:$M$297,2,FALSE))</f>
        <v>1</v>
      </c>
      <c r="C147" s="857" t="str">
        <f>IF(VLOOKUP(A147,'Données de base - Grunddaten'!$A$2:$M$297,3,FALSE)="","",VLOOKUP(A147,'Données de base - Grunddaten'!$A$2:$M$297,3,FALSE))</f>
        <v>Lischana–Suronnas</v>
      </c>
      <c r="D147" s="857" t="str">
        <f>IF(VLOOKUP(A147,'Données de base - Grunddaten'!$A$2:$M$297,4,FALSE)="","",VLOOKUP(A147,'Données de base - Grunddaten'!$A$2:$M$297,4,FALSE))</f>
        <v>Inn</v>
      </c>
      <c r="E147" s="857" t="str">
        <f>IF(VLOOKUP(A147,'Données de base - Grunddaten'!$A$2:$M$297,5,FALSE)="","",VLOOKUP(A147,'Données de base - Grunddaten'!$A$2:$M$297,5,FALSE))</f>
        <v>GR</v>
      </c>
      <c r="F147" s="857" t="str">
        <f>IF(VLOOKUP(A147,'Données de base - Grunddaten'!$A$2:$M$297,6,FALSE)="","",VLOOKUP(A147,'Données de base - Grunddaten'!$A$2:$M$297,6,FALSE))</f>
        <v>Alpes centrales orientales</v>
      </c>
      <c r="G147" s="857" t="str">
        <f>IF(VLOOKUP(A147,'Données de base - Grunddaten'!$A$2:$M$297,7,FALSE)="","",VLOOKUP(A147,'Données de base - Grunddaten'!$A$2:$M$297,7,FALSE))</f>
        <v>Montagnard sup.</v>
      </c>
      <c r="H147" s="857">
        <f>IF(VLOOKUP(A147,'Données de base - Grunddaten'!$A$2:$M$297,8,FALSE)="","",VLOOKUP(A147,'Données de base - Grunddaten'!$A$2:$M$297,8,FALSE))</f>
        <v>1150</v>
      </c>
      <c r="I147" s="857">
        <f>IF(VLOOKUP(A147,'Données de base - Grunddaten'!$A$2:$M$297,9,FALSE)="","",VLOOKUP(A147,'Données de base - Grunddaten'!$A$2:$M$297,9,FALSE))</f>
        <v>1992</v>
      </c>
      <c r="J147" s="857">
        <f>IF(VLOOKUP(A147,'Données de base - Grunddaten'!$A$2:$M$297,10,FALSE)="","",VLOOKUP(A147,'Données de base - Grunddaten'!$A$2:$M$297,10,FALSE))</f>
        <v>41</v>
      </c>
      <c r="K147" s="857" t="str">
        <f>IF(VLOOKUP(A147,'Données de base - Grunddaten'!$A$2:$M$297,11,FALSE)="","",VLOOKUP(A147,'Données de base - Grunddaten'!$A$2:$M$297,11,FALSE))</f>
        <v>Cours d'eau naturels de l'étage montagnard</v>
      </c>
      <c r="L147" s="857" t="str">
        <f>IF(VLOOKUP(A147,'Données de base - Grunddaten'!$A$2:$M$297,12,FALSE)="","",VLOOKUP(A147,'Données de base - Grunddaten'!$A$2:$M$297,12,FALSE))</f>
        <v>en méandres migrants</v>
      </c>
      <c r="M147" s="858" t="str">
        <f>IF(VLOOKUP(A147,'Données de base - Grunddaten'!$A$2:$M$297,13,FALSE)="","",VLOOKUP(A147,'Données de base - Grunddaten'!$A$2:$M$297,13,FALSE))</f>
        <v>méandres migrants</v>
      </c>
      <c r="N147" s="872" t="str">
        <f>IF(VLOOKUP(A147,'Charriage - Geschiebehaushalt'!$A$4:$R$275,5,FALSE)="","",VLOOKUP(A147,'Charriage - Geschiebehaushalt'!$A$4:$R$275,5,FALSE))</f>
        <v>pertinent</v>
      </c>
      <c r="O147" s="881" t="str">
        <f>IF(VLOOKUP(A147,'Charriage - Geschiebehaushalt'!$A$4:$R$275,6,FALSE)="","",VLOOKUP(A147,'Charriage - Geschiebehaushalt'!$A$4:$R$275,6,FALSE))</f>
        <v>non documenté</v>
      </c>
      <c r="P147" s="874" t="str">
        <f>IF(VLOOKUP(A147,'Charriage - Geschiebehaushalt'!$A$4:$R$275,7,FALSE)="","",VLOOKUP(A147,'Charriage - Geschiebehaushalt'!$A$4:$R$275,7,FALSE))</f>
        <v/>
      </c>
      <c r="Q147" s="874" t="str">
        <f>IF(VLOOKUP(A147,'Charriage - Geschiebehaushalt'!$A$4:$R$275,8,FALSE)="","",VLOOKUP(A147,'Charriage - Geschiebehaushalt'!$A$4:$R$275,8,FALSE))</f>
        <v>non documenté</v>
      </c>
      <c r="R147" s="875">
        <f>IF(VLOOKUP(A147,'Charriage - Geschiebehaushalt'!$A$4:$R$275,9,FALSE)="","",VLOOKUP(A147,'Charriage - Geschiebehaushalt'!$A$4:$R$275,9,FALSE))</f>
        <v>0</v>
      </c>
      <c r="S147" s="876" t="str">
        <f>IF(VLOOKUP(A147,'Charriage - Geschiebehaushalt'!$A$4:$R$275,10,FALSE)="","",VLOOKUP(A147,'Charriage - Geschiebehaushalt'!$A$4:$R$275,10,FALSE))</f>
        <v>pas ou faiblement entravé</v>
      </c>
      <c r="T147" s="875">
        <f>IF(VLOOKUP(A147,'Charriage - Geschiebehaushalt'!$A$4:$R$275,11,FALSE)="","",VLOOKUP(A147,'Charriage - Geschiebehaushalt'!$A$4:$R$275,11,FALSE))</f>
        <v>0.30049135943999999</v>
      </c>
      <c r="U147" s="876" t="str">
        <f>IF(VLOOKUP(A147,'Charriage - Geschiebehaushalt'!$A$4:$R$275,12,FALSE)="","",VLOOKUP(A147,'Charriage - Geschiebehaushalt'!$A$4:$R$275,12,FALSE))</f>
        <v>déficit dans les formations pionnières</v>
      </c>
      <c r="V147" s="877" t="str">
        <f>IF(VLOOKUP(A147,'Charriage - Geschiebehaushalt'!$A$4:$R$275,13,FALSE)="","",VLOOKUP(A147,'Charriage - Geschiebehaushalt'!$A$4:$R$275,13,FALSE))</f>
        <v>Pas de barrage visible en amont, usine hydroélectrique juste en aval</v>
      </c>
      <c r="W147" s="877" t="str">
        <f>IF(VLOOKUP(A147,'Charriage - Geschiebehaushalt'!$A$4:$R$275,14,FALSE)="","",VLOOKUP(A147,'Charriage - Geschiebehaushalt'!$A$4:$R$275,14,FALSE))</f>
        <v>A vérifier</v>
      </c>
      <c r="X147" s="877" t="str">
        <f>IF(VLOOKUP(A147,'Charriage - Geschiebehaushalt'!$A$4:$R$275,15,FALSE)="","",VLOOKUP(A147,'Charriage - Geschiebehaushalt'!$A$4:$R$275,15,FALSE))</f>
        <v>2 barrages en amont à plus de 10 km</v>
      </c>
      <c r="Y147" s="882" t="str">
        <f>IF(VLOOKUP(A147,'Charriage - Geschiebehaushalt'!$A$4:$R$275,16,FALSE)="","",VLOOKUP(A147,'Charriage - Geschiebehaushalt'!$A$4:$R$275,16,FALSE))</f>
        <v>charriage présumé faiblement perturbé</v>
      </c>
      <c r="Z147" s="763" t="str">
        <f>IF(VLOOKUP(A147,'Charriage - Geschiebehaushalt'!$A$4:$R$275,17,FALSE)="","",VLOOKUP(A147,'Charriage - Geschiebehaushalt'!$A$4:$R$275,17,FALSE))</f>
        <v>Charriage présumé faiblement perturbé / Geschiebe vermutlich leicht beeinträchtigt</v>
      </c>
      <c r="AA147" s="880" t="str">
        <f>IF(VLOOKUP(A147,'Charriage - Geschiebehaushalt'!$A$4:$R$275,18,FALSE)="","",VLOOKUP(A147,'Charriage - Geschiebehaushalt'!$A$4:$R$275,18,FALSE))</f>
        <v>b</v>
      </c>
      <c r="AB147" s="737" t="str">
        <f>IF(VLOOKUP(A147,'Charriage - Geschiebehaushalt'!$A$4:$AC$275,19,FALSE)="","",VLOOKUP(A147,'Charriage - Geschiebehaushalt'!$A$4:$AC$275,19,FALSE))</f>
        <v>vernachlässigbar</v>
      </c>
      <c r="AC147" s="738">
        <f>IF(VLOOKUP(A147,'Charriage - Geschiebehaushalt'!$A$4:$AC$275,20,FALSE)="","",VLOOKUP(A147,'Charriage - Geschiebehaushalt'!$A$4:$AC$275,20,FALSE))</f>
        <v>0</v>
      </c>
      <c r="AD147" s="764" t="str">
        <f>IF(VLOOKUP(A147,'Charriage - Geschiebehaushalt'!$A$4:$AC$275,21,FALSE)="","",VLOOKUP(A147,'Charriage - Geschiebehaushalt'!$A$4:$AC$275,21,FALSE))</f>
        <v>21-50%</v>
      </c>
      <c r="AE147" s="772" t="str">
        <f>IF(VLOOKUP(A147,'Charriage - Geschiebehaushalt'!$A$4:$AC$275,22,FALSE)="","",VLOOKUP(A147,'Charriage - Geschiebehaushalt'!$A$4:$AC$275,22,FALSE))</f>
        <v>21-50%</v>
      </c>
      <c r="AF147" s="787" t="str">
        <f>IF(VLOOKUP(A147,'Charriage - Geschiebehaushalt'!$A$4:$AC$275,23,FALSE)="","",VLOOKUP(A147,'Charriage - Geschiebehaushalt'!$A$4:$AC$275,23,FALSE))</f>
        <v>d</v>
      </c>
      <c r="AG147" s="765" t="str">
        <f>IF(VLOOKUP(A147,'Charriage - Geschiebehaushalt'!$A$4:$AC$275,24,FALSE)="","",VLOOKUP(A147,'Charriage - Geschiebehaushalt'!$A$4:$AC$275,24,FALSE))</f>
        <v/>
      </c>
      <c r="AH147" s="764" t="str">
        <f>IF(VLOOKUP(A147,'Charriage - Geschiebehaushalt'!$A$4:$AC$275,25,FALSE)="","",VLOOKUP(A147,'Charriage - Geschiebehaushalt'!$A$4:$AC$275,25,FALSE))</f>
        <v/>
      </c>
      <c r="AI147" s="438" t="str">
        <f>IF(VLOOKUP(A147,'Charriage - Geschiebehaushalt'!$A$4:$AC$275,26,FALSE)="","",VLOOKUP(A147,'Charriage - Geschiebehaushalt'!$A$4:$AC$275,26,FALSE))</f>
        <v/>
      </c>
      <c r="AJ147" s="436" t="str">
        <f>IF(VLOOKUP(A147,'Charriage - Geschiebehaushalt'!$A$4:$AC$275,27,FALSE)="","",VLOOKUP(A147,'Charriage - Geschiebehaushalt'!$A$4:$AC$275,27,FALSE))</f>
        <v/>
      </c>
      <c r="AK147" s="814" t="str">
        <f>IF(VLOOKUP(A147,'Charriage - Geschiebehaushalt'!$A$4:$AC$275,28,FALSE)="","",VLOOKUP(A147,'Charriage - Geschiebehaushalt'!$A$4:$AC$275,28,FALSE))</f>
        <v>21-50%</v>
      </c>
      <c r="AL147" s="1285" t="str">
        <f>IF(VLOOKUP(A147,'Charriage - Geschiebehaushalt'!$A$4:$AD$275,30,FALSE)="","",VLOOKUP(A147,'Charriage - Geschiebehaushalt'!$A$4:$AD$275,30,FALSE))</f>
        <v>a</v>
      </c>
      <c r="AM147" s="1279" t="str">
        <f>IF(VLOOKUP(A147,'Débit - Abfluss'!$A$4:$K$275,5,FALSE)="","",VLOOKUP(A147,'Débit - Abfluss'!$A$4:$M$275,5,FALSE))</f>
        <v>21-40%</v>
      </c>
      <c r="AN147" s="868" t="str">
        <f>IF(VLOOKUP(A147,'Débit - Abfluss'!$A$4:$K$275,6,FALSE)="","",VLOOKUP(A147,'Débit - Abfluss'!$A$4:$M$275,6,FALSE))</f>
        <v/>
      </c>
      <c r="AO147" s="869" t="str">
        <f>IF(VLOOKUP(A147,'Débit - Abfluss'!$A$4:$K$275,7,FALSE)="","",VLOOKUP(A147,'Débit - Abfluss'!$A$4:$M$275,7,FALSE))</f>
        <v/>
      </c>
      <c r="AP147" s="792" t="str">
        <f>IF(VLOOKUP(A147,'Débit - Abfluss'!$A$4:$K$275,8,FALSE)="","",VLOOKUP(A147,'Débit - Abfluss'!$A$4:$M$275,8,FALSE))</f>
        <v>21-40%</v>
      </c>
      <c r="AQ147" s="796" t="str">
        <f>IF(VLOOKUP(A147,'Débit - Abfluss'!$A$4:$K$275,9,FALSE)="","",VLOOKUP(A147,'Débit - Abfluss'!$A$4:$M$275,9,FALSE))</f>
        <v>21-40%</v>
      </c>
      <c r="AR147" s="773" t="str">
        <f>IF(VLOOKUP(A147,'Débit - Abfluss'!$A$4:$K$275,10,FALSE)="","",VLOOKUP(A147,'Débit - Abfluss'!$A$4:$M$275,10,FALSE))</f>
        <v>21-40%</v>
      </c>
      <c r="AS147" s="773" t="str">
        <f>IF(VLOOKUP(A147,'Débit - Abfluss'!$A$4:$K$275,11,FALSE)="","",VLOOKUP(A147,'Débit - Abfluss'!$A$4:$M$275,11,FALSE))</f>
        <v>X</v>
      </c>
      <c r="AT147" s="778" t="str">
        <f>IF(VLOOKUP(A147,'Débit - Abfluss'!$A$4:$Q$275,12,FALSE)="","",VLOOKUP(A147,'Débit - Abfluss'!$A$4:$Q$275,12,FALSE))</f>
        <v/>
      </c>
      <c r="AU147" s="779" t="str">
        <f>IF(VLOOKUP(A147,'Débit - Abfluss'!$A$4:$Q$275,13,FALSE)="","",VLOOKUP(A147,'Débit - Abfluss'!$A$4:$Q$275,13,FALSE))</f>
        <v/>
      </c>
      <c r="AV147" s="746" t="str">
        <f>IF(VLOOKUP(A147,'Débit - Abfluss'!$A$4:$Q$275,14,FALSE)="","",VLOOKUP(A147,'Débit - Abfluss'!$A$4:$Q$275,14,FALSE))</f>
        <v/>
      </c>
      <c r="AW147" s="768" t="str">
        <f>IF(VLOOKUP(A147,'Débit - Abfluss'!$A$4:$Q$275,15,FALSE)="","",VLOOKUP(A147,'Débit - Abfluss'!$A$4:$Q$275,15,FALSE))</f>
        <v/>
      </c>
      <c r="AX147" s="679" t="str">
        <f>IF(VLOOKUP(A147,'Débit - Abfluss'!$A$4:$Q$275,16,FALSE)="","",VLOOKUP(A147,'Débit - Abfluss'!$A$4:$Q$275,16,FALSE))</f>
        <v/>
      </c>
      <c r="AY147" s="775" t="str">
        <f>IF(VLOOKUP(A147,'Débit - Abfluss'!$A$4:$Q$275,17,FALSE)="","",VLOOKUP(A147,'Débit - Abfluss'!$A$4:$Q$275,17,FALSE))</f>
        <v>21-40%</v>
      </c>
      <c r="AZ147" s="749" t="str">
        <f>IF(VLOOKUP(A147,'Eclusée - Schwall-Sunk'!$A$2:$F$273,5,FALSE)="","",VLOOKUP(A147,'Eclusée - Schwall-Sunk'!$A$2:$F$273,5,FALSE))</f>
        <v>force hydraulique</v>
      </c>
      <c r="BA147" s="750" t="str">
        <f>IF(VLOOKUP(A147,'Eclusée - Schwall-Sunk'!$A$2:$F$273,6,FALSE)="","",VLOOKUP(A147,'Eclusée - Schwall-Sunk'!$A$2:$F$273,6,FALSE))</f>
        <v>Non affecté / nicht betroffen</v>
      </c>
      <c r="BB147" s="751">
        <f>IF(VLOOKUP(A147,'Revitalisation-Revitalisierung'!$A$4:$Z$275,5,FALSE)="","",VLOOKUP(A147,'Revitalisation-Revitalisierung'!$A$4:$Z$275,5,FALSE))</f>
        <v>0</v>
      </c>
      <c r="BC147" s="752">
        <f>IF(VLOOKUP(A147,'Revitalisation-Revitalisierung'!$A$4:$Z$275,6,FALSE)="","",VLOOKUP(A147,'Revitalisation-Revitalisierung'!$A$4:$Z$275,6,FALSE))</f>
        <v>0</v>
      </c>
      <c r="BD147" s="752">
        <f>IF(VLOOKUP(A147,'Revitalisation-Revitalisierung'!$A$4:$Z$275,7,FALSE)="","",VLOOKUP(A147,'Revitalisation-Revitalisierung'!$A$4:$Z$275,7,FALSE))</f>
        <v>0</v>
      </c>
      <c r="BE147" s="753" t="str">
        <f>IF(VLOOKUP(A147,'Revitalisation-Revitalisierung'!$A$4:$Z$275,8,FALSE)="","",VLOOKUP(A147,'Revitalisation-Revitalisierung'!$A$4:$Z$275,8,FALSE))</f>
        <v>non nécessaire</v>
      </c>
      <c r="BF147" s="754" t="str">
        <f>IF(VLOOKUP(A147,'Revitalisation-Revitalisierung'!$A$4:$Z$275,9,FALSE)="","",VLOOKUP(A147,'Revitalisation-Revitalisierung'!$A$4:$Z$275,9,FALSE))</f>
        <v/>
      </c>
      <c r="BG147" s="754" t="str">
        <f>IF(VLOOKUP(A147,'Revitalisation-Revitalisierung'!$A$4:$Z$275,10,FALSE)="","",VLOOKUP(A147,'Revitalisation-Revitalisierung'!$A$4:$Z$275,10,FALSE))</f>
        <v>K2</v>
      </c>
      <c r="BH147" s="755" t="str">
        <f>IF(VLOOKUP(A147,'Revitalisation-Revitalisierung'!$A$4:$Z$275,11,FALSE)="","",VLOOKUP(A147,'Revitalisation-Revitalisierung'!$A$4:$Z$275,11,FALSE))</f>
        <v/>
      </c>
      <c r="BI147" s="756" t="str">
        <f>IF(VLOOKUP(A147,'Revitalisation-Revitalisierung'!$A$4:$Z$275,12,FALSE)="","",VLOOKUP(A147,'Revitalisation-Revitalisierung'!$A$4:$Z$275,12,FALSE))</f>
        <v/>
      </c>
      <c r="BJ147" s="788" t="str">
        <f>IF(VLOOKUP(A147,'Revitalisation-Revitalisierung'!$A$4:$Z$275,13,FALSE)="","",VLOOKUP(A147,'Revitalisation-Revitalisierung'!$A$4:$Z$275,13,FALSE))</f>
        <v>Non nécessaire / nicht nötig</v>
      </c>
      <c r="BK147" s="870" t="str">
        <f>IF(VLOOKUP(A147,'Revitalisation-Revitalisierung'!$A$4:$Z$275,14,FALSE)="","",VLOOKUP(A147,'Revitalisation-Revitalisierung'!$A$4:$Z$275,14,FALSE))</f>
        <v>a</v>
      </c>
      <c r="BL147" s="758" t="str">
        <f>IF(VLOOKUP(A147,'Revitalisation-Revitalisierung'!$A$4:$Z$275,15,FALSE)="","",VLOOKUP(A147,'Revitalisation-Revitalisierung'!$A$4:$Z$275,15,FALSE))</f>
        <v>gross</v>
      </c>
      <c r="BM147" s="759" t="str">
        <f>IF(VLOOKUP(A147,'Revitalisation-Revitalisierung'!$A$4:$Z$275,16,FALSE)="","",VLOOKUP(A147,'Revitalisation-Revitalisierung'!$A$4:$Z$275,16,FALSE))</f>
        <v>kein/nicht best.</v>
      </c>
      <c r="BN147" s="759" t="str">
        <f>IF(VLOOKUP(A147,'Revitalisation-Revitalisierung'!$A$4:$Z$275,17,FALSE)="","",VLOOKUP(A147,'Revitalisation-Revitalisierung'!$A$4:$Z$275,17,FALSE))</f>
        <v>gering</v>
      </c>
      <c r="BO147" s="760" t="str">
        <f>IF(VLOOKUP(A147,'Revitalisation-Revitalisierung'!$A$4:$Z$275,18,FALSE)="","",VLOOKUP(A147,'Revitalisation-Revitalisierung'!$A$4:$Z$275,18,FALSE))</f>
        <v>Non nécessaire / nicht nötig</v>
      </c>
      <c r="BP147" s="761" t="str">
        <f>IF(VLOOKUP(A147,'Revitalisation-Revitalisierung'!$A$4:$Z$275,19,FALSE)="","",VLOOKUP(A147,'Revitalisation-Revitalisierung'!$A$4:$Z$275,19,FALSE))</f>
        <v>Non nécessaire / nicht nötig</v>
      </c>
      <c r="BQ147" s="759" t="str">
        <f>IF(VLOOKUP(A147,'Revitalisation-Revitalisierung'!$A$4:$Z$275,20,FALSE)="","",VLOOKUP(A147,'Revitalisation-Revitalisierung'!$A$4:$Z$275,20,FALSE))</f>
        <v>d</v>
      </c>
      <c r="BR147" s="759" t="str">
        <f>IF(VLOOKUP(A147,'Revitalisation-Revitalisierung'!$A$4:$Z$275,21,FALSE)="","",VLOOKUP(A147,'Revitalisation-Revitalisierung'!$A$4:$Z$275,21,FALSE))</f>
        <v/>
      </c>
      <c r="BS147" s="762" t="str">
        <f>IF(VLOOKUP(A147,'Revitalisation-Revitalisierung'!$A$4:$Z$275,22,FALSE)="","",VLOOKUP(A147,'Revitalisation-Revitalisierung'!$A$4:$Z$275,22,FALSE))</f>
        <v/>
      </c>
      <c r="BT147" s="761" t="str">
        <f>IF(VLOOKUP(A147,'Revitalisation-Revitalisierung'!$A$4:$Z$275,23,FALSE)="","",VLOOKUP(A147,'Revitalisation-Revitalisierung'!$A$4:$Z$275,23,FALSE))</f>
        <v/>
      </c>
      <c r="BU147" s="704" t="str">
        <f>IF(VLOOKUP(A147,'Revitalisation-Revitalisierung'!$A$4:$Z$275,24,FALSE)="","",VLOOKUP(A147,'Revitalisation-Revitalisierung'!$A$4:$Z$275,24,FALSE))</f>
        <v/>
      </c>
      <c r="BV147" s="761" t="str">
        <f>IF(VLOOKUP(A147,'Revitalisation-Revitalisierung'!$A$4:$Z$275,25,FALSE)="","",VLOOKUP(A147,'Revitalisation-Revitalisierung'!$A$4:$Z$275,25,FALSE))</f>
        <v>Non nécessaire / nicht nötig</v>
      </c>
      <c r="BW147" s="871" t="str">
        <f>IF(VLOOKUP(A147,'Revitalisation-Revitalisierung'!$A$4:$AA$275,27,FALSE)="","",VLOOKUP(A147,'Revitalisation-Revitalisierung'!$A$4:$AA$275,27,FALSE))</f>
        <v>a</v>
      </c>
    </row>
    <row r="148" spans="1:75" ht="91.9" customHeight="1" x14ac:dyDescent="0.25">
      <c r="A148" s="935">
        <v>185</v>
      </c>
      <c r="B148" s="856">
        <f>IF(VLOOKUP(A148,'Données de base - Grunddaten'!$A$2:$M$297,2,FALSE)="","",VLOOKUP(A148,'Données de base - Grunddaten'!$A$2:$M$297,2,FALSE))</f>
        <v>1</v>
      </c>
      <c r="C148" s="857" t="str">
        <f>IF(VLOOKUP(A148,'Données de base - Grunddaten'!$A$2:$M$297,3,FALSE)="","",VLOOKUP(A148,'Données de base - Grunddaten'!$A$2:$M$297,3,FALSE))</f>
        <v>Sotruinas</v>
      </c>
      <c r="D148" s="857" t="str">
        <f>IF(VLOOKUP(A148,'Données de base - Grunddaten'!$A$2:$M$297,4,FALSE)="","",VLOOKUP(A148,'Données de base - Grunddaten'!$A$2:$M$297,4,FALSE))</f>
        <v>Inn</v>
      </c>
      <c r="E148" s="857" t="str">
        <f>IF(VLOOKUP(A148,'Données de base - Grunddaten'!$A$2:$M$297,5,FALSE)="","",VLOOKUP(A148,'Données de base - Grunddaten'!$A$2:$M$297,5,FALSE))</f>
        <v>GR</v>
      </c>
      <c r="F148" s="857" t="str">
        <f>IF(VLOOKUP(A148,'Données de base - Grunddaten'!$A$2:$M$297,6,FALSE)="","",VLOOKUP(A148,'Données de base - Grunddaten'!$A$2:$M$297,6,FALSE))</f>
        <v>Alpes centrales orientales</v>
      </c>
      <c r="G148" s="857" t="str">
        <f>IF(VLOOKUP(A148,'Données de base - Grunddaten'!$A$2:$M$297,7,FALSE)="","",VLOOKUP(A148,'Données de base - Grunddaten'!$A$2:$M$297,7,FALSE))</f>
        <v>Subalpin inf.</v>
      </c>
      <c r="H148" s="857">
        <f>IF(VLOOKUP(A148,'Données de base - Grunddaten'!$A$2:$M$297,8,FALSE)="","",VLOOKUP(A148,'Données de base - Grunddaten'!$A$2:$M$297,8,FALSE))</f>
        <v>1420</v>
      </c>
      <c r="I148" s="857">
        <f>IF(VLOOKUP(A148,'Données de base - Grunddaten'!$A$2:$M$297,9,FALSE)="","",VLOOKUP(A148,'Données de base - Grunddaten'!$A$2:$M$297,9,FALSE))</f>
        <v>1992</v>
      </c>
      <c r="J148" s="857">
        <f>IF(VLOOKUP(A148,'Données de base - Grunddaten'!$A$2:$M$297,10,FALSE)="","",VLOOKUP(A148,'Données de base - Grunddaten'!$A$2:$M$297,10,FALSE))</f>
        <v>41</v>
      </c>
      <c r="K148" s="857" t="str">
        <f>IF(VLOOKUP(A148,'Données de base - Grunddaten'!$A$2:$M$297,11,FALSE)="","",VLOOKUP(A148,'Données de base - Grunddaten'!$A$2:$M$297,11,FALSE))</f>
        <v>Cours d'eau naturels de l'étage montagnard</v>
      </c>
      <c r="L148" s="857" t="str">
        <f>IF(VLOOKUP(A148,'Données de base - Grunddaten'!$A$2:$M$297,12,FALSE)="","",VLOOKUP(A148,'Données de base - Grunddaten'!$A$2:$M$297,12,FALSE))</f>
        <v>en méandres migrants</v>
      </c>
      <c r="M148" s="858" t="str">
        <f>IF(VLOOKUP(A148,'Données de base - Grunddaten'!$A$2:$M$297,13,FALSE)="","",VLOOKUP(A148,'Données de base - Grunddaten'!$A$2:$M$297,13,FALSE))</f>
        <v>en méandres migrants</v>
      </c>
      <c r="N148" s="872" t="str">
        <f>IF(VLOOKUP(A148,'Charriage - Geschiebehaushalt'!$A$4:$R$275,5,FALSE)="","",VLOOKUP(A148,'Charriage - Geschiebehaushalt'!$A$4:$R$275,5,FALSE))</f>
        <v>pertinent</v>
      </c>
      <c r="O148" s="881" t="str">
        <f>IF(VLOOKUP(A148,'Charriage - Geschiebehaushalt'!$A$4:$R$275,6,FALSE)="","",VLOOKUP(A148,'Charriage - Geschiebehaushalt'!$A$4:$R$275,6,FALSE))</f>
        <v>non documenté</v>
      </c>
      <c r="P148" s="874" t="str">
        <f>IF(VLOOKUP(A148,'Charriage - Geschiebehaushalt'!$A$4:$R$275,7,FALSE)="","",VLOOKUP(A148,'Charriage - Geschiebehaushalt'!$A$4:$R$275,7,FALSE))</f>
        <v/>
      </c>
      <c r="Q148" s="874" t="str">
        <f>IF(VLOOKUP(A148,'Charriage - Geschiebehaushalt'!$A$4:$R$275,8,FALSE)="","",VLOOKUP(A148,'Charriage - Geschiebehaushalt'!$A$4:$R$275,8,FALSE))</f>
        <v>non documenté</v>
      </c>
      <c r="R148" s="875">
        <f>IF(VLOOKUP(A148,'Charriage - Geschiebehaushalt'!$A$4:$R$275,9,FALSE)="","",VLOOKUP(A148,'Charriage - Geschiebehaushalt'!$A$4:$R$275,9,FALSE))</f>
        <v>4.6635908145902197E-2</v>
      </c>
      <c r="S148" s="876" t="str">
        <f>IF(VLOOKUP(A148,'Charriage - Geschiebehaushalt'!$A$4:$R$275,10,FALSE)="","",VLOOKUP(A148,'Charriage - Geschiebehaushalt'!$A$4:$R$275,10,FALSE))</f>
        <v>pas ou faiblement entravé</v>
      </c>
      <c r="T148" s="875">
        <f>IF(VLOOKUP(A148,'Charriage - Geschiebehaushalt'!$A$4:$R$275,11,FALSE)="","",VLOOKUP(A148,'Charriage - Geschiebehaushalt'!$A$4:$R$275,11,FALSE))</f>
        <v>0.26760749190999999</v>
      </c>
      <c r="U148" s="876" t="str">
        <f>IF(VLOOKUP(A148,'Charriage - Geschiebehaushalt'!$A$4:$R$275,12,FALSE)="","",VLOOKUP(A148,'Charriage - Geschiebehaushalt'!$A$4:$R$275,12,FALSE))</f>
        <v>déficit dans les formations pionnières</v>
      </c>
      <c r="V148" s="877" t="str">
        <f>IF(VLOOKUP(A148,'Charriage - Geschiebehaushalt'!$A$4:$R$275,13,FALSE)="","",VLOOKUP(A148,'Charriage - Geschiebehaushalt'!$A$4:$R$275,13,FALSE))</f>
        <v>Pas de barrage visible en amont, mais extractions en Haute Engadine</v>
      </c>
      <c r="W148" s="877" t="str">
        <f>IF(VLOOKUP(A148,'Charriage - Geschiebehaushalt'!$A$4:$R$275,14,FALSE)="","",VLOOKUP(A148,'Charriage - Geschiebehaushalt'!$A$4:$R$275,14,FALSE))</f>
        <v>A vérifier</v>
      </c>
      <c r="X148" s="877" t="str">
        <f>IF(VLOOKUP(A148,'Charriage - Geschiebehaushalt'!$A$4:$R$275,15,FALSE)="","",VLOOKUP(A148,'Charriage - Geschiebehaushalt'!$A$4:$R$275,15,FALSE))</f>
        <v>2 barrages en amont à plus de 10 km</v>
      </c>
      <c r="Y148" s="882" t="str">
        <f>IF(VLOOKUP(A148,'Charriage - Geschiebehaushalt'!$A$4:$R$275,16,FALSE)="","",VLOOKUP(A148,'Charriage - Geschiebehaushalt'!$A$4:$R$275,16,FALSE))</f>
        <v>charriage présumé faiblement perturbé</v>
      </c>
      <c r="Z148" s="763" t="str">
        <f>IF(VLOOKUP(A148,'Charriage - Geschiebehaushalt'!$A$4:$R$275,17,FALSE)="","",VLOOKUP(A148,'Charriage - Geschiebehaushalt'!$A$4:$R$275,17,FALSE))</f>
        <v>Charriage présumé faiblement perturbé / Geschiebe vermutlich leicht beeinträchtigt</v>
      </c>
      <c r="AA148" s="880" t="str">
        <f>IF(VLOOKUP(A148,'Charriage - Geschiebehaushalt'!$A$4:$R$275,18,FALSE)="","",VLOOKUP(A148,'Charriage - Geschiebehaushalt'!$A$4:$R$275,18,FALSE))</f>
        <v>b</v>
      </c>
      <c r="AB148" s="737" t="str">
        <f>IF(VLOOKUP(A148,'Charriage - Geschiebehaushalt'!$A$4:$AC$275,19,FALSE)="","",VLOOKUP(A148,'Charriage - Geschiebehaushalt'!$A$4:$AC$275,19,FALSE))</f>
        <v>vernachlässigbar</v>
      </c>
      <c r="AC148" s="738">
        <f>IF(VLOOKUP(A148,'Charriage - Geschiebehaushalt'!$A$4:$AC$275,20,FALSE)="","",VLOOKUP(A148,'Charriage - Geschiebehaushalt'!$A$4:$AC$275,20,FALSE))</f>
        <v>0</v>
      </c>
      <c r="AD148" s="764" t="str">
        <f>IF(VLOOKUP(A148,'Charriage - Geschiebehaushalt'!$A$4:$AC$275,21,FALSE)="","",VLOOKUP(A148,'Charriage - Geschiebehaushalt'!$A$4:$AC$275,21,FALSE))</f>
        <v>21-50%</v>
      </c>
      <c r="AE148" s="772" t="str">
        <f>IF(VLOOKUP(A148,'Charriage - Geschiebehaushalt'!$A$4:$AC$275,22,FALSE)="","",VLOOKUP(A148,'Charriage - Geschiebehaushalt'!$A$4:$AC$275,22,FALSE))</f>
        <v>21-50%</v>
      </c>
      <c r="AF148" s="787" t="str">
        <f>IF(VLOOKUP(A148,'Charriage - Geschiebehaushalt'!$A$4:$AC$275,23,FALSE)="","",VLOOKUP(A148,'Charriage - Geschiebehaushalt'!$A$4:$AC$275,23,FALSE))</f>
        <v>d</v>
      </c>
      <c r="AG148" s="765" t="str">
        <f>IF(VLOOKUP(A148,'Charriage - Geschiebehaushalt'!$A$4:$AC$275,24,FALSE)="","",VLOOKUP(A148,'Charriage - Geschiebehaushalt'!$A$4:$AC$275,24,FALSE))</f>
        <v/>
      </c>
      <c r="AH148" s="764" t="str">
        <f>IF(VLOOKUP(A148,'Charriage - Geschiebehaushalt'!$A$4:$AC$275,25,FALSE)="","",VLOOKUP(A148,'Charriage - Geschiebehaushalt'!$A$4:$AC$275,25,FALSE))</f>
        <v/>
      </c>
      <c r="AI148" s="438" t="str">
        <f>IF(VLOOKUP(A148,'Charriage - Geschiebehaushalt'!$A$4:$AC$275,26,FALSE)="","",VLOOKUP(A148,'Charriage - Geschiebehaushalt'!$A$4:$AC$275,26,FALSE))</f>
        <v/>
      </c>
      <c r="AJ148" s="436" t="str">
        <f>IF(VLOOKUP(A148,'Charriage - Geschiebehaushalt'!$A$4:$AC$275,27,FALSE)="","",VLOOKUP(A148,'Charriage - Geschiebehaushalt'!$A$4:$AC$275,27,FALSE))</f>
        <v/>
      </c>
      <c r="AK148" s="814" t="str">
        <f>IF(VLOOKUP(A148,'Charriage - Geschiebehaushalt'!$A$4:$AC$275,28,FALSE)="","",VLOOKUP(A148,'Charriage - Geschiebehaushalt'!$A$4:$AC$275,28,FALSE))</f>
        <v>21-50%</v>
      </c>
      <c r="AL148" s="1285" t="str">
        <f>IF(VLOOKUP(A148,'Charriage - Geschiebehaushalt'!$A$4:$AD$275,30,FALSE)="","",VLOOKUP(A148,'Charriage - Geschiebehaushalt'!$A$4:$AD$275,30,FALSE))</f>
        <v>a</v>
      </c>
      <c r="AM148" s="1279" t="str">
        <f>IF(VLOOKUP(A148,'Débit - Abfluss'!$A$4:$K$275,5,FALSE)="","",VLOOKUP(A148,'Débit - Abfluss'!$A$4:$M$275,5,FALSE))</f>
        <v>21-40%</v>
      </c>
      <c r="AN148" s="868" t="str">
        <f>IF(VLOOKUP(A148,'Débit - Abfluss'!$A$4:$K$275,6,FALSE)="","",VLOOKUP(A148,'Débit - Abfluss'!$A$4:$M$275,6,FALSE))</f>
        <v/>
      </c>
      <c r="AO148" s="869" t="str">
        <f>IF(VLOOKUP(A148,'Débit - Abfluss'!$A$4:$K$275,7,FALSE)="","",VLOOKUP(A148,'Débit - Abfluss'!$A$4:$M$275,7,FALSE))</f>
        <v/>
      </c>
      <c r="AP148" s="792" t="str">
        <f>IF(VLOOKUP(A148,'Débit - Abfluss'!$A$4:$K$275,8,FALSE)="","",VLOOKUP(A148,'Débit - Abfluss'!$A$4:$M$275,8,FALSE))</f>
        <v>21-40%</v>
      </c>
      <c r="AQ148" s="795" t="str">
        <f>IF(VLOOKUP(A148,'Débit - Abfluss'!$A$4:$K$275,9,FALSE)="","",VLOOKUP(A148,'Débit - Abfluss'!$A$4:$M$275,9,FALSE))</f>
        <v>21-40%</v>
      </c>
      <c r="AR148" s="797" t="str">
        <f>IF(VLOOKUP(A148,'Débit - Abfluss'!$A$4:$K$275,10,FALSE)="","",VLOOKUP(A148,'Débit - Abfluss'!$A$4:$M$275,10,FALSE))</f>
        <v>21-40%</v>
      </c>
      <c r="AS148" s="773" t="str">
        <f>IF(VLOOKUP(A148,'Débit - Abfluss'!$A$4:$K$275,11,FALSE)="","",VLOOKUP(A148,'Débit - Abfluss'!$A$4:$M$275,11,FALSE))</f>
        <v>X</v>
      </c>
      <c r="AT148" s="778" t="str">
        <f>IF(VLOOKUP(A148,'Débit - Abfluss'!$A$4:$Q$275,12,FALSE)="","",VLOOKUP(A148,'Débit - Abfluss'!$A$4:$Q$275,12,FALSE))</f>
        <v/>
      </c>
      <c r="AU148" s="779" t="str">
        <f>IF(VLOOKUP(A148,'Débit - Abfluss'!$A$4:$Q$275,13,FALSE)="","",VLOOKUP(A148,'Débit - Abfluss'!$A$4:$Q$275,13,FALSE))</f>
        <v/>
      </c>
      <c r="AV148" s="746" t="str">
        <f>IF(VLOOKUP(A148,'Débit - Abfluss'!$A$4:$Q$275,14,FALSE)="","",VLOOKUP(A148,'Débit - Abfluss'!$A$4:$Q$275,14,FALSE))</f>
        <v>GR-EKW4-2</v>
      </c>
      <c r="AW148" s="768" t="str">
        <f>IF(VLOOKUP(A148,'Débit - Abfluss'!$A$4:$Q$275,15,FALSE)="","",VLOOKUP(A148,'Débit - Abfluss'!$A$4:$Q$275,15,FALSE))</f>
        <v>Pradella</v>
      </c>
      <c r="AX148" s="679" t="str">
        <f>IF(VLOOKUP(A148,'Débit - Abfluss'!$A$4:$Q$275,16,FALSE)="","",VLOOKUP(A148,'Débit - Abfluss'!$A$4:$Q$275,16,FALSE))</f>
        <v/>
      </c>
      <c r="AY148" s="775" t="str">
        <f>IF(VLOOKUP(A148,'Débit - Abfluss'!$A$4:$Q$275,17,FALSE)="","",VLOOKUP(A148,'Débit - Abfluss'!$A$4:$Q$275,17,FALSE))</f>
        <v>21-40%</v>
      </c>
      <c r="AZ148" s="749" t="str">
        <f>IF(VLOOKUP(A148,'Eclusée - Schwall-Sunk'!$A$2:$F$273,5,FALSE)="","",VLOOKUP(A148,'Eclusée - Schwall-Sunk'!$A$2:$F$273,5,FALSE))</f>
        <v>force hydraulique</v>
      </c>
      <c r="BA148" s="750" t="str">
        <f>IF(VLOOKUP(A148,'Eclusée - Schwall-Sunk'!$A$2:$F$273,6,FALSE)="","",VLOOKUP(A148,'Eclusée - Schwall-Sunk'!$A$2:$F$273,6,FALSE))</f>
        <v>Non affecté / nicht betroffen</v>
      </c>
      <c r="BB148" s="751">
        <f>IF(VLOOKUP(A148,'Revitalisation-Revitalisierung'!$A$4:$Z$275,5,FALSE)="","",VLOOKUP(A148,'Revitalisation-Revitalisierung'!$A$4:$Z$275,5,FALSE))</f>
        <v>-1.8181818181818181</v>
      </c>
      <c r="BC148" s="752">
        <f>IF(VLOOKUP(A148,'Revitalisation-Revitalisierung'!$A$4:$Z$275,6,FALSE)="","",VLOOKUP(A148,'Revitalisation-Revitalisierung'!$A$4:$Z$275,6,FALSE))</f>
        <v>0</v>
      </c>
      <c r="BD148" s="752">
        <f>IF(VLOOKUP(A148,'Revitalisation-Revitalisierung'!$A$4:$Z$275,7,FALSE)="","",VLOOKUP(A148,'Revitalisation-Revitalisierung'!$A$4:$Z$275,7,FALSE))</f>
        <v>1.8181818181818181</v>
      </c>
      <c r="BE148" s="753" t="str">
        <f>IF(VLOOKUP(A148,'Revitalisation-Revitalisierung'!$A$4:$Z$275,8,FALSE)="","",VLOOKUP(A148,'Revitalisation-Revitalisierung'!$A$4:$Z$275,8,FALSE))</f>
        <v>non nécessaire</v>
      </c>
      <c r="BF148" s="754" t="str">
        <f>IF(VLOOKUP(A148,'Revitalisation-Revitalisierung'!$A$4:$Z$275,9,FALSE)="","",VLOOKUP(A148,'Revitalisation-Revitalisierung'!$A$4:$Z$275,9,FALSE))</f>
        <v/>
      </c>
      <c r="BG148" s="754" t="str">
        <f>IF(VLOOKUP(A148,'Revitalisation-Revitalisierung'!$A$4:$Z$275,10,FALSE)="","",VLOOKUP(A148,'Revitalisation-Revitalisierung'!$A$4:$Z$275,10,FALSE))</f>
        <v>K3</v>
      </c>
      <c r="BH148" s="755" t="str">
        <f>IF(VLOOKUP(A148,'Revitalisation-Revitalisierung'!$A$4:$Z$275,11,FALSE)="","",VLOOKUP(A148,'Revitalisation-Revitalisierung'!$A$4:$Z$275,11,FALSE))</f>
        <v/>
      </c>
      <c r="BI148" s="756" t="str">
        <f>IF(VLOOKUP(A148,'Revitalisation-Revitalisierung'!$A$4:$Z$275,12,FALSE)="","",VLOOKUP(A148,'Revitalisation-Revitalisierung'!$A$4:$Z$275,12,FALSE))</f>
        <v/>
      </c>
      <c r="BJ148" s="788" t="str">
        <f>IF(VLOOKUP(A148,'Revitalisation-Revitalisierung'!$A$4:$Z$275,13,FALSE)="","",VLOOKUP(A148,'Revitalisation-Revitalisierung'!$A$4:$Z$275,13,FALSE))</f>
        <v>Non nécessaire / nicht nötig</v>
      </c>
      <c r="BK148" s="870" t="str">
        <f>IF(VLOOKUP(A148,'Revitalisation-Revitalisierung'!$A$4:$Z$275,14,FALSE)="","",VLOOKUP(A148,'Revitalisation-Revitalisierung'!$A$4:$Z$275,14,FALSE))</f>
        <v>a</v>
      </c>
      <c r="BL148" s="758" t="str">
        <f>IF(VLOOKUP(A148,'Revitalisation-Revitalisierung'!$A$4:$Z$275,15,FALSE)="","",VLOOKUP(A148,'Revitalisation-Revitalisierung'!$A$4:$Z$275,15,FALSE))</f>
        <v>gross</v>
      </c>
      <c r="BM148" s="759" t="str">
        <f>IF(VLOOKUP(A148,'Revitalisation-Revitalisierung'!$A$4:$Z$275,16,FALSE)="","",VLOOKUP(A148,'Revitalisation-Revitalisierung'!$A$4:$Z$275,16,FALSE))</f>
        <v>mittel/kein/nicht best.</v>
      </c>
      <c r="BN148" s="759" t="str">
        <f>IF(VLOOKUP(A148,'Revitalisation-Revitalisierung'!$A$4:$Z$275,17,FALSE)="","",VLOOKUP(A148,'Revitalisation-Revitalisierung'!$A$4:$Z$275,17,FALSE))</f>
        <v>gering</v>
      </c>
      <c r="BO148" s="760" t="str">
        <f>IF(VLOOKUP(A148,'Revitalisation-Revitalisierung'!$A$4:$Z$275,18,FALSE)="","",VLOOKUP(A148,'Revitalisation-Revitalisierung'!$A$4:$Z$275,18,FALSE))</f>
        <v>Non nécessaire / nicht nötig</v>
      </c>
      <c r="BP148" s="761" t="str">
        <f>IF(VLOOKUP(A148,'Revitalisation-Revitalisierung'!$A$4:$Z$275,19,FALSE)="","",VLOOKUP(A148,'Revitalisation-Revitalisierung'!$A$4:$Z$275,19,FALSE))</f>
        <v>Non nécessaire / nicht nötig</v>
      </c>
      <c r="BQ148" s="759" t="str">
        <f>IF(VLOOKUP(A148,'Revitalisation-Revitalisierung'!$A$4:$Z$275,20,FALSE)="","",VLOOKUP(A148,'Revitalisation-Revitalisierung'!$A$4:$Z$275,20,FALSE))</f>
        <v>d</v>
      </c>
      <c r="BR148" s="759" t="str">
        <f>IF(VLOOKUP(A148,'Revitalisation-Revitalisierung'!$A$4:$Z$275,21,FALSE)="","",VLOOKUP(A148,'Revitalisation-Revitalisierung'!$A$4:$Z$275,21,FALSE))</f>
        <v/>
      </c>
      <c r="BS148" s="762" t="str">
        <f>IF(VLOOKUP(A148,'Revitalisation-Revitalisierung'!$A$4:$Z$275,22,FALSE)="","",VLOOKUP(A148,'Revitalisation-Revitalisierung'!$A$4:$Z$275,22,FALSE))</f>
        <v/>
      </c>
      <c r="BT148" s="761" t="str">
        <f>IF(VLOOKUP(A148,'Revitalisation-Revitalisierung'!$A$4:$Z$275,23,FALSE)="","",VLOOKUP(A148,'Revitalisation-Revitalisierung'!$A$4:$Z$275,23,FALSE))</f>
        <v/>
      </c>
      <c r="BU148" s="704" t="str">
        <f>IF(VLOOKUP(A148,'Revitalisation-Revitalisierung'!$A$4:$Z$275,24,FALSE)="","",VLOOKUP(A148,'Revitalisation-Revitalisierung'!$A$4:$Z$275,24,FALSE))</f>
        <v/>
      </c>
      <c r="BV148" s="761" t="str">
        <f>IF(VLOOKUP(A148,'Revitalisation-Revitalisierung'!$A$4:$Z$275,25,FALSE)="","",VLOOKUP(A148,'Revitalisation-Revitalisierung'!$A$4:$Z$275,25,FALSE))</f>
        <v>Non nécessaire / nicht nötig</v>
      </c>
      <c r="BW148" s="871" t="str">
        <f>IF(VLOOKUP(A148,'Revitalisation-Revitalisierung'!$A$4:$AA$275,27,FALSE)="","",VLOOKUP(A148,'Revitalisation-Revitalisierung'!$A$4:$AA$275,27,FALSE))</f>
        <v>a</v>
      </c>
    </row>
    <row r="149" spans="1:75" ht="70.900000000000006" customHeight="1" x14ac:dyDescent="0.25">
      <c r="A149" s="935">
        <v>187</v>
      </c>
      <c r="B149" s="856">
        <f>IF(VLOOKUP(A149,'Données de base - Grunddaten'!$A$2:$M$297,2,FALSE)="","",VLOOKUP(A149,'Données de base - Grunddaten'!$A$2:$M$297,2,FALSE))</f>
        <v>1</v>
      </c>
      <c r="C149" s="857" t="str">
        <f>IF(VLOOKUP(A149,'Données de base - Grunddaten'!$A$2:$M$297,3,FALSE)="","",VLOOKUP(A149,'Données de base - Grunddaten'!$A$2:$M$297,3,FALSE))</f>
        <v>Blaisch dal Piz dal Ras</v>
      </c>
      <c r="D149" s="857" t="str">
        <f>IF(VLOOKUP(A149,'Données de base - Grunddaten'!$A$2:$M$297,4,FALSE)="","",VLOOKUP(A149,'Données de base - Grunddaten'!$A$2:$M$297,4,FALSE))</f>
        <v>Susasca</v>
      </c>
      <c r="E149" s="857" t="str">
        <f>IF(VLOOKUP(A149,'Données de base - Grunddaten'!$A$2:$M$297,5,FALSE)="","",VLOOKUP(A149,'Données de base - Grunddaten'!$A$2:$M$297,5,FALSE))</f>
        <v>GR</v>
      </c>
      <c r="F149" s="857" t="str">
        <f>IF(VLOOKUP(A149,'Données de base - Grunddaten'!$A$2:$M$297,6,FALSE)="","",VLOOKUP(A149,'Données de base - Grunddaten'!$A$2:$M$297,6,FALSE))</f>
        <v>Alpes centrales orientales</v>
      </c>
      <c r="G149" s="857" t="str">
        <f>IF(VLOOKUP(A149,'Données de base - Grunddaten'!$A$2:$M$297,7,FALSE)="","",VLOOKUP(A149,'Données de base - Grunddaten'!$A$2:$M$297,7,FALSE))</f>
        <v>Subalpin sup.</v>
      </c>
      <c r="H149" s="857">
        <f>IF(VLOOKUP(A149,'Données de base - Grunddaten'!$A$2:$M$297,8,FALSE)="","",VLOOKUP(A149,'Données de base - Grunddaten'!$A$2:$M$297,8,FALSE))</f>
        <v>1780</v>
      </c>
      <c r="I149" s="857">
        <f>IF(VLOOKUP(A149,'Données de base - Grunddaten'!$A$2:$M$297,9,FALSE)="","",VLOOKUP(A149,'Données de base - Grunddaten'!$A$2:$M$297,9,FALSE))</f>
        <v>1992</v>
      </c>
      <c r="J149" s="857">
        <f>IF(VLOOKUP(A149,'Données de base - Grunddaten'!$A$2:$M$297,10,FALSE)="","",VLOOKUP(A149,'Données de base - Grunddaten'!$A$2:$M$297,10,FALSE))</f>
        <v>31</v>
      </c>
      <c r="K149" s="857" t="str">
        <f>IF(VLOOKUP(A149,'Données de base - Grunddaten'!$A$2:$M$297,11,FALSE)="","",VLOOKUP(A149,'Données de base - Grunddaten'!$A$2:$M$297,11,FALSE))</f>
        <v>Cours d'eau naturels de l'étage subalpin</v>
      </c>
      <c r="L149" s="857" t="str">
        <f>IF(VLOOKUP(A149,'Données de base - Grunddaten'!$A$2:$M$297,12,FALSE)="","",VLOOKUP(A149,'Données de base - Grunddaten'!$A$2:$M$297,12,FALSE))</f>
        <v>en tresses</v>
      </c>
      <c r="M149" s="858" t="str">
        <f>IF(VLOOKUP(A149,'Données de base - Grunddaten'!$A$2:$M$297,13,FALSE)="","",VLOOKUP(A149,'Données de base - Grunddaten'!$A$2:$M$297,13,FALSE))</f>
        <v>en tresses</v>
      </c>
      <c r="N149" s="872" t="str">
        <f>IF(VLOOKUP(A149,'Charriage - Geschiebehaushalt'!$A$4:$R$275,5,FALSE)="","",VLOOKUP(A149,'Charriage - Geschiebehaushalt'!$A$4:$R$275,5,FALSE))</f>
        <v>pertinent</v>
      </c>
      <c r="O149" s="881" t="str">
        <f>IF(VLOOKUP(A149,'Charriage - Geschiebehaushalt'!$A$4:$R$275,6,FALSE)="","",VLOOKUP(A149,'Charriage - Geschiebehaushalt'!$A$4:$R$275,6,FALSE))</f>
        <v>non documenté</v>
      </c>
      <c r="P149" s="874" t="str">
        <f>IF(VLOOKUP(A149,'Charriage - Geschiebehaushalt'!$A$4:$R$275,7,FALSE)="","",VLOOKUP(A149,'Charriage - Geschiebehaushalt'!$A$4:$R$275,7,FALSE))</f>
        <v/>
      </c>
      <c r="Q149" s="874" t="str">
        <f>IF(VLOOKUP(A149,'Charriage - Geschiebehaushalt'!$A$4:$R$275,8,FALSE)="","",VLOOKUP(A149,'Charriage - Geschiebehaushalt'!$A$4:$R$275,8,FALSE))</f>
        <v>non documenté</v>
      </c>
      <c r="R149" s="875">
        <f>IF(VLOOKUP(A149,'Charriage - Geschiebehaushalt'!$A$4:$R$275,9,FALSE)="","",VLOOKUP(A149,'Charriage - Geschiebehaushalt'!$A$4:$R$275,9,FALSE))</f>
        <v>7.7881022255517393E-2</v>
      </c>
      <c r="S149" s="876" t="str">
        <f>IF(VLOOKUP(A149,'Charriage - Geschiebehaushalt'!$A$4:$R$275,10,FALSE)="","",VLOOKUP(A149,'Charriage - Geschiebehaushalt'!$A$4:$R$275,10,FALSE))</f>
        <v>pas ou faiblement entravé</v>
      </c>
      <c r="T149" s="875">
        <f>IF(VLOOKUP(A149,'Charriage - Geschiebehaushalt'!$A$4:$R$275,11,FALSE)="","",VLOOKUP(A149,'Charriage - Geschiebehaushalt'!$A$4:$R$275,11,FALSE))</f>
        <v>5.9451539561000001E-2</v>
      </c>
      <c r="U149" s="876" t="str">
        <f>IF(VLOOKUP(A149,'Charriage - Geschiebehaushalt'!$A$4:$R$275,12,FALSE)="","",VLOOKUP(A149,'Charriage - Geschiebehaushalt'!$A$4:$R$275,12,FALSE))</f>
        <v>déficit dans les formations pionnières</v>
      </c>
      <c r="V149" s="877" t="str">
        <f>IF(VLOOKUP(A149,'Charriage - Geschiebehaushalt'!$A$4:$R$275,13,FALSE)="","",VLOOKUP(A149,'Charriage - Geschiebehaushalt'!$A$4:$R$275,13,FALSE))</f>
        <v>Extraction dans l'objets: 2 sites</v>
      </c>
      <c r="W149" s="878" t="str">
        <f>IF(VLOOKUP(A149,'Charriage - Geschiebehaushalt'!$A$4:$R$275,14,FALSE)="","",VLOOKUP(A149,'Charriage - Geschiebehaushalt'!$A$4:$R$275,14,FALSE))</f>
        <v>charriage présumé perturbé</v>
      </c>
      <c r="X149" s="878" t="str">
        <f>IF(VLOOKUP(A149,'Charriage - Geschiebehaushalt'!$A$4:$R$275,15,FALSE)="","",VLOOKUP(A149,'Charriage - Geschiebehaushalt'!$A$4:$R$275,15,FALSE))</f>
        <v/>
      </c>
      <c r="Y149" s="882" t="str">
        <f>IF(VLOOKUP(A149,'Charriage - Geschiebehaushalt'!$A$4:$R$275,16,FALSE)="","",VLOOKUP(A149,'Charriage - Geschiebehaushalt'!$A$4:$R$275,16,FALSE))</f>
        <v/>
      </c>
      <c r="Z149" s="763" t="str">
        <f>IF(VLOOKUP(A149,'Charriage - Geschiebehaushalt'!$A$4:$R$275,17,FALSE)="","",VLOOKUP(A149,'Charriage - Geschiebehaushalt'!$A$4:$R$275,17,FALSE))</f>
        <v>Charriage présumé perturbé / Geschiebehaushalt vermutlich beeinträchtigt</v>
      </c>
      <c r="AA149" s="880" t="str">
        <f>IF(VLOOKUP(A149,'Charriage - Geschiebehaushalt'!$A$4:$R$275,18,FALSE)="","",VLOOKUP(A149,'Charriage - Geschiebehaushalt'!$A$4:$R$275,18,FALSE))</f>
        <v>b</v>
      </c>
      <c r="AB149" s="737" t="str">
        <f>IF(VLOOKUP(A149,'Charriage - Geschiebehaushalt'!$A$4:$AC$275,19,FALSE)="","",VLOOKUP(A149,'Charriage - Geschiebehaushalt'!$A$4:$AC$275,19,FALSE))</f>
        <v>-</v>
      </c>
      <c r="AC149" s="738">
        <f>IF(VLOOKUP(A149,'Charriage - Geschiebehaushalt'!$A$4:$AC$275,20,FALSE)="","",VLOOKUP(A149,'Charriage - Geschiebehaushalt'!$A$4:$AC$275,20,FALSE))</f>
        <v>0</v>
      </c>
      <c r="AD149" s="764" t="str">
        <f>IF(VLOOKUP(A149,'Charriage - Geschiebehaushalt'!$A$4:$AC$275,21,FALSE)="","",VLOOKUP(A149,'Charriage - Geschiebehaushalt'!$A$4:$AC$275,21,FALSE))</f>
        <v/>
      </c>
      <c r="AE149" s="772" t="str">
        <f>IF(VLOOKUP(A149,'Charriage - Geschiebehaushalt'!$A$4:$AC$275,22,FALSE)="","",VLOOKUP(A149,'Charriage - Geschiebehaushalt'!$A$4:$AC$275,22,FALSE))</f>
        <v>51-80%</v>
      </c>
      <c r="AF149" s="787" t="str">
        <f>IF(VLOOKUP(A149,'Charriage - Geschiebehaushalt'!$A$4:$AC$275,23,FALSE)="","",VLOOKUP(A149,'Charriage - Geschiebehaushalt'!$A$4:$AC$275,23,FALSE))</f>
        <v>b</v>
      </c>
      <c r="AG149" s="765" t="str">
        <f>IF(VLOOKUP(A149,'Charriage - Geschiebehaushalt'!$A$4:$AC$275,24,FALSE)="","",VLOOKUP(A149,'Charriage - Geschiebehaushalt'!$A$4:$AC$275,24,FALSE))</f>
        <v/>
      </c>
      <c r="AH149" s="764" t="str">
        <f>IF(VLOOKUP(A149,'Charriage - Geschiebehaushalt'!$A$4:$AC$275,25,FALSE)="","",VLOOKUP(A149,'Charriage - Geschiebehaushalt'!$A$4:$AC$275,25,FALSE))</f>
        <v/>
      </c>
      <c r="AI149" s="438" t="str">
        <f>IF(VLOOKUP(A149,'Charriage - Geschiebehaushalt'!$A$4:$AC$275,26,FALSE)="","",VLOOKUP(A149,'Charriage - Geschiebehaushalt'!$A$4:$AC$275,26,FALSE))</f>
        <v/>
      </c>
      <c r="AJ149" s="436" t="str">
        <f>IF(VLOOKUP(A149,'Charriage - Geschiebehaushalt'!$A$4:$AC$275,27,FALSE)="","",VLOOKUP(A149,'Charriage - Geschiebehaushalt'!$A$4:$AC$275,27,FALSE))</f>
        <v/>
      </c>
      <c r="AK149" s="814" t="str">
        <f>IF(VLOOKUP(A149,'Charriage - Geschiebehaushalt'!$A$4:$AC$275,28,FALSE)="","",VLOOKUP(A149,'Charriage - Geschiebehaushalt'!$A$4:$AC$275,28,FALSE))</f>
        <v>51-80%</v>
      </c>
      <c r="AL149" s="1285" t="str">
        <f>IF(VLOOKUP(A149,'Charriage - Geschiebehaushalt'!$A$4:$AD$275,30,FALSE)="","",VLOOKUP(A149,'Charriage - Geschiebehaushalt'!$A$4:$AD$275,30,FALSE))</f>
        <v>b</v>
      </c>
      <c r="AM149" s="1279" t="str">
        <f>IF(VLOOKUP(A149,'Débit - Abfluss'!$A$4:$K$275,5,FALSE)="","",VLOOKUP(A149,'Débit - Abfluss'!$A$4:$M$275,5,FALSE))</f>
        <v>100%</v>
      </c>
      <c r="AN149" s="868" t="str">
        <f>IF(VLOOKUP(A149,'Débit - Abfluss'!$A$4:$K$275,6,FALSE)="","",VLOOKUP(A149,'Débit - Abfluss'!$A$4:$M$275,6,FALSE))</f>
        <v>aucune information supplémentaire</v>
      </c>
      <c r="AO149" s="869" t="str">
        <f>IF(VLOOKUP(A149,'Débit - Abfluss'!$A$4:$K$275,7,FALSE)="","",VLOOKUP(A149,'Débit - Abfluss'!$A$4:$M$275,7,FALSE))</f>
        <v>aucune information supplémentaire</v>
      </c>
      <c r="AP149" s="766" t="str">
        <f>IF(VLOOKUP(A149,'Débit - Abfluss'!$A$4:$K$275,8,FALSE)="","",VLOOKUP(A149,'Débit - Abfluss'!$A$4:$M$275,8,FALSE))</f>
        <v>100%</v>
      </c>
      <c r="AQ149" s="742" t="str">
        <f>IF(VLOOKUP(A149,'Débit - Abfluss'!$A$4:$K$275,9,FALSE)="","",VLOOKUP(A149,'Débit - Abfluss'!$A$4:$M$275,9,FALSE))</f>
        <v>-</v>
      </c>
      <c r="AR149" s="767" t="str">
        <f>IF(VLOOKUP(A149,'Débit - Abfluss'!$A$4:$K$275,10,FALSE)="","",VLOOKUP(A149,'Débit - Abfluss'!$A$4:$M$275,10,FALSE))</f>
        <v>100%</v>
      </c>
      <c r="AS149" s="767" t="str">
        <f>IF(VLOOKUP(A149,'Débit - Abfluss'!$A$4:$K$275,11,FALSE)="","",VLOOKUP(A149,'Débit - Abfluss'!$A$4:$M$275,11,FALSE))</f>
        <v/>
      </c>
      <c r="AT149" s="778" t="str">
        <f>IF(VLOOKUP(A149,'Débit - Abfluss'!$A$4:$Q$275,12,FALSE)="","",VLOOKUP(A149,'Débit - Abfluss'!$A$4:$Q$275,12,FALSE))</f>
        <v/>
      </c>
      <c r="AU149" s="779" t="str">
        <f>IF(VLOOKUP(A149,'Débit - Abfluss'!$A$4:$Q$275,13,FALSE)="","",VLOOKUP(A149,'Débit - Abfluss'!$A$4:$Q$275,13,FALSE))</f>
        <v/>
      </c>
      <c r="AV149" s="746" t="str">
        <f>IF(VLOOKUP(A149,'Débit - Abfluss'!$A$4:$Q$275,14,FALSE)="","",VLOOKUP(A149,'Débit - Abfluss'!$A$4:$Q$275,14,FALSE))</f>
        <v/>
      </c>
      <c r="AW149" s="768" t="str">
        <f>IF(VLOOKUP(A149,'Débit - Abfluss'!$A$4:$Q$275,15,FALSE)="","",VLOOKUP(A149,'Débit - Abfluss'!$A$4:$Q$275,15,FALSE))</f>
        <v/>
      </c>
      <c r="AX149" s="679" t="str">
        <f>IF(VLOOKUP(A149,'Débit - Abfluss'!$A$4:$Q$275,16,FALSE)="","",VLOOKUP(A149,'Débit - Abfluss'!$A$4:$Q$275,16,FALSE))</f>
        <v/>
      </c>
      <c r="AY149" s="769" t="str">
        <f>IF(VLOOKUP(A149,'Débit - Abfluss'!$A$4:$Q$275,17,FALSE)="","",VLOOKUP(A149,'Débit - Abfluss'!$A$4:$Q$275,17,FALSE))</f>
        <v>100%</v>
      </c>
      <c r="AZ149" s="749" t="str">
        <f>IF(VLOOKUP(A149,'Eclusée - Schwall-Sunk'!$A$2:$F$273,5,FALSE)="","",VLOOKUP(A149,'Eclusée - Schwall-Sunk'!$A$2:$F$273,5,FALSE))</f>
        <v/>
      </c>
      <c r="BA149" s="750" t="str">
        <f>IF(VLOOKUP(A149,'Eclusée - Schwall-Sunk'!$A$2:$F$273,6,FALSE)="","",VLOOKUP(A149,'Eclusée - Schwall-Sunk'!$A$2:$F$273,6,FALSE))</f>
        <v>Non affecté / nicht betroffen</v>
      </c>
      <c r="BB149" s="751">
        <f>IF(VLOOKUP(A149,'Revitalisation-Revitalisierung'!$A$4:$Z$275,5,FALSE)="","",VLOOKUP(A149,'Revitalisation-Revitalisierung'!$A$4:$Z$275,5,FALSE))</f>
        <v>2.6363636363636367</v>
      </c>
      <c r="BC149" s="752">
        <f>IF(VLOOKUP(A149,'Revitalisation-Revitalisierung'!$A$4:$Z$275,6,FALSE)="","",VLOOKUP(A149,'Revitalisation-Revitalisierung'!$A$4:$Z$275,6,FALSE))</f>
        <v>3.9867601784881157</v>
      </c>
      <c r="BD149" s="752">
        <f>IF(VLOOKUP(A149,'Revitalisation-Revitalisierung'!$A$4:$Z$275,7,FALSE)="","",VLOOKUP(A149,'Revitalisation-Revitalisierung'!$A$4:$Z$275,7,FALSE))</f>
        <v>1.3636363636363635</v>
      </c>
      <c r="BE149" s="753" t="str">
        <f>IF(VLOOKUP(A149,'Revitalisation-Revitalisierung'!$A$4:$Z$275,8,FALSE)="","",VLOOKUP(A149,'Revitalisation-Revitalisierung'!$A$4:$Z$275,8,FALSE))</f>
        <v>peu nécessaire, facile</v>
      </c>
      <c r="BF149" s="754" t="str">
        <f>IF(VLOOKUP(A149,'Revitalisation-Revitalisierung'!$A$4:$Z$275,9,FALSE)="","",VLOOKUP(A149,'Revitalisation-Revitalisierung'!$A$4:$Z$275,9,FALSE))</f>
        <v/>
      </c>
      <c r="BG149" s="754" t="str">
        <f>IF(VLOOKUP(A149,'Revitalisation-Revitalisierung'!$A$4:$Z$275,10,FALSE)="","",VLOOKUP(A149,'Revitalisation-Revitalisierung'!$A$4:$Z$275,10,FALSE))</f>
        <v>K3</v>
      </c>
      <c r="BH149" s="755" t="str">
        <f>IF(VLOOKUP(A149,'Revitalisation-Revitalisierung'!$A$4:$Z$275,11,FALSE)="","",VLOOKUP(A149,'Revitalisation-Revitalisierung'!$A$4:$Z$275,11,FALSE))</f>
        <v/>
      </c>
      <c r="BI149" s="756" t="str">
        <f>IF(VLOOKUP(A149,'Revitalisation-Revitalisierung'!$A$4:$Z$275,12,FALSE)="","",VLOOKUP(A149,'Revitalisation-Revitalisierung'!$A$4:$Z$275,12,FALSE))</f>
        <v/>
      </c>
      <c r="BJ149" s="788" t="str">
        <f>IF(VLOOKUP(A149,'Revitalisation-Revitalisierung'!$A$4:$Z$275,13,FALSE)="","",VLOOKUP(A149,'Revitalisation-Revitalisierung'!$A$4:$Z$275,13,FALSE))</f>
        <v>Partiellement nécessaire, facile / teilweise nötig, einfach</v>
      </c>
      <c r="BK149" s="870" t="str">
        <f>IF(VLOOKUP(A149,'Revitalisation-Revitalisierung'!$A$4:$Z$275,14,FALSE)="","",VLOOKUP(A149,'Revitalisation-Revitalisierung'!$A$4:$Z$275,14,FALSE))</f>
        <v>a</v>
      </c>
      <c r="BL149" s="758" t="str">
        <f>IF(VLOOKUP(A149,'Revitalisation-Revitalisierung'!$A$4:$Z$275,15,FALSE)="","",VLOOKUP(A149,'Revitalisation-Revitalisierung'!$A$4:$Z$275,15,FALSE))</f>
        <v>gross</v>
      </c>
      <c r="BM149" s="759" t="str">
        <f>IF(VLOOKUP(A149,'Revitalisation-Revitalisierung'!$A$4:$Z$275,16,FALSE)="","",VLOOKUP(A149,'Revitalisation-Revitalisierung'!$A$4:$Z$275,16,FALSE))</f>
        <v>kein/nicht best.</v>
      </c>
      <c r="BN149" s="759" t="str">
        <f>IF(VLOOKUP(A149,'Revitalisation-Revitalisierung'!$A$4:$Z$275,17,FALSE)="","",VLOOKUP(A149,'Revitalisation-Revitalisierung'!$A$4:$Z$275,17,FALSE))</f>
        <v>gering</v>
      </c>
      <c r="BO149" s="760" t="str">
        <f>IF(VLOOKUP(A149,'Revitalisation-Revitalisierung'!$A$4:$Z$275,18,FALSE)="","",VLOOKUP(A149,'Revitalisation-Revitalisierung'!$A$4:$Z$275,18,FALSE))</f>
        <v>Non nécessaire / nicht nötig</v>
      </c>
      <c r="BP149" s="761" t="str">
        <f>IF(VLOOKUP(A149,'Revitalisation-Revitalisierung'!$A$4:$Z$275,19,FALSE)="","",VLOOKUP(A149,'Revitalisation-Revitalisierung'!$A$4:$Z$275,19,FALSE))</f>
        <v>Non nécessaire / nicht nötig</v>
      </c>
      <c r="BQ149" s="759" t="str">
        <f>IF(VLOOKUP(A149,'Revitalisation-Revitalisierung'!$A$4:$Z$275,20,FALSE)="","",VLOOKUP(A149,'Revitalisation-Revitalisierung'!$A$4:$Z$275,20,FALSE))</f>
        <v>c</v>
      </c>
      <c r="BR149" s="759" t="str">
        <f>IF(VLOOKUP(A149,'Revitalisation-Revitalisierung'!$A$4:$Z$275,21,FALSE)="","",VLOOKUP(A149,'Revitalisation-Revitalisierung'!$A$4:$Z$275,21,FALSE))</f>
        <v/>
      </c>
      <c r="BS149" s="762" t="str">
        <f>IF(VLOOKUP(A149,'Revitalisation-Revitalisierung'!$A$4:$Z$275,22,FALSE)="","",VLOOKUP(A149,'Revitalisation-Revitalisierung'!$A$4:$Z$275,22,FALSE))</f>
        <v/>
      </c>
      <c r="BT149" s="761" t="str">
        <f>IF(VLOOKUP(A149,'Revitalisation-Revitalisierung'!$A$4:$Z$275,23,FALSE)="","",VLOOKUP(A149,'Revitalisation-Revitalisierung'!$A$4:$Z$275,23,FALSE))</f>
        <v/>
      </c>
      <c r="BU149" s="704" t="str">
        <f>IF(VLOOKUP(A149,'Revitalisation-Revitalisierung'!$A$4:$Z$275,24,FALSE)="","",VLOOKUP(A149,'Revitalisation-Revitalisierung'!$A$4:$Z$275,24,FALSE))</f>
        <v/>
      </c>
      <c r="BV149" s="761" t="str">
        <f>IF(VLOOKUP(A149,'Revitalisation-Revitalisierung'!$A$4:$Z$275,25,FALSE)="","",VLOOKUP(A149,'Revitalisation-Revitalisierung'!$A$4:$Z$275,25,FALSE))</f>
        <v>Non nécessaire / nicht nötig</v>
      </c>
      <c r="BW149" s="871" t="str">
        <f>IF(VLOOKUP(A149,'Revitalisation-Revitalisierung'!$A$4:$AA$275,27,FALSE)="","",VLOOKUP(A149,'Revitalisation-Revitalisierung'!$A$4:$AA$275,27,FALSE))</f>
        <v>a</v>
      </c>
    </row>
    <row r="150" spans="1:75" ht="72.599999999999994" customHeight="1" x14ac:dyDescent="0.25">
      <c r="A150" s="935">
        <v>188</v>
      </c>
      <c r="B150" s="856">
        <f>IF(VLOOKUP(A150,'Données de base - Grunddaten'!$A$2:$M$297,2,FALSE)="","",VLOOKUP(A150,'Données de base - Grunddaten'!$A$2:$M$297,2,FALSE))</f>
        <v>1</v>
      </c>
      <c r="C150" s="857" t="str">
        <f>IF(VLOOKUP(A150,'Données de base - Grunddaten'!$A$2:$M$297,3,FALSE)="","",VLOOKUP(A150,'Données de base - Grunddaten'!$A$2:$M$297,3,FALSE))</f>
        <v>San Batrumieu</v>
      </c>
      <c r="D150" s="857" t="str">
        <f>IF(VLOOKUP(A150,'Données de base - Grunddaten'!$A$2:$M$297,4,FALSE)="","",VLOOKUP(A150,'Données de base - Grunddaten'!$A$2:$M$297,4,FALSE))</f>
        <v>Inn</v>
      </c>
      <c r="E150" s="857" t="str">
        <f>IF(VLOOKUP(A150,'Données de base - Grunddaten'!$A$2:$M$297,5,FALSE)="","",VLOOKUP(A150,'Données de base - Grunddaten'!$A$2:$M$297,5,FALSE))</f>
        <v>GR</v>
      </c>
      <c r="F150" s="857" t="str">
        <f>IF(VLOOKUP(A150,'Données de base - Grunddaten'!$A$2:$M$297,6,FALSE)="","",VLOOKUP(A150,'Données de base - Grunddaten'!$A$2:$M$297,6,FALSE))</f>
        <v>Alpes centrales orientales</v>
      </c>
      <c r="G150" s="857" t="str">
        <f>IF(VLOOKUP(A150,'Données de base - Grunddaten'!$A$2:$M$297,7,FALSE)="","",VLOOKUP(A150,'Données de base - Grunddaten'!$A$2:$M$297,7,FALSE))</f>
        <v>Subalpin sup.</v>
      </c>
      <c r="H150" s="857">
        <f>IF(VLOOKUP(A150,'Données de base - Grunddaten'!$A$2:$M$297,8,FALSE)="","",VLOOKUP(A150,'Données de base - Grunddaten'!$A$2:$M$297,8,FALSE))</f>
        <v>1670</v>
      </c>
      <c r="I150" s="857">
        <f>IF(VLOOKUP(A150,'Données de base - Grunddaten'!$A$2:$M$297,9,FALSE)="","",VLOOKUP(A150,'Données de base - Grunddaten'!$A$2:$M$297,9,FALSE))</f>
        <v>1992</v>
      </c>
      <c r="J150" s="857">
        <f>IF(VLOOKUP(A150,'Données de base - Grunddaten'!$A$2:$M$297,10,FALSE)="","",VLOOKUP(A150,'Données de base - Grunddaten'!$A$2:$M$297,10,FALSE))</f>
        <v>31</v>
      </c>
      <c r="K150" s="857" t="str">
        <f>IF(VLOOKUP(A150,'Données de base - Grunddaten'!$A$2:$M$297,11,FALSE)="","",VLOOKUP(A150,'Données de base - Grunddaten'!$A$2:$M$297,11,FALSE))</f>
        <v>Cours d'eau naturels de l'étage subalpin</v>
      </c>
      <c r="L150" s="857" t="str">
        <f>IF(VLOOKUP(A150,'Données de base - Grunddaten'!$A$2:$M$297,12,FALSE)="","",VLOOKUP(A150,'Données de base - Grunddaten'!$A$2:$M$297,12,FALSE))</f>
        <v>en tresses</v>
      </c>
      <c r="M150" s="858" t="str">
        <f>IF(VLOOKUP(A150,'Données de base - Grunddaten'!$A$2:$M$297,13,FALSE)="","",VLOOKUP(A150,'Données de base - Grunddaten'!$A$2:$M$297,13,FALSE))</f>
        <v>en tresses</v>
      </c>
      <c r="N150" s="872" t="str">
        <f>IF(VLOOKUP(A150,'Charriage - Geschiebehaushalt'!$A$4:$R$275,5,FALSE)="","",VLOOKUP(A150,'Charriage - Geschiebehaushalt'!$A$4:$R$275,5,FALSE))</f>
        <v>pertinent</v>
      </c>
      <c r="O150" s="873" t="str">
        <f>IF(VLOOKUP(A150,'Charriage - Geschiebehaushalt'!$A$4:$R$275,6,FALSE)="","",VLOOKUP(A150,'Charriage - Geschiebehaushalt'!$A$4:$R$275,6,FALSE))</f>
        <v>0-20%</v>
      </c>
      <c r="P150" s="874" t="str">
        <f>IF(VLOOKUP(A150,'Charriage - Geschiebehaushalt'!$A$4:$R$275,7,FALSE)="","",VLOOKUP(A150,'Charriage - Geschiebehaushalt'!$A$4:$R$275,7,FALSE))</f>
        <v/>
      </c>
      <c r="Q150" s="874" t="str">
        <f>IF(VLOOKUP(A150,'Charriage - Geschiebehaushalt'!$A$4:$R$275,8,FALSE)="","",VLOOKUP(A150,'Charriage - Geschiebehaushalt'!$A$4:$R$275,8,FALSE))</f>
        <v>non documenté</v>
      </c>
      <c r="R150" s="875">
        <f>IF(VLOOKUP(A150,'Charriage - Geschiebehaushalt'!$A$4:$R$275,9,FALSE)="","",VLOOKUP(A150,'Charriage - Geschiebehaushalt'!$A$4:$R$275,9,FALSE))</f>
        <v>0.37301211929105998</v>
      </c>
      <c r="S150" s="876" t="str">
        <f>IF(VLOOKUP(A150,'Charriage - Geschiebehaushalt'!$A$4:$R$275,10,FALSE)="","",VLOOKUP(A150,'Charriage - Geschiebehaushalt'!$A$4:$R$275,10,FALSE))</f>
        <v>la remobilisation des sédiments est perturbée</v>
      </c>
      <c r="T150" s="875">
        <f>IF(VLOOKUP(A150,'Charriage - Geschiebehaushalt'!$A$4:$R$275,11,FALSE)="","",VLOOKUP(A150,'Charriage - Geschiebehaushalt'!$A$4:$R$275,11,FALSE))</f>
        <v>0.39744935155</v>
      </c>
      <c r="U150" s="876" t="str">
        <f>IF(VLOOKUP(A150,'Charriage - Geschiebehaushalt'!$A$4:$R$275,12,FALSE)="","",VLOOKUP(A150,'Charriage - Geschiebehaushalt'!$A$4:$R$275,12,FALSE))</f>
        <v>déficit non apparent en charriage ou en remobilisation des sédiments</v>
      </c>
      <c r="V150" s="877" t="str">
        <f>IF(VLOOKUP(A150,'Charriage - Geschiebehaushalt'!$A$4:$R$275,13,FALSE)="","",VLOOKUP(A150,'Charriage - Geschiebehaushalt'!$A$4:$R$275,13,FALSE))</f>
        <v/>
      </c>
      <c r="W150" s="877" t="str">
        <f>IF(VLOOKUP(A150,'Charriage - Geschiebehaushalt'!$A$4:$R$275,14,FALSE)="","",VLOOKUP(A150,'Charriage - Geschiebehaushalt'!$A$4:$R$275,14,FALSE))</f>
        <v/>
      </c>
      <c r="X150" s="877" t="str">
        <f>IF(VLOOKUP(A150,'Charriage - Geschiebehaushalt'!$A$4:$R$275,15,FALSE)="","",VLOOKUP(A150,'Charriage - Geschiebehaushalt'!$A$4:$R$275,15,FALSE))</f>
        <v/>
      </c>
      <c r="Y150" s="879" t="str">
        <f>IF(VLOOKUP(A150,'Charriage - Geschiebehaushalt'!$A$4:$R$275,16,FALSE)="","",VLOOKUP(A150,'Charriage - Geschiebehaushalt'!$A$4:$R$275,16,FALSE))</f>
        <v/>
      </c>
      <c r="Z150" s="763" t="str">
        <f>IF(VLOOKUP(A150,'Charriage - Geschiebehaushalt'!$A$4:$R$275,17,FALSE)="","",VLOOKUP(A150,'Charriage - Geschiebehaushalt'!$A$4:$R$275,17,FALSE))</f>
        <v>0-20%</v>
      </c>
      <c r="AA150" s="880" t="str">
        <f>IF(VLOOKUP(A150,'Charriage - Geschiebehaushalt'!$A$4:$R$275,18,FALSE)="","",VLOOKUP(A150,'Charriage - Geschiebehaushalt'!$A$4:$R$275,18,FALSE))</f>
        <v>a</v>
      </c>
      <c r="AB150" s="737" t="str">
        <f>IF(VLOOKUP(A150,'Charriage - Geschiebehaushalt'!$A$4:$AC$275,19,FALSE)="","",VLOOKUP(A150,'Charriage - Geschiebehaushalt'!$A$4:$AC$275,19,FALSE))</f>
        <v>keine</v>
      </c>
      <c r="AC150" s="738">
        <f>IF(VLOOKUP(A150,'Charriage - Geschiebehaushalt'!$A$4:$AC$275,20,FALSE)="","",VLOOKUP(A150,'Charriage - Geschiebehaushalt'!$A$4:$AC$275,20,FALSE))</f>
        <v>0</v>
      </c>
      <c r="AD150" s="764" t="str">
        <f>IF(VLOOKUP(A150,'Charriage - Geschiebehaushalt'!$A$4:$AC$275,21,FALSE)="","",VLOOKUP(A150,'Charriage - Geschiebehaushalt'!$A$4:$AC$275,21,FALSE))</f>
        <v>0-20%</v>
      </c>
      <c r="AE150" s="772" t="str">
        <f>IF(VLOOKUP(A150,'Charriage - Geschiebehaushalt'!$A$4:$AC$275,22,FALSE)="","",VLOOKUP(A150,'Charriage - Geschiebehaushalt'!$A$4:$AC$275,22,FALSE))</f>
        <v>0-20%</v>
      </c>
      <c r="AF150" s="787" t="str">
        <f>IF(VLOOKUP(A150,'Charriage - Geschiebehaushalt'!$A$4:$AC$275,23,FALSE)="","",VLOOKUP(A150,'Charriage - Geschiebehaushalt'!$A$4:$AC$275,23,FALSE))</f>
        <v>d</v>
      </c>
      <c r="AG150" s="765" t="str">
        <f>IF(VLOOKUP(A150,'Charriage - Geschiebehaushalt'!$A$4:$AC$275,24,FALSE)="","",VLOOKUP(A150,'Charriage - Geschiebehaushalt'!$A$4:$AC$275,24,FALSE))</f>
        <v/>
      </c>
      <c r="AH150" s="764" t="str">
        <f>IF(VLOOKUP(A150,'Charriage - Geschiebehaushalt'!$A$4:$AC$275,25,FALSE)="","",VLOOKUP(A150,'Charriage - Geschiebehaushalt'!$A$4:$AC$275,25,FALSE))</f>
        <v/>
      </c>
      <c r="AI150" s="438" t="str">
        <f>IF(VLOOKUP(A150,'Charriage - Geschiebehaushalt'!$A$4:$AC$275,26,FALSE)="","",VLOOKUP(A150,'Charriage - Geschiebehaushalt'!$A$4:$AC$275,26,FALSE))</f>
        <v/>
      </c>
      <c r="AJ150" s="436" t="str">
        <f>IF(VLOOKUP(A150,'Charriage - Geschiebehaushalt'!$A$4:$AC$275,27,FALSE)="","",VLOOKUP(A150,'Charriage - Geschiebehaushalt'!$A$4:$AC$275,27,FALSE))</f>
        <v/>
      </c>
      <c r="AK150" s="814" t="str">
        <f>IF(VLOOKUP(A150,'Charriage - Geschiebehaushalt'!$A$4:$AC$275,28,FALSE)="","",VLOOKUP(A150,'Charriage - Geschiebehaushalt'!$A$4:$AC$275,28,FALSE))</f>
        <v>0-20%</v>
      </c>
      <c r="AL150" s="1285" t="str">
        <f>IF(VLOOKUP(A150,'Charriage - Geschiebehaushalt'!$A$4:$AD$275,30,FALSE)="","",VLOOKUP(A150,'Charriage - Geschiebehaushalt'!$A$4:$AD$275,30,FALSE))</f>
        <v>a</v>
      </c>
      <c r="AM150" s="1279" t="str">
        <f>IF(VLOOKUP(A150,'Débit - Abfluss'!$A$4:$K$275,5,FALSE)="","",VLOOKUP(A150,'Débit - Abfluss'!$A$4:$M$275,5,FALSE))</f>
        <v>100%</v>
      </c>
      <c r="AN150" s="868" t="str">
        <f>IF(VLOOKUP(A150,'Débit - Abfluss'!$A$4:$K$275,6,FALSE)="","",VLOOKUP(A150,'Débit - Abfluss'!$A$4:$M$275,6,FALSE))</f>
        <v>aucune information supplémentaire</v>
      </c>
      <c r="AO150" s="869" t="str">
        <f>IF(VLOOKUP(A150,'Débit - Abfluss'!$A$4:$K$275,7,FALSE)="","",VLOOKUP(A150,'Débit - Abfluss'!$A$4:$M$275,7,FALSE))</f>
        <v>aucune information supplémentaire</v>
      </c>
      <c r="AP150" s="766" t="str">
        <f>IF(VLOOKUP(A150,'Débit - Abfluss'!$A$4:$K$275,8,FALSE)="","",VLOOKUP(A150,'Débit - Abfluss'!$A$4:$M$275,8,FALSE))</f>
        <v>100%</v>
      </c>
      <c r="AQ150" s="742" t="str">
        <f>IF(VLOOKUP(A150,'Débit - Abfluss'!$A$4:$K$275,9,FALSE)="","",VLOOKUP(A150,'Débit - Abfluss'!$A$4:$M$275,9,FALSE))</f>
        <v>-</v>
      </c>
      <c r="AR150" s="767" t="str">
        <f>IF(VLOOKUP(A150,'Débit - Abfluss'!$A$4:$K$275,10,FALSE)="","",VLOOKUP(A150,'Débit - Abfluss'!$A$4:$M$275,10,FALSE))</f>
        <v>100%</v>
      </c>
      <c r="AS150" s="767" t="str">
        <f>IF(VLOOKUP(A150,'Débit - Abfluss'!$A$4:$K$275,11,FALSE)="","",VLOOKUP(A150,'Débit - Abfluss'!$A$4:$M$275,11,FALSE))</f>
        <v/>
      </c>
      <c r="AT150" s="778" t="str">
        <f>IF(VLOOKUP(A150,'Débit - Abfluss'!$A$4:$Q$275,12,FALSE)="","",VLOOKUP(A150,'Débit - Abfluss'!$A$4:$Q$275,12,FALSE))</f>
        <v/>
      </c>
      <c r="AU150" s="779" t="str">
        <f>IF(VLOOKUP(A150,'Débit - Abfluss'!$A$4:$Q$275,13,FALSE)="","",VLOOKUP(A150,'Débit - Abfluss'!$A$4:$Q$275,13,FALSE))</f>
        <v/>
      </c>
      <c r="AV150" s="746" t="str">
        <f>IF(VLOOKUP(A150,'Débit - Abfluss'!$A$4:$Q$275,14,FALSE)="","",VLOOKUP(A150,'Débit - Abfluss'!$A$4:$Q$275,14,FALSE))</f>
        <v/>
      </c>
      <c r="AW150" s="768" t="str">
        <f>IF(VLOOKUP(A150,'Débit - Abfluss'!$A$4:$Q$275,15,FALSE)="","",VLOOKUP(A150,'Débit - Abfluss'!$A$4:$Q$275,15,FALSE))</f>
        <v/>
      </c>
      <c r="AX150" s="679" t="str">
        <f>IF(VLOOKUP(A150,'Débit - Abfluss'!$A$4:$Q$275,16,FALSE)="","",VLOOKUP(A150,'Débit - Abfluss'!$A$4:$Q$275,16,FALSE))</f>
        <v/>
      </c>
      <c r="AY150" s="769" t="str">
        <f>IF(VLOOKUP(A150,'Débit - Abfluss'!$A$4:$Q$275,17,FALSE)="","",VLOOKUP(A150,'Débit - Abfluss'!$A$4:$Q$275,17,FALSE))</f>
        <v>100%</v>
      </c>
      <c r="AZ150" s="749" t="str">
        <f>IF(VLOOKUP(A150,'Eclusée - Schwall-Sunk'!$A$2:$F$273,5,FALSE)="","",VLOOKUP(A150,'Eclusée - Schwall-Sunk'!$A$2:$F$273,5,FALSE))</f>
        <v/>
      </c>
      <c r="BA150" s="750" t="str">
        <f>IF(VLOOKUP(A150,'Eclusée - Schwall-Sunk'!$A$2:$F$273,6,FALSE)="","",VLOOKUP(A150,'Eclusée - Schwall-Sunk'!$A$2:$F$273,6,FALSE))</f>
        <v>Potentiellement affecté mais non plausible / möglicherweise betroffen aber nicht nachweisbar</v>
      </c>
      <c r="BB150" s="751">
        <f>IF(VLOOKUP(A150,'Revitalisation-Revitalisierung'!$A$4:$Z$275,5,FALSE)="","",VLOOKUP(A150,'Revitalisation-Revitalisierung'!$A$4:$Z$275,5,FALSE))</f>
        <v>48.218181818181819</v>
      </c>
      <c r="BC150" s="752">
        <f>IF(VLOOKUP(A150,'Revitalisation-Revitalisierung'!$A$4:$Z$275,6,FALSE)="","",VLOOKUP(A150,'Revitalisation-Revitalisierung'!$A$4:$Z$275,6,FALSE))</f>
        <v>56.441124848438768</v>
      </c>
      <c r="BD150" s="752">
        <f>IF(VLOOKUP(A150,'Revitalisation-Revitalisierung'!$A$4:$Z$275,7,FALSE)="","",VLOOKUP(A150,'Revitalisation-Revitalisierung'!$A$4:$Z$275,7,FALSE))</f>
        <v>8.1818181818181817</v>
      </c>
      <c r="BE150" s="753" t="str">
        <f>IF(VLOOKUP(A150,'Revitalisation-Revitalisierung'!$A$4:$Z$275,8,FALSE)="","",VLOOKUP(A150,'Revitalisation-Revitalisierung'!$A$4:$Z$275,8,FALSE))</f>
        <v>très nécessaire, facile</v>
      </c>
      <c r="BF150" s="754" t="str">
        <f>IF(VLOOKUP(A150,'Revitalisation-Revitalisierung'!$A$4:$Z$275,9,FALSE)="","",VLOOKUP(A150,'Revitalisation-Revitalisierung'!$A$4:$Z$275,9,FALSE))</f>
        <v/>
      </c>
      <c r="BG150" s="754" t="str">
        <f>IF(VLOOKUP(A150,'Revitalisation-Revitalisierung'!$A$4:$Z$275,10,FALSE)="","",VLOOKUP(A150,'Revitalisation-Revitalisierung'!$A$4:$Z$275,10,FALSE))</f>
        <v>K1</v>
      </c>
      <c r="BH150" s="755" t="str">
        <f>IF(VLOOKUP(A150,'Revitalisation-Revitalisierung'!$A$4:$Z$275,11,FALSE)="","",VLOOKUP(A150,'Revitalisation-Revitalisierung'!$A$4:$Z$275,11,FALSE))</f>
        <v/>
      </c>
      <c r="BI150" s="756" t="str">
        <f>IF(VLOOKUP(A150,'Revitalisation-Revitalisierung'!$A$4:$Z$275,12,FALSE)="","",VLOOKUP(A150,'Revitalisation-Revitalisierung'!$A$4:$Z$275,12,FALSE))</f>
        <v>déjà revitalisé 2006</v>
      </c>
      <c r="BJ150" s="788" t="str">
        <f>IF(VLOOKUP(A150,'Revitalisation-Revitalisierung'!$A$4:$Z$275,13,FALSE)="","",VLOOKUP(A150,'Revitalisation-Revitalisierung'!$A$4:$Z$275,13,FALSE))</f>
        <v>Non nécessaire / nicht nötig</v>
      </c>
      <c r="BK150" s="870" t="str">
        <f>IF(VLOOKUP(A150,'Revitalisation-Revitalisierung'!$A$4:$Z$275,14,FALSE)="","",VLOOKUP(A150,'Revitalisation-Revitalisierung'!$A$4:$Z$275,14,FALSE))</f>
        <v>b</v>
      </c>
      <c r="BL150" s="758" t="str">
        <f>IF(VLOOKUP(A150,'Revitalisation-Revitalisierung'!$A$4:$Z$275,15,FALSE)="","",VLOOKUP(A150,'Revitalisation-Revitalisierung'!$A$4:$Z$275,15,FALSE))</f>
        <v>gross</v>
      </c>
      <c r="BM150" s="759" t="str">
        <f>IF(VLOOKUP(A150,'Revitalisation-Revitalisierung'!$A$4:$Z$275,16,FALSE)="","",VLOOKUP(A150,'Revitalisation-Revitalisierung'!$A$4:$Z$275,16,FALSE))</f>
        <v>gross/mittel/gering</v>
      </c>
      <c r="BN150" s="759" t="str">
        <f>IF(VLOOKUP(A150,'Revitalisation-Revitalisierung'!$A$4:$Z$275,17,FALSE)="","",VLOOKUP(A150,'Revitalisation-Revitalisierung'!$A$4:$Z$275,17,FALSE))</f>
        <v>hoch/gering</v>
      </c>
      <c r="BO150" s="760" t="str">
        <f>IF(VLOOKUP(A150,'Revitalisation-Revitalisierung'!$A$4:$Z$275,18,FALSE)="","",VLOOKUP(A150,'Revitalisation-Revitalisierung'!$A$4:$Z$275,18,FALSE))</f>
        <v>Partiellement nécessaire, facile / teilweise nötig, einfach</v>
      </c>
      <c r="BP150" s="761" t="str">
        <f>IF(VLOOKUP(A150,'Revitalisation-Revitalisierung'!$A$4:$Z$275,19,FALSE)="","",VLOOKUP(A150,'Revitalisation-Revitalisierung'!$A$4:$Z$275,19,FALSE))</f>
        <v>Partiellement nécessaire, facile / teilweise nötig, einfach</v>
      </c>
      <c r="BQ150" s="759" t="str">
        <f>IF(VLOOKUP(A150,'Revitalisation-Revitalisierung'!$A$4:$Z$275,20,FALSE)="","",VLOOKUP(A150,'Revitalisation-Revitalisierung'!$A$4:$Z$275,20,FALSE))</f>
        <v>c</v>
      </c>
      <c r="BR150" s="759" t="str">
        <f>IF(VLOOKUP(A150,'Revitalisation-Revitalisierung'!$A$4:$Z$275,21,FALSE)="","",VLOOKUP(A150,'Revitalisation-Revitalisierung'!$A$4:$Z$275,21,FALSE))</f>
        <v/>
      </c>
      <c r="BS150" s="762" t="str">
        <f>IF(VLOOKUP(A150,'Revitalisation-Revitalisierung'!$A$4:$Z$275,22,FALSE)="","",VLOOKUP(A150,'Revitalisation-Revitalisierung'!$A$4:$Z$275,22,FALSE))</f>
        <v/>
      </c>
      <c r="BT150" s="761" t="str">
        <f>IF(VLOOKUP(A150,'Revitalisation-Revitalisierung'!$A$4:$Z$275,23,FALSE)="","",VLOOKUP(A150,'Revitalisation-Revitalisierung'!$A$4:$Z$275,23,FALSE))</f>
        <v/>
      </c>
      <c r="BU150" s="704" t="str">
        <f>IF(VLOOKUP(A150,'Revitalisation-Revitalisierung'!$A$4:$Z$275,24,FALSE)="","",VLOOKUP(A150,'Revitalisation-Revitalisierung'!$A$4:$Z$275,24,FALSE))</f>
        <v/>
      </c>
      <c r="BV150" s="761" t="str">
        <f>IF(VLOOKUP(A150,'Revitalisation-Revitalisierung'!$A$4:$Z$275,25,FALSE)="","",VLOOKUP(A150,'Revitalisation-Revitalisierung'!$A$4:$Z$275,25,FALSE))</f>
        <v>Partiellement nécessaire, facile / teilweise nötig, einfach</v>
      </c>
      <c r="BW150" s="871" t="str">
        <f>IF(VLOOKUP(A150,'Revitalisation-Revitalisierung'!$A$4:$AA$275,27,FALSE)="","",VLOOKUP(A150,'Revitalisation-Revitalisierung'!$A$4:$AA$275,27,FALSE))</f>
        <v>a</v>
      </c>
    </row>
    <row r="151" spans="1:75" ht="78" customHeight="1" x14ac:dyDescent="0.25">
      <c r="A151" s="935">
        <v>190</v>
      </c>
      <c r="B151" s="856">
        <f>IF(VLOOKUP(A151,'Données de base - Grunddaten'!$A$2:$M$297,2,FALSE)="","",VLOOKUP(A151,'Données de base - Grunddaten'!$A$2:$M$297,2,FALSE))</f>
        <v>1</v>
      </c>
      <c r="C151" s="857" t="str">
        <f>IF(VLOOKUP(A151,'Données de base - Grunddaten'!$A$2:$M$297,3,FALSE)="","",VLOOKUP(A151,'Données de base - Grunddaten'!$A$2:$M$297,3,FALSE))</f>
        <v>Isla Glischa–Arvins–Seglias</v>
      </c>
      <c r="D151" s="857" t="str">
        <f>IF(VLOOKUP(A151,'Données de base - Grunddaten'!$A$2:$M$297,4,FALSE)="","",VLOOKUP(A151,'Données de base - Grunddaten'!$A$2:$M$297,4,FALSE))</f>
        <v>Inn, Chamuera</v>
      </c>
      <c r="E151" s="857" t="str">
        <f>IF(VLOOKUP(A151,'Données de base - Grunddaten'!$A$2:$M$297,5,FALSE)="","",VLOOKUP(A151,'Données de base - Grunddaten'!$A$2:$M$297,5,FALSE))</f>
        <v>GR</v>
      </c>
      <c r="F151" s="857" t="str">
        <f>IF(VLOOKUP(A151,'Données de base - Grunddaten'!$A$2:$M$297,6,FALSE)="","",VLOOKUP(A151,'Données de base - Grunddaten'!$A$2:$M$297,6,FALSE))</f>
        <v>Alpes centrales orientales</v>
      </c>
      <c r="G151" s="857" t="str">
        <f>IF(VLOOKUP(A151,'Données de base - Grunddaten'!$A$2:$M$297,7,FALSE)="","",VLOOKUP(A151,'Données de base - Grunddaten'!$A$2:$M$297,7,FALSE))</f>
        <v>Subalpin sup.</v>
      </c>
      <c r="H151" s="857">
        <f>IF(VLOOKUP(A151,'Données de base - Grunddaten'!$A$2:$M$297,8,FALSE)="","",VLOOKUP(A151,'Données de base - Grunddaten'!$A$2:$M$297,8,FALSE))</f>
        <v>1690</v>
      </c>
      <c r="I151" s="857">
        <f>IF(VLOOKUP(A151,'Données de base - Grunddaten'!$A$2:$M$297,9,FALSE)="","",VLOOKUP(A151,'Données de base - Grunddaten'!$A$2:$M$297,9,FALSE))</f>
        <v>1992</v>
      </c>
      <c r="J151" s="857">
        <f>IF(VLOOKUP(A151,'Données de base - Grunddaten'!$A$2:$M$297,10,FALSE)="","",VLOOKUP(A151,'Données de base - Grunddaten'!$A$2:$M$297,10,FALSE))</f>
        <v>32</v>
      </c>
      <c r="K151" s="857" t="str">
        <f>IF(VLOOKUP(A151,'Données de base - Grunddaten'!$A$2:$M$297,11,FALSE)="","",VLOOKUP(A151,'Données de base - Grunddaten'!$A$2:$M$297,11,FALSE))</f>
        <v>Cours d'eau corrigés de l'étage subalpin</v>
      </c>
      <c r="L151" s="857" t="str">
        <f>IF(VLOOKUP(A151,'Données de base - Grunddaten'!$A$2:$M$297,12,FALSE)="","",VLOOKUP(A151,'Données de base - Grunddaten'!$A$2:$M$297,12,FALSE))</f>
        <v>en tresses</v>
      </c>
      <c r="M151" s="858" t="str">
        <f>IF(VLOOKUP(A151,'Données de base - Grunddaten'!$A$2:$M$297,13,FALSE)="","",VLOOKUP(A151,'Données de base - Grunddaten'!$A$2:$M$297,13,FALSE))</f>
        <v>cours rectiligne</v>
      </c>
      <c r="N151" s="872" t="str">
        <f>IF(VLOOKUP(A151,'Charriage - Geschiebehaushalt'!$A$4:$R$275,5,FALSE)="","",VLOOKUP(A151,'Charriage - Geschiebehaushalt'!$A$4:$R$275,5,FALSE))</f>
        <v>pertinent</v>
      </c>
      <c r="O151" s="873" t="str">
        <f>IF(VLOOKUP(A151,'Charriage - Geschiebehaushalt'!$A$4:$R$275,6,FALSE)="","",VLOOKUP(A151,'Charriage - Geschiebehaushalt'!$A$4:$R$275,6,FALSE))</f>
        <v>0-20%</v>
      </c>
      <c r="P151" s="874">
        <f>IF(VLOOKUP(A151,'Charriage - Geschiebehaushalt'!$A$4:$R$275,7,FALSE)="","",VLOOKUP(A151,'Charriage - Geschiebehaushalt'!$A$4:$R$275,7,FALSE))</f>
        <v>-0.91112099286981796</v>
      </c>
      <c r="Q151" s="874" t="str">
        <f>IF(VLOOKUP(A151,'Charriage - Geschiebehaushalt'!$A$4:$R$275,8,FALSE)="","",VLOOKUP(A151,'Charriage - Geschiebehaushalt'!$A$4:$R$275,8,FALSE))</f>
        <v>pas d'incision</v>
      </c>
      <c r="R151" s="875">
        <f>IF(VLOOKUP(A151,'Charriage - Geschiebehaushalt'!$A$4:$R$275,9,FALSE)="","",VLOOKUP(A151,'Charriage - Geschiebehaushalt'!$A$4:$R$275,9,FALSE))</f>
        <v>0.67293332234886105</v>
      </c>
      <c r="S151" s="876" t="str">
        <f>IF(VLOOKUP(A151,'Charriage - Geschiebehaushalt'!$A$4:$R$275,10,FALSE)="","",VLOOKUP(A151,'Charriage - Geschiebehaushalt'!$A$4:$R$275,10,FALSE))</f>
        <v>la remobilisation des sédiments est perturbée</v>
      </c>
      <c r="T151" s="875">
        <f>IF(VLOOKUP(A151,'Charriage - Geschiebehaushalt'!$A$4:$R$275,11,FALSE)="","",VLOOKUP(A151,'Charriage - Geschiebehaushalt'!$A$4:$R$275,11,FALSE))</f>
        <v>0.49107661750999998</v>
      </c>
      <c r="U151" s="876" t="str">
        <f>IF(VLOOKUP(A151,'Charriage - Geschiebehaushalt'!$A$4:$R$275,12,FALSE)="","",VLOOKUP(A151,'Charriage - Geschiebehaushalt'!$A$4:$R$275,12,FALSE))</f>
        <v>déficit non apparent en charriage ou en remobilisation des sédiments</v>
      </c>
      <c r="V151" s="877" t="str">
        <f>IF(VLOOKUP(A151,'Charriage - Geschiebehaushalt'!$A$4:$R$275,13,FALSE)="","",VLOOKUP(A151,'Charriage - Geschiebehaushalt'!$A$4:$R$275,13,FALSE))</f>
        <v/>
      </c>
      <c r="W151" s="877" t="str">
        <f>IF(VLOOKUP(A151,'Charriage - Geschiebehaushalt'!$A$4:$R$275,14,FALSE)="","",VLOOKUP(A151,'Charriage - Geschiebehaushalt'!$A$4:$R$275,14,FALSE))</f>
        <v/>
      </c>
      <c r="X151" s="877" t="str">
        <f>IF(VLOOKUP(A151,'Charriage - Geschiebehaushalt'!$A$4:$R$275,15,FALSE)="","",VLOOKUP(A151,'Charriage - Geschiebehaushalt'!$A$4:$R$275,15,FALSE))</f>
        <v/>
      </c>
      <c r="Y151" s="879" t="str">
        <f>IF(VLOOKUP(A151,'Charriage - Geschiebehaushalt'!$A$4:$R$275,16,FALSE)="","",VLOOKUP(A151,'Charriage - Geschiebehaushalt'!$A$4:$R$275,16,FALSE))</f>
        <v/>
      </c>
      <c r="Z151" s="763" t="str">
        <f>IF(VLOOKUP(A151,'Charriage - Geschiebehaushalt'!$A$4:$R$275,17,FALSE)="","",VLOOKUP(A151,'Charriage - Geschiebehaushalt'!$A$4:$R$275,17,FALSE))</f>
        <v>0-20%</v>
      </c>
      <c r="AA151" s="880" t="str">
        <f>IF(VLOOKUP(A151,'Charriage - Geschiebehaushalt'!$A$4:$R$275,18,FALSE)="","",VLOOKUP(A151,'Charriage - Geschiebehaushalt'!$A$4:$R$275,18,FALSE))</f>
        <v>a</v>
      </c>
      <c r="AB151" s="737" t="str">
        <f>IF(VLOOKUP(A151,'Charriage - Geschiebehaushalt'!$A$4:$AC$275,19,FALSE)="","",VLOOKUP(A151,'Charriage - Geschiebehaushalt'!$A$4:$AC$275,19,FALSE))</f>
        <v>keine</v>
      </c>
      <c r="AC151" s="738">
        <f>IF(VLOOKUP(A151,'Charriage - Geschiebehaushalt'!$A$4:$AC$275,20,FALSE)="","",VLOOKUP(A151,'Charriage - Geschiebehaushalt'!$A$4:$AC$275,20,FALSE))</f>
        <v>0</v>
      </c>
      <c r="AD151" s="764" t="str">
        <f>IF(VLOOKUP(A151,'Charriage - Geschiebehaushalt'!$A$4:$AC$275,21,FALSE)="","",VLOOKUP(A151,'Charriage - Geschiebehaushalt'!$A$4:$AC$275,21,FALSE))</f>
        <v>0-20%</v>
      </c>
      <c r="AE151" s="798" t="str">
        <f>IF(VLOOKUP(A151,'Charriage - Geschiebehaushalt'!$A$4:$AC$275,22,FALSE)="","",VLOOKUP(A151,'Charriage - Geschiebehaushalt'!$A$4:$AC$275,22,FALSE))</f>
        <v>0-20%</v>
      </c>
      <c r="AF151" s="787" t="str">
        <f>IF(VLOOKUP(A151,'Charriage - Geschiebehaushalt'!$A$4:$AC$275,23,FALSE)="","",VLOOKUP(A151,'Charriage - Geschiebehaushalt'!$A$4:$AC$275,23,FALSE))</f>
        <v>d</v>
      </c>
      <c r="AG151" s="765" t="str">
        <f>IF(VLOOKUP(A151,'Charriage - Geschiebehaushalt'!$A$4:$AC$275,24,FALSE)="","",VLOOKUP(A151,'Charriage - Geschiebehaushalt'!$A$4:$AC$275,24,FALSE))</f>
        <v/>
      </c>
      <c r="AH151" s="764" t="str">
        <f>IF(VLOOKUP(A151,'Charriage - Geschiebehaushalt'!$A$4:$AC$275,25,FALSE)="","",VLOOKUP(A151,'Charriage - Geschiebehaushalt'!$A$4:$AC$275,25,FALSE))</f>
        <v/>
      </c>
      <c r="AI151" s="438" t="str">
        <f>IF(VLOOKUP(A151,'Charriage - Geschiebehaushalt'!$A$4:$AC$275,26,FALSE)="","",VLOOKUP(A151,'Charriage - Geschiebehaushalt'!$A$4:$AC$275,26,FALSE))</f>
        <v/>
      </c>
      <c r="AJ151" s="436" t="str">
        <f>IF(VLOOKUP(A151,'Charriage - Geschiebehaushalt'!$A$4:$AC$275,27,FALSE)="","",VLOOKUP(A151,'Charriage - Geschiebehaushalt'!$A$4:$AC$275,27,FALSE))</f>
        <v/>
      </c>
      <c r="AK151" s="814" t="str">
        <f>IF(VLOOKUP(A151,'Charriage - Geschiebehaushalt'!$A$4:$AC$275,28,FALSE)="","",VLOOKUP(A151,'Charriage - Geschiebehaushalt'!$A$4:$AC$275,28,FALSE))</f>
        <v>0-20%</v>
      </c>
      <c r="AL151" s="1285" t="str">
        <f>IF(VLOOKUP(A151,'Charriage - Geschiebehaushalt'!$A$4:$AD$275,30,FALSE)="","",VLOOKUP(A151,'Charriage - Geschiebehaushalt'!$A$4:$AD$275,30,FALSE))</f>
        <v>a</v>
      </c>
      <c r="AM151" s="1279" t="str">
        <f>IF(VLOOKUP(A151,'Débit - Abfluss'!$A$4:$K$275,5,FALSE)="","",VLOOKUP(A151,'Débit - Abfluss'!$A$4:$M$275,5,FALSE))</f>
        <v>100%</v>
      </c>
      <c r="AN151" s="868" t="str">
        <f>IF(VLOOKUP(A151,'Débit - Abfluss'!$A$4:$K$275,6,FALSE)="","",VLOOKUP(A151,'Débit - Abfluss'!$A$4:$M$275,6,FALSE))</f>
        <v>aucune information supplémentaire</v>
      </c>
      <c r="AO151" s="869" t="str">
        <f>IF(VLOOKUP(A151,'Débit - Abfluss'!$A$4:$K$275,7,FALSE)="","",VLOOKUP(A151,'Débit - Abfluss'!$A$4:$M$275,7,FALSE))</f>
        <v>aucune information supplémentaire</v>
      </c>
      <c r="AP151" s="766" t="str">
        <f>IF(VLOOKUP(A151,'Débit - Abfluss'!$A$4:$K$275,8,FALSE)="","",VLOOKUP(A151,'Débit - Abfluss'!$A$4:$M$275,8,FALSE))</f>
        <v>100%</v>
      </c>
      <c r="AQ151" s="742" t="str">
        <f>IF(VLOOKUP(A151,'Débit - Abfluss'!$A$4:$K$275,9,FALSE)="","",VLOOKUP(A151,'Débit - Abfluss'!$A$4:$M$275,9,FALSE))</f>
        <v>-</v>
      </c>
      <c r="AR151" s="767" t="str">
        <f>IF(VLOOKUP(A151,'Débit - Abfluss'!$A$4:$K$275,10,FALSE)="","",VLOOKUP(A151,'Débit - Abfluss'!$A$4:$M$275,10,FALSE))</f>
        <v>100%</v>
      </c>
      <c r="AS151" s="767" t="str">
        <f>IF(VLOOKUP(A151,'Débit - Abfluss'!$A$4:$K$275,11,FALSE)="","",VLOOKUP(A151,'Débit - Abfluss'!$A$4:$M$275,11,FALSE))</f>
        <v/>
      </c>
      <c r="AT151" s="778" t="str">
        <f>IF(VLOOKUP(A151,'Débit - Abfluss'!$A$4:$Q$275,12,FALSE)="","",VLOOKUP(A151,'Débit - Abfluss'!$A$4:$Q$275,12,FALSE))</f>
        <v/>
      </c>
      <c r="AU151" s="779" t="str">
        <f>IF(VLOOKUP(A151,'Débit - Abfluss'!$A$4:$Q$275,13,FALSE)="","",VLOOKUP(A151,'Débit - Abfluss'!$A$4:$Q$275,13,FALSE))</f>
        <v/>
      </c>
      <c r="AV151" s="746" t="str">
        <f>IF(VLOOKUP(A151,'Débit - Abfluss'!$A$4:$Q$275,14,FALSE)="","",VLOOKUP(A151,'Débit - Abfluss'!$A$4:$Q$275,14,FALSE))</f>
        <v/>
      </c>
      <c r="AW151" s="768" t="str">
        <f>IF(VLOOKUP(A151,'Débit - Abfluss'!$A$4:$Q$275,15,FALSE)="","",VLOOKUP(A151,'Débit - Abfluss'!$A$4:$Q$275,15,FALSE))</f>
        <v/>
      </c>
      <c r="AX151" s="679" t="str">
        <f>IF(VLOOKUP(A151,'Débit - Abfluss'!$A$4:$Q$275,16,FALSE)="","",VLOOKUP(A151,'Débit - Abfluss'!$A$4:$Q$275,16,FALSE))</f>
        <v/>
      </c>
      <c r="AY151" s="799" t="str">
        <f>IF(VLOOKUP(A151,'Débit - Abfluss'!$A$4:$Q$275,17,FALSE)="","",VLOOKUP(A151,'Débit - Abfluss'!$A$4:$Q$275,17,FALSE))</f>
        <v>100%</v>
      </c>
      <c r="AZ151" s="749" t="str">
        <f>IF(VLOOKUP(A151,'Eclusée - Schwall-Sunk'!$A$2:$F$273,5,FALSE)="","",VLOOKUP(A151,'Eclusée - Schwall-Sunk'!$A$2:$F$273,5,FALSE))</f>
        <v/>
      </c>
      <c r="BA151" s="750" t="str">
        <f>IF(VLOOKUP(A151,'Eclusée - Schwall-Sunk'!$A$2:$F$273,6,FALSE)="","",VLOOKUP(A151,'Eclusée - Schwall-Sunk'!$A$2:$F$273,6,FALSE))</f>
        <v>Potentiellement affecté mais non plausible / möglicherweise betroffen aber nicht nachweisbar</v>
      </c>
      <c r="BB151" s="751">
        <f>IF(VLOOKUP(A151,'Revitalisation-Revitalisierung'!$A$4:$Z$275,5,FALSE)="","",VLOOKUP(A151,'Revitalisation-Revitalisierung'!$A$4:$Z$275,5,FALSE))</f>
        <v>19.627272727272725</v>
      </c>
      <c r="BC151" s="752">
        <f>IF(VLOOKUP(A151,'Revitalisation-Revitalisierung'!$A$4:$Z$275,6,FALSE)="","",VLOOKUP(A151,'Revitalisation-Revitalisierung'!$A$4:$Z$275,6,FALSE))</f>
        <v>46.905144047345082</v>
      </c>
      <c r="BD151" s="752">
        <f>IF(VLOOKUP(A151,'Revitalisation-Revitalisierung'!$A$4:$Z$275,7,FALSE)="","",VLOOKUP(A151,'Revitalisation-Revitalisierung'!$A$4:$Z$275,7,FALSE))</f>
        <v>27.272727272727273</v>
      </c>
      <c r="BE151" s="753" t="str">
        <f>IF(VLOOKUP(A151,'Revitalisation-Revitalisierung'!$A$4:$Z$275,8,FALSE)="","",VLOOKUP(A151,'Revitalisation-Revitalisierung'!$A$4:$Z$275,8,FALSE))</f>
        <v>très nécessaire, difficile</v>
      </c>
      <c r="BF151" s="754" t="str">
        <f>IF(VLOOKUP(A151,'Revitalisation-Revitalisierung'!$A$4:$Z$275,9,FALSE)="","",VLOOKUP(A151,'Revitalisation-Revitalisierung'!$A$4:$Z$275,9,FALSE))</f>
        <v/>
      </c>
      <c r="BG151" s="754" t="str">
        <f>IF(VLOOKUP(A151,'Revitalisation-Revitalisierung'!$A$4:$Z$275,10,FALSE)="","",VLOOKUP(A151,'Revitalisation-Revitalisierung'!$A$4:$Z$275,10,FALSE))</f>
        <v>K1</v>
      </c>
      <c r="BH151" s="755" t="str">
        <f>IF(VLOOKUP(A151,'Revitalisation-Revitalisierung'!$A$4:$Z$275,11,FALSE)="","",VLOOKUP(A151,'Revitalisation-Revitalisierung'!$A$4:$Z$275,11,FALSE))</f>
        <v/>
      </c>
      <c r="BI151" s="756" t="str">
        <f>IF(VLOOKUP(A151,'Revitalisation-Revitalisierung'!$A$4:$Z$275,12,FALSE)="","",VLOOKUP(A151,'Revitalisation-Revitalisierung'!$A$4:$Z$275,12,FALSE))</f>
        <v/>
      </c>
      <c r="BJ151" s="788" t="str">
        <f>IF(VLOOKUP(A151,'Revitalisation-Revitalisierung'!$A$4:$Z$275,13,FALSE)="","",VLOOKUP(A151,'Revitalisation-Revitalisierung'!$A$4:$Z$275,13,FALSE))</f>
        <v>Très nécessaire, facile / unbedingt nötig, einfach</v>
      </c>
      <c r="BK151" s="870" t="str">
        <f>IF(VLOOKUP(A151,'Revitalisation-Revitalisierung'!$A$4:$Z$275,14,FALSE)="","",VLOOKUP(A151,'Revitalisation-Revitalisierung'!$A$4:$Z$275,14,FALSE))</f>
        <v>b</v>
      </c>
      <c r="BL151" s="758" t="str">
        <f>IF(VLOOKUP(A151,'Revitalisation-Revitalisierung'!$A$4:$Z$275,15,FALSE)="","",VLOOKUP(A151,'Revitalisation-Revitalisierung'!$A$4:$Z$275,15,FALSE))</f>
        <v>gross</v>
      </c>
      <c r="BM151" s="759" t="str">
        <f>IF(VLOOKUP(A151,'Revitalisation-Revitalisierung'!$A$4:$Z$275,16,FALSE)="","",VLOOKUP(A151,'Revitalisation-Revitalisierung'!$A$4:$Z$275,16,FALSE))</f>
        <v>gross/mittel/gering</v>
      </c>
      <c r="BN151" s="759" t="str">
        <f>IF(VLOOKUP(A151,'Revitalisation-Revitalisierung'!$A$4:$Z$275,17,FALSE)="","",VLOOKUP(A151,'Revitalisation-Revitalisierung'!$A$4:$Z$275,17,FALSE))</f>
        <v>hoch/gering</v>
      </c>
      <c r="BO151" s="760" t="str">
        <f>IF(VLOOKUP(A151,'Revitalisation-Revitalisierung'!$A$4:$Z$275,18,FALSE)="","",VLOOKUP(A151,'Revitalisation-Revitalisierung'!$A$4:$Z$275,18,FALSE))</f>
        <v>Très nécessaire, facile / unbedingt nötig, einfach</v>
      </c>
      <c r="BP151" s="761" t="str">
        <f>IF(VLOOKUP(A151,'Revitalisation-Revitalisierung'!$A$4:$Z$275,19,FALSE)="","",VLOOKUP(A151,'Revitalisation-Revitalisierung'!$A$4:$Z$275,19,FALSE))</f>
        <v>Très nécessaire, facile / unbedingt nötig, einfach</v>
      </c>
      <c r="BQ151" s="759" t="str">
        <f>IF(VLOOKUP(A151,'Revitalisation-Revitalisierung'!$A$4:$Z$275,20,FALSE)="","",VLOOKUP(A151,'Revitalisation-Revitalisierung'!$A$4:$Z$275,20,FALSE))</f>
        <v>d</v>
      </c>
      <c r="BR151" s="759" t="str">
        <f>IF(VLOOKUP(A151,'Revitalisation-Revitalisierung'!$A$4:$Z$275,21,FALSE)="","",VLOOKUP(A151,'Revitalisation-Revitalisierung'!$A$4:$Z$275,21,FALSE))</f>
        <v/>
      </c>
      <c r="BS151" s="762" t="str">
        <f>IF(VLOOKUP(A151,'Revitalisation-Revitalisierung'!$A$4:$Z$275,22,FALSE)="","",VLOOKUP(A151,'Revitalisation-Revitalisierung'!$A$4:$Z$275,22,FALSE))</f>
        <v/>
      </c>
      <c r="BT151" s="761" t="str">
        <f>IF(VLOOKUP(A151,'Revitalisation-Revitalisierung'!$A$4:$Z$275,23,FALSE)="","",VLOOKUP(A151,'Revitalisation-Revitalisierung'!$A$4:$Z$275,23,FALSE))</f>
        <v/>
      </c>
      <c r="BU151" s="704" t="str">
        <f>IF(VLOOKUP(A151,'Revitalisation-Revitalisierung'!$A$4:$Z$275,24,FALSE)="","",VLOOKUP(A151,'Revitalisation-Revitalisierung'!$A$4:$Z$275,24,FALSE))</f>
        <v/>
      </c>
      <c r="BV151" s="761" t="str">
        <f>IF(VLOOKUP(A151,'Revitalisation-Revitalisierung'!$A$4:$Z$275,25,FALSE)="","",VLOOKUP(A151,'Revitalisation-Revitalisierung'!$A$4:$Z$275,25,FALSE))</f>
        <v>Très nécessaire, facile / unbedingt nötig, einfach</v>
      </c>
      <c r="BW151" s="871" t="str">
        <f>IF(VLOOKUP(A151,'Revitalisation-Revitalisierung'!$A$4:$AA$275,27,FALSE)="","",VLOOKUP(A151,'Revitalisation-Revitalisierung'!$A$4:$AA$275,27,FALSE))</f>
        <v>a</v>
      </c>
    </row>
    <row r="152" spans="1:75" ht="65.45" customHeight="1" x14ac:dyDescent="0.25">
      <c r="A152" s="935">
        <v>194</v>
      </c>
      <c r="B152" s="856">
        <f>IF(VLOOKUP(A152,'Données de base - Grunddaten'!$A$2:$M$297,2,FALSE)="","",VLOOKUP(A152,'Données de base - Grunddaten'!$A$2:$M$297,2,FALSE))</f>
        <v>1</v>
      </c>
      <c r="C152" s="857" t="str">
        <f>IF(VLOOKUP(A152,'Données de base - Grunddaten'!$A$2:$M$297,3,FALSE)="","",VLOOKUP(A152,'Données de base - Grunddaten'!$A$2:$M$297,3,FALSE))</f>
        <v>Flaz</v>
      </c>
      <c r="D152" s="857" t="str">
        <f>IF(VLOOKUP(A152,'Données de base - Grunddaten'!$A$2:$M$297,4,FALSE)="","",VLOOKUP(A152,'Données de base - Grunddaten'!$A$2:$M$297,4,FALSE))</f>
        <v>Flaz, Inn</v>
      </c>
      <c r="E152" s="857" t="str">
        <f>IF(VLOOKUP(A152,'Données de base - Grunddaten'!$A$2:$M$297,5,FALSE)="","",VLOOKUP(A152,'Données de base - Grunddaten'!$A$2:$M$297,5,FALSE))</f>
        <v>GR</v>
      </c>
      <c r="F152" s="857" t="str">
        <f>IF(VLOOKUP(A152,'Données de base - Grunddaten'!$A$2:$M$297,6,FALSE)="","",VLOOKUP(A152,'Données de base - Grunddaten'!$A$2:$M$297,6,FALSE))</f>
        <v>Alpes centrales orientales</v>
      </c>
      <c r="G152" s="857" t="str">
        <f>IF(VLOOKUP(A152,'Données de base - Grunddaten'!$A$2:$M$297,7,FALSE)="","",VLOOKUP(A152,'Données de base - Grunddaten'!$A$2:$M$297,7,FALSE))</f>
        <v>Subalpin sup.</v>
      </c>
      <c r="H152" s="857">
        <f>IF(VLOOKUP(A152,'Données de base - Grunddaten'!$A$2:$M$297,8,FALSE)="","",VLOOKUP(A152,'Données de base - Grunddaten'!$A$2:$M$297,8,FALSE))</f>
        <v>1710</v>
      </c>
      <c r="I152" s="857">
        <f>IF(VLOOKUP(A152,'Données de base - Grunddaten'!$A$2:$M$297,9,FALSE)="","",VLOOKUP(A152,'Données de base - Grunddaten'!$A$2:$M$297,9,FALSE))</f>
        <v>1992</v>
      </c>
      <c r="J152" s="857">
        <f>IF(VLOOKUP(A152,'Données de base - Grunddaten'!$A$2:$M$297,10,FALSE)="","",VLOOKUP(A152,'Données de base - Grunddaten'!$A$2:$M$297,10,FALSE))</f>
        <v>32</v>
      </c>
      <c r="K152" s="857" t="str">
        <f>IF(VLOOKUP(A152,'Données de base - Grunddaten'!$A$2:$M$297,11,FALSE)="","",VLOOKUP(A152,'Données de base - Grunddaten'!$A$2:$M$297,11,FALSE))</f>
        <v>Cours d'eau corrigés de l'étage subalpin</v>
      </c>
      <c r="L152" s="857" t="str">
        <f>IF(VLOOKUP(A152,'Données de base - Grunddaten'!$A$2:$M$297,12,FALSE)="","",VLOOKUP(A152,'Données de base - Grunddaten'!$A$2:$M$297,12,FALSE))</f>
        <v>cours rectiligne</v>
      </c>
      <c r="M152" s="858" t="str">
        <f>IF(VLOOKUP(A152,'Données de base - Grunddaten'!$A$2:$M$297,13,FALSE)="","",VLOOKUP(A152,'Données de base - Grunddaten'!$A$2:$M$297,13,FALSE))</f>
        <v>cours rectiligne</v>
      </c>
      <c r="N152" s="872" t="str">
        <f>IF(VLOOKUP(A152,'Charriage - Geschiebehaushalt'!$A$4:$R$275,5,FALSE)="","",VLOOKUP(A152,'Charriage - Geschiebehaushalt'!$A$4:$R$275,5,FALSE))</f>
        <v>pertinent</v>
      </c>
      <c r="O152" s="873" t="str">
        <f>IF(VLOOKUP(A152,'Charriage - Geschiebehaushalt'!$A$4:$R$275,6,FALSE)="","",VLOOKUP(A152,'Charriage - Geschiebehaushalt'!$A$4:$R$275,6,FALSE))</f>
        <v>51-80%</v>
      </c>
      <c r="P152" s="874" t="str">
        <f>IF(VLOOKUP(A152,'Charriage - Geschiebehaushalt'!$A$4:$R$275,7,FALSE)="","",VLOOKUP(A152,'Charriage - Geschiebehaushalt'!$A$4:$R$275,7,FALSE))</f>
        <v/>
      </c>
      <c r="Q152" s="874" t="str">
        <f>IF(VLOOKUP(A152,'Charriage - Geschiebehaushalt'!$A$4:$R$275,8,FALSE)="","",VLOOKUP(A152,'Charriage - Geschiebehaushalt'!$A$4:$R$275,8,FALSE))</f>
        <v>non documenté</v>
      </c>
      <c r="R152" s="875">
        <f>IF(VLOOKUP(A152,'Charriage - Geschiebehaushalt'!$A$4:$R$275,9,FALSE)="","",VLOOKUP(A152,'Charriage - Geschiebehaushalt'!$A$4:$R$275,9,FALSE))</f>
        <v>0.635112348466225</v>
      </c>
      <c r="S152" s="876" t="str">
        <f>IF(VLOOKUP(A152,'Charriage - Geschiebehaushalt'!$A$4:$R$275,10,FALSE)="","",VLOOKUP(A152,'Charriage - Geschiebehaushalt'!$A$4:$R$275,10,FALSE))</f>
        <v>la remobilisation des sédiments est perturbée</v>
      </c>
      <c r="T152" s="875">
        <f>IF(VLOOKUP(A152,'Charriage - Geschiebehaushalt'!$A$4:$R$275,11,FALSE)="","",VLOOKUP(A152,'Charriage - Geschiebehaushalt'!$A$4:$R$275,11,FALSE))</f>
        <v>0.50950327495000003</v>
      </c>
      <c r="U152" s="876" t="str">
        <f>IF(VLOOKUP(A152,'Charriage - Geschiebehaushalt'!$A$4:$R$275,12,FALSE)="","",VLOOKUP(A152,'Charriage - Geschiebehaushalt'!$A$4:$R$275,12,FALSE))</f>
        <v>déficit non apparent en charriage ou en remobilisation des sédiments</v>
      </c>
      <c r="V152" s="877" t="str">
        <f>IF(VLOOKUP(A152,'Charriage - Geschiebehaushalt'!$A$4:$R$275,13,FALSE)="","",VLOOKUP(A152,'Charriage - Geschiebehaushalt'!$A$4:$R$275,13,FALSE))</f>
        <v/>
      </c>
      <c r="W152" s="877" t="str">
        <f>IF(VLOOKUP(A152,'Charriage - Geschiebehaushalt'!$A$4:$R$275,14,FALSE)="","",VLOOKUP(A152,'Charriage - Geschiebehaushalt'!$A$4:$R$275,14,FALSE))</f>
        <v/>
      </c>
      <c r="X152" s="877" t="str">
        <f>IF(VLOOKUP(A152,'Charriage - Geschiebehaushalt'!$A$4:$R$275,15,FALSE)="","",VLOOKUP(A152,'Charriage - Geschiebehaushalt'!$A$4:$R$275,15,FALSE))</f>
        <v/>
      </c>
      <c r="Y152" s="879" t="str">
        <f>IF(VLOOKUP(A152,'Charriage - Geschiebehaushalt'!$A$4:$R$275,16,FALSE)="","",VLOOKUP(A152,'Charriage - Geschiebehaushalt'!$A$4:$R$275,16,FALSE))</f>
        <v/>
      </c>
      <c r="Z152" s="763" t="str">
        <f>IF(VLOOKUP(A152,'Charriage - Geschiebehaushalt'!$A$4:$R$275,17,FALSE)="","",VLOOKUP(A152,'Charriage - Geschiebehaushalt'!$A$4:$R$275,17,FALSE))</f>
        <v>51-80%</v>
      </c>
      <c r="AA152" s="880" t="str">
        <f>IF(VLOOKUP(A152,'Charriage - Geschiebehaushalt'!$A$4:$R$275,18,FALSE)="","",VLOOKUP(A152,'Charriage - Geschiebehaushalt'!$A$4:$R$275,18,FALSE))</f>
        <v>a</v>
      </c>
      <c r="AB152" s="737" t="str">
        <f>IF(VLOOKUP(A152,'Charriage - Geschiebehaushalt'!$A$4:$AC$275,19,FALSE)="","",VLOOKUP(A152,'Charriage - Geschiebehaushalt'!$A$4:$AC$275,19,FALSE))</f>
        <v>keine</v>
      </c>
      <c r="AC152" s="738">
        <f>IF(VLOOKUP(A152,'Charriage - Geschiebehaushalt'!$A$4:$AC$275,20,FALSE)="","",VLOOKUP(A152,'Charriage - Geschiebehaushalt'!$A$4:$AC$275,20,FALSE))</f>
        <v>0</v>
      </c>
      <c r="AD152" s="764" t="str">
        <f>IF(VLOOKUP(A152,'Charriage - Geschiebehaushalt'!$A$4:$AC$275,21,FALSE)="","",VLOOKUP(A152,'Charriage - Geschiebehaushalt'!$A$4:$AC$275,21,FALSE))</f>
        <v>0-20%</v>
      </c>
      <c r="AE152" s="772" t="str">
        <f>IF(VLOOKUP(A152,'Charriage - Geschiebehaushalt'!$A$4:$AC$275,22,FALSE)="","",VLOOKUP(A152,'Charriage - Geschiebehaushalt'!$A$4:$AC$275,22,FALSE))</f>
        <v>0-20%</v>
      </c>
      <c r="AF152" s="787" t="str">
        <f>IF(VLOOKUP(A152,'Charriage - Geschiebehaushalt'!$A$4:$AC$275,23,FALSE)="","",VLOOKUP(A152,'Charriage - Geschiebehaushalt'!$A$4:$AC$275,23,FALSE))</f>
        <v>c</v>
      </c>
      <c r="AG152" s="765" t="str">
        <f>IF(VLOOKUP(A152,'Charriage - Geschiebehaushalt'!$A$4:$AC$275,24,FALSE)="","",VLOOKUP(A152,'Charriage - Geschiebehaushalt'!$A$4:$AC$275,24,FALSE))</f>
        <v/>
      </c>
      <c r="AH152" s="764" t="str">
        <f>IF(VLOOKUP(A152,'Charriage - Geschiebehaushalt'!$A$4:$AC$275,25,FALSE)="","",VLOOKUP(A152,'Charriage - Geschiebehaushalt'!$A$4:$AC$275,25,FALSE))</f>
        <v/>
      </c>
      <c r="AI152" s="436" t="str">
        <f>IF(VLOOKUP(A152,'Charriage - Geschiebehaushalt'!$A$4:$AC$275,26,FALSE)="","",VLOOKUP(A152,'Charriage - Geschiebehaushalt'!$A$4:$AC$275,26,FALSE))</f>
        <v/>
      </c>
      <c r="AJ152" s="436" t="str">
        <f>IF(VLOOKUP(A152,'Charriage - Geschiebehaushalt'!$A$4:$AC$275,27,FALSE)="","",VLOOKUP(A152,'Charriage - Geschiebehaushalt'!$A$4:$AC$275,27,FALSE))</f>
        <v/>
      </c>
      <c r="AK152" s="814" t="str">
        <f>IF(VLOOKUP(A152,'Charriage - Geschiebehaushalt'!$A$4:$AC$275,28,FALSE)="","",VLOOKUP(A152,'Charriage - Geschiebehaushalt'!$A$4:$AC$275,28,FALSE))</f>
        <v>0-20%</v>
      </c>
      <c r="AL152" s="1285" t="str">
        <f>IF(VLOOKUP(A152,'Charriage - Geschiebehaushalt'!$A$4:$AD$275,30,FALSE)="","",VLOOKUP(A152,'Charriage - Geschiebehaushalt'!$A$4:$AD$275,30,FALSE))</f>
        <v>a</v>
      </c>
      <c r="AM152" s="1279" t="str">
        <f>IF(VLOOKUP(A152,'Débit - Abfluss'!$A$4:$K$275,5,FALSE)="","",VLOOKUP(A152,'Débit - Abfluss'!$A$4:$M$275,5,FALSE))</f>
        <v>100%</v>
      </c>
      <c r="AN152" s="868" t="str">
        <f>IF(VLOOKUP(A152,'Débit - Abfluss'!$A$4:$K$275,6,FALSE)="","",VLOOKUP(A152,'Débit - Abfluss'!$A$4:$M$275,6,FALSE))</f>
        <v>aucune information supplémentaire</v>
      </c>
      <c r="AO152" s="869" t="str">
        <f>IF(VLOOKUP(A152,'Débit - Abfluss'!$A$4:$K$275,7,FALSE)="","",VLOOKUP(A152,'Débit - Abfluss'!$A$4:$M$275,7,FALSE))</f>
        <v>aucune information supplémentaire</v>
      </c>
      <c r="AP152" s="766" t="str">
        <f>IF(VLOOKUP(A152,'Débit - Abfluss'!$A$4:$K$275,8,FALSE)="","",VLOOKUP(A152,'Débit - Abfluss'!$A$4:$M$275,8,FALSE))</f>
        <v>100%</v>
      </c>
      <c r="AQ152" s="742" t="str">
        <f>IF(VLOOKUP(A152,'Débit - Abfluss'!$A$4:$K$275,9,FALSE)="","",VLOOKUP(A152,'Débit - Abfluss'!$A$4:$M$275,9,FALSE))</f>
        <v>-</v>
      </c>
      <c r="AR152" s="767" t="str">
        <f>IF(VLOOKUP(A152,'Débit - Abfluss'!$A$4:$K$275,10,FALSE)="","",VLOOKUP(A152,'Débit - Abfluss'!$A$4:$M$275,10,FALSE))</f>
        <v>100%</v>
      </c>
      <c r="AS152" s="767" t="str">
        <f>IF(VLOOKUP(A152,'Débit - Abfluss'!$A$4:$K$275,11,FALSE)="","",VLOOKUP(A152,'Débit - Abfluss'!$A$4:$M$275,11,FALSE))</f>
        <v/>
      </c>
      <c r="AT152" s="778" t="str">
        <f>IF(VLOOKUP(A152,'Débit - Abfluss'!$A$4:$Q$275,12,FALSE)="","",VLOOKUP(A152,'Débit - Abfluss'!$A$4:$Q$275,12,FALSE))</f>
        <v/>
      </c>
      <c r="AU152" s="779" t="str">
        <f>IF(VLOOKUP(A152,'Débit - Abfluss'!$A$4:$Q$275,13,FALSE)="","",VLOOKUP(A152,'Débit - Abfluss'!$A$4:$Q$275,13,FALSE))</f>
        <v/>
      </c>
      <c r="AV152" s="746" t="str">
        <f>IF(VLOOKUP(A152,'Débit - Abfluss'!$A$4:$Q$275,14,FALSE)="","",VLOOKUP(A152,'Débit - Abfluss'!$A$4:$Q$275,14,FALSE))</f>
        <v/>
      </c>
      <c r="AW152" s="768" t="str">
        <f>IF(VLOOKUP(A152,'Débit - Abfluss'!$A$4:$Q$275,15,FALSE)="","",VLOOKUP(A152,'Débit - Abfluss'!$A$4:$Q$275,15,FALSE))</f>
        <v/>
      </c>
      <c r="AX152" s="679" t="str">
        <f>IF(VLOOKUP(A152,'Débit - Abfluss'!$A$4:$Q$275,16,FALSE)="","",VLOOKUP(A152,'Débit - Abfluss'!$A$4:$Q$275,16,FALSE))</f>
        <v/>
      </c>
      <c r="AY152" s="799" t="str">
        <f>IF(VLOOKUP(A152,'Débit - Abfluss'!$A$4:$Q$275,17,FALSE)="","",VLOOKUP(A152,'Débit - Abfluss'!$A$4:$Q$275,17,FALSE))</f>
        <v>100%</v>
      </c>
      <c r="AZ152" s="749" t="str">
        <f>IF(VLOOKUP(A152,'Eclusée - Schwall-Sunk'!$A$2:$F$273,5,FALSE)="","",VLOOKUP(A152,'Eclusée - Schwall-Sunk'!$A$2:$F$273,5,FALSE))</f>
        <v/>
      </c>
      <c r="BA152" s="750" t="str">
        <f>IF(VLOOKUP(A152,'Eclusée - Schwall-Sunk'!$A$2:$F$273,6,FALSE)="","",VLOOKUP(A152,'Eclusée - Schwall-Sunk'!$A$2:$F$273,6,FALSE))</f>
        <v>Potentiellement affecté / möglicherweise betroffen</v>
      </c>
      <c r="BB152" s="751">
        <f>IF(VLOOKUP(A152,'Revitalisation-Revitalisierung'!$A$4:$Z$275,5,FALSE)="","",VLOOKUP(A152,'Revitalisation-Revitalisierung'!$A$4:$Z$275,5,FALSE))</f>
        <v>42.8</v>
      </c>
      <c r="BC152" s="752">
        <f>IF(VLOOKUP(A152,'Revitalisation-Revitalisierung'!$A$4:$Z$275,6,FALSE)="","",VLOOKUP(A152,'Revitalisation-Revitalisierung'!$A$4:$Z$275,6,FALSE))</f>
        <v>42.809272955856216</v>
      </c>
      <c r="BD152" s="752">
        <f>IF(VLOOKUP(A152,'Revitalisation-Revitalisierung'!$A$4:$Z$275,7,FALSE)="","",VLOOKUP(A152,'Revitalisation-Revitalisierung'!$A$4:$Z$275,7,FALSE))</f>
        <v>0</v>
      </c>
      <c r="BE152" s="753" t="str">
        <f>IF(VLOOKUP(A152,'Revitalisation-Revitalisierung'!$A$4:$Z$275,8,FALSE)="","",VLOOKUP(A152,'Revitalisation-Revitalisierung'!$A$4:$Z$275,8,FALSE))</f>
        <v>très nécessaire, facile</v>
      </c>
      <c r="BF152" s="754" t="str">
        <f>IF(VLOOKUP(A152,'Revitalisation-Revitalisierung'!$A$4:$Z$275,9,FALSE)="","",VLOOKUP(A152,'Revitalisation-Revitalisierung'!$A$4:$Z$275,9,FALSE))</f>
        <v/>
      </c>
      <c r="BG152" s="754" t="str">
        <f>IF(VLOOKUP(A152,'Revitalisation-Revitalisierung'!$A$4:$Z$275,10,FALSE)="","",VLOOKUP(A152,'Revitalisation-Revitalisierung'!$A$4:$Z$275,10,FALSE))</f>
        <v>K1</v>
      </c>
      <c r="BH152" s="755" t="str">
        <f>IF(VLOOKUP(A152,'Revitalisation-Revitalisierung'!$A$4:$Z$275,11,FALSE)="","",VLOOKUP(A152,'Revitalisation-Revitalisierung'!$A$4:$Z$275,11,FALSE))</f>
        <v/>
      </c>
      <c r="BI152" s="756" t="str">
        <f>IF(VLOOKUP(A152,'Revitalisation-Revitalisierung'!$A$4:$Z$275,12,FALSE)="","",VLOOKUP(A152,'Revitalisation-Revitalisierung'!$A$4:$Z$275,12,FALSE))</f>
        <v/>
      </c>
      <c r="BJ152" s="788" t="str">
        <f>IF(VLOOKUP(A152,'Revitalisation-Revitalisierung'!$A$4:$Z$275,13,FALSE)="","",VLOOKUP(A152,'Revitalisation-Revitalisierung'!$A$4:$Z$275,13,FALSE))</f>
        <v>Très nécessaire, facile / unbedingt nötig, einfach</v>
      </c>
      <c r="BK152" s="870" t="str">
        <f>IF(VLOOKUP(A152,'Revitalisation-Revitalisierung'!$A$4:$Z$275,14,FALSE)="","",VLOOKUP(A152,'Revitalisation-Revitalisierung'!$A$4:$Z$275,14,FALSE))</f>
        <v>a</v>
      </c>
      <c r="BL152" s="758" t="str">
        <f>IF(VLOOKUP(A152,'Revitalisation-Revitalisierung'!$A$4:$Z$275,15,FALSE)="","",VLOOKUP(A152,'Revitalisation-Revitalisierung'!$A$4:$Z$275,15,FALSE))</f>
        <v>gross</v>
      </c>
      <c r="BM152" s="759" t="str">
        <f>IF(VLOOKUP(A152,'Revitalisation-Revitalisierung'!$A$4:$Z$275,16,FALSE)="","",VLOOKUP(A152,'Revitalisation-Revitalisierung'!$A$4:$Z$275,16,FALSE))</f>
        <v>gross/mittel</v>
      </c>
      <c r="BN152" s="759" t="str">
        <f>IF(VLOOKUP(A152,'Revitalisation-Revitalisierung'!$A$4:$Z$275,17,FALSE)="","",VLOOKUP(A152,'Revitalisation-Revitalisierung'!$A$4:$Z$275,17,FALSE))</f>
        <v>hoch/gering</v>
      </c>
      <c r="BO152" s="760" t="str">
        <f>IF(VLOOKUP(A152,'Revitalisation-Revitalisierung'!$A$4:$Z$275,18,FALSE)="","",VLOOKUP(A152,'Revitalisation-Revitalisierung'!$A$4:$Z$275,18,FALSE))</f>
        <v>Très nécessaire, facile / unbedingt nötig, einfach</v>
      </c>
      <c r="BP152" s="761" t="str">
        <f>IF(VLOOKUP(A152,'Revitalisation-Revitalisierung'!$A$4:$Z$275,19,FALSE)="","",VLOOKUP(A152,'Revitalisation-Revitalisierung'!$A$4:$Z$275,19,FALSE))</f>
        <v>Très nécessaire, facile / unbedingt nötig, einfach</v>
      </c>
      <c r="BQ152" s="759" t="str">
        <f>IF(VLOOKUP(A152,'Revitalisation-Revitalisierung'!$A$4:$Z$275,20,FALSE)="","",VLOOKUP(A152,'Revitalisation-Revitalisierung'!$A$4:$Z$275,20,FALSE))</f>
        <v>d</v>
      </c>
      <c r="BR152" s="759" t="str">
        <f>IF(VLOOKUP(A152,'Revitalisation-Revitalisierung'!$A$4:$Z$275,21,FALSE)="","",VLOOKUP(A152,'Revitalisation-Revitalisierung'!$A$4:$Z$275,21,FALSE))</f>
        <v/>
      </c>
      <c r="BS152" s="762" t="str">
        <f>IF(VLOOKUP(A152,'Revitalisation-Revitalisierung'!$A$4:$Z$275,22,FALSE)="","",VLOOKUP(A152,'Revitalisation-Revitalisierung'!$A$4:$Z$275,22,FALSE))</f>
        <v/>
      </c>
      <c r="BT152" s="700" t="str">
        <f>IF(VLOOKUP(A152,'Revitalisation-Revitalisierung'!$A$4:$Z$275,23,FALSE)="","",VLOOKUP(A152,'Revitalisation-Revitalisierung'!$A$4:$Z$275,23,FALSE))</f>
        <v/>
      </c>
      <c r="BU152" s="699" t="str">
        <f>IF(VLOOKUP(A152,'Revitalisation-Revitalisierung'!$A$4:$Z$275,24,FALSE)="","",VLOOKUP(A152,'Revitalisation-Revitalisierung'!$A$4:$Z$275,24,FALSE))</f>
        <v/>
      </c>
      <c r="BV152" s="761" t="str">
        <f>IF(VLOOKUP(A152,'Revitalisation-Revitalisierung'!$A$4:$Z$275,25,FALSE)="","",VLOOKUP(A152,'Revitalisation-Revitalisierung'!$A$4:$Z$275,25,FALSE))</f>
        <v>Très nécessaire, facile / unbedingt nötig, einfach</v>
      </c>
      <c r="BW152" s="871" t="str">
        <f>IF(VLOOKUP(A152,'Revitalisation-Revitalisierung'!$A$4:$AA$275,27,FALSE)="","",VLOOKUP(A152,'Revitalisation-Revitalisierung'!$A$4:$AA$275,27,FALSE))</f>
        <v>a</v>
      </c>
    </row>
    <row r="153" spans="1:75" ht="70.150000000000006" customHeight="1" x14ac:dyDescent="0.25">
      <c r="A153" s="935">
        <v>195</v>
      </c>
      <c r="B153" s="856">
        <f>IF(VLOOKUP(A153,'Données de base - Grunddaten'!$A$2:$M$297,2,FALSE)="","",VLOOKUP(A153,'Données de base - Grunddaten'!$A$2:$M$297,2,FALSE))</f>
        <v>1</v>
      </c>
      <c r="C153" s="857" t="str">
        <f>IF(VLOOKUP(A153,'Données de base - Grunddaten'!$A$2:$M$297,3,FALSE)="","",VLOOKUP(A153,'Données de base - Grunddaten'!$A$2:$M$297,3,FALSE))</f>
        <v>II Rom Valchava-Graveras (Müstair)</v>
      </c>
      <c r="D153" s="857" t="str">
        <f>IF(VLOOKUP(A153,'Données de base - Grunddaten'!$A$2:$M$297,4,FALSE)="","",VLOOKUP(A153,'Données de base - Grunddaten'!$A$2:$M$297,4,FALSE))</f>
        <v>II Rom</v>
      </c>
      <c r="E153" s="857" t="str">
        <f>IF(VLOOKUP(A153,'Données de base - Grunddaten'!$A$2:$M$297,5,FALSE)="","",VLOOKUP(A153,'Données de base - Grunddaten'!$A$2:$M$297,5,FALSE))</f>
        <v>GR</v>
      </c>
      <c r="F153" s="857" t="str">
        <f>IF(VLOOKUP(A153,'Données de base - Grunddaten'!$A$2:$M$297,6,FALSE)="","",VLOOKUP(A153,'Données de base - Grunddaten'!$A$2:$M$297,6,FALSE))</f>
        <v>Alpes centrales orientales</v>
      </c>
      <c r="G153" s="857" t="str">
        <f>IF(VLOOKUP(A153,'Données de base - Grunddaten'!$A$2:$M$297,7,FALSE)="","",VLOOKUP(A153,'Données de base - Grunddaten'!$A$2:$M$297,7,FALSE))</f>
        <v>Subalpin inf.</v>
      </c>
      <c r="H153" s="857">
        <f>IF(VLOOKUP(A153,'Données de base - Grunddaten'!$A$2:$M$297,8,FALSE)="","",VLOOKUP(A153,'Données de base - Grunddaten'!$A$2:$M$297,8,FALSE))</f>
        <v>1320</v>
      </c>
      <c r="I153" s="857">
        <f>IF(VLOOKUP(A153,'Données de base - Grunddaten'!$A$2:$M$297,9,FALSE)="","",VLOOKUP(A153,'Données de base - Grunddaten'!$A$2:$M$297,9,FALSE))</f>
        <v>1992</v>
      </c>
      <c r="J153" s="857">
        <f>IF(VLOOKUP(A153,'Données de base - Grunddaten'!$A$2:$M$297,10,FALSE)="","",VLOOKUP(A153,'Données de base - Grunddaten'!$A$2:$M$297,10,FALSE))</f>
        <v>31</v>
      </c>
      <c r="K153" s="857" t="str">
        <f>IF(VLOOKUP(A153,'Données de base - Grunddaten'!$A$2:$M$297,11,FALSE)="","",VLOOKUP(A153,'Données de base - Grunddaten'!$A$2:$M$297,11,FALSE))</f>
        <v>Cours d'eau naturels de l'étage subalpin</v>
      </c>
      <c r="L153" s="857" t="str">
        <f>IF(VLOOKUP(A153,'Données de base - Grunddaten'!$A$2:$M$297,12,FALSE)="","",VLOOKUP(A153,'Données de base - Grunddaten'!$A$2:$M$297,12,FALSE))</f>
        <v>méandres migrants</v>
      </c>
      <c r="M153" s="858" t="str">
        <f>IF(VLOOKUP(A153,'Données de base - Grunddaten'!$A$2:$M$297,13,FALSE)="","",VLOOKUP(A153,'Données de base - Grunddaten'!$A$2:$M$297,13,FALSE))</f>
        <v>cours rectiligne</v>
      </c>
      <c r="N153" s="872" t="str">
        <f>IF(VLOOKUP(A153,'Charriage - Geschiebehaushalt'!$A$4:$R$275,5,FALSE)="","",VLOOKUP(A153,'Charriage - Geschiebehaushalt'!$A$4:$R$275,5,FALSE))</f>
        <v>pertinent</v>
      </c>
      <c r="O153" s="881" t="str">
        <f>IF(VLOOKUP(A153,'Charriage - Geschiebehaushalt'!$A$4:$R$275,6,FALSE)="","",VLOOKUP(A153,'Charriage - Geschiebehaushalt'!$A$4:$R$275,6,FALSE))</f>
        <v>non documenté</v>
      </c>
      <c r="P153" s="874" t="str">
        <f>IF(VLOOKUP(A153,'Charriage - Geschiebehaushalt'!$A$4:$R$275,7,FALSE)="","",VLOOKUP(A153,'Charriage - Geschiebehaushalt'!$A$4:$R$275,7,FALSE))</f>
        <v/>
      </c>
      <c r="Q153" s="874" t="str">
        <f>IF(VLOOKUP(A153,'Charriage - Geschiebehaushalt'!$A$4:$R$275,8,FALSE)="","",VLOOKUP(A153,'Charriage - Geschiebehaushalt'!$A$4:$R$275,8,FALSE))</f>
        <v>non documenté</v>
      </c>
      <c r="R153" s="875">
        <f>IF(VLOOKUP(A153,'Charriage - Geschiebehaushalt'!$A$4:$R$275,9,FALSE)="","",VLOOKUP(A153,'Charriage - Geschiebehaushalt'!$A$4:$R$275,9,FALSE))</f>
        <v>0.54830601759287401</v>
      </c>
      <c r="S153" s="895" t="str">
        <f>IF(VLOOKUP(A153,'Charriage - Geschiebehaushalt'!$A$4:$R$275,10,FALSE)="","",VLOOKUP(A153,'Charriage - Geschiebehaushalt'!$A$4:$R$275,10,FALSE))</f>
        <v>la remobilisation des sédiments est perturbée</v>
      </c>
      <c r="T153" s="875">
        <f>IF(VLOOKUP(A153,'Charriage - Geschiebehaushalt'!$A$4:$R$275,11,FALSE)="","",VLOOKUP(A153,'Charriage - Geschiebehaushalt'!$A$4:$R$275,11,FALSE))</f>
        <v>0.48116237857999999</v>
      </c>
      <c r="U153" s="876" t="str">
        <f>IF(VLOOKUP(A153,'Charriage - Geschiebehaushalt'!$A$4:$R$275,12,FALSE)="","",VLOOKUP(A153,'Charriage - Geschiebehaushalt'!$A$4:$R$275,12,FALSE))</f>
        <v>déficit non apparent en charriage ou en remobilisation des sédiments</v>
      </c>
      <c r="V153" s="877" t="str">
        <f>IF(VLOOKUP(A153,'Charriage - Geschiebehaushalt'!$A$4:$R$275,13,FALSE)="","",VLOOKUP(A153,'Charriage - Geschiebehaushalt'!$A$4:$R$275,13,FALSE))</f>
        <v/>
      </c>
      <c r="W153" s="877" t="str">
        <f>IF(VLOOKUP(A153,'Charriage - Geschiebehaushalt'!$A$4:$R$275,14,FALSE)="","",VLOOKUP(A153,'Charriage - Geschiebehaushalt'!$A$4:$R$275,14,FALSE))</f>
        <v/>
      </c>
      <c r="X153" s="877" t="str">
        <f>IF(VLOOKUP(A153,'Charriage - Geschiebehaushalt'!$A$4:$R$275,15,FALSE)="","",VLOOKUP(A153,'Charriage - Geschiebehaushalt'!$A$4:$R$275,15,FALSE))</f>
        <v/>
      </c>
      <c r="Y153" s="879" t="str">
        <f>IF(VLOOKUP(A153,'Charriage - Geschiebehaushalt'!$A$4:$R$275,16,FALSE)="","",VLOOKUP(A153,'Charriage - Geschiebehaushalt'!$A$4:$R$275,16,FALSE))</f>
        <v/>
      </c>
      <c r="Z153" s="763" t="str">
        <f>IF(VLOOKUP(A153,'Charriage - Geschiebehaushalt'!$A$4:$R$275,17,FALSE)="","",VLOOKUP(A153,'Charriage - Geschiebehaushalt'!$A$4:$R$275,17,FALSE))</f>
        <v>La remobilisation des sédiments est perturbée / Mobilisierung von Geschiebe beeinträchtigt</v>
      </c>
      <c r="AA153" s="880" t="str">
        <f>IF(VLOOKUP(A153,'Charriage - Geschiebehaushalt'!$A$4:$R$275,18,FALSE)="","",VLOOKUP(A153,'Charriage - Geschiebehaushalt'!$A$4:$R$275,18,FALSE))</f>
        <v>b</v>
      </c>
      <c r="AB153" s="737" t="str">
        <f>IF(VLOOKUP(A153,'Charriage - Geschiebehaushalt'!$A$4:$AC$275,19,FALSE)="","",VLOOKUP(A153,'Charriage - Geschiebehaushalt'!$A$4:$AC$275,19,FALSE))</f>
        <v>vernachlässigbar</v>
      </c>
      <c r="AC153" s="738">
        <f>IF(VLOOKUP(A153,'Charriage - Geschiebehaushalt'!$A$4:$AC$275,20,FALSE)="","",VLOOKUP(A153,'Charriage - Geschiebehaushalt'!$A$4:$AC$275,20,FALSE))</f>
        <v>0</v>
      </c>
      <c r="AD153" s="764" t="str">
        <f>IF(VLOOKUP(A153,'Charriage - Geschiebehaushalt'!$A$4:$AC$275,21,FALSE)="","",VLOOKUP(A153,'Charriage - Geschiebehaushalt'!$A$4:$AC$275,21,FALSE))</f>
        <v>21-50%</v>
      </c>
      <c r="AE153" s="800" t="str">
        <f>IF(VLOOKUP(A153,'Charriage - Geschiebehaushalt'!$A$4:$AC$275,22,FALSE)="","",VLOOKUP(A153,'Charriage - Geschiebehaushalt'!$A$4:$AC$275,22,FALSE))</f>
        <v>21-50%</v>
      </c>
      <c r="AF153" s="787" t="str">
        <f>IF(VLOOKUP(A153,'Charriage - Geschiebehaushalt'!$A$4:$AC$275,23,FALSE)="","",VLOOKUP(A153,'Charriage - Geschiebehaushalt'!$A$4:$AC$275,23,FALSE))</f>
        <v>d</v>
      </c>
      <c r="AG153" s="765" t="str">
        <f>IF(VLOOKUP(A153,'Charriage - Geschiebehaushalt'!$A$4:$AC$275,24,FALSE)="","",VLOOKUP(A153,'Charriage - Geschiebehaushalt'!$A$4:$AC$275,24,FALSE))</f>
        <v/>
      </c>
      <c r="AH153" s="764" t="str">
        <f>IF(VLOOKUP(A153,'Charriage - Geschiebehaushalt'!$A$4:$AC$275,25,FALSE)="","",VLOOKUP(A153,'Charriage - Geschiebehaushalt'!$A$4:$AC$275,25,FALSE))</f>
        <v/>
      </c>
      <c r="AI153" s="438" t="str">
        <f>IF(VLOOKUP(A153,'Charriage - Geschiebehaushalt'!$A$4:$AC$275,26,FALSE)="","",VLOOKUP(A153,'Charriage - Geschiebehaushalt'!$A$4:$AC$275,26,FALSE))</f>
        <v/>
      </c>
      <c r="AJ153" s="436" t="str">
        <f>IF(VLOOKUP(A153,'Charriage - Geschiebehaushalt'!$A$4:$AC$275,27,FALSE)="","",VLOOKUP(A153,'Charriage - Geschiebehaushalt'!$A$4:$AC$275,27,FALSE))</f>
        <v/>
      </c>
      <c r="AK153" s="814" t="str">
        <f>IF(VLOOKUP(A153,'Charriage - Geschiebehaushalt'!$A$4:$AC$275,28,FALSE)="","",VLOOKUP(A153,'Charriage - Geschiebehaushalt'!$A$4:$AC$275,28,FALSE))</f>
        <v>21-50%</v>
      </c>
      <c r="AL153" s="1285" t="str">
        <f>IF(VLOOKUP(A153,'Charriage - Geschiebehaushalt'!$A$4:$AD$275,30,FALSE)="","",VLOOKUP(A153,'Charriage - Geschiebehaushalt'!$A$4:$AD$275,30,FALSE))</f>
        <v>a</v>
      </c>
      <c r="AM153" s="1279" t="str">
        <f>IF(VLOOKUP(A153,'Débit - Abfluss'!$A$4:$K$275,5,FALSE)="","",VLOOKUP(A153,'Débit - Abfluss'!$A$4:$M$275,5,FALSE))</f>
        <v>61-80%</v>
      </c>
      <c r="AN153" s="868" t="str">
        <f>IF(VLOOKUP(A153,'Débit - Abfluss'!$A$4:$K$275,6,FALSE)="","",VLOOKUP(A153,'Débit - Abfluss'!$A$4:$M$275,6,FALSE))</f>
        <v/>
      </c>
      <c r="AO153" s="869" t="str">
        <f>IF(VLOOKUP(A153,'Débit - Abfluss'!$A$4:$K$275,7,FALSE)="","",VLOOKUP(A153,'Débit - Abfluss'!$A$4:$M$275,7,FALSE))</f>
        <v/>
      </c>
      <c r="AP153" s="766" t="str">
        <f>IF(VLOOKUP(A153,'Débit - Abfluss'!$A$4:$K$275,8,FALSE)="","",VLOOKUP(A153,'Débit - Abfluss'!$A$4:$M$275,8,FALSE))</f>
        <v>61-80%</v>
      </c>
      <c r="AQ153" s="678" t="str">
        <f>IF(VLOOKUP(A153,'Débit - Abfluss'!$A$4:$K$275,9,FALSE)="","",VLOOKUP(A153,'Débit - Abfluss'!$A$4:$M$275,9,FALSE))</f>
        <v>Fehlende Angaben / 10-50%</v>
      </c>
      <c r="AR153" s="773" t="str">
        <f>IF(VLOOKUP(A153,'Débit - Abfluss'!$A$4:$K$275,10,FALSE)="","",VLOOKUP(A153,'Débit - Abfluss'!$A$4:$M$275,10,FALSE))</f>
        <v>61-80%</v>
      </c>
      <c r="AS153" s="773" t="str">
        <f>IF(VLOOKUP(A153,'Débit - Abfluss'!$A$4:$K$275,11,FALSE)="","",VLOOKUP(A153,'Débit - Abfluss'!$A$4:$M$275,11,FALSE))</f>
        <v>X</v>
      </c>
      <c r="AT153" s="778" t="str">
        <f>IF(VLOOKUP(A153,'Débit - Abfluss'!$A$4:$Q$275,12,FALSE)="","",VLOOKUP(A153,'Débit - Abfluss'!$A$4:$Q$275,12,FALSE))</f>
        <v/>
      </c>
      <c r="AU153" s="779" t="str">
        <f>IF(VLOOKUP(A153,'Débit - Abfluss'!$A$4:$Q$275,13,FALSE)="","",VLOOKUP(A153,'Débit - Abfluss'!$A$4:$Q$275,13,FALSE))</f>
        <v/>
      </c>
      <c r="AV153" s="746" t="str">
        <f>IF(VLOOKUP(A153,'Débit - Abfluss'!$A$4:$Q$275,14,FALSE)="","",VLOOKUP(A153,'Débit - Abfluss'!$A$4:$Q$275,14,FALSE))</f>
        <v>GR-PEM1-1
GR-PEM2-1</v>
      </c>
      <c r="AW153" s="768" t="str">
        <f>IF(VLOOKUP(A153,'Débit - Abfluss'!$A$4:$Q$275,15,FALSE)="","",VLOOKUP(A153,'Débit - Abfluss'!$A$4:$Q$275,15,FALSE))</f>
        <v>Muranzina</v>
      </c>
      <c r="AX153" s="679" t="str">
        <f>IF(VLOOKUP(A153,'Débit - Abfluss'!$A$4:$Q$275,16,FALSE)="","",VLOOKUP(A153,'Débit - Abfluss'!$A$4:$Q$275,16,FALSE))</f>
        <v/>
      </c>
      <c r="AY153" s="775" t="str">
        <f>IF(VLOOKUP(A153,'Débit - Abfluss'!$A$4:$Q$275,17,FALSE)="","",VLOOKUP(A153,'Débit - Abfluss'!$A$4:$Q$275,17,FALSE))</f>
        <v>61-80%</v>
      </c>
      <c r="AZ153" s="749" t="str">
        <f>IF(VLOOKUP(A153,'Eclusée - Schwall-Sunk'!$A$2:$F$273,5,FALSE)="","",VLOOKUP(A153,'Eclusée - Schwall-Sunk'!$A$2:$F$273,5,FALSE))</f>
        <v>force hydraulique</v>
      </c>
      <c r="BA153" s="750" t="str">
        <f>IF(VLOOKUP(A153,'Eclusée - Schwall-Sunk'!$A$2:$F$273,6,FALSE)="","",VLOOKUP(A153,'Eclusée - Schwall-Sunk'!$A$2:$F$273,6,FALSE))</f>
        <v>Non affecté / nicht betroffen</v>
      </c>
      <c r="BB153" s="751">
        <f>IF(VLOOKUP(A153,'Revitalisation-Revitalisierung'!$A$4:$Z$275,5,FALSE)="","",VLOOKUP(A153,'Revitalisation-Revitalisierung'!$A$4:$Z$275,5,FALSE))</f>
        <v>10.718181818181819</v>
      </c>
      <c r="BC153" s="752">
        <f>IF(VLOOKUP(A153,'Revitalisation-Revitalisierung'!$A$4:$Z$275,6,FALSE)="","",VLOOKUP(A153,'Revitalisation-Revitalisierung'!$A$4:$Z$275,6,FALSE))</f>
        <v>48.865708096104626</v>
      </c>
      <c r="BD153" s="752">
        <f>IF(VLOOKUP(A153,'Revitalisation-Revitalisierung'!$A$4:$Z$275,7,FALSE)="","",VLOOKUP(A153,'Revitalisation-Revitalisierung'!$A$4:$Z$275,7,FALSE))</f>
        <v>38.18181818181818</v>
      </c>
      <c r="BE153" s="753" t="str">
        <f>IF(VLOOKUP(A153,'Revitalisation-Revitalisierung'!$A$4:$Z$275,8,FALSE)="","",VLOOKUP(A153,'Revitalisation-Revitalisierung'!$A$4:$Z$275,8,FALSE))</f>
        <v>très nécessaire, difficile</v>
      </c>
      <c r="BF153" s="754" t="str">
        <f>IF(VLOOKUP(A153,'Revitalisation-Revitalisierung'!$A$4:$Z$275,9,FALSE)="","",VLOOKUP(A153,'Revitalisation-Revitalisierung'!$A$4:$Z$275,9,FALSE))</f>
        <v/>
      </c>
      <c r="BG153" s="754" t="str">
        <f>IF(VLOOKUP(A153,'Revitalisation-Revitalisierung'!$A$4:$Z$275,10,FALSE)="","",VLOOKUP(A153,'Revitalisation-Revitalisierung'!$A$4:$Z$275,10,FALSE))</f>
        <v>K1</v>
      </c>
      <c r="BH153" s="755" t="str">
        <f>IF(VLOOKUP(A153,'Revitalisation-Revitalisierung'!$A$4:$Z$275,11,FALSE)="","",VLOOKUP(A153,'Revitalisation-Revitalisierung'!$A$4:$Z$275,11,FALSE))</f>
        <v/>
      </c>
      <c r="BI153" s="756" t="str">
        <f>IF(VLOOKUP(A153,'Revitalisation-Revitalisierung'!$A$4:$Z$275,12,FALSE)="","",VLOOKUP(A153,'Revitalisation-Revitalisierung'!$A$4:$Z$275,12,FALSE))</f>
        <v/>
      </c>
      <c r="BJ153" s="788" t="str">
        <f>IF(VLOOKUP(A153,'Revitalisation-Revitalisierung'!$A$4:$Z$275,13,FALSE)="","",VLOOKUP(A153,'Revitalisation-Revitalisierung'!$A$4:$Z$275,13,FALSE))</f>
        <v>Très nécessaire, difficile / unbedingt nötig, schwierig</v>
      </c>
      <c r="BK153" s="870" t="str">
        <f>IF(VLOOKUP(A153,'Revitalisation-Revitalisierung'!$A$4:$Z$275,14,FALSE)="","",VLOOKUP(A153,'Revitalisation-Revitalisierung'!$A$4:$Z$275,14,FALSE))</f>
        <v>a</v>
      </c>
      <c r="BL153" s="758" t="str">
        <f>IF(VLOOKUP(A153,'Revitalisation-Revitalisierung'!$A$4:$Z$275,15,FALSE)="","",VLOOKUP(A153,'Revitalisation-Revitalisierung'!$A$4:$Z$275,15,FALSE))</f>
        <v>gross</v>
      </c>
      <c r="BM153" s="759" t="str">
        <f>IF(VLOOKUP(A153,'Revitalisation-Revitalisierung'!$A$4:$Z$275,16,FALSE)="","",VLOOKUP(A153,'Revitalisation-Revitalisierung'!$A$4:$Z$275,16,FALSE))</f>
        <v>mittel/gering/kein/nicht best.</v>
      </c>
      <c r="BN153" s="759" t="str">
        <f>IF(VLOOKUP(A153,'Revitalisation-Revitalisierung'!$A$4:$Z$275,17,FALSE)="","",VLOOKUP(A153,'Revitalisation-Revitalisierung'!$A$4:$Z$275,17,FALSE))</f>
        <v>gering</v>
      </c>
      <c r="BO153" s="760" t="str">
        <f>IF(VLOOKUP(A153,'Revitalisation-Revitalisierung'!$A$4:$Z$275,18,FALSE)="","",VLOOKUP(A153,'Revitalisation-Revitalisierung'!$A$4:$Z$275,18,FALSE))</f>
        <v>Partiellement nécessaire, difficile / teilweise nötig, schwierig</v>
      </c>
      <c r="BP153" s="761" t="str">
        <f>IF(VLOOKUP(A153,'Revitalisation-Revitalisierung'!$A$4:$Z$275,19,FALSE)="","",VLOOKUP(A153,'Revitalisation-Revitalisierung'!$A$4:$Z$275,19,FALSE))</f>
        <v>Partiellement nécessaire, difficile / teilweise nötig, schwierig</v>
      </c>
      <c r="BQ153" s="759" t="str">
        <f>IF(VLOOKUP(A153,'Revitalisation-Revitalisierung'!$A$4:$Z$275,20,FALSE)="","",VLOOKUP(A153,'Revitalisation-Revitalisierung'!$A$4:$Z$275,20,FALSE))</f>
        <v>c</v>
      </c>
      <c r="BR153" s="759" t="str">
        <f>IF(VLOOKUP(A153,'Revitalisation-Revitalisierung'!$A$4:$Z$275,21,FALSE)="","",VLOOKUP(A153,'Revitalisation-Revitalisierung'!$A$4:$Z$275,21,FALSE))</f>
        <v/>
      </c>
      <c r="BS153" s="762" t="str">
        <f>IF(VLOOKUP(A153,'Revitalisation-Revitalisierung'!$A$4:$Z$275,22,FALSE)="","",VLOOKUP(A153,'Revitalisation-Revitalisierung'!$A$4:$Z$275,22,FALSE))</f>
        <v/>
      </c>
      <c r="BT153" s="761" t="str">
        <f>IF(VLOOKUP(A153,'Revitalisation-Revitalisierung'!$A$4:$Z$275,23,FALSE)="","",VLOOKUP(A153,'Revitalisation-Revitalisierung'!$A$4:$Z$275,23,FALSE))</f>
        <v/>
      </c>
      <c r="BU153" s="704" t="str">
        <f>IF(VLOOKUP(A153,'Revitalisation-Revitalisierung'!$A$4:$Z$275,24,FALSE)="","",VLOOKUP(A153,'Revitalisation-Revitalisierung'!$A$4:$Z$275,24,FALSE))</f>
        <v/>
      </c>
      <c r="BV153" s="761" t="str">
        <f>IF(VLOOKUP(A153,'Revitalisation-Revitalisierung'!$A$4:$Z$275,25,FALSE)="","",VLOOKUP(A153,'Revitalisation-Revitalisierung'!$A$4:$Z$275,25,FALSE))</f>
        <v>Partiellement nécessaire, difficile / teilweise nötig, schwierig</v>
      </c>
      <c r="BW153" s="871" t="str">
        <f>IF(VLOOKUP(A153,'Revitalisation-Revitalisierung'!$A$4:$AA$275,27,FALSE)="","",VLOOKUP(A153,'Revitalisation-Revitalisierung'!$A$4:$AA$275,27,FALSE))</f>
        <v>a</v>
      </c>
    </row>
    <row r="154" spans="1:75" ht="53.45" customHeight="1" x14ac:dyDescent="0.25">
      <c r="A154" s="935">
        <v>198</v>
      </c>
      <c r="B154" s="856">
        <f>IF(VLOOKUP(A154,'Données de base - Grunddaten'!$A$2:$M$297,2,FALSE)="","",VLOOKUP(A154,'Données de base - Grunddaten'!$A$2:$M$297,2,FALSE))</f>
        <v>1</v>
      </c>
      <c r="C154" s="857" t="str">
        <f>IF(VLOOKUP(A154,'Données de base - Grunddaten'!$A$2:$M$297,3,FALSE)="","",VLOOKUP(A154,'Données de base - Grunddaten'!$A$2:$M$297,3,FALSE))</f>
        <v>Les Grèves de Concise</v>
      </c>
      <c r="D154" s="857" t="str">
        <f>IF(VLOOKUP(A154,'Données de base - Grunddaten'!$A$2:$M$297,4,FALSE)="","",VLOOKUP(A154,'Données de base - Grunddaten'!$A$2:$M$297,4,FALSE))</f>
        <v>Lac de Neuchâtel</v>
      </c>
      <c r="E154" s="857" t="str">
        <f>IF(VLOOKUP(A154,'Données de base - Grunddaten'!$A$2:$M$297,5,FALSE)="","",VLOOKUP(A154,'Données de base - Grunddaten'!$A$2:$M$297,5,FALSE))</f>
        <v>VD</v>
      </c>
      <c r="F154" s="857" t="str">
        <f>IF(VLOOKUP(A154,'Données de base - Grunddaten'!$A$2:$M$297,6,FALSE)="","",VLOOKUP(A154,'Données de base - Grunddaten'!$A$2:$M$297,6,FALSE))</f>
        <v>Plateau occidental, Jura et Randen</v>
      </c>
      <c r="G154" s="857" t="str">
        <f>IF(VLOOKUP(A154,'Données de base - Grunddaten'!$A$2:$M$297,7,FALSE)="","",VLOOKUP(A154,'Données de base - Grunddaten'!$A$2:$M$297,7,FALSE))</f>
        <v>Collinéen</v>
      </c>
      <c r="H154" s="857">
        <f>IF(VLOOKUP(A154,'Données de base - Grunddaten'!$A$2:$M$297,8,FALSE)="","",VLOOKUP(A154,'Données de base - Grunddaten'!$A$2:$M$297,8,FALSE))</f>
        <v>430</v>
      </c>
      <c r="I154" s="857">
        <f>IF(VLOOKUP(A154,'Données de base - Grunddaten'!$A$2:$M$297,9,FALSE)="","",VLOOKUP(A154,'Données de base - Grunddaten'!$A$2:$M$297,9,FALSE))</f>
        <v>1992</v>
      </c>
      <c r="J154" s="857">
        <f>IF(VLOOKUP(A154,'Données de base - Grunddaten'!$A$2:$M$297,10,FALSE)="","",VLOOKUP(A154,'Données de base - Grunddaten'!$A$2:$M$297,10,FALSE))</f>
        <v>101</v>
      </c>
      <c r="K154" s="857" t="str">
        <f>IF(VLOOKUP(A154,'Données de base - Grunddaten'!$A$2:$M$297,11,FALSE)="","",VLOOKUP(A154,'Données de base - Grunddaten'!$A$2:$M$297,11,FALSE))</f>
        <v>Rives de lacs de l'étage collinéen</v>
      </c>
      <c r="L154" s="857" t="str">
        <f>IF(VLOOKUP(A154,'Données de base - Grunddaten'!$A$2:$M$297,12,FALSE)="","",VLOOKUP(A154,'Données de base - Grunddaten'!$A$2:$M$297,12,FALSE))</f>
        <v>rives lacustres</v>
      </c>
      <c r="M154" s="858" t="str">
        <f>IF(VLOOKUP(A154,'Données de base - Grunddaten'!$A$2:$M$297,13,FALSE)="","",VLOOKUP(A154,'Données de base - Grunddaten'!$A$2:$M$297,13,FALSE))</f>
        <v>rives lacustres</v>
      </c>
      <c r="N154" s="891" t="str">
        <f>IF(VLOOKUP(A154,'Charriage - Geschiebehaushalt'!$A$4:$R$275,5,FALSE)="","",VLOOKUP(A154,'Charriage - Geschiebehaushalt'!$A$4:$R$275,5,FALSE))</f>
        <v>non pertinent</v>
      </c>
      <c r="O154" s="881" t="str">
        <f>IF(VLOOKUP(A154,'Charriage - Geschiebehaushalt'!$A$4:$R$275,6,FALSE)="","",VLOOKUP(A154,'Charriage - Geschiebehaushalt'!$A$4:$R$275,6,FALSE))</f>
        <v/>
      </c>
      <c r="P154" s="874" t="str">
        <f>IF(VLOOKUP(A154,'Charriage - Geschiebehaushalt'!$A$4:$R$275,7,FALSE)="","",VLOOKUP(A154,'Charriage - Geschiebehaushalt'!$A$4:$R$275,7,FALSE))</f>
        <v/>
      </c>
      <c r="Q154" s="874" t="str">
        <f>IF(VLOOKUP(A154,'Charriage - Geschiebehaushalt'!$A$4:$R$275,8,FALSE)="","",VLOOKUP(A154,'Charriage - Geschiebehaushalt'!$A$4:$R$275,8,FALSE))</f>
        <v>non documenté</v>
      </c>
      <c r="R154" s="875">
        <f>IF(VLOOKUP(A154,'Charriage - Geschiebehaushalt'!$A$4:$R$275,9,FALSE)="","",VLOOKUP(A154,'Charriage - Geschiebehaushalt'!$A$4:$R$275,9,FALSE))</f>
        <v>0</v>
      </c>
      <c r="S154" s="876" t="str">
        <f>IF(VLOOKUP(A154,'Charriage - Geschiebehaushalt'!$A$4:$R$275,10,FALSE)="","",VLOOKUP(A154,'Charriage - Geschiebehaushalt'!$A$4:$R$275,10,FALSE))</f>
        <v>pas ou faiblement entravé</v>
      </c>
      <c r="T154" s="875">
        <f>IF(VLOOKUP(A154,'Charriage - Geschiebehaushalt'!$A$4:$R$275,11,FALSE)="","",VLOOKUP(A154,'Charriage - Geschiebehaushalt'!$A$4:$R$275,11,FALSE))</f>
        <v>0.10963255232999999</v>
      </c>
      <c r="U154" s="876" t="str">
        <f>IF(VLOOKUP(A154,'Charriage - Geschiebehaushalt'!$A$4:$R$275,12,FALSE)="","",VLOOKUP(A154,'Charriage - Geschiebehaushalt'!$A$4:$R$275,12,FALSE))</f>
        <v>déficit dans les formations pionnières</v>
      </c>
      <c r="V154" s="877" t="str">
        <f>IF(VLOOKUP(A154,'Charriage - Geschiebehaushalt'!$A$4:$R$275,13,FALSE)="","",VLOOKUP(A154,'Charriage - Geschiebehaushalt'!$A$4:$R$275,13,FALSE))</f>
        <v/>
      </c>
      <c r="W154" s="877" t="str">
        <f>IF(VLOOKUP(A154,'Charriage - Geschiebehaushalt'!$A$4:$R$275,14,FALSE)="","",VLOOKUP(A154,'Charriage - Geschiebehaushalt'!$A$4:$R$275,14,FALSE))</f>
        <v/>
      </c>
      <c r="X154" s="877" t="str">
        <f>IF(VLOOKUP(A154,'Charriage - Geschiebehaushalt'!$A$4:$R$275,15,FALSE)="","",VLOOKUP(A154,'Charriage - Geschiebehaushalt'!$A$4:$R$275,15,FALSE))</f>
        <v/>
      </c>
      <c r="Y154" s="879" t="str">
        <f>IF(VLOOKUP(A154,'Charriage - Geschiebehaushalt'!$A$4:$R$275,16,FALSE)="","",VLOOKUP(A154,'Charriage - Geschiebehaushalt'!$A$4:$R$275,16,FALSE))</f>
        <v/>
      </c>
      <c r="Z154" s="763" t="str">
        <f>IF(VLOOKUP(A154,'Charriage - Geschiebehaushalt'!$A$4:$R$275,17,FALSE)="","",VLOOKUP(A154,'Charriage - Geschiebehaushalt'!$A$4:$R$275,17,FALSE))</f>
        <v>non pertinent / nicht relevant</v>
      </c>
      <c r="AA154" s="880" t="str">
        <f>IF(VLOOKUP(A154,'Charriage - Geschiebehaushalt'!$A$4:$R$275,18,FALSE)="","",VLOOKUP(A154,'Charriage - Geschiebehaushalt'!$A$4:$R$275,18,FALSE))</f>
        <v>a</v>
      </c>
      <c r="AB154" s="737">
        <f>IF(VLOOKUP(A154,'Charriage - Geschiebehaushalt'!$A$4:$AC$275,19,FALSE)="","",VLOOKUP(A154,'Charriage - Geschiebehaushalt'!$A$4:$AC$275,19,FALSE))</f>
        <v>0</v>
      </c>
      <c r="AC154" s="738">
        <f>IF(VLOOKUP(A154,'Charriage - Geschiebehaushalt'!$A$4:$AC$275,20,FALSE)="","",VLOOKUP(A154,'Charriage - Geschiebehaushalt'!$A$4:$AC$275,20,FALSE))</f>
        <v>0</v>
      </c>
      <c r="AD154" s="764" t="str">
        <f>IF(VLOOKUP(A154,'Charriage - Geschiebehaushalt'!$A$4:$AC$275,21,FALSE)="","",VLOOKUP(A154,'Charriage - Geschiebehaushalt'!$A$4:$AC$275,21,FALSE))</f>
        <v/>
      </c>
      <c r="AE154" s="740" t="str">
        <f>IF(VLOOKUP(A154,'Charriage - Geschiebehaushalt'!$A$4:$AC$275,22,FALSE)="","",VLOOKUP(A154,'Charriage - Geschiebehaushalt'!$A$4:$AC$275,22,FALSE))</f>
        <v>non pertinent / nicht relevant</v>
      </c>
      <c r="AF154" s="787" t="str">
        <f>IF(VLOOKUP(A154,'Charriage - Geschiebehaushalt'!$A$4:$AC$275,23,FALSE)="","",VLOOKUP(A154,'Charriage - Geschiebehaushalt'!$A$4:$AC$275,23,FALSE))</f>
        <v>a</v>
      </c>
      <c r="AG154" s="765" t="str">
        <f>IF(VLOOKUP(A154,'Charriage - Geschiebehaushalt'!$A$4:$AC$275,24,FALSE)="","",VLOOKUP(A154,'Charriage - Geschiebehaushalt'!$A$4:$AC$275,24,FALSE))</f>
        <v/>
      </c>
      <c r="AH154" s="764" t="str">
        <f>IF(VLOOKUP(A154,'Charriage - Geschiebehaushalt'!$A$4:$AC$275,25,FALSE)="","",VLOOKUP(A154,'Charriage - Geschiebehaushalt'!$A$4:$AC$275,25,FALSE))</f>
        <v/>
      </c>
      <c r="AI154" s="903" t="str">
        <f>IF(VLOOKUP(A154,'Charriage - Geschiebehaushalt'!$A$4:$AC$275,26,FALSE)="","",VLOOKUP(A154,'Charriage - Geschiebehaushalt'!$A$4:$AC$275,26,FALSE))</f>
        <v>non</v>
      </c>
      <c r="AJ154" s="442" t="str">
        <f>IF(VLOOKUP(A154,'Charriage - Geschiebehaushalt'!$A$4:$AC$275,27,FALSE)="","",VLOOKUP(A154,'Charriage - Geschiebehaushalt'!$A$4:$AC$275,27,FALSE))</f>
        <v/>
      </c>
      <c r="AK154" s="801" t="str">
        <f>IF(VLOOKUP(A154,'Charriage - Geschiebehaushalt'!$A$4:$AC$275,28,FALSE)="","",VLOOKUP(A154,'Charriage - Geschiebehaushalt'!$A$4:$AC$275,28,FALSE))</f>
        <v>non pertinent / nicht relevant</v>
      </c>
      <c r="AL154" s="1285" t="str">
        <f>IF(VLOOKUP(A154,'Charriage - Geschiebehaushalt'!$A$4:$AD$275,30,FALSE)="","",VLOOKUP(A154,'Charriage - Geschiebehaushalt'!$A$4:$AD$275,30,FALSE))</f>
        <v>a</v>
      </c>
      <c r="AM154" s="1279" t="str">
        <f>IF(VLOOKUP(A154,'Débit - Abfluss'!$A$4:$K$275,5,FALSE)="","",VLOOKUP(A154,'Débit - Abfluss'!$A$4:$M$275,5,FALSE))</f>
        <v>non pertinent</v>
      </c>
      <c r="AN154" s="868" t="str">
        <f>IF(VLOOKUP(A154,'Débit - Abfluss'!$A$4:$K$275,6,FALSE)="","",VLOOKUP(A154,'Débit - Abfluss'!$A$4:$M$275,6,FALSE))</f>
        <v/>
      </c>
      <c r="AO154" s="869" t="str">
        <f>IF(VLOOKUP(A154,'Débit - Abfluss'!$A$4:$K$275,7,FALSE)="","",VLOOKUP(A154,'Débit - Abfluss'!$A$4:$M$275,7,FALSE))</f>
        <v/>
      </c>
      <c r="AP154" s="766" t="str">
        <f>IF(VLOOKUP(A154,'Débit - Abfluss'!$A$4:$K$275,8,FALSE)="","",VLOOKUP(A154,'Débit - Abfluss'!$A$4:$M$275,8,FALSE))</f>
        <v>non pertinent / nicht relevant</v>
      </c>
      <c r="AQ154" s="742" t="str">
        <f>IF(VLOOKUP(A154,'Débit - Abfluss'!$A$4:$K$275,9,FALSE)="","",VLOOKUP(A154,'Débit - Abfluss'!$A$4:$M$275,9,FALSE))</f>
        <v>-</v>
      </c>
      <c r="AR154" s="767" t="str">
        <f>IF(VLOOKUP(A154,'Débit - Abfluss'!$A$4:$K$275,10,FALSE)="","",VLOOKUP(A154,'Débit - Abfluss'!$A$4:$M$275,10,FALSE))</f>
        <v>non pertinent / nicht relevant</v>
      </c>
      <c r="AS154" s="767" t="str">
        <f>IF(VLOOKUP(A154,'Débit - Abfluss'!$A$4:$K$275,11,FALSE)="","",VLOOKUP(A154,'Débit - Abfluss'!$A$4:$M$275,11,FALSE))</f>
        <v/>
      </c>
      <c r="AT154" s="778" t="str">
        <f>IF(VLOOKUP(A154,'Débit - Abfluss'!$A$4:$Q$275,12,FALSE)="","",VLOOKUP(A154,'Débit - Abfluss'!$A$4:$Q$275,12,FALSE))</f>
        <v/>
      </c>
      <c r="AU154" s="779" t="str">
        <f>IF(VLOOKUP(A154,'Débit - Abfluss'!$A$4:$Q$275,13,FALSE)="","",VLOOKUP(A154,'Débit - Abfluss'!$A$4:$Q$275,13,FALSE))</f>
        <v/>
      </c>
      <c r="AV154" s="746" t="str">
        <f>IF(VLOOKUP(A154,'Débit - Abfluss'!$A$4:$Q$275,14,FALSE)="","",VLOOKUP(A154,'Débit - Abfluss'!$A$4:$Q$275,14,FALSE))</f>
        <v/>
      </c>
      <c r="AW154" s="768" t="str">
        <f>IF(VLOOKUP(A154,'Débit - Abfluss'!$A$4:$Q$275,15,FALSE)="","",VLOOKUP(A154,'Débit - Abfluss'!$A$4:$Q$275,15,FALSE))</f>
        <v/>
      </c>
      <c r="AX154" s="679" t="str">
        <f>IF(VLOOKUP(A154,'Débit - Abfluss'!$A$4:$Q$275,16,FALSE)="","",VLOOKUP(A154,'Débit - Abfluss'!$A$4:$Q$275,16,FALSE))</f>
        <v/>
      </c>
      <c r="AY154" s="769" t="str">
        <f>IF(VLOOKUP(A154,'Débit - Abfluss'!$A$4:$Q$275,17,FALSE)="","",VLOOKUP(A154,'Débit - Abfluss'!$A$4:$Q$275,17,FALSE))</f>
        <v>non pertinent / nicht relevant</v>
      </c>
      <c r="AZ154" s="749" t="str">
        <f>IF(VLOOKUP(A154,'Eclusée - Schwall-Sunk'!$A$2:$F$273,5,FALSE)="","",VLOOKUP(A154,'Eclusée - Schwall-Sunk'!$A$2:$F$273,5,FALSE))</f>
        <v/>
      </c>
      <c r="BA154" s="750" t="str">
        <f>IF(VLOOKUP(A154,'Eclusée - Schwall-Sunk'!$A$2:$F$273,6,FALSE)="","",VLOOKUP(A154,'Eclusée - Schwall-Sunk'!$A$2:$F$273,6,FALSE))</f>
        <v>Non affecté / nicht betroffen</v>
      </c>
      <c r="BB154" s="751" t="str">
        <f>IF(VLOOKUP(A154,'Revitalisation-Revitalisierung'!$A$4:$Z$275,5,FALSE)="","",VLOOKUP(A154,'Revitalisation-Revitalisierung'!$A$4:$Z$275,5,FALSE))</f>
        <v/>
      </c>
      <c r="BC154" s="752" t="str">
        <f>IF(VLOOKUP(A154,'Revitalisation-Revitalisierung'!$A$4:$Z$275,6,FALSE)="","",VLOOKUP(A154,'Revitalisation-Revitalisierung'!$A$4:$Z$275,6,FALSE))</f>
        <v/>
      </c>
      <c r="BD154" s="752" t="str">
        <f>IF(VLOOKUP(A154,'Revitalisation-Revitalisierung'!$A$4:$Z$275,7,FALSE)="","",VLOOKUP(A154,'Revitalisation-Revitalisierung'!$A$4:$Z$275,7,FALSE))</f>
        <v/>
      </c>
      <c r="BE154" s="753" t="str">
        <f>IF(VLOOKUP(A154,'Revitalisation-Revitalisierung'!$A$4:$Z$275,8,FALSE)="","",VLOOKUP(A154,'Revitalisation-Revitalisierung'!$A$4:$Z$275,8,FALSE))</f>
        <v>non pertinent</v>
      </c>
      <c r="BF154" s="754" t="str">
        <f>IF(VLOOKUP(A154,'Revitalisation-Revitalisierung'!$A$4:$Z$275,9,FALSE)="","",VLOOKUP(A154,'Revitalisation-Revitalisierung'!$A$4:$Z$275,9,FALSE))</f>
        <v/>
      </c>
      <c r="BG154" s="794" t="str">
        <f>IF(VLOOKUP(A154,'Revitalisation-Revitalisierung'!$A$4:$Z$275,10,FALSE)="","",VLOOKUP(A154,'Revitalisation-Revitalisierung'!$A$4:$Z$275,10,FALSE))</f>
        <v>K3</v>
      </c>
      <c r="BH154" s="755" t="str">
        <f>IF(VLOOKUP(A154,'Revitalisation-Revitalisierung'!$A$4:$Z$275,11,FALSE)="","",VLOOKUP(A154,'Revitalisation-Revitalisierung'!$A$4:$Z$275,11,FALSE))</f>
        <v/>
      </c>
      <c r="BI154" s="756" t="str">
        <f>IF(VLOOKUP(A154,'Revitalisation-Revitalisierung'!$A$4:$Z$275,12,FALSE)="","",VLOOKUP(A154,'Revitalisation-Revitalisierung'!$A$4:$Z$275,12,FALSE))</f>
        <v/>
      </c>
      <c r="BJ154" s="788" t="str">
        <f>IF(VLOOKUP(A154,'Revitalisation-Revitalisierung'!$A$4:$Z$275,13,FALSE)="","",VLOOKUP(A154,'Revitalisation-Revitalisierung'!$A$4:$Z$275,13,FALSE))</f>
        <v>non pertinent / nicht relevant</v>
      </c>
      <c r="BK154" s="870" t="str">
        <f>IF(VLOOKUP(A154,'Revitalisation-Revitalisierung'!$A$4:$Z$275,14,FALSE)="","",VLOOKUP(A154,'Revitalisation-Revitalisierung'!$A$4:$Z$275,14,FALSE))</f>
        <v>a</v>
      </c>
      <c r="BL154" s="758">
        <f>IF(VLOOKUP(A154,'Revitalisation-Revitalisierung'!$A$4:$Z$275,15,FALSE)="","",VLOOKUP(A154,'Revitalisation-Revitalisierung'!$A$4:$Z$275,15,FALSE))</f>
        <v>0</v>
      </c>
      <c r="BM154" s="759">
        <f>IF(VLOOKUP(A154,'Revitalisation-Revitalisierung'!$A$4:$Z$275,16,FALSE)="","",VLOOKUP(A154,'Revitalisation-Revitalisierung'!$A$4:$Z$275,16,FALSE))</f>
        <v>0</v>
      </c>
      <c r="BN154" s="759">
        <f>IF(VLOOKUP(A154,'Revitalisation-Revitalisierung'!$A$4:$Z$275,17,FALSE)="","",VLOOKUP(A154,'Revitalisation-Revitalisierung'!$A$4:$Z$275,17,FALSE))</f>
        <v>0</v>
      </c>
      <c r="BO154" s="760" t="str">
        <f>IF(VLOOKUP(A154,'Revitalisation-Revitalisierung'!$A$4:$Z$275,18,FALSE)="","",VLOOKUP(A154,'Revitalisation-Revitalisierung'!$A$4:$Z$275,18,FALSE))</f>
        <v/>
      </c>
      <c r="BP154" s="761" t="str">
        <f>IF(VLOOKUP(A154,'Revitalisation-Revitalisierung'!$A$4:$Z$275,19,FALSE)="","",VLOOKUP(A154,'Revitalisation-Revitalisierung'!$A$4:$Z$275,19,FALSE))</f>
        <v>non pertinent / nicht relevant</v>
      </c>
      <c r="BQ154" s="759" t="str">
        <f>IF(VLOOKUP(A154,'Revitalisation-Revitalisierung'!$A$4:$Z$275,20,FALSE)="","",VLOOKUP(A154,'Revitalisation-Revitalisierung'!$A$4:$Z$275,20,FALSE))</f>
        <v>a</v>
      </c>
      <c r="BR154" s="759" t="str">
        <f>IF(VLOOKUP(A154,'Revitalisation-Revitalisierung'!$A$4:$Z$275,21,FALSE)="","",VLOOKUP(A154,'Revitalisation-Revitalisierung'!$A$4:$Z$275,21,FALSE))</f>
        <v/>
      </c>
      <c r="BS154" s="762" t="str">
        <f>IF(VLOOKUP(A154,'Revitalisation-Revitalisierung'!$A$4:$Z$275,22,FALSE)="","",VLOOKUP(A154,'Revitalisation-Revitalisierung'!$A$4:$Z$275,22,FALSE))</f>
        <v/>
      </c>
      <c r="BT154" s="761" t="str">
        <f>IF(VLOOKUP(A154,'Revitalisation-Revitalisierung'!$A$4:$Z$275,23,FALSE)="","",VLOOKUP(A154,'Revitalisation-Revitalisierung'!$A$4:$Z$275,23,FALSE))</f>
        <v/>
      </c>
      <c r="BU154" s="704" t="str">
        <f>IF(VLOOKUP(A154,'Revitalisation-Revitalisierung'!$A$4:$Z$275,24,FALSE)="","",VLOOKUP(A154,'Revitalisation-Revitalisierung'!$A$4:$Z$275,24,FALSE))</f>
        <v/>
      </c>
      <c r="BV154" s="761" t="str">
        <f>IF(VLOOKUP(A154,'Revitalisation-Revitalisierung'!$A$4:$Z$275,25,FALSE)="","",VLOOKUP(A154,'Revitalisation-Revitalisierung'!$A$4:$Z$275,25,FALSE))</f>
        <v>non pertinent / nicht relevant</v>
      </c>
      <c r="BW154" s="871" t="str">
        <f>IF(VLOOKUP(A154,'Revitalisation-Revitalisierung'!$A$4:$AA$275,27,FALSE)="","",VLOOKUP(A154,'Revitalisation-Revitalisierung'!$A$4:$AA$275,27,FALSE))</f>
        <v>a</v>
      </c>
    </row>
    <row r="155" spans="1:75" ht="51" customHeight="1" x14ac:dyDescent="0.25">
      <c r="A155" s="935">
        <v>200</v>
      </c>
      <c r="B155" s="856">
        <f>IF(VLOOKUP(A155,'Données de base - Grunddaten'!$A$2:$M$297,2,FALSE)="","",VLOOKUP(A155,'Données de base - Grunddaten'!$A$2:$M$297,2,FALSE))</f>
        <v>1</v>
      </c>
      <c r="C155" s="857" t="str">
        <f>IF(VLOOKUP(A155,'Données de base - Grunddaten'!$A$2:$M$297,3,FALSE)="","",VLOOKUP(A155,'Données de base - Grunddaten'!$A$2:$M$297,3,FALSE))</f>
        <v>Les Grèves de Grandson–Bonvillars–Onnens</v>
      </c>
      <c r="D155" s="857" t="str">
        <f>IF(VLOOKUP(A155,'Données de base - Grunddaten'!$A$2:$M$297,4,FALSE)="","",VLOOKUP(A155,'Données de base - Grunddaten'!$A$2:$M$297,4,FALSE))</f>
        <v>Lac de Neuchâtel</v>
      </c>
      <c r="E155" s="857" t="str">
        <f>IF(VLOOKUP(A155,'Données de base - Grunddaten'!$A$2:$M$297,5,FALSE)="","",VLOOKUP(A155,'Données de base - Grunddaten'!$A$2:$M$297,5,FALSE))</f>
        <v>VD</v>
      </c>
      <c r="F155" s="857" t="str">
        <f>IF(VLOOKUP(A155,'Données de base - Grunddaten'!$A$2:$M$297,6,FALSE)="","",VLOOKUP(A155,'Données de base - Grunddaten'!$A$2:$M$297,6,FALSE))</f>
        <v>Plateau occidental, Jura et Randen</v>
      </c>
      <c r="G155" s="857" t="str">
        <f>IF(VLOOKUP(A155,'Données de base - Grunddaten'!$A$2:$M$297,7,FALSE)="","",VLOOKUP(A155,'Données de base - Grunddaten'!$A$2:$M$297,7,FALSE))</f>
        <v>Collinéen</v>
      </c>
      <c r="H155" s="857">
        <f>IF(VLOOKUP(A155,'Données de base - Grunddaten'!$A$2:$M$297,8,FALSE)="","",VLOOKUP(A155,'Données de base - Grunddaten'!$A$2:$M$297,8,FALSE))</f>
        <v>430</v>
      </c>
      <c r="I155" s="857">
        <f>IF(VLOOKUP(A155,'Données de base - Grunddaten'!$A$2:$M$297,9,FALSE)="","",VLOOKUP(A155,'Données de base - Grunddaten'!$A$2:$M$297,9,FALSE))</f>
        <v>1992</v>
      </c>
      <c r="J155" s="857">
        <f>IF(VLOOKUP(A155,'Données de base - Grunddaten'!$A$2:$M$297,10,FALSE)="","",VLOOKUP(A155,'Données de base - Grunddaten'!$A$2:$M$297,10,FALSE))</f>
        <v>101</v>
      </c>
      <c r="K155" s="857" t="str">
        <f>IF(VLOOKUP(A155,'Données de base - Grunddaten'!$A$2:$M$297,11,FALSE)="","",VLOOKUP(A155,'Données de base - Grunddaten'!$A$2:$M$297,11,FALSE))</f>
        <v>Rives de lacs de l'étage collinéen</v>
      </c>
      <c r="L155" s="857" t="str">
        <f>IF(VLOOKUP(A155,'Données de base - Grunddaten'!$A$2:$M$297,12,FALSE)="","",VLOOKUP(A155,'Données de base - Grunddaten'!$A$2:$M$297,12,FALSE))</f>
        <v>rives lacustres</v>
      </c>
      <c r="M155" s="858" t="str">
        <f>IF(VLOOKUP(A155,'Données de base - Grunddaten'!$A$2:$M$297,13,FALSE)="","",VLOOKUP(A155,'Données de base - Grunddaten'!$A$2:$M$297,13,FALSE))</f>
        <v>rives lacustres</v>
      </c>
      <c r="N155" s="891" t="str">
        <f>IF(VLOOKUP(A155,'Charriage - Geschiebehaushalt'!$A$4:$R$275,5,FALSE)="","",VLOOKUP(A155,'Charriage - Geschiebehaushalt'!$A$4:$R$275,5,FALSE))</f>
        <v>non pertinent</v>
      </c>
      <c r="O155" s="881" t="str">
        <f>IF(VLOOKUP(A155,'Charriage - Geschiebehaushalt'!$A$4:$R$275,6,FALSE)="","",VLOOKUP(A155,'Charriage - Geschiebehaushalt'!$A$4:$R$275,6,FALSE))</f>
        <v/>
      </c>
      <c r="P155" s="874" t="str">
        <f>IF(VLOOKUP(A155,'Charriage - Geschiebehaushalt'!$A$4:$R$275,7,FALSE)="","",VLOOKUP(A155,'Charriage - Geschiebehaushalt'!$A$4:$R$275,7,FALSE))</f>
        <v/>
      </c>
      <c r="Q155" s="874" t="str">
        <f>IF(VLOOKUP(A155,'Charriage - Geschiebehaushalt'!$A$4:$R$275,8,FALSE)="","",VLOOKUP(A155,'Charriage - Geschiebehaushalt'!$A$4:$R$275,8,FALSE))</f>
        <v>non documenté</v>
      </c>
      <c r="R155" s="875">
        <f>IF(VLOOKUP(A155,'Charriage - Geschiebehaushalt'!$A$4:$R$275,9,FALSE)="","",VLOOKUP(A155,'Charriage - Geschiebehaushalt'!$A$4:$R$275,9,FALSE))</f>
        <v>7.2458540049746098E-2</v>
      </c>
      <c r="S155" s="876" t="str">
        <f>IF(VLOOKUP(A155,'Charriage - Geschiebehaushalt'!$A$4:$R$275,10,FALSE)="","",VLOOKUP(A155,'Charriage - Geschiebehaushalt'!$A$4:$R$275,10,FALSE))</f>
        <v>pas ou faiblement entravé</v>
      </c>
      <c r="T155" s="875">
        <f>IF(VLOOKUP(A155,'Charriage - Geschiebehaushalt'!$A$4:$R$275,11,FALSE)="","",VLOOKUP(A155,'Charriage - Geschiebehaushalt'!$A$4:$R$275,11,FALSE))</f>
        <v>0.15893700775</v>
      </c>
      <c r="U155" s="876" t="str">
        <f>IF(VLOOKUP(A155,'Charriage - Geschiebehaushalt'!$A$4:$R$275,12,FALSE)="","",VLOOKUP(A155,'Charriage - Geschiebehaushalt'!$A$4:$R$275,12,FALSE))</f>
        <v>déficit dans les formations pionnières</v>
      </c>
      <c r="V155" s="877" t="str">
        <f>IF(VLOOKUP(A155,'Charriage - Geschiebehaushalt'!$A$4:$R$275,13,FALSE)="","",VLOOKUP(A155,'Charriage - Geschiebehaushalt'!$A$4:$R$275,13,FALSE))</f>
        <v/>
      </c>
      <c r="W155" s="877" t="str">
        <f>IF(VLOOKUP(A155,'Charriage - Geschiebehaushalt'!$A$4:$R$275,14,FALSE)="","",VLOOKUP(A155,'Charriage - Geschiebehaushalt'!$A$4:$R$275,14,FALSE))</f>
        <v/>
      </c>
      <c r="X155" s="877" t="str">
        <f>IF(VLOOKUP(A155,'Charriage - Geschiebehaushalt'!$A$4:$R$275,15,FALSE)="","",VLOOKUP(A155,'Charriage - Geschiebehaushalt'!$A$4:$R$275,15,FALSE))</f>
        <v/>
      </c>
      <c r="Y155" s="879" t="str">
        <f>IF(VLOOKUP(A155,'Charriage - Geschiebehaushalt'!$A$4:$R$275,16,FALSE)="","",VLOOKUP(A155,'Charriage - Geschiebehaushalt'!$A$4:$R$275,16,FALSE))</f>
        <v/>
      </c>
      <c r="Z155" s="763" t="str">
        <f>IF(VLOOKUP(A155,'Charriage - Geschiebehaushalt'!$A$4:$R$275,17,FALSE)="","",VLOOKUP(A155,'Charriage - Geschiebehaushalt'!$A$4:$R$275,17,FALSE))</f>
        <v>non pertinent / nicht relevant</v>
      </c>
      <c r="AA155" s="880" t="str">
        <f>IF(VLOOKUP(A155,'Charriage - Geschiebehaushalt'!$A$4:$R$275,18,FALSE)="","",VLOOKUP(A155,'Charriage - Geschiebehaushalt'!$A$4:$R$275,18,FALSE))</f>
        <v>a</v>
      </c>
      <c r="AB155" s="737">
        <f>IF(VLOOKUP(A155,'Charriage - Geschiebehaushalt'!$A$4:$AC$275,19,FALSE)="","",VLOOKUP(A155,'Charriage - Geschiebehaushalt'!$A$4:$AC$275,19,FALSE))</f>
        <v>0</v>
      </c>
      <c r="AC155" s="738">
        <f>IF(VLOOKUP(A155,'Charriage - Geschiebehaushalt'!$A$4:$AC$275,20,FALSE)="","",VLOOKUP(A155,'Charriage - Geschiebehaushalt'!$A$4:$AC$275,20,FALSE))</f>
        <v>0</v>
      </c>
      <c r="AD155" s="764" t="str">
        <f>IF(VLOOKUP(A155,'Charriage - Geschiebehaushalt'!$A$4:$AC$275,21,FALSE)="","",VLOOKUP(A155,'Charriage - Geschiebehaushalt'!$A$4:$AC$275,21,FALSE))</f>
        <v/>
      </c>
      <c r="AE155" s="740" t="str">
        <f>IF(VLOOKUP(A155,'Charriage - Geschiebehaushalt'!$A$4:$AC$275,22,FALSE)="","",VLOOKUP(A155,'Charriage - Geschiebehaushalt'!$A$4:$AC$275,22,FALSE))</f>
        <v>non pertinent / nicht relevant</v>
      </c>
      <c r="AF155" s="787" t="str">
        <f>IF(VLOOKUP(A155,'Charriage - Geschiebehaushalt'!$A$4:$AC$275,23,FALSE)="","",VLOOKUP(A155,'Charriage - Geschiebehaushalt'!$A$4:$AC$275,23,FALSE))</f>
        <v>a</v>
      </c>
      <c r="AG155" s="765" t="str">
        <f>IF(VLOOKUP(A155,'Charriage - Geschiebehaushalt'!$A$4:$AC$275,24,FALSE)="","",VLOOKUP(A155,'Charriage - Geschiebehaushalt'!$A$4:$AC$275,24,FALSE))</f>
        <v/>
      </c>
      <c r="AH155" s="764" t="str">
        <f>IF(VLOOKUP(A155,'Charriage - Geschiebehaushalt'!$A$4:$AC$275,25,FALSE)="","",VLOOKUP(A155,'Charriage - Geschiebehaushalt'!$A$4:$AC$275,25,FALSE))</f>
        <v/>
      </c>
      <c r="AI155" s="903" t="str">
        <f>IF(VLOOKUP(A155,'Charriage - Geschiebehaushalt'!$A$4:$AC$275,26,FALSE)="","",VLOOKUP(A155,'Charriage - Geschiebehaushalt'!$A$4:$AC$275,26,FALSE))</f>
        <v>non</v>
      </c>
      <c r="AJ155" s="442" t="str">
        <f>IF(VLOOKUP(A155,'Charriage - Geschiebehaushalt'!$A$4:$AC$275,27,FALSE)="","",VLOOKUP(A155,'Charriage - Geschiebehaushalt'!$A$4:$AC$275,27,FALSE))</f>
        <v/>
      </c>
      <c r="AK155" s="801" t="str">
        <f>IF(VLOOKUP(A155,'Charriage - Geschiebehaushalt'!$A$4:$AC$275,28,FALSE)="","",VLOOKUP(A155,'Charriage - Geschiebehaushalt'!$A$4:$AC$275,28,FALSE))</f>
        <v>non pertinent / nicht relevant</v>
      </c>
      <c r="AL155" s="1285" t="str">
        <f>IF(VLOOKUP(A155,'Charriage - Geschiebehaushalt'!$A$4:$AD$275,30,FALSE)="","",VLOOKUP(A155,'Charriage - Geschiebehaushalt'!$A$4:$AD$275,30,FALSE))</f>
        <v>a</v>
      </c>
      <c r="AM155" s="1279" t="str">
        <f>IF(VLOOKUP(A155,'Débit - Abfluss'!$A$4:$K$275,5,FALSE)="","",VLOOKUP(A155,'Débit - Abfluss'!$A$4:$M$275,5,FALSE))</f>
        <v>non pertinent</v>
      </c>
      <c r="AN155" s="868" t="str">
        <f>IF(VLOOKUP(A155,'Débit - Abfluss'!$A$4:$K$275,6,FALSE)="","",VLOOKUP(A155,'Débit - Abfluss'!$A$4:$M$275,6,FALSE))</f>
        <v/>
      </c>
      <c r="AO155" s="869" t="str">
        <f>IF(VLOOKUP(A155,'Débit - Abfluss'!$A$4:$K$275,7,FALSE)="","",VLOOKUP(A155,'Débit - Abfluss'!$A$4:$M$275,7,FALSE))</f>
        <v/>
      </c>
      <c r="AP155" s="766" t="str">
        <f>IF(VLOOKUP(A155,'Débit - Abfluss'!$A$4:$K$275,8,FALSE)="","",VLOOKUP(A155,'Débit - Abfluss'!$A$4:$M$275,8,FALSE))</f>
        <v>non pertinent / nicht relevant</v>
      </c>
      <c r="AQ155" s="742" t="str">
        <f>IF(VLOOKUP(A155,'Débit - Abfluss'!$A$4:$K$275,9,FALSE)="","",VLOOKUP(A155,'Débit - Abfluss'!$A$4:$M$275,9,FALSE))</f>
        <v>-</v>
      </c>
      <c r="AR155" s="767" t="str">
        <f>IF(VLOOKUP(A155,'Débit - Abfluss'!$A$4:$K$275,10,FALSE)="","",VLOOKUP(A155,'Débit - Abfluss'!$A$4:$M$275,10,FALSE))</f>
        <v>non pertinent / nicht relevant</v>
      </c>
      <c r="AS155" s="767" t="str">
        <f>IF(VLOOKUP(A155,'Débit - Abfluss'!$A$4:$K$275,11,FALSE)="","",VLOOKUP(A155,'Débit - Abfluss'!$A$4:$M$275,11,FALSE))</f>
        <v/>
      </c>
      <c r="AT155" s="778" t="str">
        <f>IF(VLOOKUP(A155,'Débit - Abfluss'!$A$4:$Q$275,12,FALSE)="","",VLOOKUP(A155,'Débit - Abfluss'!$A$4:$Q$275,12,FALSE))</f>
        <v/>
      </c>
      <c r="AU155" s="779" t="str">
        <f>IF(VLOOKUP(A155,'Débit - Abfluss'!$A$4:$Q$275,13,FALSE)="","",VLOOKUP(A155,'Débit - Abfluss'!$A$4:$Q$275,13,FALSE))</f>
        <v/>
      </c>
      <c r="AV155" s="746" t="str">
        <f>IF(VLOOKUP(A155,'Débit - Abfluss'!$A$4:$Q$275,14,FALSE)="","",VLOOKUP(A155,'Débit - Abfluss'!$A$4:$Q$275,14,FALSE))</f>
        <v/>
      </c>
      <c r="AW155" s="768" t="str">
        <f>IF(VLOOKUP(A155,'Débit - Abfluss'!$A$4:$Q$275,15,FALSE)="","",VLOOKUP(A155,'Débit - Abfluss'!$A$4:$Q$275,15,FALSE))</f>
        <v/>
      </c>
      <c r="AX155" s="679" t="str">
        <f>IF(VLOOKUP(A155,'Débit - Abfluss'!$A$4:$Q$275,16,FALSE)="","",VLOOKUP(A155,'Débit - Abfluss'!$A$4:$Q$275,16,FALSE))</f>
        <v/>
      </c>
      <c r="AY155" s="802" t="str">
        <f>IF(VLOOKUP(A155,'Débit - Abfluss'!$A$4:$Q$275,17,FALSE)="","",VLOOKUP(A155,'Débit - Abfluss'!$A$4:$Q$275,17,FALSE))</f>
        <v>non pertinent / nicht relevant</v>
      </c>
      <c r="AZ155" s="749" t="str">
        <f>IF(VLOOKUP(A155,'Eclusée - Schwall-Sunk'!$A$2:$F$273,5,FALSE)="","",VLOOKUP(A155,'Eclusée - Schwall-Sunk'!$A$2:$F$273,5,FALSE))</f>
        <v/>
      </c>
      <c r="BA155" s="750" t="str">
        <f>IF(VLOOKUP(A155,'Eclusée - Schwall-Sunk'!$A$2:$F$273,6,FALSE)="","",VLOOKUP(A155,'Eclusée - Schwall-Sunk'!$A$2:$F$273,6,FALSE))</f>
        <v>Non affecté / nicht betroffen</v>
      </c>
      <c r="BB155" s="751" t="str">
        <f>IF(VLOOKUP(A155,'Revitalisation-Revitalisierung'!$A$4:$Z$275,5,FALSE)="","",VLOOKUP(A155,'Revitalisation-Revitalisierung'!$A$4:$Z$275,5,FALSE))</f>
        <v/>
      </c>
      <c r="BC155" s="752" t="str">
        <f>IF(VLOOKUP(A155,'Revitalisation-Revitalisierung'!$A$4:$Z$275,6,FALSE)="","",VLOOKUP(A155,'Revitalisation-Revitalisierung'!$A$4:$Z$275,6,FALSE))</f>
        <v/>
      </c>
      <c r="BD155" s="752" t="str">
        <f>IF(VLOOKUP(A155,'Revitalisation-Revitalisierung'!$A$4:$Z$275,7,FALSE)="","",VLOOKUP(A155,'Revitalisation-Revitalisierung'!$A$4:$Z$275,7,FALSE))</f>
        <v/>
      </c>
      <c r="BE155" s="753" t="str">
        <f>IF(VLOOKUP(A155,'Revitalisation-Revitalisierung'!$A$4:$Z$275,8,FALSE)="","",VLOOKUP(A155,'Revitalisation-Revitalisierung'!$A$4:$Z$275,8,FALSE))</f>
        <v>non pertinent</v>
      </c>
      <c r="BF155" s="754" t="str">
        <f>IF(VLOOKUP(A155,'Revitalisation-Revitalisierung'!$A$4:$Z$275,9,FALSE)="","",VLOOKUP(A155,'Revitalisation-Revitalisierung'!$A$4:$Z$275,9,FALSE))</f>
        <v/>
      </c>
      <c r="BG155" s="754" t="str">
        <f>IF(VLOOKUP(A155,'Revitalisation-Revitalisierung'!$A$4:$Z$275,10,FALSE)="","",VLOOKUP(A155,'Revitalisation-Revitalisierung'!$A$4:$Z$275,10,FALSE))</f>
        <v>K3</v>
      </c>
      <c r="BH155" s="755" t="str">
        <f>IF(VLOOKUP(A155,'Revitalisation-Revitalisierung'!$A$4:$Z$275,11,FALSE)="","",VLOOKUP(A155,'Revitalisation-Revitalisierung'!$A$4:$Z$275,11,FALSE))</f>
        <v/>
      </c>
      <c r="BI155" s="756" t="str">
        <f>IF(VLOOKUP(A155,'Revitalisation-Revitalisierung'!$A$4:$Z$275,12,FALSE)="","",VLOOKUP(A155,'Revitalisation-Revitalisierung'!$A$4:$Z$275,12,FALSE))</f>
        <v>revitlaisation du delta de l'Arnon  nécessaire</v>
      </c>
      <c r="BJ155" s="788" t="str">
        <f>IF(VLOOKUP(A155,'Revitalisation-Revitalisierung'!$A$4:$Z$275,13,FALSE)="","",VLOOKUP(A155,'Revitalisation-Revitalisierung'!$A$4:$Z$275,13,FALSE))</f>
        <v>non pertinent / nicht relevant</v>
      </c>
      <c r="BK155" s="870" t="str">
        <f>IF(VLOOKUP(A155,'Revitalisation-Revitalisierung'!$A$4:$Z$275,14,FALSE)="","",VLOOKUP(A155,'Revitalisation-Revitalisierung'!$A$4:$Z$275,14,FALSE))</f>
        <v>a</v>
      </c>
      <c r="BL155" s="758">
        <f>IF(VLOOKUP(A155,'Revitalisation-Revitalisierung'!$A$4:$Z$275,15,FALSE)="","",VLOOKUP(A155,'Revitalisation-Revitalisierung'!$A$4:$Z$275,15,FALSE))</f>
        <v>0</v>
      </c>
      <c r="BM155" s="759">
        <f>IF(VLOOKUP(A155,'Revitalisation-Revitalisierung'!$A$4:$Z$275,16,FALSE)="","",VLOOKUP(A155,'Revitalisation-Revitalisierung'!$A$4:$Z$275,16,FALSE))</f>
        <v>0</v>
      </c>
      <c r="BN155" s="759">
        <f>IF(VLOOKUP(A155,'Revitalisation-Revitalisierung'!$A$4:$Z$275,17,FALSE)="","",VLOOKUP(A155,'Revitalisation-Revitalisierung'!$A$4:$Z$275,17,FALSE))</f>
        <v>0</v>
      </c>
      <c r="BO155" s="760" t="str">
        <f>IF(VLOOKUP(A155,'Revitalisation-Revitalisierung'!$A$4:$Z$275,18,FALSE)="","",VLOOKUP(A155,'Revitalisation-Revitalisierung'!$A$4:$Z$275,18,FALSE))</f>
        <v/>
      </c>
      <c r="BP155" s="761" t="str">
        <f>IF(VLOOKUP(A155,'Revitalisation-Revitalisierung'!$A$4:$Z$275,19,FALSE)="","",VLOOKUP(A155,'Revitalisation-Revitalisierung'!$A$4:$Z$275,19,FALSE))</f>
        <v>non pertinent / nicht relevant</v>
      </c>
      <c r="BQ155" s="759" t="str">
        <f>IF(VLOOKUP(A155,'Revitalisation-Revitalisierung'!$A$4:$Z$275,20,FALSE)="","",VLOOKUP(A155,'Revitalisation-Revitalisierung'!$A$4:$Z$275,20,FALSE))</f>
        <v>a</v>
      </c>
      <c r="BR155" s="759" t="str">
        <f>IF(VLOOKUP(A155,'Revitalisation-Revitalisierung'!$A$4:$Z$275,21,FALSE)="","",VLOOKUP(A155,'Revitalisation-Revitalisierung'!$A$4:$Z$275,21,FALSE))</f>
        <v/>
      </c>
      <c r="BS155" s="762" t="str">
        <f>IF(VLOOKUP(A155,'Revitalisation-Revitalisierung'!$A$4:$Z$275,22,FALSE)="","",VLOOKUP(A155,'Revitalisation-Revitalisierung'!$A$4:$Z$275,22,FALSE))</f>
        <v/>
      </c>
      <c r="BT155" s="761" t="str">
        <f>IF(VLOOKUP(A155,'Revitalisation-Revitalisierung'!$A$4:$Z$275,23,FALSE)="","",VLOOKUP(A155,'Revitalisation-Revitalisierung'!$A$4:$Z$275,23,FALSE))</f>
        <v/>
      </c>
      <c r="BU155" s="704" t="str">
        <f>IF(VLOOKUP(A155,'Revitalisation-Revitalisierung'!$A$4:$Z$275,24,FALSE)="","",VLOOKUP(A155,'Revitalisation-Revitalisierung'!$A$4:$Z$275,24,FALSE))</f>
        <v/>
      </c>
      <c r="BV155" s="761" t="str">
        <f>IF(VLOOKUP(A155,'Revitalisation-Revitalisierung'!$A$4:$Z$275,25,FALSE)="","",VLOOKUP(A155,'Revitalisation-Revitalisierung'!$A$4:$Z$275,25,FALSE))</f>
        <v>non pertinent / nicht relevant</v>
      </c>
      <c r="BW155" s="871" t="str">
        <f>IF(VLOOKUP(A155,'Revitalisation-Revitalisierung'!$A$4:$AA$275,27,FALSE)="","",VLOOKUP(A155,'Revitalisation-Revitalisierung'!$A$4:$AA$275,27,FALSE))</f>
        <v>a</v>
      </c>
    </row>
    <row r="156" spans="1:75" ht="58.15" customHeight="1" x14ac:dyDescent="0.25">
      <c r="A156" s="935">
        <v>201</v>
      </c>
      <c r="B156" s="856">
        <f>IF(VLOOKUP(A156,'Données de base - Grunddaten'!$A$2:$M$297,2,FALSE)="","",VLOOKUP(A156,'Données de base - Grunddaten'!$A$2:$M$297,2,FALSE))</f>
        <v>1</v>
      </c>
      <c r="C156" s="857" t="str">
        <f>IF(VLOOKUP(A156,'Données de base - Grunddaten'!$A$2:$M$297,3,FALSE)="","",VLOOKUP(A156,'Données de base - Grunddaten'!$A$2:$M$297,3,FALSE))</f>
        <v>Les Grèves d'Yverdon–des Tuileries</v>
      </c>
      <c r="D156" s="857" t="str">
        <f>IF(VLOOKUP(A156,'Données de base - Grunddaten'!$A$2:$M$297,4,FALSE)="","",VLOOKUP(A156,'Données de base - Grunddaten'!$A$2:$M$297,4,FALSE))</f>
        <v>Lac de Neuchâtel</v>
      </c>
      <c r="E156" s="857" t="str">
        <f>IF(VLOOKUP(A156,'Données de base - Grunddaten'!$A$2:$M$297,5,FALSE)="","",VLOOKUP(A156,'Données de base - Grunddaten'!$A$2:$M$297,5,FALSE))</f>
        <v>VD</v>
      </c>
      <c r="F156" s="857" t="str">
        <f>IF(VLOOKUP(A156,'Données de base - Grunddaten'!$A$2:$M$297,6,FALSE)="","",VLOOKUP(A156,'Données de base - Grunddaten'!$A$2:$M$297,6,FALSE))</f>
        <v>Jura et Randen, Plateau occidental</v>
      </c>
      <c r="G156" s="857" t="str">
        <f>IF(VLOOKUP(A156,'Données de base - Grunddaten'!$A$2:$M$297,7,FALSE)="","",VLOOKUP(A156,'Données de base - Grunddaten'!$A$2:$M$297,7,FALSE))</f>
        <v>Collinéen</v>
      </c>
      <c r="H156" s="857">
        <f>IF(VLOOKUP(A156,'Données de base - Grunddaten'!$A$2:$M$297,8,FALSE)="","",VLOOKUP(A156,'Données de base - Grunddaten'!$A$2:$M$297,8,FALSE))</f>
        <v>430</v>
      </c>
      <c r="I156" s="857">
        <f>IF(VLOOKUP(A156,'Données de base - Grunddaten'!$A$2:$M$297,9,FALSE)="","",VLOOKUP(A156,'Données de base - Grunddaten'!$A$2:$M$297,9,FALSE))</f>
        <v>1992</v>
      </c>
      <c r="J156" s="857">
        <f>IF(VLOOKUP(A156,'Données de base - Grunddaten'!$A$2:$M$297,10,FALSE)="","",VLOOKUP(A156,'Données de base - Grunddaten'!$A$2:$M$297,10,FALSE))</f>
        <v>101</v>
      </c>
      <c r="K156" s="857" t="str">
        <f>IF(VLOOKUP(A156,'Données de base - Grunddaten'!$A$2:$M$297,11,FALSE)="","",VLOOKUP(A156,'Données de base - Grunddaten'!$A$2:$M$297,11,FALSE))</f>
        <v>Rives de lacs de l'étage collinéen</v>
      </c>
      <c r="L156" s="857" t="str">
        <f>IF(VLOOKUP(A156,'Données de base - Grunddaten'!$A$2:$M$297,12,FALSE)="","",VLOOKUP(A156,'Données de base - Grunddaten'!$A$2:$M$297,12,FALSE))</f>
        <v>rives lacustres</v>
      </c>
      <c r="M156" s="858" t="str">
        <f>IF(VLOOKUP(A156,'Données de base - Grunddaten'!$A$2:$M$297,13,FALSE)="","",VLOOKUP(A156,'Données de base - Grunddaten'!$A$2:$M$297,13,FALSE))</f>
        <v>rives lacustres</v>
      </c>
      <c r="N156" s="891" t="str">
        <f>IF(VLOOKUP(A156,'Charriage - Geschiebehaushalt'!$A$4:$R$275,5,FALSE)="","",VLOOKUP(A156,'Charriage - Geschiebehaushalt'!$A$4:$R$275,5,FALSE))</f>
        <v>non pertinent</v>
      </c>
      <c r="O156" s="881" t="str">
        <f>IF(VLOOKUP(A156,'Charriage - Geschiebehaushalt'!$A$4:$R$275,6,FALSE)="","",VLOOKUP(A156,'Charriage - Geschiebehaushalt'!$A$4:$R$275,6,FALSE))</f>
        <v/>
      </c>
      <c r="P156" s="874" t="str">
        <f>IF(VLOOKUP(A156,'Charriage - Geschiebehaushalt'!$A$4:$R$275,7,FALSE)="","",VLOOKUP(A156,'Charriage - Geschiebehaushalt'!$A$4:$R$275,7,FALSE))</f>
        <v/>
      </c>
      <c r="Q156" s="874" t="str">
        <f>IF(VLOOKUP(A156,'Charriage - Geschiebehaushalt'!$A$4:$R$275,8,FALSE)="","",VLOOKUP(A156,'Charriage - Geschiebehaushalt'!$A$4:$R$275,8,FALSE))</f>
        <v>non documenté</v>
      </c>
      <c r="R156" s="875">
        <f>IF(VLOOKUP(A156,'Charriage - Geschiebehaushalt'!$A$4:$R$275,9,FALSE)="","",VLOOKUP(A156,'Charriage - Geschiebehaushalt'!$A$4:$R$275,9,FALSE))</f>
        <v>0</v>
      </c>
      <c r="S156" s="876" t="str">
        <f>IF(VLOOKUP(A156,'Charriage - Geschiebehaushalt'!$A$4:$R$275,10,FALSE)="","",VLOOKUP(A156,'Charriage - Geschiebehaushalt'!$A$4:$R$275,10,FALSE))</f>
        <v>pas ou faiblement entravé</v>
      </c>
      <c r="T156" s="875">
        <f>IF(VLOOKUP(A156,'Charriage - Geschiebehaushalt'!$A$4:$R$275,11,FALSE)="","",VLOOKUP(A156,'Charriage - Geschiebehaushalt'!$A$4:$R$275,11,FALSE))</f>
        <v>0.19022611741000001</v>
      </c>
      <c r="U156" s="876" t="str">
        <f>IF(VLOOKUP(A156,'Charriage - Geschiebehaushalt'!$A$4:$R$275,12,FALSE)="","",VLOOKUP(A156,'Charriage - Geschiebehaushalt'!$A$4:$R$275,12,FALSE))</f>
        <v>déficit dans les formations pionnières</v>
      </c>
      <c r="V156" s="877" t="str">
        <f>IF(VLOOKUP(A156,'Charriage - Geschiebehaushalt'!$A$4:$R$275,13,FALSE)="","",VLOOKUP(A156,'Charriage - Geschiebehaushalt'!$A$4:$R$275,13,FALSE))</f>
        <v/>
      </c>
      <c r="W156" s="877" t="str">
        <f>IF(VLOOKUP(A156,'Charriage - Geschiebehaushalt'!$A$4:$R$275,14,FALSE)="","",VLOOKUP(A156,'Charriage - Geschiebehaushalt'!$A$4:$R$275,14,FALSE))</f>
        <v/>
      </c>
      <c r="X156" s="877" t="str">
        <f>IF(VLOOKUP(A156,'Charriage - Geschiebehaushalt'!$A$4:$R$275,15,FALSE)="","",VLOOKUP(A156,'Charriage - Geschiebehaushalt'!$A$4:$R$275,15,FALSE))</f>
        <v/>
      </c>
      <c r="Y156" s="879" t="str">
        <f>IF(VLOOKUP(A156,'Charriage - Geschiebehaushalt'!$A$4:$R$275,16,FALSE)="","",VLOOKUP(A156,'Charriage - Geschiebehaushalt'!$A$4:$R$275,16,FALSE))</f>
        <v/>
      </c>
      <c r="Z156" s="763" t="str">
        <f>IF(VLOOKUP(A156,'Charriage - Geschiebehaushalt'!$A$4:$R$275,17,FALSE)="","",VLOOKUP(A156,'Charriage - Geschiebehaushalt'!$A$4:$R$275,17,FALSE))</f>
        <v>non pertinent / nicht relevant</v>
      </c>
      <c r="AA156" s="880" t="str">
        <f>IF(VLOOKUP(A156,'Charriage - Geschiebehaushalt'!$A$4:$R$275,18,FALSE)="","",VLOOKUP(A156,'Charriage - Geschiebehaushalt'!$A$4:$R$275,18,FALSE))</f>
        <v>a</v>
      </c>
      <c r="AB156" s="737">
        <f>IF(VLOOKUP(A156,'Charriage - Geschiebehaushalt'!$A$4:$AC$275,19,FALSE)="","",VLOOKUP(A156,'Charriage - Geschiebehaushalt'!$A$4:$AC$275,19,FALSE))</f>
        <v>0</v>
      </c>
      <c r="AC156" s="738">
        <f>IF(VLOOKUP(A156,'Charriage - Geschiebehaushalt'!$A$4:$AC$275,20,FALSE)="","",VLOOKUP(A156,'Charriage - Geschiebehaushalt'!$A$4:$AC$275,20,FALSE))</f>
        <v>0</v>
      </c>
      <c r="AD156" s="764" t="str">
        <f>IF(VLOOKUP(A156,'Charriage - Geschiebehaushalt'!$A$4:$AC$275,21,FALSE)="","",VLOOKUP(A156,'Charriage - Geschiebehaushalt'!$A$4:$AC$275,21,FALSE))</f>
        <v/>
      </c>
      <c r="AE156" s="740" t="str">
        <f>IF(VLOOKUP(A156,'Charriage - Geschiebehaushalt'!$A$4:$AC$275,22,FALSE)="","",VLOOKUP(A156,'Charriage - Geschiebehaushalt'!$A$4:$AC$275,22,FALSE))</f>
        <v>non pertinent / nicht relevant</v>
      </c>
      <c r="AF156" s="787" t="str">
        <f>IF(VLOOKUP(A156,'Charriage - Geschiebehaushalt'!$A$4:$AC$275,23,FALSE)="","",VLOOKUP(A156,'Charriage - Geschiebehaushalt'!$A$4:$AC$275,23,FALSE))</f>
        <v>a</v>
      </c>
      <c r="AG156" s="765" t="str">
        <f>IF(VLOOKUP(A156,'Charriage - Geschiebehaushalt'!$A$4:$AC$275,24,FALSE)="","",VLOOKUP(A156,'Charriage - Geschiebehaushalt'!$A$4:$AC$275,24,FALSE))</f>
        <v/>
      </c>
      <c r="AH156" s="764" t="str">
        <f>IF(VLOOKUP(A156,'Charriage - Geschiebehaushalt'!$A$4:$AC$275,25,FALSE)="","",VLOOKUP(A156,'Charriage - Geschiebehaushalt'!$A$4:$AC$275,25,FALSE))</f>
        <v/>
      </c>
      <c r="AI156" s="903" t="str">
        <f>IF(VLOOKUP(A156,'Charriage - Geschiebehaushalt'!$A$4:$AC$275,26,FALSE)="","",VLOOKUP(A156,'Charriage - Geschiebehaushalt'!$A$4:$AC$275,26,FALSE))</f>
        <v>non</v>
      </c>
      <c r="AJ156" s="436" t="str">
        <f>IF(VLOOKUP(A156,'Charriage - Geschiebehaushalt'!$A$4:$AC$275,27,FALSE)="","",VLOOKUP(A156,'Charriage - Geschiebehaushalt'!$A$4:$AC$275,27,FALSE))</f>
        <v/>
      </c>
      <c r="AK156" s="801" t="str">
        <f>IF(VLOOKUP(A156,'Charriage - Geschiebehaushalt'!$A$4:$AC$275,28,FALSE)="","",VLOOKUP(A156,'Charriage - Geschiebehaushalt'!$A$4:$AC$275,28,FALSE))</f>
        <v>non pertinent / nicht relevant</v>
      </c>
      <c r="AL156" s="1285" t="str">
        <f>IF(VLOOKUP(A156,'Charriage - Geschiebehaushalt'!$A$4:$AD$275,30,FALSE)="","",VLOOKUP(A156,'Charriage - Geschiebehaushalt'!$A$4:$AD$275,30,FALSE))</f>
        <v>a</v>
      </c>
      <c r="AM156" s="1279" t="str">
        <f>IF(VLOOKUP(A156,'Débit - Abfluss'!$A$4:$K$275,5,FALSE)="","",VLOOKUP(A156,'Débit - Abfluss'!$A$4:$M$275,5,FALSE))</f>
        <v>non pertinent</v>
      </c>
      <c r="AN156" s="868" t="str">
        <f>IF(VLOOKUP(A156,'Débit - Abfluss'!$A$4:$K$275,6,FALSE)="","",VLOOKUP(A156,'Débit - Abfluss'!$A$4:$M$275,6,FALSE))</f>
        <v/>
      </c>
      <c r="AO156" s="869" t="str">
        <f>IF(VLOOKUP(A156,'Débit - Abfluss'!$A$4:$K$275,7,FALSE)="","",VLOOKUP(A156,'Débit - Abfluss'!$A$4:$M$275,7,FALSE))</f>
        <v/>
      </c>
      <c r="AP156" s="766" t="str">
        <f>IF(VLOOKUP(A156,'Débit - Abfluss'!$A$4:$K$275,8,FALSE)="","",VLOOKUP(A156,'Débit - Abfluss'!$A$4:$M$275,8,FALSE))</f>
        <v>non pertinent / nicht relevant</v>
      </c>
      <c r="AQ156" s="742" t="str">
        <f>IF(VLOOKUP(A156,'Débit - Abfluss'!$A$4:$K$275,9,FALSE)="","",VLOOKUP(A156,'Débit - Abfluss'!$A$4:$M$275,9,FALSE))</f>
        <v>-</v>
      </c>
      <c r="AR156" s="767" t="str">
        <f>IF(VLOOKUP(A156,'Débit - Abfluss'!$A$4:$K$275,10,FALSE)="","",VLOOKUP(A156,'Débit - Abfluss'!$A$4:$M$275,10,FALSE))</f>
        <v>non pertinent / nicht relevant</v>
      </c>
      <c r="AS156" s="767" t="str">
        <f>IF(VLOOKUP(A156,'Débit - Abfluss'!$A$4:$K$275,11,FALSE)="","",VLOOKUP(A156,'Débit - Abfluss'!$A$4:$M$275,11,FALSE))</f>
        <v/>
      </c>
      <c r="AT156" s="778" t="str">
        <f>IF(VLOOKUP(A156,'Débit - Abfluss'!$A$4:$Q$275,12,FALSE)="","",VLOOKUP(A156,'Débit - Abfluss'!$A$4:$Q$275,12,FALSE))</f>
        <v/>
      </c>
      <c r="AU156" s="779" t="str">
        <f>IF(VLOOKUP(A156,'Débit - Abfluss'!$A$4:$Q$275,13,FALSE)="","",VLOOKUP(A156,'Débit - Abfluss'!$A$4:$Q$275,13,FALSE))</f>
        <v/>
      </c>
      <c r="AV156" s="746" t="str">
        <f>IF(VLOOKUP(A156,'Débit - Abfluss'!$A$4:$Q$275,14,FALSE)="","",VLOOKUP(A156,'Débit - Abfluss'!$A$4:$Q$275,14,FALSE))</f>
        <v/>
      </c>
      <c r="AW156" s="768" t="str">
        <f>IF(VLOOKUP(A156,'Débit - Abfluss'!$A$4:$Q$275,15,FALSE)="","",VLOOKUP(A156,'Débit - Abfluss'!$A$4:$Q$275,15,FALSE))</f>
        <v/>
      </c>
      <c r="AX156" s="679" t="str">
        <f>IF(VLOOKUP(A156,'Débit - Abfluss'!$A$4:$Q$275,16,FALSE)="","",VLOOKUP(A156,'Débit - Abfluss'!$A$4:$Q$275,16,FALSE))</f>
        <v/>
      </c>
      <c r="AY156" s="769" t="str">
        <f>IF(VLOOKUP(A156,'Débit - Abfluss'!$A$4:$Q$275,17,FALSE)="","",VLOOKUP(A156,'Débit - Abfluss'!$A$4:$Q$275,17,FALSE))</f>
        <v>non pertinent / nicht relevant</v>
      </c>
      <c r="AZ156" s="749" t="str">
        <f>IF(VLOOKUP(A156,'Eclusée - Schwall-Sunk'!$A$2:$F$273,5,FALSE)="","",VLOOKUP(A156,'Eclusée - Schwall-Sunk'!$A$2:$F$273,5,FALSE))</f>
        <v/>
      </c>
      <c r="BA156" s="750" t="str">
        <f>IF(VLOOKUP(A156,'Eclusée - Schwall-Sunk'!$A$2:$F$273,6,FALSE)="","",VLOOKUP(A156,'Eclusée - Schwall-Sunk'!$A$2:$F$273,6,FALSE))</f>
        <v>Non affecté / nicht betroffen</v>
      </c>
      <c r="BB156" s="751" t="str">
        <f>IF(VLOOKUP(A156,'Revitalisation-Revitalisierung'!$A$4:$Z$275,5,FALSE)="","",VLOOKUP(A156,'Revitalisation-Revitalisierung'!$A$4:$Z$275,5,FALSE))</f>
        <v/>
      </c>
      <c r="BC156" s="752" t="str">
        <f>IF(VLOOKUP(A156,'Revitalisation-Revitalisierung'!$A$4:$Z$275,6,FALSE)="","",VLOOKUP(A156,'Revitalisation-Revitalisierung'!$A$4:$Z$275,6,FALSE))</f>
        <v/>
      </c>
      <c r="BD156" s="752" t="str">
        <f>IF(VLOOKUP(A156,'Revitalisation-Revitalisierung'!$A$4:$Z$275,7,FALSE)="","",VLOOKUP(A156,'Revitalisation-Revitalisierung'!$A$4:$Z$275,7,FALSE))</f>
        <v/>
      </c>
      <c r="BE156" s="753" t="str">
        <f>IF(VLOOKUP(A156,'Revitalisation-Revitalisierung'!$A$4:$Z$275,8,FALSE)="","",VLOOKUP(A156,'Revitalisation-Revitalisierung'!$A$4:$Z$275,8,FALSE))</f>
        <v>non pertinent</v>
      </c>
      <c r="BF156" s="754" t="str">
        <f>IF(VLOOKUP(A156,'Revitalisation-Revitalisierung'!$A$4:$Z$275,9,FALSE)="","",VLOOKUP(A156,'Revitalisation-Revitalisierung'!$A$4:$Z$275,9,FALSE))</f>
        <v/>
      </c>
      <c r="BG156" s="754" t="str">
        <f>IF(VLOOKUP(A156,'Revitalisation-Revitalisierung'!$A$4:$Z$275,10,FALSE)="","",VLOOKUP(A156,'Revitalisation-Revitalisierung'!$A$4:$Z$275,10,FALSE))</f>
        <v>K3</v>
      </c>
      <c r="BH156" s="755" t="str">
        <f>IF(VLOOKUP(A156,'Revitalisation-Revitalisierung'!$A$4:$Z$275,11,FALSE)="","",VLOOKUP(A156,'Revitalisation-Revitalisierung'!$A$4:$Z$275,11,FALSE))</f>
        <v/>
      </c>
      <c r="BI156" s="756" t="str">
        <f>IF(VLOOKUP(A156,'Revitalisation-Revitalisierung'!$A$4:$Z$275,12,FALSE)="","",VLOOKUP(A156,'Revitalisation-Revitalisierung'!$A$4:$Z$275,12,FALSE))</f>
        <v/>
      </c>
      <c r="BJ156" s="788" t="str">
        <f>IF(VLOOKUP(A156,'Revitalisation-Revitalisierung'!$A$4:$Z$275,13,FALSE)="","",VLOOKUP(A156,'Revitalisation-Revitalisierung'!$A$4:$Z$275,13,FALSE))</f>
        <v>non pertinent / nicht relevant</v>
      </c>
      <c r="BK156" s="870" t="str">
        <f>IF(VLOOKUP(A156,'Revitalisation-Revitalisierung'!$A$4:$Z$275,14,FALSE)="","",VLOOKUP(A156,'Revitalisation-Revitalisierung'!$A$4:$Z$275,14,FALSE))</f>
        <v>a</v>
      </c>
      <c r="BL156" s="758">
        <f>IF(VLOOKUP(A156,'Revitalisation-Revitalisierung'!$A$4:$Z$275,15,FALSE)="","",VLOOKUP(A156,'Revitalisation-Revitalisierung'!$A$4:$Z$275,15,FALSE))</f>
        <v>0</v>
      </c>
      <c r="BM156" s="759">
        <f>IF(VLOOKUP(A156,'Revitalisation-Revitalisierung'!$A$4:$Z$275,16,FALSE)="","",VLOOKUP(A156,'Revitalisation-Revitalisierung'!$A$4:$Z$275,16,FALSE))</f>
        <v>0</v>
      </c>
      <c r="BN156" s="759">
        <f>IF(VLOOKUP(A156,'Revitalisation-Revitalisierung'!$A$4:$Z$275,17,FALSE)="","",VLOOKUP(A156,'Revitalisation-Revitalisierung'!$A$4:$Z$275,17,FALSE))</f>
        <v>0</v>
      </c>
      <c r="BO156" s="760" t="str">
        <f>IF(VLOOKUP(A156,'Revitalisation-Revitalisierung'!$A$4:$Z$275,18,FALSE)="","",VLOOKUP(A156,'Revitalisation-Revitalisierung'!$A$4:$Z$275,18,FALSE))</f>
        <v/>
      </c>
      <c r="BP156" s="761" t="str">
        <f>IF(VLOOKUP(A156,'Revitalisation-Revitalisierung'!$A$4:$Z$275,19,FALSE)="","",VLOOKUP(A156,'Revitalisation-Revitalisierung'!$A$4:$Z$275,19,FALSE))</f>
        <v>non pertinent / nicht relevant</v>
      </c>
      <c r="BQ156" s="759" t="str">
        <f>IF(VLOOKUP(A156,'Revitalisation-Revitalisierung'!$A$4:$Z$275,20,FALSE)="","",VLOOKUP(A156,'Revitalisation-Revitalisierung'!$A$4:$Z$275,20,FALSE))</f>
        <v>a</v>
      </c>
      <c r="BR156" s="759" t="str">
        <f>IF(VLOOKUP(A156,'Revitalisation-Revitalisierung'!$A$4:$Z$275,21,FALSE)="","",VLOOKUP(A156,'Revitalisation-Revitalisierung'!$A$4:$Z$275,21,FALSE))</f>
        <v/>
      </c>
      <c r="BS156" s="762" t="str">
        <f>IF(VLOOKUP(A156,'Revitalisation-Revitalisierung'!$A$4:$Z$275,22,FALSE)="","",VLOOKUP(A156,'Revitalisation-Revitalisierung'!$A$4:$Z$275,22,FALSE))</f>
        <v/>
      </c>
      <c r="BT156" s="761" t="str">
        <f>IF(VLOOKUP(A156,'Revitalisation-Revitalisierung'!$A$4:$Z$275,23,FALSE)="","",VLOOKUP(A156,'Revitalisation-Revitalisierung'!$A$4:$Z$275,23,FALSE))</f>
        <v/>
      </c>
      <c r="BU156" s="704" t="str">
        <f>IF(VLOOKUP(A156,'Revitalisation-Revitalisierung'!$A$4:$Z$275,24,FALSE)="","",VLOOKUP(A156,'Revitalisation-Revitalisierung'!$A$4:$Z$275,24,FALSE))</f>
        <v/>
      </c>
      <c r="BV156" s="761" t="str">
        <f>IF(VLOOKUP(A156,'Revitalisation-Revitalisierung'!$A$4:$Z$275,25,FALSE)="","",VLOOKUP(A156,'Revitalisation-Revitalisierung'!$A$4:$Z$275,25,FALSE))</f>
        <v>non pertinent / nicht relevant</v>
      </c>
      <c r="BW156" s="871" t="str">
        <f>IF(VLOOKUP(A156,'Revitalisation-Revitalisierung'!$A$4:$AA$275,27,FALSE)="","",VLOOKUP(A156,'Revitalisation-Revitalisierung'!$A$4:$AA$275,27,FALSE))</f>
        <v>a</v>
      </c>
    </row>
    <row r="157" spans="1:75" ht="59.45" customHeight="1" x14ac:dyDescent="0.25">
      <c r="A157" s="935">
        <v>202</v>
      </c>
      <c r="B157" s="856">
        <f>IF(VLOOKUP(A157,'Données de base - Grunddaten'!$A$2:$M$297,2,FALSE)="","",VLOOKUP(A157,'Données de base - Grunddaten'!$A$2:$M$297,2,FALSE))</f>
        <v>1</v>
      </c>
      <c r="C157" s="857" t="str">
        <f>IF(VLOOKUP(A157,'Données de base - Grunddaten'!$A$2:$M$297,3,FALSE)="","",VLOOKUP(A157,'Données de base - Grunddaten'!$A$2:$M$297,3,FALSE))</f>
        <v>Les Grèves d'Yverdon–Yvonand</v>
      </c>
      <c r="D157" s="857" t="str">
        <f>IF(VLOOKUP(A157,'Données de base - Grunddaten'!$A$2:$M$297,4,FALSE)="","",VLOOKUP(A157,'Données de base - Grunddaten'!$A$2:$M$297,4,FALSE))</f>
        <v>Lac de Neuchâtel</v>
      </c>
      <c r="E157" s="857" t="str">
        <f>IF(VLOOKUP(A157,'Données de base - Grunddaten'!$A$2:$M$297,5,FALSE)="","",VLOOKUP(A157,'Données de base - Grunddaten'!$A$2:$M$297,5,FALSE))</f>
        <v>VD</v>
      </c>
      <c r="F157" s="857" t="str">
        <f>IF(VLOOKUP(A157,'Données de base - Grunddaten'!$A$2:$M$297,6,FALSE)="","",VLOOKUP(A157,'Données de base - Grunddaten'!$A$2:$M$297,6,FALSE))</f>
        <v>Plateau occidental</v>
      </c>
      <c r="G157" s="857" t="str">
        <f>IF(VLOOKUP(A157,'Données de base - Grunddaten'!$A$2:$M$297,7,FALSE)="","",VLOOKUP(A157,'Données de base - Grunddaten'!$A$2:$M$297,7,FALSE))</f>
        <v>Collinéen</v>
      </c>
      <c r="H157" s="857">
        <f>IF(VLOOKUP(A157,'Données de base - Grunddaten'!$A$2:$M$297,8,FALSE)="","",VLOOKUP(A157,'Données de base - Grunddaten'!$A$2:$M$297,8,FALSE))</f>
        <v>430</v>
      </c>
      <c r="I157" s="857">
        <f>IF(VLOOKUP(A157,'Données de base - Grunddaten'!$A$2:$M$297,9,FALSE)="","",VLOOKUP(A157,'Données de base - Grunddaten'!$A$2:$M$297,9,FALSE))</f>
        <v>1992</v>
      </c>
      <c r="J157" s="857">
        <f>IF(VLOOKUP(A157,'Données de base - Grunddaten'!$A$2:$M$297,10,FALSE)="","",VLOOKUP(A157,'Données de base - Grunddaten'!$A$2:$M$297,10,FALSE))</f>
        <v>101</v>
      </c>
      <c r="K157" s="857" t="str">
        <f>IF(VLOOKUP(A157,'Données de base - Grunddaten'!$A$2:$M$297,11,FALSE)="","",VLOOKUP(A157,'Données de base - Grunddaten'!$A$2:$M$297,11,FALSE))</f>
        <v>Rives de lacs de l'étage collinéen</v>
      </c>
      <c r="L157" s="857" t="str">
        <f>IF(VLOOKUP(A157,'Données de base - Grunddaten'!$A$2:$M$297,12,FALSE)="","",VLOOKUP(A157,'Données de base - Grunddaten'!$A$2:$M$297,12,FALSE))</f>
        <v>rives lacustres</v>
      </c>
      <c r="M157" s="858" t="str">
        <f>IF(VLOOKUP(A157,'Données de base - Grunddaten'!$A$2:$M$297,13,FALSE)="","",VLOOKUP(A157,'Données de base - Grunddaten'!$A$2:$M$297,13,FALSE))</f>
        <v>rives lacustres</v>
      </c>
      <c r="N157" s="891" t="str">
        <f>IF(VLOOKUP(A157,'Charriage - Geschiebehaushalt'!$A$4:$R$275,5,FALSE)="","",VLOOKUP(A157,'Charriage - Geschiebehaushalt'!$A$4:$R$275,5,FALSE))</f>
        <v>non pertinent</v>
      </c>
      <c r="O157" s="881" t="str">
        <f>IF(VLOOKUP(A157,'Charriage - Geschiebehaushalt'!$A$4:$R$275,6,FALSE)="","",VLOOKUP(A157,'Charriage - Geschiebehaushalt'!$A$4:$R$275,6,FALSE))</f>
        <v/>
      </c>
      <c r="P157" s="874" t="str">
        <f>IF(VLOOKUP(A157,'Charriage - Geschiebehaushalt'!$A$4:$R$275,7,FALSE)="","",VLOOKUP(A157,'Charriage - Geschiebehaushalt'!$A$4:$R$275,7,FALSE))</f>
        <v/>
      </c>
      <c r="Q157" s="874" t="str">
        <f>IF(VLOOKUP(A157,'Charriage - Geschiebehaushalt'!$A$4:$R$275,8,FALSE)="","",VLOOKUP(A157,'Charriage - Geschiebehaushalt'!$A$4:$R$275,8,FALSE))</f>
        <v>non documenté</v>
      </c>
      <c r="R157" s="875">
        <f>IF(VLOOKUP(A157,'Charriage - Geschiebehaushalt'!$A$4:$R$275,9,FALSE)="","",VLOOKUP(A157,'Charriage - Geschiebehaushalt'!$A$4:$R$275,9,FALSE))</f>
        <v>0</v>
      </c>
      <c r="S157" s="876" t="str">
        <f>IF(VLOOKUP(A157,'Charriage - Geschiebehaushalt'!$A$4:$R$275,10,FALSE)="","",VLOOKUP(A157,'Charriage - Geschiebehaushalt'!$A$4:$R$275,10,FALSE))</f>
        <v>pas ou faiblement entravé</v>
      </c>
      <c r="T157" s="875">
        <f>IF(VLOOKUP(A157,'Charriage - Geschiebehaushalt'!$A$4:$R$275,11,FALSE)="","",VLOOKUP(A157,'Charriage - Geschiebehaushalt'!$A$4:$R$275,11,FALSE))</f>
        <v>0.39802527376000002</v>
      </c>
      <c r="U157" s="876" t="str">
        <f>IF(VLOOKUP(A157,'Charriage - Geschiebehaushalt'!$A$4:$R$275,12,FALSE)="","",VLOOKUP(A157,'Charriage - Geschiebehaushalt'!$A$4:$R$275,12,FALSE))</f>
        <v>déficit non apparent en charriage ou en remobilisation des sédiments</v>
      </c>
      <c r="V157" s="877" t="str">
        <f>IF(VLOOKUP(A157,'Charriage - Geschiebehaushalt'!$A$4:$R$275,13,FALSE)="","",VLOOKUP(A157,'Charriage - Geschiebehaushalt'!$A$4:$R$275,13,FALSE))</f>
        <v/>
      </c>
      <c r="W157" s="877" t="str">
        <f>IF(VLOOKUP(A157,'Charriage - Geschiebehaushalt'!$A$4:$R$275,14,FALSE)="","",VLOOKUP(A157,'Charriage - Geschiebehaushalt'!$A$4:$R$275,14,FALSE))</f>
        <v/>
      </c>
      <c r="X157" s="877" t="str">
        <f>IF(VLOOKUP(A157,'Charriage - Geschiebehaushalt'!$A$4:$R$275,15,FALSE)="","",VLOOKUP(A157,'Charriage - Geschiebehaushalt'!$A$4:$R$275,15,FALSE))</f>
        <v/>
      </c>
      <c r="Y157" s="879" t="str">
        <f>IF(VLOOKUP(A157,'Charriage - Geschiebehaushalt'!$A$4:$R$275,16,FALSE)="","",VLOOKUP(A157,'Charriage - Geschiebehaushalt'!$A$4:$R$275,16,FALSE))</f>
        <v/>
      </c>
      <c r="Z157" s="763" t="str">
        <f>IF(VLOOKUP(A157,'Charriage - Geschiebehaushalt'!$A$4:$R$275,17,FALSE)="","",VLOOKUP(A157,'Charriage - Geschiebehaushalt'!$A$4:$R$275,17,FALSE))</f>
        <v>non pertinent / nicht relevant</v>
      </c>
      <c r="AA157" s="880" t="str">
        <f>IF(VLOOKUP(A157,'Charriage - Geschiebehaushalt'!$A$4:$R$275,18,FALSE)="","",VLOOKUP(A157,'Charriage - Geschiebehaushalt'!$A$4:$R$275,18,FALSE))</f>
        <v>a</v>
      </c>
      <c r="AB157" s="737">
        <f>IF(VLOOKUP(A157,'Charriage - Geschiebehaushalt'!$A$4:$AC$275,19,FALSE)="","",VLOOKUP(A157,'Charriage - Geschiebehaushalt'!$A$4:$AC$275,19,FALSE))</f>
        <v>0</v>
      </c>
      <c r="AC157" s="738">
        <f>IF(VLOOKUP(A157,'Charriage - Geschiebehaushalt'!$A$4:$AC$275,20,FALSE)="","",VLOOKUP(A157,'Charriage - Geschiebehaushalt'!$A$4:$AC$275,20,FALSE))</f>
        <v>0</v>
      </c>
      <c r="AD157" s="764" t="str">
        <f>IF(VLOOKUP(A157,'Charriage - Geschiebehaushalt'!$A$4:$AC$275,21,FALSE)="","",VLOOKUP(A157,'Charriage - Geschiebehaushalt'!$A$4:$AC$275,21,FALSE))</f>
        <v/>
      </c>
      <c r="AE157" s="740" t="str">
        <f>IF(VLOOKUP(A157,'Charriage - Geschiebehaushalt'!$A$4:$AC$275,22,FALSE)="","",VLOOKUP(A157,'Charriage - Geschiebehaushalt'!$A$4:$AC$275,22,FALSE))</f>
        <v>non pertinent / nicht relevant</v>
      </c>
      <c r="AF157" s="787" t="str">
        <f>IF(VLOOKUP(A157,'Charriage - Geschiebehaushalt'!$A$4:$AC$275,23,FALSE)="","",VLOOKUP(A157,'Charriage - Geschiebehaushalt'!$A$4:$AC$275,23,FALSE))</f>
        <v>a</v>
      </c>
      <c r="AG157" s="765" t="str">
        <f>IF(VLOOKUP(A157,'Charriage - Geschiebehaushalt'!$A$4:$AC$275,24,FALSE)="","",VLOOKUP(A157,'Charriage - Geschiebehaushalt'!$A$4:$AC$275,24,FALSE))</f>
        <v/>
      </c>
      <c r="AH157" s="764" t="str">
        <f>IF(VLOOKUP(A157,'Charriage - Geschiebehaushalt'!$A$4:$AC$275,25,FALSE)="","",VLOOKUP(A157,'Charriage - Geschiebehaushalt'!$A$4:$AC$275,25,FALSE))</f>
        <v/>
      </c>
      <c r="AI157" s="903" t="str">
        <f>IF(VLOOKUP(A157,'Charriage - Geschiebehaushalt'!$A$4:$AC$275,26,FALSE)="","",VLOOKUP(A157,'Charriage - Geschiebehaushalt'!$A$4:$AC$275,26,FALSE))</f>
        <v>non</v>
      </c>
      <c r="AJ157" s="436" t="str">
        <f>IF(VLOOKUP(A157,'Charriage - Geschiebehaushalt'!$A$4:$AC$275,27,FALSE)="","",VLOOKUP(A157,'Charriage - Geschiebehaushalt'!$A$4:$AC$275,27,FALSE))</f>
        <v/>
      </c>
      <c r="AK157" s="801" t="str">
        <f>IF(VLOOKUP(A157,'Charriage - Geschiebehaushalt'!$A$4:$AC$275,28,FALSE)="","",VLOOKUP(A157,'Charriage - Geschiebehaushalt'!$A$4:$AC$275,28,FALSE))</f>
        <v>non pertinent / nicht relevant</v>
      </c>
      <c r="AL157" s="1285" t="str">
        <f>IF(VLOOKUP(A157,'Charriage - Geschiebehaushalt'!$A$4:$AD$275,30,FALSE)="","",VLOOKUP(A157,'Charriage - Geschiebehaushalt'!$A$4:$AD$275,30,FALSE))</f>
        <v>a</v>
      </c>
      <c r="AM157" s="1279" t="str">
        <f>IF(VLOOKUP(A157,'Débit - Abfluss'!$A$4:$K$275,5,FALSE)="","",VLOOKUP(A157,'Débit - Abfluss'!$A$4:$M$275,5,FALSE))</f>
        <v>non pertinent</v>
      </c>
      <c r="AN157" s="868" t="str">
        <f>IF(VLOOKUP(A157,'Débit - Abfluss'!$A$4:$K$275,6,FALSE)="","",VLOOKUP(A157,'Débit - Abfluss'!$A$4:$M$275,6,FALSE))</f>
        <v/>
      </c>
      <c r="AO157" s="869" t="str">
        <f>IF(VLOOKUP(A157,'Débit - Abfluss'!$A$4:$K$275,7,FALSE)="","",VLOOKUP(A157,'Débit - Abfluss'!$A$4:$M$275,7,FALSE))</f>
        <v/>
      </c>
      <c r="AP157" s="766" t="str">
        <f>IF(VLOOKUP(A157,'Débit - Abfluss'!$A$4:$K$275,8,FALSE)="","",VLOOKUP(A157,'Débit - Abfluss'!$A$4:$M$275,8,FALSE))</f>
        <v>non pertinent / nicht relevant</v>
      </c>
      <c r="AQ157" s="742" t="str">
        <f>IF(VLOOKUP(A157,'Débit - Abfluss'!$A$4:$K$275,9,FALSE)="","",VLOOKUP(A157,'Débit - Abfluss'!$A$4:$M$275,9,FALSE))</f>
        <v>-</v>
      </c>
      <c r="AR157" s="767" t="str">
        <f>IF(VLOOKUP(A157,'Débit - Abfluss'!$A$4:$K$275,10,FALSE)="","",VLOOKUP(A157,'Débit - Abfluss'!$A$4:$M$275,10,FALSE))</f>
        <v>non pertinent / nicht relevant</v>
      </c>
      <c r="AS157" s="767" t="str">
        <f>IF(VLOOKUP(A157,'Débit - Abfluss'!$A$4:$K$275,11,FALSE)="","",VLOOKUP(A157,'Débit - Abfluss'!$A$4:$M$275,11,FALSE))</f>
        <v/>
      </c>
      <c r="AT157" s="778" t="str">
        <f>IF(VLOOKUP(A157,'Débit - Abfluss'!$A$4:$Q$275,12,FALSE)="","",VLOOKUP(A157,'Débit - Abfluss'!$A$4:$Q$275,12,FALSE))</f>
        <v/>
      </c>
      <c r="AU157" s="779" t="str">
        <f>IF(VLOOKUP(A157,'Débit - Abfluss'!$A$4:$Q$275,13,FALSE)="","",VLOOKUP(A157,'Débit - Abfluss'!$A$4:$Q$275,13,FALSE))</f>
        <v/>
      </c>
      <c r="AV157" s="746" t="str">
        <f>IF(VLOOKUP(A157,'Débit - Abfluss'!$A$4:$Q$275,14,FALSE)="","",VLOOKUP(A157,'Débit - Abfluss'!$A$4:$Q$275,14,FALSE))</f>
        <v/>
      </c>
      <c r="AW157" s="768" t="str">
        <f>IF(VLOOKUP(A157,'Débit - Abfluss'!$A$4:$Q$275,15,FALSE)="","",VLOOKUP(A157,'Débit - Abfluss'!$A$4:$Q$275,15,FALSE))</f>
        <v/>
      </c>
      <c r="AX157" s="679" t="str">
        <f>IF(VLOOKUP(A157,'Débit - Abfluss'!$A$4:$Q$275,16,FALSE)="","",VLOOKUP(A157,'Débit - Abfluss'!$A$4:$Q$275,16,FALSE))</f>
        <v/>
      </c>
      <c r="AY157" s="769" t="str">
        <f>IF(VLOOKUP(A157,'Débit - Abfluss'!$A$4:$Q$275,17,FALSE)="","",VLOOKUP(A157,'Débit - Abfluss'!$A$4:$Q$275,17,FALSE))</f>
        <v>non pertinent / nicht relevant</v>
      </c>
      <c r="AZ157" s="749" t="str">
        <f>IF(VLOOKUP(A157,'Eclusée - Schwall-Sunk'!$A$2:$F$273,5,FALSE)="","",VLOOKUP(A157,'Eclusée - Schwall-Sunk'!$A$2:$F$273,5,FALSE))</f>
        <v/>
      </c>
      <c r="BA157" s="750" t="str">
        <f>IF(VLOOKUP(A157,'Eclusée - Schwall-Sunk'!$A$2:$F$273,6,FALSE)="","",VLOOKUP(A157,'Eclusée - Schwall-Sunk'!$A$2:$F$273,6,FALSE))</f>
        <v>Non affecté / nicht betroffen</v>
      </c>
      <c r="BB157" s="751" t="str">
        <f>IF(VLOOKUP(A157,'Revitalisation-Revitalisierung'!$A$4:$Z$275,5,FALSE)="","",VLOOKUP(A157,'Revitalisation-Revitalisierung'!$A$4:$Z$275,5,FALSE))</f>
        <v/>
      </c>
      <c r="BC157" s="752" t="str">
        <f>IF(VLOOKUP(A157,'Revitalisation-Revitalisierung'!$A$4:$Z$275,6,FALSE)="","",VLOOKUP(A157,'Revitalisation-Revitalisierung'!$A$4:$Z$275,6,FALSE))</f>
        <v/>
      </c>
      <c r="BD157" s="752" t="str">
        <f>IF(VLOOKUP(A157,'Revitalisation-Revitalisierung'!$A$4:$Z$275,7,FALSE)="","",VLOOKUP(A157,'Revitalisation-Revitalisierung'!$A$4:$Z$275,7,FALSE))</f>
        <v/>
      </c>
      <c r="BE157" s="753" t="str">
        <f>IF(VLOOKUP(A157,'Revitalisation-Revitalisierung'!$A$4:$Z$275,8,FALSE)="","",VLOOKUP(A157,'Revitalisation-Revitalisierung'!$A$4:$Z$275,8,FALSE))</f>
        <v>non pertinent</v>
      </c>
      <c r="BF157" s="754" t="str">
        <f>IF(VLOOKUP(A157,'Revitalisation-Revitalisierung'!$A$4:$Z$275,9,FALSE)="","",VLOOKUP(A157,'Revitalisation-Revitalisierung'!$A$4:$Z$275,9,FALSE))</f>
        <v/>
      </c>
      <c r="BG157" s="754" t="str">
        <f>IF(VLOOKUP(A157,'Revitalisation-Revitalisierung'!$A$4:$Z$275,10,FALSE)="","",VLOOKUP(A157,'Revitalisation-Revitalisierung'!$A$4:$Z$275,10,FALSE))</f>
        <v>K2</v>
      </c>
      <c r="BH157" s="755" t="str">
        <f>IF(VLOOKUP(A157,'Revitalisation-Revitalisierung'!$A$4:$Z$275,11,FALSE)="","",VLOOKUP(A157,'Revitalisation-Revitalisierung'!$A$4:$Z$275,11,FALSE))</f>
        <v/>
      </c>
      <c r="BI157" s="756" t="str">
        <f>IF(VLOOKUP(A157,'Revitalisation-Revitalisierung'!$A$4:$Z$275,12,FALSE)="","",VLOOKUP(A157,'Revitalisation-Revitalisierung'!$A$4:$Z$275,12,FALSE))</f>
        <v/>
      </c>
      <c r="BJ157" s="788" t="str">
        <f>IF(VLOOKUP(A157,'Revitalisation-Revitalisierung'!$A$4:$Z$275,13,FALSE)="","",VLOOKUP(A157,'Revitalisation-Revitalisierung'!$A$4:$Z$275,13,FALSE))</f>
        <v>non pertinent / nicht relevant</v>
      </c>
      <c r="BK157" s="870" t="str">
        <f>IF(VLOOKUP(A157,'Revitalisation-Revitalisierung'!$A$4:$Z$275,14,FALSE)="","",VLOOKUP(A157,'Revitalisation-Revitalisierung'!$A$4:$Z$275,14,FALSE))</f>
        <v>a</v>
      </c>
      <c r="BL157" s="758">
        <f>IF(VLOOKUP(A157,'Revitalisation-Revitalisierung'!$A$4:$Z$275,15,FALSE)="","",VLOOKUP(A157,'Revitalisation-Revitalisierung'!$A$4:$Z$275,15,FALSE))</f>
        <v>0</v>
      </c>
      <c r="BM157" s="759">
        <f>IF(VLOOKUP(A157,'Revitalisation-Revitalisierung'!$A$4:$Z$275,16,FALSE)="","",VLOOKUP(A157,'Revitalisation-Revitalisierung'!$A$4:$Z$275,16,FALSE))</f>
        <v>0</v>
      </c>
      <c r="BN157" s="759">
        <f>IF(VLOOKUP(A157,'Revitalisation-Revitalisierung'!$A$4:$Z$275,17,FALSE)="","",VLOOKUP(A157,'Revitalisation-Revitalisierung'!$A$4:$Z$275,17,FALSE))</f>
        <v>0</v>
      </c>
      <c r="BO157" s="760" t="str">
        <f>IF(VLOOKUP(A157,'Revitalisation-Revitalisierung'!$A$4:$Z$275,18,FALSE)="","",VLOOKUP(A157,'Revitalisation-Revitalisierung'!$A$4:$Z$275,18,FALSE))</f>
        <v/>
      </c>
      <c r="BP157" s="761" t="str">
        <f>IF(VLOOKUP(A157,'Revitalisation-Revitalisierung'!$A$4:$Z$275,19,FALSE)="","",VLOOKUP(A157,'Revitalisation-Revitalisierung'!$A$4:$Z$275,19,FALSE))</f>
        <v>non pertinent / nicht relevant</v>
      </c>
      <c r="BQ157" s="759" t="str">
        <f>IF(VLOOKUP(A157,'Revitalisation-Revitalisierung'!$A$4:$Z$275,20,FALSE)="","",VLOOKUP(A157,'Revitalisation-Revitalisierung'!$A$4:$Z$275,20,FALSE))</f>
        <v>a</v>
      </c>
      <c r="BR157" s="759" t="str">
        <f>IF(VLOOKUP(A157,'Revitalisation-Revitalisierung'!$A$4:$Z$275,21,FALSE)="","",VLOOKUP(A157,'Revitalisation-Revitalisierung'!$A$4:$Z$275,21,FALSE))</f>
        <v/>
      </c>
      <c r="BS157" s="762" t="str">
        <f>IF(VLOOKUP(A157,'Revitalisation-Revitalisierung'!$A$4:$Z$275,22,FALSE)="","",VLOOKUP(A157,'Revitalisation-Revitalisierung'!$A$4:$Z$275,22,FALSE))</f>
        <v/>
      </c>
      <c r="BT157" s="761" t="str">
        <f>IF(VLOOKUP(A157,'Revitalisation-Revitalisierung'!$A$4:$Z$275,23,FALSE)="","",VLOOKUP(A157,'Revitalisation-Revitalisierung'!$A$4:$Z$275,23,FALSE))</f>
        <v/>
      </c>
      <c r="BU157" s="704" t="str">
        <f>IF(VLOOKUP(A157,'Revitalisation-Revitalisierung'!$A$4:$Z$275,24,FALSE)="","",VLOOKUP(A157,'Revitalisation-Revitalisierung'!$A$4:$Z$275,24,FALSE))</f>
        <v/>
      </c>
      <c r="BV157" s="761" t="str">
        <f>IF(VLOOKUP(A157,'Revitalisation-Revitalisierung'!$A$4:$Z$275,25,FALSE)="","",VLOOKUP(A157,'Revitalisation-Revitalisierung'!$A$4:$Z$275,25,FALSE))</f>
        <v>non pertinent / nicht relevant</v>
      </c>
      <c r="BW157" s="871" t="str">
        <f>IF(VLOOKUP(A157,'Revitalisation-Revitalisierung'!$A$4:$AA$275,27,FALSE)="","",VLOOKUP(A157,'Revitalisation-Revitalisierung'!$A$4:$AA$275,27,FALSE))</f>
        <v>a</v>
      </c>
    </row>
    <row r="158" spans="1:75" ht="62.45" customHeight="1" x14ac:dyDescent="0.25">
      <c r="A158" s="935">
        <v>203</v>
      </c>
      <c r="B158" s="856">
        <f>IF(VLOOKUP(A158,'Données de base - Grunddaten'!$A$2:$M$297,2,FALSE)="","",VLOOKUP(A158,'Données de base - Grunddaten'!$A$2:$M$297,2,FALSE))</f>
        <v>1</v>
      </c>
      <c r="C158" s="857" t="str">
        <f>IF(VLOOKUP(A158,'Données de base - Grunddaten'!$A$2:$M$297,3,FALSE)="","",VLOOKUP(A158,'Données de base - Grunddaten'!$A$2:$M$297,3,FALSE))</f>
        <v>Les Grèves d'Yvonand–Cheyres</v>
      </c>
      <c r="D158" s="857" t="str">
        <f>IF(VLOOKUP(A158,'Données de base - Grunddaten'!$A$2:$M$297,4,FALSE)="","",VLOOKUP(A158,'Données de base - Grunddaten'!$A$2:$M$297,4,FALSE))</f>
        <v>Lac de Neuchâtel</v>
      </c>
      <c r="E158" s="857" t="str">
        <f>IF(VLOOKUP(A158,'Données de base - Grunddaten'!$A$2:$M$297,5,FALSE)="","",VLOOKUP(A158,'Données de base - Grunddaten'!$A$2:$M$297,5,FALSE))</f>
        <v>FR/VD</v>
      </c>
      <c r="F158" s="857" t="str">
        <f>IF(VLOOKUP(A158,'Données de base - Grunddaten'!$A$2:$M$297,6,FALSE)="","",VLOOKUP(A158,'Données de base - Grunddaten'!$A$2:$M$297,6,FALSE))</f>
        <v>Plateau occidental</v>
      </c>
      <c r="G158" s="857" t="str">
        <f>IF(VLOOKUP(A158,'Données de base - Grunddaten'!$A$2:$M$297,7,FALSE)="","",VLOOKUP(A158,'Données de base - Grunddaten'!$A$2:$M$297,7,FALSE))</f>
        <v>Collinéen</v>
      </c>
      <c r="H158" s="857">
        <f>IF(VLOOKUP(A158,'Données de base - Grunddaten'!$A$2:$M$297,8,FALSE)="","",VLOOKUP(A158,'Données de base - Grunddaten'!$A$2:$M$297,8,FALSE))</f>
        <v>430</v>
      </c>
      <c r="I158" s="857">
        <f>IF(VLOOKUP(A158,'Données de base - Grunddaten'!$A$2:$M$297,9,FALSE)="","",VLOOKUP(A158,'Données de base - Grunddaten'!$A$2:$M$297,9,FALSE))</f>
        <v>1992</v>
      </c>
      <c r="J158" s="857">
        <f>IF(VLOOKUP(A158,'Données de base - Grunddaten'!$A$2:$M$297,10,FALSE)="","",VLOOKUP(A158,'Données de base - Grunddaten'!$A$2:$M$297,10,FALSE))</f>
        <v>101</v>
      </c>
      <c r="K158" s="857" t="str">
        <f>IF(VLOOKUP(A158,'Données de base - Grunddaten'!$A$2:$M$297,11,FALSE)="","",VLOOKUP(A158,'Données de base - Grunddaten'!$A$2:$M$297,11,FALSE))</f>
        <v>Rives de lacs de l'étage collinéen</v>
      </c>
      <c r="L158" s="857" t="str">
        <f>IF(VLOOKUP(A158,'Données de base - Grunddaten'!$A$2:$M$297,12,FALSE)="","",VLOOKUP(A158,'Données de base - Grunddaten'!$A$2:$M$297,12,FALSE))</f>
        <v>rives lacustres</v>
      </c>
      <c r="M158" s="858" t="str">
        <f>IF(VLOOKUP(A158,'Données de base - Grunddaten'!$A$2:$M$297,13,FALSE)="","",VLOOKUP(A158,'Données de base - Grunddaten'!$A$2:$M$297,13,FALSE))</f>
        <v>rives lacustres</v>
      </c>
      <c r="N158" s="891" t="str">
        <f>IF(VLOOKUP(A158,'Charriage - Geschiebehaushalt'!$A$4:$R$275,5,FALSE)="","",VLOOKUP(A158,'Charriage - Geschiebehaushalt'!$A$4:$R$275,5,FALSE))</f>
        <v>non pertinent</v>
      </c>
      <c r="O158" s="881" t="str">
        <f>IF(VLOOKUP(A158,'Charriage - Geschiebehaushalt'!$A$4:$R$275,6,FALSE)="","",VLOOKUP(A158,'Charriage - Geschiebehaushalt'!$A$4:$R$275,6,FALSE))</f>
        <v/>
      </c>
      <c r="P158" s="874" t="str">
        <f>IF(VLOOKUP(A158,'Charriage - Geschiebehaushalt'!$A$4:$R$275,7,FALSE)="","",VLOOKUP(A158,'Charriage - Geschiebehaushalt'!$A$4:$R$275,7,FALSE))</f>
        <v/>
      </c>
      <c r="Q158" s="874" t="str">
        <f>IF(VLOOKUP(A158,'Charriage - Geschiebehaushalt'!$A$4:$R$275,8,FALSE)="","",VLOOKUP(A158,'Charriage - Geschiebehaushalt'!$A$4:$R$275,8,FALSE))</f>
        <v>non documenté</v>
      </c>
      <c r="R158" s="875">
        <f>IF(VLOOKUP(A158,'Charriage - Geschiebehaushalt'!$A$4:$R$275,9,FALSE)="","",VLOOKUP(A158,'Charriage - Geschiebehaushalt'!$A$4:$R$275,9,FALSE))</f>
        <v>0</v>
      </c>
      <c r="S158" s="876" t="str">
        <f>IF(VLOOKUP(A158,'Charriage - Geschiebehaushalt'!$A$4:$R$275,10,FALSE)="","",VLOOKUP(A158,'Charriage - Geschiebehaushalt'!$A$4:$R$275,10,FALSE))</f>
        <v>pas ou faiblement entravé</v>
      </c>
      <c r="T158" s="875">
        <f>IF(VLOOKUP(A158,'Charriage - Geschiebehaushalt'!$A$4:$R$275,11,FALSE)="","",VLOOKUP(A158,'Charriage - Geschiebehaushalt'!$A$4:$R$275,11,FALSE))</f>
        <v>0.41425972829000002</v>
      </c>
      <c r="U158" s="876" t="str">
        <f>IF(VLOOKUP(A158,'Charriage - Geschiebehaushalt'!$A$4:$R$275,12,FALSE)="","",VLOOKUP(A158,'Charriage - Geschiebehaushalt'!$A$4:$R$275,12,FALSE))</f>
        <v>déficit non apparent en charriage ou en remobilisation des sédiments</v>
      </c>
      <c r="V158" s="877" t="str">
        <f>IF(VLOOKUP(A158,'Charriage - Geschiebehaushalt'!$A$4:$R$275,13,FALSE)="","",VLOOKUP(A158,'Charriage - Geschiebehaushalt'!$A$4:$R$275,13,FALSE))</f>
        <v/>
      </c>
      <c r="W158" s="877" t="str">
        <f>IF(VLOOKUP(A158,'Charriage - Geschiebehaushalt'!$A$4:$R$275,14,FALSE)="","",VLOOKUP(A158,'Charriage - Geschiebehaushalt'!$A$4:$R$275,14,FALSE))</f>
        <v/>
      </c>
      <c r="X158" s="877" t="str">
        <f>IF(VLOOKUP(A158,'Charriage - Geschiebehaushalt'!$A$4:$R$275,15,FALSE)="","",VLOOKUP(A158,'Charriage - Geschiebehaushalt'!$A$4:$R$275,15,FALSE))</f>
        <v/>
      </c>
      <c r="Y158" s="879" t="str">
        <f>IF(VLOOKUP(A158,'Charriage - Geschiebehaushalt'!$A$4:$R$275,16,FALSE)="","",VLOOKUP(A158,'Charriage - Geschiebehaushalt'!$A$4:$R$275,16,FALSE))</f>
        <v/>
      </c>
      <c r="Z158" s="763" t="str">
        <f>IF(VLOOKUP(A158,'Charriage - Geschiebehaushalt'!$A$4:$R$275,17,FALSE)="","",VLOOKUP(A158,'Charriage - Geschiebehaushalt'!$A$4:$R$275,17,FALSE))</f>
        <v>non pertinent / nicht relevant</v>
      </c>
      <c r="AA158" s="880" t="str">
        <f>IF(VLOOKUP(A158,'Charriage - Geschiebehaushalt'!$A$4:$R$275,18,FALSE)="","",VLOOKUP(A158,'Charriage - Geschiebehaushalt'!$A$4:$R$275,18,FALSE))</f>
        <v>a</v>
      </c>
      <c r="AB158" s="737" t="str">
        <f>IF(VLOOKUP(A158,'Charriage - Geschiebehaushalt'!$A$4:$AC$275,19,FALSE)="","",VLOOKUP(A158,'Charriage - Geschiebehaushalt'!$A$4:$AC$275,19,FALSE))</f>
        <v>- /
-</v>
      </c>
      <c r="AC158" s="738" t="str">
        <f>IF(VLOOKUP(A158,'Charriage - Geschiebehaushalt'!$A$4:$AC$275,20,FALSE)="","",VLOOKUP(A158,'Charriage - Geschiebehaushalt'!$A$4:$AC$275,20,FALSE))</f>
        <v>- /
-</v>
      </c>
      <c r="AD158" s="764" t="str">
        <f>IF(VLOOKUP(A158,'Charriage - Geschiebehaushalt'!$A$4:$AC$275,21,FALSE)="","",VLOOKUP(A158,'Charriage - Geschiebehaushalt'!$A$4:$AC$275,21,FALSE))</f>
        <v/>
      </c>
      <c r="AE158" s="740" t="str">
        <f>IF(VLOOKUP(A158,'Charriage - Geschiebehaushalt'!$A$4:$AC$275,22,FALSE)="","",VLOOKUP(A158,'Charriage - Geschiebehaushalt'!$A$4:$AC$275,22,FALSE))</f>
        <v>non pertinent / nicht relevant</v>
      </c>
      <c r="AF158" s="787" t="str">
        <f>IF(VLOOKUP(A158,'Charriage - Geschiebehaushalt'!$A$4:$AC$275,23,FALSE)="","",VLOOKUP(A158,'Charriage - Geschiebehaushalt'!$A$4:$AC$275,23,FALSE))</f>
        <v>a</v>
      </c>
      <c r="AG158" s="765" t="str">
        <f>IF(VLOOKUP(A158,'Charriage - Geschiebehaushalt'!$A$4:$AC$275,24,FALSE)="","",VLOOKUP(A158,'Charriage - Geschiebehaushalt'!$A$4:$AC$275,24,FALSE))</f>
        <v/>
      </c>
      <c r="AH158" s="764" t="str">
        <f>IF(VLOOKUP(A158,'Charriage - Geschiebehaushalt'!$A$4:$AC$275,25,FALSE)="","",VLOOKUP(A158,'Charriage - Geschiebehaushalt'!$A$4:$AC$275,25,FALSE))</f>
        <v/>
      </c>
      <c r="AI158" s="435" t="str">
        <f>IF(VLOOKUP(A158,'Charriage - Geschiebehaushalt'!$A$4:$AC$275,26,FALSE)="","",VLOOKUP(A158,'Charriage - Geschiebehaushalt'!$A$4:$AC$275,26,FALSE))</f>
        <v/>
      </c>
      <c r="AJ158" s="436" t="str">
        <f>IF(VLOOKUP(A158,'Charriage - Geschiebehaushalt'!$A$4:$AC$275,27,FALSE)="","",VLOOKUP(A158,'Charriage - Geschiebehaushalt'!$A$4:$AC$275,27,FALSE))</f>
        <v/>
      </c>
      <c r="AK158" s="801" t="str">
        <f>IF(VLOOKUP(A158,'Charriage - Geschiebehaushalt'!$A$4:$AC$275,28,FALSE)="","",VLOOKUP(A158,'Charriage - Geschiebehaushalt'!$A$4:$AC$275,28,FALSE))</f>
        <v>non pertinent / nicht relevant</v>
      </c>
      <c r="AL158" s="1285" t="str">
        <f>IF(VLOOKUP(A158,'Charriage - Geschiebehaushalt'!$A$4:$AD$275,30,FALSE)="","",VLOOKUP(A158,'Charriage - Geschiebehaushalt'!$A$4:$AD$275,30,FALSE))</f>
        <v>a</v>
      </c>
      <c r="AM158" s="1279" t="str">
        <f>IF(VLOOKUP(A158,'Débit - Abfluss'!$A$4:$K$275,5,FALSE)="","",VLOOKUP(A158,'Débit - Abfluss'!$A$4:$M$275,5,FALSE))</f>
        <v>non pertinent</v>
      </c>
      <c r="AN158" s="868" t="str">
        <f>IF(VLOOKUP(A158,'Débit - Abfluss'!$A$4:$K$275,6,FALSE)="","",VLOOKUP(A158,'Débit - Abfluss'!$A$4:$M$275,6,FALSE))</f>
        <v/>
      </c>
      <c r="AO158" s="869" t="str">
        <f>IF(VLOOKUP(A158,'Débit - Abfluss'!$A$4:$K$275,7,FALSE)="","",VLOOKUP(A158,'Débit - Abfluss'!$A$4:$M$275,7,FALSE))</f>
        <v/>
      </c>
      <c r="AP158" s="766" t="str">
        <f>IF(VLOOKUP(A158,'Débit - Abfluss'!$A$4:$K$275,8,FALSE)="","",VLOOKUP(A158,'Débit - Abfluss'!$A$4:$M$275,8,FALSE))</f>
        <v>non pertinent / nicht relevant</v>
      </c>
      <c r="AQ158" s="742" t="str">
        <f>IF(VLOOKUP(A158,'Débit - Abfluss'!$A$4:$K$275,9,FALSE)="","",VLOOKUP(A158,'Débit - Abfluss'!$A$4:$M$275,9,FALSE))</f>
        <v>-</v>
      </c>
      <c r="AR158" s="767" t="str">
        <f>IF(VLOOKUP(A158,'Débit - Abfluss'!$A$4:$K$275,10,FALSE)="","",VLOOKUP(A158,'Débit - Abfluss'!$A$4:$M$275,10,FALSE))</f>
        <v>non pertinent / nicht relevant</v>
      </c>
      <c r="AS158" s="767" t="str">
        <f>IF(VLOOKUP(A158,'Débit - Abfluss'!$A$4:$K$275,11,FALSE)="","",VLOOKUP(A158,'Débit - Abfluss'!$A$4:$M$275,11,FALSE))</f>
        <v/>
      </c>
      <c r="AT158" s="744" t="str">
        <f>IF(VLOOKUP(A158,'Débit - Abfluss'!$A$4:$Q$275,12,FALSE)="","",VLOOKUP(A158,'Débit - Abfluss'!$A$4:$Q$275,12,FALSE))</f>
        <v/>
      </c>
      <c r="AU158" s="745" t="str">
        <f>IF(VLOOKUP(A158,'Débit - Abfluss'!$A$4:$Q$275,13,FALSE)="","",VLOOKUP(A158,'Débit - Abfluss'!$A$4:$Q$275,13,FALSE))</f>
        <v/>
      </c>
      <c r="AV158" s="746" t="str">
        <f>IF(VLOOKUP(A158,'Débit - Abfluss'!$A$4:$Q$275,14,FALSE)="","",VLOOKUP(A158,'Débit - Abfluss'!$A$4:$Q$275,14,FALSE))</f>
        <v/>
      </c>
      <c r="AW158" s="768" t="str">
        <f>IF(VLOOKUP(A158,'Débit - Abfluss'!$A$4:$Q$275,15,FALSE)="","",VLOOKUP(A158,'Débit - Abfluss'!$A$4:$Q$275,15,FALSE))</f>
        <v/>
      </c>
      <c r="AX158" s="677" t="str">
        <f>IF(VLOOKUP(A158,'Débit - Abfluss'!$A$4:$Q$275,16,FALSE)="","",VLOOKUP(A158,'Débit - Abfluss'!$A$4:$Q$275,16,FALSE))</f>
        <v/>
      </c>
      <c r="AY158" s="769" t="str">
        <f>IF(VLOOKUP(A158,'Débit - Abfluss'!$A$4:$Q$275,17,FALSE)="","",VLOOKUP(A158,'Débit - Abfluss'!$A$4:$Q$275,17,FALSE))</f>
        <v>non pertinent / nicht relevant</v>
      </c>
      <c r="AZ158" s="749" t="str">
        <f>IF(VLOOKUP(A158,'Eclusée - Schwall-Sunk'!$A$2:$F$273,5,FALSE)="","",VLOOKUP(A158,'Eclusée - Schwall-Sunk'!$A$2:$F$273,5,FALSE))</f>
        <v/>
      </c>
      <c r="BA158" s="750" t="str">
        <f>IF(VLOOKUP(A158,'Eclusée - Schwall-Sunk'!$A$2:$F$273,6,FALSE)="","",VLOOKUP(A158,'Eclusée - Schwall-Sunk'!$A$2:$F$273,6,FALSE))</f>
        <v>Non affecté / nicht betroffen</v>
      </c>
      <c r="BB158" s="751" t="str">
        <f>IF(VLOOKUP(A158,'Revitalisation-Revitalisierung'!$A$4:$Z$275,5,FALSE)="","",VLOOKUP(A158,'Revitalisation-Revitalisierung'!$A$4:$Z$275,5,FALSE))</f>
        <v/>
      </c>
      <c r="BC158" s="752" t="str">
        <f>IF(VLOOKUP(A158,'Revitalisation-Revitalisierung'!$A$4:$Z$275,6,FALSE)="","",VLOOKUP(A158,'Revitalisation-Revitalisierung'!$A$4:$Z$275,6,FALSE))</f>
        <v/>
      </c>
      <c r="BD158" s="752" t="str">
        <f>IF(VLOOKUP(A158,'Revitalisation-Revitalisierung'!$A$4:$Z$275,7,FALSE)="","",VLOOKUP(A158,'Revitalisation-Revitalisierung'!$A$4:$Z$275,7,FALSE))</f>
        <v/>
      </c>
      <c r="BE158" s="753" t="str">
        <f>IF(VLOOKUP(A158,'Revitalisation-Revitalisierung'!$A$4:$Z$275,8,FALSE)="","",VLOOKUP(A158,'Revitalisation-Revitalisierung'!$A$4:$Z$275,8,FALSE))</f>
        <v>non pertinent</v>
      </c>
      <c r="BF158" s="754" t="str">
        <f>IF(VLOOKUP(A158,'Revitalisation-Revitalisierung'!$A$4:$Z$275,9,FALSE)="","",VLOOKUP(A158,'Revitalisation-Revitalisierung'!$A$4:$Z$275,9,FALSE))</f>
        <v/>
      </c>
      <c r="BG158" s="754" t="str">
        <f>IF(VLOOKUP(A158,'Revitalisation-Revitalisierung'!$A$4:$Z$275,10,FALSE)="","",VLOOKUP(A158,'Revitalisation-Revitalisierung'!$A$4:$Z$275,10,FALSE))</f>
        <v>K2</v>
      </c>
      <c r="BH158" s="755" t="str">
        <f>IF(VLOOKUP(A158,'Revitalisation-Revitalisierung'!$A$4:$Z$275,11,FALSE)="","",VLOOKUP(A158,'Revitalisation-Revitalisierung'!$A$4:$Z$275,11,FALSE))</f>
        <v/>
      </c>
      <c r="BI158" s="756" t="str">
        <f>IF(VLOOKUP(A158,'Revitalisation-Revitalisierung'!$A$4:$Z$275,12,FALSE)="","",VLOOKUP(A158,'Revitalisation-Revitalisierung'!$A$4:$Z$275,12,FALSE))</f>
        <v>revitalisation du delta de la Menthue nécessaire</v>
      </c>
      <c r="BJ158" s="788" t="str">
        <f>IF(VLOOKUP(A158,'Revitalisation-Revitalisierung'!$A$4:$Z$275,13,FALSE)="","",VLOOKUP(A158,'Revitalisation-Revitalisierung'!$A$4:$Z$275,13,FALSE))</f>
        <v>non pertinent / nicht relevant</v>
      </c>
      <c r="BK158" s="870" t="str">
        <f>IF(VLOOKUP(A158,'Revitalisation-Revitalisierung'!$A$4:$Z$275,14,FALSE)="","",VLOOKUP(A158,'Revitalisation-Revitalisierung'!$A$4:$Z$275,14,FALSE))</f>
        <v>a</v>
      </c>
      <c r="BL158" s="758" t="str">
        <f>IF(VLOOKUP(A158,'Revitalisation-Revitalisierung'!$A$4:$Z$275,15,FALSE)="","",VLOOKUP(A158,'Revitalisation-Revitalisierung'!$A$4:$Z$275,15,FALSE))</f>
        <v>- /
-</v>
      </c>
      <c r="BM158" s="759" t="str">
        <f>IF(VLOOKUP(A158,'Revitalisation-Revitalisierung'!$A$4:$Z$275,16,FALSE)="","",VLOOKUP(A158,'Revitalisation-Revitalisierung'!$A$4:$Z$275,16,FALSE))</f>
        <v>- /
-</v>
      </c>
      <c r="BN158" s="759" t="str">
        <f>IF(VLOOKUP(A158,'Revitalisation-Revitalisierung'!$A$4:$Z$275,17,FALSE)="","",VLOOKUP(A158,'Revitalisation-Revitalisierung'!$A$4:$Z$275,17,FALSE))</f>
        <v>- /
-</v>
      </c>
      <c r="BO158" s="760" t="str">
        <f>IF(VLOOKUP(A158,'Revitalisation-Revitalisierung'!$A$4:$Z$275,18,FALSE)="","",VLOOKUP(A158,'Revitalisation-Revitalisierung'!$A$4:$Z$275,18,FALSE))</f>
        <v/>
      </c>
      <c r="BP158" s="761" t="str">
        <f>IF(VLOOKUP(A158,'Revitalisation-Revitalisierung'!$A$4:$Z$275,19,FALSE)="","",VLOOKUP(A158,'Revitalisation-Revitalisierung'!$A$4:$Z$275,19,FALSE))</f>
        <v>non pertinent / nicht relevant</v>
      </c>
      <c r="BQ158" s="759" t="str">
        <f>IF(VLOOKUP(A158,'Revitalisation-Revitalisierung'!$A$4:$Z$275,20,FALSE)="","",VLOOKUP(A158,'Revitalisation-Revitalisierung'!$A$4:$Z$275,20,FALSE))</f>
        <v>a</v>
      </c>
      <c r="BR158" s="759" t="str">
        <f>IF(VLOOKUP(A158,'Revitalisation-Revitalisierung'!$A$4:$Z$275,21,FALSE)="","",VLOOKUP(A158,'Revitalisation-Revitalisierung'!$A$4:$Z$275,21,FALSE))</f>
        <v/>
      </c>
      <c r="BS158" s="762" t="str">
        <f>IF(VLOOKUP(A158,'Revitalisation-Revitalisierung'!$A$4:$Z$275,22,FALSE)="","",VLOOKUP(A158,'Revitalisation-Revitalisierung'!$A$4:$Z$275,22,FALSE))</f>
        <v/>
      </c>
      <c r="BT158" s="703" t="str">
        <f>IF(VLOOKUP(A158,'Revitalisation-Revitalisierung'!$A$4:$Z$275,23,FALSE)="","",VLOOKUP(A158,'Revitalisation-Revitalisierung'!$A$4:$Z$275,23,FALSE))</f>
        <v/>
      </c>
      <c r="BU158" s="704" t="str">
        <f>IF(VLOOKUP(A158,'Revitalisation-Revitalisierung'!$A$4:$Z$275,24,FALSE)="","",VLOOKUP(A158,'Revitalisation-Revitalisierung'!$A$4:$Z$275,24,FALSE))</f>
        <v/>
      </c>
      <c r="BV158" s="761" t="str">
        <f>IF(VLOOKUP(A158,'Revitalisation-Revitalisierung'!$A$4:$Z$275,25,FALSE)="","",VLOOKUP(A158,'Revitalisation-Revitalisierung'!$A$4:$Z$275,25,FALSE))</f>
        <v>non pertinent / nicht relevant</v>
      </c>
      <c r="BW158" s="871" t="str">
        <f>IF(VLOOKUP(A158,'Revitalisation-Revitalisierung'!$A$4:$AA$275,27,FALSE)="","",VLOOKUP(A158,'Revitalisation-Revitalisierung'!$A$4:$AA$275,27,FALSE))</f>
        <v>a</v>
      </c>
    </row>
    <row r="159" spans="1:75" ht="70.900000000000006" customHeight="1" x14ac:dyDescent="0.25">
      <c r="A159" s="935">
        <v>204</v>
      </c>
      <c r="B159" s="856">
        <f>IF(VLOOKUP(A159,'Données de base - Grunddaten'!$A$2:$M$297,2,FALSE)="","",VLOOKUP(A159,'Données de base - Grunddaten'!$A$2:$M$297,2,FALSE))</f>
        <v>1</v>
      </c>
      <c r="C159" s="857" t="str">
        <f>IF(VLOOKUP(A159,'Données de base - Grunddaten'!$A$2:$M$297,3,FALSE)="","",VLOOKUP(A159,'Données de base - Grunddaten'!$A$2:$M$297,3,FALSE))</f>
        <v>Les Grèves de Cheyres–Font</v>
      </c>
      <c r="D159" s="857" t="str">
        <f>IF(VLOOKUP(A159,'Données de base - Grunddaten'!$A$2:$M$297,4,FALSE)="","",VLOOKUP(A159,'Données de base - Grunddaten'!$A$2:$M$297,4,FALSE))</f>
        <v>Lac de Neuchâtel</v>
      </c>
      <c r="E159" s="857" t="str">
        <f>IF(VLOOKUP(A159,'Données de base - Grunddaten'!$A$2:$M$297,5,FALSE)="","",VLOOKUP(A159,'Données de base - Grunddaten'!$A$2:$M$297,5,FALSE))</f>
        <v>FR</v>
      </c>
      <c r="F159" s="857" t="str">
        <f>IF(VLOOKUP(A159,'Données de base - Grunddaten'!$A$2:$M$297,6,FALSE)="","",VLOOKUP(A159,'Données de base - Grunddaten'!$A$2:$M$297,6,FALSE))</f>
        <v>Plateau occidental</v>
      </c>
      <c r="G159" s="857" t="str">
        <f>IF(VLOOKUP(A159,'Données de base - Grunddaten'!$A$2:$M$297,7,FALSE)="","",VLOOKUP(A159,'Données de base - Grunddaten'!$A$2:$M$297,7,FALSE))</f>
        <v>Collinéen</v>
      </c>
      <c r="H159" s="857">
        <f>IF(VLOOKUP(A159,'Données de base - Grunddaten'!$A$2:$M$297,8,FALSE)="","",VLOOKUP(A159,'Données de base - Grunddaten'!$A$2:$M$297,8,FALSE))</f>
        <v>430</v>
      </c>
      <c r="I159" s="857">
        <f>IF(VLOOKUP(A159,'Données de base - Grunddaten'!$A$2:$M$297,9,FALSE)="","",VLOOKUP(A159,'Données de base - Grunddaten'!$A$2:$M$297,9,FALSE))</f>
        <v>1992</v>
      </c>
      <c r="J159" s="857">
        <f>IF(VLOOKUP(A159,'Données de base - Grunddaten'!$A$2:$M$297,10,FALSE)="","",VLOOKUP(A159,'Données de base - Grunddaten'!$A$2:$M$297,10,FALSE))</f>
        <v>101</v>
      </c>
      <c r="K159" s="857" t="str">
        <f>IF(VLOOKUP(A159,'Données de base - Grunddaten'!$A$2:$M$297,11,FALSE)="","",VLOOKUP(A159,'Données de base - Grunddaten'!$A$2:$M$297,11,FALSE))</f>
        <v>Rives de lacs de l'étage collinéen</v>
      </c>
      <c r="L159" s="857" t="str">
        <f>IF(VLOOKUP(A159,'Données de base - Grunddaten'!$A$2:$M$297,12,FALSE)="","",VLOOKUP(A159,'Données de base - Grunddaten'!$A$2:$M$297,12,FALSE))</f>
        <v>rives lacustres</v>
      </c>
      <c r="M159" s="858" t="str">
        <f>IF(VLOOKUP(A159,'Données de base - Grunddaten'!$A$2:$M$297,13,FALSE)="","",VLOOKUP(A159,'Données de base - Grunddaten'!$A$2:$M$297,13,FALSE))</f>
        <v>rives lacustres</v>
      </c>
      <c r="N159" s="891" t="str">
        <f>IF(VLOOKUP(A159,'Charriage - Geschiebehaushalt'!$A$4:$R$275,5,FALSE)="","",VLOOKUP(A159,'Charriage - Geschiebehaushalt'!$A$4:$R$275,5,FALSE))</f>
        <v>non pertinent</v>
      </c>
      <c r="O159" s="881" t="str">
        <f>IF(VLOOKUP(A159,'Charriage - Geschiebehaushalt'!$A$4:$R$275,6,FALSE)="","",VLOOKUP(A159,'Charriage - Geschiebehaushalt'!$A$4:$R$275,6,FALSE))</f>
        <v/>
      </c>
      <c r="P159" s="874" t="str">
        <f>IF(VLOOKUP(A159,'Charriage - Geschiebehaushalt'!$A$4:$R$275,7,FALSE)="","",VLOOKUP(A159,'Charriage - Geschiebehaushalt'!$A$4:$R$275,7,FALSE))</f>
        <v/>
      </c>
      <c r="Q159" s="874" t="str">
        <f>IF(VLOOKUP(A159,'Charriage - Geschiebehaushalt'!$A$4:$R$275,8,FALSE)="","",VLOOKUP(A159,'Charriage - Geschiebehaushalt'!$A$4:$R$275,8,FALSE))</f>
        <v>non documenté</v>
      </c>
      <c r="R159" s="875">
        <f>IF(VLOOKUP(A159,'Charriage - Geschiebehaushalt'!$A$4:$R$275,9,FALSE)="","",VLOOKUP(A159,'Charriage - Geschiebehaushalt'!$A$4:$R$275,9,FALSE))</f>
        <v>0</v>
      </c>
      <c r="S159" s="876" t="str">
        <f>IF(VLOOKUP(A159,'Charriage - Geschiebehaushalt'!$A$4:$R$275,10,FALSE)="","",VLOOKUP(A159,'Charriage - Geschiebehaushalt'!$A$4:$R$275,10,FALSE))</f>
        <v>pas ou faiblement entravé</v>
      </c>
      <c r="T159" s="875">
        <f>IF(VLOOKUP(A159,'Charriage - Geschiebehaushalt'!$A$4:$R$275,11,FALSE)="","",VLOOKUP(A159,'Charriage - Geschiebehaushalt'!$A$4:$R$275,11,FALSE))</f>
        <v>0.72029897991000003</v>
      </c>
      <c r="U159" s="876" t="str">
        <f>IF(VLOOKUP(A159,'Charriage - Geschiebehaushalt'!$A$4:$R$275,12,FALSE)="","",VLOOKUP(A159,'Charriage - Geschiebehaushalt'!$A$4:$R$275,12,FALSE))</f>
        <v>déficit non apparent en charriage ou en remobilisation des sédiments</v>
      </c>
      <c r="V159" s="877" t="str">
        <f>IF(VLOOKUP(A159,'Charriage - Geschiebehaushalt'!$A$4:$R$275,13,FALSE)="","",VLOOKUP(A159,'Charriage - Geschiebehaushalt'!$A$4:$R$275,13,FALSE))</f>
        <v/>
      </c>
      <c r="W159" s="877" t="str">
        <f>IF(VLOOKUP(A159,'Charriage - Geschiebehaushalt'!$A$4:$R$275,14,FALSE)="","",VLOOKUP(A159,'Charriage - Geschiebehaushalt'!$A$4:$R$275,14,FALSE))</f>
        <v/>
      </c>
      <c r="X159" s="877" t="str">
        <f>IF(VLOOKUP(A159,'Charriage - Geschiebehaushalt'!$A$4:$R$275,15,FALSE)="","",VLOOKUP(A159,'Charriage - Geschiebehaushalt'!$A$4:$R$275,15,FALSE))</f>
        <v/>
      </c>
      <c r="Y159" s="879" t="str">
        <f>IF(VLOOKUP(A159,'Charriage - Geschiebehaushalt'!$A$4:$R$275,16,FALSE)="","",VLOOKUP(A159,'Charriage - Geschiebehaushalt'!$A$4:$R$275,16,FALSE))</f>
        <v/>
      </c>
      <c r="Z159" s="763" t="str">
        <f>IF(VLOOKUP(A159,'Charriage - Geschiebehaushalt'!$A$4:$R$275,17,FALSE)="","",VLOOKUP(A159,'Charriage - Geschiebehaushalt'!$A$4:$R$275,17,FALSE))</f>
        <v>non pertinent / nicht relevant</v>
      </c>
      <c r="AA159" s="880" t="str">
        <f>IF(VLOOKUP(A159,'Charriage - Geschiebehaushalt'!$A$4:$R$275,18,FALSE)="","",VLOOKUP(A159,'Charriage - Geschiebehaushalt'!$A$4:$R$275,18,FALSE))</f>
        <v>a</v>
      </c>
      <c r="AB159" s="737">
        <f>IF(VLOOKUP(A159,'Charriage - Geschiebehaushalt'!$A$4:$AC$275,19,FALSE)="","",VLOOKUP(A159,'Charriage - Geschiebehaushalt'!$A$4:$AC$275,19,FALSE))</f>
        <v>0</v>
      </c>
      <c r="AC159" s="738">
        <f>IF(VLOOKUP(A159,'Charriage - Geschiebehaushalt'!$A$4:$AC$275,20,FALSE)="","",VLOOKUP(A159,'Charriage - Geschiebehaushalt'!$A$4:$AC$275,20,FALSE))</f>
        <v>0</v>
      </c>
      <c r="AD159" s="764" t="str">
        <f>IF(VLOOKUP(A159,'Charriage - Geschiebehaushalt'!$A$4:$AC$275,21,FALSE)="","",VLOOKUP(A159,'Charriage - Geschiebehaushalt'!$A$4:$AC$275,21,FALSE))</f>
        <v/>
      </c>
      <c r="AE159" s="740" t="str">
        <f>IF(VLOOKUP(A159,'Charriage - Geschiebehaushalt'!$A$4:$AC$275,22,FALSE)="","",VLOOKUP(A159,'Charriage - Geschiebehaushalt'!$A$4:$AC$275,22,FALSE))</f>
        <v>non pertinent / nicht relevant</v>
      </c>
      <c r="AF159" s="787" t="str">
        <f>IF(VLOOKUP(A159,'Charriage - Geschiebehaushalt'!$A$4:$AC$275,23,FALSE)="","",VLOOKUP(A159,'Charriage - Geschiebehaushalt'!$A$4:$AC$275,23,FALSE))</f>
        <v>a</v>
      </c>
      <c r="AG159" s="765" t="str">
        <f>IF(VLOOKUP(A159,'Charriage - Geschiebehaushalt'!$A$4:$AC$275,24,FALSE)="","",VLOOKUP(A159,'Charriage - Geschiebehaushalt'!$A$4:$AC$275,24,FALSE))</f>
        <v/>
      </c>
      <c r="AH159" s="764" t="str">
        <f>IF(VLOOKUP(A159,'Charriage - Geschiebehaushalt'!$A$4:$AC$275,25,FALSE)="","",VLOOKUP(A159,'Charriage - Geschiebehaushalt'!$A$4:$AC$275,25,FALSE))</f>
        <v/>
      </c>
      <c r="AI159" s="433" t="str">
        <f>IF(VLOOKUP(A159,'Charriage - Geschiebehaushalt'!$A$4:$AC$275,26,FALSE)="","",VLOOKUP(A159,'Charriage - Geschiebehaushalt'!$A$4:$AC$275,26,FALSE))</f>
        <v/>
      </c>
      <c r="AJ159" s="436" t="str">
        <f>IF(VLOOKUP(A159,'Charriage - Geschiebehaushalt'!$A$4:$AC$275,27,FALSE)="","",VLOOKUP(A159,'Charriage - Geschiebehaushalt'!$A$4:$AC$275,27,FALSE))</f>
        <v/>
      </c>
      <c r="AK159" s="801" t="str">
        <f>IF(VLOOKUP(A159,'Charriage - Geschiebehaushalt'!$A$4:$AC$275,28,FALSE)="","",VLOOKUP(A159,'Charriage - Geschiebehaushalt'!$A$4:$AC$275,28,FALSE))</f>
        <v>non pertinent / nicht relevant</v>
      </c>
      <c r="AL159" s="1285" t="str">
        <f>IF(VLOOKUP(A159,'Charriage - Geschiebehaushalt'!$A$4:$AD$275,30,FALSE)="","",VLOOKUP(A159,'Charriage - Geschiebehaushalt'!$A$4:$AD$275,30,FALSE))</f>
        <v>a</v>
      </c>
      <c r="AM159" s="1279" t="str">
        <f>IF(VLOOKUP(A159,'Débit - Abfluss'!$A$4:$K$275,5,FALSE)="","",VLOOKUP(A159,'Débit - Abfluss'!$A$4:$M$275,5,FALSE))</f>
        <v>non pertinent</v>
      </c>
      <c r="AN159" s="868" t="str">
        <f>IF(VLOOKUP(A159,'Débit - Abfluss'!$A$4:$K$275,6,FALSE)="","",VLOOKUP(A159,'Débit - Abfluss'!$A$4:$M$275,6,FALSE))</f>
        <v/>
      </c>
      <c r="AO159" s="869" t="str">
        <f>IF(VLOOKUP(A159,'Débit - Abfluss'!$A$4:$K$275,7,FALSE)="","",VLOOKUP(A159,'Débit - Abfluss'!$A$4:$M$275,7,FALSE))</f>
        <v/>
      </c>
      <c r="AP159" s="766" t="str">
        <f>IF(VLOOKUP(A159,'Débit - Abfluss'!$A$4:$K$275,8,FALSE)="","",VLOOKUP(A159,'Débit - Abfluss'!$A$4:$M$275,8,FALSE))</f>
        <v>non pertinent / nicht relevant</v>
      </c>
      <c r="AQ159" s="742" t="str">
        <f>IF(VLOOKUP(A159,'Débit - Abfluss'!$A$4:$K$275,9,FALSE)="","",VLOOKUP(A159,'Débit - Abfluss'!$A$4:$M$275,9,FALSE))</f>
        <v>-</v>
      </c>
      <c r="AR159" s="767" t="str">
        <f>IF(VLOOKUP(A159,'Débit - Abfluss'!$A$4:$K$275,10,FALSE)="","",VLOOKUP(A159,'Débit - Abfluss'!$A$4:$M$275,10,FALSE))</f>
        <v>non pertinent / nicht relevant</v>
      </c>
      <c r="AS159" s="767" t="str">
        <f>IF(VLOOKUP(A159,'Débit - Abfluss'!$A$4:$K$275,11,FALSE)="","",VLOOKUP(A159,'Débit - Abfluss'!$A$4:$M$275,11,FALSE))</f>
        <v/>
      </c>
      <c r="AT159" s="744" t="str">
        <f>IF(VLOOKUP(A159,'Débit - Abfluss'!$A$4:$Q$275,12,FALSE)="","",VLOOKUP(A159,'Débit - Abfluss'!$A$4:$Q$275,12,FALSE))</f>
        <v/>
      </c>
      <c r="AU159" s="803" t="str">
        <f>IF(VLOOKUP(A159,'Débit - Abfluss'!$A$4:$Q$275,13,FALSE)="","",VLOOKUP(A159,'Débit - Abfluss'!$A$4:$Q$275,13,FALSE))</f>
        <v/>
      </c>
      <c r="AV159" s="746" t="str">
        <f>IF(VLOOKUP(A159,'Débit - Abfluss'!$A$4:$Q$275,14,FALSE)="","",VLOOKUP(A159,'Débit - Abfluss'!$A$4:$Q$275,14,FALSE))</f>
        <v/>
      </c>
      <c r="AW159" s="768" t="str">
        <f>IF(VLOOKUP(A159,'Débit - Abfluss'!$A$4:$Q$275,15,FALSE)="","",VLOOKUP(A159,'Débit - Abfluss'!$A$4:$Q$275,15,FALSE))</f>
        <v/>
      </c>
      <c r="AX159" s="677" t="str">
        <f>IF(VLOOKUP(A159,'Débit - Abfluss'!$A$4:$Q$275,16,FALSE)="","",VLOOKUP(A159,'Débit - Abfluss'!$A$4:$Q$275,16,FALSE))</f>
        <v/>
      </c>
      <c r="AY159" s="769" t="str">
        <f>IF(VLOOKUP(A159,'Débit - Abfluss'!$A$4:$Q$275,17,FALSE)="","",VLOOKUP(A159,'Débit - Abfluss'!$A$4:$Q$275,17,FALSE))</f>
        <v>non pertinent / nicht relevant</v>
      </c>
      <c r="AZ159" s="749" t="str">
        <f>IF(VLOOKUP(A159,'Eclusée - Schwall-Sunk'!$A$2:$F$273,5,FALSE)="","",VLOOKUP(A159,'Eclusée - Schwall-Sunk'!$A$2:$F$273,5,FALSE))</f>
        <v/>
      </c>
      <c r="BA159" s="750" t="str">
        <f>IF(VLOOKUP(A159,'Eclusée - Schwall-Sunk'!$A$2:$F$273,6,FALSE)="","",VLOOKUP(A159,'Eclusée - Schwall-Sunk'!$A$2:$F$273,6,FALSE))</f>
        <v>Non affecté / nicht betroffen</v>
      </c>
      <c r="BB159" s="751" t="str">
        <f>IF(VLOOKUP(A159,'Revitalisation-Revitalisierung'!$A$4:$Z$275,5,FALSE)="","",VLOOKUP(A159,'Revitalisation-Revitalisierung'!$A$4:$Z$275,5,FALSE))</f>
        <v/>
      </c>
      <c r="BC159" s="752" t="str">
        <f>IF(VLOOKUP(A159,'Revitalisation-Revitalisierung'!$A$4:$Z$275,6,FALSE)="","",VLOOKUP(A159,'Revitalisation-Revitalisierung'!$A$4:$Z$275,6,FALSE))</f>
        <v/>
      </c>
      <c r="BD159" s="752" t="str">
        <f>IF(VLOOKUP(A159,'Revitalisation-Revitalisierung'!$A$4:$Z$275,7,FALSE)="","",VLOOKUP(A159,'Revitalisation-Revitalisierung'!$A$4:$Z$275,7,FALSE))</f>
        <v/>
      </c>
      <c r="BE159" s="753" t="str">
        <f>IF(VLOOKUP(A159,'Revitalisation-Revitalisierung'!$A$4:$Z$275,8,FALSE)="","",VLOOKUP(A159,'Revitalisation-Revitalisierung'!$A$4:$Z$275,8,FALSE))</f>
        <v>non pertinent</v>
      </c>
      <c r="BF159" s="754" t="str">
        <f>IF(VLOOKUP(A159,'Revitalisation-Revitalisierung'!$A$4:$Z$275,9,FALSE)="","",VLOOKUP(A159,'Revitalisation-Revitalisierung'!$A$4:$Z$275,9,FALSE))</f>
        <v/>
      </c>
      <c r="BG159" s="754" t="str">
        <f>IF(VLOOKUP(A159,'Revitalisation-Revitalisierung'!$A$4:$Z$275,10,FALSE)="","",VLOOKUP(A159,'Revitalisation-Revitalisierung'!$A$4:$Z$275,10,FALSE))</f>
        <v>K2</v>
      </c>
      <c r="BH159" s="755" t="str">
        <f>IF(VLOOKUP(A159,'Revitalisation-Revitalisierung'!$A$4:$Z$275,11,FALSE)="","",VLOOKUP(A159,'Revitalisation-Revitalisierung'!$A$4:$Z$275,11,FALSE))</f>
        <v/>
      </c>
      <c r="BI159" s="756" t="str">
        <f>IF(VLOOKUP(A159,'Revitalisation-Revitalisierung'!$A$4:$Z$275,12,FALSE)="","",VLOOKUP(A159,'Revitalisation-Revitalisierung'!$A$4:$Z$275,12,FALSE))</f>
        <v/>
      </c>
      <c r="BJ159" s="788" t="str">
        <f>IF(VLOOKUP(A159,'Revitalisation-Revitalisierung'!$A$4:$Z$275,13,FALSE)="","",VLOOKUP(A159,'Revitalisation-Revitalisierung'!$A$4:$Z$275,13,FALSE))</f>
        <v>non pertinent / nicht relevant</v>
      </c>
      <c r="BK159" s="870" t="str">
        <f>IF(VLOOKUP(A159,'Revitalisation-Revitalisierung'!$A$4:$Z$275,14,FALSE)="","",VLOOKUP(A159,'Revitalisation-Revitalisierung'!$A$4:$Z$275,14,FALSE))</f>
        <v>a</v>
      </c>
      <c r="BL159" s="758">
        <f>IF(VLOOKUP(A159,'Revitalisation-Revitalisierung'!$A$4:$Z$275,15,FALSE)="","",VLOOKUP(A159,'Revitalisation-Revitalisierung'!$A$4:$Z$275,15,FALSE))</f>
        <v>0</v>
      </c>
      <c r="BM159" s="759" t="str">
        <f>IF(VLOOKUP(A159,'Revitalisation-Revitalisierung'!$A$4:$Z$275,16,FALSE)="","",VLOOKUP(A159,'Revitalisation-Revitalisierung'!$A$4:$Z$275,16,FALSE))</f>
        <v>-</v>
      </c>
      <c r="BN159" s="759" t="str">
        <f>IF(VLOOKUP(A159,'Revitalisation-Revitalisierung'!$A$4:$Z$275,17,FALSE)="","",VLOOKUP(A159,'Revitalisation-Revitalisierung'!$A$4:$Z$275,17,FALSE))</f>
        <v>-</v>
      </c>
      <c r="BO159" s="760" t="str">
        <f>IF(VLOOKUP(A159,'Revitalisation-Revitalisierung'!$A$4:$Z$275,18,FALSE)="","",VLOOKUP(A159,'Revitalisation-Revitalisierung'!$A$4:$Z$275,18,FALSE))</f>
        <v/>
      </c>
      <c r="BP159" s="761" t="str">
        <f>IF(VLOOKUP(A159,'Revitalisation-Revitalisierung'!$A$4:$Z$275,19,FALSE)="","",VLOOKUP(A159,'Revitalisation-Revitalisierung'!$A$4:$Z$275,19,FALSE))</f>
        <v>non pertinent / nicht relevant</v>
      </c>
      <c r="BQ159" s="759" t="str">
        <f>IF(VLOOKUP(A159,'Revitalisation-Revitalisierung'!$A$4:$Z$275,20,FALSE)="","",VLOOKUP(A159,'Revitalisation-Revitalisierung'!$A$4:$Z$275,20,FALSE))</f>
        <v>a</v>
      </c>
      <c r="BR159" s="759" t="str">
        <f>IF(VLOOKUP(A159,'Revitalisation-Revitalisierung'!$A$4:$Z$275,21,FALSE)="","",VLOOKUP(A159,'Revitalisation-Revitalisierung'!$A$4:$Z$275,21,FALSE))</f>
        <v/>
      </c>
      <c r="BS159" s="762" t="str">
        <f>IF(VLOOKUP(A159,'Revitalisation-Revitalisierung'!$A$4:$Z$275,22,FALSE)="","",VLOOKUP(A159,'Revitalisation-Revitalisierung'!$A$4:$Z$275,22,FALSE))</f>
        <v/>
      </c>
      <c r="BT159" s="703" t="str">
        <f>IF(VLOOKUP(A159,'Revitalisation-Revitalisierung'!$A$4:$Z$275,23,FALSE)="","",VLOOKUP(A159,'Revitalisation-Revitalisierung'!$A$4:$Z$275,23,FALSE))</f>
        <v/>
      </c>
      <c r="BU159" s="704" t="str">
        <f>IF(VLOOKUP(A159,'Revitalisation-Revitalisierung'!$A$4:$Z$275,24,FALSE)="","",VLOOKUP(A159,'Revitalisation-Revitalisierung'!$A$4:$Z$275,24,FALSE))</f>
        <v/>
      </c>
      <c r="BV159" s="761" t="str">
        <f>IF(VLOOKUP(A159,'Revitalisation-Revitalisierung'!$A$4:$Z$275,25,FALSE)="","",VLOOKUP(A159,'Revitalisation-Revitalisierung'!$A$4:$Z$275,25,FALSE))</f>
        <v>non pertinent / nicht relevant</v>
      </c>
      <c r="BW159" s="871" t="str">
        <f>IF(VLOOKUP(A159,'Revitalisation-Revitalisierung'!$A$4:$AA$275,27,FALSE)="","",VLOOKUP(A159,'Revitalisation-Revitalisierung'!$A$4:$AA$275,27,FALSE))</f>
        <v>a</v>
      </c>
    </row>
    <row r="160" spans="1:75" ht="62.45" customHeight="1" x14ac:dyDescent="0.25">
      <c r="A160" s="935">
        <v>205</v>
      </c>
      <c r="B160" s="856">
        <f>IF(VLOOKUP(A160,'Données de base - Grunddaten'!$A$2:$M$297,2,FALSE)="","",VLOOKUP(A160,'Données de base - Grunddaten'!$A$2:$M$297,2,FALSE))</f>
        <v>1</v>
      </c>
      <c r="C160" s="857" t="str">
        <f>IF(VLOOKUP(A160,'Données de base - Grunddaten'!$A$2:$M$297,3,FALSE)="","",VLOOKUP(A160,'Données de base - Grunddaten'!$A$2:$M$297,3,FALSE))</f>
        <v>Les Grèves d'Estavayer-le-Lac–Chevroux</v>
      </c>
      <c r="D160" s="857" t="str">
        <f>IF(VLOOKUP(A160,'Données de base - Grunddaten'!$A$2:$M$297,4,FALSE)="","",VLOOKUP(A160,'Données de base - Grunddaten'!$A$2:$M$297,4,FALSE))</f>
        <v>Lac de Neuchâtel</v>
      </c>
      <c r="E160" s="857" t="str">
        <f>IF(VLOOKUP(A160,'Données de base - Grunddaten'!$A$2:$M$297,5,FALSE)="","",VLOOKUP(A160,'Données de base - Grunddaten'!$A$2:$M$297,5,FALSE))</f>
        <v>FR/VD</v>
      </c>
      <c r="F160" s="857" t="str">
        <f>IF(VLOOKUP(A160,'Données de base - Grunddaten'!$A$2:$M$297,6,FALSE)="","",VLOOKUP(A160,'Données de base - Grunddaten'!$A$2:$M$297,6,FALSE))</f>
        <v>Plateau occidental</v>
      </c>
      <c r="G160" s="857" t="str">
        <f>IF(VLOOKUP(A160,'Données de base - Grunddaten'!$A$2:$M$297,7,FALSE)="","",VLOOKUP(A160,'Données de base - Grunddaten'!$A$2:$M$297,7,FALSE))</f>
        <v>Collinéen</v>
      </c>
      <c r="H160" s="857">
        <f>IF(VLOOKUP(A160,'Données de base - Grunddaten'!$A$2:$M$297,8,FALSE)="","",VLOOKUP(A160,'Données de base - Grunddaten'!$A$2:$M$297,8,FALSE))</f>
        <v>430</v>
      </c>
      <c r="I160" s="857">
        <f>IF(VLOOKUP(A160,'Données de base - Grunddaten'!$A$2:$M$297,9,FALSE)="","",VLOOKUP(A160,'Données de base - Grunddaten'!$A$2:$M$297,9,FALSE))</f>
        <v>1992</v>
      </c>
      <c r="J160" s="857">
        <f>IF(VLOOKUP(A160,'Données de base - Grunddaten'!$A$2:$M$297,10,FALSE)="","",VLOOKUP(A160,'Données de base - Grunddaten'!$A$2:$M$297,10,FALSE))</f>
        <v>101</v>
      </c>
      <c r="K160" s="857" t="str">
        <f>IF(VLOOKUP(A160,'Données de base - Grunddaten'!$A$2:$M$297,11,FALSE)="","",VLOOKUP(A160,'Données de base - Grunddaten'!$A$2:$M$297,11,FALSE))</f>
        <v>Rives de lacs de l'étage collinéen</v>
      </c>
      <c r="L160" s="857" t="str">
        <f>IF(VLOOKUP(A160,'Données de base - Grunddaten'!$A$2:$M$297,12,FALSE)="","",VLOOKUP(A160,'Données de base - Grunddaten'!$A$2:$M$297,12,FALSE))</f>
        <v>rives lacustres</v>
      </c>
      <c r="M160" s="858" t="str">
        <f>IF(VLOOKUP(A160,'Données de base - Grunddaten'!$A$2:$M$297,13,FALSE)="","",VLOOKUP(A160,'Données de base - Grunddaten'!$A$2:$M$297,13,FALSE))</f>
        <v>rives lacustres</v>
      </c>
      <c r="N160" s="891" t="str">
        <f>IF(VLOOKUP(A160,'Charriage - Geschiebehaushalt'!$A$4:$R$275,5,FALSE)="","",VLOOKUP(A160,'Charriage - Geschiebehaushalt'!$A$4:$R$275,5,FALSE))</f>
        <v>non pertinent</v>
      </c>
      <c r="O160" s="881" t="str">
        <f>IF(VLOOKUP(A160,'Charriage - Geschiebehaushalt'!$A$4:$R$275,6,FALSE)="","",VLOOKUP(A160,'Charriage - Geschiebehaushalt'!$A$4:$R$275,6,FALSE))</f>
        <v/>
      </c>
      <c r="P160" s="874" t="str">
        <f>IF(VLOOKUP(A160,'Charriage - Geschiebehaushalt'!$A$4:$R$275,7,FALSE)="","",VLOOKUP(A160,'Charriage - Geschiebehaushalt'!$A$4:$R$275,7,FALSE))</f>
        <v/>
      </c>
      <c r="Q160" s="874" t="str">
        <f>IF(VLOOKUP(A160,'Charriage - Geschiebehaushalt'!$A$4:$R$275,8,FALSE)="","",VLOOKUP(A160,'Charriage - Geschiebehaushalt'!$A$4:$R$275,8,FALSE))</f>
        <v>non documenté</v>
      </c>
      <c r="R160" s="875">
        <f>IF(VLOOKUP(A160,'Charriage - Geschiebehaushalt'!$A$4:$R$275,9,FALSE)="","",VLOOKUP(A160,'Charriage - Geschiebehaushalt'!$A$4:$R$275,9,FALSE))</f>
        <v>0</v>
      </c>
      <c r="S160" s="876" t="str">
        <f>IF(VLOOKUP(A160,'Charriage - Geschiebehaushalt'!$A$4:$R$275,10,FALSE)="","",VLOOKUP(A160,'Charriage - Geschiebehaushalt'!$A$4:$R$275,10,FALSE))</f>
        <v>pas ou faiblement entravé</v>
      </c>
      <c r="T160" s="875">
        <f>IF(VLOOKUP(A160,'Charriage - Geschiebehaushalt'!$A$4:$R$275,11,FALSE)="","",VLOOKUP(A160,'Charriage - Geschiebehaushalt'!$A$4:$R$275,11,FALSE))</f>
        <v>0.35240238549000003</v>
      </c>
      <c r="U160" s="876" t="str">
        <f>IF(VLOOKUP(A160,'Charriage - Geschiebehaushalt'!$A$4:$R$275,12,FALSE)="","",VLOOKUP(A160,'Charriage - Geschiebehaushalt'!$A$4:$R$275,12,FALSE))</f>
        <v>déficit non apparent en charriage ou en remobilisation des sédiments</v>
      </c>
      <c r="V160" s="877" t="str">
        <f>IF(VLOOKUP(A160,'Charriage - Geschiebehaushalt'!$A$4:$R$275,13,FALSE)="","",VLOOKUP(A160,'Charriage - Geschiebehaushalt'!$A$4:$R$275,13,FALSE))</f>
        <v/>
      </c>
      <c r="W160" s="877" t="str">
        <f>IF(VLOOKUP(A160,'Charriage - Geschiebehaushalt'!$A$4:$R$275,14,FALSE)="","",VLOOKUP(A160,'Charriage - Geschiebehaushalt'!$A$4:$R$275,14,FALSE))</f>
        <v/>
      </c>
      <c r="X160" s="877" t="str">
        <f>IF(VLOOKUP(A160,'Charriage - Geschiebehaushalt'!$A$4:$R$275,15,FALSE)="","",VLOOKUP(A160,'Charriage - Geschiebehaushalt'!$A$4:$R$275,15,FALSE))</f>
        <v/>
      </c>
      <c r="Y160" s="879" t="str">
        <f>IF(VLOOKUP(A160,'Charriage - Geschiebehaushalt'!$A$4:$R$275,16,FALSE)="","",VLOOKUP(A160,'Charriage - Geschiebehaushalt'!$A$4:$R$275,16,FALSE))</f>
        <v/>
      </c>
      <c r="Z160" s="763" t="str">
        <f>IF(VLOOKUP(A160,'Charriage - Geschiebehaushalt'!$A$4:$R$275,17,FALSE)="","",VLOOKUP(A160,'Charriage - Geschiebehaushalt'!$A$4:$R$275,17,FALSE))</f>
        <v>non pertinent / nicht relevant</v>
      </c>
      <c r="AA160" s="880" t="str">
        <f>IF(VLOOKUP(A160,'Charriage - Geschiebehaushalt'!$A$4:$R$275,18,FALSE)="","",VLOOKUP(A160,'Charriage - Geschiebehaushalt'!$A$4:$R$275,18,FALSE))</f>
        <v>a</v>
      </c>
      <c r="AB160" s="737" t="str">
        <f>IF(VLOOKUP(A160,'Charriage - Geschiebehaushalt'!$A$4:$AC$275,19,FALSE)="","",VLOOKUP(A160,'Charriage - Geschiebehaushalt'!$A$4:$AC$275,19,FALSE))</f>
        <v>- /
-</v>
      </c>
      <c r="AC160" s="738" t="str">
        <f>IF(VLOOKUP(A160,'Charriage - Geschiebehaushalt'!$A$4:$AC$275,20,FALSE)="","",VLOOKUP(A160,'Charriage - Geschiebehaushalt'!$A$4:$AC$275,20,FALSE))</f>
        <v>- /
-</v>
      </c>
      <c r="AD160" s="764" t="str">
        <f>IF(VLOOKUP(A160,'Charriage - Geschiebehaushalt'!$A$4:$AC$275,21,FALSE)="","",VLOOKUP(A160,'Charriage - Geschiebehaushalt'!$A$4:$AC$275,21,FALSE))</f>
        <v/>
      </c>
      <c r="AE160" s="740" t="str">
        <f>IF(VLOOKUP(A160,'Charriage - Geschiebehaushalt'!$A$4:$AC$275,22,FALSE)="","",VLOOKUP(A160,'Charriage - Geschiebehaushalt'!$A$4:$AC$275,22,FALSE))</f>
        <v>non pertinent / nicht relevant</v>
      </c>
      <c r="AF160" s="787" t="str">
        <f>IF(VLOOKUP(A160,'Charriage - Geschiebehaushalt'!$A$4:$AC$275,23,FALSE)="","",VLOOKUP(A160,'Charriage - Geschiebehaushalt'!$A$4:$AC$275,23,FALSE))</f>
        <v>a</v>
      </c>
      <c r="AG160" s="765" t="str">
        <f>IF(VLOOKUP(A160,'Charriage - Geschiebehaushalt'!$A$4:$AC$275,24,FALSE)="","",VLOOKUP(A160,'Charriage - Geschiebehaushalt'!$A$4:$AC$275,24,FALSE))</f>
        <v/>
      </c>
      <c r="AH160" s="764" t="str">
        <f>IF(VLOOKUP(A160,'Charriage - Geschiebehaushalt'!$A$4:$AC$275,25,FALSE)="","",VLOOKUP(A160,'Charriage - Geschiebehaushalt'!$A$4:$AC$275,25,FALSE))</f>
        <v/>
      </c>
      <c r="AI160" s="435" t="str">
        <f>IF(VLOOKUP(A160,'Charriage - Geschiebehaushalt'!$A$4:$AC$275,26,FALSE)="","",VLOOKUP(A160,'Charriage - Geschiebehaushalt'!$A$4:$AC$275,26,FALSE))</f>
        <v/>
      </c>
      <c r="AJ160" s="436" t="str">
        <f>IF(VLOOKUP(A160,'Charriage - Geschiebehaushalt'!$A$4:$AC$275,27,FALSE)="","",VLOOKUP(A160,'Charriage - Geschiebehaushalt'!$A$4:$AC$275,27,FALSE))</f>
        <v/>
      </c>
      <c r="AK160" s="801" t="str">
        <f>IF(VLOOKUP(A160,'Charriage - Geschiebehaushalt'!$A$4:$AC$275,28,FALSE)="","",VLOOKUP(A160,'Charriage - Geschiebehaushalt'!$A$4:$AC$275,28,FALSE))</f>
        <v>non pertinent / nicht relevant</v>
      </c>
      <c r="AL160" s="1285" t="str">
        <f>IF(VLOOKUP(A160,'Charriage - Geschiebehaushalt'!$A$4:$AD$275,30,FALSE)="","",VLOOKUP(A160,'Charriage - Geschiebehaushalt'!$A$4:$AD$275,30,FALSE))</f>
        <v>a</v>
      </c>
      <c r="AM160" s="1279" t="str">
        <f>IF(VLOOKUP(A160,'Débit - Abfluss'!$A$4:$K$275,5,FALSE)="","",VLOOKUP(A160,'Débit - Abfluss'!$A$4:$M$275,5,FALSE))</f>
        <v>non pertinent</v>
      </c>
      <c r="AN160" s="868" t="str">
        <f>IF(VLOOKUP(A160,'Débit - Abfluss'!$A$4:$K$275,6,FALSE)="","",VLOOKUP(A160,'Débit - Abfluss'!$A$4:$M$275,6,FALSE))</f>
        <v/>
      </c>
      <c r="AO160" s="869" t="str">
        <f>IF(VLOOKUP(A160,'Débit - Abfluss'!$A$4:$K$275,7,FALSE)="","",VLOOKUP(A160,'Débit - Abfluss'!$A$4:$M$275,7,FALSE))</f>
        <v/>
      </c>
      <c r="AP160" s="766" t="str">
        <f>IF(VLOOKUP(A160,'Débit - Abfluss'!$A$4:$K$275,8,FALSE)="","",VLOOKUP(A160,'Débit - Abfluss'!$A$4:$M$275,8,FALSE))</f>
        <v>non pertinent / nicht relevant</v>
      </c>
      <c r="AQ160" s="742" t="str">
        <f>IF(VLOOKUP(A160,'Débit - Abfluss'!$A$4:$K$275,9,FALSE)="","",VLOOKUP(A160,'Débit - Abfluss'!$A$4:$M$275,9,FALSE))</f>
        <v>-</v>
      </c>
      <c r="AR160" s="767" t="str">
        <f>IF(VLOOKUP(A160,'Débit - Abfluss'!$A$4:$K$275,10,FALSE)="","",VLOOKUP(A160,'Débit - Abfluss'!$A$4:$M$275,10,FALSE))</f>
        <v>non pertinent / nicht relevant</v>
      </c>
      <c r="AS160" s="767" t="str">
        <f>IF(VLOOKUP(A160,'Débit - Abfluss'!$A$4:$K$275,11,FALSE)="","",VLOOKUP(A160,'Débit - Abfluss'!$A$4:$M$275,11,FALSE))</f>
        <v/>
      </c>
      <c r="AT160" s="744" t="str">
        <f>IF(VLOOKUP(A160,'Débit - Abfluss'!$A$4:$Q$275,12,FALSE)="","",VLOOKUP(A160,'Débit - Abfluss'!$A$4:$Q$275,12,FALSE))</f>
        <v/>
      </c>
      <c r="AU160" s="745" t="str">
        <f>IF(VLOOKUP(A160,'Débit - Abfluss'!$A$4:$Q$275,13,FALSE)="","",VLOOKUP(A160,'Débit - Abfluss'!$A$4:$Q$275,13,FALSE))</f>
        <v/>
      </c>
      <c r="AV160" s="746" t="str">
        <f>IF(VLOOKUP(A160,'Débit - Abfluss'!$A$4:$Q$275,14,FALSE)="","",VLOOKUP(A160,'Débit - Abfluss'!$A$4:$Q$275,14,FALSE))</f>
        <v/>
      </c>
      <c r="AW160" s="768" t="str">
        <f>IF(VLOOKUP(A160,'Débit - Abfluss'!$A$4:$Q$275,15,FALSE)="","",VLOOKUP(A160,'Débit - Abfluss'!$A$4:$Q$275,15,FALSE))</f>
        <v/>
      </c>
      <c r="AX160" s="677" t="str">
        <f>IF(VLOOKUP(A160,'Débit - Abfluss'!$A$4:$Q$275,16,FALSE)="","",VLOOKUP(A160,'Débit - Abfluss'!$A$4:$Q$275,16,FALSE))</f>
        <v/>
      </c>
      <c r="AY160" s="802" t="str">
        <f>IF(VLOOKUP(A160,'Débit - Abfluss'!$A$4:$Q$275,17,FALSE)="","",VLOOKUP(A160,'Débit - Abfluss'!$A$4:$Q$275,17,FALSE))</f>
        <v>non pertinent / nicht relevant</v>
      </c>
      <c r="AZ160" s="749" t="str">
        <f>IF(VLOOKUP(A160,'Eclusée - Schwall-Sunk'!$A$2:$F$273,5,FALSE)="","",VLOOKUP(A160,'Eclusée - Schwall-Sunk'!$A$2:$F$273,5,FALSE))</f>
        <v/>
      </c>
      <c r="BA160" s="750" t="str">
        <f>IF(VLOOKUP(A160,'Eclusée - Schwall-Sunk'!$A$2:$F$273,6,FALSE)="","",VLOOKUP(A160,'Eclusée - Schwall-Sunk'!$A$2:$F$273,6,FALSE))</f>
        <v>Non affecté / nicht betroffen</v>
      </c>
      <c r="BB160" s="751" t="str">
        <f>IF(VLOOKUP(A160,'Revitalisation-Revitalisierung'!$A$4:$Z$275,5,FALSE)="","",VLOOKUP(A160,'Revitalisation-Revitalisierung'!$A$4:$Z$275,5,FALSE))</f>
        <v/>
      </c>
      <c r="BC160" s="752" t="str">
        <f>IF(VLOOKUP(A160,'Revitalisation-Revitalisierung'!$A$4:$Z$275,6,FALSE)="","",VLOOKUP(A160,'Revitalisation-Revitalisierung'!$A$4:$Z$275,6,FALSE))</f>
        <v/>
      </c>
      <c r="BD160" s="752" t="str">
        <f>IF(VLOOKUP(A160,'Revitalisation-Revitalisierung'!$A$4:$Z$275,7,FALSE)="","",VLOOKUP(A160,'Revitalisation-Revitalisierung'!$A$4:$Z$275,7,FALSE))</f>
        <v/>
      </c>
      <c r="BE160" s="753" t="str">
        <f>IF(VLOOKUP(A160,'Revitalisation-Revitalisierung'!$A$4:$Z$275,8,FALSE)="","",VLOOKUP(A160,'Revitalisation-Revitalisierung'!$A$4:$Z$275,8,FALSE))</f>
        <v>non pertinent</v>
      </c>
      <c r="BF160" s="754" t="str">
        <f>IF(VLOOKUP(A160,'Revitalisation-Revitalisierung'!$A$4:$Z$275,9,FALSE)="","",VLOOKUP(A160,'Revitalisation-Revitalisierung'!$A$4:$Z$275,9,FALSE))</f>
        <v/>
      </c>
      <c r="BG160" s="754" t="str">
        <f>IF(VLOOKUP(A160,'Revitalisation-Revitalisierung'!$A$4:$Z$275,10,FALSE)="","",VLOOKUP(A160,'Revitalisation-Revitalisierung'!$A$4:$Z$275,10,FALSE))</f>
        <v>K3</v>
      </c>
      <c r="BH160" s="755" t="str">
        <f>IF(VLOOKUP(A160,'Revitalisation-Revitalisierung'!$A$4:$Z$275,11,FALSE)="","",VLOOKUP(A160,'Revitalisation-Revitalisierung'!$A$4:$Z$275,11,FALSE))</f>
        <v/>
      </c>
      <c r="BI160" s="756" t="str">
        <f>IF(VLOOKUP(A160,'Revitalisation-Revitalisierung'!$A$4:$Z$275,12,FALSE)="","",VLOOKUP(A160,'Revitalisation-Revitalisierung'!$A$4:$Z$275,12,FALSE))</f>
        <v/>
      </c>
      <c r="BJ160" s="788" t="str">
        <f>IF(VLOOKUP(A160,'Revitalisation-Revitalisierung'!$A$4:$Z$275,13,FALSE)="","",VLOOKUP(A160,'Revitalisation-Revitalisierung'!$A$4:$Z$275,13,FALSE))</f>
        <v>non pertinent / nicht relevant</v>
      </c>
      <c r="BK160" s="870" t="str">
        <f>IF(VLOOKUP(A160,'Revitalisation-Revitalisierung'!$A$4:$Z$275,14,FALSE)="","",VLOOKUP(A160,'Revitalisation-Revitalisierung'!$A$4:$Z$275,14,FALSE))</f>
        <v>a</v>
      </c>
      <c r="BL160" s="758" t="str">
        <f>IF(VLOOKUP(A160,'Revitalisation-Revitalisierung'!$A$4:$Z$275,15,FALSE)="","",VLOOKUP(A160,'Revitalisation-Revitalisierung'!$A$4:$Z$275,15,FALSE))</f>
        <v>- /
-</v>
      </c>
      <c r="BM160" s="759" t="str">
        <f>IF(VLOOKUP(A160,'Revitalisation-Revitalisierung'!$A$4:$Z$275,16,FALSE)="","",VLOOKUP(A160,'Revitalisation-Revitalisierung'!$A$4:$Z$275,16,FALSE))</f>
        <v>- /
-</v>
      </c>
      <c r="BN160" s="759" t="str">
        <f>IF(VLOOKUP(A160,'Revitalisation-Revitalisierung'!$A$4:$Z$275,17,FALSE)="","",VLOOKUP(A160,'Revitalisation-Revitalisierung'!$A$4:$Z$275,17,FALSE))</f>
        <v>- /
-</v>
      </c>
      <c r="BO160" s="760" t="str">
        <f>IF(VLOOKUP(A160,'Revitalisation-Revitalisierung'!$A$4:$Z$275,18,FALSE)="","",VLOOKUP(A160,'Revitalisation-Revitalisierung'!$A$4:$Z$275,18,FALSE))</f>
        <v/>
      </c>
      <c r="BP160" s="761" t="str">
        <f>IF(VLOOKUP(A160,'Revitalisation-Revitalisierung'!$A$4:$Z$275,19,FALSE)="","",VLOOKUP(A160,'Revitalisation-Revitalisierung'!$A$4:$Z$275,19,FALSE))</f>
        <v>non pertinent / nicht relevant</v>
      </c>
      <c r="BQ160" s="759" t="str">
        <f>IF(VLOOKUP(A160,'Revitalisation-Revitalisierung'!$A$4:$Z$275,20,FALSE)="","",VLOOKUP(A160,'Revitalisation-Revitalisierung'!$A$4:$Z$275,20,FALSE))</f>
        <v>a</v>
      </c>
      <c r="BR160" s="759" t="str">
        <f>IF(VLOOKUP(A160,'Revitalisation-Revitalisierung'!$A$4:$Z$275,21,FALSE)="","",VLOOKUP(A160,'Revitalisation-Revitalisierung'!$A$4:$Z$275,21,FALSE))</f>
        <v/>
      </c>
      <c r="BS160" s="762" t="str">
        <f>IF(VLOOKUP(A160,'Revitalisation-Revitalisierung'!$A$4:$Z$275,22,FALSE)="","",VLOOKUP(A160,'Revitalisation-Revitalisierung'!$A$4:$Z$275,22,FALSE))</f>
        <v/>
      </c>
      <c r="BT160" s="703" t="str">
        <f>IF(VLOOKUP(A160,'Revitalisation-Revitalisierung'!$A$4:$Z$275,23,FALSE)="","",VLOOKUP(A160,'Revitalisation-Revitalisierung'!$A$4:$Z$275,23,FALSE))</f>
        <v/>
      </c>
      <c r="BU160" s="704" t="str">
        <f>IF(VLOOKUP(A160,'Revitalisation-Revitalisierung'!$A$4:$Z$275,24,FALSE)="","",VLOOKUP(A160,'Revitalisation-Revitalisierung'!$A$4:$Z$275,24,FALSE))</f>
        <v/>
      </c>
      <c r="BV160" s="761" t="str">
        <f>IF(VLOOKUP(A160,'Revitalisation-Revitalisierung'!$A$4:$Z$275,25,FALSE)="","",VLOOKUP(A160,'Revitalisation-Revitalisierung'!$A$4:$Z$275,25,FALSE))</f>
        <v>non pertinent / nicht relevant</v>
      </c>
      <c r="BW160" s="871" t="str">
        <f>IF(VLOOKUP(A160,'Revitalisation-Revitalisierung'!$A$4:$AA$275,27,FALSE)="","",VLOOKUP(A160,'Revitalisation-Revitalisierung'!$A$4:$AA$275,27,FALSE))</f>
        <v>a</v>
      </c>
    </row>
    <row r="161" spans="1:75" ht="63.6" customHeight="1" x14ac:dyDescent="0.25">
      <c r="A161" s="935">
        <v>206</v>
      </c>
      <c r="B161" s="856">
        <f>IF(VLOOKUP(A161,'Données de base - Grunddaten'!$A$2:$M$297,2,FALSE)="","",VLOOKUP(A161,'Données de base - Grunddaten'!$A$2:$M$297,2,FALSE))</f>
        <v>1</v>
      </c>
      <c r="C161" s="857" t="str">
        <f>IF(VLOOKUP(A161,'Données de base - Grunddaten'!$A$2:$M$297,3,FALSE)="","",VLOOKUP(A161,'Données de base - Grunddaten'!$A$2:$M$297,3,FALSE))</f>
        <v>Les Grèves de Chevroux–Portalban</v>
      </c>
      <c r="D161" s="857" t="str">
        <f>IF(VLOOKUP(A161,'Données de base - Grunddaten'!$A$2:$M$297,4,FALSE)="","",VLOOKUP(A161,'Données de base - Grunddaten'!$A$2:$M$297,4,FALSE))</f>
        <v>Lac de Neuchâtel</v>
      </c>
      <c r="E161" s="857" t="str">
        <f>IF(VLOOKUP(A161,'Données de base - Grunddaten'!$A$2:$M$297,5,FALSE)="","",VLOOKUP(A161,'Données de base - Grunddaten'!$A$2:$M$297,5,FALSE))</f>
        <v>FR/VD</v>
      </c>
      <c r="F161" s="857" t="str">
        <f>IF(VLOOKUP(A161,'Données de base - Grunddaten'!$A$2:$M$297,6,FALSE)="","",VLOOKUP(A161,'Données de base - Grunddaten'!$A$2:$M$297,6,FALSE))</f>
        <v>Plateau occidental</v>
      </c>
      <c r="G161" s="857" t="str">
        <f>IF(VLOOKUP(A161,'Données de base - Grunddaten'!$A$2:$M$297,7,FALSE)="","",VLOOKUP(A161,'Données de base - Grunddaten'!$A$2:$M$297,7,FALSE))</f>
        <v>Collinéen</v>
      </c>
      <c r="H161" s="857">
        <f>IF(VLOOKUP(A161,'Données de base - Grunddaten'!$A$2:$M$297,8,FALSE)="","",VLOOKUP(A161,'Données de base - Grunddaten'!$A$2:$M$297,8,FALSE))</f>
        <v>430</v>
      </c>
      <c r="I161" s="857">
        <f>IF(VLOOKUP(A161,'Données de base - Grunddaten'!$A$2:$M$297,9,FALSE)="","",VLOOKUP(A161,'Données de base - Grunddaten'!$A$2:$M$297,9,FALSE))</f>
        <v>1992</v>
      </c>
      <c r="J161" s="857">
        <f>IF(VLOOKUP(A161,'Données de base - Grunddaten'!$A$2:$M$297,10,FALSE)="","",VLOOKUP(A161,'Données de base - Grunddaten'!$A$2:$M$297,10,FALSE))</f>
        <v>101</v>
      </c>
      <c r="K161" s="857" t="str">
        <f>IF(VLOOKUP(A161,'Données de base - Grunddaten'!$A$2:$M$297,11,FALSE)="","",VLOOKUP(A161,'Données de base - Grunddaten'!$A$2:$M$297,11,FALSE))</f>
        <v>Rives de lacs de l'étage collinéen</v>
      </c>
      <c r="L161" s="857" t="str">
        <f>IF(VLOOKUP(A161,'Données de base - Grunddaten'!$A$2:$M$297,12,FALSE)="","",VLOOKUP(A161,'Données de base - Grunddaten'!$A$2:$M$297,12,FALSE))</f>
        <v>rives lacustres</v>
      </c>
      <c r="M161" s="858" t="str">
        <f>IF(VLOOKUP(A161,'Données de base - Grunddaten'!$A$2:$M$297,13,FALSE)="","",VLOOKUP(A161,'Données de base - Grunddaten'!$A$2:$M$297,13,FALSE))</f>
        <v>rives lacustres</v>
      </c>
      <c r="N161" s="891" t="str">
        <f>IF(VLOOKUP(A161,'Charriage - Geschiebehaushalt'!$A$4:$R$275,5,FALSE)="","",VLOOKUP(A161,'Charriage - Geschiebehaushalt'!$A$4:$R$275,5,FALSE))</f>
        <v>non pertinent</v>
      </c>
      <c r="O161" s="881" t="str">
        <f>IF(VLOOKUP(A161,'Charriage - Geschiebehaushalt'!$A$4:$R$275,6,FALSE)="","",VLOOKUP(A161,'Charriage - Geschiebehaushalt'!$A$4:$R$275,6,FALSE))</f>
        <v/>
      </c>
      <c r="P161" s="874" t="str">
        <f>IF(VLOOKUP(A161,'Charriage - Geschiebehaushalt'!$A$4:$R$275,7,FALSE)="","",VLOOKUP(A161,'Charriage - Geschiebehaushalt'!$A$4:$R$275,7,FALSE))</f>
        <v/>
      </c>
      <c r="Q161" s="874" t="str">
        <f>IF(VLOOKUP(A161,'Charriage - Geschiebehaushalt'!$A$4:$R$275,8,FALSE)="","",VLOOKUP(A161,'Charriage - Geschiebehaushalt'!$A$4:$R$275,8,FALSE))</f>
        <v>non documenté</v>
      </c>
      <c r="R161" s="875">
        <f>IF(VLOOKUP(A161,'Charriage - Geschiebehaushalt'!$A$4:$R$275,9,FALSE)="","",VLOOKUP(A161,'Charriage - Geschiebehaushalt'!$A$4:$R$275,9,FALSE))</f>
        <v>0</v>
      </c>
      <c r="S161" s="876" t="str">
        <f>IF(VLOOKUP(A161,'Charriage - Geschiebehaushalt'!$A$4:$R$275,10,FALSE)="","",VLOOKUP(A161,'Charriage - Geschiebehaushalt'!$A$4:$R$275,10,FALSE))</f>
        <v>pas ou faiblement entravé</v>
      </c>
      <c r="T161" s="875">
        <f>IF(VLOOKUP(A161,'Charriage - Geschiebehaushalt'!$A$4:$R$275,11,FALSE)="","",VLOOKUP(A161,'Charriage - Geschiebehaushalt'!$A$4:$R$275,11,FALSE))</f>
        <v>0.76820810061</v>
      </c>
      <c r="U161" s="876" t="str">
        <f>IF(VLOOKUP(A161,'Charriage - Geschiebehaushalt'!$A$4:$R$275,12,FALSE)="","",VLOOKUP(A161,'Charriage - Geschiebehaushalt'!$A$4:$R$275,12,FALSE))</f>
        <v>déficit non apparent en charriage ou en remobilisation des sédiments</v>
      </c>
      <c r="V161" s="877" t="str">
        <f>IF(VLOOKUP(A161,'Charriage - Geschiebehaushalt'!$A$4:$R$275,13,FALSE)="","",VLOOKUP(A161,'Charriage - Geschiebehaushalt'!$A$4:$R$275,13,FALSE))</f>
        <v/>
      </c>
      <c r="W161" s="877" t="str">
        <f>IF(VLOOKUP(A161,'Charriage - Geschiebehaushalt'!$A$4:$R$275,14,FALSE)="","",VLOOKUP(A161,'Charriage - Geschiebehaushalt'!$A$4:$R$275,14,FALSE))</f>
        <v/>
      </c>
      <c r="X161" s="877" t="str">
        <f>IF(VLOOKUP(A161,'Charriage - Geschiebehaushalt'!$A$4:$R$275,15,FALSE)="","",VLOOKUP(A161,'Charriage - Geschiebehaushalt'!$A$4:$R$275,15,FALSE))</f>
        <v/>
      </c>
      <c r="Y161" s="879" t="str">
        <f>IF(VLOOKUP(A161,'Charriage - Geschiebehaushalt'!$A$4:$R$275,16,FALSE)="","",VLOOKUP(A161,'Charriage - Geschiebehaushalt'!$A$4:$R$275,16,FALSE))</f>
        <v/>
      </c>
      <c r="Z161" s="763" t="str">
        <f>IF(VLOOKUP(A161,'Charriage - Geschiebehaushalt'!$A$4:$R$275,17,FALSE)="","",VLOOKUP(A161,'Charriage - Geschiebehaushalt'!$A$4:$R$275,17,FALSE))</f>
        <v>non pertinent / nicht relevant</v>
      </c>
      <c r="AA161" s="880" t="str">
        <f>IF(VLOOKUP(A161,'Charriage - Geschiebehaushalt'!$A$4:$R$275,18,FALSE)="","",VLOOKUP(A161,'Charriage - Geschiebehaushalt'!$A$4:$R$275,18,FALSE))</f>
        <v>a</v>
      </c>
      <c r="AB161" s="737" t="str">
        <f>IF(VLOOKUP(A161,'Charriage - Geschiebehaushalt'!$A$4:$AC$275,19,FALSE)="","",VLOOKUP(A161,'Charriage - Geschiebehaushalt'!$A$4:$AC$275,19,FALSE))</f>
        <v>- /
-</v>
      </c>
      <c r="AC161" s="738" t="str">
        <f>IF(VLOOKUP(A161,'Charriage - Geschiebehaushalt'!$A$4:$AC$275,20,FALSE)="","",VLOOKUP(A161,'Charriage - Geschiebehaushalt'!$A$4:$AC$275,20,FALSE))</f>
        <v>- /
-</v>
      </c>
      <c r="AD161" s="764" t="str">
        <f>IF(VLOOKUP(A161,'Charriage - Geschiebehaushalt'!$A$4:$AC$275,21,FALSE)="","",VLOOKUP(A161,'Charriage - Geschiebehaushalt'!$A$4:$AC$275,21,FALSE))</f>
        <v/>
      </c>
      <c r="AE161" s="740" t="str">
        <f>IF(VLOOKUP(A161,'Charriage - Geschiebehaushalt'!$A$4:$AC$275,22,FALSE)="","",VLOOKUP(A161,'Charriage - Geschiebehaushalt'!$A$4:$AC$275,22,FALSE))</f>
        <v>non pertinent / nicht relevant</v>
      </c>
      <c r="AF161" s="787" t="str">
        <f>IF(VLOOKUP(A161,'Charriage - Geschiebehaushalt'!$A$4:$AC$275,23,FALSE)="","",VLOOKUP(A161,'Charriage - Geschiebehaushalt'!$A$4:$AC$275,23,FALSE))</f>
        <v>a</v>
      </c>
      <c r="AG161" s="765" t="str">
        <f>IF(VLOOKUP(A161,'Charriage - Geschiebehaushalt'!$A$4:$AC$275,24,FALSE)="","",VLOOKUP(A161,'Charriage - Geschiebehaushalt'!$A$4:$AC$275,24,FALSE))</f>
        <v/>
      </c>
      <c r="AH161" s="764" t="str">
        <f>IF(VLOOKUP(A161,'Charriage - Geschiebehaushalt'!$A$4:$AC$275,25,FALSE)="","",VLOOKUP(A161,'Charriage - Geschiebehaushalt'!$A$4:$AC$275,25,FALSE))</f>
        <v/>
      </c>
      <c r="AI161" s="435" t="str">
        <f>IF(VLOOKUP(A161,'Charriage - Geschiebehaushalt'!$A$4:$AC$275,26,FALSE)="","",VLOOKUP(A161,'Charriage - Geschiebehaushalt'!$A$4:$AC$275,26,FALSE))</f>
        <v/>
      </c>
      <c r="AJ161" s="436" t="str">
        <f>IF(VLOOKUP(A161,'Charriage - Geschiebehaushalt'!$A$4:$AC$275,27,FALSE)="","",VLOOKUP(A161,'Charriage - Geschiebehaushalt'!$A$4:$AC$275,27,FALSE))</f>
        <v/>
      </c>
      <c r="AK161" s="801" t="str">
        <f>IF(VLOOKUP(A161,'Charriage - Geschiebehaushalt'!$A$4:$AC$275,28,FALSE)="","",VLOOKUP(A161,'Charriage - Geschiebehaushalt'!$A$4:$AC$275,28,FALSE))</f>
        <v>non pertinent / nicht relevant</v>
      </c>
      <c r="AL161" s="1285" t="str">
        <f>IF(VLOOKUP(A161,'Charriage - Geschiebehaushalt'!$A$4:$AD$275,30,FALSE)="","",VLOOKUP(A161,'Charriage - Geschiebehaushalt'!$A$4:$AD$275,30,FALSE))</f>
        <v>a</v>
      </c>
      <c r="AM161" s="1279" t="str">
        <f>IF(VLOOKUP(A161,'Débit - Abfluss'!$A$4:$K$275,5,FALSE)="","",VLOOKUP(A161,'Débit - Abfluss'!$A$4:$M$275,5,FALSE))</f>
        <v>non pertinent</v>
      </c>
      <c r="AN161" s="868" t="str">
        <f>IF(VLOOKUP(A161,'Débit - Abfluss'!$A$4:$K$275,6,FALSE)="","",VLOOKUP(A161,'Débit - Abfluss'!$A$4:$M$275,6,FALSE))</f>
        <v/>
      </c>
      <c r="AO161" s="869" t="str">
        <f>IF(VLOOKUP(A161,'Débit - Abfluss'!$A$4:$K$275,7,FALSE)="","",VLOOKUP(A161,'Débit - Abfluss'!$A$4:$M$275,7,FALSE))</f>
        <v/>
      </c>
      <c r="AP161" s="766" t="str">
        <f>IF(VLOOKUP(A161,'Débit - Abfluss'!$A$4:$K$275,8,FALSE)="","",VLOOKUP(A161,'Débit - Abfluss'!$A$4:$M$275,8,FALSE))</f>
        <v>non pertinent / nicht relevant</v>
      </c>
      <c r="AQ161" s="742" t="str">
        <f>IF(VLOOKUP(A161,'Débit - Abfluss'!$A$4:$K$275,9,FALSE)="","",VLOOKUP(A161,'Débit - Abfluss'!$A$4:$M$275,9,FALSE))</f>
        <v>-</v>
      </c>
      <c r="AR161" s="767" t="str">
        <f>IF(VLOOKUP(A161,'Débit - Abfluss'!$A$4:$K$275,10,FALSE)="","",VLOOKUP(A161,'Débit - Abfluss'!$A$4:$M$275,10,FALSE))</f>
        <v>non pertinent / nicht relevant</v>
      </c>
      <c r="AS161" s="767" t="str">
        <f>IF(VLOOKUP(A161,'Débit - Abfluss'!$A$4:$K$275,11,FALSE)="","",VLOOKUP(A161,'Débit - Abfluss'!$A$4:$M$275,11,FALSE))</f>
        <v/>
      </c>
      <c r="AT161" s="744" t="str">
        <f>IF(VLOOKUP(A161,'Débit - Abfluss'!$A$4:$Q$275,12,FALSE)="","",VLOOKUP(A161,'Débit - Abfluss'!$A$4:$Q$275,12,FALSE))</f>
        <v/>
      </c>
      <c r="AU161" s="745" t="str">
        <f>IF(VLOOKUP(A161,'Débit - Abfluss'!$A$4:$Q$275,13,FALSE)="","",VLOOKUP(A161,'Débit - Abfluss'!$A$4:$Q$275,13,FALSE))</f>
        <v/>
      </c>
      <c r="AV161" s="746" t="str">
        <f>IF(VLOOKUP(A161,'Débit - Abfluss'!$A$4:$Q$275,14,FALSE)="","",VLOOKUP(A161,'Débit - Abfluss'!$A$4:$Q$275,14,FALSE))</f>
        <v/>
      </c>
      <c r="AW161" s="768" t="str">
        <f>IF(VLOOKUP(A161,'Débit - Abfluss'!$A$4:$Q$275,15,FALSE)="","",VLOOKUP(A161,'Débit - Abfluss'!$A$4:$Q$275,15,FALSE))</f>
        <v/>
      </c>
      <c r="AX161" s="677" t="str">
        <f>IF(VLOOKUP(A161,'Débit - Abfluss'!$A$4:$Q$275,16,FALSE)="","",VLOOKUP(A161,'Débit - Abfluss'!$A$4:$Q$275,16,FALSE))</f>
        <v/>
      </c>
      <c r="AY161" s="769" t="str">
        <f>IF(VLOOKUP(A161,'Débit - Abfluss'!$A$4:$Q$275,17,FALSE)="","",VLOOKUP(A161,'Débit - Abfluss'!$A$4:$Q$275,17,FALSE))</f>
        <v>non pertinent / nicht relevant</v>
      </c>
      <c r="AZ161" s="749" t="str">
        <f>IF(VLOOKUP(A161,'Eclusée - Schwall-Sunk'!$A$2:$F$273,5,FALSE)="","",VLOOKUP(A161,'Eclusée - Schwall-Sunk'!$A$2:$F$273,5,FALSE))</f>
        <v/>
      </c>
      <c r="BA161" s="750" t="str">
        <f>IF(VLOOKUP(A161,'Eclusée - Schwall-Sunk'!$A$2:$F$273,6,FALSE)="","",VLOOKUP(A161,'Eclusée - Schwall-Sunk'!$A$2:$F$273,6,FALSE))</f>
        <v>Non affecté / nicht betroffen</v>
      </c>
      <c r="BB161" s="751" t="str">
        <f>IF(VLOOKUP(A161,'Revitalisation-Revitalisierung'!$A$4:$Z$275,5,FALSE)="","",VLOOKUP(A161,'Revitalisation-Revitalisierung'!$A$4:$Z$275,5,FALSE))</f>
        <v/>
      </c>
      <c r="BC161" s="752" t="str">
        <f>IF(VLOOKUP(A161,'Revitalisation-Revitalisierung'!$A$4:$Z$275,6,FALSE)="","",VLOOKUP(A161,'Revitalisation-Revitalisierung'!$A$4:$Z$275,6,FALSE))</f>
        <v/>
      </c>
      <c r="BD161" s="752" t="str">
        <f>IF(VLOOKUP(A161,'Revitalisation-Revitalisierung'!$A$4:$Z$275,7,FALSE)="","",VLOOKUP(A161,'Revitalisation-Revitalisierung'!$A$4:$Z$275,7,FALSE))</f>
        <v/>
      </c>
      <c r="BE161" s="753" t="str">
        <f>IF(VLOOKUP(A161,'Revitalisation-Revitalisierung'!$A$4:$Z$275,8,FALSE)="","",VLOOKUP(A161,'Revitalisation-Revitalisierung'!$A$4:$Z$275,8,FALSE))</f>
        <v>non pertinent</v>
      </c>
      <c r="BF161" s="754" t="str">
        <f>IF(VLOOKUP(A161,'Revitalisation-Revitalisierung'!$A$4:$Z$275,9,FALSE)="","",VLOOKUP(A161,'Revitalisation-Revitalisierung'!$A$4:$Z$275,9,FALSE))</f>
        <v/>
      </c>
      <c r="BG161" s="754" t="str">
        <f>IF(VLOOKUP(A161,'Revitalisation-Revitalisierung'!$A$4:$Z$275,10,FALSE)="","",VLOOKUP(A161,'Revitalisation-Revitalisierung'!$A$4:$Z$275,10,FALSE))</f>
        <v>K1</v>
      </c>
      <c r="BH161" s="755" t="str">
        <f>IF(VLOOKUP(A161,'Revitalisation-Revitalisierung'!$A$4:$Z$275,11,FALSE)="","",VLOOKUP(A161,'Revitalisation-Revitalisierung'!$A$4:$Z$275,11,FALSE))</f>
        <v/>
      </c>
      <c r="BI161" s="756" t="str">
        <f>IF(VLOOKUP(A161,'Revitalisation-Revitalisierung'!$A$4:$Z$275,12,FALSE)="","",VLOOKUP(A161,'Revitalisation-Revitalisierung'!$A$4:$Z$275,12,FALSE))</f>
        <v/>
      </c>
      <c r="BJ161" s="788" t="str">
        <f>IF(VLOOKUP(A161,'Revitalisation-Revitalisierung'!$A$4:$Z$275,13,FALSE)="","",VLOOKUP(A161,'Revitalisation-Revitalisierung'!$A$4:$Z$275,13,FALSE))</f>
        <v>non pertinent / nicht relevant</v>
      </c>
      <c r="BK161" s="870" t="str">
        <f>IF(VLOOKUP(A161,'Revitalisation-Revitalisierung'!$A$4:$Z$275,14,FALSE)="","",VLOOKUP(A161,'Revitalisation-Revitalisierung'!$A$4:$Z$275,14,FALSE))</f>
        <v>a</v>
      </c>
      <c r="BL161" s="758" t="str">
        <f>IF(VLOOKUP(A161,'Revitalisation-Revitalisierung'!$A$4:$Z$275,15,FALSE)="","",VLOOKUP(A161,'Revitalisation-Revitalisierung'!$A$4:$Z$275,15,FALSE))</f>
        <v>- /
-</v>
      </c>
      <c r="BM161" s="759" t="str">
        <f>IF(VLOOKUP(A161,'Revitalisation-Revitalisierung'!$A$4:$Z$275,16,FALSE)="","",VLOOKUP(A161,'Revitalisation-Revitalisierung'!$A$4:$Z$275,16,FALSE))</f>
        <v>- /
-</v>
      </c>
      <c r="BN161" s="759" t="str">
        <f>IF(VLOOKUP(A161,'Revitalisation-Revitalisierung'!$A$4:$Z$275,17,FALSE)="","",VLOOKUP(A161,'Revitalisation-Revitalisierung'!$A$4:$Z$275,17,FALSE))</f>
        <v>- /
-</v>
      </c>
      <c r="BO161" s="760" t="str">
        <f>IF(VLOOKUP(A161,'Revitalisation-Revitalisierung'!$A$4:$Z$275,18,FALSE)="","",VLOOKUP(A161,'Revitalisation-Revitalisierung'!$A$4:$Z$275,18,FALSE))</f>
        <v/>
      </c>
      <c r="BP161" s="761" t="str">
        <f>IF(VLOOKUP(A161,'Revitalisation-Revitalisierung'!$A$4:$Z$275,19,FALSE)="","",VLOOKUP(A161,'Revitalisation-Revitalisierung'!$A$4:$Z$275,19,FALSE))</f>
        <v>non pertinent / nicht relevant</v>
      </c>
      <c r="BQ161" s="759" t="str">
        <f>IF(VLOOKUP(A161,'Revitalisation-Revitalisierung'!$A$4:$Z$275,20,FALSE)="","",VLOOKUP(A161,'Revitalisation-Revitalisierung'!$A$4:$Z$275,20,FALSE))</f>
        <v>a</v>
      </c>
      <c r="BR161" s="759" t="str">
        <f>IF(VLOOKUP(A161,'Revitalisation-Revitalisierung'!$A$4:$Z$275,21,FALSE)="","",VLOOKUP(A161,'Revitalisation-Revitalisierung'!$A$4:$Z$275,21,FALSE))</f>
        <v/>
      </c>
      <c r="BS161" s="762" t="str">
        <f>IF(VLOOKUP(A161,'Revitalisation-Revitalisierung'!$A$4:$Z$275,22,FALSE)="","",VLOOKUP(A161,'Revitalisation-Revitalisierung'!$A$4:$Z$275,22,FALSE))</f>
        <v/>
      </c>
      <c r="BT161" s="703" t="str">
        <f>IF(VLOOKUP(A161,'Revitalisation-Revitalisierung'!$A$4:$Z$275,23,FALSE)="","",VLOOKUP(A161,'Revitalisation-Revitalisierung'!$A$4:$Z$275,23,FALSE))</f>
        <v/>
      </c>
      <c r="BU161" s="704" t="str">
        <f>IF(VLOOKUP(A161,'Revitalisation-Revitalisierung'!$A$4:$Z$275,24,FALSE)="","",VLOOKUP(A161,'Revitalisation-Revitalisierung'!$A$4:$Z$275,24,FALSE))</f>
        <v/>
      </c>
      <c r="BV161" s="761" t="str">
        <f>IF(VLOOKUP(A161,'Revitalisation-Revitalisierung'!$A$4:$Z$275,25,FALSE)="","",VLOOKUP(A161,'Revitalisation-Revitalisierung'!$A$4:$Z$275,25,FALSE))</f>
        <v>non pertinent / nicht relevant</v>
      </c>
      <c r="BW161" s="871" t="str">
        <f>IF(VLOOKUP(A161,'Revitalisation-Revitalisierung'!$A$4:$AA$275,27,FALSE)="","",VLOOKUP(A161,'Revitalisation-Revitalisierung'!$A$4:$AA$275,27,FALSE))</f>
        <v>a</v>
      </c>
    </row>
    <row r="162" spans="1:75" ht="64.900000000000006" customHeight="1" x14ac:dyDescent="0.25">
      <c r="A162" s="935">
        <v>207</v>
      </c>
      <c r="B162" s="856">
        <f>IF(VLOOKUP(A162,'Données de base - Grunddaten'!$A$2:$M$297,2,FALSE)="","",VLOOKUP(A162,'Données de base - Grunddaten'!$A$2:$M$297,2,FALSE))</f>
        <v>1</v>
      </c>
      <c r="C162" s="857" t="str">
        <f>IF(VLOOKUP(A162,'Données de base - Grunddaten'!$A$2:$M$297,3,FALSE)="","",VLOOKUP(A162,'Données de base - Grunddaten'!$A$2:$M$297,3,FALSE))</f>
        <v>Les Grèves de Portalban–Cudrefin</v>
      </c>
      <c r="D162" s="857" t="str">
        <f>IF(VLOOKUP(A162,'Données de base - Grunddaten'!$A$2:$M$297,4,FALSE)="","",VLOOKUP(A162,'Données de base - Grunddaten'!$A$2:$M$297,4,FALSE))</f>
        <v>Lac de Neuchâtel</v>
      </c>
      <c r="E162" s="857" t="str">
        <f>IF(VLOOKUP(A162,'Données de base - Grunddaten'!$A$2:$M$297,5,FALSE)="","",VLOOKUP(A162,'Données de base - Grunddaten'!$A$2:$M$297,5,FALSE))</f>
        <v>FR/VD</v>
      </c>
      <c r="F162" s="857" t="str">
        <f>IF(VLOOKUP(A162,'Données de base - Grunddaten'!$A$2:$M$297,6,FALSE)="","",VLOOKUP(A162,'Données de base - Grunddaten'!$A$2:$M$297,6,FALSE))</f>
        <v>Plateau occidental</v>
      </c>
      <c r="G162" s="857" t="str">
        <f>IF(VLOOKUP(A162,'Données de base - Grunddaten'!$A$2:$M$297,7,FALSE)="","",VLOOKUP(A162,'Données de base - Grunddaten'!$A$2:$M$297,7,FALSE))</f>
        <v>Collinéen</v>
      </c>
      <c r="H162" s="857">
        <f>IF(VLOOKUP(A162,'Données de base - Grunddaten'!$A$2:$M$297,8,FALSE)="","",VLOOKUP(A162,'Données de base - Grunddaten'!$A$2:$M$297,8,FALSE))</f>
        <v>430</v>
      </c>
      <c r="I162" s="857">
        <f>IF(VLOOKUP(A162,'Données de base - Grunddaten'!$A$2:$M$297,9,FALSE)="","",VLOOKUP(A162,'Données de base - Grunddaten'!$A$2:$M$297,9,FALSE))</f>
        <v>1992</v>
      </c>
      <c r="J162" s="857">
        <f>IF(VLOOKUP(A162,'Données de base - Grunddaten'!$A$2:$M$297,10,FALSE)="","",VLOOKUP(A162,'Données de base - Grunddaten'!$A$2:$M$297,10,FALSE))</f>
        <v>101</v>
      </c>
      <c r="K162" s="857" t="str">
        <f>IF(VLOOKUP(A162,'Données de base - Grunddaten'!$A$2:$M$297,11,FALSE)="","",VLOOKUP(A162,'Données de base - Grunddaten'!$A$2:$M$297,11,FALSE))</f>
        <v>Rives de lacs de l'étage collinéen</v>
      </c>
      <c r="L162" s="857" t="str">
        <f>IF(VLOOKUP(A162,'Données de base - Grunddaten'!$A$2:$M$297,12,FALSE)="","",VLOOKUP(A162,'Données de base - Grunddaten'!$A$2:$M$297,12,FALSE))</f>
        <v>rives lacustres</v>
      </c>
      <c r="M162" s="858" t="str">
        <f>IF(VLOOKUP(A162,'Données de base - Grunddaten'!$A$2:$M$297,13,FALSE)="","",VLOOKUP(A162,'Données de base - Grunddaten'!$A$2:$M$297,13,FALSE))</f>
        <v>rives lacustres</v>
      </c>
      <c r="N162" s="891" t="str">
        <f>IF(VLOOKUP(A162,'Charriage - Geschiebehaushalt'!$A$4:$R$275,5,FALSE)="","",VLOOKUP(A162,'Charriage - Geschiebehaushalt'!$A$4:$R$275,5,FALSE))</f>
        <v>non pertinent</v>
      </c>
      <c r="O162" s="881" t="str">
        <f>IF(VLOOKUP(A162,'Charriage - Geschiebehaushalt'!$A$4:$R$275,6,FALSE)="","",VLOOKUP(A162,'Charriage - Geschiebehaushalt'!$A$4:$R$275,6,FALSE))</f>
        <v/>
      </c>
      <c r="P162" s="874" t="str">
        <f>IF(VLOOKUP(A162,'Charriage - Geschiebehaushalt'!$A$4:$R$275,7,FALSE)="","",VLOOKUP(A162,'Charriage - Geschiebehaushalt'!$A$4:$R$275,7,FALSE))</f>
        <v/>
      </c>
      <c r="Q162" s="874" t="str">
        <f>IF(VLOOKUP(A162,'Charriage - Geschiebehaushalt'!$A$4:$R$275,8,FALSE)="","",VLOOKUP(A162,'Charriage - Geschiebehaushalt'!$A$4:$R$275,8,FALSE))</f>
        <v>non documenté</v>
      </c>
      <c r="R162" s="875">
        <f>IF(VLOOKUP(A162,'Charriage - Geschiebehaushalt'!$A$4:$R$275,9,FALSE)="","",VLOOKUP(A162,'Charriage - Geschiebehaushalt'!$A$4:$R$275,9,FALSE))</f>
        <v>0</v>
      </c>
      <c r="S162" s="876" t="str">
        <f>IF(VLOOKUP(A162,'Charriage - Geschiebehaushalt'!$A$4:$R$275,10,FALSE)="","",VLOOKUP(A162,'Charriage - Geschiebehaushalt'!$A$4:$R$275,10,FALSE))</f>
        <v>pas ou faiblement entravé</v>
      </c>
      <c r="T162" s="875">
        <f>IF(VLOOKUP(A162,'Charriage - Geschiebehaushalt'!$A$4:$R$275,11,FALSE)="","",VLOOKUP(A162,'Charriage - Geschiebehaushalt'!$A$4:$R$275,11,FALSE))</f>
        <v>0.57989999805000003</v>
      </c>
      <c r="U162" s="876" t="str">
        <f>IF(VLOOKUP(A162,'Charriage - Geschiebehaushalt'!$A$4:$R$275,12,FALSE)="","",VLOOKUP(A162,'Charriage - Geschiebehaushalt'!$A$4:$R$275,12,FALSE))</f>
        <v>déficit non apparent en charriage ou en remobilisation des sédiments</v>
      </c>
      <c r="V162" s="877" t="str">
        <f>IF(VLOOKUP(A162,'Charriage - Geschiebehaushalt'!$A$4:$R$275,13,FALSE)="","",VLOOKUP(A162,'Charriage - Geschiebehaushalt'!$A$4:$R$275,13,FALSE))</f>
        <v/>
      </c>
      <c r="W162" s="877" t="str">
        <f>IF(VLOOKUP(A162,'Charriage - Geschiebehaushalt'!$A$4:$R$275,14,FALSE)="","",VLOOKUP(A162,'Charriage - Geschiebehaushalt'!$A$4:$R$275,14,FALSE))</f>
        <v/>
      </c>
      <c r="X162" s="877" t="str">
        <f>IF(VLOOKUP(A162,'Charriage - Geschiebehaushalt'!$A$4:$R$275,15,FALSE)="","",VLOOKUP(A162,'Charriage - Geschiebehaushalt'!$A$4:$R$275,15,FALSE))</f>
        <v/>
      </c>
      <c r="Y162" s="879" t="str">
        <f>IF(VLOOKUP(A162,'Charriage - Geschiebehaushalt'!$A$4:$R$275,16,FALSE)="","",VLOOKUP(A162,'Charriage - Geschiebehaushalt'!$A$4:$R$275,16,FALSE))</f>
        <v/>
      </c>
      <c r="Z162" s="763" t="str">
        <f>IF(VLOOKUP(A162,'Charriage - Geschiebehaushalt'!$A$4:$R$275,17,FALSE)="","",VLOOKUP(A162,'Charriage - Geschiebehaushalt'!$A$4:$R$275,17,FALSE))</f>
        <v>non pertinent / nicht relevant</v>
      </c>
      <c r="AA162" s="880" t="str">
        <f>IF(VLOOKUP(A162,'Charriage - Geschiebehaushalt'!$A$4:$R$275,18,FALSE)="","",VLOOKUP(A162,'Charriage - Geschiebehaushalt'!$A$4:$R$275,18,FALSE))</f>
        <v>a</v>
      </c>
      <c r="AB162" s="737" t="str">
        <f>IF(VLOOKUP(A162,'Charriage - Geschiebehaushalt'!$A$4:$AC$275,19,FALSE)="","",VLOOKUP(A162,'Charriage - Geschiebehaushalt'!$A$4:$AC$275,19,FALSE))</f>
        <v>- /
-</v>
      </c>
      <c r="AC162" s="738" t="str">
        <f>IF(VLOOKUP(A162,'Charriage - Geschiebehaushalt'!$A$4:$AC$275,20,FALSE)="","",VLOOKUP(A162,'Charriage - Geschiebehaushalt'!$A$4:$AC$275,20,FALSE))</f>
        <v>- /
-</v>
      </c>
      <c r="AD162" s="764" t="str">
        <f>IF(VLOOKUP(A162,'Charriage - Geschiebehaushalt'!$A$4:$AC$275,21,FALSE)="","",VLOOKUP(A162,'Charriage - Geschiebehaushalt'!$A$4:$AC$275,21,FALSE))</f>
        <v/>
      </c>
      <c r="AE162" s="740" t="str">
        <f>IF(VLOOKUP(A162,'Charriage - Geschiebehaushalt'!$A$4:$AC$275,22,FALSE)="","",VLOOKUP(A162,'Charriage - Geschiebehaushalt'!$A$4:$AC$275,22,FALSE))</f>
        <v>non pertinent / nicht relevant</v>
      </c>
      <c r="AF162" s="787" t="str">
        <f>IF(VLOOKUP(A162,'Charriage - Geschiebehaushalt'!$A$4:$AC$275,23,FALSE)="","",VLOOKUP(A162,'Charriage - Geschiebehaushalt'!$A$4:$AC$275,23,FALSE))</f>
        <v>a</v>
      </c>
      <c r="AG162" s="765" t="str">
        <f>IF(VLOOKUP(A162,'Charriage - Geschiebehaushalt'!$A$4:$AC$275,24,FALSE)="","",VLOOKUP(A162,'Charriage - Geschiebehaushalt'!$A$4:$AC$275,24,FALSE))</f>
        <v/>
      </c>
      <c r="AH162" s="764" t="str">
        <f>IF(VLOOKUP(A162,'Charriage - Geschiebehaushalt'!$A$4:$AC$275,25,FALSE)="","",VLOOKUP(A162,'Charriage - Geschiebehaushalt'!$A$4:$AC$275,25,FALSE))</f>
        <v/>
      </c>
      <c r="AI162" s="435" t="str">
        <f>IF(VLOOKUP(A162,'Charriage - Geschiebehaushalt'!$A$4:$AC$275,26,FALSE)="","",VLOOKUP(A162,'Charriage - Geschiebehaushalt'!$A$4:$AC$275,26,FALSE))</f>
        <v/>
      </c>
      <c r="AJ162" s="436" t="str">
        <f>IF(VLOOKUP(A162,'Charriage - Geschiebehaushalt'!$A$4:$AC$275,27,FALSE)="","",VLOOKUP(A162,'Charriage - Geschiebehaushalt'!$A$4:$AC$275,27,FALSE))</f>
        <v/>
      </c>
      <c r="AK162" s="801" t="str">
        <f>IF(VLOOKUP(A162,'Charriage - Geschiebehaushalt'!$A$4:$AC$275,28,FALSE)="","",VLOOKUP(A162,'Charriage - Geschiebehaushalt'!$A$4:$AC$275,28,FALSE))</f>
        <v>non pertinent / nicht relevant</v>
      </c>
      <c r="AL162" s="1285" t="str">
        <f>IF(VLOOKUP(A162,'Charriage - Geschiebehaushalt'!$A$4:$AD$275,30,FALSE)="","",VLOOKUP(A162,'Charriage - Geschiebehaushalt'!$A$4:$AD$275,30,FALSE))</f>
        <v>a</v>
      </c>
      <c r="AM162" s="1279" t="str">
        <f>IF(VLOOKUP(A162,'Débit - Abfluss'!$A$4:$K$275,5,FALSE)="","",VLOOKUP(A162,'Débit - Abfluss'!$A$4:$M$275,5,FALSE))</f>
        <v>non pertinent</v>
      </c>
      <c r="AN162" s="868" t="str">
        <f>IF(VLOOKUP(A162,'Débit - Abfluss'!$A$4:$K$275,6,FALSE)="","",VLOOKUP(A162,'Débit - Abfluss'!$A$4:$M$275,6,FALSE))</f>
        <v/>
      </c>
      <c r="AO162" s="869" t="str">
        <f>IF(VLOOKUP(A162,'Débit - Abfluss'!$A$4:$K$275,7,FALSE)="","",VLOOKUP(A162,'Débit - Abfluss'!$A$4:$M$275,7,FALSE))</f>
        <v/>
      </c>
      <c r="AP162" s="766" t="str">
        <f>IF(VLOOKUP(A162,'Débit - Abfluss'!$A$4:$K$275,8,FALSE)="","",VLOOKUP(A162,'Débit - Abfluss'!$A$4:$M$275,8,FALSE))</f>
        <v>non pertinent / nicht relevant</v>
      </c>
      <c r="AQ162" s="742" t="str">
        <f>IF(VLOOKUP(A162,'Débit - Abfluss'!$A$4:$K$275,9,FALSE)="","",VLOOKUP(A162,'Débit - Abfluss'!$A$4:$M$275,9,FALSE))</f>
        <v>-</v>
      </c>
      <c r="AR162" s="767" t="str">
        <f>IF(VLOOKUP(A162,'Débit - Abfluss'!$A$4:$K$275,10,FALSE)="","",VLOOKUP(A162,'Débit - Abfluss'!$A$4:$M$275,10,FALSE))</f>
        <v>non pertinent / nicht relevant</v>
      </c>
      <c r="AS162" s="767" t="str">
        <f>IF(VLOOKUP(A162,'Débit - Abfluss'!$A$4:$K$275,11,FALSE)="","",VLOOKUP(A162,'Débit - Abfluss'!$A$4:$M$275,11,FALSE))</f>
        <v/>
      </c>
      <c r="AT162" s="744" t="str">
        <f>IF(VLOOKUP(A162,'Débit - Abfluss'!$A$4:$Q$275,12,FALSE)="","",VLOOKUP(A162,'Débit - Abfluss'!$A$4:$Q$275,12,FALSE))</f>
        <v/>
      </c>
      <c r="AU162" s="745" t="str">
        <f>IF(VLOOKUP(A162,'Débit - Abfluss'!$A$4:$Q$275,13,FALSE)="","",VLOOKUP(A162,'Débit - Abfluss'!$A$4:$Q$275,13,FALSE))</f>
        <v/>
      </c>
      <c r="AV162" s="746" t="str">
        <f>IF(VLOOKUP(A162,'Débit - Abfluss'!$A$4:$Q$275,14,FALSE)="","",VLOOKUP(A162,'Débit - Abfluss'!$A$4:$Q$275,14,FALSE))</f>
        <v/>
      </c>
      <c r="AW162" s="768" t="str">
        <f>IF(VLOOKUP(A162,'Débit - Abfluss'!$A$4:$Q$275,15,FALSE)="","",VLOOKUP(A162,'Débit - Abfluss'!$A$4:$Q$275,15,FALSE))</f>
        <v/>
      </c>
      <c r="AX162" s="677" t="str">
        <f>IF(VLOOKUP(A162,'Débit - Abfluss'!$A$4:$Q$275,16,FALSE)="","",VLOOKUP(A162,'Débit - Abfluss'!$A$4:$Q$275,16,FALSE))</f>
        <v/>
      </c>
      <c r="AY162" s="769" t="str">
        <f>IF(VLOOKUP(A162,'Débit - Abfluss'!$A$4:$Q$275,17,FALSE)="","",VLOOKUP(A162,'Débit - Abfluss'!$A$4:$Q$275,17,FALSE))</f>
        <v>non pertinent / nicht relevant</v>
      </c>
      <c r="AZ162" s="749" t="str">
        <f>IF(VLOOKUP(A162,'Eclusée - Schwall-Sunk'!$A$2:$F$273,5,FALSE)="","",VLOOKUP(A162,'Eclusée - Schwall-Sunk'!$A$2:$F$273,5,FALSE))</f>
        <v/>
      </c>
      <c r="BA162" s="750" t="str">
        <f>IF(VLOOKUP(A162,'Eclusée - Schwall-Sunk'!$A$2:$F$273,6,FALSE)="","",VLOOKUP(A162,'Eclusée - Schwall-Sunk'!$A$2:$F$273,6,FALSE))</f>
        <v>Non affecté / nicht betroffen</v>
      </c>
      <c r="BB162" s="751" t="str">
        <f>IF(VLOOKUP(A162,'Revitalisation-Revitalisierung'!$A$4:$Z$275,5,FALSE)="","",VLOOKUP(A162,'Revitalisation-Revitalisierung'!$A$4:$Z$275,5,FALSE))</f>
        <v/>
      </c>
      <c r="BC162" s="752" t="str">
        <f>IF(VLOOKUP(A162,'Revitalisation-Revitalisierung'!$A$4:$Z$275,6,FALSE)="","",VLOOKUP(A162,'Revitalisation-Revitalisierung'!$A$4:$Z$275,6,FALSE))</f>
        <v/>
      </c>
      <c r="BD162" s="752" t="str">
        <f>IF(VLOOKUP(A162,'Revitalisation-Revitalisierung'!$A$4:$Z$275,7,FALSE)="","",VLOOKUP(A162,'Revitalisation-Revitalisierung'!$A$4:$Z$275,7,FALSE))</f>
        <v/>
      </c>
      <c r="BE162" s="753" t="str">
        <f>IF(VLOOKUP(A162,'Revitalisation-Revitalisierung'!$A$4:$Z$275,8,FALSE)="","",VLOOKUP(A162,'Revitalisation-Revitalisierung'!$A$4:$Z$275,8,FALSE))</f>
        <v>non pertinent</v>
      </c>
      <c r="BF162" s="754" t="str">
        <f>IF(VLOOKUP(A162,'Revitalisation-Revitalisierung'!$A$4:$Z$275,9,FALSE)="","",VLOOKUP(A162,'Revitalisation-Revitalisierung'!$A$4:$Z$275,9,FALSE))</f>
        <v/>
      </c>
      <c r="BG162" s="754" t="str">
        <f>IF(VLOOKUP(A162,'Revitalisation-Revitalisierung'!$A$4:$Z$275,10,FALSE)="","",VLOOKUP(A162,'Revitalisation-Revitalisierung'!$A$4:$Z$275,10,FALSE))</f>
        <v>K1</v>
      </c>
      <c r="BH162" s="755" t="str">
        <f>IF(VLOOKUP(A162,'Revitalisation-Revitalisierung'!$A$4:$Z$275,11,FALSE)="","",VLOOKUP(A162,'Revitalisation-Revitalisierung'!$A$4:$Z$275,11,FALSE))</f>
        <v/>
      </c>
      <c r="BI162" s="756" t="str">
        <f>IF(VLOOKUP(A162,'Revitalisation-Revitalisierung'!$A$4:$Z$275,12,FALSE)="","",VLOOKUP(A162,'Revitalisation-Revitalisierung'!$A$4:$Z$275,12,FALSE))</f>
        <v/>
      </c>
      <c r="BJ162" s="788" t="str">
        <f>IF(VLOOKUP(A162,'Revitalisation-Revitalisierung'!$A$4:$Z$275,13,FALSE)="","",VLOOKUP(A162,'Revitalisation-Revitalisierung'!$A$4:$Z$275,13,FALSE))</f>
        <v>non pertinent / nicht relevant</v>
      </c>
      <c r="BK162" s="870" t="str">
        <f>IF(VLOOKUP(A162,'Revitalisation-Revitalisierung'!$A$4:$Z$275,14,FALSE)="","",VLOOKUP(A162,'Revitalisation-Revitalisierung'!$A$4:$Z$275,14,FALSE))</f>
        <v>a</v>
      </c>
      <c r="BL162" s="758" t="str">
        <f>IF(VLOOKUP(A162,'Revitalisation-Revitalisierung'!$A$4:$Z$275,15,FALSE)="","",VLOOKUP(A162,'Revitalisation-Revitalisierung'!$A$4:$Z$275,15,FALSE))</f>
        <v>- /
-</v>
      </c>
      <c r="BM162" s="759" t="str">
        <f>IF(VLOOKUP(A162,'Revitalisation-Revitalisierung'!$A$4:$Z$275,16,FALSE)="","",VLOOKUP(A162,'Revitalisation-Revitalisierung'!$A$4:$Z$275,16,FALSE))</f>
        <v>- /
-</v>
      </c>
      <c r="BN162" s="759" t="str">
        <f>IF(VLOOKUP(A162,'Revitalisation-Revitalisierung'!$A$4:$Z$275,17,FALSE)="","",VLOOKUP(A162,'Revitalisation-Revitalisierung'!$A$4:$Z$275,17,FALSE))</f>
        <v>- /
-</v>
      </c>
      <c r="BO162" s="760" t="str">
        <f>IF(VLOOKUP(A162,'Revitalisation-Revitalisierung'!$A$4:$Z$275,18,FALSE)="","",VLOOKUP(A162,'Revitalisation-Revitalisierung'!$A$4:$Z$275,18,FALSE))</f>
        <v/>
      </c>
      <c r="BP162" s="761" t="str">
        <f>IF(VLOOKUP(A162,'Revitalisation-Revitalisierung'!$A$4:$Z$275,19,FALSE)="","",VLOOKUP(A162,'Revitalisation-Revitalisierung'!$A$4:$Z$275,19,FALSE))</f>
        <v>non pertinent / nicht relevant</v>
      </c>
      <c r="BQ162" s="759" t="str">
        <f>IF(VLOOKUP(A162,'Revitalisation-Revitalisierung'!$A$4:$Z$275,20,FALSE)="","",VLOOKUP(A162,'Revitalisation-Revitalisierung'!$A$4:$Z$275,20,FALSE))</f>
        <v>a</v>
      </c>
      <c r="BR162" s="759" t="str">
        <f>IF(VLOOKUP(A162,'Revitalisation-Revitalisierung'!$A$4:$Z$275,21,FALSE)="","",VLOOKUP(A162,'Revitalisation-Revitalisierung'!$A$4:$Z$275,21,FALSE))</f>
        <v/>
      </c>
      <c r="BS162" s="762" t="str">
        <f>IF(VLOOKUP(A162,'Revitalisation-Revitalisierung'!$A$4:$Z$275,22,FALSE)="","",VLOOKUP(A162,'Revitalisation-Revitalisierung'!$A$4:$Z$275,22,FALSE))</f>
        <v/>
      </c>
      <c r="BT162" s="703" t="str">
        <f>IF(VLOOKUP(A162,'Revitalisation-Revitalisierung'!$A$4:$Z$275,23,FALSE)="","",VLOOKUP(A162,'Revitalisation-Revitalisierung'!$A$4:$Z$275,23,FALSE))</f>
        <v/>
      </c>
      <c r="BU162" s="704" t="str">
        <f>IF(VLOOKUP(A162,'Revitalisation-Revitalisierung'!$A$4:$Z$275,24,FALSE)="","",VLOOKUP(A162,'Revitalisation-Revitalisierung'!$A$4:$Z$275,24,FALSE))</f>
        <v/>
      </c>
      <c r="BV162" s="761" t="str">
        <f>IF(VLOOKUP(A162,'Revitalisation-Revitalisierung'!$A$4:$Z$275,25,FALSE)="","",VLOOKUP(A162,'Revitalisation-Revitalisierung'!$A$4:$Z$275,25,FALSE))</f>
        <v>non pertinent / nicht relevant</v>
      </c>
      <c r="BW162" s="871" t="str">
        <f>IF(VLOOKUP(A162,'Revitalisation-Revitalisierung'!$A$4:$AA$275,27,FALSE)="","",VLOOKUP(A162,'Revitalisation-Revitalisierung'!$A$4:$AA$275,27,FALSE))</f>
        <v>a</v>
      </c>
    </row>
    <row r="163" spans="1:75" ht="64.900000000000006" customHeight="1" x14ac:dyDescent="0.25">
      <c r="A163" s="935">
        <v>208</v>
      </c>
      <c r="B163" s="856">
        <f>IF(VLOOKUP(A163,'Données de base - Grunddaten'!$A$2:$M$297,2,FALSE)="","",VLOOKUP(A163,'Données de base - Grunddaten'!$A$2:$M$297,2,FALSE))</f>
        <v>1</v>
      </c>
      <c r="C163" s="857" t="str">
        <f>IF(VLOOKUP(A163,'Données de base - Grunddaten'!$A$2:$M$297,3,FALSE)="","",VLOOKUP(A163,'Données de base - Grunddaten'!$A$2:$M$297,3,FALSE))</f>
        <v>Les Grèves du Chablais de Cudrefin</v>
      </c>
      <c r="D163" s="857" t="str">
        <f>IF(VLOOKUP(A163,'Données de base - Grunddaten'!$A$2:$M$297,4,FALSE)="","",VLOOKUP(A163,'Données de base - Grunddaten'!$A$2:$M$297,4,FALSE))</f>
        <v>Lac de Neuchâtel, La Broye</v>
      </c>
      <c r="E163" s="857" t="str">
        <f>IF(VLOOKUP(A163,'Données de base - Grunddaten'!$A$2:$M$297,5,FALSE)="","",VLOOKUP(A163,'Données de base - Grunddaten'!$A$2:$M$297,5,FALSE))</f>
        <v>VD</v>
      </c>
      <c r="F163" s="857" t="str">
        <f>IF(VLOOKUP(A163,'Données de base - Grunddaten'!$A$2:$M$297,6,FALSE)="","",VLOOKUP(A163,'Données de base - Grunddaten'!$A$2:$M$297,6,FALSE))</f>
        <v>Plateau occidental</v>
      </c>
      <c r="G163" s="857" t="str">
        <f>IF(VLOOKUP(A163,'Données de base - Grunddaten'!$A$2:$M$297,7,FALSE)="","",VLOOKUP(A163,'Données de base - Grunddaten'!$A$2:$M$297,7,FALSE))</f>
        <v>Collinéen</v>
      </c>
      <c r="H163" s="857">
        <f>IF(VLOOKUP(A163,'Données de base - Grunddaten'!$A$2:$M$297,8,FALSE)="","",VLOOKUP(A163,'Données de base - Grunddaten'!$A$2:$M$297,8,FALSE))</f>
        <v>430</v>
      </c>
      <c r="I163" s="857">
        <f>IF(VLOOKUP(A163,'Données de base - Grunddaten'!$A$2:$M$297,9,FALSE)="","",VLOOKUP(A163,'Données de base - Grunddaten'!$A$2:$M$297,9,FALSE))</f>
        <v>1992</v>
      </c>
      <c r="J163" s="857">
        <f>IF(VLOOKUP(A163,'Données de base - Grunddaten'!$A$2:$M$297,10,FALSE)="","",VLOOKUP(A163,'Données de base - Grunddaten'!$A$2:$M$297,10,FALSE))</f>
        <v>101</v>
      </c>
      <c r="K163" s="857" t="str">
        <f>IF(VLOOKUP(A163,'Données de base - Grunddaten'!$A$2:$M$297,11,FALSE)="","",VLOOKUP(A163,'Données de base - Grunddaten'!$A$2:$M$297,11,FALSE))</f>
        <v>Rives de lacs de l'étage collinéen</v>
      </c>
      <c r="L163" s="857" t="str">
        <f>IF(VLOOKUP(A163,'Données de base - Grunddaten'!$A$2:$M$297,12,FALSE)="","",VLOOKUP(A163,'Données de base - Grunddaten'!$A$2:$M$297,12,FALSE))</f>
        <v>rives lacustres</v>
      </c>
      <c r="M163" s="858" t="str">
        <f>IF(VLOOKUP(A163,'Données de base - Grunddaten'!$A$2:$M$297,13,FALSE)="","",VLOOKUP(A163,'Données de base - Grunddaten'!$A$2:$M$297,13,FALSE))</f>
        <v>rives lacustres</v>
      </c>
      <c r="N163" s="891" t="str">
        <f>IF(VLOOKUP(A163,'Charriage - Geschiebehaushalt'!$A$4:$R$275,5,FALSE)="","",VLOOKUP(A163,'Charriage - Geschiebehaushalt'!$A$4:$R$275,5,FALSE))</f>
        <v>non pertinent</v>
      </c>
      <c r="O163" s="881" t="str">
        <f>IF(VLOOKUP(A163,'Charriage - Geschiebehaushalt'!$A$4:$R$275,6,FALSE)="","",VLOOKUP(A163,'Charriage - Geschiebehaushalt'!$A$4:$R$275,6,FALSE))</f>
        <v/>
      </c>
      <c r="P163" s="874" t="str">
        <f>IF(VLOOKUP(A163,'Charriage - Geschiebehaushalt'!$A$4:$R$275,7,FALSE)="","",VLOOKUP(A163,'Charriage - Geschiebehaushalt'!$A$4:$R$275,7,FALSE))</f>
        <v/>
      </c>
      <c r="Q163" s="874" t="str">
        <f>IF(VLOOKUP(A163,'Charriage - Geschiebehaushalt'!$A$4:$R$275,8,FALSE)="","",VLOOKUP(A163,'Charriage - Geschiebehaushalt'!$A$4:$R$275,8,FALSE))</f>
        <v>non documenté</v>
      </c>
      <c r="R163" s="875">
        <f>IF(VLOOKUP(A163,'Charriage - Geschiebehaushalt'!$A$4:$R$275,9,FALSE)="","",VLOOKUP(A163,'Charriage - Geschiebehaushalt'!$A$4:$R$275,9,FALSE))</f>
        <v>0.26288901851987301</v>
      </c>
      <c r="S163" s="876" t="str">
        <f>IF(VLOOKUP(A163,'Charriage - Geschiebehaushalt'!$A$4:$R$275,10,FALSE)="","",VLOOKUP(A163,'Charriage - Geschiebehaushalt'!$A$4:$R$275,10,FALSE))</f>
        <v>la remobilisation des sédiments est perturbée</v>
      </c>
      <c r="T163" s="875">
        <f>IF(VLOOKUP(A163,'Charriage - Geschiebehaushalt'!$A$4:$R$275,11,FALSE)="","",VLOOKUP(A163,'Charriage - Geschiebehaushalt'!$A$4:$R$275,11,FALSE))</f>
        <v>0.45646458626000003</v>
      </c>
      <c r="U163" s="876" t="str">
        <f>IF(VLOOKUP(A163,'Charriage - Geschiebehaushalt'!$A$4:$R$275,12,FALSE)="","",VLOOKUP(A163,'Charriage - Geschiebehaushalt'!$A$4:$R$275,12,FALSE))</f>
        <v>déficit non apparent en charriage ou en remobilisation des sédiments</v>
      </c>
      <c r="V163" s="877" t="str">
        <f>IF(VLOOKUP(A163,'Charriage - Geschiebehaushalt'!$A$4:$R$275,13,FALSE)="","",VLOOKUP(A163,'Charriage - Geschiebehaushalt'!$A$4:$R$275,13,FALSE))</f>
        <v/>
      </c>
      <c r="W163" s="877" t="str">
        <f>IF(VLOOKUP(A163,'Charriage - Geschiebehaushalt'!$A$4:$R$275,14,FALSE)="","",VLOOKUP(A163,'Charriage - Geschiebehaushalt'!$A$4:$R$275,14,FALSE))</f>
        <v/>
      </c>
      <c r="X163" s="877" t="str">
        <f>IF(VLOOKUP(A163,'Charriage - Geschiebehaushalt'!$A$4:$R$275,15,FALSE)="","",VLOOKUP(A163,'Charriage - Geschiebehaushalt'!$A$4:$R$275,15,FALSE))</f>
        <v/>
      </c>
      <c r="Y163" s="879" t="str">
        <f>IF(VLOOKUP(A163,'Charriage - Geschiebehaushalt'!$A$4:$R$275,16,FALSE)="","",VLOOKUP(A163,'Charriage - Geschiebehaushalt'!$A$4:$R$275,16,FALSE))</f>
        <v/>
      </c>
      <c r="Z163" s="763" t="str">
        <f>IF(VLOOKUP(A163,'Charriage - Geschiebehaushalt'!$A$4:$R$275,17,FALSE)="","",VLOOKUP(A163,'Charriage - Geschiebehaushalt'!$A$4:$R$275,17,FALSE))</f>
        <v>non pertinent / nicht relevant</v>
      </c>
      <c r="AA163" s="880" t="str">
        <f>IF(VLOOKUP(A163,'Charriage - Geschiebehaushalt'!$A$4:$R$275,18,FALSE)="","",VLOOKUP(A163,'Charriage - Geschiebehaushalt'!$A$4:$R$275,18,FALSE))</f>
        <v>a</v>
      </c>
      <c r="AB163" s="737">
        <f>IF(VLOOKUP(A163,'Charriage - Geschiebehaushalt'!$A$4:$AC$275,19,FALSE)="","",VLOOKUP(A163,'Charriage - Geschiebehaushalt'!$A$4:$AC$275,19,FALSE))</f>
        <v>0</v>
      </c>
      <c r="AC163" s="738">
        <f>IF(VLOOKUP(A163,'Charriage - Geschiebehaushalt'!$A$4:$AC$275,20,FALSE)="","",VLOOKUP(A163,'Charriage - Geschiebehaushalt'!$A$4:$AC$275,20,FALSE))</f>
        <v>0</v>
      </c>
      <c r="AD163" s="764" t="str">
        <f>IF(VLOOKUP(A163,'Charriage - Geschiebehaushalt'!$A$4:$AC$275,21,FALSE)="","",VLOOKUP(A163,'Charriage - Geschiebehaushalt'!$A$4:$AC$275,21,FALSE))</f>
        <v/>
      </c>
      <c r="AE163" s="740" t="str">
        <f>IF(VLOOKUP(A163,'Charriage - Geschiebehaushalt'!$A$4:$AC$275,22,FALSE)="","",VLOOKUP(A163,'Charriage - Geschiebehaushalt'!$A$4:$AC$275,22,FALSE))</f>
        <v>non pertinent / nicht relevant</v>
      </c>
      <c r="AF163" s="787" t="str">
        <f>IF(VLOOKUP(A163,'Charriage - Geschiebehaushalt'!$A$4:$AC$275,23,FALSE)="","",VLOOKUP(A163,'Charriage - Geschiebehaushalt'!$A$4:$AC$275,23,FALSE))</f>
        <v>a</v>
      </c>
      <c r="AG163" s="765" t="str">
        <f>IF(VLOOKUP(A163,'Charriage - Geschiebehaushalt'!$A$4:$AC$275,24,FALSE)="","",VLOOKUP(A163,'Charriage - Geschiebehaushalt'!$A$4:$AC$275,24,FALSE))</f>
        <v/>
      </c>
      <c r="AH163" s="764" t="str">
        <f>IF(VLOOKUP(A163,'Charriage - Geschiebehaushalt'!$A$4:$AC$275,25,FALSE)="","",VLOOKUP(A163,'Charriage - Geschiebehaushalt'!$A$4:$AC$275,25,FALSE))</f>
        <v/>
      </c>
      <c r="AI163" s="896" t="str">
        <f>IF(VLOOKUP(A163,'Charriage - Geschiebehaushalt'!$A$4:$AC$275,26,FALSE)="","",VLOOKUP(A163,'Charriage - Geschiebehaushalt'!$A$4:$AC$275,26,FALSE))</f>
        <v>non</v>
      </c>
      <c r="AJ163" s="436" t="str">
        <f>IF(VLOOKUP(A163,'Charriage - Geschiebehaushalt'!$A$4:$AC$275,27,FALSE)="","",VLOOKUP(A163,'Charriage - Geschiebehaushalt'!$A$4:$AC$275,27,FALSE))</f>
        <v/>
      </c>
      <c r="AK163" s="801" t="str">
        <f>IF(VLOOKUP(A163,'Charriage - Geschiebehaushalt'!$A$4:$AC$275,28,FALSE)="","",VLOOKUP(A163,'Charriage - Geschiebehaushalt'!$A$4:$AC$275,28,FALSE))</f>
        <v>non pertinent / nicht relevant</v>
      </c>
      <c r="AL163" s="1285" t="str">
        <f>IF(VLOOKUP(A163,'Charriage - Geschiebehaushalt'!$A$4:$AD$275,30,FALSE)="","",VLOOKUP(A163,'Charriage - Geschiebehaushalt'!$A$4:$AD$275,30,FALSE))</f>
        <v>a</v>
      </c>
      <c r="AM163" s="1279" t="str">
        <f>IF(VLOOKUP(A163,'Débit - Abfluss'!$A$4:$K$275,5,FALSE)="","",VLOOKUP(A163,'Débit - Abfluss'!$A$4:$M$275,5,FALSE))</f>
        <v>non pertinent</v>
      </c>
      <c r="AN163" s="868" t="str">
        <f>IF(VLOOKUP(A163,'Débit - Abfluss'!$A$4:$K$275,6,FALSE)="","",VLOOKUP(A163,'Débit - Abfluss'!$A$4:$M$275,6,FALSE))</f>
        <v/>
      </c>
      <c r="AO163" s="869" t="str">
        <f>IF(VLOOKUP(A163,'Débit - Abfluss'!$A$4:$K$275,7,FALSE)="","",VLOOKUP(A163,'Débit - Abfluss'!$A$4:$M$275,7,FALSE))</f>
        <v/>
      </c>
      <c r="AP163" s="766" t="str">
        <f>IF(VLOOKUP(A163,'Débit - Abfluss'!$A$4:$K$275,8,FALSE)="","",VLOOKUP(A163,'Débit - Abfluss'!$A$4:$M$275,8,FALSE))</f>
        <v>non pertinent / nicht relevant</v>
      </c>
      <c r="AQ163" s="742" t="str">
        <f>IF(VLOOKUP(A163,'Débit - Abfluss'!$A$4:$K$275,9,FALSE)="","",VLOOKUP(A163,'Débit - Abfluss'!$A$4:$M$275,9,FALSE))</f>
        <v>-</v>
      </c>
      <c r="AR163" s="767" t="str">
        <f>IF(VLOOKUP(A163,'Débit - Abfluss'!$A$4:$K$275,10,FALSE)="","",VLOOKUP(A163,'Débit - Abfluss'!$A$4:$M$275,10,FALSE))</f>
        <v>non pertinent / nicht relevant</v>
      </c>
      <c r="AS163" s="767" t="str">
        <f>IF(VLOOKUP(A163,'Débit - Abfluss'!$A$4:$K$275,11,FALSE)="","",VLOOKUP(A163,'Débit - Abfluss'!$A$4:$M$275,11,FALSE))</f>
        <v/>
      </c>
      <c r="AT163" s="778" t="str">
        <f>IF(VLOOKUP(A163,'Débit - Abfluss'!$A$4:$Q$275,12,FALSE)="","",VLOOKUP(A163,'Débit - Abfluss'!$A$4:$Q$275,12,FALSE))</f>
        <v/>
      </c>
      <c r="AU163" s="779" t="str">
        <f>IF(VLOOKUP(A163,'Débit - Abfluss'!$A$4:$Q$275,13,FALSE)="","",VLOOKUP(A163,'Débit - Abfluss'!$A$4:$Q$275,13,FALSE))</f>
        <v/>
      </c>
      <c r="AV163" s="746" t="str">
        <f>IF(VLOOKUP(A163,'Débit - Abfluss'!$A$4:$Q$275,14,FALSE)="","",VLOOKUP(A163,'Débit - Abfluss'!$A$4:$Q$275,14,FALSE))</f>
        <v/>
      </c>
      <c r="AW163" s="768" t="str">
        <f>IF(VLOOKUP(A163,'Débit - Abfluss'!$A$4:$Q$275,15,FALSE)="","",VLOOKUP(A163,'Débit - Abfluss'!$A$4:$Q$275,15,FALSE))</f>
        <v/>
      </c>
      <c r="AX163" s="679" t="str">
        <f>IF(VLOOKUP(A163,'Débit - Abfluss'!$A$4:$Q$275,16,FALSE)="","",VLOOKUP(A163,'Débit - Abfluss'!$A$4:$Q$275,16,FALSE))</f>
        <v/>
      </c>
      <c r="AY163" s="769" t="str">
        <f>IF(VLOOKUP(A163,'Débit - Abfluss'!$A$4:$Q$275,17,FALSE)="","",VLOOKUP(A163,'Débit - Abfluss'!$A$4:$Q$275,17,FALSE))</f>
        <v>non pertinent / nicht relevant</v>
      </c>
      <c r="AZ163" s="749" t="str">
        <f>IF(VLOOKUP(A163,'Eclusée - Schwall-Sunk'!$A$2:$F$273,5,FALSE)="","",VLOOKUP(A163,'Eclusée - Schwall-Sunk'!$A$2:$F$273,5,FALSE))</f>
        <v/>
      </c>
      <c r="BA163" s="750" t="str">
        <f>IF(VLOOKUP(A163,'Eclusée - Schwall-Sunk'!$A$2:$F$273,6,FALSE)="","",VLOOKUP(A163,'Eclusée - Schwall-Sunk'!$A$2:$F$273,6,FALSE))</f>
        <v>Non affecté / nicht betroffen</v>
      </c>
      <c r="BB163" s="751" t="str">
        <f>IF(VLOOKUP(A163,'Revitalisation-Revitalisierung'!$A$4:$Z$275,5,FALSE)="","",VLOOKUP(A163,'Revitalisation-Revitalisierung'!$A$4:$Z$275,5,FALSE))</f>
        <v/>
      </c>
      <c r="BC163" s="752" t="str">
        <f>IF(VLOOKUP(A163,'Revitalisation-Revitalisierung'!$A$4:$Z$275,6,FALSE)="","",VLOOKUP(A163,'Revitalisation-Revitalisierung'!$A$4:$Z$275,6,FALSE))</f>
        <v/>
      </c>
      <c r="BD163" s="752" t="str">
        <f>IF(VLOOKUP(A163,'Revitalisation-Revitalisierung'!$A$4:$Z$275,7,FALSE)="","",VLOOKUP(A163,'Revitalisation-Revitalisierung'!$A$4:$Z$275,7,FALSE))</f>
        <v/>
      </c>
      <c r="BE163" s="753" t="str">
        <f>IF(VLOOKUP(A163,'Revitalisation-Revitalisierung'!$A$4:$Z$275,8,FALSE)="","",VLOOKUP(A163,'Revitalisation-Revitalisierung'!$A$4:$Z$275,8,FALSE))</f>
        <v>non pertinent</v>
      </c>
      <c r="BF163" s="754" t="str">
        <f>IF(VLOOKUP(A163,'Revitalisation-Revitalisierung'!$A$4:$Z$275,9,FALSE)="","",VLOOKUP(A163,'Revitalisation-Revitalisierung'!$A$4:$Z$275,9,FALSE))</f>
        <v/>
      </c>
      <c r="BG163" s="754" t="str">
        <f>IF(VLOOKUP(A163,'Revitalisation-Revitalisierung'!$A$4:$Z$275,10,FALSE)="","",VLOOKUP(A163,'Revitalisation-Revitalisierung'!$A$4:$Z$275,10,FALSE))</f>
        <v>K1</v>
      </c>
      <c r="BH163" s="755" t="str">
        <f>IF(VLOOKUP(A163,'Revitalisation-Revitalisierung'!$A$4:$Z$275,11,FALSE)="","",VLOOKUP(A163,'Revitalisation-Revitalisierung'!$A$4:$Z$275,11,FALSE))</f>
        <v/>
      </c>
      <c r="BI163" s="756" t="str">
        <f>IF(VLOOKUP(A163,'Revitalisation-Revitalisierung'!$A$4:$Z$275,12,FALSE)="","",VLOOKUP(A163,'Revitalisation-Revitalisierung'!$A$4:$Z$275,12,FALSE))</f>
        <v/>
      </c>
      <c r="BJ163" s="788" t="str">
        <f>IF(VLOOKUP(A163,'Revitalisation-Revitalisierung'!$A$4:$Z$275,13,FALSE)="","",VLOOKUP(A163,'Revitalisation-Revitalisierung'!$A$4:$Z$275,13,FALSE))</f>
        <v>non pertinent / nicht relevant</v>
      </c>
      <c r="BK163" s="870" t="str">
        <f>IF(VLOOKUP(A163,'Revitalisation-Revitalisierung'!$A$4:$Z$275,14,FALSE)="","",VLOOKUP(A163,'Revitalisation-Revitalisierung'!$A$4:$Z$275,14,FALSE))</f>
        <v>a</v>
      </c>
      <c r="BL163" s="758" t="str">
        <f>IF(VLOOKUP(A163,'Revitalisation-Revitalisierung'!$A$4:$Z$275,15,FALSE)="","",VLOOKUP(A163,'Revitalisation-Revitalisierung'!$A$4:$Z$275,15,FALSE))</f>
        <v>-</v>
      </c>
      <c r="BM163" s="759" t="str">
        <f>IF(VLOOKUP(A163,'Revitalisation-Revitalisierung'!$A$4:$Z$275,16,FALSE)="","",VLOOKUP(A163,'Revitalisation-Revitalisierung'!$A$4:$Z$275,16,FALSE))</f>
        <v>-</v>
      </c>
      <c r="BN163" s="759" t="str">
        <f>IF(VLOOKUP(A163,'Revitalisation-Revitalisierung'!$A$4:$Z$275,17,FALSE)="","",VLOOKUP(A163,'Revitalisation-Revitalisierung'!$A$4:$Z$275,17,FALSE))</f>
        <v>-</v>
      </c>
      <c r="BO163" s="760" t="str">
        <f>IF(VLOOKUP(A163,'Revitalisation-Revitalisierung'!$A$4:$Z$275,18,FALSE)="","",VLOOKUP(A163,'Revitalisation-Revitalisierung'!$A$4:$Z$275,18,FALSE))</f>
        <v/>
      </c>
      <c r="BP163" s="761" t="str">
        <f>IF(VLOOKUP(A163,'Revitalisation-Revitalisierung'!$A$4:$Z$275,19,FALSE)="","",VLOOKUP(A163,'Revitalisation-Revitalisierung'!$A$4:$Z$275,19,FALSE))</f>
        <v>non pertinent / nicht relevant</v>
      </c>
      <c r="BQ163" s="759" t="str">
        <f>IF(VLOOKUP(A163,'Revitalisation-Revitalisierung'!$A$4:$Z$275,20,FALSE)="","",VLOOKUP(A163,'Revitalisation-Revitalisierung'!$A$4:$Z$275,20,FALSE))</f>
        <v>a</v>
      </c>
      <c r="BR163" s="759" t="str">
        <f>IF(VLOOKUP(A163,'Revitalisation-Revitalisierung'!$A$4:$Z$275,21,FALSE)="","",VLOOKUP(A163,'Revitalisation-Revitalisierung'!$A$4:$Z$275,21,FALSE))</f>
        <v/>
      </c>
      <c r="BS163" s="762" t="str">
        <f>IF(VLOOKUP(A163,'Revitalisation-Revitalisierung'!$A$4:$Z$275,22,FALSE)="","",VLOOKUP(A163,'Revitalisation-Revitalisierung'!$A$4:$Z$275,22,FALSE))</f>
        <v/>
      </c>
      <c r="BT163" s="703" t="str">
        <f>IF(VLOOKUP(A163,'Revitalisation-Revitalisierung'!$A$4:$Z$275,23,FALSE)="","",VLOOKUP(A163,'Revitalisation-Revitalisierung'!$A$4:$Z$275,23,FALSE))</f>
        <v/>
      </c>
      <c r="BU163" s="704" t="str">
        <f>IF(VLOOKUP(A163,'Revitalisation-Revitalisierung'!$A$4:$Z$275,24,FALSE)="","",VLOOKUP(A163,'Revitalisation-Revitalisierung'!$A$4:$Z$275,24,FALSE))</f>
        <v/>
      </c>
      <c r="BV163" s="761" t="str">
        <f>IF(VLOOKUP(A163,'Revitalisation-Revitalisierung'!$A$4:$Z$275,25,FALSE)="","",VLOOKUP(A163,'Revitalisation-Revitalisierung'!$A$4:$Z$275,25,FALSE))</f>
        <v>non pertinent / nicht relevant</v>
      </c>
      <c r="BW163" s="871" t="str">
        <f>IF(VLOOKUP(A163,'Revitalisation-Revitalisierung'!$A$4:$AA$275,27,FALSE)="","",VLOOKUP(A163,'Revitalisation-Revitalisierung'!$A$4:$AA$275,27,FALSE))</f>
        <v>a</v>
      </c>
    </row>
    <row r="164" spans="1:75" ht="56.45" customHeight="1" x14ac:dyDescent="0.25">
      <c r="A164" s="935">
        <v>209</v>
      </c>
      <c r="B164" s="856">
        <f>IF(VLOOKUP(A164,'Données de base - Grunddaten'!$A$2:$M$297,2,FALSE)="","",VLOOKUP(A164,'Données de base - Grunddaten'!$A$2:$M$297,2,FALSE))</f>
        <v>1</v>
      </c>
      <c r="C164" s="857" t="str">
        <f>IF(VLOOKUP(A164,'Données de base - Grunddaten'!$A$2:$M$297,3,FALSE)="","",VLOOKUP(A164,'Données de base - Grunddaten'!$A$2:$M$297,3,FALSE))</f>
        <v>Seewald–Fanel</v>
      </c>
      <c r="D164" s="857" t="str">
        <f>IF(VLOOKUP(A164,'Données de base - Grunddaten'!$A$2:$M$297,4,FALSE)="","",VLOOKUP(A164,'Données de base - Grunddaten'!$A$2:$M$297,4,FALSE))</f>
        <v>Canal de la Thielle, Lac de Neuchâtel</v>
      </c>
      <c r="E164" s="857" t="str">
        <f>IF(VLOOKUP(A164,'Données de base - Grunddaten'!$A$2:$M$297,5,FALSE)="","",VLOOKUP(A164,'Données de base - Grunddaten'!$A$2:$M$297,5,FALSE))</f>
        <v>BE/NE</v>
      </c>
      <c r="F164" s="857" t="str">
        <f>IF(VLOOKUP(A164,'Données de base - Grunddaten'!$A$2:$M$297,6,FALSE)="","",VLOOKUP(A164,'Données de base - Grunddaten'!$A$2:$M$297,6,FALSE))</f>
        <v>Plateau occidental</v>
      </c>
      <c r="G164" s="857" t="str">
        <f>IF(VLOOKUP(A164,'Données de base - Grunddaten'!$A$2:$M$297,7,FALSE)="","",VLOOKUP(A164,'Données de base - Grunddaten'!$A$2:$M$297,7,FALSE))</f>
        <v>Collinéen</v>
      </c>
      <c r="H164" s="857">
        <f>IF(VLOOKUP(A164,'Données de base - Grunddaten'!$A$2:$M$297,8,FALSE)="","",VLOOKUP(A164,'Données de base - Grunddaten'!$A$2:$M$297,8,FALSE))</f>
        <v>430</v>
      </c>
      <c r="I164" s="857">
        <f>IF(VLOOKUP(A164,'Données de base - Grunddaten'!$A$2:$M$297,9,FALSE)="","",VLOOKUP(A164,'Données de base - Grunddaten'!$A$2:$M$297,9,FALSE))</f>
        <v>1992</v>
      </c>
      <c r="J164" s="857">
        <f>IF(VLOOKUP(A164,'Données de base - Grunddaten'!$A$2:$M$297,10,FALSE)="","",VLOOKUP(A164,'Données de base - Grunddaten'!$A$2:$M$297,10,FALSE))</f>
        <v>101</v>
      </c>
      <c r="K164" s="857" t="str">
        <f>IF(VLOOKUP(A164,'Données de base - Grunddaten'!$A$2:$M$297,11,FALSE)="","",VLOOKUP(A164,'Données de base - Grunddaten'!$A$2:$M$297,11,FALSE))</f>
        <v>Rives de lacs de l'étage collinéen</v>
      </c>
      <c r="L164" s="857" t="str">
        <f>IF(VLOOKUP(A164,'Données de base - Grunddaten'!$A$2:$M$297,12,FALSE)="","",VLOOKUP(A164,'Données de base - Grunddaten'!$A$2:$M$297,12,FALSE))</f>
        <v>rives lacustres</v>
      </c>
      <c r="M164" s="858" t="str">
        <f>IF(VLOOKUP(A164,'Données de base - Grunddaten'!$A$2:$M$297,13,FALSE)="","",VLOOKUP(A164,'Données de base - Grunddaten'!$A$2:$M$297,13,FALSE))</f>
        <v>rives lacustres</v>
      </c>
      <c r="N164" s="891" t="str">
        <f>IF(VLOOKUP(A164,'Charriage - Geschiebehaushalt'!$A$4:$R$275,5,FALSE)="","",VLOOKUP(A164,'Charriage - Geschiebehaushalt'!$A$4:$R$275,5,FALSE))</f>
        <v>non pertinent</v>
      </c>
      <c r="O164" s="881" t="str">
        <f>IF(VLOOKUP(A164,'Charriage - Geschiebehaushalt'!$A$4:$R$275,6,FALSE)="","",VLOOKUP(A164,'Charriage - Geschiebehaushalt'!$A$4:$R$275,6,FALSE))</f>
        <v/>
      </c>
      <c r="P164" s="874" t="str">
        <f>IF(VLOOKUP(A164,'Charriage - Geschiebehaushalt'!$A$4:$R$275,7,FALSE)="","",VLOOKUP(A164,'Charriage - Geschiebehaushalt'!$A$4:$R$275,7,FALSE))</f>
        <v/>
      </c>
      <c r="Q164" s="874" t="str">
        <f>IF(VLOOKUP(A164,'Charriage - Geschiebehaushalt'!$A$4:$R$275,8,FALSE)="","",VLOOKUP(A164,'Charriage - Geschiebehaushalt'!$A$4:$R$275,8,FALSE))</f>
        <v>non documenté</v>
      </c>
      <c r="R164" s="875">
        <f>IF(VLOOKUP(A164,'Charriage - Geschiebehaushalt'!$A$4:$R$275,9,FALSE)="","",VLOOKUP(A164,'Charriage - Geschiebehaushalt'!$A$4:$R$275,9,FALSE))</f>
        <v>5.3557913933006797E-3</v>
      </c>
      <c r="S164" s="876" t="str">
        <f>IF(VLOOKUP(A164,'Charriage - Geschiebehaushalt'!$A$4:$R$275,10,FALSE)="","",VLOOKUP(A164,'Charriage - Geschiebehaushalt'!$A$4:$R$275,10,FALSE))</f>
        <v>pas ou faiblement entravé</v>
      </c>
      <c r="T164" s="875">
        <f>IF(VLOOKUP(A164,'Charriage - Geschiebehaushalt'!$A$4:$R$275,11,FALSE)="","",VLOOKUP(A164,'Charriage - Geschiebehaushalt'!$A$4:$R$275,11,FALSE))</f>
        <v>0.16825071975</v>
      </c>
      <c r="U164" s="876" t="str">
        <f>IF(VLOOKUP(A164,'Charriage - Geschiebehaushalt'!$A$4:$R$275,12,FALSE)="","",VLOOKUP(A164,'Charriage - Geschiebehaushalt'!$A$4:$R$275,12,FALSE))</f>
        <v>déficit dans les formations pionnières</v>
      </c>
      <c r="V164" s="877" t="str">
        <f>IF(VLOOKUP(A164,'Charriage - Geschiebehaushalt'!$A$4:$R$275,13,FALSE)="","",VLOOKUP(A164,'Charriage - Geschiebehaushalt'!$A$4:$R$275,13,FALSE))</f>
        <v/>
      </c>
      <c r="W164" s="877" t="str">
        <f>IF(VLOOKUP(A164,'Charriage - Geschiebehaushalt'!$A$4:$R$275,14,FALSE)="","",VLOOKUP(A164,'Charriage - Geschiebehaushalt'!$A$4:$R$275,14,FALSE))</f>
        <v/>
      </c>
      <c r="X164" s="877" t="str">
        <f>IF(VLOOKUP(A164,'Charriage - Geschiebehaushalt'!$A$4:$R$275,15,FALSE)="","",VLOOKUP(A164,'Charriage - Geschiebehaushalt'!$A$4:$R$275,15,FALSE))</f>
        <v/>
      </c>
      <c r="Y164" s="879" t="str">
        <f>IF(VLOOKUP(A164,'Charriage - Geschiebehaushalt'!$A$4:$R$275,16,FALSE)="","",VLOOKUP(A164,'Charriage - Geschiebehaushalt'!$A$4:$R$275,16,FALSE))</f>
        <v/>
      </c>
      <c r="Z164" s="763" t="str">
        <f>IF(VLOOKUP(A164,'Charriage - Geschiebehaushalt'!$A$4:$R$275,17,FALSE)="","",VLOOKUP(A164,'Charriage - Geschiebehaushalt'!$A$4:$R$275,17,FALSE))</f>
        <v>non pertinent / nicht relevant</v>
      </c>
      <c r="AA164" s="880" t="str">
        <f>IF(VLOOKUP(A164,'Charriage - Geschiebehaushalt'!$A$4:$R$275,18,FALSE)="","",VLOOKUP(A164,'Charriage - Geschiebehaushalt'!$A$4:$R$275,18,FALSE))</f>
        <v>a</v>
      </c>
      <c r="AB164" s="737" t="str">
        <f>IF(VLOOKUP(A164,'Charriage - Geschiebehaushalt'!$A$4:$AC$275,19,FALSE)="","",VLOOKUP(A164,'Charriage - Geschiebehaushalt'!$A$4:$AC$275,19,FALSE))</f>
        <v>- /
-</v>
      </c>
      <c r="AC164" s="738" t="str">
        <f>IF(VLOOKUP(A164,'Charriage - Geschiebehaushalt'!$A$4:$AC$275,20,FALSE)="","",VLOOKUP(A164,'Charriage - Geschiebehaushalt'!$A$4:$AC$275,20,FALSE))</f>
        <v>- /
-</v>
      </c>
      <c r="AD164" s="764" t="str">
        <f>IF(VLOOKUP(A164,'Charriage - Geschiebehaushalt'!$A$4:$AC$275,21,FALSE)="","",VLOOKUP(A164,'Charriage - Geschiebehaushalt'!$A$4:$AC$275,21,FALSE))</f>
        <v/>
      </c>
      <c r="AE164" s="740" t="str">
        <f>IF(VLOOKUP(A164,'Charriage - Geschiebehaushalt'!$A$4:$AC$275,22,FALSE)="","",VLOOKUP(A164,'Charriage - Geschiebehaushalt'!$A$4:$AC$275,22,FALSE))</f>
        <v>non pertinent / nicht relevant</v>
      </c>
      <c r="AF164" s="787" t="str">
        <f>IF(VLOOKUP(A164,'Charriage - Geschiebehaushalt'!$A$4:$AC$275,23,FALSE)="","",VLOOKUP(A164,'Charriage - Geschiebehaushalt'!$A$4:$AC$275,23,FALSE))</f>
        <v>a</v>
      </c>
      <c r="AG164" s="765" t="str">
        <f>IF(VLOOKUP(A164,'Charriage - Geschiebehaushalt'!$A$4:$AC$275,24,FALSE)="","",VLOOKUP(A164,'Charriage - Geschiebehaushalt'!$A$4:$AC$275,24,FALSE))</f>
        <v/>
      </c>
      <c r="AH164" s="764" t="str">
        <f>IF(VLOOKUP(A164,'Charriage - Geschiebehaushalt'!$A$4:$AC$275,25,FALSE)="","",VLOOKUP(A164,'Charriage - Geschiebehaushalt'!$A$4:$AC$275,25,FALSE))</f>
        <v/>
      </c>
      <c r="AI164" s="433" t="str">
        <f>IF(VLOOKUP(A164,'Charriage - Geschiebehaushalt'!$A$4:$AC$275,26,FALSE)="","",VLOOKUP(A164,'Charriage - Geschiebehaushalt'!$A$4:$AC$275,26,FALSE))</f>
        <v/>
      </c>
      <c r="AJ164" s="434" t="str">
        <f>IF(VLOOKUP(A164,'Charriage - Geschiebehaushalt'!$A$4:$AC$275,27,FALSE)="","",VLOOKUP(A164,'Charriage - Geschiebehaushalt'!$A$4:$AC$275,27,FALSE))</f>
        <v/>
      </c>
      <c r="AK164" s="801" t="str">
        <f>IF(VLOOKUP(A164,'Charriage - Geschiebehaushalt'!$A$4:$AC$275,28,FALSE)="","",VLOOKUP(A164,'Charriage - Geschiebehaushalt'!$A$4:$AC$275,28,FALSE))</f>
        <v>non pertinent / nicht relevant</v>
      </c>
      <c r="AL164" s="1285" t="str">
        <f>IF(VLOOKUP(A164,'Charriage - Geschiebehaushalt'!$A$4:$AD$275,30,FALSE)="","",VLOOKUP(A164,'Charriage - Geschiebehaushalt'!$A$4:$AD$275,30,FALSE))</f>
        <v>a</v>
      </c>
      <c r="AM164" s="1279" t="str">
        <f>IF(VLOOKUP(A164,'Débit - Abfluss'!$A$4:$K$275,5,FALSE)="","",VLOOKUP(A164,'Débit - Abfluss'!$A$4:$M$275,5,FALSE))</f>
        <v>non pertinent</v>
      </c>
      <c r="AN164" s="868" t="str">
        <f>IF(VLOOKUP(A164,'Débit - Abfluss'!$A$4:$K$275,6,FALSE)="","",VLOOKUP(A164,'Débit - Abfluss'!$A$4:$M$275,6,FALSE))</f>
        <v/>
      </c>
      <c r="AO164" s="869" t="str">
        <f>IF(VLOOKUP(A164,'Débit - Abfluss'!$A$4:$K$275,7,FALSE)="","",VLOOKUP(A164,'Débit - Abfluss'!$A$4:$M$275,7,FALSE))</f>
        <v/>
      </c>
      <c r="AP164" s="766" t="str">
        <f>IF(VLOOKUP(A164,'Débit - Abfluss'!$A$4:$K$275,8,FALSE)="","",VLOOKUP(A164,'Débit - Abfluss'!$A$4:$M$275,8,FALSE))</f>
        <v>non pertinent / nicht relevant</v>
      </c>
      <c r="AQ164" s="742" t="str">
        <f>IF(VLOOKUP(A164,'Débit - Abfluss'!$A$4:$K$275,9,FALSE)="","",VLOOKUP(A164,'Débit - Abfluss'!$A$4:$M$275,9,FALSE))</f>
        <v>-</v>
      </c>
      <c r="AR164" s="767" t="str">
        <f>IF(VLOOKUP(A164,'Débit - Abfluss'!$A$4:$K$275,10,FALSE)="","",VLOOKUP(A164,'Débit - Abfluss'!$A$4:$M$275,10,FALSE))</f>
        <v>non pertinent / nicht relevant</v>
      </c>
      <c r="AS164" s="767" t="str">
        <f>IF(VLOOKUP(A164,'Débit - Abfluss'!$A$4:$K$275,11,FALSE)="","",VLOOKUP(A164,'Débit - Abfluss'!$A$4:$M$275,11,FALSE))</f>
        <v/>
      </c>
      <c r="AT164" s="744" t="str">
        <f>IF(VLOOKUP(A164,'Débit - Abfluss'!$A$4:$Q$275,12,FALSE)="","",VLOOKUP(A164,'Débit - Abfluss'!$A$4:$Q$275,12,FALSE))</f>
        <v/>
      </c>
      <c r="AU164" s="745" t="str">
        <f>IF(VLOOKUP(A164,'Débit - Abfluss'!$A$4:$Q$275,13,FALSE)="","",VLOOKUP(A164,'Débit - Abfluss'!$A$4:$Q$275,13,FALSE))</f>
        <v/>
      </c>
      <c r="AV164" s="746" t="str">
        <f>IF(VLOOKUP(A164,'Débit - Abfluss'!$A$4:$Q$275,14,FALSE)="","",VLOOKUP(A164,'Débit - Abfluss'!$A$4:$Q$275,14,FALSE))</f>
        <v/>
      </c>
      <c r="AW164" s="768" t="str">
        <f>IF(VLOOKUP(A164,'Débit - Abfluss'!$A$4:$Q$275,15,FALSE)="","",VLOOKUP(A164,'Débit - Abfluss'!$A$4:$Q$275,15,FALSE))</f>
        <v/>
      </c>
      <c r="AX164" s="677" t="str">
        <f>IF(VLOOKUP(A164,'Débit - Abfluss'!$A$4:$Q$275,16,FALSE)="","",VLOOKUP(A164,'Débit - Abfluss'!$A$4:$Q$275,16,FALSE))</f>
        <v/>
      </c>
      <c r="AY164" s="769" t="str">
        <f>IF(VLOOKUP(A164,'Débit - Abfluss'!$A$4:$Q$275,17,FALSE)="","",VLOOKUP(A164,'Débit - Abfluss'!$A$4:$Q$275,17,FALSE))</f>
        <v>non pertinent / nicht relevant</v>
      </c>
      <c r="AZ164" s="749" t="str">
        <f>IF(VLOOKUP(A164,'Eclusée - Schwall-Sunk'!$A$2:$F$273,5,FALSE)="","",VLOOKUP(A164,'Eclusée - Schwall-Sunk'!$A$2:$F$273,5,FALSE))</f>
        <v/>
      </c>
      <c r="BA164" s="750" t="str">
        <f>IF(VLOOKUP(A164,'Eclusée - Schwall-Sunk'!$A$2:$F$273,6,FALSE)="","",VLOOKUP(A164,'Eclusée - Schwall-Sunk'!$A$2:$F$273,6,FALSE))</f>
        <v>Non affecté / nicht betroffen</v>
      </c>
      <c r="BB164" s="751" t="str">
        <f>IF(VLOOKUP(A164,'Revitalisation-Revitalisierung'!$A$4:$Z$275,5,FALSE)="","",VLOOKUP(A164,'Revitalisation-Revitalisierung'!$A$4:$Z$275,5,FALSE))</f>
        <v/>
      </c>
      <c r="BC164" s="752" t="str">
        <f>IF(VLOOKUP(A164,'Revitalisation-Revitalisierung'!$A$4:$Z$275,6,FALSE)="","",VLOOKUP(A164,'Revitalisation-Revitalisierung'!$A$4:$Z$275,6,FALSE))</f>
        <v/>
      </c>
      <c r="BD164" s="752" t="str">
        <f>IF(VLOOKUP(A164,'Revitalisation-Revitalisierung'!$A$4:$Z$275,7,FALSE)="","",VLOOKUP(A164,'Revitalisation-Revitalisierung'!$A$4:$Z$275,7,FALSE))</f>
        <v/>
      </c>
      <c r="BE164" s="753" t="str">
        <f>IF(VLOOKUP(A164,'Revitalisation-Revitalisierung'!$A$4:$Z$275,8,FALSE)="","",VLOOKUP(A164,'Revitalisation-Revitalisierung'!$A$4:$Z$275,8,FALSE))</f>
        <v>non pertinent</v>
      </c>
      <c r="BF164" s="754" t="str">
        <f>IF(VLOOKUP(A164,'Revitalisation-Revitalisierung'!$A$4:$Z$275,9,FALSE)="","",VLOOKUP(A164,'Revitalisation-Revitalisierung'!$A$4:$Z$275,9,FALSE))</f>
        <v/>
      </c>
      <c r="BG164" s="754" t="str">
        <f>IF(VLOOKUP(A164,'Revitalisation-Revitalisierung'!$A$4:$Z$275,10,FALSE)="","",VLOOKUP(A164,'Revitalisation-Revitalisierung'!$A$4:$Z$275,10,FALSE))</f>
        <v>K2</v>
      </c>
      <c r="BH164" s="755" t="str">
        <f>IF(VLOOKUP(A164,'Revitalisation-Revitalisierung'!$A$4:$Z$275,11,FALSE)="","",VLOOKUP(A164,'Revitalisation-Revitalisierung'!$A$4:$Z$275,11,FALSE))</f>
        <v/>
      </c>
      <c r="BI164" s="756" t="str">
        <f>IF(VLOOKUP(A164,'Revitalisation-Revitalisierung'!$A$4:$Z$275,12,FALSE)="","",VLOOKUP(A164,'Revitalisation-Revitalisierung'!$A$4:$Z$275,12,FALSE))</f>
        <v/>
      </c>
      <c r="BJ164" s="788" t="str">
        <f>IF(VLOOKUP(A164,'Revitalisation-Revitalisierung'!$A$4:$Z$275,13,FALSE)="","",VLOOKUP(A164,'Revitalisation-Revitalisierung'!$A$4:$Z$275,13,FALSE))</f>
        <v>non pertinent / nicht relevant</v>
      </c>
      <c r="BK164" s="870" t="str">
        <f>IF(VLOOKUP(A164,'Revitalisation-Revitalisierung'!$A$4:$Z$275,14,FALSE)="","",VLOOKUP(A164,'Revitalisation-Revitalisierung'!$A$4:$Z$275,14,FALSE))</f>
        <v>a</v>
      </c>
      <c r="BL164" s="758" t="str">
        <f>IF(VLOOKUP(A164,'Revitalisation-Revitalisierung'!$A$4:$Z$275,15,FALSE)="","",VLOOKUP(A164,'Revitalisation-Revitalisierung'!$A$4:$Z$275,15,FALSE))</f>
        <v>- /
-</v>
      </c>
      <c r="BM164" s="759" t="str">
        <f>IF(VLOOKUP(A164,'Revitalisation-Revitalisierung'!$A$4:$Z$275,16,FALSE)="","",VLOOKUP(A164,'Revitalisation-Revitalisierung'!$A$4:$Z$275,16,FALSE))</f>
        <v>- /
-</v>
      </c>
      <c r="BN164" s="759" t="str">
        <f>IF(VLOOKUP(A164,'Revitalisation-Revitalisierung'!$A$4:$Z$275,17,FALSE)="","",VLOOKUP(A164,'Revitalisation-Revitalisierung'!$A$4:$Z$275,17,FALSE))</f>
        <v>- /
-</v>
      </c>
      <c r="BO164" s="760" t="str">
        <f>IF(VLOOKUP(A164,'Revitalisation-Revitalisierung'!$A$4:$Z$275,18,FALSE)="","",VLOOKUP(A164,'Revitalisation-Revitalisierung'!$A$4:$Z$275,18,FALSE))</f>
        <v/>
      </c>
      <c r="BP164" s="761" t="str">
        <f>IF(VLOOKUP(A164,'Revitalisation-Revitalisierung'!$A$4:$Z$275,19,FALSE)="","",VLOOKUP(A164,'Revitalisation-Revitalisierung'!$A$4:$Z$275,19,FALSE))</f>
        <v>non pertinent / nicht relevant</v>
      </c>
      <c r="BQ164" s="759" t="str">
        <f>IF(VLOOKUP(A164,'Revitalisation-Revitalisierung'!$A$4:$Z$275,20,FALSE)="","",VLOOKUP(A164,'Revitalisation-Revitalisierung'!$A$4:$Z$275,20,FALSE))</f>
        <v>a</v>
      </c>
      <c r="BR164" s="759" t="str">
        <f>IF(VLOOKUP(A164,'Revitalisation-Revitalisierung'!$A$4:$Z$275,21,FALSE)="","",VLOOKUP(A164,'Revitalisation-Revitalisierung'!$A$4:$Z$275,21,FALSE))</f>
        <v/>
      </c>
      <c r="BS164" s="762" t="str">
        <f>IF(VLOOKUP(A164,'Revitalisation-Revitalisierung'!$A$4:$Z$275,22,FALSE)="","",VLOOKUP(A164,'Revitalisation-Revitalisierung'!$A$4:$Z$275,22,FALSE))</f>
        <v/>
      </c>
      <c r="BT164" s="703" t="str">
        <f>IF(VLOOKUP(A164,'Revitalisation-Revitalisierung'!$A$4:$Z$275,23,FALSE)="","",VLOOKUP(A164,'Revitalisation-Revitalisierung'!$A$4:$Z$275,23,FALSE))</f>
        <v/>
      </c>
      <c r="BU164" s="704" t="str">
        <f>IF(VLOOKUP(A164,'Revitalisation-Revitalisierung'!$A$4:$Z$275,24,FALSE)="","",VLOOKUP(A164,'Revitalisation-Revitalisierung'!$A$4:$Z$275,24,FALSE))</f>
        <v/>
      </c>
      <c r="BV164" s="761" t="str">
        <f>IF(VLOOKUP(A164,'Revitalisation-Revitalisierung'!$A$4:$Z$275,25,FALSE)="","",VLOOKUP(A164,'Revitalisation-Revitalisierung'!$A$4:$Z$275,25,FALSE))</f>
        <v>non pertinent / nicht relevant</v>
      </c>
      <c r="BW164" s="871" t="str">
        <f>IF(VLOOKUP(A164,'Revitalisation-Revitalisierung'!$A$4:$AA$275,27,FALSE)="","",VLOOKUP(A164,'Revitalisation-Revitalisierung'!$A$4:$AA$275,27,FALSE))</f>
        <v>a</v>
      </c>
    </row>
    <row r="165" spans="1:75" ht="90" customHeight="1" x14ac:dyDescent="0.25">
      <c r="A165" s="935">
        <v>211</v>
      </c>
      <c r="B165" s="856">
        <f>IF(VLOOKUP(A165,'Données de base - Grunddaten'!$A$2:$M$297,2,FALSE)="","",VLOOKUP(A165,'Données de base - Grunddaten'!$A$2:$M$297,2,FALSE))</f>
        <v>1</v>
      </c>
      <c r="C165" s="857" t="str">
        <f>IF(VLOOKUP(A165,'Données de base - Grunddaten'!$A$2:$M$297,3,FALSE)="","",VLOOKUP(A165,'Données de base - Grunddaten'!$A$2:$M$297,3,FALSE))</f>
        <v>Les Monod</v>
      </c>
      <c r="D165" s="857" t="str">
        <f>IF(VLOOKUP(A165,'Données de base - Grunddaten'!$A$2:$M$297,4,FALSE)="","",VLOOKUP(A165,'Données de base - Grunddaten'!$A$2:$M$297,4,FALSE))</f>
        <v>Le Veyron</v>
      </c>
      <c r="E165" s="857" t="str">
        <f>IF(VLOOKUP(A165,'Données de base - Grunddaten'!$A$2:$M$297,5,FALSE)="","",VLOOKUP(A165,'Données de base - Grunddaten'!$A$2:$M$297,5,FALSE))</f>
        <v>VD</v>
      </c>
      <c r="F165" s="857" t="str">
        <f>IF(VLOOKUP(A165,'Données de base - Grunddaten'!$A$2:$M$297,6,FALSE)="","",VLOOKUP(A165,'Données de base - Grunddaten'!$A$2:$M$297,6,FALSE))</f>
        <v>Bassins lémanique et rhénan, Jura et Randen</v>
      </c>
      <c r="G165" s="857" t="str">
        <f>IF(VLOOKUP(A165,'Données de base - Grunddaten'!$A$2:$M$297,7,FALSE)="","",VLOOKUP(A165,'Données de base - Grunddaten'!$A$2:$M$297,7,FALSE))</f>
        <v>Montagnard inf.</v>
      </c>
      <c r="H165" s="857">
        <f>IF(VLOOKUP(A165,'Données de base - Grunddaten'!$A$2:$M$297,8,FALSE)="","",VLOOKUP(A165,'Données de base - Grunddaten'!$A$2:$M$297,8,FALSE))</f>
        <v>660</v>
      </c>
      <c r="I165" s="857">
        <f>IF(VLOOKUP(A165,'Données de base - Grunddaten'!$A$2:$M$297,9,FALSE)="","",VLOOKUP(A165,'Données de base - Grunddaten'!$A$2:$M$297,9,FALSE))</f>
        <v>1992</v>
      </c>
      <c r="J165" s="857">
        <f>IF(VLOOKUP(A165,'Données de base - Grunddaten'!$A$2:$M$297,10,FALSE)="","",VLOOKUP(A165,'Données de base - Grunddaten'!$A$2:$M$297,10,FALSE))</f>
        <v>82</v>
      </c>
      <c r="K165" s="857" t="str">
        <f>IF(VLOOKUP(A165,'Données de base - Grunddaten'!$A$2:$M$297,11,FALSE)="","",VLOOKUP(A165,'Données de base - Grunddaten'!$A$2:$M$297,11,FALSE))</f>
        <v>Singularité: Cours d'eau en milieu marécageux</v>
      </c>
      <c r="L165" s="857" t="str">
        <f>IF(VLOOKUP(A165,'Données de base - Grunddaten'!$A$2:$M$297,12,FALSE)="","",VLOOKUP(A165,'Données de base - Grunddaten'!$A$2:$M$297,12,FALSE))</f>
        <v>méandres migrants</v>
      </c>
      <c r="M165" s="858" t="str">
        <f>IF(VLOOKUP(A165,'Données de base - Grunddaten'!$A$2:$M$297,13,FALSE)="","",VLOOKUP(A165,'Données de base - Grunddaten'!$A$2:$M$297,13,FALSE))</f>
        <v>méandres migrants</v>
      </c>
      <c r="N165" s="872" t="str">
        <f>IF(VLOOKUP(A165,'Charriage - Geschiebehaushalt'!$A$4:$R$275,5,FALSE)="","",VLOOKUP(A165,'Charriage - Geschiebehaushalt'!$A$4:$R$275,5,FALSE))</f>
        <v>pertinent</v>
      </c>
      <c r="O165" s="881" t="str">
        <f>IF(VLOOKUP(A165,'Charriage - Geschiebehaushalt'!$A$4:$R$275,6,FALSE)="","",VLOOKUP(A165,'Charriage - Geschiebehaushalt'!$A$4:$R$275,6,FALSE))</f>
        <v>non documenté</v>
      </c>
      <c r="P165" s="874" t="str">
        <f>IF(VLOOKUP(A165,'Charriage - Geschiebehaushalt'!$A$4:$R$275,7,FALSE)="","",VLOOKUP(A165,'Charriage - Geschiebehaushalt'!$A$4:$R$275,7,FALSE))</f>
        <v/>
      </c>
      <c r="Q165" s="874" t="str">
        <f>IF(VLOOKUP(A165,'Charriage - Geschiebehaushalt'!$A$4:$R$275,8,FALSE)="","",VLOOKUP(A165,'Charriage - Geschiebehaushalt'!$A$4:$R$275,8,FALSE))</f>
        <v>non documenté</v>
      </c>
      <c r="R165" s="875">
        <f>IF(VLOOKUP(A165,'Charriage - Geschiebehaushalt'!$A$4:$R$275,9,FALSE)="","",VLOOKUP(A165,'Charriage - Geschiebehaushalt'!$A$4:$R$275,9,FALSE))</f>
        <v>3.9826515255465503E-2</v>
      </c>
      <c r="S165" s="876" t="str">
        <f>IF(VLOOKUP(A165,'Charriage - Geschiebehaushalt'!$A$4:$R$275,10,FALSE)="","",VLOOKUP(A165,'Charriage - Geschiebehaushalt'!$A$4:$R$275,10,FALSE))</f>
        <v>pas ou faiblement entravé</v>
      </c>
      <c r="T165" s="875">
        <f>IF(VLOOKUP(A165,'Charriage - Geschiebehaushalt'!$A$4:$R$275,11,FALSE)="","",VLOOKUP(A165,'Charriage - Geschiebehaushalt'!$A$4:$R$275,11,FALSE))</f>
        <v>0.53303401399999994</v>
      </c>
      <c r="U165" s="895" t="str">
        <f>IF(VLOOKUP(A165,'Charriage - Geschiebehaushalt'!$A$4:$R$275,12,FALSE)="","",VLOOKUP(A165,'Charriage - Geschiebehaushalt'!$A$4:$R$275,12,FALSE))</f>
        <v>déficit non apparent en charriage ou en remobilisation des sédiments</v>
      </c>
      <c r="V165" s="877" t="str">
        <f>IF(VLOOKUP(A165,'Charriage - Geschiebehaushalt'!$A$4:$R$275,13,FALSE)="","",VLOOKUP(A165,'Charriage - Geschiebehaushalt'!$A$4:$R$275,13,FALSE))</f>
        <v/>
      </c>
      <c r="W165" s="877" t="str">
        <f>IF(VLOOKUP(A165,'Charriage - Geschiebehaushalt'!$A$4:$R$275,14,FALSE)="","",VLOOKUP(A165,'Charriage - Geschiebehaushalt'!$A$4:$R$275,14,FALSE))</f>
        <v/>
      </c>
      <c r="X165" s="877" t="str">
        <f>IF(VLOOKUP(A165,'Charriage - Geschiebehaushalt'!$A$4:$R$275,15,FALSE)="","",VLOOKUP(A165,'Charriage - Geschiebehaushalt'!$A$4:$R$275,15,FALSE))</f>
        <v/>
      </c>
      <c r="Y165" s="879" t="str">
        <f>IF(VLOOKUP(A165,'Charriage - Geschiebehaushalt'!$A$4:$R$275,16,FALSE)="","",VLOOKUP(A165,'Charriage - Geschiebehaushalt'!$A$4:$R$275,16,FALSE))</f>
        <v/>
      </c>
      <c r="Z165" s="763" t="str">
        <f>IF(VLOOKUP(A165,'Charriage - Geschiebehaushalt'!$A$4:$R$275,17,FALSE)="","",VLOOKUP(A165,'Charriage - Geschiebehaushalt'!$A$4:$R$275,17,FALSE))</f>
        <v>Déficit non apparent en charriage ou en remobilisation des sédiments / kein sichtbares Defizit beim Geschiebehaushalt bzw. bei der Mobilisierung von Geschiebe</v>
      </c>
      <c r="AA165" s="880" t="str">
        <f>IF(VLOOKUP(A165,'Charriage - Geschiebehaushalt'!$A$4:$R$275,18,FALSE)="","",VLOOKUP(A165,'Charriage - Geschiebehaushalt'!$A$4:$R$275,18,FALSE))</f>
        <v>b</v>
      </c>
      <c r="AB165" s="737" t="str">
        <f>IF(VLOOKUP(A165,'Charriage - Geschiebehaushalt'!$A$4:$AC$275,19,FALSE)="","",VLOOKUP(A165,'Charriage - Geschiebehaushalt'!$A$4:$AC$275,19,FALSE))</f>
        <v>non évalué</v>
      </c>
      <c r="AC165" s="738" t="str">
        <f>IF(VLOOKUP(A165,'Charriage - Geschiebehaushalt'!$A$4:$AC$275,20,FALSE)="","",VLOOKUP(A165,'Charriage - Geschiebehaushalt'!$A$4:$AC$275,20,FALSE))</f>
        <v>non évalué</v>
      </c>
      <c r="AD165" s="764" t="str">
        <f>IF(VLOOKUP(A165,'Charriage - Geschiebehaushalt'!$A$4:$AC$275,21,FALSE)="","",VLOOKUP(A165,'Charriage - Geschiebehaushalt'!$A$4:$AC$275,21,FALSE))</f>
        <v/>
      </c>
      <c r="AE165" s="740" t="str">
        <f>IF(VLOOKUP(A165,'Charriage - Geschiebehaushalt'!$A$4:$AC$275,22,FALSE)="","",VLOOKUP(A165,'Charriage - Geschiebehaushalt'!$A$4:$AC$275,22,FALSE))</f>
        <v>0-20%</v>
      </c>
      <c r="AF165" s="787" t="str">
        <f>IF(VLOOKUP(A165,'Charriage - Geschiebehaushalt'!$A$4:$AC$275,23,FALSE)="","",VLOOKUP(A165,'Charriage - Geschiebehaushalt'!$A$4:$AC$275,23,FALSE))</f>
        <v>b</v>
      </c>
      <c r="AG165" s="765" t="str">
        <f>IF(VLOOKUP(A165,'Charriage - Geschiebehaushalt'!$A$4:$AC$275,24,FALSE)="","",VLOOKUP(A165,'Charriage - Geschiebehaushalt'!$A$4:$AC$275,24,FALSE))</f>
        <v/>
      </c>
      <c r="AH165" s="764" t="str">
        <f>IF(VLOOKUP(A165,'Charriage - Geschiebehaushalt'!$A$4:$AC$275,25,FALSE)="","",VLOOKUP(A165,'Charriage - Geschiebehaushalt'!$A$4:$AC$275,25,FALSE))</f>
        <v/>
      </c>
      <c r="AI165" s="896" t="str">
        <f>IF(VLOOKUP(A165,'Charriage - Geschiebehaushalt'!$A$4:$AC$275,26,FALSE)="","",VLOOKUP(A165,'Charriage - Geschiebehaushalt'!$A$4:$AC$275,26,FALSE))</f>
        <v>non</v>
      </c>
      <c r="AJ165" s="436" t="str">
        <f>IF(VLOOKUP(A165,'Charriage - Geschiebehaushalt'!$A$4:$AC$275,27,FALSE)="","",VLOOKUP(A165,'Charriage - Geschiebehaushalt'!$A$4:$AC$275,27,FALSE))</f>
        <v/>
      </c>
      <c r="AK165" s="801" t="str">
        <f>IF(VLOOKUP(A165,'Charriage - Geschiebehaushalt'!$A$4:$AC$275,28,FALSE)="","",VLOOKUP(A165,'Charriage - Geschiebehaushalt'!$A$4:$AC$275,28,FALSE))</f>
        <v>0-20%</v>
      </c>
      <c r="AL165" s="1285" t="str">
        <f>IF(VLOOKUP(A165,'Charriage - Geschiebehaushalt'!$A$4:$AD$275,30,FALSE)="","",VLOOKUP(A165,'Charriage - Geschiebehaushalt'!$A$4:$AD$275,30,FALSE))</f>
        <v>b</v>
      </c>
      <c r="AM165" s="1279" t="str">
        <f>IF(VLOOKUP(A165,'Débit - Abfluss'!$A$4:$K$275,5,FALSE)="","",VLOOKUP(A165,'Débit - Abfluss'!$A$4:$M$275,5,FALSE))</f>
        <v>100%</v>
      </c>
      <c r="AN165" s="868" t="str">
        <f>IF(VLOOKUP(A165,'Débit - Abfluss'!$A$4:$K$275,6,FALSE)="","",VLOOKUP(A165,'Débit - Abfluss'!$A$4:$M$275,6,FALSE))</f>
        <v>aucune information supplémentaire</v>
      </c>
      <c r="AO165" s="869" t="str">
        <f>IF(VLOOKUP(A165,'Débit - Abfluss'!$A$4:$K$275,7,FALSE)="","",VLOOKUP(A165,'Débit - Abfluss'!$A$4:$M$275,7,FALSE))</f>
        <v>aucune information supplémentaire</v>
      </c>
      <c r="AP165" s="766" t="str">
        <f>IF(VLOOKUP(A165,'Débit - Abfluss'!$A$4:$K$275,8,FALSE)="","",VLOOKUP(A165,'Débit - Abfluss'!$A$4:$M$275,8,FALSE))</f>
        <v>100%</v>
      </c>
      <c r="AQ165" s="742" t="str">
        <f>IF(VLOOKUP(A165,'Débit - Abfluss'!$A$4:$K$275,9,FALSE)="","",VLOOKUP(A165,'Débit - Abfluss'!$A$4:$M$275,9,FALSE))</f>
        <v>-</v>
      </c>
      <c r="AR165" s="767" t="str">
        <f>IF(VLOOKUP(A165,'Débit - Abfluss'!$A$4:$K$275,10,FALSE)="","",VLOOKUP(A165,'Débit - Abfluss'!$A$4:$M$275,10,FALSE))</f>
        <v>81-100%</v>
      </c>
      <c r="AS165" s="767" t="str">
        <f>IF(VLOOKUP(A165,'Débit - Abfluss'!$A$4:$K$275,11,FALSE)="","",VLOOKUP(A165,'Débit - Abfluss'!$A$4:$M$275,11,FALSE))</f>
        <v/>
      </c>
      <c r="AT165" s="778" t="str">
        <f>IF(VLOOKUP(A165,'Débit - Abfluss'!$A$4:$Q$275,12,FALSE)="","",VLOOKUP(A165,'Débit - Abfluss'!$A$4:$Q$275,12,FALSE))</f>
        <v/>
      </c>
      <c r="AU165" s="779" t="str">
        <f>IF(VLOOKUP(A165,'Débit - Abfluss'!$A$4:$Q$275,13,FALSE)="","",VLOOKUP(A165,'Débit - Abfluss'!$A$4:$Q$275,13,FALSE))</f>
        <v/>
      </c>
      <c r="AV165" s="746" t="str">
        <f>IF(VLOOKUP(A165,'Débit - Abfluss'!$A$4:$Q$275,14,FALSE)="","",VLOOKUP(A165,'Débit - Abfluss'!$A$4:$Q$275,14,FALSE))</f>
        <v/>
      </c>
      <c r="AW165" s="768" t="str">
        <f>IF(VLOOKUP(A165,'Débit - Abfluss'!$A$4:$Q$275,15,FALSE)="","",VLOOKUP(A165,'Débit - Abfluss'!$A$4:$Q$275,15,FALSE))</f>
        <v/>
      </c>
      <c r="AX165" s="679" t="str">
        <f>IF(VLOOKUP(A165,'Débit - Abfluss'!$A$4:$Q$275,16,FALSE)="","",VLOOKUP(A165,'Débit - Abfluss'!$A$4:$Q$275,16,FALSE))</f>
        <v/>
      </c>
      <c r="AY165" s="769" t="str">
        <f>IF(VLOOKUP(A165,'Débit - Abfluss'!$A$4:$Q$275,17,FALSE)="","",VLOOKUP(A165,'Débit - Abfluss'!$A$4:$Q$275,17,FALSE))</f>
        <v>81-100%</v>
      </c>
      <c r="AZ165" s="749" t="str">
        <f>IF(VLOOKUP(A165,'Eclusée - Schwall-Sunk'!$A$2:$F$273,5,FALSE)="","",VLOOKUP(A165,'Eclusée - Schwall-Sunk'!$A$2:$F$273,5,FALSE))</f>
        <v/>
      </c>
      <c r="BA165" s="750" t="str">
        <f>IF(VLOOKUP(A165,'Eclusée - Schwall-Sunk'!$A$2:$F$273,6,FALSE)="","",VLOOKUP(A165,'Eclusée - Schwall-Sunk'!$A$2:$F$273,6,FALSE))</f>
        <v>Non affecté / nicht betroffen</v>
      </c>
      <c r="BB165" s="751">
        <f>IF(VLOOKUP(A165,'Revitalisation-Revitalisierung'!$A$4:$Z$275,5,FALSE)="","",VLOOKUP(A165,'Revitalisation-Revitalisierung'!$A$4:$Z$275,5,FALSE))</f>
        <v>-11.818181818181818</v>
      </c>
      <c r="BC165" s="752">
        <f>IF(VLOOKUP(A165,'Revitalisation-Revitalisierung'!$A$4:$Z$275,6,FALSE)="","",VLOOKUP(A165,'Revitalisation-Revitalisierung'!$A$4:$Z$275,6,FALSE))</f>
        <v>0</v>
      </c>
      <c r="BD165" s="752">
        <f>IF(VLOOKUP(A165,'Revitalisation-Revitalisierung'!$A$4:$Z$275,7,FALSE)="","",VLOOKUP(A165,'Revitalisation-Revitalisierung'!$A$4:$Z$275,7,FALSE))</f>
        <v>11.818181818181818</v>
      </c>
      <c r="BE165" s="753" t="str">
        <f>IF(VLOOKUP(A165,'Revitalisation-Revitalisierung'!$A$4:$Z$275,8,FALSE)="","",VLOOKUP(A165,'Revitalisation-Revitalisierung'!$A$4:$Z$275,8,FALSE))</f>
        <v>non nécessaire</v>
      </c>
      <c r="BF165" s="754" t="str">
        <f>IF(VLOOKUP(A165,'Revitalisation-Revitalisierung'!$A$4:$Z$275,9,FALSE)="","",VLOOKUP(A165,'Revitalisation-Revitalisierung'!$A$4:$Z$275,9,FALSE))</f>
        <v/>
      </c>
      <c r="BG165" s="754" t="str">
        <f>IF(VLOOKUP(A165,'Revitalisation-Revitalisierung'!$A$4:$Z$275,10,FALSE)="","",VLOOKUP(A165,'Revitalisation-Revitalisierung'!$A$4:$Z$275,10,FALSE))</f>
        <v>K1</v>
      </c>
      <c r="BH165" s="755" t="str">
        <f>IF(VLOOKUP(A165,'Revitalisation-Revitalisierung'!$A$4:$Z$275,11,FALSE)="","",VLOOKUP(A165,'Revitalisation-Revitalisierung'!$A$4:$Z$275,11,FALSE))</f>
        <v/>
      </c>
      <c r="BI165" s="756" t="str">
        <f>IF(VLOOKUP(A165,'Revitalisation-Revitalisierung'!$A$4:$Z$275,12,FALSE)="","",VLOOKUP(A165,'Revitalisation-Revitalisierung'!$A$4:$Z$275,12,FALSE))</f>
        <v/>
      </c>
      <c r="BJ165" s="788" t="str">
        <f>IF(VLOOKUP(A165,'Revitalisation-Revitalisierung'!$A$4:$Z$275,13,FALSE)="","",VLOOKUP(A165,'Revitalisation-Revitalisierung'!$A$4:$Z$275,13,FALSE))</f>
        <v>Non nécessaire / nicht nötig</v>
      </c>
      <c r="BK165" s="870" t="str">
        <f>IF(VLOOKUP(A165,'Revitalisation-Revitalisierung'!$A$4:$Z$275,14,FALSE)="","",VLOOKUP(A165,'Revitalisation-Revitalisierung'!$A$4:$Z$275,14,FALSE))</f>
        <v>a</v>
      </c>
      <c r="BL165" s="758" t="str">
        <f>IF(VLOOKUP(A165,'Revitalisation-Revitalisierung'!$A$4:$Z$275,15,FALSE)="","",VLOOKUP(A165,'Revitalisation-Revitalisierung'!$A$4:$Z$275,15,FALSE))</f>
        <v>-</v>
      </c>
      <c r="BM165" s="759" t="str">
        <f>IF(VLOOKUP(A165,'Revitalisation-Revitalisierung'!$A$4:$Z$275,16,FALSE)="","",VLOOKUP(A165,'Revitalisation-Revitalisierung'!$A$4:$Z$275,16,FALSE))</f>
        <v>-</v>
      </c>
      <c r="BN165" s="759" t="str">
        <f>IF(VLOOKUP(A165,'Revitalisation-Revitalisierung'!$A$4:$Z$275,17,FALSE)="","",VLOOKUP(A165,'Revitalisation-Revitalisierung'!$A$4:$Z$275,17,FALSE))</f>
        <v>-</v>
      </c>
      <c r="BO165" s="760" t="str">
        <f>IF(VLOOKUP(A165,'Revitalisation-Revitalisierung'!$A$4:$Z$275,18,FALSE)="","",VLOOKUP(A165,'Revitalisation-Revitalisierung'!$A$4:$Z$275,18,FALSE))</f>
        <v>Non nécessaire / nicht nötig</v>
      </c>
      <c r="BP165" s="761" t="str">
        <f>IF(VLOOKUP(A165,'Revitalisation-Revitalisierung'!$A$4:$Z$275,19,FALSE)="","",VLOOKUP(A165,'Revitalisation-Revitalisierung'!$A$4:$Z$275,19,FALSE))</f>
        <v>Non nécessaire / nicht nötig</v>
      </c>
      <c r="BQ165" s="759" t="str">
        <f>IF(VLOOKUP(A165,'Revitalisation-Revitalisierung'!$A$4:$Z$275,20,FALSE)="","",VLOOKUP(A165,'Revitalisation-Revitalisierung'!$A$4:$Z$275,20,FALSE))</f>
        <v>d</v>
      </c>
      <c r="BR165" s="759" t="str">
        <f>IF(VLOOKUP(A165,'Revitalisation-Revitalisierung'!$A$4:$Z$275,21,FALSE)="","",VLOOKUP(A165,'Revitalisation-Revitalisierung'!$A$4:$Z$275,21,FALSE))</f>
        <v/>
      </c>
      <c r="BS165" s="762" t="str">
        <f>IF(VLOOKUP(A165,'Revitalisation-Revitalisierung'!$A$4:$Z$275,22,FALSE)="","",VLOOKUP(A165,'Revitalisation-Revitalisierung'!$A$4:$Z$275,22,FALSE))</f>
        <v/>
      </c>
      <c r="BT165" s="703" t="str">
        <f>IF(VLOOKUP(A165,'Revitalisation-Revitalisierung'!$A$4:$Z$275,23,FALSE)="","",VLOOKUP(A165,'Revitalisation-Revitalisierung'!$A$4:$Z$275,23,FALSE))</f>
        <v/>
      </c>
      <c r="BU165" s="704" t="str">
        <f>IF(VLOOKUP(A165,'Revitalisation-Revitalisierung'!$A$4:$Z$275,24,FALSE)="","",VLOOKUP(A165,'Revitalisation-Revitalisierung'!$A$4:$Z$275,24,FALSE))</f>
        <v/>
      </c>
      <c r="BV165" s="761" t="str">
        <f>IF(VLOOKUP(A165,'Revitalisation-Revitalisierung'!$A$4:$Z$275,25,FALSE)="","",VLOOKUP(A165,'Revitalisation-Revitalisierung'!$A$4:$Z$275,25,FALSE))</f>
        <v>Non nécessaire / nicht nötig</v>
      </c>
      <c r="BW165" s="871" t="str">
        <f>IF(VLOOKUP(A165,'Revitalisation-Revitalisierung'!$A$4:$AA$275,27,FALSE)="","",VLOOKUP(A165,'Revitalisation-Revitalisierung'!$A$4:$AA$275,27,FALSE))</f>
        <v>a</v>
      </c>
    </row>
    <row r="166" spans="1:75" ht="79.900000000000006" customHeight="1" x14ac:dyDescent="0.25">
      <c r="A166" s="935">
        <v>216</v>
      </c>
      <c r="B166" s="856">
        <f>IF(VLOOKUP(A166,'Données de base - Grunddaten'!$A$2:$M$297,2,FALSE)="","",VLOOKUP(A166,'Données de base - Grunddaten'!$A$2:$M$297,2,FALSE))</f>
        <v>1</v>
      </c>
      <c r="C166" s="857" t="str">
        <f>IF(VLOOKUP(A166,'Données de base - Grunddaten'!$A$2:$M$297,3,FALSE)="","",VLOOKUP(A166,'Données de base - Grunddaten'!$A$2:$M$297,3,FALSE))</f>
        <v>Chrauchbach: Haris</v>
      </c>
      <c r="D166" s="857" t="str">
        <f>IF(VLOOKUP(A166,'Données de base - Grunddaten'!$A$2:$M$297,4,FALSE)="","",VLOOKUP(A166,'Données de base - Grunddaten'!$A$2:$M$297,4,FALSE))</f>
        <v>Chrauchbach</v>
      </c>
      <c r="E166" s="857" t="str">
        <f>IF(VLOOKUP(A166,'Données de base - Grunddaten'!$A$2:$M$297,5,FALSE)="","",VLOOKUP(A166,'Données de base - Grunddaten'!$A$2:$M$297,5,FALSE))</f>
        <v>GL</v>
      </c>
      <c r="F166" s="857" t="str">
        <f>IF(VLOOKUP(A166,'Données de base - Grunddaten'!$A$2:$M$297,6,FALSE)="","",VLOOKUP(A166,'Données de base - Grunddaten'!$A$2:$M$297,6,FALSE))</f>
        <v>Alpes septentrionales</v>
      </c>
      <c r="G166" s="857" t="str">
        <f>IF(VLOOKUP(A166,'Données de base - Grunddaten'!$A$2:$M$297,7,FALSE)="","",VLOOKUP(A166,'Données de base - Grunddaten'!$A$2:$M$297,7,FALSE))</f>
        <v>Subalpin inf.</v>
      </c>
      <c r="H166" s="857">
        <f>IF(VLOOKUP(A166,'Données de base - Grunddaten'!$A$2:$M$297,8,FALSE)="","",VLOOKUP(A166,'Données de base - Grunddaten'!$A$2:$M$297,8,FALSE))</f>
        <v>1200</v>
      </c>
      <c r="I166" s="857">
        <f>IF(VLOOKUP(A166,'Données de base - Grunddaten'!$A$2:$M$297,9,FALSE)="","",VLOOKUP(A166,'Données de base - Grunddaten'!$A$2:$M$297,9,FALSE))</f>
        <v>1992</v>
      </c>
      <c r="J166" s="857">
        <f>IF(VLOOKUP(A166,'Données de base - Grunddaten'!$A$2:$M$297,10,FALSE)="","",VLOOKUP(A166,'Données de base - Grunddaten'!$A$2:$M$297,10,FALSE))</f>
        <v>41</v>
      </c>
      <c r="K166" s="857" t="str">
        <f>IF(VLOOKUP(A166,'Données de base - Grunddaten'!$A$2:$M$297,11,FALSE)="","",VLOOKUP(A166,'Données de base - Grunddaten'!$A$2:$M$297,11,FALSE))</f>
        <v>Cours d'eau naturels de l'étage montagnard</v>
      </c>
      <c r="L166" s="857" t="str">
        <f>IF(VLOOKUP(A166,'Données de base - Grunddaten'!$A$2:$M$297,12,FALSE)="","",VLOOKUP(A166,'Données de base - Grunddaten'!$A$2:$M$297,12,FALSE))</f>
        <v>en méandres migrants</v>
      </c>
      <c r="M166" s="858" t="str">
        <f>IF(VLOOKUP(A166,'Données de base - Grunddaten'!$A$2:$M$297,13,FALSE)="","",VLOOKUP(A166,'Données de base - Grunddaten'!$A$2:$M$297,13,FALSE))</f>
        <v>en méandres migrants</v>
      </c>
      <c r="N166" s="872" t="str">
        <f>IF(VLOOKUP(A166,'Charriage - Geschiebehaushalt'!$A$4:$R$275,5,FALSE)="","",VLOOKUP(A166,'Charriage - Geschiebehaushalt'!$A$4:$R$275,5,FALSE))</f>
        <v>pertinent</v>
      </c>
      <c r="O166" s="881" t="str">
        <f>IF(VLOOKUP(A166,'Charriage - Geschiebehaushalt'!$A$4:$R$275,6,FALSE)="","",VLOOKUP(A166,'Charriage - Geschiebehaushalt'!$A$4:$R$275,6,FALSE))</f>
        <v>non documenté</v>
      </c>
      <c r="P166" s="874" t="str">
        <f>IF(VLOOKUP(A166,'Charriage - Geschiebehaushalt'!$A$4:$R$275,7,FALSE)="","",VLOOKUP(A166,'Charriage - Geschiebehaushalt'!$A$4:$R$275,7,FALSE))</f>
        <v/>
      </c>
      <c r="Q166" s="874" t="str">
        <f>IF(VLOOKUP(A166,'Charriage - Geschiebehaushalt'!$A$4:$R$275,8,FALSE)="","",VLOOKUP(A166,'Charriage - Geschiebehaushalt'!$A$4:$R$275,8,FALSE))</f>
        <v>non documenté</v>
      </c>
      <c r="R166" s="875">
        <f>IF(VLOOKUP(A166,'Charriage - Geschiebehaushalt'!$A$4:$R$275,9,FALSE)="","",VLOOKUP(A166,'Charriage - Geschiebehaushalt'!$A$4:$R$275,9,FALSE))</f>
        <v>0</v>
      </c>
      <c r="S166" s="876" t="str">
        <f>IF(VLOOKUP(A166,'Charriage - Geschiebehaushalt'!$A$4:$R$275,10,FALSE)="","",VLOOKUP(A166,'Charriage - Geschiebehaushalt'!$A$4:$R$275,10,FALSE))</f>
        <v>pas ou faiblement entravé</v>
      </c>
      <c r="T166" s="875">
        <f>IF(VLOOKUP(A166,'Charriage - Geschiebehaushalt'!$A$4:$R$275,11,FALSE)="","",VLOOKUP(A166,'Charriage - Geschiebehaushalt'!$A$4:$R$275,11,FALSE))</f>
        <v>0.52800506829000005</v>
      </c>
      <c r="U166" s="895" t="str">
        <f>IF(VLOOKUP(A166,'Charriage - Geschiebehaushalt'!$A$4:$R$275,12,FALSE)="","",VLOOKUP(A166,'Charriage - Geschiebehaushalt'!$A$4:$R$275,12,FALSE))</f>
        <v>déficit non apparent en charriage ou en remobilisation des sédiments</v>
      </c>
      <c r="V166" s="877" t="str">
        <f>IF(VLOOKUP(A166,'Charriage - Geschiebehaushalt'!$A$4:$R$275,13,FALSE)="","",VLOOKUP(A166,'Charriage - Geschiebehaushalt'!$A$4:$R$275,13,FALSE))</f>
        <v/>
      </c>
      <c r="W166" s="877" t="str">
        <f>IF(VLOOKUP(A166,'Charriage - Geschiebehaushalt'!$A$4:$R$275,14,FALSE)="","",VLOOKUP(A166,'Charriage - Geschiebehaushalt'!$A$4:$R$275,14,FALSE))</f>
        <v/>
      </c>
      <c r="X166" s="877" t="str">
        <f>IF(VLOOKUP(A166,'Charriage - Geschiebehaushalt'!$A$4:$R$275,15,FALSE)="","",VLOOKUP(A166,'Charriage - Geschiebehaushalt'!$A$4:$R$275,15,FALSE))</f>
        <v/>
      </c>
      <c r="Y166" s="879" t="str">
        <f>IF(VLOOKUP(A166,'Charriage - Geschiebehaushalt'!$A$4:$R$275,16,FALSE)="","",VLOOKUP(A166,'Charriage - Geschiebehaushalt'!$A$4:$R$275,16,FALSE))</f>
        <v/>
      </c>
      <c r="Z166" s="763" t="str">
        <f>IF(VLOOKUP(A166,'Charriage - Geschiebehaushalt'!$A$4:$R$275,17,FALSE)="","",VLOOKUP(A166,'Charriage - Geschiebehaushalt'!$A$4:$R$275,17,FALSE))</f>
        <v>Charriage présumé naturel / Geschiebehaushalt vermutlich natürlich</v>
      </c>
      <c r="AA166" s="880" t="str">
        <f>IF(VLOOKUP(A166,'Charriage - Geschiebehaushalt'!$A$4:$R$275,18,FALSE)="","",VLOOKUP(A166,'Charriage - Geschiebehaushalt'!$A$4:$R$275,18,FALSE))</f>
        <v>b</v>
      </c>
      <c r="AB166" s="737">
        <f>IF(VLOOKUP(A166,'Charriage - Geschiebehaushalt'!$A$4:$AC$275,19,FALSE)="","",VLOOKUP(A166,'Charriage - Geschiebehaushalt'!$A$4:$AC$275,19,FALSE))</f>
        <v>0</v>
      </c>
      <c r="AC166" s="738" t="str">
        <f>IF(VLOOKUP(A166,'Charriage - Geschiebehaushalt'!$A$4:$AC$275,20,FALSE)="","",VLOOKUP(A166,'Charriage - Geschiebehaushalt'!$A$4:$AC$275,20,FALSE))</f>
        <v>keine Anlagen</v>
      </c>
      <c r="AD166" s="764" t="str">
        <f>IF(VLOOKUP(A166,'Charriage - Geschiebehaushalt'!$A$4:$AC$275,21,FALSE)="","",VLOOKUP(A166,'Charriage - Geschiebehaushalt'!$A$4:$AC$275,21,FALSE))</f>
        <v/>
      </c>
      <c r="AE166" s="740" t="str">
        <f>IF(VLOOKUP(A166,'Charriage - Geschiebehaushalt'!$A$4:$AC$275,22,FALSE)="","",VLOOKUP(A166,'Charriage - Geschiebehaushalt'!$A$4:$AC$275,22,FALSE))</f>
        <v>0-20%</v>
      </c>
      <c r="AF166" s="787" t="str">
        <f>IF(VLOOKUP(A166,'Charriage - Geschiebehaushalt'!$A$4:$AC$275,23,FALSE)="","",VLOOKUP(A166,'Charriage - Geschiebehaushalt'!$A$4:$AC$275,23,FALSE))</f>
        <v>b</v>
      </c>
      <c r="AG166" s="765" t="str">
        <f>IF(VLOOKUP(A166,'Charriage - Geschiebehaushalt'!$A$4:$AC$275,24,FALSE)="","",VLOOKUP(A166,'Charriage - Geschiebehaushalt'!$A$4:$AC$275,24,FALSE))</f>
        <v/>
      </c>
      <c r="AH166" s="764" t="str">
        <f>IF(VLOOKUP(A166,'Charriage - Geschiebehaushalt'!$A$4:$AC$275,25,FALSE)="","",VLOOKUP(A166,'Charriage - Geschiebehaushalt'!$A$4:$AC$275,25,FALSE))</f>
        <v/>
      </c>
      <c r="AI166" s="435" t="str">
        <f>IF(VLOOKUP(A166,'Charriage - Geschiebehaushalt'!$A$4:$AC$275,26,FALSE)="","",VLOOKUP(A166,'Charriage - Geschiebehaushalt'!$A$4:$AC$275,26,FALSE))</f>
        <v/>
      </c>
      <c r="AJ166" s="436" t="str">
        <f>IF(VLOOKUP(A166,'Charriage - Geschiebehaushalt'!$A$4:$AC$275,27,FALSE)="","",VLOOKUP(A166,'Charriage - Geschiebehaushalt'!$A$4:$AC$275,27,FALSE))</f>
        <v/>
      </c>
      <c r="AK166" s="801" t="str">
        <f>IF(VLOOKUP(A166,'Charriage - Geschiebehaushalt'!$A$4:$AC$275,28,FALSE)="","",VLOOKUP(A166,'Charriage - Geschiebehaushalt'!$A$4:$AC$275,28,FALSE))</f>
        <v>0-20%</v>
      </c>
      <c r="AL166" s="1285" t="str">
        <f>IF(VLOOKUP(A166,'Charriage - Geschiebehaushalt'!$A$4:$AD$275,30,FALSE)="","",VLOOKUP(A166,'Charriage - Geschiebehaushalt'!$A$4:$AD$275,30,FALSE))</f>
        <v>b</v>
      </c>
      <c r="AM166" s="1279" t="str">
        <f>IF(VLOOKUP(A166,'Débit - Abfluss'!$A$4:$K$275,5,FALSE)="","",VLOOKUP(A166,'Débit - Abfluss'!$A$4:$M$275,5,FALSE))</f>
        <v>100%</v>
      </c>
      <c r="AN166" s="868" t="str">
        <f>IF(VLOOKUP(A166,'Débit - Abfluss'!$A$4:$K$275,6,FALSE)="","",VLOOKUP(A166,'Débit - Abfluss'!$A$4:$M$275,6,FALSE))</f>
        <v>aucune information supplémentaire</v>
      </c>
      <c r="AO166" s="869" t="str">
        <f>IF(VLOOKUP(A166,'Débit - Abfluss'!$A$4:$K$275,7,FALSE)="","",VLOOKUP(A166,'Débit - Abfluss'!$A$4:$M$275,7,FALSE))</f>
        <v>aucune information supplémentaire</v>
      </c>
      <c r="AP166" s="766" t="str">
        <f>IF(VLOOKUP(A166,'Débit - Abfluss'!$A$4:$K$275,8,FALSE)="","",VLOOKUP(A166,'Débit - Abfluss'!$A$4:$M$275,8,FALSE))</f>
        <v>100%</v>
      </c>
      <c r="AQ166" s="742" t="str">
        <f>IF(VLOOKUP(A166,'Débit - Abfluss'!$A$4:$K$275,9,FALSE)="","",VLOOKUP(A166,'Débit - Abfluss'!$A$4:$M$275,9,FALSE))</f>
        <v>-</v>
      </c>
      <c r="AR166" s="767" t="str">
        <f>IF(VLOOKUP(A166,'Débit - Abfluss'!$A$4:$K$275,10,FALSE)="","",VLOOKUP(A166,'Débit - Abfluss'!$A$4:$M$275,10,FALSE))</f>
        <v>100%</v>
      </c>
      <c r="AS166" s="767" t="str">
        <f>IF(VLOOKUP(A166,'Débit - Abfluss'!$A$4:$K$275,11,FALSE)="","",VLOOKUP(A166,'Débit - Abfluss'!$A$4:$M$275,11,FALSE))</f>
        <v/>
      </c>
      <c r="AT166" s="778" t="str">
        <f>IF(VLOOKUP(A166,'Débit - Abfluss'!$A$4:$Q$275,12,FALSE)="","",VLOOKUP(A166,'Débit - Abfluss'!$A$4:$Q$275,12,FALSE))</f>
        <v/>
      </c>
      <c r="AU166" s="779" t="str">
        <f>IF(VLOOKUP(A166,'Débit - Abfluss'!$A$4:$Q$275,13,FALSE)="","",VLOOKUP(A166,'Débit - Abfluss'!$A$4:$Q$275,13,FALSE))</f>
        <v/>
      </c>
      <c r="AV166" s="746" t="str">
        <f>IF(VLOOKUP(A166,'Débit - Abfluss'!$A$4:$Q$275,14,FALSE)="","",VLOOKUP(A166,'Débit - Abfluss'!$A$4:$Q$275,14,FALSE))</f>
        <v/>
      </c>
      <c r="AW166" s="768" t="str">
        <f>IF(VLOOKUP(A166,'Débit - Abfluss'!$A$4:$Q$275,15,FALSE)="","",VLOOKUP(A166,'Débit - Abfluss'!$A$4:$Q$275,15,FALSE))</f>
        <v/>
      </c>
      <c r="AX166" s="679" t="str">
        <f>IF(VLOOKUP(A166,'Débit - Abfluss'!$A$4:$Q$275,16,FALSE)="","",VLOOKUP(A166,'Débit - Abfluss'!$A$4:$Q$275,16,FALSE))</f>
        <v/>
      </c>
      <c r="AY166" s="769" t="str">
        <f>IF(VLOOKUP(A166,'Débit - Abfluss'!$A$4:$Q$275,17,FALSE)="","",VLOOKUP(A166,'Débit - Abfluss'!$A$4:$Q$275,17,FALSE))</f>
        <v>100%</v>
      </c>
      <c r="AZ166" s="749" t="str">
        <f>IF(VLOOKUP(A166,'Eclusée - Schwall-Sunk'!$A$2:$F$273,5,FALSE)="","",VLOOKUP(A166,'Eclusée - Schwall-Sunk'!$A$2:$F$273,5,FALSE))</f>
        <v/>
      </c>
      <c r="BA166" s="750" t="str">
        <f>IF(VLOOKUP(A166,'Eclusée - Schwall-Sunk'!$A$2:$F$273,6,FALSE)="","",VLOOKUP(A166,'Eclusée - Schwall-Sunk'!$A$2:$F$273,6,FALSE))</f>
        <v>Non affecté / nicht betroffen</v>
      </c>
      <c r="BB166" s="751">
        <f>IF(VLOOKUP(A166,'Revitalisation-Revitalisierung'!$A$4:$Z$275,5,FALSE)="","",VLOOKUP(A166,'Revitalisation-Revitalisierung'!$A$4:$Z$275,5,FALSE))</f>
        <v>-10.909090909090908</v>
      </c>
      <c r="BC166" s="752">
        <f>IF(VLOOKUP(A166,'Revitalisation-Revitalisierung'!$A$4:$Z$275,6,FALSE)="","",VLOOKUP(A166,'Revitalisation-Revitalisierung'!$A$4:$Z$275,6,FALSE))</f>
        <v>0</v>
      </c>
      <c r="BD166" s="752">
        <f>IF(VLOOKUP(A166,'Revitalisation-Revitalisierung'!$A$4:$Z$275,7,FALSE)="","",VLOOKUP(A166,'Revitalisation-Revitalisierung'!$A$4:$Z$275,7,FALSE))</f>
        <v>10.909090909090908</v>
      </c>
      <c r="BE166" s="753" t="str">
        <f>IF(VLOOKUP(A166,'Revitalisation-Revitalisierung'!$A$4:$Z$275,8,FALSE)="","",VLOOKUP(A166,'Revitalisation-Revitalisierung'!$A$4:$Z$275,8,FALSE))</f>
        <v>non nécessaire</v>
      </c>
      <c r="BF166" s="794" t="str">
        <f>IF(VLOOKUP(A166,'Revitalisation-Revitalisierung'!$A$4:$Z$275,9,FALSE)="","",VLOOKUP(A166,'Revitalisation-Revitalisierung'!$A$4:$Z$275,9,FALSE))</f>
        <v>nicht nötig</v>
      </c>
      <c r="BG166" s="754" t="str">
        <f>IF(VLOOKUP(A166,'Revitalisation-Revitalisierung'!$A$4:$Z$275,10,FALSE)="","",VLOOKUP(A166,'Revitalisation-Revitalisierung'!$A$4:$Z$275,10,FALSE))</f>
        <v>K2</v>
      </c>
      <c r="BH166" s="755" t="str">
        <f>IF(VLOOKUP(A166,'Revitalisation-Revitalisierung'!$A$4:$Z$275,11,FALSE)="","",VLOOKUP(A166,'Revitalisation-Revitalisierung'!$A$4:$Z$275,11,FALSE))</f>
        <v/>
      </c>
      <c r="BI166" s="756" t="str">
        <f>IF(VLOOKUP(A166,'Revitalisation-Revitalisierung'!$A$4:$Z$275,12,FALSE)="","",VLOOKUP(A166,'Revitalisation-Revitalisierung'!$A$4:$Z$275,12,FALSE))</f>
        <v/>
      </c>
      <c r="BJ166" s="788" t="str">
        <f>IF(VLOOKUP(A166,'Revitalisation-Revitalisierung'!$A$4:$Z$275,13,FALSE)="","",VLOOKUP(A166,'Revitalisation-Revitalisierung'!$A$4:$Z$275,13,FALSE))</f>
        <v>Non nécessaire / nicht nötig</v>
      </c>
      <c r="BK166" s="870" t="str">
        <f>IF(VLOOKUP(A166,'Revitalisation-Revitalisierung'!$A$4:$Z$275,14,FALSE)="","",VLOOKUP(A166,'Revitalisation-Revitalisierung'!$A$4:$Z$275,14,FALSE))</f>
        <v>b</v>
      </c>
      <c r="BL166" s="758" t="str">
        <f>IF(VLOOKUP(A166,'Revitalisation-Revitalisierung'!$A$4:$Z$275,15,FALSE)="","",VLOOKUP(A166,'Revitalisation-Revitalisierung'!$A$4:$Z$275,15,FALSE))</f>
        <v>-</v>
      </c>
      <c r="BM166" s="759" t="str">
        <f>IF(VLOOKUP(A166,'Revitalisation-Revitalisierung'!$A$4:$Z$275,16,FALSE)="","",VLOOKUP(A166,'Revitalisation-Revitalisierung'!$A$4:$Z$275,16,FALSE))</f>
        <v>-</v>
      </c>
      <c r="BN166" s="759" t="str">
        <f>IF(VLOOKUP(A166,'Revitalisation-Revitalisierung'!$A$4:$Z$275,17,FALSE)="","",VLOOKUP(A166,'Revitalisation-Revitalisierung'!$A$4:$Z$275,17,FALSE))</f>
        <v>-</v>
      </c>
      <c r="BO166" s="760" t="str">
        <f>IF(VLOOKUP(A166,'Revitalisation-Revitalisierung'!$A$4:$Z$275,18,FALSE)="","",VLOOKUP(A166,'Revitalisation-Revitalisierung'!$A$4:$Z$275,18,FALSE))</f>
        <v/>
      </c>
      <c r="BP166" s="761" t="str">
        <f>IF(VLOOKUP(A166,'Revitalisation-Revitalisierung'!$A$4:$Z$275,19,FALSE)="","",VLOOKUP(A166,'Revitalisation-Revitalisierung'!$A$4:$Z$275,19,FALSE))</f>
        <v>Non nécessaire / nicht nötig</v>
      </c>
      <c r="BQ166" s="759" t="str">
        <f>IF(VLOOKUP(A166,'Revitalisation-Revitalisierung'!$A$4:$Z$275,20,FALSE)="","",VLOOKUP(A166,'Revitalisation-Revitalisierung'!$A$4:$Z$275,20,FALSE))</f>
        <v>b</v>
      </c>
      <c r="BR166" s="759" t="str">
        <f>IF(VLOOKUP(A166,'Revitalisation-Revitalisierung'!$A$4:$Z$275,21,FALSE)="","",VLOOKUP(A166,'Revitalisation-Revitalisierung'!$A$4:$Z$275,21,FALSE))</f>
        <v>hors périmètre revit.</v>
      </c>
      <c r="BS166" s="762" t="str">
        <f>IF(VLOOKUP(A166,'Revitalisation-Revitalisierung'!$A$4:$Z$275,22,FALSE)="","",VLOOKUP(A166,'Revitalisation-Revitalisierung'!$A$4:$Z$275,22,FALSE))</f>
        <v/>
      </c>
      <c r="BT166" s="703" t="str">
        <f>IF(VLOOKUP(A166,'Revitalisation-Revitalisierung'!$A$4:$Z$275,23,FALSE)="","",VLOOKUP(A166,'Revitalisation-Revitalisierung'!$A$4:$Z$275,23,FALSE))</f>
        <v/>
      </c>
      <c r="BU166" s="704" t="str">
        <f>IF(VLOOKUP(A166,'Revitalisation-Revitalisierung'!$A$4:$Z$275,24,FALSE)="","",VLOOKUP(A166,'Revitalisation-Revitalisierung'!$A$4:$Z$275,24,FALSE))</f>
        <v/>
      </c>
      <c r="BV166" s="761" t="str">
        <f>IF(VLOOKUP(A166,'Revitalisation-Revitalisierung'!$A$4:$Z$275,25,FALSE)="","",VLOOKUP(A166,'Revitalisation-Revitalisierung'!$A$4:$Z$275,25,FALSE))</f>
        <v>Non nécessaire / nicht nötig</v>
      </c>
      <c r="BW166" s="871" t="str">
        <f>IF(VLOOKUP(A166,'Revitalisation-Revitalisierung'!$A$4:$AA$275,27,FALSE)="","",VLOOKUP(A166,'Revitalisation-Revitalisierung'!$A$4:$AA$275,27,FALSE))</f>
        <v>b</v>
      </c>
    </row>
    <row r="167" spans="1:75" ht="67.900000000000006" customHeight="1" x14ac:dyDescent="0.25">
      <c r="A167" s="935">
        <v>217</v>
      </c>
      <c r="B167" s="856">
        <f>IF(VLOOKUP(A167,'Données de base - Grunddaten'!$A$2:$M$297,2,FALSE)="","",VLOOKUP(A167,'Données de base - Grunddaten'!$A$2:$M$297,2,FALSE))</f>
        <v>1</v>
      </c>
      <c r="C167" s="857" t="str">
        <f>IF(VLOOKUP(A167,'Données de base - Grunddaten'!$A$2:$M$297,3,FALSE)="","",VLOOKUP(A167,'Données de base - Grunddaten'!$A$2:$M$297,3,FALSE))</f>
        <v>La Neirigue et la Glâne</v>
      </c>
      <c r="D167" s="857" t="str">
        <f>IF(VLOOKUP(A167,'Données de base - Grunddaten'!$A$2:$M$297,4,FALSE)="","",VLOOKUP(A167,'Données de base - Grunddaten'!$A$2:$M$297,4,FALSE))</f>
        <v>La Neirigue, La Glâne</v>
      </c>
      <c r="E167" s="857" t="str">
        <f>IF(VLOOKUP(A167,'Données de base - Grunddaten'!$A$2:$M$297,5,FALSE)="","",VLOOKUP(A167,'Données de base - Grunddaten'!$A$2:$M$297,5,FALSE))</f>
        <v>FR</v>
      </c>
      <c r="F167" s="857" t="str">
        <f>IF(VLOOKUP(A167,'Données de base - Grunddaten'!$A$2:$M$297,6,FALSE)="","",VLOOKUP(A167,'Données de base - Grunddaten'!$A$2:$M$297,6,FALSE))</f>
        <v>Plateau occidental</v>
      </c>
      <c r="G167" s="857" t="str">
        <f>IF(VLOOKUP(A167,'Données de base - Grunddaten'!$A$2:$M$297,7,FALSE)="","",VLOOKUP(A167,'Données de base - Grunddaten'!$A$2:$M$297,7,FALSE))</f>
        <v>Montagnard inf.</v>
      </c>
      <c r="H167" s="857">
        <f>IF(VLOOKUP(A167,'Données de base - Grunddaten'!$A$2:$M$297,8,FALSE)="","",VLOOKUP(A167,'Données de base - Grunddaten'!$A$2:$M$297,8,FALSE))</f>
        <v>660</v>
      </c>
      <c r="I167" s="857">
        <f>IF(VLOOKUP(A167,'Données de base - Grunddaten'!$A$2:$M$297,9,FALSE)="","",VLOOKUP(A167,'Données de base - Grunddaten'!$A$2:$M$297,9,FALSE))</f>
        <v>1992</v>
      </c>
      <c r="J167" s="857">
        <f>IF(VLOOKUP(A167,'Données de base - Grunddaten'!$A$2:$M$297,10,FALSE)="","",VLOOKUP(A167,'Données de base - Grunddaten'!$A$2:$M$297,10,FALSE))</f>
        <v>51</v>
      </c>
      <c r="K167" s="857" t="str">
        <f>IF(VLOOKUP(A167,'Données de base - Grunddaten'!$A$2:$M$297,11,FALSE)="","",VLOOKUP(A167,'Données de base - Grunddaten'!$A$2:$M$297,11,FALSE))</f>
        <v>Cours d'eau naturels de l'étage collinéen du Moyen-Pays</v>
      </c>
      <c r="L167" s="857" t="str">
        <f>IF(VLOOKUP(A167,'Données de base - Grunddaten'!$A$2:$M$297,12,FALSE)="","",VLOOKUP(A167,'Données de base - Grunddaten'!$A$2:$M$297,12,FALSE))</f>
        <v>en méandres développés</v>
      </c>
      <c r="M167" s="858" t="str">
        <f>IF(VLOOKUP(A167,'Données de base - Grunddaten'!$A$2:$M$297,13,FALSE)="","",VLOOKUP(A167,'Données de base - Grunddaten'!$A$2:$M$297,13,FALSE))</f>
        <v>en méandres développés</v>
      </c>
      <c r="N167" s="872" t="str">
        <f>IF(VLOOKUP(A167,'Charriage - Geschiebehaushalt'!$A$4:$R$275,5,FALSE)="","",VLOOKUP(A167,'Charriage - Geschiebehaushalt'!$A$4:$R$275,5,FALSE))</f>
        <v>pertinent</v>
      </c>
      <c r="O167" s="881" t="str">
        <f>IF(VLOOKUP(A167,'Charriage - Geschiebehaushalt'!$A$4:$R$275,6,FALSE)="","",VLOOKUP(A167,'Charriage - Geschiebehaushalt'!$A$4:$R$275,6,FALSE))</f>
        <v>non documenté</v>
      </c>
      <c r="P167" s="874" t="str">
        <f>IF(VLOOKUP(A167,'Charriage - Geschiebehaushalt'!$A$4:$R$275,7,FALSE)="","",VLOOKUP(A167,'Charriage - Geschiebehaushalt'!$A$4:$R$275,7,FALSE))</f>
        <v/>
      </c>
      <c r="Q167" s="874" t="str">
        <f>IF(VLOOKUP(A167,'Charriage - Geschiebehaushalt'!$A$4:$R$275,8,FALSE)="","",VLOOKUP(A167,'Charriage - Geschiebehaushalt'!$A$4:$R$275,8,FALSE))</f>
        <v>non documenté</v>
      </c>
      <c r="R167" s="875">
        <f>IF(VLOOKUP(A167,'Charriage - Geschiebehaushalt'!$A$4:$R$275,9,FALSE)="","",VLOOKUP(A167,'Charriage - Geschiebehaushalt'!$A$4:$R$275,9,FALSE))</f>
        <v>3.07580112923985E-2</v>
      </c>
      <c r="S167" s="876" t="str">
        <f>IF(VLOOKUP(A167,'Charriage - Geschiebehaushalt'!$A$4:$R$275,10,FALSE)="","",VLOOKUP(A167,'Charriage - Geschiebehaushalt'!$A$4:$R$275,10,FALSE))</f>
        <v>pas ou faiblement entravé</v>
      </c>
      <c r="T167" s="875">
        <f>IF(VLOOKUP(A167,'Charriage - Geschiebehaushalt'!$A$4:$R$275,11,FALSE)="","",VLOOKUP(A167,'Charriage - Geschiebehaushalt'!$A$4:$R$275,11,FALSE))</f>
        <v>0.17116200880999999</v>
      </c>
      <c r="U167" s="876" t="str">
        <f>IF(VLOOKUP(A167,'Charriage - Geschiebehaushalt'!$A$4:$R$275,12,FALSE)="","",VLOOKUP(A167,'Charriage - Geschiebehaushalt'!$A$4:$R$275,12,FALSE))</f>
        <v>déficit dans les formations pionnières</v>
      </c>
      <c r="V167" s="878" t="str">
        <f>IF(VLOOKUP(A167,'Charriage - Geschiebehaushalt'!$A$4:$R$275,13,FALSE)="","",VLOOKUP(A167,'Charriage - Geschiebehaushalt'!$A$4:$R$275,13,FALSE))</f>
        <v/>
      </c>
      <c r="W167" s="877" t="str">
        <f>IF(VLOOKUP(A167,'Charriage - Geschiebehaushalt'!$A$4:$R$275,14,FALSE)="","",VLOOKUP(A167,'Charriage - Geschiebehaushalt'!$A$4:$R$275,14,FALSE))</f>
        <v>A vérifier</v>
      </c>
      <c r="X167" s="877" t="str">
        <f>IF(VLOOKUP(A167,'Charriage - Geschiebehaushalt'!$A$4:$R$275,15,FALSE)="","",VLOOKUP(A167,'Charriage - Geschiebehaushalt'!$A$4:$R$275,15,FALSE))</f>
        <v>pas de présence d'ouvrage dna sle bassin versant</v>
      </c>
      <c r="Y167" s="902" t="str">
        <f>IF(VLOOKUP(A167,'Charriage - Geschiebehaushalt'!$A$4:$R$275,16,FALSE)="","",VLOOKUP(A167,'Charriage - Geschiebehaushalt'!$A$4:$R$275,16,FALSE))</f>
        <v>charriage présumé naturel</v>
      </c>
      <c r="Z167" s="763" t="str">
        <f>IF(VLOOKUP(A167,'Charriage - Geschiebehaushalt'!$A$4:$R$275,17,FALSE)="","",VLOOKUP(A167,'Charriage - Geschiebehaushalt'!$A$4:$R$275,17,FALSE))</f>
        <v>Charriage présumé naturel / Geschiebehaushalt vermutlich natürlich</v>
      </c>
      <c r="AA167" s="880" t="str">
        <f>IF(VLOOKUP(A167,'Charriage - Geschiebehaushalt'!$A$4:$R$275,18,FALSE)="","",VLOOKUP(A167,'Charriage - Geschiebehaushalt'!$A$4:$R$275,18,FALSE))</f>
        <v>b</v>
      </c>
      <c r="AB167" s="737" t="str">
        <f>IF(VLOOKUP(A167,'Charriage - Geschiebehaushalt'!$A$4:$AC$275,19,FALSE)="","",VLOOKUP(A167,'Charriage - Geschiebehaushalt'!$A$4:$AC$275,19,FALSE))</f>
        <v>keine</v>
      </c>
      <c r="AC167" s="738">
        <f>IF(VLOOKUP(A167,'Charriage - Geschiebehaushalt'!$A$4:$AC$275,20,FALSE)="","",VLOOKUP(A167,'Charriage - Geschiebehaushalt'!$A$4:$AC$275,20,FALSE))</f>
        <v>0</v>
      </c>
      <c r="AD167" s="764" t="str">
        <f>IF(VLOOKUP(A167,'Charriage - Geschiebehaushalt'!$A$4:$AC$275,21,FALSE)="","",VLOOKUP(A167,'Charriage - Geschiebehaushalt'!$A$4:$AC$275,21,FALSE))</f>
        <v>0-20%</v>
      </c>
      <c r="AE167" s="740" t="str">
        <f>IF(VLOOKUP(A167,'Charriage - Geschiebehaushalt'!$A$4:$AC$275,22,FALSE)="","",VLOOKUP(A167,'Charriage - Geschiebehaushalt'!$A$4:$AC$275,22,FALSE))</f>
        <v>0-20%</v>
      </c>
      <c r="AF167" s="787" t="str">
        <f>IF(VLOOKUP(A167,'Charriage - Geschiebehaushalt'!$A$4:$AC$275,23,FALSE)="","",VLOOKUP(A167,'Charriage - Geschiebehaushalt'!$A$4:$AC$275,23,FALSE))</f>
        <v>d</v>
      </c>
      <c r="AG167" s="765" t="str">
        <f>IF(VLOOKUP(A167,'Charriage - Geschiebehaushalt'!$A$4:$AC$275,24,FALSE)="","",VLOOKUP(A167,'Charriage - Geschiebehaushalt'!$A$4:$AC$275,24,FALSE))</f>
        <v/>
      </c>
      <c r="AH167" s="764" t="str">
        <f>IF(VLOOKUP(A167,'Charriage - Geschiebehaushalt'!$A$4:$AC$275,25,FALSE)="","",VLOOKUP(A167,'Charriage - Geschiebehaushalt'!$A$4:$AC$275,25,FALSE))</f>
        <v/>
      </c>
      <c r="AI167" s="433" t="str">
        <f>IF(VLOOKUP(A167,'Charriage - Geschiebehaushalt'!$A$4:$AC$275,26,FALSE)="","",VLOOKUP(A167,'Charriage - Geschiebehaushalt'!$A$4:$AC$275,26,FALSE))</f>
        <v/>
      </c>
      <c r="AJ167" s="436" t="str">
        <f>IF(VLOOKUP(A167,'Charriage - Geschiebehaushalt'!$A$4:$AC$275,27,FALSE)="","",VLOOKUP(A167,'Charriage - Geschiebehaushalt'!$A$4:$AC$275,27,FALSE))</f>
        <v>OK</v>
      </c>
      <c r="AK167" s="801" t="str">
        <f>IF(VLOOKUP(A167,'Charriage - Geschiebehaushalt'!$A$4:$AC$275,28,FALSE)="","",VLOOKUP(A167,'Charriage - Geschiebehaushalt'!$A$4:$AC$275,28,FALSE))</f>
        <v>0-20%</v>
      </c>
      <c r="AL167" s="1285" t="str">
        <f>IF(VLOOKUP(A167,'Charriage - Geschiebehaushalt'!$A$4:$AD$275,30,FALSE)="","",VLOOKUP(A167,'Charriage - Geschiebehaushalt'!$A$4:$AD$275,30,FALSE))</f>
        <v>a</v>
      </c>
      <c r="AM167" s="1279" t="str">
        <f>IF(VLOOKUP(A167,'Débit - Abfluss'!$A$4:$K$275,5,FALSE)="","",VLOOKUP(A167,'Débit - Abfluss'!$A$4:$M$275,5,FALSE))</f>
        <v>100%</v>
      </c>
      <c r="AN167" s="868" t="str">
        <f>IF(VLOOKUP(A167,'Débit - Abfluss'!$A$4:$K$275,6,FALSE)="","",VLOOKUP(A167,'Débit - Abfluss'!$A$4:$M$275,6,FALSE))</f>
        <v>aucune information supplémentaire</v>
      </c>
      <c r="AO167" s="869" t="str">
        <f>IF(VLOOKUP(A167,'Débit - Abfluss'!$A$4:$K$275,7,FALSE)="","",VLOOKUP(A167,'Débit - Abfluss'!$A$4:$M$275,7,FALSE))</f>
        <v>aucune information supplémentaire</v>
      </c>
      <c r="AP167" s="766" t="str">
        <f>IF(VLOOKUP(A167,'Débit - Abfluss'!$A$4:$K$275,8,FALSE)="","",VLOOKUP(A167,'Débit - Abfluss'!$A$4:$M$275,8,FALSE))</f>
        <v>100%</v>
      </c>
      <c r="AQ167" s="742" t="str">
        <f>IF(VLOOKUP(A167,'Débit - Abfluss'!$A$4:$K$275,9,FALSE)="","",VLOOKUP(A167,'Débit - Abfluss'!$A$4:$M$275,9,FALSE))</f>
        <v>-</v>
      </c>
      <c r="AR167" s="767" t="str">
        <f>IF(VLOOKUP(A167,'Débit - Abfluss'!$A$4:$K$275,10,FALSE)="","",VLOOKUP(A167,'Débit - Abfluss'!$A$4:$M$275,10,FALSE))</f>
        <v>100%</v>
      </c>
      <c r="AS167" s="767" t="str">
        <f>IF(VLOOKUP(A167,'Débit - Abfluss'!$A$4:$K$275,11,FALSE)="","",VLOOKUP(A167,'Débit - Abfluss'!$A$4:$M$275,11,FALSE))</f>
        <v/>
      </c>
      <c r="AT167" s="744" t="str">
        <f>IF(VLOOKUP(A167,'Débit - Abfluss'!$A$4:$Q$275,12,FALSE)="","",VLOOKUP(A167,'Débit - Abfluss'!$A$4:$Q$275,12,FALSE))</f>
        <v/>
      </c>
      <c r="AU167" s="768" t="str">
        <f>IF(VLOOKUP(A167,'Débit - Abfluss'!$A$4:$Q$275,13,FALSE)="","",VLOOKUP(A167,'Débit - Abfluss'!$A$4:$Q$275,13,FALSE))</f>
        <v>ok</v>
      </c>
      <c r="AV167" s="746" t="str">
        <f>IF(VLOOKUP(A167,'Débit - Abfluss'!$A$4:$Q$275,14,FALSE)="","",VLOOKUP(A167,'Débit - Abfluss'!$A$4:$Q$275,14,FALSE))</f>
        <v/>
      </c>
      <c r="AW167" s="768" t="str">
        <f>IF(VLOOKUP(A167,'Débit - Abfluss'!$A$4:$Q$275,15,FALSE)="","",VLOOKUP(A167,'Débit - Abfluss'!$A$4:$Q$275,15,FALSE))</f>
        <v/>
      </c>
      <c r="AX167" s="677" t="str">
        <f>IF(VLOOKUP(A167,'Débit - Abfluss'!$A$4:$Q$275,16,FALSE)="","",VLOOKUP(A167,'Débit - Abfluss'!$A$4:$Q$275,16,FALSE))</f>
        <v/>
      </c>
      <c r="AY167" s="769" t="str">
        <f>IF(VLOOKUP(A167,'Débit - Abfluss'!$A$4:$Q$275,17,FALSE)="","",VLOOKUP(A167,'Débit - Abfluss'!$A$4:$Q$275,17,FALSE))</f>
        <v>100%</v>
      </c>
      <c r="AZ167" s="749" t="str">
        <f>IF(VLOOKUP(A167,'Eclusée - Schwall-Sunk'!$A$2:$F$273,5,FALSE)="","",VLOOKUP(A167,'Eclusée - Schwall-Sunk'!$A$2:$F$273,5,FALSE))</f>
        <v/>
      </c>
      <c r="BA167" s="750" t="str">
        <f>IF(VLOOKUP(A167,'Eclusée - Schwall-Sunk'!$A$2:$F$273,6,FALSE)="","",VLOOKUP(A167,'Eclusée - Schwall-Sunk'!$A$2:$F$273,6,FALSE))</f>
        <v>Non affecté / nicht betroffen</v>
      </c>
      <c r="BB167" s="751">
        <f>IF(VLOOKUP(A167,'Revitalisation-Revitalisierung'!$A$4:$Z$275,5,FALSE)="","",VLOOKUP(A167,'Revitalisation-Revitalisierung'!$A$4:$Z$275,5,FALSE))</f>
        <v>-20</v>
      </c>
      <c r="BC167" s="752">
        <f>IF(VLOOKUP(A167,'Revitalisation-Revitalisierung'!$A$4:$Z$275,6,FALSE)="","",VLOOKUP(A167,'Revitalisation-Revitalisierung'!$A$4:$Z$275,6,FALSE))</f>
        <v>0</v>
      </c>
      <c r="BD167" s="752">
        <f>IF(VLOOKUP(A167,'Revitalisation-Revitalisierung'!$A$4:$Z$275,7,FALSE)="","",VLOOKUP(A167,'Revitalisation-Revitalisierung'!$A$4:$Z$275,7,FALSE))</f>
        <v>20</v>
      </c>
      <c r="BE167" s="753" t="str">
        <f>IF(VLOOKUP(A167,'Revitalisation-Revitalisierung'!$A$4:$Z$275,8,FALSE)="","",VLOOKUP(A167,'Revitalisation-Revitalisierung'!$A$4:$Z$275,8,FALSE))</f>
        <v>non nécessaire</v>
      </c>
      <c r="BF167" s="754" t="str">
        <f>IF(VLOOKUP(A167,'Revitalisation-Revitalisierung'!$A$4:$Z$275,9,FALSE)="","",VLOOKUP(A167,'Revitalisation-Revitalisierung'!$A$4:$Z$275,9,FALSE))</f>
        <v/>
      </c>
      <c r="BG167" s="754" t="str">
        <f>IF(VLOOKUP(A167,'Revitalisation-Revitalisierung'!$A$4:$Z$275,10,FALSE)="","",VLOOKUP(A167,'Revitalisation-Revitalisierung'!$A$4:$Z$275,10,FALSE))</f>
        <v>K3</v>
      </c>
      <c r="BH167" s="755" t="str">
        <f>IF(VLOOKUP(A167,'Revitalisation-Revitalisierung'!$A$4:$Z$275,11,FALSE)="","",VLOOKUP(A167,'Revitalisation-Revitalisierung'!$A$4:$Z$275,11,FALSE))</f>
        <v/>
      </c>
      <c r="BI167" s="756" t="str">
        <f>IF(VLOOKUP(A167,'Revitalisation-Revitalisierung'!$A$4:$Z$275,12,FALSE)="","",VLOOKUP(A167,'Revitalisation-Revitalisierung'!$A$4:$Z$275,12,FALSE))</f>
        <v/>
      </c>
      <c r="BJ167" s="788" t="str">
        <f>IF(VLOOKUP(A167,'Revitalisation-Revitalisierung'!$A$4:$Z$275,13,FALSE)="","",VLOOKUP(A167,'Revitalisation-Revitalisierung'!$A$4:$Z$275,13,FALSE))</f>
        <v>Non nécessaire / nicht nötig</v>
      </c>
      <c r="BK167" s="870" t="str">
        <f>IF(VLOOKUP(A167,'Revitalisation-Revitalisierung'!$A$4:$Z$275,14,FALSE)="","",VLOOKUP(A167,'Revitalisation-Revitalisierung'!$A$4:$Z$275,14,FALSE))</f>
        <v>a</v>
      </c>
      <c r="BL167" s="758" t="str">
        <f>IF(VLOOKUP(A167,'Revitalisation-Revitalisierung'!$A$4:$Z$275,15,FALSE)="","",VLOOKUP(A167,'Revitalisation-Revitalisierung'!$A$4:$Z$275,15,FALSE))</f>
        <v>gross</v>
      </c>
      <c r="BM167" s="759" t="str">
        <f>IF(VLOOKUP(A167,'Revitalisation-Revitalisierung'!$A$4:$Z$275,16,FALSE)="","",VLOOKUP(A167,'Revitalisation-Revitalisierung'!$A$4:$Z$275,16,FALSE))</f>
        <v>natürlich</v>
      </c>
      <c r="BN167" s="759" t="str">
        <f>IF(VLOOKUP(A167,'Revitalisation-Revitalisierung'!$A$4:$Z$275,17,FALSE)="","",VLOOKUP(A167,'Revitalisation-Revitalisierung'!$A$4:$Z$275,17,FALSE))</f>
        <v>tief</v>
      </c>
      <c r="BO167" s="760" t="str">
        <f>IF(VLOOKUP(A167,'Revitalisation-Revitalisierung'!$A$4:$Z$275,18,FALSE)="","",VLOOKUP(A167,'Revitalisation-Revitalisierung'!$A$4:$Z$275,18,FALSE))</f>
        <v>Non nécessaire / nicht nötig</v>
      </c>
      <c r="BP167" s="761" t="str">
        <f>IF(VLOOKUP(A167,'Revitalisation-Revitalisierung'!$A$4:$Z$275,19,FALSE)="","",VLOOKUP(A167,'Revitalisation-Revitalisierung'!$A$4:$Z$275,19,FALSE))</f>
        <v>Non nécessaire / nicht nötig</v>
      </c>
      <c r="BQ167" s="759" t="str">
        <f>IF(VLOOKUP(A167,'Revitalisation-Revitalisierung'!$A$4:$Z$275,20,FALSE)="","",VLOOKUP(A167,'Revitalisation-Revitalisierung'!$A$4:$Z$275,20,FALSE))</f>
        <v>d</v>
      </c>
      <c r="BR167" s="759" t="str">
        <f>IF(VLOOKUP(A167,'Revitalisation-Revitalisierung'!$A$4:$Z$275,21,FALSE)="","",VLOOKUP(A167,'Revitalisation-Revitalisierung'!$A$4:$Z$275,21,FALSE))</f>
        <v/>
      </c>
      <c r="BS167" s="762" t="str">
        <f>IF(VLOOKUP(A167,'Revitalisation-Revitalisierung'!$A$4:$Z$275,22,FALSE)="","",VLOOKUP(A167,'Revitalisation-Revitalisierung'!$A$4:$Z$275,22,FALSE))</f>
        <v/>
      </c>
      <c r="BT167" s="700" t="str">
        <f>IF(VLOOKUP(A167,'Revitalisation-Revitalisierung'!$A$4:$Z$275,23,FALSE)="","",VLOOKUP(A167,'Revitalisation-Revitalisierung'!$A$4:$Z$275,23,FALSE))</f>
        <v/>
      </c>
      <c r="BU167" s="699" t="str">
        <f>IF(VLOOKUP(A167,'Revitalisation-Revitalisierung'!$A$4:$Z$275,24,FALSE)="","",VLOOKUP(A167,'Revitalisation-Revitalisierung'!$A$4:$Z$275,24,FALSE))</f>
        <v>Modifier Poten éco : Gross/mittel                              Modifier Nutzen : gross/gering  
Modifier Priorität : gross / gering</v>
      </c>
      <c r="BV167" s="761" t="str">
        <f>IF(VLOOKUP(A167,'Revitalisation-Revitalisierung'!$A$4:$Z$275,25,FALSE)="","",VLOOKUP(A167,'Revitalisation-Revitalisierung'!$A$4:$Z$275,25,FALSE))</f>
        <v>Partiellement nécessaire, facile / teilweise nötig, einfach</v>
      </c>
      <c r="BW167" s="871" t="str">
        <f>IF(VLOOKUP(A167,'Revitalisation-Revitalisierung'!$A$4:$AA$275,27,FALSE)="","",VLOOKUP(A167,'Revitalisation-Revitalisierung'!$A$4:$AA$275,27,FALSE))</f>
        <v>b</v>
      </c>
    </row>
    <row r="168" spans="1:75" ht="58.15" customHeight="1" x14ac:dyDescent="0.25">
      <c r="A168" s="935">
        <v>218</v>
      </c>
      <c r="B168" s="856">
        <f>IF(VLOOKUP(A168,'Données de base - Grunddaten'!$A$2:$M$297,2,FALSE)="","",VLOOKUP(A168,'Données de base - Grunddaten'!$A$2:$M$297,2,FALSE))</f>
        <v>1</v>
      </c>
      <c r="C168" s="857" t="str">
        <f>IF(VLOOKUP(A168,'Données de base - Grunddaten'!$A$2:$M$297,3,FALSE)="","",VLOOKUP(A168,'Données de base - Grunddaten'!$A$2:$M$297,3,FALSE))</f>
        <v>Vers Vaux</v>
      </c>
      <c r="D168" s="857" t="str">
        <f>IF(VLOOKUP(A168,'Données de base - Grunddaten'!$A$2:$M$297,4,FALSE)="","",VLOOKUP(A168,'Données de base - Grunddaten'!$A$2:$M$297,4,FALSE))</f>
        <v>Le Rhône</v>
      </c>
      <c r="E168" s="857" t="str">
        <f>IF(VLOOKUP(A168,'Données de base - Grunddaten'!$A$2:$M$297,5,FALSE)="","",VLOOKUP(A168,'Données de base - Grunddaten'!$A$2:$M$297,5,FALSE))</f>
        <v>GE</v>
      </c>
      <c r="F168" s="857" t="str">
        <f>IF(VLOOKUP(A168,'Données de base - Grunddaten'!$A$2:$M$297,6,FALSE)="","",VLOOKUP(A168,'Données de base - Grunddaten'!$A$2:$M$297,6,FALSE))</f>
        <v>Bassins lémanique et rhénan</v>
      </c>
      <c r="G168" s="857" t="str">
        <f>IF(VLOOKUP(A168,'Données de base - Grunddaten'!$A$2:$M$297,7,FALSE)="","",VLOOKUP(A168,'Données de base - Grunddaten'!$A$2:$M$297,7,FALSE))</f>
        <v>Collinéen</v>
      </c>
      <c r="H168" s="857">
        <f>IF(VLOOKUP(A168,'Données de base - Grunddaten'!$A$2:$M$297,8,FALSE)="","",VLOOKUP(A168,'Données de base - Grunddaten'!$A$2:$M$297,8,FALSE))</f>
        <v>338</v>
      </c>
      <c r="I168" s="857">
        <f>IF(VLOOKUP(A168,'Données de base - Grunddaten'!$A$2:$M$297,9,FALSE)="","",VLOOKUP(A168,'Données de base - Grunddaten'!$A$2:$M$297,9,FALSE))</f>
        <v>1992</v>
      </c>
      <c r="J168" s="857">
        <f>IF(VLOOKUP(A168,'Données de base - Grunddaten'!$A$2:$M$297,10,FALSE)="","",VLOOKUP(A168,'Données de base - Grunddaten'!$A$2:$M$297,10,FALSE))</f>
        <v>61</v>
      </c>
      <c r="K168" s="857" t="str">
        <f>IF(VLOOKUP(A168,'Données de base - Grunddaten'!$A$2:$M$297,11,FALSE)="","",VLOOKUP(A168,'Données de base - Grunddaten'!$A$2:$M$297,11,FALSE))</f>
        <v>Cours d'eau naturels de l'étage collinéen du Sud des Alpes</v>
      </c>
      <c r="L168" s="857" t="str">
        <f>IF(VLOOKUP(A168,'Données de base - Grunddaten'!$A$2:$M$297,12,FALSE)="","",VLOOKUP(A168,'Données de base - Grunddaten'!$A$2:$M$297,12,FALSE))</f>
        <v>en tresses</v>
      </c>
      <c r="M168" s="858" t="str">
        <f>IF(VLOOKUP(A168,'Données de base - Grunddaten'!$A$2:$M$297,13,FALSE)="","",VLOOKUP(A168,'Données de base - Grunddaten'!$A$2:$M$297,13,FALSE))</f>
        <v>cours rectiligne</v>
      </c>
      <c r="N168" s="872" t="str">
        <f>IF(VLOOKUP(A168,'Charriage - Geschiebehaushalt'!$A$4:$R$275,5,FALSE)="","",VLOOKUP(A168,'Charriage - Geschiebehaushalt'!$A$4:$R$275,5,FALSE))</f>
        <v>pertinent</v>
      </c>
      <c r="O168" s="873" t="str">
        <f>IF(VLOOKUP(A168,'Charriage - Geschiebehaushalt'!$A$4:$R$275,6,FALSE)="","",VLOOKUP(A168,'Charriage - Geschiebehaushalt'!$A$4:$R$275,6,FALSE))</f>
        <v>81 -100%</v>
      </c>
      <c r="P168" s="874" t="str">
        <f>IF(VLOOKUP(A168,'Charriage - Geschiebehaushalt'!$A$4:$R$275,7,FALSE)="","",VLOOKUP(A168,'Charriage - Geschiebehaushalt'!$A$4:$R$275,7,FALSE))</f>
        <v/>
      </c>
      <c r="Q168" s="874" t="str">
        <f>IF(VLOOKUP(A168,'Charriage - Geschiebehaushalt'!$A$4:$R$275,8,FALSE)="","",VLOOKUP(A168,'Charriage - Geschiebehaushalt'!$A$4:$R$275,8,FALSE))</f>
        <v>non documenté</v>
      </c>
      <c r="R168" s="875">
        <f>IF(VLOOKUP(A168,'Charriage - Geschiebehaushalt'!$A$4:$R$275,9,FALSE)="","",VLOOKUP(A168,'Charriage - Geschiebehaushalt'!$A$4:$R$275,9,FALSE))</f>
        <v>0</v>
      </c>
      <c r="S168" s="876" t="str">
        <f>IF(VLOOKUP(A168,'Charriage - Geschiebehaushalt'!$A$4:$R$275,10,FALSE)="","",VLOOKUP(A168,'Charriage - Geschiebehaushalt'!$A$4:$R$275,10,FALSE))</f>
        <v>pas ou faiblement entravé</v>
      </c>
      <c r="T168" s="875">
        <f>IF(VLOOKUP(A168,'Charriage - Geschiebehaushalt'!$A$4:$R$275,11,FALSE)="","",VLOOKUP(A168,'Charriage - Geschiebehaushalt'!$A$4:$R$275,11,FALSE))</f>
        <v>4.4807124447000003E-2</v>
      </c>
      <c r="U168" s="876" t="str">
        <f>IF(VLOOKUP(A168,'Charriage - Geschiebehaushalt'!$A$4:$R$275,12,FALSE)="","",VLOOKUP(A168,'Charriage - Geschiebehaushalt'!$A$4:$R$275,12,FALSE))</f>
        <v>déficit dans les formations pionnières</v>
      </c>
      <c r="V168" s="877" t="str">
        <f>IF(VLOOKUP(A168,'Charriage - Geschiebehaushalt'!$A$4:$R$275,13,FALSE)="","",VLOOKUP(A168,'Charriage - Geschiebehaushalt'!$A$4:$R$275,13,FALSE))</f>
        <v/>
      </c>
      <c r="W168" s="877" t="str">
        <f>IF(VLOOKUP(A168,'Charriage - Geschiebehaushalt'!$A$4:$R$275,14,FALSE)="","",VLOOKUP(A168,'Charriage - Geschiebehaushalt'!$A$4:$R$275,14,FALSE))</f>
        <v/>
      </c>
      <c r="X168" s="877" t="str">
        <f>IF(VLOOKUP(A168,'Charriage - Geschiebehaushalt'!$A$4:$R$275,15,FALSE)="","",VLOOKUP(A168,'Charriage - Geschiebehaushalt'!$A$4:$R$275,15,FALSE))</f>
        <v/>
      </c>
      <c r="Y168" s="879" t="str">
        <f>IF(VLOOKUP(A168,'Charriage - Geschiebehaushalt'!$A$4:$R$275,16,FALSE)="","",VLOOKUP(A168,'Charriage - Geschiebehaushalt'!$A$4:$R$275,16,FALSE))</f>
        <v/>
      </c>
      <c r="Z168" s="763" t="str">
        <f>IF(VLOOKUP(A168,'Charriage - Geschiebehaushalt'!$A$4:$R$275,17,FALSE)="","",VLOOKUP(A168,'Charriage - Geschiebehaushalt'!$A$4:$R$275,17,FALSE))</f>
        <v>81 -100%</v>
      </c>
      <c r="AA168" s="880" t="str">
        <f>IF(VLOOKUP(A168,'Charriage - Geschiebehaushalt'!$A$4:$R$275,18,FALSE)="","",VLOOKUP(A168,'Charriage - Geschiebehaushalt'!$A$4:$R$275,18,FALSE))</f>
        <v>a</v>
      </c>
      <c r="AB168" s="737" t="str">
        <f>IF(VLOOKUP(A168,'Charriage - Geschiebehaushalt'!$A$4:$AC$275,19,FALSE)="","",VLOOKUP(A168,'Charriage - Geschiebehaushalt'!$A$4:$AC$275,19,FALSE))</f>
        <v>très prononcée</v>
      </c>
      <c r="AC168" s="738" t="str">
        <f>IF(VLOOKUP(A168,'Charriage - Geschiebehaushalt'!$A$4:$AC$275,20,FALSE)="","",VLOOKUP(A168,'Charriage - Geschiebehaushalt'!$A$4:$AC$275,20,FALSE))</f>
        <v>élevé (2020)</v>
      </c>
      <c r="AD168" s="764" t="str">
        <f>IF(VLOOKUP(A168,'Charriage - Geschiebehaushalt'!$A$4:$AC$275,21,FALSE)="","",VLOOKUP(A168,'Charriage - Geschiebehaushalt'!$A$4:$AC$275,21,FALSE))</f>
        <v>81-100%</v>
      </c>
      <c r="AE168" s="740" t="str">
        <f>IF(VLOOKUP(A168,'Charriage - Geschiebehaushalt'!$A$4:$AC$275,22,FALSE)="","",VLOOKUP(A168,'Charriage - Geschiebehaushalt'!$A$4:$AC$275,22,FALSE))</f>
        <v>81-100%</v>
      </c>
      <c r="AF168" s="787" t="str">
        <f>IF(VLOOKUP(A168,'Charriage - Geschiebehaushalt'!$A$4:$AC$275,23,FALSE)="","",VLOOKUP(A168,'Charriage - Geschiebehaushalt'!$A$4:$AC$275,23,FALSE))</f>
        <v>d</v>
      </c>
      <c r="AG168" s="765" t="str">
        <f>IF(VLOOKUP(A168,'Charriage - Geschiebehaushalt'!$A$4:$AC$275,24,FALSE)="","",VLOOKUP(A168,'Charriage - Geschiebehaushalt'!$A$4:$AC$275,24,FALSE))</f>
        <v/>
      </c>
      <c r="AH168" s="764" t="str">
        <f>IF(VLOOKUP(A168,'Charriage - Geschiebehaushalt'!$A$4:$AC$275,25,FALSE)="","",VLOOKUP(A168,'Charriage - Geschiebehaushalt'!$A$4:$AC$275,25,FALSE))</f>
        <v/>
      </c>
      <c r="AI168" s="435" t="str">
        <f>IF(VLOOKUP(A168,'Charriage - Geschiebehaushalt'!$A$4:$AC$275,26,FALSE)="","",VLOOKUP(A168,'Charriage - Geschiebehaushalt'!$A$4:$AC$275,26,FALSE))</f>
        <v/>
      </c>
      <c r="AJ168" s="436" t="str">
        <f>IF(VLOOKUP(A168,'Charriage - Geschiebehaushalt'!$A$4:$AC$275,27,FALSE)="","",VLOOKUP(A168,'Charriage - Geschiebehaushalt'!$A$4:$AC$275,27,FALSE))</f>
        <v/>
      </c>
      <c r="AK168" s="801" t="str">
        <f>IF(VLOOKUP(A168,'Charriage - Geschiebehaushalt'!$A$4:$AC$275,28,FALSE)="","",VLOOKUP(A168,'Charriage - Geschiebehaushalt'!$A$4:$AC$275,28,FALSE))</f>
        <v>81-100%</v>
      </c>
      <c r="AL168" s="1285" t="str">
        <f>IF(VLOOKUP(A168,'Charriage - Geschiebehaushalt'!$A$4:$AD$275,30,FALSE)="","",VLOOKUP(A168,'Charriage - Geschiebehaushalt'!$A$4:$AD$275,30,FALSE))</f>
        <v>a</v>
      </c>
      <c r="AM168" s="1279" t="str">
        <f>IF(VLOOKUP(A168,'Débit - Abfluss'!$A$4:$K$275,5,FALSE)="","",VLOOKUP(A168,'Débit - Abfluss'!$A$4:$M$275,5,FALSE))</f>
        <v>81-100%</v>
      </c>
      <c r="AN168" s="868" t="str">
        <f>IF(VLOOKUP(A168,'Débit - Abfluss'!$A$4:$K$275,6,FALSE)="","",VLOOKUP(A168,'Débit - Abfluss'!$A$4:$M$275,6,FALSE))</f>
        <v/>
      </c>
      <c r="AO168" s="869" t="str">
        <f>IF(VLOOKUP(A168,'Débit - Abfluss'!$A$4:$K$275,7,FALSE)="","",VLOOKUP(A168,'Débit - Abfluss'!$A$4:$M$275,7,FALSE))</f>
        <v/>
      </c>
      <c r="AP168" s="766" t="str">
        <f>IF(VLOOKUP(A168,'Débit - Abfluss'!$A$4:$K$275,8,FALSE)="","",VLOOKUP(A168,'Débit - Abfluss'!$A$4:$M$275,8,FALSE))</f>
        <v>81-100%</v>
      </c>
      <c r="AQ168" s="742" t="str">
        <f>IF(VLOOKUP(A168,'Débit - Abfluss'!$A$4:$K$275,9,FALSE)="","",VLOOKUP(A168,'Débit - Abfluss'!$A$4:$M$275,9,FALSE))</f>
        <v>-</v>
      </c>
      <c r="AR168" s="767" t="str">
        <f>IF(VLOOKUP(A168,'Débit - Abfluss'!$A$4:$K$275,10,FALSE)="","",VLOOKUP(A168,'Débit - Abfluss'!$A$4:$M$275,10,FALSE))</f>
        <v>81-100%</v>
      </c>
      <c r="AS168" s="767" t="str">
        <f>IF(VLOOKUP(A168,'Débit - Abfluss'!$A$4:$K$275,11,FALSE)="","",VLOOKUP(A168,'Débit - Abfluss'!$A$4:$M$275,11,FALSE))</f>
        <v/>
      </c>
      <c r="AT168" s="778" t="str">
        <f>IF(VLOOKUP(A168,'Débit - Abfluss'!$A$4:$Q$275,12,FALSE)="","",VLOOKUP(A168,'Débit - Abfluss'!$A$4:$Q$275,12,FALSE))</f>
        <v/>
      </c>
      <c r="AU168" s="779" t="str">
        <f>IF(VLOOKUP(A168,'Débit - Abfluss'!$A$4:$Q$275,13,FALSE)="","",VLOOKUP(A168,'Débit - Abfluss'!$A$4:$Q$275,13,FALSE))</f>
        <v/>
      </c>
      <c r="AV168" s="746" t="str">
        <f>IF(VLOOKUP(A168,'Débit - Abfluss'!$A$4:$Q$275,14,FALSE)="","",VLOOKUP(A168,'Débit - Abfluss'!$A$4:$Q$275,14,FALSE))</f>
        <v/>
      </c>
      <c r="AW168" s="768" t="str">
        <f>IF(VLOOKUP(A168,'Débit - Abfluss'!$A$4:$Q$275,15,FALSE)="","",VLOOKUP(A168,'Débit - Abfluss'!$A$4:$Q$275,15,FALSE))</f>
        <v/>
      </c>
      <c r="AX168" s="679" t="str">
        <f>IF(VLOOKUP(A168,'Débit - Abfluss'!$A$4:$Q$275,16,FALSE)="","",VLOOKUP(A168,'Débit - Abfluss'!$A$4:$Q$275,16,FALSE))</f>
        <v/>
      </c>
      <c r="AY168" s="769" t="str">
        <f>IF(VLOOKUP(A168,'Débit - Abfluss'!$A$4:$Q$275,17,FALSE)="","",VLOOKUP(A168,'Débit - Abfluss'!$A$4:$Q$275,17,FALSE))</f>
        <v>81-100%</v>
      </c>
      <c r="AZ168" s="749" t="str">
        <f>IF(VLOOKUP(A168,'Eclusée - Schwall-Sunk'!$A$2:$F$273,5,FALSE)="","",VLOOKUP(A168,'Eclusée - Schwall-Sunk'!$A$2:$F$273,5,FALSE))</f>
        <v>force hydraulique</v>
      </c>
      <c r="BA168" s="750" t="str">
        <f>IF(VLOOKUP(A168,'Eclusée - Schwall-Sunk'!$A$2:$F$273,6,FALSE)="","",VLOOKUP(A168,'Eclusée - Schwall-Sunk'!$A$2:$F$273,6,FALSE))</f>
        <v>Potentiellement affecté / möglicherweise betroffen</v>
      </c>
      <c r="BB168" s="751">
        <f>IF(VLOOKUP(A168,'Revitalisation-Revitalisierung'!$A$4:$Z$275,5,FALSE)="","",VLOOKUP(A168,'Revitalisation-Revitalisierung'!$A$4:$Z$275,5,FALSE))</f>
        <v>-2.7272727272727271</v>
      </c>
      <c r="BC168" s="752">
        <f>IF(VLOOKUP(A168,'Revitalisation-Revitalisierung'!$A$4:$Z$275,6,FALSE)="","",VLOOKUP(A168,'Revitalisation-Revitalisierung'!$A$4:$Z$275,6,FALSE))</f>
        <v>0</v>
      </c>
      <c r="BD168" s="752">
        <f>IF(VLOOKUP(A168,'Revitalisation-Revitalisierung'!$A$4:$Z$275,7,FALSE)="","",VLOOKUP(A168,'Revitalisation-Revitalisierung'!$A$4:$Z$275,7,FALSE))</f>
        <v>2.7272727272727271</v>
      </c>
      <c r="BE168" s="753" t="str">
        <f>IF(VLOOKUP(A168,'Revitalisation-Revitalisierung'!$A$4:$Z$275,8,FALSE)="","",VLOOKUP(A168,'Revitalisation-Revitalisierung'!$A$4:$Z$275,8,FALSE))</f>
        <v>non nécessaire</v>
      </c>
      <c r="BF168" s="754" t="str">
        <f>IF(VLOOKUP(A168,'Revitalisation-Revitalisierung'!$A$4:$Z$275,9,FALSE)="","",VLOOKUP(A168,'Revitalisation-Revitalisierung'!$A$4:$Z$275,9,FALSE))</f>
        <v/>
      </c>
      <c r="BG168" s="754" t="str">
        <f>IF(VLOOKUP(A168,'Revitalisation-Revitalisierung'!$A$4:$Z$275,10,FALSE)="","",VLOOKUP(A168,'Revitalisation-Revitalisierung'!$A$4:$Z$275,10,FALSE))</f>
        <v>K3</v>
      </c>
      <c r="BH168" s="755" t="str">
        <f>IF(VLOOKUP(A168,'Revitalisation-Revitalisierung'!$A$4:$Z$275,11,FALSE)="","",VLOOKUP(A168,'Revitalisation-Revitalisierung'!$A$4:$Z$275,11,FALSE))</f>
        <v/>
      </c>
      <c r="BI168" s="756" t="str">
        <f>IF(VLOOKUP(A168,'Revitalisation-Revitalisierung'!$A$4:$Z$275,12,FALSE)="","",VLOOKUP(A168,'Revitalisation-Revitalisierung'!$A$4:$Z$275,12,FALSE))</f>
        <v/>
      </c>
      <c r="BJ168" s="788" t="str">
        <f>IF(VLOOKUP(A168,'Revitalisation-Revitalisierung'!$A$4:$Z$275,13,FALSE)="","",VLOOKUP(A168,'Revitalisation-Revitalisierung'!$A$4:$Z$275,13,FALSE))</f>
        <v>Très nécessaire, facile / unbedingt nötig, einfach</v>
      </c>
      <c r="BK168" s="870" t="str">
        <f>IF(VLOOKUP(A168,'Revitalisation-Revitalisierung'!$A$4:$Z$275,14,FALSE)="","",VLOOKUP(A168,'Revitalisation-Revitalisierung'!$A$4:$Z$275,14,FALSE))</f>
        <v>b</v>
      </c>
      <c r="BL168" s="758" t="str">
        <f>IF(VLOOKUP(A168,'Revitalisation-Revitalisierung'!$A$4:$Z$275,15,FALSE)="","",VLOOKUP(A168,'Revitalisation-Revitalisierung'!$A$4:$Z$275,15,FALSE))</f>
        <v>important</v>
      </c>
      <c r="BM168" s="759" t="str">
        <f>IF(VLOOKUP(A168,'Revitalisation-Revitalisierung'!$A$4:$Z$275,16,FALSE)="","",VLOOKUP(A168,'Revitalisation-Revitalisierung'!$A$4:$Z$275,16,FALSE))</f>
        <v>faible et moyen</v>
      </c>
      <c r="BN168" s="759" t="str">
        <f>IF(VLOOKUP(A168,'Revitalisation-Revitalisierung'!$A$4:$Z$275,17,FALSE)="","",VLOOKUP(A168,'Revitalisation-Revitalisierung'!$A$4:$Z$275,17,FALSE))</f>
        <v>moyenne</v>
      </c>
      <c r="BO168" s="760" t="str">
        <f>IF(VLOOKUP(A168,'Revitalisation-Revitalisierung'!$A$4:$Z$275,18,FALSE)="","",VLOOKUP(A168,'Revitalisation-Revitalisierung'!$A$4:$Z$275,18,FALSE))</f>
        <v>Partiellement nécessaire, facile / teilweise nötig, einfach</v>
      </c>
      <c r="BP168" s="761" t="str">
        <f>IF(VLOOKUP(A168,'Revitalisation-Revitalisierung'!$A$4:$Z$275,19,FALSE)="","",VLOOKUP(A168,'Revitalisation-Revitalisierung'!$A$4:$Z$275,19,FALSE))</f>
        <v>Partiellement nécessaire, facile / teilweise nötig, einfach</v>
      </c>
      <c r="BQ168" s="759" t="str">
        <f>IF(VLOOKUP(A168,'Revitalisation-Revitalisierung'!$A$4:$Z$275,20,FALSE)="","",VLOOKUP(A168,'Revitalisation-Revitalisierung'!$A$4:$Z$275,20,FALSE))</f>
        <v>c</v>
      </c>
      <c r="BR168" s="759" t="str">
        <f>IF(VLOOKUP(A168,'Revitalisation-Revitalisierung'!$A$4:$Z$275,21,FALSE)="","",VLOOKUP(A168,'Revitalisation-Revitalisierung'!$A$4:$Z$275,21,FALSE))</f>
        <v/>
      </c>
      <c r="BS168" s="762" t="str">
        <f>IF(VLOOKUP(A168,'Revitalisation-Revitalisierung'!$A$4:$Z$275,22,FALSE)="","",VLOOKUP(A168,'Revitalisation-Revitalisierung'!$A$4:$Z$275,22,FALSE))</f>
        <v/>
      </c>
      <c r="BT168" s="761" t="str">
        <f>IF(VLOOKUP(A168,'Revitalisation-Revitalisierung'!$A$4:$Z$275,23,FALSE)="","",VLOOKUP(A168,'Revitalisation-Revitalisierung'!$A$4:$Z$275,23,FALSE))</f>
        <v/>
      </c>
      <c r="BU168" s="709" t="str">
        <f>IF(VLOOKUP(A168,'Revitalisation-Revitalisierung'!$A$4:$Z$275,24,FALSE)="","",VLOOKUP(A168,'Revitalisation-Revitalisierung'!$A$4:$Z$275,24,FALSE))</f>
        <v/>
      </c>
      <c r="BV168" s="761" t="str">
        <f>IF(VLOOKUP(A168,'Revitalisation-Revitalisierung'!$A$4:$Z$275,25,FALSE)="","",VLOOKUP(A168,'Revitalisation-Revitalisierung'!$A$4:$Z$275,25,FALSE))</f>
        <v>Partiellement nécessaire, facile / teilweise nötig, einfach</v>
      </c>
      <c r="BW168" s="871" t="str">
        <f>IF(VLOOKUP(A168,'Revitalisation-Revitalisierung'!$A$4:$AA$275,27,FALSE)="","",VLOOKUP(A168,'Revitalisation-Revitalisierung'!$A$4:$AA$275,27,FALSE))</f>
        <v>a</v>
      </c>
    </row>
    <row r="169" spans="1:75" ht="63.6" customHeight="1" x14ac:dyDescent="0.25">
      <c r="A169" s="935">
        <v>219</v>
      </c>
      <c r="B169" s="856">
        <f>IF(VLOOKUP(A169,'Données de base - Grunddaten'!$A$2:$M$297,2,FALSE)="","",VLOOKUP(A169,'Données de base - Grunddaten'!$A$2:$M$297,2,FALSE))</f>
        <v>1</v>
      </c>
      <c r="C169" s="857" t="str">
        <f>IF(VLOOKUP(A169,'Données de base - Grunddaten'!$A$2:$M$297,3,FALSE)="","",VLOOKUP(A169,'Données de base - Grunddaten'!$A$2:$M$297,3,FALSE))</f>
        <v>Altenrhein</v>
      </c>
      <c r="D169" s="857" t="str">
        <f>IF(VLOOKUP(A169,'Données de base - Grunddaten'!$A$2:$M$297,4,FALSE)="","",VLOOKUP(A169,'Données de base - Grunddaten'!$A$2:$M$297,4,FALSE))</f>
        <v>Bodensee</v>
      </c>
      <c r="E169" s="857" t="str">
        <f>IF(VLOOKUP(A169,'Données de base - Grunddaten'!$A$2:$M$297,5,FALSE)="","",VLOOKUP(A169,'Données de base - Grunddaten'!$A$2:$M$297,5,FALSE))</f>
        <v>SG</v>
      </c>
      <c r="F169" s="857" t="str">
        <f>IF(VLOOKUP(A169,'Données de base - Grunddaten'!$A$2:$M$297,6,FALSE)="","",VLOOKUP(A169,'Données de base - Grunddaten'!$A$2:$M$297,6,FALSE))</f>
        <v>Plateau oriental</v>
      </c>
      <c r="G169" s="857" t="str">
        <f>IF(VLOOKUP(A169,'Données de base - Grunddaten'!$A$2:$M$297,7,FALSE)="","",VLOOKUP(A169,'Données de base - Grunddaten'!$A$2:$M$297,7,FALSE))</f>
        <v>Collinéen</v>
      </c>
      <c r="H169" s="857">
        <f>IF(VLOOKUP(A169,'Données de base - Grunddaten'!$A$2:$M$297,8,FALSE)="","",VLOOKUP(A169,'Données de base - Grunddaten'!$A$2:$M$297,8,FALSE))</f>
        <v>397</v>
      </c>
      <c r="I169" s="857">
        <f>IF(VLOOKUP(A169,'Données de base - Grunddaten'!$A$2:$M$297,9,FALSE)="","",VLOOKUP(A169,'Données de base - Grunddaten'!$A$2:$M$297,9,FALSE))</f>
        <v>1992</v>
      </c>
      <c r="J169" s="857">
        <f>IF(VLOOKUP(A169,'Données de base - Grunddaten'!$A$2:$M$297,10,FALSE)="","",VLOOKUP(A169,'Données de base - Grunddaten'!$A$2:$M$297,10,FALSE))</f>
        <v>101</v>
      </c>
      <c r="K169" s="857" t="str">
        <f>IF(VLOOKUP(A169,'Données de base - Grunddaten'!$A$2:$M$297,11,FALSE)="","",VLOOKUP(A169,'Données de base - Grunddaten'!$A$2:$M$297,11,FALSE))</f>
        <v>Rives de lacs de l'étage collinéen</v>
      </c>
      <c r="L169" s="857" t="str">
        <f>IF(VLOOKUP(A169,'Données de base - Grunddaten'!$A$2:$M$297,12,FALSE)="","",VLOOKUP(A169,'Données de base - Grunddaten'!$A$2:$M$297,12,FALSE))</f>
        <v>rives lacustres</v>
      </c>
      <c r="M169" s="858" t="str">
        <f>IF(VLOOKUP(A169,'Données de base - Grunddaten'!$A$2:$M$297,13,FALSE)="","",VLOOKUP(A169,'Données de base - Grunddaten'!$A$2:$M$297,13,FALSE))</f>
        <v>rives lacustres</v>
      </c>
      <c r="N169" s="891" t="str">
        <f>IF(VLOOKUP(A169,'Charriage - Geschiebehaushalt'!$A$4:$R$275,5,FALSE)="","",VLOOKUP(A169,'Charriage - Geschiebehaushalt'!$A$4:$R$275,5,FALSE))</f>
        <v>non pertinent</v>
      </c>
      <c r="O169" s="881" t="str">
        <f>IF(VLOOKUP(A169,'Charriage - Geschiebehaushalt'!$A$4:$R$275,6,FALSE)="","",VLOOKUP(A169,'Charriage - Geschiebehaushalt'!$A$4:$R$275,6,FALSE))</f>
        <v/>
      </c>
      <c r="P169" s="874" t="str">
        <f>IF(VLOOKUP(A169,'Charriage - Geschiebehaushalt'!$A$4:$R$275,7,FALSE)="","",VLOOKUP(A169,'Charriage - Geschiebehaushalt'!$A$4:$R$275,7,FALSE))</f>
        <v/>
      </c>
      <c r="Q169" s="874" t="str">
        <f>IF(VLOOKUP(A169,'Charriage - Geschiebehaushalt'!$A$4:$R$275,8,FALSE)="","",VLOOKUP(A169,'Charriage - Geschiebehaushalt'!$A$4:$R$275,8,FALSE))</f>
        <v>non documenté</v>
      </c>
      <c r="R169" s="875">
        <f>IF(VLOOKUP(A169,'Charriage - Geschiebehaushalt'!$A$4:$R$275,9,FALSE)="","",VLOOKUP(A169,'Charriage - Geschiebehaushalt'!$A$4:$R$275,9,FALSE))</f>
        <v>0.37197805762624703</v>
      </c>
      <c r="S169" s="876" t="str">
        <f>IF(VLOOKUP(A169,'Charriage - Geschiebehaushalt'!$A$4:$R$275,10,FALSE)="","",VLOOKUP(A169,'Charriage - Geschiebehaushalt'!$A$4:$R$275,10,FALSE))</f>
        <v>la remobilisation des sédiments est perturbée</v>
      </c>
      <c r="T169" s="875">
        <f>IF(VLOOKUP(A169,'Charriage - Geschiebehaushalt'!$A$4:$R$275,11,FALSE)="","",VLOOKUP(A169,'Charriage - Geschiebehaushalt'!$A$4:$R$275,11,FALSE))</f>
        <v>0.84304350154999996</v>
      </c>
      <c r="U169" s="876" t="str">
        <f>IF(VLOOKUP(A169,'Charriage - Geschiebehaushalt'!$A$4:$R$275,12,FALSE)="","",VLOOKUP(A169,'Charriage - Geschiebehaushalt'!$A$4:$R$275,12,FALSE))</f>
        <v>déficit non apparent en charriage ou en remobilisation des sédiments</v>
      </c>
      <c r="V169" s="877" t="str">
        <f>IF(VLOOKUP(A169,'Charriage - Geschiebehaushalt'!$A$4:$R$275,13,FALSE)="","",VLOOKUP(A169,'Charriage - Geschiebehaushalt'!$A$4:$R$275,13,FALSE))</f>
        <v/>
      </c>
      <c r="W169" s="877" t="str">
        <f>IF(VLOOKUP(A169,'Charriage - Geschiebehaushalt'!$A$4:$R$275,14,FALSE)="","",VLOOKUP(A169,'Charriage - Geschiebehaushalt'!$A$4:$R$275,14,FALSE))</f>
        <v/>
      </c>
      <c r="X169" s="877" t="str">
        <f>IF(VLOOKUP(A169,'Charriage - Geschiebehaushalt'!$A$4:$R$275,15,FALSE)="","",VLOOKUP(A169,'Charriage - Geschiebehaushalt'!$A$4:$R$275,15,FALSE))</f>
        <v/>
      </c>
      <c r="Y169" s="879" t="str">
        <f>IF(VLOOKUP(A169,'Charriage - Geschiebehaushalt'!$A$4:$R$275,16,FALSE)="","",VLOOKUP(A169,'Charriage - Geschiebehaushalt'!$A$4:$R$275,16,FALSE))</f>
        <v/>
      </c>
      <c r="Z169" s="763" t="str">
        <f>IF(VLOOKUP(A169,'Charriage - Geschiebehaushalt'!$A$4:$R$275,17,FALSE)="","",VLOOKUP(A169,'Charriage - Geschiebehaushalt'!$A$4:$R$275,17,FALSE))</f>
        <v>non pertinent / nicht relevant</v>
      </c>
      <c r="AA169" s="880" t="str">
        <f>IF(VLOOKUP(A169,'Charriage - Geschiebehaushalt'!$A$4:$R$275,18,FALSE)="","",VLOOKUP(A169,'Charriage - Geschiebehaushalt'!$A$4:$R$275,18,FALSE))</f>
        <v>a</v>
      </c>
      <c r="AB169" s="737" t="str">
        <f>IF(VLOOKUP(A169,'Charriage - Geschiebehaushalt'!$A$4:$AC$275,19,FALSE)="","",VLOOKUP(A169,'Charriage - Geschiebehaushalt'!$A$4:$AC$275,19,FALSE))</f>
        <v>non dét.</v>
      </c>
      <c r="AC169" s="738">
        <f>IF(VLOOKUP(A169,'Charriage - Geschiebehaushalt'!$A$4:$AC$275,20,FALSE)="","",VLOOKUP(A169,'Charriage - Geschiebehaushalt'!$A$4:$AC$275,20,FALSE))</f>
        <v>0</v>
      </c>
      <c r="AD169" s="764" t="str">
        <f>IF(VLOOKUP(A169,'Charriage - Geschiebehaushalt'!$A$4:$AC$275,21,FALSE)="","",VLOOKUP(A169,'Charriage - Geschiebehaushalt'!$A$4:$AC$275,21,FALSE))</f>
        <v/>
      </c>
      <c r="AE169" s="740" t="str">
        <f>IF(VLOOKUP(A169,'Charriage - Geschiebehaushalt'!$A$4:$AC$275,22,FALSE)="","",VLOOKUP(A169,'Charriage - Geschiebehaushalt'!$A$4:$AC$275,22,FALSE))</f>
        <v>non pertinent / nicht relevant</v>
      </c>
      <c r="AF169" s="787" t="str">
        <f>IF(VLOOKUP(A169,'Charriage - Geschiebehaushalt'!$A$4:$AC$275,23,FALSE)="","",VLOOKUP(A169,'Charriage - Geschiebehaushalt'!$A$4:$AC$275,23,FALSE))</f>
        <v>a</v>
      </c>
      <c r="AG169" s="765" t="str">
        <f>IF(VLOOKUP(A169,'Charriage - Geschiebehaushalt'!$A$4:$AC$275,24,FALSE)="","",VLOOKUP(A169,'Charriage - Geschiebehaushalt'!$A$4:$AC$275,24,FALSE))</f>
        <v/>
      </c>
      <c r="AH169" s="764" t="str">
        <f>IF(VLOOKUP(A169,'Charriage - Geschiebehaushalt'!$A$4:$AC$275,25,FALSE)="","",VLOOKUP(A169,'Charriage - Geschiebehaushalt'!$A$4:$AC$275,25,FALSE))</f>
        <v/>
      </c>
      <c r="AI169" s="433" t="str">
        <f>IF(VLOOKUP(A169,'Charriage - Geschiebehaushalt'!$A$4:$AC$275,26,FALSE)="","",VLOOKUP(A169,'Charriage - Geschiebehaushalt'!$A$4:$AC$275,26,FALSE))</f>
        <v/>
      </c>
      <c r="AJ169" s="434" t="str">
        <f>IF(VLOOKUP(A169,'Charriage - Geschiebehaushalt'!$A$4:$AC$275,27,FALSE)="","",VLOOKUP(A169,'Charriage - Geschiebehaushalt'!$A$4:$AC$275,27,FALSE))</f>
        <v/>
      </c>
      <c r="AK169" s="801" t="str">
        <f>IF(VLOOKUP(A169,'Charriage - Geschiebehaushalt'!$A$4:$AC$275,28,FALSE)="","",VLOOKUP(A169,'Charriage - Geschiebehaushalt'!$A$4:$AC$275,28,FALSE))</f>
        <v>non pertinent / nicht relevant</v>
      </c>
      <c r="AL169" s="1285" t="str">
        <f>IF(VLOOKUP(A169,'Charriage - Geschiebehaushalt'!$A$4:$AD$275,30,FALSE)="","",VLOOKUP(A169,'Charriage - Geschiebehaushalt'!$A$4:$AD$275,30,FALSE))</f>
        <v>a</v>
      </c>
      <c r="AM169" s="1279" t="str">
        <f>IF(VLOOKUP(A169,'Débit - Abfluss'!$A$4:$K$275,5,FALSE)="","",VLOOKUP(A169,'Débit - Abfluss'!$A$4:$M$275,5,FALSE))</f>
        <v>non pertinent</v>
      </c>
      <c r="AN169" s="868" t="str">
        <f>IF(VLOOKUP(A169,'Débit - Abfluss'!$A$4:$K$275,6,FALSE)="","",VLOOKUP(A169,'Débit - Abfluss'!$A$4:$M$275,6,FALSE))</f>
        <v/>
      </c>
      <c r="AO169" s="869" t="str">
        <f>IF(VLOOKUP(A169,'Débit - Abfluss'!$A$4:$K$275,7,FALSE)="","",VLOOKUP(A169,'Débit - Abfluss'!$A$4:$M$275,7,FALSE))</f>
        <v/>
      </c>
      <c r="AP169" s="766" t="str">
        <f>IF(VLOOKUP(A169,'Débit - Abfluss'!$A$4:$K$275,8,FALSE)="","",VLOOKUP(A169,'Débit - Abfluss'!$A$4:$M$275,8,FALSE))</f>
        <v>non pertinent / nicht relevant</v>
      </c>
      <c r="AQ169" s="742" t="str">
        <f>IF(VLOOKUP(A169,'Débit - Abfluss'!$A$4:$K$275,9,FALSE)="","",VLOOKUP(A169,'Débit - Abfluss'!$A$4:$M$275,9,FALSE))</f>
        <v>-</v>
      </c>
      <c r="AR169" s="767" t="str">
        <f>IF(VLOOKUP(A169,'Débit - Abfluss'!$A$4:$K$275,10,FALSE)="","",VLOOKUP(A169,'Débit - Abfluss'!$A$4:$M$275,10,FALSE))</f>
        <v>non pertinent / nicht relevant</v>
      </c>
      <c r="AS169" s="767" t="str">
        <f>IF(VLOOKUP(A169,'Débit - Abfluss'!$A$4:$K$275,11,FALSE)="","",VLOOKUP(A169,'Débit - Abfluss'!$A$4:$M$275,11,FALSE))</f>
        <v/>
      </c>
      <c r="AT169" s="744" t="str">
        <f>IF(VLOOKUP(A169,'Débit - Abfluss'!$A$4:$Q$275,12,FALSE)="","",VLOOKUP(A169,'Débit - Abfluss'!$A$4:$Q$275,12,FALSE))</f>
        <v/>
      </c>
      <c r="AU169" s="745" t="str">
        <f>IF(VLOOKUP(A169,'Débit - Abfluss'!$A$4:$Q$275,13,FALSE)="","",VLOOKUP(A169,'Débit - Abfluss'!$A$4:$Q$275,13,FALSE))</f>
        <v/>
      </c>
      <c r="AV169" s="746" t="str">
        <f>IF(VLOOKUP(A169,'Débit - Abfluss'!$A$4:$Q$275,14,FALSE)="","",VLOOKUP(A169,'Débit - Abfluss'!$A$4:$Q$275,14,FALSE))</f>
        <v/>
      </c>
      <c r="AW169" s="768" t="str">
        <f>IF(VLOOKUP(A169,'Débit - Abfluss'!$A$4:$Q$275,15,FALSE)="","",VLOOKUP(A169,'Débit - Abfluss'!$A$4:$Q$275,15,FALSE))</f>
        <v/>
      </c>
      <c r="AX169" s="677" t="str">
        <f>IF(VLOOKUP(A169,'Débit - Abfluss'!$A$4:$Q$275,16,FALSE)="","",VLOOKUP(A169,'Débit - Abfluss'!$A$4:$Q$275,16,FALSE))</f>
        <v/>
      </c>
      <c r="AY169" s="769" t="str">
        <f>IF(VLOOKUP(A169,'Débit - Abfluss'!$A$4:$Q$275,17,FALSE)="","",VLOOKUP(A169,'Débit - Abfluss'!$A$4:$Q$275,17,FALSE))</f>
        <v>non pertinent / nicht relevant</v>
      </c>
      <c r="AZ169" s="749" t="str">
        <f>IF(VLOOKUP(A169,'Eclusée - Schwall-Sunk'!$A$2:$F$273,5,FALSE)="","",VLOOKUP(A169,'Eclusée - Schwall-Sunk'!$A$2:$F$273,5,FALSE))</f>
        <v/>
      </c>
      <c r="BA169" s="750" t="str">
        <f>IF(VLOOKUP(A169,'Eclusée - Schwall-Sunk'!$A$2:$F$273,6,FALSE)="","",VLOOKUP(A169,'Eclusée - Schwall-Sunk'!$A$2:$F$273,6,FALSE))</f>
        <v>Non affecté / nicht betroffen</v>
      </c>
      <c r="BB169" s="751">
        <f>IF(VLOOKUP(A169,'Revitalisation-Revitalisierung'!$A$4:$Z$275,5,FALSE)="","",VLOOKUP(A169,'Revitalisation-Revitalisierung'!$A$4:$Z$275,5,FALSE))</f>
        <v>42.18181818181818</v>
      </c>
      <c r="BC169" s="752">
        <f>IF(VLOOKUP(A169,'Revitalisation-Revitalisierung'!$A$4:$Z$275,6,FALSE)="","",VLOOKUP(A169,'Revitalisation-Revitalisierung'!$A$4:$Z$275,6,FALSE))</f>
        <v>44.014858459370792</v>
      </c>
      <c r="BD169" s="752">
        <f>IF(VLOOKUP(A169,'Revitalisation-Revitalisierung'!$A$4:$Z$275,7,FALSE)="","",VLOOKUP(A169,'Revitalisation-Revitalisierung'!$A$4:$Z$275,7,FALSE))</f>
        <v>1.8181818181818181</v>
      </c>
      <c r="BE169" s="753" t="str">
        <f>IF(VLOOKUP(A169,'Revitalisation-Revitalisierung'!$A$4:$Z$275,8,FALSE)="","",VLOOKUP(A169,'Revitalisation-Revitalisierung'!$A$4:$Z$275,8,FALSE))</f>
        <v>très nécessaire, facile</v>
      </c>
      <c r="BF169" s="754" t="str">
        <f>IF(VLOOKUP(A169,'Revitalisation-Revitalisierung'!$A$4:$Z$275,9,FALSE)="","",VLOOKUP(A169,'Revitalisation-Revitalisierung'!$A$4:$Z$275,9,FALSE))</f>
        <v/>
      </c>
      <c r="BG169" s="754" t="str">
        <f>IF(VLOOKUP(A169,'Revitalisation-Revitalisierung'!$A$4:$Z$275,10,FALSE)="","",VLOOKUP(A169,'Revitalisation-Revitalisierung'!$A$4:$Z$275,10,FALSE))</f>
        <v>K1</v>
      </c>
      <c r="BH169" s="755" t="str">
        <f>IF(VLOOKUP(A169,'Revitalisation-Revitalisierung'!$A$4:$Z$275,11,FALSE)="","",VLOOKUP(A169,'Revitalisation-Revitalisierung'!$A$4:$Z$275,11,FALSE))</f>
        <v/>
      </c>
      <c r="BI169" s="756" t="str">
        <f>IF(VLOOKUP(A169,'Revitalisation-Revitalisierung'!$A$4:$Z$275,12,FALSE)="","",VLOOKUP(A169,'Revitalisation-Revitalisierung'!$A$4:$Z$275,12,FALSE))</f>
        <v/>
      </c>
      <c r="BJ169" s="788" t="str">
        <f>IF(VLOOKUP(A169,'Revitalisation-Revitalisierung'!$A$4:$Z$275,13,FALSE)="","",VLOOKUP(A169,'Revitalisation-Revitalisierung'!$A$4:$Z$275,13,FALSE))</f>
        <v>Non nécessaire / nicht nötig</v>
      </c>
      <c r="BK169" s="870" t="str">
        <f>IF(VLOOKUP(A169,'Revitalisation-Revitalisierung'!$A$4:$Z$275,14,FALSE)="","",VLOOKUP(A169,'Revitalisation-Revitalisierung'!$A$4:$Z$275,14,FALSE))</f>
        <v>b</v>
      </c>
      <c r="BL169" s="758" t="str">
        <f>IF(VLOOKUP(A169,'Revitalisation-Revitalisierung'!$A$4:$Z$275,15,FALSE)="","",VLOOKUP(A169,'Revitalisation-Revitalisierung'!$A$4:$Z$275,15,FALSE))</f>
        <v>moyen</v>
      </c>
      <c r="BM169" s="759" t="str">
        <f>IF(VLOOKUP(A169,'Revitalisation-Revitalisierung'!$A$4:$Z$275,16,FALSE)="","",VLOOKUP(A169,'Revitalisation-Revitalisierung'!$A$4:$Z$275,16,FALSE))</f>
        <v>moyen</v>
      </c>
      <c r="BN169" s="759" t="str">
        <f>IF(VLOOKUP(A169,'Revitalisation-Revitalisierung'!$A$4:$Z$275,17,FALSE)="","",VLOOKUP(A169,'Revitalisation-Revitalisierung'!$A$4:$Z$275,17,FALSE))</f>
        <v>kein</v>
      </c>
      <c r="BO169" s="760" t="str">
        <f>IF(VLOOKUP(A169,'Revitalisation-Revitalisierung'!$A$4:$Z$275,18,FALSE)="","",VLOOKUP(A169,'Revitalisation-Revitalisierung'!$A$4:$Z$275,18,FALSE))</f>
        <v>Partiellement nécessaire, facile / teilweise nötig, einfach</v>
      </c>
      <c r="BP169" s="761" t="str">
        <f>IF(VLOOKUP(A169,'Revitalisation-Revitalisierung'!$A$4:$Z$275,19,FALSE)="","",VLOOKUP(A169,'Revitalisation-Revitalisierung'!$A$4:$Z$275,19,FALSE))</f>
        <v>Partiellement nécessaire, facile / teilweise nötig, einfach</v>
      </c>
      <c r="BQ169" s="762" t="str">
        <f>IF(VLOOKUP(A169,'Revitalisation-Revitalisierung'!$A$4:$Z$275,20,FALSE)="","",VLOOKUP(A169,'Revitalisation-Revitalisierung'!$A$4:$Z$275,20,FALSE))</f>
        <v>c</v>
      </c>
      <c r="BR169" s="777" t="str">
        <f>IF(VLOOKUP(A169,'Revitalisation-Revitalisierung'!$A$4:$Z$275,21,FALSE)="","",VLOOKUP(A169,'Revitalisation-Revitalisierung'!$A$4:$Z$275,21,FALSE))</f>
        <v/>
      </c>
      <c r="BS169" s="762" t="str">
        <f>IF(VLOOKUP(A169,'Revitalisation-Revitalisierung'!$A$4:$Z$275,22,FALSE)="","",VLOOKUP(A169,'Revitalisation-Revitalisierung'!$A$4:$Z$275,22,FALSE))</f>
        <v/>
      </c>
      <c r="BT169" s="703" t="str">
        <f>IF(VLOOKUP(A169,'Revitalisation-Revitalisierung'!$A$4:$Z$275,23,FALSE)="","",VLOOKUP(A169,'Revitalisation-Revitalisierung'!$A$4:$Z$275,23,FALSE))</f>
        <v/>
      </c>
      <c r="BU169" s="701" t="str">
        <f>IF(VLOOKUP(A169,'Revitalisation-Revitalisierung'!$A$4:$Z$275,24,FALSE)="","",VLOOKUP(A169,'Revitalisation-Revitalisierung'!$A$4:$Z$275,24,FALSE))</f>
        <v/>
      </c>
      <c r="BV169" s="761" t="str">
        <f>IF(VLOOKUP(A169,'Revitalisation-Revitalisierung'!$A$4:$Z$275,25,FALSE)="","",VLOOKUP(A169,'Revitalisation-Revitalisierung'!$A$4:$Z$275,25,FALSE))</f>
        <v>Partiellement nécessaire, facile / teilweise nötig, einfach</v>
      </c>
      <c r="BW169" s="871" t="str">
        <f>IF(VLOOKUP(A169,'Revitalisation-Revitalisierung'!$A$4:$AA$275,27,FALSE)="","",VLOOKUP(A169,'Revitalisation-Revitalisierung'!$A$4:$AA$275,27,FALSE))</f>
        <v>a</v>
      </c>
    </row>
    <row r="170" spans="1:75" ht="82.9" customHeight="1" x14ac:dyDescent="0.25">
      <c r="A170" s="935">
        <v>220</v>
      </c>
      <c r="B170" s="856">
        <f>IF(VLOOKUP(A170,'Données de base - Grunddaten'!$A$2:$M$297,2,FALSE)="","",VLOOKUP(A170,'Données de base - Grunddaten'!$A$2:$M$297,2,FALSE))</f>
        <v>1</v>
      </c>
      <c r="C170" s="857" t="str">
        <f>IF(VLOOKUP(A170,'Données de base - Grunddaten'!$A$2:$M$297,3,FALSE)="","",VLOOKUP(A170,'Données de base - Grunddaten'!$A$2:$M$297,3,FALSE))</f>
        <v>Rossgarten</v>
      </c>
      <c r="D170" s="857" t="str">
        <f>IF(VLOOKUP(A170,'Données de base - Grunddaten'!$A$2:$M$297,4,FALSE)="","",VLOOKUP(A170,'Données de base - Grunddaten'!$A$2:$M$297,4,FALSE))</f>
        <v>Rhein</v>
      </c>
      <c r="E170" s="857" t="str">
        <f>IF(VLOOKUP(A170,'Données de base - Grunddaten'!$A$2:$M$297,5,FALSE)="","",VLOOKUP(A170,'Données de base - Grunddaten'!$A$2:$M$297,5,FALSE))</f>
        <v>AG</v>
      </c>
      <c r="F170" s="857" t="str">
        <f>IF(VLOOKUP(A170,'Données de base - Grunddaten'!$A$2:$M$297,6,FALSE)="","",VLOOKUP(A170,'Données de base - Grunddaten'!$A$2:$M$297,6,FALSE))</f>
        <v>Bassins lémanique et rhénan</v>
      </c>
      <c r="G170" s="857" t="str">
        <f>IF(VLOOKUP(A170,'Données de base - Grunddaten'!$A$2:$M$297,7,FALSE)="","",VLOOKUP(A170,'Données de base - Grunddaten'!$A$2:$M$297,7,FALSE))</f>
        <v>Collinéen</v>
      </c>
      <c r="H170" s="857">
        <f>IF(VLOOKUP(A170,'Données de base - Grunddaten'!$A$2:$M$297,8,FALSE)="","",VLOOKUP(A170,'Données de base - Grunddaten'!$A$2:$M$297,8,FALSE))</f>
        <v>305</v>
      </c>
      <c r="I170" s="857">
        <f>IF(VLOOKUP(A170,'Données de base - Grunddaten'!$A$2:$M$297,9,FALSE)="","",VLOOKUP(A170,'Données de base - Grunddaten'!$A$2:$M$297,9,FALSE))</f>
        <v>1992</v>
      </c>
      <c r="J170" s="857">
        <f>IF(VLOOKUP(A170,'Données de base - Grunddaten'!$A$2:$M$297,10,FALSE)="","",VLOOKUP(A170,'Données de base - Grunddaten'!$A$2:$M$297,10,FALSE))</f>
        <v>51</v>
      </c>
      <c r="K170" s="857" t="str">
        <f>IF(VLOOKUP(A170,'Données de base - Grunddaten'!$A$2:$M$297,11,FALSE)="","",VLOOKUP(A170,'Données de base - Grunddaten'!$A$2:$M$297,11,FALSE))</f>
        <v>Cours d'eau naturels de l'étage collinéen du Moyen-Pays</v>
      </c>
      <c r="L170" s="857" t="str">
        <f>IF(VLOOKUP(A170,'Données de base - Grunddaten'!$A$2:$M$297,12,FALSE)="","",VLOOKUP(A170,'Données de base - Grunddaten'!$A$2:$M$297,12,FALSE))</f>
        <v>cours rectiligne</v>
      </c>
      <c r="M170" s="858" t="str">
        <f>IF(VLOOKUP(A170,'Données de base - Grunddaten'!$A$2:$M$297,13,FALSE)="","",VLOOKUP(A170,'Données de base - Grunddaten'!$A$2:$M$297,13,FALSE))</f>
        <v>cours rectiligne</v>
      </c>
      <c r="N170" s="872" t="str">
        <f>IF(VLOOKUP(A170,'Charriage - Geschiebehaushalt'!$A$4:$R$275,5,FALSE)="","",VLOOKUP(A170,'Charriage - Geschiebehaushalt'!$A$4:$R$275,5,FALSE))</f>
        <v>pertinent</v>
      </c>
      <c r="O170" s="873" t="str">
        <f>IF(VLOOKUP(A170,'Charriage - Geschiebehaushalt'!$A$4:$R$275,6,FALSE)="","",VLOOKUP(A170,'Charriage - Geschiebehaushalt'!$A$4:$R$275,6,FALSE))</f>
        <v>81 -100%</v>
      </c>
      <c r="P170" s="874" t="str">
        <f>IF(VLOOKUP(A170,'Charriage - Geschiebehaushalt'!$A$4:$R$275,7,FALSE)="","",VLOOKUP(A170,'Charriage - Geschiebehaushalt'!$A$4:$R$275,7,FALSE))</f>
        <v/>
      </c>
      <c r="Q170" s="874" t="str">
        <f>IF(VLOOKUP(A170,'Charriage - Geschiebehaushalt'!$A$4:$R$275,8,FALSE)="","",VLOOKUP(A170,'Charriage - Geschiebehaushalt'!$A$4:$R$275,8,FALSE))</f>
        <v>non documenté</v>
      </c>
      <c r="R170" s="875">
        <f>IF(VLOOKUP(A170,'Charriage - Geschiebehaushalt'!$A$4:$R$275,9,FALSE)="","",VLOOKUP(A170,'Charriage - Geschiebehaushalt'!$A$4:$R$275,9,FALSE))</f>
        <v>0.83636143654636697</v>
      </c>
      <c r="S170" s="876" t="str">
        <f>IF(VLOOKUP(A170,'Charriage - Geschiebehaushalt'!$A$4:$R$275,10,FALSE)="","",VLOOKUP(A170,'Charriage - Geschiebehaushalt'!$A$4:$R$275,10,FALSE))</f>
        <v>la remobilisation des sédiments est perturbée</v>
      </c>
      <c r="T170" s="875">
        <f>IF(VLOOKUP(A170,'Charriage - Geschiebehaushalt'!$A$4:$R$275,11,FALSE)="","",VLOOKUP(A170,'Charriage - Geschiebehaushalt'!$A$4:$R$275,11,FALSE))</f>
        <v>0.46476588551999998</v>
      </c>
      <c r="U170" s="876" t="str">
        <f>IF(VLOOKUP(A170,'Charriage - Geschiebehaushalt'!$A$4:$R$275,12,FALSE)="","",VLOOKUP(A170,'Charriage - Geschiebehaushalt'!$A$4:$R$275,12,FALSE))</f>
        <v>déficit non apparent en charriage ou en remobilisation des sédiments</v>
      </c>
      <c r="V170" s="877" t="str">
        <f>IF(VLOOKUP(A170,'Charriage - Geschiebehaushalt'!$A$4:$R$275,13,FALSE)="","",VLOOKUP(A170,'Charriage - Geschiebehaushalt'!$A$4:$R$275,13,FALSE))</f>
        <v/>
      </c>
      <c r="W170" s="877" t="str">
        <f>IF(VLOOKUP(A170,'Charriage - Geschiebehaushalt'!$A$4:$R$275,14,FALSE)="","",VLOOKUP(A170,'Charriage - Geschiebehaushalt'!$A$4:$R$275,14,FALSE))</f>
        <v/>
      </c>
      <c r="X170" s="877" t="str">
        <f>IF(VLOOKUP(A170,'Charriage - Geschiebehaushalt'!$A$4:$R$275,15,FALSE)="","",VLOOKUP(A170,'Charriage - Geschiebehaushalt'!$A$4:$R$275,15,FALSE))</f>
        <v/>
      </c>
      <c r="Y170" s="879" t="str">
        <f>IF(VLOOKUP(A170,'Charriage - Geschiebehaushalt'!$A$4:$R$275,16,FALSE)="","",VLOOKUP(A170,'Charriage - Geschiebehaushalt'!$A$4:$R$275,16,FALSE))</f>
        <v/>
      </c>
      <c r="Z170" s="763" t="str">
        <f>IF(VLOOKUP(A170,'Charriage - Geschiebehaushalt'!$A$4:$R$275,17,FALSE)="","",VLOOKUP(A170,'Charriage - Geschiebehaushalt'!$A$4:$R$275,17,FALSE))</f>
        <v>81 -100%</v>
      </c>
      <c r="AA170" s="880" t="str">
        <f>IF(VLOOKUP(A170,'Charriage - Geschiebehaushalt'!$A$4:$R$275,18,FALSE)="","",VLOOKUP(A170,'Charriage - Geschiebehaushalt'!$A$4:$R$275,18,FALSE))</f>
        <v>a</v>
      </c>
      <c r="AB170" s="737" t="str">
        <f>IF(VLOOKUP(A170,'Charriage - Geschiebehaushalt'!$A$4:$AC$275,19,FALSE)="","",VLOOKUP(A170,'Charriage - Geschiebehaushalt'!$A$4:$AC$275,19,FALSE))</f>
        <v>-</v>
      </c>
      <c r="AC170" s="738" t="str">
        <f>IF(VLOOKUP(A170,'Charriage - Geschiebehaushalt'!$A$4:$AC$275,20,FALSE)="","",VLOOKUP(A170,'Charriage - Geschiebehaushalt'!$A$4:$AC$275,20,FALSE))</f>
        <v>-</v>
      </c>
      <c r="AD170" s="764" t="str">
        <f>IF(VLOOKUP(A170,'Charriage - Geschiebehaushalt'!$A$4:$AC$275,21,FALSE)="","",VLOOKUP(A170,'Charriage - Geschiebehaushalt'!$A$4:$AC$275,21,FALSE))</f>
        <v/>
      </c>
      <c r="AE170" s="740" t="str">
        <f>IF(VLOOKUP(A170,'Charriage - Geschiebehaushalt'!$A$4:$AC$275,22,FALSE)="","",VLOOKUP(A170,'Charriage - Geschiebehaushalt'!$A$4:$AC$275,22,FALSE))</f>
        <v>81-100%</v>
      </c>
      <c r="AF170" s="787" t="str">
        <f>IF(VLOOKUP(A170,'Charriage - Geschiebehaushalt'!$A$4:$AC$275,23,FALSE)="","",VLOOKUP(A170,'Charriage - Geschiebehaushalt'!$A$4:$AC$275,23,FALSE))</f>
        <v>a</v>
      </c>
      <c r="AG170" s="765" t="str">
        <f>IF(VLOOKUP(A170,'Charriage - Geschiebehaushalt'!$A$4:$AC$275,24,FALSE)="","",VLOOKUP(A170,'Charriage - Geschiebehaushalt'!$A$4:$AC$275,24,FALSE))</f>
        <v/>
      </c>
      <c r="AH170" s="764" t="str">
        <f>IF(VLOOKUP(A170,'Charriage - Geschiebehaushalt'!$A$4:$AC$275,25,FALSE)="","",VLOOKUP(A170,'Charriage - Geschiebehaushalt'!$A$4:$AC$275,25,FALSE))</f>
        <v/>
      </c>
      <c r="AI170" s="433" t="str">
        <f>IF(VLOOKUP(A170,'Charriage - Geschiebehaushalt'!$A$4:$AC$275,26,FALSE)="","",VLOOKUP(A170,'Charriage - Geschiebehaushalt'!$A$4:$AC$275,26,FALSE))</f>
        <v/>
      </c>
      <c r="AJ170" s="434" t="str">
        <f>IF(VLOOKUP(A170,'Charriage - Geschiebehaushalt'!$A$4:$AC$275,27,FALSE)="","",VLOOKUP(A170,'Charriage - Geschiebehaushalt'!$A$4:$AC$275,27,FALSE))</f>
        <v/>
      </c>
      <c r="AK170" s="801" t="str">
        <f>IF(VLOOKUP(A170,'Charriage - Geschiebehaushalt'!$A$4:$AC$275,28,FALSE)="","",VLOOKUP(A170,'Charriage - Geschiebehaushalt'!$A$4:$AC$275,28,FALSE))</f>
        <v>81-100%</v>
      </c>
      <c r="AL170" s="1285" t="str">
        <f>IF(VLOOKUP(A170,'Charriage - Geschiebehaushalt'!$A$4:$AD$275,30,FALSE)="","",VLOOKUP(A170,'Charriage - Geschiebehaushalt'!$A$4:$AD$275,30,FALSE))</f>
        <v>a</v>
      </c>
      <c r="AM170" s="1279" t="str">
        <f>IF(VLOOKUP(A170,'Débit - Abfluss'!$A$4:$K$275,5,FALSE)="","",VLOOKUP(A170,'Débit - Abfluss'!$A$4:$M$275,5,FALSE))</f>
        <v>0-20%</v>
      </c>
      <c r="AN170" s="868" t="str">
        <f>IF(VLOOKUP(A170,'Débit - Abfluss'!$A$4:$K$275,6,FALSE)="","",VLOOKUP(A170,'Débit - Abfluss'!$A$4:$M$275,6,FALSE))</f>
        <v/>
      </c>
      <c r="AO170" s="869" t="str">
        <f>IF(VLOOKUP(A170,'Débit - Abfluss'!$A$4:$K$275,7,FALSE)="","",VLOOKUP(A170,'Débit - Abfluss'!$A$4:$M$275,7,FALSE))</f>
        <v/>
      </c>
      <c r="AP170" s="766" t="str">
        <f>IF(VLOOKUP(A170,'Débit - Abfluss'!$A$4:$K$275,8,FALSE)="","",VLOOKUP(A170,'Débit - Abfluss'!$A$4:$M$275,8,FALSE))</f>
        <v>0-20%</v>
      </c>
      <c r="AQ170" s="678" t="str">
        <f>IF(VLOOKUP(A170,'Débit - Abfluss'!$A$4:$K$275,9,FALSE)="","",VLOOKUP(A170,'Débit - Abfluss'!$A$4:$M$275,9,FALSE))</f>
        <v>&gt;90%</v>
      </c>
      <c r="AR170" s="773" t="str">
        <f>IF(VLOOKUP(A170,'Débit - Abfluss'!$A$4:$K$275,10,FALSE)="","",VLOOKUP(A170,'Débit - Abfluss'!$A$4:$M$275,10,FALSE))</f>
        <v>0-20%</v>
      </c>
      <c r="AS170" s="773" t="str">
        <f>IF(VLOOKUP(A170,'Débit - Abfluss'!$A$4:$K$275,11,FALSE)="","",VLOOKUP(A170,'Débit - Abfluss'!$A$4:$M$275,11,FALSE))</f>
        <v>X</v>
      </c>
      <c r="AT170" s="744" t="str">
        <f>IF(VLOOKUP(A170,'Débit - Abfluss'!$A$4:$Q$275,12,FALSE)="","",VLOOKUP(A170,'Débit - Abfluss'!$A$4:$Q$275,12,FALSE))</f>
        <v/>
      </c>
      <c r="AU170" s="745" t="str">
        <f>IF(VLOOKUP(A170,'Débit - Abfluss'!$A$4:$Q$275,13,FALSE)="","",VLOOKUP(A170,'Débit - Abfluss'!$A$4:$Q$275,13,FALSE))</f>
        <v/>
      </c>
      <c r="AV170" s="746" t="str">
        <f>IF(VLOOKUP(A170,'Débit - Abfluss'!$A$4:$Q$275,14,FALSE)="","",VLOOKUP(A170,'Débit - Abfluss'!$A$4:$Q$275,14,FALSE))</f>
        <v>AG-W853</v>
      </c>
      <c r="AW170" s="768" t="str">
        <f>IF(VLOOKUP(A170,'Débit - Abfluss'!$A$4:$Q$275,15,FALSE)="","",VLOOKUP(A170,'Débit - Abfluss'!$A$4:$Q$275,15,FALSE))</f>
        <v>Albbruck</v>
      </c>
      <c r="AX170" s="679" t="str">
        <f>IF(VLOOKUP(A170,'Débit - Abfluss'!$A$4:$Q$275,16,FALSE)="","",VLOOKUP(A170,'Débit - Abfluss'!$A$4:$Q$275,16,FALSE))</f>
        <v>Restwassermenge 200 m3/s</v>
      </c>
      <c r="AY170" s="775" t="str">
        <f>IF(VLOOKUP(A170,'Débit - Abfluss'!$A$4:$Q$275,17,FALSE)="","",VLOOKUP(A170,'Débit - Abfluss'!$A$4:$Q$275,17,FALSE))</f>
        <v>0-20%</v>
      </c>
      <c r="AZ170" s="749" t="str">
        <f>IF(VLOOKUP(A170,'Eclusée - Schwall-Sunk'!$A$2:$F$273,5,FALSE)="","",VLOOKUP(A170,'Eclusée - Schwall-Sunk'!$A$2:$F$273,5,FALSE))</f>
        <v>force hydraulique</v>
      </c>
      <c r="BA170" s="750" t="str">
        <f>IF(VLOOKUP(A170,'Eclusée - Schwall-Sunk'!$A$2:$F$273,6,FALSE)="","",VLOOKUP(A170,'Eclusée - Schwall-Sunk'!$A$2:$F$273,6,FALSE))</f>
        <v>Potentiellement affecté mais non plausible / möglicherweise betroffen aber nicht nachweisbar</v>
      </c>
      <c r="BB170" s="751">
        <f>IF(VLOOKUP(A170,'Revitalisation-Revitalisierung'!$A$4:$Z$275,5,FALSE)="","",VLOOKUP(A170,'Revitalisation-Revitalisierung'!$A$4:$Z$275,5,FALSE))</f>
        <v>43.290909090909096</v>
      </c>
      <c r="BC170" s="752">
        <f>IF(VLOOKUP(A170,'Revitalisation-Revitalisierung'!$A$4:$Z$275,6,FALSE)="","",VLOOKUP(A170,'Revitalisation-Revitalisierung'!$A$4:$Z$275,6,FALSE))</f>
        <v>44.169296445415547</v>
      </c>
      <c r="BD170" s="752">
        <f>IF(VLOOKUP(A170,'Revitalisation-Revitalisierung'!$A$4:$Z$275,7,FALSE)="","",VLOOKUP(A170,'Revitalisation-Revitalisierung'!$A$4:$Z$275,7,FALSE))</f>
        <v>0.90909090909090906</v>
      </c>
      <c r="BE170" s="753" t="str">
        <f>IF(VLOOKUP(A170,'Revitalisation-Revitalisierung'!$A$4:$Z$275,8,FALSE)="","",VLOOKUP(A170,'Revitalisation-Revitalisierung'!$A$4:$Z$275,8,FALSE))</f>
        <v>très nécessaire, facile</v>
      </c>
      <c r="BF170" s="754" t="str">
        <f>IF(VLOOKUP(A170,'Revitalisation-Revitalisierung'!$A$4:$Z$275,9,FALSE)="","",VLOOKUP(A170,'Revitalisation-Revitalisierung'!$A$4:$Z$275,9,FALSE))</f>
        <v/>
      </c>
      <c r="BG170" s="754" t="str">
        <f>IF(VLOOKUP(A170,'Revitalisation-Revitalisierung'!$A$4:$Z$275,10,FALSE)="","",VLOOKUP(A170,'Revitalisation-Revitalisierung'!$A$4:$Z$275,10,FALSE))</f>
        <v>K1</v>
      </c>
      <c r="BH170" s="755" t="str">
        <f>IF(VLOOKUP(A170,'Revitalisation-Revitalisierung'!$A$4:$Z$275,11,FALSE)="","",VLOOKUP(A170,'Revitalisation-Revitalisierung'!$A$4:$Z$275,11,FALSE))</f>
        <v/>
      </c>
      <c r="BI170" s="756" t="str">
        <f>IF(VLOOKUP(A170,'Revitalisation-Revitalisierung'!$A$4:$Z$275,12,FALSE)="","",VLOOKUP(A170,'Revitalisation-Revitalisierung'!$A$4:$Z$275,12,FALSE))</f>
        <v/>
      </c>
      <c r="BJ170" s="788" t="str">
        <f>IF(VLOOKUP(A170,'Revitalisation-Revitalisierung'!$A$4:$Z$275,13,FALSE)="","",VLOOKUP(A170,'Revitalisation-Revitalisierung'!$A$4:$Z$275,13,FALSE))</f>
        <v>Très nécessaire, facile / unbedingt nötig, einfach</v>
      </c>
      <c r="BK170" s="870" t="str">
        <f>IF(VLOOKUP(A170,'Revitalisation-Revitalisierung'!$A$4:$Z$275,14,FALSE)="","",VLOOKUP(A170,'Revitalisation-Revitalisierung'!$A$4:$Z$275,14,FALSE))</f>
        <v>a</v>
      </c>
      <c r="BL170" s="758" t="str">
        <f>IF(VLOOKUP(A170,'Revitalisation-Revitalisierung'!$A$4:$Z$275,15,FALSE)="","",VLOOKUP(A170,'Revitalisation-Revitalisierung'!$A$4:$Z$275,15,FALSE))</f>
        <v>gross</v>
      </c>
      <c r="BM170" s="759" t="str">
        <f>IF(VLOOKUP(A170,'Revitalisation-Revitalisierung'!$A$4:$Z$275,16,FALSE)="","",VLOOKUP(A170,'Revitalisation-Revitalisierung'!$A$4:$Z$275,16,FALSE))</f>
        <v>gross</v>
      </c>
      <c r="BN170" s="759" t="str">
        <f>IF(VLOOKUP(A170,'Revitalisation-Revitalisierung'!$A$4:$Z$275,17,FALSE)="","",VLOOKUP(A170,'Revitalisation-Revitalisierung'!$A$4:$Z$275,17,FALSE))</f>
        <v>langfristig (80 Jahre)</v>
      </c>
      <c r="BO170" s="760" t="str">
        <f>IF(VLOOKUP(A170,'Revitalisation-Revitalisierung'!$A$4:$Z$275,18,FALSE)="","",VLOOKUP(A170,'Revitalisation-Revitalisierung'!$A$4:$Z$275,18,FALSE))</f>
        <v>Très nécessaire, facile / unbedingt nötig, einfach</v>
      </c>
      <c r="BP170" s="761" t="str">
        <f>IF(VLOOKUP(A170,'Revitalisation-Revitalisierung'!$A$4:$Z$275,19,FALSE)="","",VLOOKUP(A170,'Revitalisation-Revitalisierung'!$A$4:$Z$275,19,FALSE))</f>
        <v>Très nécessaire, facile / unbedingt nötig, einfach</v>
      </c>
      <c r="BQ170" s="762" t="str">
        <f>IF(VLOOKUP(A170,'Revitalisation-Revitalisierung'!$A$4:$Z$275,20,FALSE)="","",VLOOKUP(A170,'Revitalisation-Revitalisierung'!$A$4:$Z$275,20,FALSE))</f>
        <v>d</v>
      </c>
      <c r="BR170" s="777" t="str">
        <f>IF(VLOOKUP(A170,'Revitalisation-Revitalisierung'!$A$4:$Z$275,21,FALSE)="","",VLOOKUP(A170,'Revitalisation-Revitalisierung'!$A$4:$Z$275,21,FALSE))</f>
        <v/>
      </c>
      <c r="BS170" s="762" t="str">
        <f>IF(VLOOKUP(A170,'Revitalisation-Revitalisierung'!$A$4:$Z$275,22,FALSE)="","",VLOOKUP(A170,'Revitalisation-Revitalisierung'!$A$4:$Z$275,22,FALSE))</f>
        <v/>
      </c>
      <c r="BT170" s="701" t="str">
        <f>IF(VLOOKUP(A170,'Revitalisation-Revitalisierung'!$A$4:$Z$275,23,FALSE)="","",VLOOKUP(A170,'Revitalisation-Revitalisierung'!$A$4:$Z$275,23,FALSE))</f>
        <v/>
      </c>
      <c r="BU170" s="701" t="str">
        <f>IF(VLOOKUP(A170,'Revitalisation-Revitalisierung'!$A$4:$Z$275,24,FALSE)="","",VLOOKUP(A170,'Revitalisation-Revitalisierung'!$A$4:$Z$275,24,FALSE))</f>
        <v>Der ASP sieht keinen unbedingt nötigen Handlungsbedarf.</v>
      </c>
      <c r="BV170" s="761" t="str">
        <f>IF(VLOOKUP(A170,'Revitalisation-Revitalisierung'!$A$4:$Z$275,25,FALSE)="","",VLOOKUP(A170,'Revitalisation-Revitalisierung'!$A$4:$Z$275,25,FALSE))</f>
        <v>Partiellement nécessaire, facile / teilweise nötig, einfach</v>
      </c>
      <c r="BW170" s="871" t="str">
        <f>IF(VLOOKUP(A170,'Revitalisation-Revitalisierung'!$A$4:$AA$275,27,FALSE)="","",VLOOKUP(A170,'Revitalisation-Revitalisierung'!$A$4:$AA$275,27,FALSE))</f>
        <v>b</v>
      </c>
    </row>
    <row r="171" spans="1:75" ht="97.15" customHeight="1" x14ac:dyDescent="0.25">
      <c r="A171" s="937">
        <v>221</v>
      </c>
      <c r="B171" s="856">
        <f>IF(VLOOKUP(A171,'Données de base - Grunddaten'!$A$2:$M$297,2,FALSE)="","",VLOOKUP(A171,'Données de base - Grunddaten'!$A$2:$M$297,2,FALSE))</f>
        <v>1</v>
      </c>
      <c r="C171" s="857" t="str">
        <f>IF(VLOOKUP(A171,'Données de base - Grunddaten'!$A$2:$M$297,3,FALSE)="","",VLOOKUP(A171,'Données de base - Grunddaten'!$A$2:$M$297,3,FALSE))</f>
        <v>Aare bei Altreu</v>
      </c>
      <c r="D171" s="857" t="str">
        <f>IF(VLOOKUP(A171,'Données de base - Grunddaten'!$A$2:$M$297,4,FALSE)="","",VLOOKUP(A171,'Données de base - Grunddaten'!$A$2:$M$297,4,FALSE))</f>
        <v>Aare</v>
      </c>
      <c r="E171" s="857" t="str">
        <f>IF(VLOOKUP(A171,'Données de base - Grunddaten'!$A$2:$M$297,5,FALSE)="","",VLOOKUP(A171,'Données de base - Grunddaten'!$A$2:$M$297,5,FALSE))</f>
        <v>BE/SO</v>
      </c>
      <c r="F171" s="857" t="str">
        <f>IF(VLOOKUP(A171,'Données de base - Grunddaten'!$A$2:$M$297,6,FALSE)="","",VLOOKUP(A171,'Données de base - Grunddaten'!$A$2:$M$297,6,FALSE))</f>
        <v>Plateau occidental, Jura et Randen</v>
      </c>
      <c r="G171" s="857" t="str">
        <f>IF(VLOOKUP(A171,'Données de base - Grunddaten'!$A$2:$M$297,7,FALSE)="","",VLOOKUP(A171,'Données de base - Grunddaten'!$A$2:$M$297,7,FALSE))</f>
        <v>Collinéen</v>
      </c>
      <c r="H171" s="857">
        <f>IF(VLOOKUP(A171,'Données de base - Grunddaten'!$A$2:$M$297,8,FALSE)="","",VLOOKUP(A171,'Données de base - Grunddaten'!$A$2:$M$297,8,FALSE))</f>
        <v>428</v>
      </c>
      <c r="I171" s="857">
        <f>IF(VLOOKUP(A171,'Données de base - Grunddaten'!$A$2:$M$297,9,FALSE)="","",VLOOKUP(A171,'Données de base - Grunddaten'!$A$2:$M$297,9,FALSE))</f>
        <v>1992</v>
      </c>
      <c r="J171" s="857">
        <f>IF(VLOOKUP(A171,'Données de base - Grunddaten'!$A$2:$M$297,10,FALSE)="","",VLOOKUP(A171,'Données de base - Grunddaten'!$A$2:$M$297,10,FALSE))</f>
        <v>51</v>
      </c>
      <c r="K171" s="857" t="str">
        <f>IF(VLOOKUP(A171,'Données de base - Grunddaten'!$A$2:$M$297,11,FALSE)="","",VLOOKUP(A171,'Données de base - Grunddaten'!$A$2:$M$297,11,FALSE))</f>
        <v>Cours d'eau naturels de l'étage collinéen du Moyen-Pays</v>
      </c>
      <c r="L171" s="857" t="str">
        <f>IF(VLOOKUP(A171,'Données de base - Grunddaten'!$A$2:$M$297,12,FALSE)="","",VLOOKUP(A171,'Données de base - Grunddaten'!$A$2:$M$297,12,FALSE))</f>
        <v>méandres migrants</v>
      </c>
      <c r="M171" s="858" t="str">
        <f>IF(VLOOKUP(A171,'Données de base - Grunddaten'!$A$2:$M$297,13,FALSE)="","",VLOOKUP(A171,'Données de base - Grunddaten'!$A$2:$M$297,13,FALSE))</f>
        <v>méandres migrants</v>
      </c>
      <c r="N171" s="872" t="str">
        <f>IF(VLOOKUP(A171,'Charriage - Geschiebehaushalt'!$A$4:$R$275,5,FALSE)="","",VLOOKUP(A171,'Charriage - Geschiebehaushalt'!$A$4:$R$275,5,FALSE))</f>
        <v>pertinent</v>
      </c>
      <c r="O171" s="881" t="str">
        <f>IF(VLOOKUP(A171,'Charriage - Geschiebehaushalt'!$A$4:$R$275,6,FALSE)="","",VLOOKUP(A171,'Charriage - Geschiebehaushalt'!$A$4:$R$275,6,FALSE))</f>
        <v>non documenté</v>
      </c>
      <c r="P171" s="874" t="str">
        <f>IF(VLOOKUP(A171,'Charriage - Geschiebehaushalt'!$A$4:$R$275,7,FALSE)="","",VLOOKUP(A171,'Charriage - Geschiebehaushalt'!$A$4:$R$275,7,FALSE))</f>
        <v/>
      </c>
      <c r="Q171" s="874" t="str">
        <f>IF(VLOOKUP(A171,'Charriage - Geschiebehaushalt'!$A$4:$R$275,8,FALSE)="","",VLOOKUP(A171,'Charriage - Geschiebehaushalt'!$A$4:$R$275,8,FALSE))</f>
        <v>non documenté</v>
      </c>
      <c r="R171" s="875">
        <f>IF(VLOOKUP(A171,'Charriage - Geschiebehaushalt'!$A$4:$R$275,9,FALSE)="","",VLOOKUP(A171,'Charriage - Geschiebehaushalt'!$A$4:$R$275,9,FALSE))</f>
        <v>2.0170467065000801E-2</v>
      </c>
      <c r="S171" s="876" t="str">
        <f>IF(VLOOKUP(A171,'Charriage - Geschiebehaushalt'!$A$4:$R$275,10,FALSE)="","",VLOOKUP(A171,'Charriage - Geschiebehaushalt'!$A$4:$R$275,10,FALSE))</f>
        <v>pas ou faiblement entravé</v>
      </c>
      <c r="T171" s="875">
        <f>IF(VLOOKUP(A171,'Charriage - Geschiebehaushalt'!$A$4:$R$275,11,FALSE)="","",VLOOKUP(A171,'Charriage - Geschiebehaushalt'!$A$4:$R$275,11,FALSE))</f>
        <v>0.14740706562</v>
      </c>
      <c r="U171" s="876" t="str">
        <f>IF(VLOOKUP(A171,'Charriage - Geschiebehaushalt'!$A$4:$R$275,12,FALSE)="","",VLOOKUP(A171,'Charriage - Geschiebehaushalt'!$A$4:$R$275,12,FALSE))</f>
        <v>déficit dans les formations pionnières</v>
      </c>
      <c r="V171" s="877" t="str">
        <f>IF(VLOOKUP(A171,'Charriage - Geschiebehaushalt'!$A$4:$R$275,13,FALSE)="","",VLOOKUP(A171,'Charriage - Geschiebehaushalt'!$A$4:$R$275,13,FALSE))</f>
        <v>Pas de sédiments en provenance du Lac de Bienne, ni d'affluents. Charriage très faible naturel depuis 2ème correction des eaux du Jura</v>
      </c>
      <c r="W171" s="878" t="str">
        <f>IF(VLOOKUP(A171,'Charriage - Geschiebehaushalt'!$A$4:$R$275,14,FALSE)="","",VLOOKUP(A171,'Charriage - Geschiebehaushalt'!$A$4:$R$275,14,FALSE))</f>
        <v>charriage présumé naturel</v>
      </c>
      <c r="X171" s="878" t="str">
        <f>IF(VLOOKUP(A171,'Charriage - Geschiebehaushalt'!$A$4:$R$275,15,FALSE)="","",VLOOKUP(A171,'Charriage - Geschiebehaushalt'!$A$4:$R$275,15,FALSE))</f>
        <v/>
      </c>
      <c r="Y171" s="882" t="str">
        <f>IF(VLOOKUP(A171,'Charriage - Geschiebehaushalt'!$A$4:$R$275,16,FALSE)="","",VLOOKUP(A171,'Charriage - Geschiebehaushalt'!$A$4:$R$275,16,FALSE))</f>
        <v/>
      </c>
      <c r="Z171" s="763" t="str">
        <f>IF(VLOOKUP(A171,'Charriage - Geschiebehaushalt'!$A$4:$R$275,17,FALSE)="","",VLOOKUP(A171,'Charriage - Geschiebehaushalt'!$A$4:$R$275,17,FALSE))</f>
        <v>Charriage présumé perturbé / Geschiebehaushalt vermutlich beeinträchtigt</v>
      </c>
      <c r="AA171" s="880" t="str">
        <f>IF(VLOOKUP(A171,'Charriage - Geschiebehaushalt'!$A$4:$R$275,18,FALSE)="","",VLOOKUP(A171,'Charriage - Geschiebehaushalt'!$A$4:$R$275,18,FALSE))</f>
        <v>b</v>
      </c>
      <c r="AB171" s="737" t="str">
        <f>IF(VLOOKUP(A171,'Charriage - Geschiebehaushalt'!$A$4:$AC$275,19,FALSE)="","",VLOOKUP(A171,'Charriage - Geschiebehaushalt'!$A$4:$AC$275,19,FALSE))</f>
        <v>- /
-</v>
      </c>
      <c r="AC171" s="738" t="str">
        <f>IF(VLOOKUP(A171,'Charriage - Geschiebehaushalt'!$A$4:$AC$275,20,FALSE)="","",VLOOKUP(A171,'Charriage - Geschiebehaushalt'!$A$4:$AC$275,20,FALSE))</f>
        <v>- /
-</v>
      </c>
      <c r="AD171" s="764" t="str">
        <f>IF(VLOOKUP(A171,'Charriage - Geschiebehaushalt'!$A$4:$AC$275,21,FALSE)="","",VLOOKUP(A171,'Charriage - Geschiebehaushalt'!$A$4:$AC$275,21,FALSE))</f>
        <v/>
      </c>
      <c r="AE171" s="740" t="str">
        <f>IF(VLOOKUP(A171,'Charriage - Geschiebehaushalt'!$A$4:$AC$275,22,FALSE)="","",VLOOKUP(A171,'Charriage - Geschiebehaushalt'!$A$4:$AC$275,22,FALSE))</f>
        <v>51-80%</v>
      </c>
      <c r="AF171" s="787" t="str">
        <f>IF(VLOOKUP(A171,'Charriage - Geschiebehaushalt'!$A$4:$AC$275,23,FALSE)="","",VLOOKUP(A171,'Charriage - Geschiebehaushalt'!$A$4:$AC$275,23,FALSE))</f>
        <v>b</v>
      </c>
      <c r="AG171" s="765" t="str">
        <f>IF(VLOOKUP(A171,'Charriage - Geschiebehaushalt'!$A$4:$AC$275,24,FALSE)="","",VLOOKUP(A171,'Charriage - Geschiebehaushalt'!$A$4:$AC$275,24,FALSE))</f>
        <v>Interkantonale Aareplanung;GESCHIEBE: Keine relevanten Geschiebezubringer nach Bielersee.</v>
      </c>
      <c r="AH171" s="764" t="str">
        <f>IF(VLOOKUP(A171,'Charriage - Geschiebehaushalt'!$A$4:$AC$275,25,FALSE)="","",VLOOKUP(A171,'Charriage - Geschiebehaushalt'!$A$4:$AC$275,25,FALSE))</f>
        <v/>
      </c>
      <c r="AI171" s="433" t="str">
        <f>IF(VLOOKUP(A171,'Charriage - Geschiebehaushalt'!$A$4:$AC$275,26,FALSE)="","",VLOOKUP(A171,'Charriage - Geschiebehaushalt'!$A$4:$AC$275,26,FALSE))</f>
        <v/>
      </c>
      <c r="AJ171" s="436" t="str">
        <f>IF(VLOOKUP(A171,'Charriage - Geschiebehaushalt'!$A$4:$AC$275,27,FALSE)="","",VLOOKUP(A171,'Charriage - Geschiebehaushalt'!$A$4:$AC$275,27,FALSE))</f>
        <v>SO: Hochwasserschutzprojekt Emme in Realisierung  (Kontakt: Ropger Dürrenmatt, Amt für Umwelt, Tel. 032 627 27 67; roger.duerrenmatt@bd.so.ch)</v>
      </c>
      <c r="AK171" s="801" t="str">
        <f>IF(VLOOKUP(A171,'Charriage - Geschiebehaushalt'!$A$4:$AC$275,28,FALSE)="","",VLOOKUP(A171,'Charriage - Geschiebehaushalt'!$A$4:$AC$275,28,FALSE))</f>
        <v>51-80%</v>
      </c>
      <c r="AL171" s="1285" t="str">
        <f>IF(VLOOKUP(A171,'Charriage - Geschiebehaushalt'!$A$4:$AD$275,30,FALSE)="","",VLOOKUP(A171,'Charriage - Geschiebehaushalt'!$A$4:$AD$275,30,FALSE))</f>
        <v>b</v>
      </c>
      <c r="AM171" s="1279" t="str">
        <f>IF(VLOOKUP(A171,'Débit - Abfluss'!$A$4:$K$275,5,FALSE)="","",VLOOKUP(A171,'Débit - Abfluss'!$A$4:$M$275,5,FALSE))</f>
        <v>81-100%</v>
      </c>
      <c r="AN171" s="868" t="str">
        <f>IF(VLOOKUP(A171,'Débit - Abfluss'!$A$4:$K$275,6,FALSE)="","",VLOOKUP(A171,'Débit - Abfluss'!$A$4:$M$275,6,FALSE))</f>
        <v/>
      </c>
      <c r="AO171" s="869" t="str">
        <f>IF(VLOOKUP(A171,'Débit - Abfluss'!$A$4:$K$275,7,FALSE)="","",VLOOKUP(A171,'Débit - Abfluss'!$A$4:$M$275,7,FALSE))</f>
        <v/>
      </c>
      <c r="AP171" s="766" t="str">
        <f>IF(VLOOKUP(A171,'Débit - Abfluss'!$A$4:$K$275,8,FALSE)="","",VLOOKUP(A171,'Débit - Abfluss'!$A$4:$M$275,8,FALSE))</f>
        <v>81-100%</v>
      </c>
      <c r="AQ171" s="742" t="str">
        <f>IF(VLOOKUP(A171,'Débit - Abfluss'!$A$4:$K$275,9,FALSE)="","",VLOOKUP(A171,'Débit - Abfluss'!$A$4:$M$275,9,FALSE))</f>
        <v>-</v>
      </c>
      <c r="AR171" s="767" t="str">
        <f>IF(VLOOKUP(A171,'Débit - Abfluss'!$A$4:$K$275,10,FALSE)="","",VLOOKUP(A171,'Débit - Abfluss'!$A$4:$M$275,10,FALSE))</f>
        <v>81-100%</v>
      </c>
      <c r="AS171" s="767" t="str">
        <f>IF(VLOOKUP(A171,'Débit - Abfluss'!$A$4:$K$275,11,FALSE)="","",VLOOKUP(A171,'Débit - Abfluss'!$A$4:$M$275,11,FALSE))</f>
        <v/>
      </c>
      <c r="AT171" s="744" t="str">
        <f>IF(VLOOKUP(A171,'Débit - Abfluss'!$A$4:$Q$275,12,FALSE)="","",VLOOKUP(A171,'Débit - Abfluss'!$A$4:$Q$275,12,FALSE))</f>
        <v/>
      </c>
      <c r="AU171" s="745" t="str">
        <f>IF(VLOOKUP(A171,'Débit - Abfluss'!$A$4:$Q$275,13,FALSE)="","",VLOOKUP(A171,'Débit - Abfluss'!$A$4:$Q$275,13,FALSE))</f>
        <v/>
      </c>
      <c r="AV171" s="746" t="str">
        <f>IF(VLOOKUP(A171,'Débit - Abfluss'!$A$4:$Q$275,14,FALSE)="","",VLOOKUP(A171,'Débit - Abfluss'!$A$4:$Q$275,14,FALSE))</f>
        <v/>
      </c>
      <c r="AW171" s="768" t="str">
        <f>IF(VLOOKUP(A171,'Débit - Abfluss'!$A$4:$Q$275,15,FALSE)="","",VLOOKUP(A171,'Débit - Abfluss'!$A$4:$Q$275,15,FALSE))</f>
        <v/>
      </c>
      <c r="AX171" s="677" t="str">
        <f>IF(VLOOKUP(A171,'Débit - Abfluss'!$A$4:$Q$275,16,FALSE)="","",VLOOKUP(A171,'Débit - Abfluss'!$A$4:$Q$275,16,FALSE))</f>
        <v/>
      </c>
      <c r="AY171" s="802" t="str">
        <f>IF(VLOOKUP(A171,'Débit - Abfluss'!$A$4:$Q$275,17,FALSE)="","",VLOOKUP(A171,'Débit - Abfluss'!$A$4:$Q$275,17,FALSE))</f>
        <v>81-100%</v>
      </c>
      <c r="AZ171" s="749" t="str">
        <f>IF(VLOOKUP(A171,'Eclusée - Schwall-Sunk'!$A$2:$F$273,5,FALSE)="","",VLOOKUP(A171,'Eclusée - Schwall-Sunk'!$A$2:$F$273,5,FALSE))</f>
        <v>force hydraulique</v>
      </c>
      <c r="BA171" s="750" t="str">
        <f>IF(VLOOKUP(A171,'Eclusée - Schwall-Sunk'!$A$2:$F$273,6,FALSE)="","",VLOOKUP(A171,'Eclusée - Schwall-Sunk'!$A$2:$F$273,6,FALSE))</f>
        <v>Non affecté / nicht betroffen</v>
      </c>
      <c r="BB171" s="751">
        <f>IF(VLOOKUP(A171,'Revitalisation-Revitalisierung'!$A$4:$Z$275,5,FALSE)="","",VLOOKUP(A171,'Revitalisation-Revitalisierung'!$A$4:$Z$275,5,FALSE))</f>
        <v>-7.2727272727272725</v>
      </c>
      <c r="BC171" s="752">
        <f>IF(VLOOKUP(A171,'Revitalisation-Revitalisierung'!$A$4:$Z$275,6,FALSE)="","",VLOOKUP(A171,'Revitalisation-Revitalisierung'!$A$4:$Z$275,6,FALSE))</f>
        <v>0</v>
      </c>
      <c r="BD171" s="752">
        <f>IF(VLOOKUP(A171,'Revitalisation-Revitalisierung'!$A$4:$Z$275,7,FALSE)="","",VLOOKUP(A171,'Revitalisation-Revitalisierung'!$A$4:$Z$275,7,FALSE))</f>
        <v>7.2727272727272725</v>
      </c>
      <c r="BE171" s="753" t="str">
        <f>IF(VLOOKUP(A171,'Revitalisation-Revitalisierung'!$A$4:$Z$275,8,FALSE)="","",VLOOKUP(A171,'Revitalisation-Revitalisierung'!$A$4:$Z$275,8,FALSE))</f>
        <v>non nécessaire</v>
      </c>
      <c r="BF171" s="754" t="str">
        <f>IF(VLOOKUP(A171,'Revitalisation-Revitalisierung'!$A$4:$Z$275,9,FALSE)="","",VLOOKUP(A171,'Revitalisation-Revitalisierung'!$A$4:$Z$275,9,FALSE))</f>
        <v/>
      </c>
      <c r="BG171" s="754" t="str">
        <f>IF(VLOOKUP(A171,'Revitalisation-Revitalisierung'!$A$4:$Z$275,10,FALSE)="","",VLOOKUP(A171,'Revitalisation-Revitalisierung'!$A$4:$Z$275,10,FALSE))</f>
        <v>K3</v>
      </c>
      <c r="BH171" s="755" t="str">
        <f>IF(VLOOKUP(A171,'Revitalisation-Revitalisierung'!$A$4:$Z$275,11,FALSE)="","",VLOOKUP(A171,'Revitalisation-Revitalisierung'!$A$4:$Z$275,11,FALSE))</f>
        <v/>
      </c>
      <c r="BI171" s="756" t="str">
        <f>IF(VLOOKUP(A171,'Revitalisation-Revitalisierung'!$A$4:$Z$275,12,FALSE)="","",VLOOKUP(A171,'Revitalisation-Revitalisierung'!$A$4:$Z$275,12,FALSE))</f>
        <v/>
      </c>
      <c r="BJ171" s="788" t="str">
        <f>IF(VLOOKUP(A171,'Revitalisation-Revitalisierung'!$A$4:$Z$275,13,FALSE)="","",VLOOKUP(A171,'Revitalisation-Revitalisierung'!$A$4:$Z$275,13,FALSE))</f>
        <v>Très nécessaire, difficile / unbedingt nötig, schwierig</v>
      </c>
      <c r="BK171" s="870" t="str">
        <f>IF(VLOOKUP(A171,'Revitalisation-Revitalisierung'!$A$4:$Z$275,14,FALSE)="","",VLOOKUP(A171,'Revitalisation-Revitalisierung'!$A$4:$Z$275,14,FALSE))</f>
        <v>b</v>
      </c>
      <c r="BL171" s="758" t="str">
        <f>IF(VLOOKUP(A171,'Revitalisation-Revitalisierung'!$A$4:$Z$275,15,FALSE)="","",VLOOKUP(A171,'Revitalisation-Revitalisierung'!$A$4:$Z$275,15,FALSE))</f>
        <v>mittel/gering /
mittel</v>
      </c>
      <c r="BM171" s="759" t="str">
        <f>IF(VLOOKUP(A171,'Revitalisation-Revitalisierung'!$A$4:$Z$275,16,FALSE)="","",VLOOKUP(A171,'Revitalisation-Revitalisierung'!$A$4:$Z$275,16,FALSE))</f>
        <v>mittel /
mittel</v>
      </c>
      <c r="BN171" s="759" t="str">
        <f>IF(VLOOKUP(A171,'Revitalisation-Revitalisierung'!$A$4:$Z$275,17,FALSE)="","",VLOOKUP(A171,'Revitalisation-Revitalisierung'!$A$4:$Z$275,17,FALSE))</f>
        <v>mittel /
teilweise Umsetzung in den nächsten 20 Jahren</v>
      </c>
      <c r="BO171" s="760" t="str">
        <f>IF(VLOOKUP(A171,'Revitalisation-Revitalisierung'!$A$4:$Z$275,18,FALSE)="","",VLOOKUP(A171,'Revitalisation-Revitalisierung'!$A$4:$Z$275,18,FALSE))</f>
        <v>Partiellement nécessaire, facile / teilweise nötig, einfach</v>
      </c>
      <c r="BP171" s="761" t="str">
        <f>IF(VLOOKUP(A171,'Revitalisation-Revitalisierung'!$A$4:$Z$275,19,FALSE)="","",VLOOKUP(A171,'Revitalisation-Revitalisierung'!$A$4:$Z$275,19,FALSE))</f>
        <v>Partiellement nécessaire, facile / teilweise nötig, einfach</v>
      </c>
      <c r="BQ171" s="759" t="str">
        <f>IF(VLOOKUP(A171,'Revitalisation-Revitalisierung'!$A$4:$Z$275,20,FALSE)="","",VLOOKUP(A171,'Revitalisation-Revitalisierung'!$A$4:$Z$275,20,FALSE))</f>
        <v>c</v>
      </c>
      <c r="BR171" s="759" t="str">
        <f>IF(VLOOKUP(A171,'Revitalisation-Revitalisierung'!$A$4:$Z$275,21,FALSE)="","",VLOOKUP(A171,'Revitalisation-Revitalisierung'!$A$4:$Z$275,21,FALSE))</f>
        <v/>
      </c>
      <c r="BS171" s="762" t="str">
        <f>IF(VLOOKUP(A171,'Revitalisation-Revitalisierung'!$A$4:$Z$275,22,FALSE)="","",VLOOKUP(A171,'Revitalisation-Revitalisierung'!$A$4:$Z$275,22,FALSE))</f>
        <v/>
      </c>
      <c r="BT171" s="703" t="str">
        <f>IF(VLOOKUP(A171,'Revitalisation-Revitalisierung'!$A$4:$Z$275,23,FALSE)="","",VLOOKUP(A171,'Revitalisation-Revitalisierung'!$A$4:$Z$275,23,FALSE))</f>
        <v/>
      </c>
      <c r="BU171" s="699" t="str">
        <f>IF(VLOOKUP(A171,'Revitalisation-Revitalisierung'!$A$4:$Z$275,24,FALSE)="","",VLOOKUP(A171,'Revitalisation-Revitalisierung'!$A$4:$Z$275,24,FALSE))</f>
        <v>Keine Bemerkungen, Erhaltung Schilfflächen durch forstliche Eingriffe</v>
      </c>
      <c r="BV171" s="761" t="str">
        <f>IF(VLOOKUP(A171,'Revitalisation-Revitalisierung'!$A$4:$Z$275,25,FALSE)="","",VLOOKUP(A171,'Revitalisation-Revitalisierung'!$A$4:$Z$275,25,FALSE))</f>
        <v>Partiellement nécessaire, facile / teilweise nötig, einfach</v>
      </c>
      <c r="BW171" s="871" t="str">
        <f>IF(VLOOKUP(A171,'Revitalisation-Revitalisierung'!$A$4:$AA$275,27,FALSE)="","",VLOOKUP(A171,'Revitalisation-Revitalisierung'!$A$4:$AA$275,27,FALSE))</f>
        <v>a</v>
      </c>
    </row>
    <row r="172" spans="1:75" ht="57.6" customHeight="1" x14ac:dyDescent="0.25">
      <c r="A172" s="935">
        <v>222</v>
      </c>
      <c r="B172" s="856">
        <f>IF(VLOOKUP(A172,'Données de base - Grunddaten'!$A$2:$M$297,2,FALSE)="","",VLOOKUP(A172,'Données de base - Grunddaten'!$A$2:$M$297,2,FALSE))</f>
        <v>1</v>
      </c>
      <c r="C172" s="857" t="str">
        <f>IF(VLOOKUP(A172,'Données de base - Grunddaten'!$A$2:$M$297,3,FALSE)="","",VLOOKUP(A172,'Données de base - Grunddaten'!$A$2:$M$297,3,FALSE))</f>
        <v>Heidenweg/St. Petersinsel</v>
      </c>
      <c r="D172" s="857" t="str">
        <f>IF(VLOOKUP(A172,'Données de base - Grunddaten'!$A$2:$M$297,4,FALSE)="","",VLOOKUP(A172,'Données de base - Grunddaten'!$A$2:$M$297,4,FALSE))</f>
        <v>Bielersee</v>
      </c>
      <c r="E172" s="857" t="str">
        <f>IF(VLOOKUP(A172,'Données de base - Grunddaten'!$A$2:$M$297,5,FALSE)="","",VLOOKUP(A172,'Données de base - Grunddaten'!$A$2:$M$297,5,FALSE))</f>
        <v>BE</v>
      </c>
      <c r="F172" s="857" t="str">
        <f>IF(VLOOKUP(A172,'Données de base - Grunddaten'!$A$2:$M$297,6,FALSE)="","",VLOOKUP(A172,'Données de base - Grunddaten'!$A$2:$M$297,6,FALSE))</f>
        <v>Plateau occidental</v>
      </c>
      <c r="G172" s="857" t="str">
        <f>IF(VLOOKUP(A172,'Données de base - Grunddaten'!$A$2:$M$297,7,FALSE)="","",VLOOKUP(A172,'Données de base - Grunddaten'!$A$2:$M$297,7,FALSE))</f>
        <v>Collinéen</v>
      </c>
      <c r="H172" s="857">
        <f>IF(VLOOKUP(A172,'Données de base - Grunddaten'!$A$2:$M$297,8,FALSE)="","",VLOOKUP(A172,'Données de base - Grunddaten'!$A$2:$M$297,8,FALSE))</f>
        <v>430</v>
      </c>
      <c r="I172" s="857">
        <f>IF(VLOOKUP(A172,'Données de base - Grunddaten'!$A$2:$M$297,9,FALSE)="","",VLOOKUP(A172,'Données de base - Grunddaten'!$A$2:$M$297,9,FALSE))</f>
        <v>1992</v>
      </c>
      <c r="J172" s="857">
        <f>IF(VLOOKUP(A172,'Données de base - Grunddaten'!$A$2:$M$297,10,FALSE)="","",VLOOKUP(A172,'Données de base - Grunddaten'!$A$2:$M$297,10,FALSE))</f>
        <v>101</v>
      </c>
      <c r="K172" s="857" t="str">
        <f>IF(VLOOKUP(A172,'Données de base - Grunddaten'!$A$2:$M$297,11,FALSE)="","",VLOOKUP(A172,'Données de base - Grunddaten'!$A$2:$M$297,11,FALSE))</f>
        <v>Rives de lacs de l'étage collinéen</v>
      </c>
      <c r="L172" s="857" t="str">
        <f>IF(VLOOKUP(A172,'Données de base - Grunddaten'!$A$2:$M$297,12,FALSE)="","",VLOOKUP(A172,'Données de base - Grunddaten'!$A$2:$M$297,12,FALSE))</f>
        <v>rives lacustres</v>
      </c>
      <c r="M172" s="858" t="str">
        <f>IF(VLOOKUP(A172,'Données de base - Grunddaten'!$A$2:$M$297,13,FALSE)="","",VLOOKUP(A172,'Données de base - Grunddaten'!$A$2:$M$297,13,FALSE))</f>
        <v>rives lacustres</v>
      </c>
      <c r="N172" s="891" t="str">
        <f>IF(VLOOKUP(A172,'Charriage - Geschiebehaushalt'!$A$4:$R$275,5,FALSE)="","",VLOOKUP(A172,'Charriage - Geschiebehaushalt'!$A$4:$R$275,5,FALSE))</f>
        <v>non pertinent</v>
      </c>
      <c r="O172" s="881" t="str">
        <f>IF(VLOOKUP(A172,'Charriage - Geschiebehaushalt'!$A$4:$R$275,6,FALSE)="","",VLOOKUP(A172,'Charriage - Geschiebehaushalt'!$A$4:$R$275,6,FALSE))</f>
        <v/>
      </c>
      <c r="P172" s="874" t="str">
        <f>IF(VLOOKUP(A172,'Charriage - Geschiebehaushalt'!$A$4:$R$275,7,FALSE)="","",VLOOKUP(A172,'Charriage - Geschiebehaushalt'!$A$4:$R$275,7,FALSE))</f>
        <v/>
      </c>
      <c r="Q172" s="874" t="str">
        <f>IF(VLOOKUP(A172,'Charriage - Geschiebehaushalt'!$A$4:$R$275,8,FALSE)="","",VLOOKUP(A172,'Charriage - Geschiebehaushalt'!$A$4:$R$275,8,FALSE))</f>
        <v>non documenté</v>
      </c>
      <c r="R172" s="875">
        <f>IF(VLOOKUP(A172,'Charriage - Geschiebehaushalt'!$A$4:$R$275,9,FALSE)="","",VLOOKUP(A172,'Charriage - Geschiebehaushalt'!$A$4:$R$275,9,FALSE))</f>
        <v>8.01034701141074E-2</v>
      </c>
      <c r="S172" s="876" t="str">
        <f>IF(VLOOKUP(A172,'Charriage - Geschiebehaushalt'!$A$4:$R$275,10,FALSE)="","",VLOOKUP(A172,'Charriage - Geschiebehaushalt'!$A$4:$R$275,10,FALSE))</f>
        <v>pas ou faiblement entravé</v>
      </c>
      <c r="T172" s="875">
        <f>IF(VLOOKUP(A172,'Charriage - Geschiebehaushalt'!$A$4:$R$275,11,FALSE)="","",VLOOKUP(A172,'Charriage - Geschiebehaushalt'!$A$4:$R$275,11,FALSE))</f>
        <v>0.66694362436999999</v>
      </c>
      <c r="U172" s="876" t="str">
        <f>IF(VLOOKUP(A172,'Charriage - Geschiebehaushalt'!$A$4:$R$275,12,FALSE)="","",VLOOKUP(A172,'Charriage - Geschiebehaushalt'!$A$4:$R$275,12,FALSE))</f>
        <v>déficit non apparent en charriage ou en remobilisation des sédiments</v>
      </c>
      <c r="V172" s="877" t="str">
        <f>IF(VLOOKUP(A172,'Charriage - Geschiebehaushalt'!$A$4:$R$275,13,FALSE)="","",VLOOKUP(A172,'Charriage - Geschiebehaushalt'!$A$4:$R$275,13,FALSE))</f>
        <v/>
      </c>
      <c r="W172" s="877" t="str">
        <f>IF(VLOOKUP(A172,'Charriage - Geschiebehaushalt'!$A$4:$R$275,14,FALSE)="","",VLOOKUP(A172,'Charriage - Geschiebehaushalt'!$A$4:$R$275,14,FALSE))</f>
        <v/>
      </c>
      <c r="X172" s="877" t="str">
        <f>IF(VLOOKUP(A172,'Charriage - Geschiebehaushalt'!$A$4:$R$275,15,FALSE)="","",VLOOKUP(A172,'Charriage - Geschiebehaushalt'!$A$4:$R$275,15,FALSE))</f>
        <v/>
      </c>
      <c r="Y172" s="879" t="str">
        <f>IF(VLOOKUP(A172,'Charriage - Geschiebehaushalt'!$A$4:$R$275,16,FALSE)="","",VLOOKUP(A172,'Charriage - Geschiebehaushalt'!$A$4:$R$275,16,FALSE))</f>
        <v/>
      </c>
      <c r="Z172" s="763" t="str">
        <f>IF(VLOOKUP(A172,'Charriage - Geschiebehaushalt'!$A$4:$R$275,17,FALSE)="","",VLOOKUP(A172,'Charriage - Geschiebehaushalt'!$A$4:$R$275,17,FALSE))</f>
        <v>non pertinent / nicht relevant</v>
      </c>
      <c r="AA172" s="880" t="str">
        <f>IF(VLOOKUP(A172,'Charriage - Geschiebehaushalt'!$A$4:$R$275,18,FALSE)="","",VLOOKUP(A172,'Charriage - Geschiebehaushalt'!$A$4:$R$275,18,FALSE))</f>
        <v>a</v>
      </c>
      <c r="AB172" s="737">
        <f>IF(VLOOKUP(A172,'Charriage - Geschiebehaushalt'!$A$4:$AC$275,19,FALSE)="","",VLOOKUP(A172,'Charriage - Geschiebehaushalt'!$A$4:$AC$275,19,FALSE))</f>
        <v>0</v>
      </c>
      <c r="AC172" s="738">
        <f>IF(VLOOKUP(A172,'Charriage - Geschiebehaushalt'!$A$4:$AC$275,20,FALSE)="","",VLOOKUP(A172,'Charriage - Geschiebehaushalt'!$A$4:$AC$275,20,FALSE))</f>
        <v>0</v>
      </c>
      <c r="AD172" s="764" t="str">
        <f>IF(VLOOKUP(A172,'Charriage - Geschiebehaushalt'!$A$4:$AC$275,21,FALSE)="","",VLOOKUP(A172,'Charriage - Geschiebehaushalt'!$A$4:$AC$275,21,FALSE))</f>
        <v/>
      </c>
      <c r="AE172" s="740" t="str">
        <f>IF(VLOOKUP(A172,'Charriage - Geschiebehaushalt'!$A$4:$AC$275,22,FALSE)="","",VLOOKUP(A172,'Charriage - Geschiebehaushalt'!$A$4:$AC$275,22,FALSE))</f>
        <v>non pertinent / nicht relevant</v>
      </c>
      <c r="AF172" s="787" t="str">
        <f>IF(VLOOKUP(A172,'Charriage - Geschiebehaushalt'!$A$4:$AC$275,23,FALSE)="","",VLOOKUP(A172,'Charriage - Geschiebehaushalt'!$A$4:$AC$275,23,FALSE))</f>
        <v>a</v>
      </c>
      <c r="AG172" s="765" t="str">
        <f>IF(VLOOKUP(A172,'Charriage - Geschiebehaushalt'!$A$4:$AC$275,24,FALSE)="","",VLOOKUP(A172,'Charriage - Geschiebehaushalt'!$A$4:$AC$275,24,FALSE))</f>
        <v/>
      </c>
      <c r="AH172" s="764" t="str">
        <f>IF(VLOOKUP(A172,'Charriage - Geschiebehaushalt'!$A$4:$AC$275,25,FALSE)="","",VLOOKUP(A172,'Charriage - Geschiebehaushalt'!$A$4:$AC$275,25,FALSE))</f>
        <v/>
      </c>
      <c r="AI172" s="433" t="str">
        <f>IF(VLOOKUP(A172,'Charriage - Geschiebehaushalt'!$A$4:$AC$275,26,FALSE)="","",VLOOKUP(A172,'Charriage - Geschiebehaushalt'!$A$4:$AC$275,26,FALSE))</f>
        <v/>
      </c>
      <c r="AJ172" s="434" t="str">
        <f>IF(VLOOKUP(A172,'Charriage - Geschiebehaushalt'!$A$4:$AC$275,27,FALSE)="","",VLOOKUP(A172,'Charriage - Geschiebehaushalt'!$A$4:$AC$275,27,FALSE))</f>
        <v/>
      </c>
      <c r="AK172" s="801" t="str">
        <f>IF(VLOOKUP(A172,'Charriage - Geschiebehaushalt'!$A$4:$AC$275,28,FALSE)="","",VLOOKUP(A172,'Charriage - Geschiebehaushalt'!$A$4:$AC$275,28,FALSE))</f>
        <v>non pertinent / nicht relevant</v>
      </c>
      <c r="AL172" s="1285" t="str">
        <f>IF(VLOOKUP(A172,'Charriage - Geschiebehaushalt'!$A$4:$AD$275,30,FALSE)="","",VLOOKUP(A172,'Charriage - Geschiebehaushalt'!$A$4:$AD$275,30,FALSE))</f>
        <v>a</v>
      </c>
      <c r="AM172" s="1279" t="str">
        <f>IF(VLOOKUP(A172,'Débit - Abfluss'!$A$4:$K$275,5,FALSE)="","",VLOOKUP(A172,'Débit - Abfluss'!$A$4:$M$275,5,FALSE))</f>
        <v>non pertinent</v>
      </c>
      <c r="AN172" s="868" t="str">
        <f>IF(VLOOKUP(A172,'Débit - Abfluss'!$A$4:$K$275,6,FALSE)="","",VLOOKUP(A172,'Débit - Abfluss'!$A$4:$M$275,6,FALSE))</f>
        <v/>
      </c>
      <c r="AO172" s="869" t="str">
        <f>IF(VLOOKUP(A172,'Débit - Abfluss'!$A$4:$K$275,7,FALSE)="","",VLOOKUP(A172,'Débit - Abfluss'!$A$4:$M$275,7,FALSE))</f>
        <v/>
      </c>
      <c r="AP172" s="766" t="str">
        <f>IF(VLOOKUP(A172,'Débit - Abfluss'!$A$4:$K$275,8,FALSE)="","",VLOOKUP(A172,'Débit - Abfluss'!$A$4:$M$275,8,FALSE))</f>
        <v>non pertinent / nicht relevant</v>
      </c>
      <c r="AQ172" s="742" t="str">
        <f>IF(VLOOKUP(A172,'Débit - Abfluss'!$A$4:$K$275,9,FALSE)="","",VLOOKUP(A172,'Débit - Abfluss'!$A$4:$M$275,9,FALSE))</f>
        <v>-</v>
      </c>
      <c r="AR172" s="767" t="str">
        <f>IF(VLOOKUP(A172,'Débit - Abfluss'!$A$4:$K$275,10,FALSE)="","",VLOOKUP(A172,'Débit - Abfluss'!$A$4:$M$275,10,FALSE))</f>
        <v>non pertinent / nicht relevant</v>
      </c>
      <c r="AS172" s="767" t="str">
        <f>IF(VLOOKUP(A172,'Débit - Abfluss'!$A$4:$K$275,11,FALSE)="","",VLOOKUP(A172,'Débit - Abfluss'!$A$4:$M$275,11,FALSE))</f>
        <v/>
      </c>
      <c r="AT172" s="744" t="str">
        <f>IF(VLOOKUP(A172,'Débit - Abfluss'!$A$4:$Q$275,12,FALSE)="","",VLOOKUP(A172,'Débit - Abfluss'!$A$4:$Q$275,12,FALSE))</f>
        <v/>
      </c>
      <c r="AU172" s="745" t="str">
        <f>IF(VLOOKUP(A172,'Débit - Abfluss'!$A$4:$Q$275,13,FALSE)="","",VLOOKUP(A172,'Débit - Abfluss'!$A$4:$Q$275,13,FALSE))</f>
        <v/>
      </c>
      <c r="AV172" s="746" t="str">
        <f>IF(VLOOKUP(A172,'Débit - Abfluss'!$A$4:$Q$275,14,FALSE)="","",VLOOKUP(A172,'Débit - Abfluss'!$A$4:$Q$275,14,FALSE))</f>
        <v/>
      </c>
      <c r="AW172" s="768" t="str">
        <f>IF(VLOOKUP(A172,'Débit - Abfluss'!$A$4:$Q$275,15,FALSE)="","",VLOOKUP(A172,'Débit - Abfluss'!$A$4:$Q$275,15,FALSE))</f>
        <v/>
      </c>
      <c r="AX172" s="677" t="str">
        <f>IF(VLOOKUP(A172,'Débit - Abfluss'!$A$4:$Q$275,16,FALSE)="","",VLOOKUP(A172,'Débit - Abfluss'!$A$4:$Q$275,16,FALSE))</f>
        <v/>
      </c>
      <c r="AY172" s="769" t="str">
        <f>IF(VLOOKUP(A172,'Débit - Abfluss'!$A$4:$Q$275,17,FALSE)="","",VLOOKUP(A172,'Débit - Abfluss'!$A$4:$Q$275,17,FALSE))</f>
        <v>non pertinent / nicht relevant</v>
      </c>
      <c r="AZ172" s="749" t="str">
        <f>IF(VLOOKUP(A172,'Eclusée - Schwall-Sunk'!$A$2:$F$273,5,FALSE)="","",VLOOKUP(A172,'Eclusée - Schwall-Sunk'!$A$2:$F$273,5,FALSE))</f>
        <v/>
      </c>
      <c r="BA172" s="750" t="str">
        <f>IF(VLOOKUP(A172,'Eclusée - Schwall-Sunk'!$A$2:$F$273,6,FALSE)="","",VLOOKUP(A172,'Eclusée - Schwall-Sunk'!$A$2:$F$273,6,FALSE))</f>
        <v>Non affecté / nicht betroffen</v>
      </c>
      <c r="BB172" s="751" t="str">
        <f>IF(VLOOKUP(A172,'Revitalisation-Revitalisierung'!$A$4:$Z$275,5,FALSE)="","",VLOOKUP(A172,'Revitalisation-Revitalisierung'!$A$4:$Z$275,5,FALSE))</f>
        <v/>
      </c>
      <c r="BC172" s="752" t="str">
        <f>IF(VLOOKUP(A172,'Revitalisation-Revitalisierung'!$A$4:$Z$275,6,FALSE)="","",VLOOKUP(A172,'Revitalisation-Revitalisierung'!$A$4:$Z$275,6,FALSE))</f>
        <v/>
      </c>
      <c r="BD172" s="752" t="str">
        <f>IF(VLOOKUP(A172,'Revitalisation-Revitalisierung'!$A$4:$Z$275,7,FALSE)="","",VLOOKUP(A172,'Revitalisation-Revitalisierung'!$A$4:$Z$275,7,FALSE))</f>
        <v/>
      </c>
      <c r="BE172" s="753" t="str">
        <f>IF(VLOOKUP(A172,'Revitalisation-Revitalisierung'!$A$4:$Z$275,8,FALSE)="","",VLOOKUP(A172,'Revitalisation-Revitalisierung'!$A$4:$Z$275,8,FALSE))</f>
        <v>non pertinent</v>
      </c>
      <c r="BF172" s="754" t="str">
        <f>IF(VLOOKUP(A172,'Revitalisation-Revitalisierung'!$A$4:$Z$275,9,FALSE)="","",VLOOKUP(A172,'Revitalisation-Revitalisierung'!$A$4:$Z$275,9,FALSE))</f>
        <v>schwierig</v>
      </c>
      <c r="BG172" s="754" t="str">
        <f>IF(VLOOKUP(A172,'Revitalisation-Revitalisierung'!$A$4:$Z$275,10,FALSE)="","",VLOOKUP(A172,'Revitalisation-Revitalisierung'!$A$4:$Z$275,10,FALSE))</f>
        <v>K1</v>
      </c>
      <c r="BH172" s="755" t="str">
        <f>IF(VLOOKUP(A172,'Revitalisation-Revitalisierung'!$A$4:$Z$275,11,FALSE)="","",VLOOKUP(A172,'Revitalisation-Revitalisierung'!$A$4:$Z$275,11,FALSE))</f>
        <v/>
      </c>
      <c r="BI172" s="756" t="str">
        <f>IF(VLOOKUP(A172,'Revitalisation-Revitalisierung'!$A$4:$Z$275,12,FALSE)="","",VLOOKUP(A172,'Revitalisation-Revitalisierung'!$A$4:$Z$275,12,FALSE))</f>
        <v/>
      </c>
      <c r="BJ172" s="788" t="str">
        <f>IF(VLOOKUP(A172,'Revitalisation-Revitalisierung'!$A$4:$Z$275,13,FALSE)="","",VLOOKUP(A172,'Revitalisation-Revitalisierung'!$A$4:$Z$275,13,FALSE))</f>
        <v>non pertinent / nicht relevant</v>
      </c>
      <c r="BK172" s="870" t="str">
        <f>IF(VLOOKUP(A172,'Revitalisation-Revitalisierung'!$A$4:$Z$275,14,FALSE)="","",VLOOKUP(A172,'Revitalisation-Revitalisierung'!$A$4:$Z$275,14,FALSE))</f>
        <v>a</v>
      </c>
      <c r="BL172" s="758">
        <f>IF(VLOOKUP(A172,'Revitalisation-Revitalisierung'!$A$4:$Z$275,15,FALSE)="","",VLOOKUP(A172,'Revitalisation-Revitalisierung'!$A$4:$Z$275,15,FALSE))</f>
        <v>0</v>
      </c>
      <c r="BM172" s="759">
        <f>IF(VLOOKUP(A172,'Revitalisation-Revitalisierung'!$A$4:$Z$275,16,FALSE)="","",VLOOKUP(A172,'Revitalisation-Revitalisierung'!$A$4:$Z$275,16,FALSE))</f>
        <v>0</v>
      </c>
      <c r="BN172" s="759">
        <f>IF(VLOOKUP(A172,'Revitalisation-Revitalisierung'!$A$4:$Z$275,17,FALSE)="","",VLOOKUP(A172,'Revitalisation-Revitalisierung'!$A$4:$Z$275,17,FALSE))</f>
        <v>0</v>
      </c>
      <c r="BO172" s="760" t="str">
        <f>IF(VLOOKUP(A172,'Revitalisation-Revitalisierung'!$A$4:$Z$275,18,FALSE)="","",VLOOKUP(A172,'Revitalisation-Revitalisierung'!$A$4:$Z$275,18,FALSE))</f>
        <v/>
      </c>
      <c r="BP172" s="761" t="str">
        <f>IF(VLOOKUP(A172,'Revitalisation-Revitalisierung'!$A$4:$Z$275,19,FALSE)="","",VLOOKUP(A172,'Revitalisation-Revitalisierung'!$A$4:$Z$275,19,FALSE))</f>
        <v>non pertinent / nicht relevant</v>
      </c>
      <c r="BQ172" s="759" t="str">
        <f>IF(VLOOKUP(A172,'Revitalisation-Revitalisierung'!$A$4:$Z$275,20,FALSE)="","",VLOOKUP(A172,'Revitalisation-Revitalisierung'!$A$4:$Z$275,20,FALSE))</f>
        <v>a</v>
      </c>
      <c r="BR172" s="759" t="str">
        <f>IF(VLOOKUP(A172,'Revitalisation-Revitalisierung'!$A$4:$Z$275,21,FALSE)="","",VLOOKUP(A172,'Revitalisation-Revitalisierung'!$A$4:$Z$275,21,FALSE))</f>
        <v/>
      </c>
      <c r="BS172" s="762" t="str">
        <f>IF(VLOOKUP(A172,'Revitalisation-Revitalisierung'!$A$4:$Z$275,22,FALSE)="","",VLOOKUP(A172,'Revitalisation-Revitalisierung'!$A$4:$Z$275,22,FALSE))</f>
        <v/>
      </c>
      <c r="BT172" s="703" t="str">
        <f>IF(VLOOKUP(A172,'Revitalisation-Revitalisierung'!$A$4:$Z$275,23,FALSE)="","",VLOOKUP(A172,'Revitalisation-Revitalisierung'!$A$4:$Z$275,23,FALSE))</f>
        <v/>
      </c>
      <c r="BU172" s="699" t="str">
        <f>IF(VLOOKUP(A172,'Revitalisation-Revitalisierung'!$A$4:$Z$275,24,FALSE)="","",VLOOKUP(A172,'Revitalisation-Revitalisierung'!$A$4:$Z$275,24,FALSE))</f>
        <v/>
      </c>
      <c r="BV172" s="761" t="str">
        <f>IF(VLOOKUP(A172,'Revitalisation-Revitalisierung'!$A$4:$Z$275,25,FALSE)="","",VLOOKUP(A172,'Revitalisation-Revitalisierung'!$A$4:$Z$275,25,FALSE))</f>
        <v>non pertinent / nicht relevant</v>
      </c>
      <c r="BW172" s="871" t="str">
        <f>IF(VLOOKUP(A172,'Revitalisation-Revitalisierung'!$A$4:$AA$275,27,FALSE)="","",VLOOKUP(A172,'Revitalisation-Revitalisierung'!$A$4:$AA$275,27,FALSE))</f>
        <v>a</v>
      </c>
    </row>
    <row r="173" spans="1:75" ht="82.15" customHeight="1" x14ac:dyDescent="0.25">
      <c r="A173" s="936">
        <v>223.1</v>
      </c>
      <c r="B173" s="856">
        <f>IF(VLOOKUP(A173,'Données de base - Grunddaten'!$A$2:$M$297,2,FALSE)="","",VLOOKUP(A173,'Données de base - Grunddaten'!$A$2:$M$297,2,FALSE))</f>
        <v>1</v>
      </c>
      <c r="C173" s="857" t="str">
        <f>IF(VLOOKUP(A173,'Données de base - Grunddaten'!$A$2:$M$297,3,FALSE)="","",VLOOKUP(A173,'Données de base - Grunddaten'!$A$2:$M$297,3,FALSE))</f>
        <v>Hagneckdelta</v>
      </c>
      <c r="D173" s="857" t="str">
        <f>IF(VLOOKUP(A173,'Données de base - Grunddaten'!$A$2:$M$297,4,FALSE)="","",VLOOKUP(A173,'Données de base - Grunddaten'!$A$2:$M$297,4,FALSE))</f>
        <v>Aare-Hagneck-Kanal, Bielersee</v>
      </c>
      <c r="E173" s="857" t="str">
        <f>IF(VLOOKUP(A173,'Données de base - Grunddaten'!$A$2:$M$297,5,FALSE)="","",VLOOKUP(A173,'Données de base - Grunddaten'!$A$2:$M$297,5,FALSE))</f>
        <v>BE</v>
      </c>
      <c r="F173" s="857" t="str">
        <f>IF(VLOOKUP(A173,'Données de base - Grunddaten'!$A$2:$M$297,6,FALSE)="","",VLOOKUP(A173,'Données de base - Grunddaten'!$A$2:$M$297,6,FALSE))</f>
        <v>Plateau occidental</v>
      </c>
      <c r="G173" s="857" t="str">
        <f>IF(VLOOKUP(A173,'Données de base - Grunddaten'!$A$2:$M$297,7,FALSE)="","",VLOOKUP(A173,'Données de base - Grunddaten'!$A$2:$M$297,7,FALSE))</f>
        <v>Collinéen</v>
      </c>
      <c r="H173" s="857">
        <f>IF(VLOOKUP(A173,'Données de base - Grunddaten'!$A$2:$M$297,8,FALSE)="","",VLOOKUP(A173,'Données de base - Grunddaten'!$A$2:$M$297,8,FALSE))</f>
        <v>430</v>
      </c>
      <c r="I173" s="857">
        <f>IF(VLOOKUP(A173,'Données de base - Grunddaten'!$A$2:$M$297,9,FALSE)="","",VLOOKUP(A173,'Données de base - Grunddaten'!$A$2:$M$297,9,FALSE))</f>
        <v>1992</v>
      </c>
      <c r="J173" s="857">
        <f>IF(VLOOKUP(A173,'Données de base - Grunddaten'!$A$2:$M$297,10,FALSE)="","",VLOOKUP(A173,'Données de base - Grunddaten'!$A$2:$M$297,10,FALSE))</f>
        <v>90</v>
      </c>
      <c r="K173" s="857" t="str">
        <f>IF(VLOOKUP(A173,'Données de base - Grunddaten'!$A$2:$M$297,11,FALSE)="","",VLOOKUP(A173,'Données de base - Grunddaten'!$A$2:$M$297,11,FALSE))</f>
        <v>Delta</v>
      </c>
      <c r="L173" s="857" t="str">
        <f>IF(VLOOKUP(A173,'Données de base - Grunddaten'!$A$2:$M$297,12,FALSE)="","",VLOOKUP(A173,'Données de base - Grunddaten'!$A$2:$M$297,12,FALSE))</f>
        <v>rives lacustres (pas d'embouchure de cours d'eau)</v>
      </c>
      <c r="M173" s="858" t="str">
        <f>IF(VLOOKUP(A173,'Données de base - Grunddaten'!$A$2:$M$297,13,FALSE)="","",VLOOKUP(A173,'Données de base - Grunddaten'!$A$2:$M$297,13,FALSE))</f>
        <v>cours rectiligne</v>
      </c>
      <c r="N173" s="872" t="str">
        <f>IF(VLOOKUP(A173,'Charriage - Geschiebehaushalt'!$A$4:$R$275,5,FALSE)="","",VLOOKUP(A173,'Charriage - Geschiebehaushalt'!$A$4:$R$275,5,FALSE))</f>
        <v>pertinent</v>
      </c>
      <c r="O173" s="873" t="str">
        <f>IF(VLOOKUP(A173,'Charriage - Geschiebehaushalt'!$A$4:$R$275,6,FALSE)="","",VLOOKUP(A173,'Charriage - Geschiebehaushalt'!$A$4:$R$275,6,FALSE))</f>
        <v>81 -100%</v>
      </c>
      <c r="P173" s="874" t="str">
        <f>IF(VLOOKUP(A173,'Charriage - Geschiebehaushalt'!$A$4:$R$275,7,FALSE)="","",VLOOKUP(A173,'Charriage - Geschiebehaushalt'!$A$4:$R$275,7,FALSE))</f>
        <v/>
      </c>
      <c r="Q173" s="874" t="str">
        <f>IF(VLOOKUP(A173,'Charriage - Geschiebehaushalt'!$A$4:$R$275,8,FALSE)="","",VLOOKUP(A173,'Charriage - Geschiebehaushalt'!$A$4:$R$275,8,FALSE))</f>
        <v>non documenté</v>
      </c>
      <c r="R173" s="875">
        <f>IF(VLOOKUP(A173,'Charriage - Geschiebehaushalt'!$A$4:$R$275,9,FALSE)="","",VLOOKUP(A173,'Charriage - Geschiebehaushalt'!$A$4:$R$275,9,FALSE))</f>
        <v>0.52965847935320298</v>
      </c>
      <c r="S173" s="876" t="str">
        <f>IF(VLOOKUP(A173,'Charriage - Geschiebehaushalt'!$A$4:$R$275,10,FALSE)="","",VLOOKUP(A173,'Charriage - Geschiebehaushalt'!$A$4:$R$275,10,FALSE))</f>
        <v>la remobilisation des sédiments est perturbée</v>
      </c>
      <c r="T173" s="875">
        <f>IF(VLOOKUP(A173,'Charriage - Geschiebehaushalt'!$A$4:$R$275,11,FALSE)="","",VLOOKUP(A173,'Charriage - Geschiebehaushalt'!$A$4:$R$275,11,FALSE))</f>
        <v>0.24166949908999999</v>
      </c>
      <c r="U173" s="876" t="str">
        <f>IF(VLOOKUP(A173,'Charriage - Geschiebehaushalt'!$A$4:$R$275,12,FALSE)="","",VLOOKUP(A173,'Charriage - Geschiebehaushalt'!$A$4:$R$275,12,FALSE))</f>
        <v>déficit dans les formations pionnières</v>
      </c>
      <c r="V173" s="877" t="str">
        <f>IF(VLOOKUP(A173,'Charriage - Geschiebehaushalt'!$A$4:$R$275,13,FALSE)="","",VLOOKUP(A173,'Charriage - Geschiebehaushalt'!$A$4:$R$275,13,FALSE))</f>
        <v/>
      </c>
      <c r="W173" s="877" t="str">
        <f>IF(VLOOKUP(A173,'Charriage - Geschiebehaushalt'!$A$4:$R$275,14,FALSE)="","",VLOOKUP(A173,'Charriage - Geschiebehaushalt'!$A$4:$R$275,14,FALSE))</f>
        <v/>
      </c>
      <c r="X173" s="877" t="str">
        <f>IF(VLOOKUP(A173,'Charriage - Geschiebehaushalt'!$A$4:$R$275,15,FALSE)="","",VLOOKUP(A173,'Charriage - Geschiebehaushalt'!$A$4:$R$275,15,FALSE))</f>
        <v/>
      </c>
      <c r="Y173" s="879" t="str">
        <f>IF(VLOOKUP(A173,'Charriage - Geschiebehaushalt'!$A$4:$R$275,16,FALSE)="","",VLOOKUP(A173,'Charriage - Geschiebehaushalt'!$A$4:$R$275,16,FALSE))</f>
        <v/>
      </c>
      <c r="Z173" s="763" t="str">
        <f>IF(VLOOKUP(A173,'Charriage - Geschiebehaushalt'!$A$4:$R$275,17,FALSE)="","",VLOOKUP(A173,'Charriage - Geschiebehaushalt'!$A$4:$R$275,17,FALSE))</f>
        <v>81 -100%</v>
      </c>
      <c r="AA173" s="880" t="str">
        <f>IF(VLOOKUP(A173,'Charriage - Geschiebehaushalt'!$A$4:$R$275,18,FALSE)="","",VLOOKUP(A173,'Charriage - Geschiebehaushalt'!$A$4:$R$275,18,FALSE))</f>
        <v>a</v>
      </c>
      <c r="AB173" s="737" t="str">
        <f>IF(VLOOKUP(A173,'Charriage - Geschiebehaushalt'!$A$4:$AC$275,19,FALSE)="","",VLOOKUP(A173,'Charriage - Geschiebehaushalt'!$A$4:$AC$275,19,FALSE))</f>
        <v>sehr stark</v>
      </c>
      <c r="AC173" s="738" t="str">
        <f>IF(VLOOKUP(A173,'Charriage - Geschiebehaushalt'!$A$4:$AC$275,20,FALSE)="","",VLOOKUP(A173,'Charriage - Geschiebehaushalt'!$A$4:$AC$275,20,FALSE))</f>
        <v>Ja (keine MN)</v>
      </c>
      <c r="AD173" s="764" t="str">
        <f>IF(VLOOKUP(A173,'Charriage - Geschiebehaushalt'!$A$4:$AC$275,21,FALSE)="","",VLOOKUP(A173,'Charriage - Geschiebehaushalt'!$A$4:$AC$275,21,FALSE))</f>
        <v/>
      </c>
      <c r="AE173" s="740" t="str">
        <f>IF(VLOOKUP(A173,'Charriage - Geschiebehaushalt'!$A$4:$AC$275,22,FALSE)="","",VLOOKUP(A173,'Charriage - Geschiebehaushalt'!$A$4:$AC$275,22,FALSE))</f>
        <v>81-100%</v>
      </c>
      <c r="AF173" s="787" t="str">
        <f>IF(VLOOKUP(A173,'Charriage - Geschiebehaushalt'!$A$4:$AC$275,23,FALSE)="","",VLOOKUP(A173,'Charriage - Geschiebehaushalt'!$A$4:$AC$275,23,FALSE))</f>
        <v>a</v>
      </c>
      <c r="AG173" s="765" t="str">
        <f>IF(VLOOKUP(A173,'Charriage - Geschiebehaushalt'!$A$4:$AC$275,24,FALSE)="","",VLOOKUP(A173,'Charriage - Geschiebehaushalt'!$A$4:$AC$275,24,FALSE))</f>
        <v/>
      </c>
      <c r="AH173" s="764" t="str">
        <f>IF(VLOOKUP(A173,'Charriage - Geschiebehaushalt'!$A$4:$AC$275,25,FALSE)="","",VLOOKUP(A173,'Charriage - Geschiebehaushalt'!$A$4:$AC$275,25,FALSE))</f>
        <v/>
      </c>
      <c r="AI173" s="433" t="str">
        <f>IF(VLOOKUP(A173,'Charriage - Geschiebehaushalt'!$A$4:$AC$275,26,FALSE)="","",VLOOKUP(A173,'Charriage - Geschiebehaushalt'!$A$4:$AC$275,26,FALSE))</f>
        <v/>
      </c>
      <c r="AJ173" s="434" t="str">
        <f>IF(VLOOKUP(A173,'Charriage - Geschiebehaushalt'!$A$4:$AC$275,27,FALSE)="","",VLOOKUP(A173,'Charriage - Geschiebehaushalt'!$A$4:$AC$275,27,FALSE))</f>
        <v/>
      </c>
      <c r="AK173" s="801" t="str">
        <f>IF(VLOOKUP(A173,'Charriage - Geschiebehaushalt'!$A$4:$AC$275,28,FALSE)="","",VLOOKUP(A173,'Charriage - Geschiebehaushalt'!$A$4:$AC$275,28,FALSE))</f>
        <v>81-100%</v>
      </c>
      <c r="AL173" s="1285" t="str">
        <f>IF(VLOOKUP(A173,'Charriage - Geschiebehaushalt'!$A$4:$AD$275,30,FALSE)="","",VLOOKUP(A173,'Charriage - Geschiebehaushalt'!$A$4:$AD$275,30,FALSE))</f>
        <v>a</v>
      </c>
      <c r="AM173" s="1279" t="str">
        <f>IF(VLOOKUP(A173,'Débit - Abfluss'!$A$4:$K$275,5,FALSE)="","",VLOOKUP(A173,'Débit - Abfluss'!$A$4:$M$275,5,FALSE))</f>
        <v>61-80%</v>
      </c>
      <c r="AN173" s="868" t="str">
        <f>IF(VLOOKUP(A173,'Débit - Abfluss'!$A$4:$K$275,6,FALSE)="","",VLOOKUP(A173,'Débit - Abfluss'!$A$4:$M$275,6,FALSE))</f>
        <v/>
      </c>
      <c r="AO173" s="869" t="str">
        <f>IF(VLOOKUP(A173,'Débit - Abfluss'!$A$4:$K$275,7,FALSE)="","",VLOOKUP(A173,'Débit - Abfluss'!$A$4:$M$275,7,FALSE))</f>
        <v/>
      </c>
      <c r="AP173" s="766" t="str">
        <f>IF(VLOOKUP(A173,'Débit - Abfluss'!$A$4:$K$275,8,FALSE)="","",VLOOKUP(A173,'Débit - Abfluss'!$A$4:$M$275,8,FALSE))</f>
        <v>61-80%</v>
      </c>
      <c r="AQ173" s="742" t="str">
        <f>IF(VLOOKUP(A173,'Débit - Abfluss'!$A$4:$K$275,9,FALSE)="","",VLOOKUP(A173,'Débit - Abfluss'!$A$4:$M$275,9,FALSE))</f>
        <v>10-50%</v>
      </c>
      <c r="AR173" s="773" t="str">
        <f>IF(VLOOKUP(A173,'Débit - Abfluss'!$A$4:$K$275,10,FALSE)="","",VLOOKUP(A173,'Débit - Abfluss'!$A$4:$M$275,10,FALSE))</f>
        <v>61-80%</v>
      </c>
      <c r="AS173" s="773" t="str">
        <f>IF(VLOOKUP(A173,'Débit - Abfluss'!$A$4:$K$275,11,FALSE)="","",VLOOKUP(A173,'Débit - Abfluss'!$A$4:$M$275,11,FALSE))</f>
        <v>X</v>
      </c>
      <c r="AT173" s="744" t="str">
        <f>IF(VLOOKUP(A173,'Débit - Abfluss'!$A$4:$Q$275,12,FALSE)="","",VLOOKUP(A173,'Débit - Abfluss'!$A$4:$Q$275,12,FALSE))</f>
        <v/>
      </c>
      <c r="AU173" s="745" t="str">
        <f>IF(VLOOKUP(A173,'Débit - Abfluss'!$A$4:$Q$275,13,FALSE)="","",VLOOKUP(A173,'Débit - Abfluss'!$A$4:$Q$275,13,FALSE))</f>
        <v/>
      </c>
      <c r="AV173" s="746" t="str">
        <f>IF(VLOOKUP(A173,'Débit - Abfluss'!$A$4:$Q$275,14,FALSE)="","",VLOOKUP(A173,'Débit - Abfluss'!$A$4:$Q$275,14,FALSE))</f>
        <v>BE-5</v>
      </c>
      <c r="AW173" s="768" t="str">
        <f>IF(VLOOKUP(A173,'Débit - Abfluss'!$A$4:$Q$275,15,FALSE)="","",VLOOKUP(A173,'Débit - Abfluss'!$A$4:$Q$275,15,FALSE))</f>
        <v>Hagneck</v>
      </c>
      <c r="AX173" s="677" t="str">
        <f>IF(VLOOKUP(A173,'Débit - Abfluss'!$A$4:$Q$275,16,FALSE)="","",VLOOKUP(A173,'Débit - Abfluss'!$A$4:$Q$275,16,FALSE))</f>
        <v/>
      </c>
      <c r="AY173" s="775" t="str">
        <f>IF(VLOOKUP(A173,'Débit - Abfluss'!$A$4:$Q$275,17,FALSE)="","",VLOOKUP(A173,'Débit - Abfluss'!$A$4:$Q$275,17,FALSE))</f>
        <v>61-80%</v>
      </c>
      <c r="AZ173" s="749" t="str">
        <f>IF(VLOOKUP(A173,'Eclusée - Schwall-Sunk'!$A$2:$F$273,5,FALSE)="","",VLOOKUP(A173,'Eclusée - Schwall-Sunk'!$A$2:$F$273,5,FALSE))</f>
        <v>force hydraulique</v>
      </c>
      <c r="BA173" s="750" t="str">
        <f>IF(VLOOKUP(A173,'Eclusée - Schwall-Sunk'!$A$2:$F$273,6,FALSE)="","",VLOOKUP(A173,'Eclusée - Schwall-Sunk'!$A$2:$F$273,6,FALSE))</f>
        <v>Potentiellement affecté / möglicherweise betroffen</v>
      </c>
      <c r="BB173" s="751" t="str">
        <f>IF(VLOOKUP(A173,'Revitalisation-Revitalisierung'!$A$4:$Z$275,5,FALSE)="","",VLOOKUP(A173,'Revitalisation-Revitalisierung'!$A$4:$Z$275,5,FALSE))</f>
        <v/>
      </c>
      <c r="BC173" s="752" t="str">
        <f>IF(VLOOKUP(A173,'Revitalisation-Revitalisierung'!$A$4:$Z$275,6,FALSE)="","",VLOOKUP(A173,'Revitalisation-Revitalisierung'!$A$4:$Z$275,6,FALSE))</f>
        <v/>
      </c>
      <c r="BD173" s="752" t="str">
        <f>IF(VLOOKUP(A173,'Revitalisation-Revitalisierung'!$A$4:$Z$275,7,FALSE)="","",VLOOKUP(A173,'Revitalisation-Revitalisierung'!$A$4:$Z$275,7,FALSE))</f>
        <v/>
      </c>
      <c r="BE173" s="753" t="str">
        <f>IF(VLOOKUP(A173,'Revitalisation-Revitalisierung'!$A$4:$Z$275,8,FALSE)="","",VLOOKUP(A173,'Revitalisation-Revitalisierung'!$A$4:$Z$275,8,FALSE))</f>
        <v/>
      </c>
      <c r="BF173" s="754" t="str">
        <f>IF(VLOOKUP(A173,'Revitalisation-Revitalisierung'!$A$4:$Z$275,9,FALSE)="","",VLOOKUP(A173,'Revitalisation-Revitalisierung'!$A$4:$Z$275,9,FALSE))</f>
        <v/>
      </c>
      <c r="BG173" s="754" t="str">
        <f>IF(VLOOKUP(A173,'Revitalisation-Revitalisierung'!$A$4:$Z$275,10,FALSE)="","",VLOOKUP(A173,'Revitalisation-Revitalisierung'!$A$4:$Z$275,10,FALSE))</f>
        <v>K1</v>
      </c>
      <c r="BH173" s="755" t="str">
        <f>IF(VLOOKUP(A173,'Revitalisation-Revitalisierung'!$A$4:$Z$275,11,FALSE)="","",VLOOKUP(A173,'Revitalisation-Revitalisierung'!$A$4:$Z$275,11,FALSE))</f>
        <v>non nécessaire</v>
      </c>
      <c r="BI173" s="756" t="str">
        <f>IF(VLOOKUP(A173,'Revitalisation-Revitalisierung'!$A$4:$Z$275,12,FALSE)="","",VLOOKUP(A173,'Revitalisation-Revitalisierung'!$A$4:$Z$275,12,FALSE))</f>
        <v>Travaux e partie déjà terminés (Neukonzessionierung KW Hagneck) actuellement joli développement du delta</v>
      </c>
      <c r="BJ173" s="788" t="str">
        <f>IF(VLOOKUP(A173,'Revitalisation-Revitalisierung'!$A$4:$Z$275,13,FALSE)="","",VLOOKUP(A173,'Revitalisation-Revitalisierung'!$A$4:$Z$275,13,FALSE))</f>
        <v>Non nécessaire / nicht nötig</v>
      </c>
      <c r="BK173" s="870" t="str">
        <f>IF(VLOOKUP(A173,'Revitalisation-Revitalisierung'!$A$4:$Z$275,14,FALSE)="","",VLOOKUP(A173,'Revitalisation-Revitalisierung'!$A$4:$Z$275,14,FALSE))</f>
        <v>a</v>
      </c>
      <c r="BL173" s="758" t="str">
        <f>IF(VLOOKUP(A173,'Revitalisation-Revitalisierung'!$A$4:$Z$275,15,FALSE)="","",VLOOKUP(A173,'Revitalisation-Revitalisierung'!$A$4:$Z$275,15,FALSE))</f>
        <v>gross</v>
      </c>
      <c r="BM173" s="759" t="str">
        <f>IF(VLOOKUP(A173,'Revitalisation-Revitalisierung'!$A$4:$Z$275,16,FALSE)="","",VLOOKUP(A173,'Revitalisation-Revitalisierung'!$A$4:$Z$275,16,FALSE))</f>
        <v>gross</v>
      </c>
      <c r="BN173" s="759" t="str">
        <f>IF(VLOOKUP(A173,'Revitalisation-Revitalisierung'!$A$4:$Z$275,17,FALSE)="","",VLOOKUP(A173,'Revitalisation-Revitalisierung'!$A$4:$Z$275,17,FALSE))</f>
        <v>-</v>
      </c>
      <c r="BO173" s="760" t="str">
        <f>IF(VLOOKUP(A173,'Revitalisation-Revitalisierung'!$A$4:$Z$275,18,FALSE)="","",VLOOKUP(A173,'Revitalisation-Revitalisierung'!$A$4:$Z$275,18,FALSE))</f>
        <v/>
      </c>
      <c r="BP173" s="761" t="str">
        <f>IF(VLOOKUP(A173,'Revitalisation-Revitalisierung'!$A$4:$Z$275,19,FALSE)="","",VLOOKUP(A173,'Revitalisation-Revitalisierung'!$A$4:$Z$275,19,FALSE))</f>
        <v>Non nécessaire / nicht nötig</v>
      </c>
      <c r="BQ173" s="759" t="str">
        <f>IF(VLOOKUP(A173,'Revitalisation-Revitalisierung'!$A$4:$Z$275,20,FALSE)="","",VLOOKUP(A173,'Revitalisation-Revitalisierung'!$A$4:$Z$275,20,FALSE))</f>
        <v>a</v>
      </c>
      <c r="BR173" s="759" t="str">
        <f>IF(VLOOKUP(A173,'Revitalisation-Revitalisierung'!$A$4:$Z$275,21,FALSE)="","",VLOOKUP(A173,'Revitalisation-Revitalisierung'!$A$4:$Z$275,21,FALSE))</f>
        <v/>
      </c>
      <c r="BS173" s="762" t="str">
        <f>IF(VLOOKUP(A173,'Revitalisation-Revitalisierung'!$A$4:$Z$275,22,FALSE)="","",VLOOKUP(A173,'Revitalisation-Revitalisierung'!$A$4:$Z$275,22,FALSE))</f>
        <v/>
      </c>
      <c r="BT173" s="703" t="str">
        <f>IF(VLOOKUP(A173,'Revitalisation-Revitalisierung'!$A$4:$Z$275,23,FALSE)="","",VLOOKUP(A173,'Revitalisation-Revitalisierung'!$A$4:$Z$275,23,FALSE))</f>
        <v/>
      </c>
      <c r="BU173" s="699" t="str">
        <f>IF(VLOOKUP(A173,'Revitalisation-Revitalisierung'!$A$4:$Z$275,24,FALSE)="","",VLOOKUP(A173,'Revitalisation-Revitalisierung'!$A$4:$Z$275,24,FALSE))</f>
        <v>Aufteilung? Unterwasserkanal? dann ok, kein Handlungsbedarf mehr.</v>
      </c>
      <c r="BV173" s="761" t="str">
        <f>IF(VLOOKUP(A173,'Revitalisation-Revitalisierung'!$A$4:$Z$275,25,FALSE)="","",VLOOKUP(A173,'Revitalisation-Revitalisierung'!$A$4:$Z$275,25,FALSE))</f>
        <v>Non nécessaire / nicht nötig</v>
      </c>
      <c r="BW173" s="871" t="str">
        <f>IF(VLOOKUP(A173,'Revitalisation-Revitalisierung'!$A$4:$AA$275,27,FALSE)="","",VLOOKUP(A173,'Revitalisation-Revitalisierung'!$A$4:$AA$275,27,FALSE))</f>
        <v>a</v>
      </c>
    </row>
    <row r="174" spans="1:75" ht="60.6" customHeight="1" x14ac:dyDescent="0.25">
      <c r="A174" s="936">
        <v>223.2</v>
      </c>
      <c r="B174" s="856">
        <f>IF(VLOOKUP(A174,'Données de base - Grunddaten'!$A$2:$M$297,2,FALSE)="","",VLOOKUP(A174,'Données de base - Grunddaten'!$A$2:$M$297,2,FALSE))</f>
        <v>2</v>
      </c>
      <c r="C174" s="857" t="str">
        <f>IF(VLOOKUP(A174,'Données de base - Grunddaten'!$A$2:$M$297,3,FALSE)="","",VLOOKUP(A174,'Données de base - Grunddaten'!$A$2:$M$297,3,FALSE))</f>
        <v>Hagneckdelta</v>
      </c>
      <c r="D174" s="857" t="str">
        <f>IF(VLOOKUP(A174,'Données de base - Grunddaten'!$A$2:$M$297,4,FALSE)="","",VLOOKUP(A174,'Données de base - Grunddaten'!$A$2:$M$297,4,FALSE))</f>
        <v>Aare-Hagneck-Kanal, Bielersee</v>
      </c>
      <c r="E174" s="857" t="str">
        <f>IF(VLOOKUP(A174,'Données de base - Grunddaten'!$A$2:$M$297,5,FALSE)="","",VLOOKUP(A174,'Données de base - Grunddaten'!$A$2:$M$297,5,FALSE))</f>
        <v>BE</v>
      </c>
      <c r="F174" s="857" t="str">
        <f>IF(VLOOKUP(A174,'Données de base - Grunddaten'!$A$2:$M$297,6,FALSE)="","",VLOOKUP(A174,'Données de base - Grunddaten'!$A$2:$M$297,6,FALSE))</f>
        <v>Plateau occidental</v>
      </c>
      <c r="G174" s="857" t="str">
        <f>IF(VLOOKUP(A174,'Données de base - Grunddaten'!$A$2:$M$297,7,FALSE)="","",VLOOKUP(A174,'Données de base - Grunddaten'!$A$2:$M$297,7,FALSE))</f>
        <v>Collinéen</v>
      </c>
      <c r="H174" s="857">
        <f>IF(VLOOKUP(A174,'Données de base - Grunddaten'!$A$2:$M$297,8,FALSE)="","",VLOOKUP(A174,'Données de base - Grunddaten'!$A$2:$M$297,8,FALSE))</f>
        <v>430</v>
      </c>
      <c r="I174" s="857">
        <f>IF(VLOOKUP(A174,'Données de base - Grunddaten'!$A$2:$M$297,9,FALSE)="","",VLOOKUP(A174,'Données de base - Grunddaten'!$A$2:$M$297,9,FALSE))</f>
        <v>1992</v>
      </c>
      <c r="J174" s="857">
        <f>IF(VLOOKUP(A174,'Données de base - Grunddaten'!$A$2:$M$297,10,FALSE)="","",VLOOKUP(A174,'Données de base - Grunddaten'!$A$2:$M$297,10,FALSE))</f>
        <v>101</v>
      </c>
      <c r="K174" s="857" t="str">
        <f>IF(VLOOKUP(A174,'Données de base - Grunddaten'!$A$2:$M$297,11,FALSE)="","",VLOOKUP(A174,'Données de base - Grunddaten'!$A$2:$M$297,11,FALSE))</f>
        <v>Rives de lacs de l'étage collinéen</v>
      </c>
      <c r="L174" s="857" t="str">
        <f>IF(VLOOKUP(A174,'Données de base - Grunddaten'!$A$2:$M$297,12,FALSE)="","",VLOOKUP(A174,'Données de base - Grunddaten'!$A$2:$M$297,12,FALSE))</f>
        <v>rives lacustres</v>
      </c>
      <c r="M174" s="858" t="str">
        <f>IF(VLOOKUP(A174,'Données de base - Grunddaten'!$A$2:$M$297,13,FALSE)="","",VLOOKUP(A174,'Données de base - Grunddaten'!$A$2:$M$297,13,FALSE))</f>
        <v>rives lacustres</v>
      </c>
      <c r="N174" s="891" t="str">
        <f>IF(VLOOKUP(A174,'Charriage - Geschiebehaushalt'!$A$4:$R$275,5,FALSE)="","",VLOOKUP(A174,'Charriage - Geschiebehaushalt'!$A$4:$R$275,5,FALSE))</f>
        <v>non pertinent</v>
      </c>
      <c r="O174" s="881" t="str">
        <f>IF(VLOOKUP(A174,'Charriage - Geschiebehaushalt'!$A$4:$R$275,6,FALSE)="","",VLOOKUP(A174,'Charriage - Geschiebehaushalt'!$A$4:$R$275,6,FALSE))</f>
        <v/>
      </c>
      <c r="P174" s="874" t="str">
        <f>IF(VLOOKUP(A174,'Charriage - Geschiebehaushalt'!$A$4:$R$275,7,FALSE)="","",VLOOKUP(A174,'Charriage - Geschiebehaushalt'!$A$4:$R$275,7,FALSE))</f>
        <v/>
      </c>
      <c r="Q174" s="874" t="str">
        <f>IF(VLOOKUP(A174,'Charriage - Geschiebehaushalt'!$A$4:$R$275,8,FALSE)="","",VLOOKUP(A174,'Charriage - Geschiebehaushalt'!$A$4:$R$275,8,FALSE))</f>
        <v>non documenté</v>
      </c>
      <c r="R174" s="875">
        <f>IF(VLOOKUP(A174,'Charriage - Geschiebehaushalt'!$A$4:$R$275,9,FALSE)="","",VLOOKUP(A174,'Charriage - Geschiebehaushalt'!$A$4:$R$275,9,FALSE))</f>
        <v>0</v>
      </c>
      <c r="S174" s="876" t="str">
        <f>IF(VLOOKUP(A174,'Charriage - Geschiebehaushalt'!$A$4:$R$275,10,FALSE)="","",VLOOKUP(A174,'Charriage - Geschiebehaushalt'!$A$4:$R$275,10,FALSE))</f>
        <v>pas ou faiblement entravé</v>
      </c>
      <c r="T174" s="875">
        <f>IF(VLOOKUP(A174,'Charriage - Geschiebehaushalt'!$A$4:$R$275,11,FALSE)="","",VLOOKUP(A174,'Charriage - Geschiebehaushalt'!$A$4:$R$275,11,FALSE))</f>
        <v>0.60187126290000004</v>
      </c>
      <c r="U174" s="876" t="str">
        <f>IF(VLOOKUP(A174,'Charriage - Geschiebehaushalt'!$A$4:$R$275,12,FALSE)="","",VLOOKUP(A174,'Charriage - Geschiebehaushalt'!$A$4:$R$275,12,FALSE))</f>
        <v>déficit non apparent en charriage ou en remobilisation des sédiments</v>
      </c>
      <c r="V174" s="877" t="str">
        <f>IF(VLOOKUP(A174,'Charriage - Geschiebehaushalt'!$A$4:$R$275,13,FALSE)="","",VLOOKUP(A174,'Charriage - Geschiebehaushalt'!$A$4:$R$275,13,FALSE))</f>
        <v/>
      </c>
      <c r="W174" s="877" t="str">
        <f>IF(VLOOKUP(A174,'Charriage - Geschiebehaushalt'!$A$4:$R$275,14,FALSE)="","",VLOOKUP(A174,'Charriage - Geschiebehaushalt'!$A$4:$R$275,14,FALSE))</f>
        <v/>
      </c>
      <c r="X174" s="877" t="str">
        <f>IF(VLOOKUP(A174,'Charriage - Geschiebehaushalt'!$A$4:$R$275,15,FALSE)="","",VLOOKUP(A174,'Charriage - Geschiebehaushalt'!$A$4:$R$275,15,FALSE))</f>
        <v/>
      </c>
      <c r="Y174" s="879" t="str">
        <f>IF(VLOOKUP(A174,'Charriage - Geschiebehaushalt'!$A$4:$R$275,16,FALSE)="","",VLOOKUP(A174,'Charriage - Geschiebehaushalt'!$A$4:$R$275,16,FALSE))</f>
        <v/>
      </c>
      <c r="Z174" s="763" t="str">
        <f>IF(VLOOKUP(A174,'Charriage - Geschiebehaushalt'!$A$4:$R$275,17,FALSE)="","",VLOOKUP(A174,'Charriage - Geschiebehaushalt'!$A$4:$R$275,17,FALSE))</f>
        <v>non pertinent / nicht relevant</v>
      </c>
      <c r="AA174" s="880" t="str">
        <f>IF(VLOOKUP(A174,'Charriage - Geschiebehaushalt'!$A$4:$R$275,18,FALSE)="","",VLOOKUP(A174,'Charriage - Geschiebehaushalt'!$A$4:$R$275,18,FALSE))</f>
        <v>a</v>
      </c>
      <c r="AB174" s="737">
        <f>IF(VLOOKUP(A174,'Charriage - Geschiebehaushalt'!$A$4:$AC$275,19,FALSE)="","",VLOOKUP(A174,'Charriage - Geschiebehaushalt'!$A$4:$AC$275,19,FALSE))</f>
        <v>0</v>
      </c>
      <c r="AC174" s="738">
        <f>IF(VLOOKUP(A174,'Charriage - Geschiebehaushalt'!$A$4:$AC$275,20,FALSE)="","",VLOOKUP(A174,'Charriage - Geschiebehaushalt'!$A$4:$AC$275,20,FALSE))</f>
        <v>0</v>
      </c>
      <c r="AD174" s="764" t="str">
        <f>IF(VLOOKUP(A174,'Charriage - Geschiebehaushalt'!$A$4:$AC$275,21,FALSE)="","",VLOOKUP(A174,'Charriage - Geschiebehaushalt'!$A$4:$AC$275,21,FALSE))</f>
        <v>81-100%</v>
      </c>
      <c r="AE174" s="740" t="str">
        <f>IF(VLOOKUP(A174,'Charriage - Geschiebehaushalt'!$A$4:$AC$275,22,FALSE)="","",VLOOKUP(A174,'Charriage - Geschiebehaushalt'!$A$4:$AC$275,22,FALSE))</f>
        <v>non pertinent / nicht relevant</v>
      </c>
      <c r="AF174" s="787" t="str">
        <f>IF(VLOOKUP(A174,'Charriage - Geschiebehaushalt'!$A$4:$AC$275,23,FALSE)="","",VLOOKUP(A174,'Charriage - Geschiebehaushalt'!$A$4:$AC$275,23,FALSE))</f>
        <v>a</v>
      </c>
      <c r="AG174" s="765" t="str">
        <f>IF(VLOOKUP(A174,'Charriage - Geschiebehaushalt'!$A$4:$AC$275,24,FALSE)="","",VLOOKUP(A174,'Charriage - Geschiebehaushalt'!$A$4:$AC$275,24,FALSE))</f>
        <v/>
      </c>
      <c r="AH174" s="764" t="str">
        <f>IF(VLOOKUP(A174,'Charriage - Geschiebehaushalt'!$A$4:$AC$275,25,FALSE)="","",VLOOKUP(A174,'Charriage - Geschiebehaushalt'!$A$4:$AC$275,25,FALSE))</f>
        <v/>
      </c>
      <c r="AI174" s="433" t="str">
        <f>IF(VLOOKUP(A174,'Charriage - Geschiebehaushalt'!$A$4:$AC$275,26,FALSE)="","",VLOOKUP(A174,'Charriage - Geschiebehaushalt'!$A$4:$AC$275,26,FALSE))</f>
        <v/>
      </c>
      <c r="AJ174" s="434" t="str">
        <f>IF(VLOOKUP(A174,'Charriage - Geschiebehaushalt'!$A$4:$AC$275,27,FALSE)="","",VLOOKUP(A174,'Charriage - Geschiebehaushalt'!$A$4:$AC$275,27,FALSE))</f>
        <v/>
      </c>
      <c r="AK174" s="801" t="str">
        <f>IF(VLOOKUP(A174,'Charriage - Geschiebehaushalt'!$A$4:$AC$275,28,FALSE)="","",VLOOKUP(A174,'Charriage - Geschiebehaushalt'!$A$4:$AC$275,28,FALSE))</f>
        <v>non pertinent / nicht relevant</v>
      </c>
      <c r="AL174" s="1285" t="str">
        <f>IF(VLOOKUP(A174,'Charriage - Geschiebehaushalt'!$A$4:$AD$275,30,FALSE)="","",VLOOKUP(A174,'Charriage - Geschiebehaushalt'!$A$4:$AD$275,30,FALSE))</f>
        <v>a</v>
      </c>
      <c r="AM174" s="1279" t="str">
        <f>IF(VLOOKUP(A174,'Débit - Abfluss'!$A$4:$K$275,5,FALSE)="","",VLOOKUP(A174,'Débit - Abfluss'!$A$4:$M$275,5,FALSE))</f>
        <v>non pertinent</v>
      </c>
      <c r="AN174" s="868" t="str">
        <f>IF(VLOOKUP(A174,'Débit - Abfluss'!$A$4:$K$275,6,FALSE)="","",VLOOKUP(A174,'Débit - Abfluss'!$A$4:$M$275,6,FALSE))</f>
        <v/>
      </c>
      <c r="AO174" s="869" t="str">
        <f>IF(VLOOKUP(A174,'Débit - Abfluss'!$A$4:$K$275,7,FALSE)="","",VLOOKUP(A174,'Débit - Abfluss'!$A$4:$M$275,7,FALSE))</f>
        <v/>
      </c>
      <c r="AP174" s="766" t="str">
        <f>IF(VLOOKUP(A174,'Débit - Abfluss'!$A$4:$K$275,8,FALSE)="","",VLOOKUP(A174,'Débit - Abfluss'!$A$4:$M$275,8,FALSE))</f>
        <v>non pertinent / nicht relevant</v>
      </c>
      <c r="AQ174" s="742" t="str">
        <f>IF(VLOOKUP(A174,'Débit - Abfluss'!$A$4:$K$275,9,FALSE)="","",VLOOKUP(A174,'Débit - Abfluss'!$A$4:$M$275,9,FALSE))</f>
        <v>-</v>
      </c>
      <c r="AR174" s="767" t="str">
        <f>IF(VLOOKUP(A174,'Débit - Abfluss'!$A$4:$K$275,10,FALSE)="","",VLOOKUP(A174,'Débit - Abfluss'!$A$4:$M$275,10,FALSE))</f>
        <v>non pertinent / nicht relevant</v>
      </c>
      <c r="AS174" s="767" t="str">
        <f>IF(VLOOKUP(A174,'Débit - Abfluss'!$A$4:$K$275,11,FALSE)="","",VLOOKUP(A174,'Débit - Abfluss'!$A$4:$M$275,11,FALSE))</f>
        <v/>
      </c>
      <c r="AT174" s="744" t="str">
        <f>IF(VLOOKUP(A174,'Débit - Abfluss'!$A$4:$Q$275,12,FALSE)="","",VLOOKUP(A174,'Débit - Abfluss'!$A$4:$Q$275,12,FALSE))</f>
        <v/>
      </c>
      <c r="AU174" s="745" t="str">
        <f>IF(VLOOKUP(A174,'Débit - Abfluss'!$A$4:$Q$275,13,FALSE)="","",VLOOKUP(A174,'Débit - Abfluss'!$A$4:$Q$275,13,FALSE))</f>
        <v/>
      </c>
      <c r="AV174" s="746" t="str">
        <f>IF(VLOOKUP(A174,'Débit - Abfluss'!$A$4:$Q$275,14,FALSE)="","",VLOOKUP(A174,'Débit - Abfluss'!$A$4:$Q$275,14,FALSE))</f>
        <v/>
      </c>
      <c r="AW174" s="768" t="str">
        <f>IF(VLOOKUP(A174,'Débit - Abfluss'!$A$4:$Q$275,15,FALSE)="","",VLOOKUP(A174,'Débit - Abfluss'!$A$4:$Q$275,15,FALSE))</f>
        <v/>
      </c>
      <c r="AX174" s="677" t="str">
        <f>IF(VLOOKUP(A174,'Débit - Abfluss'!$A$4:$Q$275,16,FALSE)="","",VLOOKUP(A174,'Débit - Abfluss'!$A$4:$Q$275,16,FALSE))</f>
        <v/>
      </c>
      <c r="AY174" s="769" t="str">
        <f>IF(VLOOKUP(A174,'Débit - Abfluss'!$A$4:$Q$275,17,FALSE)="","",VLOOKUP(A174,'Débit - Abfluss'!$A$4:$Q$275,17,FALSE))</f>
        <v>non pertinent / nicht relevant</v>
      </c>
      <c r="AZ174" s="749" t="str">
        <f>IF(VLOOKUP(A174,'Eclusée - Schwall-Sunk'!$A$2:$F$273,5,FALSE)="","",VLOOKUP(A174,'Eclusée - Schwall-Sunk'!$A$2:$F$273,5,FALSE))</f>
        <v/>
      </c>
      <c r="BA174" s="750" t="str">
        <f>IF(VLOOKUP(A174,'Eclusée - Schwall-Sunk'!$A$2:$F$273,6,FALSE)="","",VLOOKUP(A174,'Eclusée - Schwall-Sunk'!$A$2:$F$273,6,FALSE))</f>
        <v>Non affecté / nicht betroffen</v>
      </c>
      <c r="BB174" s="751" t="str">
        <f>IF(VLOOKUP(A174,'Revitalisation-Revitalisierung'!$A$4:$Z$275,5,FALSE)="","",VLOOKUP(A174,'Revitalisation-Revitalisierung'!$A$4:$Z$275,5,FALSE))</f>
        <v/>
      </c>
      <c r="BC174" s="752" t="str">
        <f>IF(VLOOKUP(A174,'Revitalisation-Revitalisierung'!$A$4:$Z$275,6,FALSE)="","",VLOOKUP(A174,'Revitalisation-Revitalisierung'!$A$4:$Z$275,6,FALSE))</f>
        <v/>
      </c>
      <c r="BD174" s="752" t="str">
        <f>IF(VLOOKUP(A174,'Revitalisation-Revitalisierung'!$A$4:$Z$275,7,FALSE)="","",VLOOKUP(A174,'Revitalisation-Revitalisierung'!$A$4:$Z$275,7,FALSE))</f>
        <v/>
      </c>
      <c r="BE174" s="920" t="str">
        <f>IF(VLOOKUP(A174,'Revitalisation-Revitalisierung'!$A$4:$Z$275,8,FALSE)="","",VLOOKUP(A174,'Revitalisation-Revitalisierung'!$A$4:$Z$275,8,FALSE))</f>
        <v>non pertinent</v>
      </c>
      <c r="BF174" s="754" t="str">
        <f>IF(VLOOKUP(A174,'Revitalisation-Revitalisierung'!$A$4:$Z$275,9,FALSE)="","",VLOOKUP(A174,'Revitalisation-Revitalisierung'!$A$4:$Z$275,9,FALSE))</f>
        <v/>
      </c>
      <c r="BG174" s="754" t="str">
        <f>IF(VLOOKUP(A174,'Revitalisation-Revitalisierung'!$A$4:$Z$275,10,FALSE)="","",VLOOKUP(A174,'Revitalisation-Revitalisierung'!$A$4:$Z$275,10,FALSE))</f>
        <v>K1</v>
      </c>
      <c r="BH174" s="755" t="str">
        <f>IF(VLOOKUP(A174,'Revitalisation-Revitalisierung'!$A$4:$Z$275,11,FALSE)="","",VLOOKUP(A174,'Revitalisation-Revitalisierung'!$A$4:$Z$275,11,FALSE))</f>
        <v/>
      </c>
      <c r="BI174" s="756" t="str">
        <f>IF(VLOOKUP(A174,'Revitalisation-Revitalisierung'!$A$4:$Z$275,12,FALSE)="","",VLOOKUP(A174,'Revitalisation-Revitalisierung'!$A$4:$Z$275,12,FALSE))</f>
        <v/>
      </c>
      <c r="BJ174" s="788" t="str">
        <f>IF(VLOOKUP(A174,'Revitalisation-Revitalisierung'!$A$4:$Z$275,13,FALSE)="","",VLOOKUP(A174,'Revitalisation-Revitalisierung'!$A$4:$Z$275,13,FALSE))</f>
        <v>non pertinent / nicht relevant</v>
      </c>
      <c r="BK174" s="870" t="str">
        <f>IF(VLOOKUP(A174,'Revitalisation-Revitalisierung'!$A$4:$Z$275,14,FALSE)="","",VLOOKUP(A174,'Revitalisation-Revitalisierung'!$A$4:$Z$275,14,FALSE))</f>
        <v>a</v>
      </c>
      <c r="BL174" s="758">
        <f>IF(VLOOKUP(A174,'Revitalisation-Revitalisierung'!$A$4:$Z$275,15,FALSE)="","",VLOOKUP(A174,'Revitalisation-Revitalisierung'!$A$4:$Z$275,15,FALSE))</f>
        <v>0</v>
      </c>
      <c r="BM174" s="759">
        <f>IF(VLOOKUP(A174,'Revitalisation-Revitalisierung'!$A$4:$Z$275,16,FALSE)="","",VLOOKUP(A174,'Revitalisation-Revitalisierung'!$A$4:$Z$275,16,FALSE))</f>
        <v>0</v>
      </c>
      <c r="BN174" s="759">
        <f>IF(VLOOKUP(A174,'Revitalisation-Revitalisierung'!$A$4:$Z$275,17,FALSE)="","",VLOOKUP(A174,'Revitalisation-Revitalisierung'!$A$4:$Z$275,17,FALSE))</f>
        <v>0</v>
      </c>
      <c r="BO174" s="760" t="str">
        <f>IF(VLOOKUP(A174,'Revitalisation-Revitalisierung'!$A$4:$Z$275,18,FALSE)="","",VLOOKUP(A174,'Revitalisation-Revitalisierung'!$A$4:$Z$275,18,FALSE))</f>
        <v>Très nécessaire, facile / unbedingt nötig, einfach</v>
      </c>
      <c r="BP174" s="761" t="str">
        <f>IF(VLOOKUP(A174,'Revitalisation-Revitalisierung'!$A$4:$Z$275,19,FALSE)="","",VLOOKUP(A174,'Revitalisation-Revitalisierung'!$A$4:$Z$275,19,FALSE))</f>
        <v>non pertinent / nicht relevant</v>
      </c>
      <c r="BQ174" s="759" t="str">
        <f>IF(VLOOKUP(A174,'Revitalisation-Revitalisierung'!$A$4:$Z$275,20,FALSE)="","",VLOOKUP(A174,'Revitalisation-Revitalisierung'!$A$4:$Z$275,20,FALSE))</f>
        <v>a</v>
      </c>
      <c r="BR174" s="759" t="str">
        <f>IF(VLOOKUP(A174,'Revitalisation-Revitalisierung'!$A$4:$Z$275,21,FALSE)="","",VLOOKUP(A174,'Revitalisation-Revitalisierung'!$A$4:$Z$275,21,FALSE))</f>
        <v/>
      </c>
      <c r="BS174" s="762" t="str">
        <f>IF(VLOOKUP(A174,'Revitalisation-Revitalisierung'!$A$4:$Z$275,22,FALSE)="","",VLOOKUP(A174,'Revitalisation-Revitalisierung'!$A$4:$Z$275,22,FALSE))</f>
        <v/>
      </c>
      <c r="BT174" s="703" t="str">
        <f>IF(VLOOKUP(A174,'Revitalisation-Revitalisierung'!$A$4:$Z$275,23,FALSE)="","",VLOOKUP(A174,'Revitalisation-Revitalisierung'!$A$4:$Z$275,23,FALSE))</f>
        <v>nicht relevant oder nicht nötig</v>
      </c>
      <c r="BU174" s="699" t="str">
        <f>IF(VLOOKUP(A174,'Revitalisation-Revitalisierung'!$A$4:$Z$275,24,FALSE)="","",VLOOKUP(A174,'Revitalisation-Revitalisierung'!$A$4:$Z$275,24,FALSE))</f>
        <v>Aufteilung? Seeufer? kein Handlungsbedarf, Zielkonflikt FM Aue</v>
      </c>
      <c r="BV174" s="761" t="str">
        <f>IF(VLOOKUP(A174,'Revitalisation-Revitalisierung'!$A$4:$Z$275,25,FALSE)="","",VLOOKUP(A174,'Revitalisation-Revitalisierung'!$A$4:$Z$275,25,FALSE))</f>
        <v>non pertinent / nicht relevant</v>
      </c>
      <c r="BW174" s="871" t="str">
        <f>IF(VLOOKUP(A174,'Revitalisation-Revitalisierung'!$A$4:$AA$275,27,FALSE)="","",VLOOKUP(A174,'Revitalisation-Revitalisierung'!$A$4:$AA$275,27,FALSE))</f>
        <v>a</v>
      </c>
    </row>
    <row r="175" spans="1:75" ht="64.900000000000006" customHeight="1" x14ac:dyDescent="0.25">
      <c r="A175" s="935">
        <v>224</v>
      </c>
      <c r="B175" s="856">
        <f>IF(VLOOKUP(A175,'Données de base - Grunddaten'!$A$2:$M$297,2,FALSE)="","",VLOOKUP(A175,'Données de base - Grunddaten'!$A$2:$M$297,2,FALSE))</f>
        <v>1</v>
      </c>
      <c r="C175" s="857" t="str">
        <f>IF(VLOOKUP(A175,'Données de base - Grunddaten'!$A$2:$M$297,3,FALSE)="","",VLOOKUP(A175,'Données de base - Grunddaten'!$A$2:$M$297,3,FALSE))</f>
        <v>Rohr–Oey</v>
      </c>
      <c r="D175" s="857" t="str">
        <f>IF(VLOOKUP(A175,'Données de base - Grunddaten'!$A$2:$M$297,4,FALSE)="","",VLOOKUP(A175,'Données de base - Grunddaten'!$A$2:$M$297,4,FALSE))</f>
        <v>Louibach</v>
      </c>
      <c r="E175" s="857" t="str">
        <f>IF(VLOOKUP(A175,'Données de base - Grunddaten'!$A$2:$M$297,5,FALSE)="","",VLOOKUP(A175,'Données de base - Grunddaten'!$A$2:$M$297,5,FALSE))</f>
        <v>BE</v>
      </c>
      <c r="F175" s="857" t="str">
        <f>IF(VLOOKUP(A175,'Données de base - Grunddaten'!$A$2:$M$297,6,FALSE)="","",VLOOKUP(A175,'Données de base - Grunddaten'!$A$2:$M$297,6,FALSE))</f>
        <v>Alpes septentrionales</v>
      </c>
      <c r="G175" s="857" t="str">
        <f>IF(VLOOKUP(A175,'Données de base - Grunddaten'!$A$2:$M$297,7,FALSE)="","",VLOOKUP(A175,'Données de base - Grunddaten'!$A$2:$M$297,7,FALSE))</f>
        <v>Subalpin inf.</v>
      </c>
      <c r="H175" s="857">
        <f>IF(VLOOKUP(A175,'Données de base - Grunddaten'!$A$2:$M$297,8,FALSE)="","",VLOOKUP(A175,'Données de base - Grunddaten'!$A$2:$M$297,8,FALSE))</f>
        <v>1250</v>
      </c>
      <c r="I175" s="857">
        <f>IF(VLOOKUP(A175,'Données de base - Grunddaten'!$A$2:$M$297,9,FALSE)="","",VLOOKUP(A175,'Données de base - Grunddaten'!$A$2:$M$297,9,FALSE))</f>
        <v>1992</v>
      </c>
      <c r="J175" s="857">
        <f>IF(VLOOKUP(A175,'Données de base - Grunddaten'!$A$2:$M$297,10,FALSE)="","",VLOOKUP(A175,'Données de base - Grunddaten'!$A$2:$M$297,10,FALSE))</f>
        <v>41</v>
      </c>
      <c r="K175" s="857" t="str">
        <f>IF(VLOOKUP(A175,'Données de base - Grunddaten'!$A$2:$M$297,11,FALSE)="","",VLOOKUP(A175,'Données de base - Grunddaten'!$A$2:$M$297,11,FALSE))</f>
        <v>Cours d'eau naturels de l'étage montagnard</v>
      </c>
      <c r="L175" s="857" t="str">
        <f>IF(VLOOKUP(A175,'Données de base - Grunddaten'!$A$2:$M$297,12,FALSE)="","",VLOOKUP(A175,'Données de base - Grunddaten'!$A$2:$M$297,12,FALSE))</f>
        <v>méandres migrants</v>
      </c>
      <c r="M175" s="858" t="str">
        <f>IF(VLOOKUP(A175,'Données de base - Grunddaten'!$A$2:$M$297,13,FALSE)="","",VLOOKUP(A175,'Données de base - Grunddaten'!$A$2:$M$297,13,FALSE))</f>
        <v>méandres migrants</v>
      </c>
      <c r="N175" s="872" t="str">
        <f>IF(VLOOKUP(A175,'Charriage - Geschiebehaushalt'!$A$4:$R$275,5,FALSE)="","",VLOOKUP(A175,'Charriage - Geschiebehaushalt'!$A$4:$R$275,5,FALSE))</f>
        <v>pertinent</v>
      </c>
      <c r="O175" s="881" t="str">
        <f>IF(VLOOKUP(A175,'Charriage - Geschiebehaushalt'!$A$4:$R$275,6,FALSE)="","",VLOOKUP(A175,'Charriage - Geschiebehaushalt'!$A$4:$R$275,6,FALSE))</f>
        <v>non documenté</v>
      </c>
      <c r="P175" s="874" t="str">
        <f>IF(VLOOKUP(A175,'Charriage - Geschiebehaushalt'!$A$4:$R$275,7,FALSE)="","",VLOOKUP(A175,'Charriage - Geschiebehaushalt'!$A$4:$R$275,7,FALSE))</f>
        <v/>
      </c>
      <c r="Q175" s="874" t="str">
        <f>IF(VLOOKUP(A175,'Charriage - Geschiebehaushalt'!$A$4:$R$275,8,FALSE)="","",VLOOKUP(A175,'Charriage - Geschiebehaushalt'!$A$4:$R$275,8,FALSE))</f>
        <v>non documenté</v>
      </c>
      <c r="R175" s="875">
        <f>IF(VLOOKUP(A175,'Charriage - Geschiebehaushalt'!$A$4:$R$275,9,FALSE)="","",VLOOKUP(A175,'Charriage - Geschiebehaushalt'!$A$4:$R$275,9,FALSE))</f>
        <v>0.32100000000000001</v>
      </c>
      <c r="S175" s="895" t="str">
        <f>IF(VLOOKUP(A175,'Charriage - Geschiebehaushalt'!$A$4:$R$275,10,FALSE)="","",VLOOKUP(A175,'Charriage - Geschiebehaushalt'!$A$4:$R$275,10,FALSE))</f>
        <v>la remobilisation des sédiments est perturbée</v>
      </c>
      <c r="T175" s="875">
        <f>IF(VLOOKUP(A175,'Charriage - Geschiebehaushalt'!$A$4:$R$275,11,FALSE)="","",VLOOKUP(A175,'Charriage - Geschiebehaushalt'!$A$4:$R$275,11,FALSE))</f>
        <v>0.39793819453000001</v>
      </c>
      <c r="U175" s="876" t="str">
        <f>IF(VLOOKUP(A175,'Charriage - Geschiebehaushalt'!$A$4:$R$275,12,FALSE)="","",VLOOKUP(A175,'Charriage - Geschiebehaushalt'!$A$4:$R$275,12,FALSE))</f>
        <v>déficit non apparent en charriage ou en remobilisation des sédiments</v>
      </c>
      <c r="V175" s="877" t="str">
        <f>IF(VLOOKUP(A175,'Charriage - Geschiebehaushalt'!$A$4:$R$275,13,FALSE)="","",VLOOKUP(A175,'Charriage - Geschiebehaushalt'!$A$4:$R$275,13,FALSE))</f>
        <v/>
      </c>
      <c r="W175" s="877" t="str">
        <f>IF(VLOOKUP(A175,'Charriage - Geschiebehaushalt'!$A$4:$R$275,14,FALSE)="","",VLOOKUP(A175,'Charriage - Geschiebehaushalt'!$A$4:$R$275,14,FALSE))</f>
        <v/>
      </c>
      <c r="X175" s="877" t="str">
        <f>IF(VLOOKUP(A175,'Charriage - Geschiebehaushalt'!$A$4:$R$275,15,FALSE)="","",VLOOKUP(A175,'Charriage - Geschiebehaushalt'!$A$4:$R$275,15,FALSE))</f>
        <v/>
      </c>
      <c r="Y175" s="879" t="str">
        <f>IF(VLOOKUP(A175,'Charriage - Geschiebehaushalt'!$A$4:$R$275,16,FALSE)="","",VLOOKUP(A175,'Charriage - Geschiebehaushalt'!$A$4:$R$275,16,FALSE))</f>
        <v/>
      </c>
      <c r="Z175" s="763" t="str">
        <f>IF(VLOOKUP(A175,'Charriage - Geschiebehaushalt'!$A$4:$R$275,17,FALSE)="","",VLOOKUP(A175,'Charriage - Geschiebehaushalt'!$A$4:$R$275,17,FALSE))</f>
        <v>La remobilisation des sédiments est perturbée / Mobilisierung von Geschiebe beeinträchtigt</v>
      </c>
      <c r="AA175" s="880" t="str">
        <f>IF(VLOOKUP(A175,'Charriage - Geschiebehaushalt'!$A$4:$R$275,18,FALSE)="","",VLOOKUP(A175,'Charriage - Geschiebehaushalt'!$A$4:$R$275,18,FALSE))</f>
        <v>b</v>
      </c>
      <c r="AB175" s="737" t="str">
        <f>IF(VLOOKUP(A175,'Charriage - Geschiebehaushalt'!$A$4:$AC$275,19,FALSE)="","",VLOOKUP(A175,'Charriage - Geschiebehaushalt'!$A$4:$AC$275,19,FALSE))</f>
        <v>-</v>
      </c>
      <c r="AC175" s="738" t="str">
        <f>IF(VLOOKUP(A175,'Charriage - Geschiebehaushalt'!$A$4:$AC$275,20,FALSE)="","",VLOOKUP(A175,'Charriage - Geschiebehaushalt'!$A$4:$AC$275,20,FALSE))</f>
        <v>-</v>
      </c>
      <c r="AD175" s="764" t="str">
        <f>IF(VLOOKUP(A175,'Charriage - Geschiebehaushalt'!$A$4:$AC$275,21,FALSE)="","",VLOOKUP(A175,'Charriage - Geschiebehaushalt'!$A$4:$AC$275,21,FALSE))</f>
        <v/>
      </c>
      <c r="AE175" s="740" t="str">
        <f>IF(VLOOKUP(A175,'Charriage - Geschiebehaushalt'!$A$4:$AC$275,22,FALSE)="","",VLOOKUP(A175,'Charriage - Geschiebehaushalt'!$A$4:$AC$275,22,FALSE))</f>
        <v>21-50%</v>
      </c>
      <c r="AF175" s="787" t="str">
        <f>IF(VLOOKUP(A175,'Charriage - Geschiebehaushalt'!$A$4:$AC$275,23,FALSE)="","",VLOOKUP(A175,'Charriage - Geschiebehaushalt'!$A$4:$AC$275,23,FALSE))</f>
        <v>b</v>
      </c>
      <c r="AG175" s="765" t="str">
        <f>IF(VLOOKUP(A175,'Charriage - Geschiebehaushalt'!$A$4:$AC$275,24,FALSE)="","",VLOOKUP(A175,'Charriage - Geschiebehaushalt'!$A$4:$AC$275,24,FALSE))</f>
        <v/>
      </c>
      <c r="AH175" s="764" t="str">
        <f>IF(VLOOKUP(A175,'Charriage - Geschiebehaushalt'!$A$4:$AC$275,25,FALSE)="","",VLOOKUP(A175,'Charriage - Geschiebehaushalt'!$A$4:$AC$275,25,FALSE))</f>
        <v/>
      </c>
      <c r="AI175" s="433" t="str">
        <f>IF(VLOOKUP(A175,'Charriage - Geschiebehaushalt'!$A$4:$AC$275,26,FALSE)="","",VLOOKUP(A175,'Charriage - Geschiebehaushalt'!$A$4:$AC$275,26,FALSE))</f>
        <v/>
      </c>
      <c r="AJ175" s="434" t="str">
        <f>IF(VLOOKUP(A175,'Charriage - Geschiebehaushalt'!$A$4:$AC$275,27,FALSE)="","",VLOOKUP(A175,'Charriage - Geschiebehaushalt'!$A$4:$AC$275,27,FALSE))</f>
        <v/>
      </c>
      <c r="AK175" s="801" t="str">
        <f>IF(VLOOKUP(A175,'Charriage - Geschiebehaushalt'!$A$4:$AC$275,28,FALSE)="","",VLOOKUP(A175,'Charriage - Geschiebehaushalt'!$A$4:$AC$275,28,FALSE))</f>
        <v>21-50%</v>
      </c>
      <c r="AL175" s="1285" t="str">
        <f>IF(VLOOKUP(A175,'Charriage - Geschiebehaushalt'!$A$4:$AD$275,30,FALSE)="","",VLOOKUP(A175,'Charriage - Geschiebehaushalt'!$A$4:$AD$275,30,FALSE))</f>
        <v>b</v>
      </c>
      <c r="AM175" s="1279" t="str">
        <f>IF(VLOOKUP(A175,'Débit - Abfluss'!$A$4:$K$275,5,FALSE)="","",VLOOKUP(A175,'Débit - Abfluss'!$A$4:$M$275,5,FALSE))</f>
        <v>100%</v>
      </c>
      <c r="AN175" s="868" t="str">
        <f>IF(VLOOKUP(A175,'Débit - Abfluss'!$A$4:$K$275,6,FALSE)="","",VLOOKUP(A175,'Débit - Abfluss'!$A$4:$M$275,6,FALSE))</f>
        <v>aucune information supplémentaire</v>
      </c>
      <c r="AO175" s="869" t="str">
        <f>IF(VLOOKUP(A175,'Débit - Abfluss'!$A$4:$K$275,7,FALSE)="","",VLOOKUP(A175,'Débit - Abfluss'!$A$4:$M$275,7,FALSE))</f>
        <v>aucune information supplémentaire</v>
      </c>
      <c r="AP175" s="766" t="str">
        <f>IF(VLOOKUP(A175,'Débit - Abfluss'!$A$4:$K$275,8,FALSE)="","",VLOOKUP(A175,'Débit - Abfluss'!$A$4:$M$275,8,FALSE))</f>
        <v>100%</v>
      </c>
      <c r="AQ175" s="742" t="str">
        <f>IF(VLOOKUP(A175,'Débit - Abfluss'!$A$4:$K$275,9,FALSE)="","",VLOOKUP(A175,'Débit - Abfluss'!$A$4:$M$275,9,FALSE))</f>
        <v>-</v>
      </c>
      <c r="AR175" s="767" t="str">
        <f>IF(VLOOKUP(A175,'Débit - Abfluss'!$A$4:$K$275,10,FALSE)="","",VLOOKUP(A175,'Débit - Abfluss'!$A$4:$M$275,10,FALSE))</f>
        <v>100%</v>
      </c>
      <c r="AS175" s="767" t="str">
        <f>IF(VLOOKUP(A175,'Débit - Abfluss'!$A$4:$K$275,11,FALSE)="","",VLOOKUP(A175,'Débit - Abfluss'!$A$4:$M$275,11,FALSE))</f>
        <v/>
      </c>
      <c r="AT175" s="744" t="str">
        <f>IF(VLOOKUP(A175,'Débit - Abfluss'!$A$4:$Q$275,12,FALSE)="","",VLOOKUP(A175,'Débit - Abfluss'!$A$4:$Q$275,12,FALSE))</f>
        <v/>
      </c>
      <c r="AU175" s="745" t="str">
        <f>IF(VLOOKUP(A175,'Débit - Abfluss'!$A$4:$Q$275,13,FALSE)="","",VLOOKUP(A175,'Débit - Abfluss'!$A$4:$Q$275,13,FALSE))</f>
        <v/>
      </c>
      <c r="AV175" s="746" t="str">
        <f>IF(VLOOKUP(A175,'Débit - Abfluss'!$A$4:$Q$275,14,FALSE)="","",VLOOKUP(A175,'Débit - Abfluss'!$A$4:$Q$275,14,FALSE))</f>
        <v/>
      </c>
      <c r="AW175" s="768" t="str">
        <f>IF(VLOOKUP(A175,'Débit - Abfluss'!$A$4:$Q$275,15,FALSE)="","",VLOOKUP(A175,'Débit - Abfluss'!$A$4:$Q$275,15,FALSE))</f>
        <v/>
      </c>
      <c r="AX175" s="677" t="str">
        <f>IF(VLOOKUP(A175,'Débit - Abfluss'!$A$4:$Q$275,16,FALSE)="","",VLOOKUP(A175,'Débit - Abfluss'!$A$4:$Q$275,16,FALSE))</f>
        <v/>
      </c>
      <c r="AY175" s="769" t="str">
        <f>IF(VLOOKUP(A175,'Débit - Abfluss'!$A$4:$Q$275,17,FALSE)="","",VLOOKUP(A175,'Débit - Abfluss'!$A$4:$Q$275,17,FALSE))</f>
        <v>100%</v>
      </c>
      <c r="AZ175" s="749" t="str">
        <f>IF(VLOOKUP(A175,'Eclusée - Schwall-Sunk'!$A$2:$F$273,5,FALSE)="","",VLOOKUP(A175,'Eclusée - Schwall-Sunk'!$A$2:$F$273,5,FALSE))</f>
        <v/>
      </c>
      <c r="BA175" s="750" t="str">
        <f>IF(VLOOKUP(A175,'Eclusée - Schwall-Sunk'!$A$2:$F$273,6,FALSE)="","",VLOOKUP(A175,'Eclusée - Schwall-Sunk'!$A$2:$F$273,6,FALSE))</f>
        <v>Non affecté / nicht betroffen</v>
      </c>
      <c r="BB175" s="751">
        <f>IF(VLOOKUP(A175,'Revitalisation-Revitalisierung'!$A$4:$Z$275,5,FALSE)="","",VLOOKUP(A175,'Revitalisation-Revitalisierung'!$A$4:$Z$275,5,FALSE))</f>
        <v>31.7</v>
      </c>
      <c r="BC175" s="752">
        <f>IF(VLOOKUP(A175,'Revitalisation-Revitalisierung'!$A$4:$Z$275,6,FALSE)="","",VLOOKUP(A175,'Revitalisation-Revitalisierung'!$A$4:$Z$275,6,FALSE))</f>
        <v>46.69601138637303</v>
      </c>
      <c r="BD175" s="752">
        <f>IF(VLOOKUP(A175,'Revitalisation-Revitalisierung'!$A$4:$Z$275,7,FALSE)="","",VLOOKUP(A175,'Revitalisation-Revitalisierung'!$A$4:$Z$275,7,FALSE))</f>
        <v>15</v>
      </c>
      <c r="BE175" s="753" t="str">
        <f>IF(VLOOKUP(A175,'Revitalisation-Revitalisierung'!$A$4:$Z$275,8,FALSE)="","",VLOOKUP(A175,'Revitalisation-Revitalisierung'!$A$4:$Z$275,8,FALSE))</f>
        <v>très nécessaire, facile</v>
      </c>
      <c r="BF175" s="754" t="str">
        <f>IF(VLOOKUP(A175,'Revitalisation-Revitalisierung'!$A$4:$Z$275,9,FALSE)="","",VLOOKUP(A175,'Revitalisation-Revitalisierung'!$A$4:$Z$275,9,FALSE))</f>
        <v/>
      </c>
      <c r="BG175" s="754" t="str">
        <f>IF(VLOOKUP(A175,'Revitalisation-Revitalisierung'!$A$4:$Z$275,10,FALSE)="","",VLOOKUP(A175,'Revitalisation-Revitalisierung'!$A$4:$Z$275,10,FALSE))</f>
        <v>K1</v>
      </c>
      <c r="BH175" s="755" t="str">
        <f>IF(VLOOKUP(A175,'Revitalisation-Revitalisierung'!$A$4:$Z$275,11,FALSE)="","",VLOOKUP(A175,'Revitalisation-Revitalisierung'!$A$4:$Z$275,11,FALSE))</f>
        <v/>
      </c>
      <c r="BI175" s="756" t="str">
        <f>IF(VLOOKUP(A175,'Revitalisation-Revitalisierung'!$A$4:$Z$275,12,FALSE)="","",VLOOKUP(A175,'Revitalisation-Revitalisierung'!$A$4:$Z$275,12,FALSE))</f>
        <v/>
      </c>
      <c r="BJ175" s="788" t="str">
        <f>IF(VLOOKUP(A175,'Revitalisation-Revitalisierung'!$A$4:$Z$275,13,FALSE)="","",VLOOKUP(A175,'Revitalisation-Revitalisierung'!$A$4:$Z$275,13,FALSE))</f>
        <v>Très nécessaire, facile / unbedingt nötig, einfach</v>
      </c>
      <c r="BK175" s="870" t="str">
        <f>IF(VLOOKUP(A175,'Revitalisation-Revitalisierung'!$A$4:$Z$275,14,FALSE)="","",VLOOKUP(A175,'Revitalisation-Revitalisierung'!$A$4:$Z$275,14,FALSE))</f>
        <v>a</v>
      </c>
      <c r="BL175" s="758" t="str">
        <f>IF(VLOOKUP(A175,'Revitalisation-Revitalisierung'!$A$4:$Z$275,15,FALSE)="","",VLOOKUP(A175,'Revitalisation-Revitalisierung'!$A$4:$Z$275,15,FALSE))</f>
        <v>gross</v>
      </c>
      <c r="BM175" s="759" t="str">
        <f>IF(VLOOKUP(A175,'Revitalisation-Revitalisierung'!$A$4:$Z$275,16,FALSE)="","",VLOOKUP(A175,'Revitalisation-Revitalisierung'!$A$4:$Z$275,16,FALSE))</f>
        <v>gering</v>
      </c>
      <c r="BN175" s="759" t="str">
        <f>IF(VLOOKUP(A175,'Revitalisation-Revitalisierung'!$A$4:$Z$275,17,FALSE)="","",VLOOKUP(A175,'Revitalisation-Revitalisierung'!$A$4:$Z$275,17,FALSE))</f>
        <v>-</v>
      </c>
      <c r="BO175" s="760" t="str">
        <f>IF(VLOOKUP(A175,'Revitalisation-Revitalisierung'!$A$4:$Z$275,18,FALSE)="","",VLOOKUP(A175,'Revitalisation-Revitalisierung'!$A$4:$Z$275,18,FALSE))</f>
        <v>Non nécessaire / nicht nötig</v>
      </c>
      <c r="BP175" s="760" t="str">
        <f>IF(VLOOKUP(A175,'Revitalisation-Revitalisierung'!$A$4:$Z$275,19,FALSE)="","",VLOOKUP(A175,'Revitalisation-Revitalisierung'!$A$4:$Z$275,19,FALSE))</f>
        <v>Partiellement nécessaire, facile / teilweise nötig, einfach</v>
      </c>
      <c r="BQ175" s="759" t="str">
        <f>IF(VLOOKUP(A175,'Revitalisation-Revitalisierung'!$A$4:$Z$275,20,FALSE)="","",VLOOKUP(A175,'Revitalisation-Revitalisierung'!$A$4:$Z$275,20,FALSE))</f>
        <v>e</v>
      </c>
      <c r="BR175" s="759" t="str">
        <f>IF(VLOOKUP(A175,'Revitalisation-Revitalisierung'!$A$4:$Z$275,21,FALSE)="","",VLOOKUP(A175,'Revitalisation-Revitalisierung'!$A$4:$Z$275,21,FALSE))</f>
        <v/>
      </c>
      <c r="BS175" s="762" t="str">
        <f>IF(VLOOKUP(A175,'Revitalisation-Revitalisierung'!$A$4:$Z$275,22,FALSE)="","",VLOOKUP(A175,'Revitalisation-Revitalisierung'!$A$4:$Z$275,22,FALSE))</f>
        <v>X</v>
      </c>
      <c r="BT175" s="703" t="str">
        <f>IF(VLOOKUP(A175,'Revitalisation-Revitalisierung'!$A$4:$Z$275,23,FALSE)="","",VLOOKUP(A175,'Revitalisation-Revitalisierung'!$A$4:$Z$275,23,FALSE))</f>
        <v>teilweise nötig</v>
      </c>
      <c r="BU175" s="699" t="str">
        <f>IF(VLOOKUP(A175,'Revitalisation-Revitalisierung'!$A$4:$Z$275,24,FALSE)="","",VLOOKUP(A175,'Revitalisation-Revitalisierung'!$A$4:$Z$275,24,FALSE))</f>
        <v>z.T. Zielkonflikt FM Aue</v>
      </c>
      <c r="BV175" s="804" t="str">
        <f>IF(VLOOKUP(A175,'Revitalisation-Revitalisierung'!$A$4:$Z$275,25,FALSE)="","",VLOOKUP(A175,'Revitalisation-Revitalisierung'!$A$4:$Z$275,25,FALSE))</f>
        <v>Partiellement nécessaire, facile / teilweise nötig, einfach</v>
      </c>
      <c r="BW175" s="871" t="str">
        <f>IF(VLOOKUP(A175,'Revitalisation-Revitalisierung'!$A$4:$AA$275,27,FALSE)="","",VLOOKUP(A175,'Revitalisation-Revitalisierung'!$A$4:$AA$275,27,FALSE))</f>
        <v>b</v>
      </c>
    </row>
    <row r="176" spans="1:75" ht="85.15" customHeight="1" x14ac:dyDescent="0.25">
      <c r="A176" s="935">
        <v>225</v>
      </c>
      <c r="B176" s="856">
        <f>IF(VLOOKUP(A176,'Données de base - Grunddaten'!$A$2:$M$297,2,FALSE)="","",VLOOKUP(A176,'Données de base - Grunddaten'!$A$2:$M$297,2,FALSE))</f>
        <v>1</v>
      </c>
      <c r="C176" s="857" t="str">
        <f>IF(VLOOKUP(A176,'Données de base - Grunddaten'!$A$2:$M$297,3,FALSE)="","",VLOOKUP(A176,'Données de base - Grunddaten'!$A$2:$M$297,3,FALSE))</f>
        <v>Aahorn</v>
      </c>
      <c r="D176" s="857" t="str">
        <f>IF(VLOOKUP(A176,'Données de base - Grunddaten'!$A$2:$M$297,4,FALSE)="","",VLOOKUP(A176,'Données de base - Grunddaten'!$A$2:$M$297,4,FALSE))</f>
        <v>Obersee, Wägitaler-Aa</v>
      </c>
      <c r="E176" s="857" t="str">
        <f>IF(VLOOKUP(A176,'Données de base - Grunddaten'!$A$2:$M$297,5,FALSE)="","",VLOOKUP(A176,'Données de base - Grunddaten'!$A$2:$M$297,5,FALSE))</f>
        <v>SZ</v>
      </c>
      <c r="F176" s="857" t="str">
        <f>IF(VLOOKUP(A176,'Données de base - Grunddaten'!$A$2:$M$297,6,FALSE)="","",VLOOKUP(A176,'Données de base - Grunddaten'!$A$2:$M$297,6,FALSE))</f>
        <v>Plateau oriental</v>
      </c>
      <c r="G176" s="857" t="str">
        <f>IF(VLOOKUP(A176,'Données de base - Grunddaten'!$A$2:$M$297,7,FALSE)="","",VLOOKUP(A176,'Données de base - Grunddaten'!$A$2:$M$297,7,FALSE))</f>
        <v>Collinéen</v>
      </c>
      <c r="H176" s="857">
        <f>IF(VLOOKUP(A176,'Données de base - Grunddaten'!$A$2:$M$297,8,FALSE)="","",VLOOKUP(A176,'Données de base - Grunddaten'!$A$2:$M$297,8,FALSE))</f>
        <v>408</v>
      </c>
      <c r="I176" s="857">
        <f>IF(VLOOKUP(A176,'Données de base - Grunddaten'!$A$2:$M$297,9,FALSE)="","",VLOOKUP(A176,'Données de base - Grunddaten'!$A$2:$M$297,9,FALSE))</f>
        <v>1992</v>
      </c>
      <c r="J176" s="857">
        <f>IF(VLOOKUP(A176,'Données de base - Grunddaten'!$A$2:$M$297,10,FALSE)="","",VLOOKUP(A176,'Données de base - Grunddaten'!$A$2:$M$297,10,FALSE))</f>
        <v>90</v>
      </c>
      <c r="K176" s="857" t="str">
        <f>IF(VLOOKUP(A176,'Données de base - Grunddaten'!$A$2:$M$297,11,FALSE)="","",VLOOKUP(A176,'Données de base - Grunddaten'!$A$2:$M$297,11,FALSE))</f>
        <v>Delta</v>
      </c>
      <c r="L176" s="857" t="str">
        <f>IF(VLOOKUP(A176,'Données de base - Grunddaten'!$A$2:$M$297,12,FALSE)="","",VLOOKUP(A176,'Données de base - Grunddaten'!$A$2:$M$297,12,FALSE))</f>
        <v>cours rectiligne</v>
      </c>
      <c r="M176" s="858" t="str">
        <f>IF(VLOOKUP(A176,'Données de base - Grunddaten'!$A$2:$M$297,13,FALSE)="","",VLOOKUP(A176,'Données de base - Grunddaten'!$A$2:$M$297,13,FALSE))</f>
        <v>cours rectiligne</v>
      </c>
      <c r="N176" s="872" t="str">
        <f>IF(VLOOKUP(A176,'Charriage - Geschiebehaushalt'!$A$4:$R$275,5,FALSE)="","",VLOOKUP(A176,'Charriage - Geschiebehaushalt'!$A$4:$R$275,5,FALSE))</f>
        <v>pertinent</v>
      </c>
      <c r="O176" s="881" t="str">
        <f>IF(VLOOKUP(A176,'Charriage - Geschiebehaushalt'!$A$4:$R$275,6,FALSE)="","",VLOOKUP(A176,'Charriage - Geschiebehaushalt'!$A$4:$R$275,6,FALSE))</f>
        <v>non documenté</v>
      </c>
      <c r="P176" s="874" t="str">
        <f>IF(VLOOKUP(A176,'Charriage - Geschiebehaushalt'!$A$4:$R$275,7,FALSE)="","",VLOOKUP(A176,'Charriage - Geschiebehaushalt'!$A$4:$R$275,7,FALSE))</f>
        <v/>
      </c>
      <c r="Q176" s="874" t="str">
        <f>IF(VLOOKUP(A176,'Charriage - Geschiebehaushalt'!$A$4:$R$275,8,FALSE)="","",VLOOKUP(A176,'Charriage - Geschiebehaushalt'!$A$4:$R$275,8,FALSE))</f>
        <v>non documenté</v>
      </c>
      <c r="R176" s="875">
        <f>IF(VLOOKUP(A176,'Charriage - Geschiebehaushalt'!$A$4:$R$275,9,FALSE)="","",VLOOKUP(A176,'Charriage - Geschiebehaushalt'!$A$4:$R$275,9,FALSE))</f>
        <v>0.319078715941362</v>
      </c>
      <c r="S176" s="895" t="str">
        <f>IF(VLOOKUP(A176,'Charriage - Geschiebehaushalt'!$A$4:$R$275,10,FALSE)="","",VLOOKUP(A176,'Charriage - Geschiebehaushalt'!$A$4:$R$275,10,FALSE))</f>
        <v>la remobilisation des sédiments est perturbée</v>
      </c>
      <c r="T176" s="875">
        <f>IF(VLOOKUP(A176,'Charriage - Geschiebehaushalt'!$A$4:$R$275,11,FALSE)="","",VLOOKUP(A176,'Charriage - Geschiebehaushalt'!$A$4:$R$275,11,FALSE))</f>
        <v>0.41086773305000002</v>
      </c>
      <c r="U176" s="876" t="str">
        <f>IF(VLOOKUP(A176,'Charriage - Geschiebehaushalt'!$A$4:$R$275,12,FALSE)="","",VLOOKUP(A176,'Charriage - Geschiebehaushalt'!$A$4:$R$275,12,FALSE))</f>
        <v>déficit non apparent en charriage ou en remobilisation des sédiments</v>
      </c>
      <c r="V176" s="877" t="str">
        <f>IF(VLOOKUP(A176,'Charriage - Geschiebehaushalt'!$A$4:$R$275,13,FALSE)="","",VLOOKUP(A176,'Charriage - Geschiebehaushalt'!$A$4:$R$275,13,FALSE))</f>
        <v/>
      </c>
      <c r="W176" s="877" t="str">
        <f>IF(VLOOKUP(A176,'Charriage - Geschiebehaushalt'!$A$4:$R$275,14,FALSE)="","",VLOOKUP(A176,'Charriage - Geschiebehaushalt'!$A$4:$R$275,14,FALSE))</f>
        <v/>
      </c>
      <c r="X176" s="877" t="str">
        <f>IF(VLOOKUP(A176,'Charriage - Geschiebehaushalt'!$A$4:$R$275,15,FALSE)="","",VLOOKUP(A176,'Charriage - Geschiebehaushalt'!$A$4:$R$275,15,FALSE))</f>
        <v/>
      </c>
      <c r="Y176" s="879" t="str">
        <f>IF(VLOOKUP(A176,'Charriage - Geschiebehaushalt'!$A$4:$R$275,16,FALSE)="","",VLOOKUP(A176,'Charriage - Geschiebehaushalt'!$A$4:$R$275,16,FALSE))</f>
        <v/>
      </c>
      <c r="Z176" s="763" t="str">
        <f>IF(VLOOKUP(A176,'Charriage - Geschiebehaushalt'!$A$4:$R$275,17,FALSE)="","",VLOOKUP(A176,'Charriage - Geschiebehaushalt'!$A$4:$R$275,17,FALSE))</f>
        <v>La remobilisation des sédiments est perturbée / Mobilisierung von Geschiebe beeinträchtigt</v>
      </c>
      <c r="AA176" s="880" t="str">
        <f>IF(VLOOKUP(A176,'Charriage - Geschiebehaushalt'!$A$4:$R$275,18,FALSE)="","",VLOOKUP(A176,'Charriage - Geschiebehaushalt'!$A$4:$R$275,18,FALSE))</f>
        <v>b</v>
      </c>
      <c r="AB176" s="737" t="str">
        <f>IF(VLOOKUP(A176,'Charriage - Geschiebehaushalt'!$A$4:$AC$275,19,FALSE)="","",VLOOKUP(A176,'Charriage - Geschiebehaushalt'!$A$4:$AC$275,19,FALSE))</f>
        <v>gering</v>
      </c>
      <c r="AC176" s="738" t="str">
        <f>IF(VLOOKUP(A176,'Charriage - Geschiebehaushalt'!$A$4:$AC$275,20,FALSE)="","",VLOOKUP(A176,'Charriage - Geschiebehaushalt'!$A$4:$AC$275,20,FALSE))</f>
        <v>-</v>
      </c>
      <c r="AD176" s="764" t="str">
        <f>IF(VLOOKUP(A176,'Charriage - Geschiebehaushalt'!$A$4:$AC$275,21,FALSE)="","",VLOOKUP(A176,'Charriage - Geschiebehaushalt'!$A$4:$AC$275,21,FALSE))</f>
        <v>21-50%</v>
      </c>
      <c r="AE176" s="740" t="str">
        <f>IF(VLOOKUP(A176,'Charriage - Geschiebehaushalt'!$A$4:$AC$275,22,FALSE)="","",VLOOKUP(A176,'Charriage - Geschiebehaushalt'!$A$4:$AC$275,22,FALSE))</f>
        <v>21-50%</v>
      </c>
      <c r="AF176" s="787" t="str">
        <f>IF(VLOOKUP(A176,'Charriage - Geschiebehaushalt'!$A$4:$AC$275,23,FALSE)="","",VLOOKUP(A176,'Charriage - Geschiebehaushalt'!$A$4:$AC$275,23,FALSE))</f>
        <v>d</v>
      </c>
      <c r="AG176" s="765" t="str">
        <f>IF(VLOOKUP(A176,'Charriage - Geschiebehaushalt'!$A$4:$AC$275,24,FALSE)="","",VLOOKUP(A176,'Charriage - Geschiebehaushalt'!$A$4:$AC$275,24,FALSE))</f>
        <v/>
      </c>
      <c r="AH176" s="764" t="str">
        <f>IF(VLOOKUP(A176,'Charriage - Geschiebehaushalt'!$A$4:$AC$275,25,FALSE)="","",VLOOKUP(A176,'Charriage - Geschiebehaushalt'!$A$4:$AC$275,25,FALSE))</f>
        <v/>
      </c>
      <c r="AI176" s="433" t="str">
        <f>IF(VLOOKUP(A176,'Charriage - Geschiebehaushalt'!$A$4:$AC$275,26,FALSE)="","",VLOOKUP(A176,'Charriage - Geschiebehaushalt'!$A$4:$AC$275,26,FALSE))</f>
        <v/>
      </c>
      <c r="AJ176" s="436" t="str">
        <f>IF(VLOOKUP(A176,'Charriage - Geschiebehaushalt'!$A$4:$AC$275,27,FALSE)="","",VLOOKUP(A176,'Charriage - Geschiebehaushalt'!$A$4:$AC$275,27,FALSE))</f>
        <v>Die Wägitaler Aa bringt im Bereich Aahorn oftmals kein Restwasser. Die Überflutungs- und Geschiebedynamik ist dadurch und durch die Kraftwerknutzung beeinträchtigt.</v>
      </c>
      <c r="AK176" s="801" t="str">
        <f>IF(VLOOKUP(A176,'Charriage - Geschiebehaushalt'!$A$4:$AC$275,28,FALSE)="","",VLOOKUP(A176,'Charriage - Geschiebehaushalt'!$A$4:$AC$275,28,FALSE))</f>
        <v>21-50%</v>
      </c>
      <c r="AL176" s="1285" t="str">
        <f>IF(VLOOKUP(A176,'Charriage - Geschiebehaushalt'!$A$4:$AD$275,30,FALSE)="","",VLOOKUP(A176,'Charriage - Geschiebehaushalt'!$A$4:$AD$275,30,FALSE))</f>
        <v>a</v>
      </c>
      <c r="AM176" s="1279" t="str">
        <f>IF(VLOOKUP(A176,'Débit - Abfluss'!$A$4:$K$275,5,FALSE)="","",VLOOKUP(A176,'Débit - Abfluss'!$A$4:$M$275,5,FALSE))</f>
        <v>81-100%</v>
      </c>
      <c r="AN176" s="868" t="str">
        <f>IF(VLOOKUP(A176,'Débit - Abfluss'!$A$4:$K$275,6,FALSE)="","",VLOOKUP(A176,'Débit - Abfluss'!$A$4:$M$275,6,FALSE))</f>
        <v/>
      </c>
      <c r="AO176" s="869" t="str">
        <f>IF(VLOOKUP(A176,'Débit - Abfluss'!$A$4:$K$275,7,FALSE)="","",VLOOKUP(A176,'Débit - Abfluss'!$A$4:$M$275,7,FALSE))</f>
        <v/>
      </c>
      <c r="AP176" s="766" t="str">
        <f>IF(VLOOKUP(A176,'Débit - Abfluss'!$A$4:$K$275,8,FALSE)="","",VLOOKUP(A176,'Débit - Abfluss'!$A$4:$M$275,8,FALSE))</f>
        <v>81-100%</v>
      </c>
      <c r="AQ176" s="742" t="str">
        <f>IF(VLOOKUP(A176,'Débit - Abfluss'!$A$4:$K$275,9,FALSE)="","",VLOOKUP(A176,'Débit - Abfluss'!$A$4:$M$275,9,FALSE))</f>
        <v>-</v>
      </c>
      <c r="AR176" s="767" t="str">
        <f>IF(VLOOKUP(A176,'Débit - Abfluss'!$A$4:$K$275,10,FALSE)="","",VLOOKUP(A176,'Débit - Abfluss'!$A$4:$M$275,10,FALSE))</f>
        <v>81-100%</v>
      </c>
      <c r="AS176" s="767" t="str">
        <f>IF(VLOOKUP(A176,'Débit - Abfluss'!$A$4:$K$275,11,FALSE)="","",VLOOKUP(A176,'Débit - Abfluss'!$A$4:$M$275,11,FALSE))</f>
        <v/>
      </c>
      <c r="AT176" s="744" t="str">
        <f>IF(VLOOKUP(A176,'Débit - Abfluss'!$A$4:$Q$275,12,FALSE)="","",VLOOKUP(A176,'Débit - Abfluss'!$A$4:$Q$275,12,FALSE))</f>
        <v/>
      </c>
      <c r="AU176" s="768" t="str">
        <f>IF(VLOOKUP(A176,'Débit - Abfluss'!$A$4:$Q$275,13,FALSE)="","",VLOOKUP(A176,'Débit - Abfluss'!$A$4:$Q$275,13,FALSE))</f>
        <v>Die Wägitaler Aa fällt im Bereich Aahorn häufig trocken (Restwasserproblematik - Kraftwerk im Oberlauf, Versickerung)</v>
      </c>
      <c r="AV176" s="746" t="str">
        <f>IF(VLOOKUP(A176,'Débit - Abfluss'!$A$4:$Q$275,14,FALSE)="","",VLOOKUP(A176,'Débit - Abfluss'!$A$4:$Q$275,14,FALSE))</f>
        <v/>
      </c>
      <c r="AW176" s="768" t="str">
        <f>IF(VLOOKUP(A176,'Débit - Abfluss'!$A$4:$Q$275,15,FALSE)="","",VLOOKUP(A176,'Débit - Abfluss'!$A$4:$Q$275,15,FALSE))</f>
        <v/>
      </c>
      <c r="AX176" s="677" t="str">
        <f>IF(VLOOKUP(A176,'Débit - Abfluss'!$A$4:$Q$275,16,FALSE)="","",VLOOKUP(A176,'Débit - Abfluss'!$A$4:$Q$275,16,FALSE))</f>
        <v/>
      </c>
      <c r="AY176" s="769" t="str">
        <f>IF(VLOOKUP(A176,'Débit - Abfluss'!$A$4:$Q$275,17,FALSE)="","",VLOOKUP(A176,'Débit - Abfluss'!$A$4:$Q$275,17,FALSE))</f>
        <v>61-80%</v>
      </c>
      <c r="AZ176" s="749" t="str">
        <f>IF(VLOOKUP(A176,'Eclusée - Schwall-Sunk'!$A$2:$F$273,5,FALSE)="","",VLOOKUP(A176,'Eclusée - Schwall-Sunk'!$A$2:$F$273,5,FALSE))</f>
        <v>force hydraulique</v>
      </c>
      <c r="BA176" s="750" t="str">
        <f>IF(VLOOKUP(A176,'Eclusée - Schwall-Sunk'!$A$2:$F$273,6,FALSE)="","",VLOOKUP(A176,'Eclusée - Schwall-Sunk'!$A$2:$F$273,6,FALSE))</f>
        <v>Potentiellement affecté / möglicherweise betroffen</v>
      </c>
      <c r="BB176" s="751" t="str">
        <f>IF(VLOOKUP(A176,'Revitalisation-Revitalisierung'!$A$4:$Z$275,5,FALSE)="","",VLOOKUP(A176,'Revitalisation-Revitalisierung'!$A$4:$Z$275,5,FALSE))</f>
        <v/>
      </c>
      <c r="BC176" s="752" t="str">
        <f>IF(VLOOKUP(A176,'Revitalisation-Revitalisierung'!$A$4:$Z$275,6,FALSE)="","",VLOOKUP(A176,'Revitalisation-Revitalisierung'!$A$4:$Z$275,6,FALSE))</f>
        <v/>
      </c>
      <c r="BD176" s="752" t="str">
        <f>IF(VLOOKUP(A176,'Revitalisation-Revitalisierung'!$A$4:$Z$275,7,FALSE)="","",VLOOKUP(A176,'Revitalisation-Revitalisierung'!$A$4:$Z$275,7,FALSE))</f>
        <v/>
      </c>
      <c r="BE176" s="753" t="str">
        <f>IF(VLOOKUP(A176,'Revitalisation-Revitalisierung'!$A$4:$Z$275,8,FALSE)="","",VLOOKUP(A176,'Revitalisation-Revitalisierung'!$A$4:$Z$275,8,FALSE))</f>
        <v>très nécessaire, difficile</v>
      </c>
      <c r="BF176" s="754" t="str">
        <f>IF(VLOOKUP(A176,'Revitalisation-Revitalisierung'!$A$4:$Z$275,9,FALSE)="","",VLOOKUP(A176,'Revitalisation-Revitalisierung'!$A$4:$Z$275,9,FALSE))</f>
        <v/>
      </c>
      <c r="BG176" s="754" t="str">
        <f>IF(VLOOKUP(A176,'Revitalisation-Revitalisierung'!$A$4:$Z$275,10,FALSE)="","",VLOOKUP(A176,'Revitalisation-Revitalisierung'!$A$4:$Z$275,10,FALSE))</f>
        <v>K2</v>
      </c>
      <c r="BH176" s="755" t="str">
        <f>IF(VLOOKUP(A176,'Revitalisation-Revitalisierung'!$A$4:$Z$275,11,FALSE)="","",VLOOKUP(A176,'Revitalisation-Revitalisierung'!$A$4:$Z$275,11,FALSE))</f>
        <v/>
      </c>
      <c r="BI176" s="756" t="str">
        <f>IF(VLOOKUP(A176,'Revitalisation-Revitalisierung'!$A$4:$Z$275,12,FALSE)="","",VLOOKUP(A176,'Revitalisation-Revitalisierung'!$A$4:$Z$275,12,FALSE))</f>
        <v/>
      </c>
      <c r="BJ176" s="788" t="str">
        <f>IF(VLOOKUP(A176,'Revitalisation-Revitalisierung'!$A$4:$Z$275,13,FALSE)="","",VLOOKUP(A176,'Revitalisation-Revitalisierung'!$A$4:$Z$275,13,FALSE))</f>
        <v>Très nécessaire, facile / unbedingt nötig, einfach</v>
      </c>
      <c r="BK176" s="870" t="str">
        <f>IF(VLOOKUP(A176,'Revitalisation-Revitalisierung'!$A$4:$Z$275,14,FALSE)="","",VLOOKUP(A176,'Revitalisation-Revitalisierung'!$A$4:$Z$275,14,FALSE))</f>
        <v>b</v>
      </c>
      <c r="BL176" s="758" t="str">
        <f>IF(VLOOKUP(A176,'Revitalisation-Revitalisierung'!$A$4:$Z$275,15,FALSE)="","",VLOOKUP(A176,'Revitalisation-Revitalisierung'!$A$4:$Z$275,15,FALSE))</f>
        <v>gross</v>
      </c>
      <c r="BM176" s="759" t="str">
        <f>IF(VLOOKUP(A176,'Revitalisation-Revitalisierung'!$A$4:$Z$275,16,FALSE)="","",VLOOKUP(A176,'Revitalisation-Revitalisierung'!$A$4:$Z$275,16,FALSE))</f>
        <v>gross</v>
      </c>
      <c r="BN176" s="759" t="str">
        <f>IF(VLOOKUP(A176,'Revitalisation-Revitalisierung'!$A$4:$Z$275,17,FALSE)="","",VLOOKUP(A176,'Revitalisation-Revitalisierung'!$A$4:$Z$275,17,FALSE))</f>
        <v>Umsetzung in den nächsten 20 Jahren</v>
      </c>
      <c r="BO176" s="760" t="str">
        <f>IF(VLOOKUP(A176,'Revitalisation-Revitalisierung'!$A$4:$Z$275,18,FALSE)="","",VLOOKUP(A176,'Revitalisation-Revitalisierung'!$A$4:$Z$275,18,FALSE))</f>
        <v>Très nécessaire, facile / unbedingt nötig, einfach</v>
      </c>
      <c r="BP176" s="761" t="str">
        <f>IF(VLOOKUP(A176,'Revitalisation-Revitalisierung'!$A$4:$Z$275,19,FALSE)="","",VLOOKUP(A176,'Revitalisation-Revitalisierung'!$A$4:$Z$275,19,FALSE))</f>
        <v>Très nécessaire, facile / unbedingt nötig, einfach</v>
      </c>
      <c r="BQ176" s="759" t="str">
        <f>IF(VLOOKUP(A176,'Revitalisation-Revitalisierung'!$A$4:$Z$275,20,FALSE)="","",VLOOKUP(A176,'Revitalisation-Revitalisierung'!$A$4:$Z$275,20,FALSE))</f>
        <v>d</v>
      </c>
      <c r="BR176" s="759" t="str">
        <f>IF(VLOOKUP(A176,'Revitalisation-Revitalisierung'!$A$4:$Z$275,21,FALSE)="","",VLOOKUP(A176,'Revitalisation-Revitalisierung'!$A$4:$Z$275,21,FALSE))</f>
        <v/>
      </c>
      <c r="BS176" s="762" t="str">
        <f>IF(VLOOKUP(A176,'Revitalisation-Revitalisierung'!$A$4:$Z$275,22,FALSE)="","",VLOOKUP(A176,'Revitalisation-Revitalisierung'!$A$4:$Z$275,22,FALSE))</f>
        <v/>
      </c>
      <c r="BT176" s="700" t="str">
        <f>IF(VLOOKUP(A176,'Revitalisation-Revitalisierung'!$A$4:$Z$275,23,FALSE)="","",VLOOKUP(A176,'Revitalisation-Revitalisierung'!$A$4:$Z$275,23,FALSE))</f>
        <v/>
      </c>
      <c r="BU176" s="699" t="str">
        <f>IF(VLOOKUP(A176,'Revitalisation-Revitalisierung'!$A$4:$Z$275,24,FALSE)="","",VLOOKUP(A176,'Revitalisation-Revitalisierung'!$A$4:$Z$275,24,FALSE))</f>
        <v>Revitalisierung rechter Deltaflügel 2010 erfolgt, linker Deltaflügel noch ausstehend</v>
      </c>
      <c r="BV176" s="804" t="str">
        <f>IF(VLOOKUP(A176,'Revitalisation-Revitalisierung'!$A$4:$Z$275,25,FALSE)="","",VLOOKUP(A176,'Revitalisation-Revitalisierung'!$A$4:$Z$275,25,FALSE))</f>
        <v>Très nécessaire, facile / unbedingt nötig, einfach</v>
      </c>
      <c r="BW176" s="871" t="str">
        <f>IF(VLOOKUP(A176,'Revitalisation-Revitalisierung'!$A$4:$AA$275,27,FALSE)="","",VLOOKUP(A176,'Revitalisation-Revitalisierung'!$A$4:$AA$275,27,FALSE))</f>
        <v>a</v>
      </c>
    </row>
    <row r="177" spans="1:75" ht="81" customHeight="1" x14ac:dyDescent="0.25">
      <c r="A177" s="935">
        <v>226</v>
      </c>
      <c r="B177" s="856">
        <f>IF(VLOOKUP(A177,'Données de base - Grunddaten'!$A$2:$M$297,2,FALSE)="","",VLOOKUP(A177,'Données de base - Grunddaten'!$A$2:$M$297,2,FALSE))</f>
        <v>1</v>
      </c>
      <c r="C177" s="857" t="str">
        <f>IF(VLOOKUP(A177,'Données de base - Grunddaten'!$A$2:$M$297,3,FALSE)="","",VLOOKUP(A177,'Données de base - Grunddaten'!$A$2:$M$297,3,FALSE))</f>
        <v>La Torneresse à l'Etivaz</v>
      </c>
      <c r="D177" s="857" t="str">
        <f>IF(VLOOKUP(A177,'Données de base - Grunddaten'!$A$2:$M$297,4,FALSE)="","",VLOOKUP(A177,'Données de base - Grunddaten'!$A$2:$M$297,4,FALSE))</f>
        <v>La Torneresse</v>
      </c>
      <c r="E177" s="857" t="str">
        <f>IF(VLOOKUP(A177,'Données de base - Grunddaten'!$A$2:$M$297,5,FALSE)="","",VLOOKUP(A177,'Données de base - Grunddaten'!$A$2:$M$297,5,FALSE))</f>
        <v>VD</v>
      </c>
      <c r="F177" s="857" t="str">
        <f>IF(VLOOKUP(A177,'Données de base - Grunddaten'!$A$2:$M$297,6,FALSE)="","",VLOOKUP(A177,'Données de base - Grunddaten'!$A$2:$M$297,6,FALSE))</f>
        <v>Alpes septentrionales</v>
      </c>
      <c r="G177" s="857" t="str">
        <f>IF(VLOOKUP(A177,'Données de base - Grunddaten'!$A$2:$M$297,7,FALSE)="","",VLOOKUP(A177,'Données de base - Grunddaten'!$A$2:$M$297,7,FALSE))</f>
        <v>Montagnard sup.</v>
      </c>
      <c r="H177" s="857">
        <f>IF(VLOOKUP(A177,'Données de base - Grunddaten'!$A$2:$M$297,8,FALSE)="","",VLOOKUP(A177,'Données de base - Grunddaten'!$A$2:$M$297,8,FALSE))</f>
        <v>1100</v>
      </c>
      <c r="I177" s="857">
        <f>IF(VLOOKUP(A177,'Données de base - Grunddaten'!$A$2:$M$297,9,FALSE)="","",VLOOKUP(A177,'Données de base - Grunddaten'!$A$2:$M$297,9,FALSE))</f>
        <v>1992</v>
      </c>
      <c r="J177" s="857">
        <f>IF(VLOOKUP(A177,'Données de base - Grunddaten'!$A$2:$M$297,10,FALSE)="","",VLOOKUP(A177,'Données de base - Grunddaten'!$A$2:$M$297,10,FALSE))</f>
        <v>41</v>
      </c>
      <c r="K177" s="857" t="str">
        <f>IF(VLOOKUP(A177,'Données de base - Grunddaten'!$A$2:$M$297,11,FALSE)="","",VLOOKUP(A177,'Données de base - Grunddaten'!$A$2:$M$297,11,FALSE))</f>
        <v>Cours d'eau naturels de l'étage montagnard</v>
      </c>
      <c r="L177" s="857" t="str">
        <f>IF(VLOOKUP(A177,'Données de base - Grunddaten'!$A$2:$M$297,12,FALSE)="","",VLOOKUP(A177,'Données de base - Grunddaten'!$A$2:$M$297,12,FALSE))</f>
        <v>méandres migrants</v>
      </c>
      <c r="M177" s="858" t="str">
        <f>IF(VLOOKUP(A177,'Données de base - Grunddaten'!$A$2:$M$297,13,FALSE)="","",VLOOKUP(A177,'Données de base - Grunddaten'!$A$2:$M$297,13,FALSE))</f>
        <v>méandres migrants</v>
      </c>
      <c r="N177" s="872" t="str">
        <f>IF(VLOOKUP(A177,'Charriage - Geschiebehaushalt'!$A$4:$R$275,5,FALSE)="","",VLOOKUP(A177,'Charriage - Geschiebehaushalt'!$A$4:$R$275,5,FALSE))</f>
        <v>pertinent</v>
      </c>
      <c r="O177" s="881" t="str">
        <f>IF(VLOOKUP(A177,'Charriage - Geschiebehaushalt'!$A$4:$R$275,6,FALSE)="","",VLOOKUP(A177,'Charriage - Geschiebehaushalt'!$A$4:$R$275,6,FALSE))</f>
        <v>non documenté</v>
      </c>
      <c r="P177" s="874" t="str">
        <f>IF(VLOOKUP(A177,'Charriage - Geschiebehaushalt'!$A$4:$R$275,7,FALSE)="","",VLOOKUP(A177,'Charriage - Geschiebehaushalt'!$A$4:$R$275,7,FALSE))</f>
        <v/>
      </c>
      <c r="Q177" s="874" t="str">
        <f>IF(VLOOKUP(A177,'Charriage - Geschiebehaushalt'!$A$4:$R$275,8,FALSE)="","",VLOOKUP(A177,'Charriage - Geschiebehaushalt'!$A$4:$R$275,8,FALSE))</f>
        <v>non documenté</v>
      </c>
      <c r="R177" s="875">
        <f>IF(VLOOKUP(A177,'Charriage - Geschiebehaushalt'!$A$4:$R$275,9,FALSE)="","",VLOOKUP(A177,'Charriage - Geschiebehaushalt'!$A$4:$R$275,9,FALSE))</f>
        <v>0.140620956331897</v>
      </c>
      <c r="S177" s="876" t="str">
        <f>IF(VLOOKUP(A177,'Charriage - Geschiebehaushalt'!$A$4:$R$275,10,FALSE)="","",VLOOKUP(A177,'Charriage - Geschiebehaushalt'!$A$4:$R$275,10,FALSE))</f>
        <v>pas ou faiblement entravé</v>
      </c>
      <c r="T177" s="875">
        <f>IF(VLOOKUP(A177,'Charriage - Geschiebehaushalt'!$A$4:$R$275,11,FALSE)="","",VLOOKUP(A177,'Charriage - Geschiebehaushalt'!$A$4:$R$275,11,FALSE))</f>
        <v>0.27770610712999999</v>
      </c>
      <c r="U177" s="876" t="str">
        <f>IF(VLOOKUP(A177,'Charriage - Geschiebehaushalt'!$A$4:$R$275,12,FALSE)="","",VLOOKUP(A177,'Charriage - Geschiebehaushalt'!$A$4:$R$275,12,FALSE))</f>
        <v>déficit dans les formations pionnières</v>
      </c>
      <c r="V177" s="877" t="str">
        <f>IF(VLOOKUP(A177,'Charriage - Geschiebehaushalt'!$A$4:$R$275,13,FALSE)="","",VLOOKUP(A177,'Charriage - Geschiebehaushalt'!$A$4:$R$275,13,FALSE))</f>
        <v>Charriage naturel en amont. Gros apport dans l'objet pas affluent (torrent le Bourrati)</v>
      </c>
      <c r="W177" s="878" t="str">
        <f>IF(VLOOKUP(A177,'Charriage - Geschiebehaushalt'!$A$4:$R$275,14,FALSE)="","",VLOOKUP(A177,'Charriage - Geschiebehaushalt'!$A$4:$R$275,14,FALSE))</f>
        <v>charriage présumé naturel</v>
      </c>
      <c r="X177" s="878" t="str">
        <f>IF(VLOOKUP(A177,'Charriage - Geschiebehaushalt'!$A$4:$R$275,15,FALSE)="","",VLOOKUP(A177,'Charriage - Geschiebehaushalt'!$A$4:$R$275,15,FALSE))</f>
        <v/>
      </c>
      <c r="Y177" s="882" t="str">
        <f>IF(VLOOKUP(A177,'Charriage - Geschiebehaushalt'!$A$4:$R$275,16,FALSE)="","",VLOOKUP(A177,'Charriage - Geschiebehaushalt'!$A$4:$R$275,16,FALSE))</f>
        <v/>
      </c>
      <c r="Z177" s="763" t="str">
        <f>IF(VLOOKUP(A177,'Charriage - Geschiebehaushalt'!$A$4:$R$275,17,FALSE)="","",VLOOKUP(A177,'Charriage - Geschiebehaushalt'!$A$4:$R$275,17,FALSE))</f>
        <v>Charriage présumé naturel / Geschiebehaushalt vermutlich natürlich</v>
      </c>
      <c r="AA177" s="880" t="str">
        <f>IF(VLOOKUP(A177,'Charriage - Geschiebehaushalt'!$A$4:$R$275,18,FALSE)="","",VLOOKUP(A177,'Charriage - Geschiebehaushalt'!$A$4:$R$275,18,FALSE))</f>
        <v>a</v>
      </c>
      <c r="AB177" s="737" t="str">
        <f>IF(VLOOKUP(A177,'Charriage - Geschiebehaushalt'!$A$4:$AC$275,19,FALSE)="","",VLOOKUP(A177,'Charriage - Geschiebehaushalt'!$A$4:$AC$275,19,FALSE))</f>
        <v>aucune</v>
      </c>
      <c r="AC177" s="738" t="str">
        <f>IF(VLOOKUP(A177,'Charriage - Geschiebehaushalt'!$A$4:$AC$275,20,FALSE)="","",VLOOKUP(A177,'Charriage - Geschiebehaushalt'!$A$4:$AC$275,20,FALSE))</f>
        <v>aucun</v>
      </c>
      <c r="AD177" s="764" t="str">
        <f>IF(VLOOKUP(A177,'Charriage - Geschiebehaushalt'!$A$4:$AC$275,21,FALSE)="","",VLOOKUP(A177,'Charriage - Geschiebehaushalt'!$A$4:$AC$275,21,FALSE))</f>
        <v>0-20%</v>
      </c>
      <c r="AE177" s="740" t="str">
        <f>IF(VLOOKUP(A177,'Charriage - Geschiebehaushalt'!$A$4:$AC$275,22,FALSE)="","",VLOOKUP(A177,'Charriage - Geschiebehaushalt'!$A$4:$AC$275,22,FALSE))</f>
        <v>0-20%</v>
      </c>
      <c r="AF177" s="787" t="str">
        <f>IF(VLOOKUP(A177,'Charriage - Geschiebehaushalt'!$A$4:$AC$275,23,FALSE)="","",VLOOKUP(A177,'Charriage - Geschiebehaushalt'!$A$4:$AC$275,23,FALSE))</f>
        <v>d</v>
      </c>
      <c r="AG177" s="765" t="str">
        <f>IF(VLOOKUP(A177,'Charriage - Geschiebehaushalt'!$A$4:$AC$275,24,FALSE)="","",VLOOKUP(A177,'Charriage - Geschiebehaushalt'!$A$4:$AC$275,24,FALSE))</f>
        <v/>
      </c>
      <c r="AH177" s="764" t="str">
        <f>IF(VLOOKUP(A177,'Charriage - Geschiebehaushalt'!$A$4:$AC$275,25,FALSE)="","",VLOOKUP(A177,'Charriage - Geschiebehaushalt'!$A$4:$AC$275,25,FALSE))</f>
        <v/>
      </c>
      <c r="AI177" s="896" t="str">
        <f>IF(VLOOKUP(A177,'Charriage - Geschiebehaushalt'!$A$4:$AC$275,26,FALSE)="","",VLOOKUP(A177,'Charriage - Geschiebehaushalt'!$A$4:$AC$275,26,FALSE))</f>
        <v>non</v>
      </c>
      <c r="AJ177" s="442" t="str">
        <f>IF(VLOOKUP(A177,'Charriage - Geschiebehaushalt'!$A$4:$AC$275,27,FALSE)="","",VLOOKUP(A177,'Charriage - Geschiebehaushalt'!$A$4:$AC$275,27,FALSE))</f>
        <v/>
      </c>
      <c r="AK177" s="801" t="str">
        <f>IF(VLOOKUP(A177,'Charriage - Geschiebehaushalt'!$A$4:$AC$275,28,FALSE)="","",VLOOKUP(A177,'Charriage - Geschiebehaushalt'!$A$4:$AC$275,28,FALSE))</f>
        <v>0-20%</v>
      </c>
      <c r="AL177" s="1285" t="str">
        <f>IF(VLOOKUP(A177,'Charriage - Geschiebehaushalt'!$A$4:$AD$275,30,FALSE)="","",VLOOKUP(A177,'Charriage - Geschiebehaushalt'!$A$4:$AD$275,30,FALSE))</f>
        <v>a</v>
      </c>
      <c r="AM177" s="1279" t="str">
        <f>IF(VLOOKUP(A177,'Débit - Abfluss'!$A$4:$K$275,5,FALSE)="","",VLOOKUP(A177,'Débit - Abfluss'!$A$4:$M$275,5,FALSE))</f>
        <v>41-60%</v>
      </c>
      <c r="AN177" s="868" t="str">
        <f>IF(VLOOKUP(A177,'Débit - Abfluss'!$A$4:$K$275,6,FALSE)="","",VLOOKUP(A177,'Débit - Abfluss'!$A$4:$M$275,6,FALSE))</f>
        <v/>
      </c>
      <c r="AO177" s="869" t="str">
        <f>IF(VLOOKUP(A177,'Débit - Abfluss'!$A$4:$K$275,7,FALSE)="","",VLOOKUP(A177,'Débit - Abfluss'!$A$4:$M$275,7,FALSE))</f>
        <v/>
      </c>
      <c r="AP177" s="766" t="str">
        <f>IF(VLOOKUP(A177,'Débit - Abfluss'!$A$4:$K$275,8,FALSE)="","",VLOOKUP(A177,'Débit - Abfluss'!$A$4:$M$275,8,FALSE))</f>
        <v>41-60%</v>
      </c>
      <c r="AQ177" s="678" t="str">
        <f>IF(VLOOKUP(A177,'Débit - Abfluss'!$A$4:$K$275,9,FALSE)="","",VLOOKUP(A177,'Débit - Abfluss'!$A$4:$M$275,9,FALSE))</f>
        <v>Fehlende Angaben</v>
      </c>
      <c r="AR177" s="770" t="str">
        <f>IF(VLOOKUP(A177,'Débit - Abfluss'!$A$4:$K$275,10,FALSE)="","",VLOOKUP(A177,'Débit - Abfluss'!$A$4:$M$275,10,FALSE))</f>
        <v>41-60%</v>
      </c>
      <c r="AS177" s="773" t="str">
        <f>IF(VLOOKUP(A177,'Débit - Abfluss'!$A$4:$K$275,11,FALSE)="","",VLOOKUP(A177,'Débit - Abfluss'!$A$4:$M$275,11,FALSE))</f>
        <v>X</v>
      </c>
      <c r="AT177" s="778" t="str">
        <f>IF(VLOOKUP(A177,'Débit - Abfluss'!$A$4:$Q$275,12,FALSE)="","",VLOOKUP(A177,'Débit - Abfluss'!$A$4:$Q$275,12,FALSE))</f>
        <v/>
      </c>
      <c r="AU177" s="779" t="str">
        <f>IF(VLOOKUP(A177,'Débit - Abfluss'!$A$4:$Q$275,13,FALSE)="","",VLOOKUP(A177,'Débit - Abfluss'!$A$4:$Q$275,13,FALSE))</f>
        <v/>
      </c>
      <c r="AV177" s="746" t="str">
        <f>IF(VLOOKUP(A177,'Débit - Abfluss'!$A$4:$Q$275,14,FALSE)="","",VLOOKUP(A177,'Débit - Abfluss'!$A$4:$Q$275,14,FALSE))</f>
        <v>VD-W vevey 8.1</v>
      </c>
      <c r="AW177" s="768" t="str">
        <f>IF(VLOOKUP(A177,'Débit - Abfluss'!$A$4:$Q$275,15,FALSE)="","",VLOOKUP(A177,'Débit - Abfluss'!$A$4:$Q$275,15,FALSE))</f>
        <v>Veytaux</v>
      </c>
      <c r="AX177" s="679" t="str">
        <f>IF(VLOOKUP(A177,'Débit - Abfluss'!$A$4:$Q$275,16,FALSE)="","",VLOOKUP(A177,'Débit - Abfluss'!$A$4:$Q$275,16,FALSE))</f>
        <v/>
      </c>
      <c r="AY177" s="776" t="str">
        <f>IF(VLOOKUP(A177,'Débit - Abfluss'!$A$4:$Q$275,17,FALSE)="","",VLOOKUP(A177,'Débit - Abfluss'!$A$4:$Q$275,17,FALSE))</f>
        <v>21-40%</v>
      </c>
      <c r="AZ177" s="749" t="str">
        <f>IF(VLOOKUP(A177,'Eclusée - Schwall-Sunk'!$A$2:$F$273,5,FALSE)="","",VLOOKUP(A177,'Eclusée - Schwall-Sunk'!$A$2:$F$273,5,FALSE))</f>
        <v>force hydraulique</v>
      </c>
      <c r="BA177" s="750" t="str">
        <f>IF(VLOOKUP(A177,'Eclusée - Schwall-Sunk'!$A$2:$F$273,6,FALSE)="","",VLOOKUP(A177,'Eclusée - Schwall-Sunk'!$A$2:$F$273,6,FALSE))</f>
        <v>Non affecté / nicht betroffen</v>
      </c>
      <c r="BB177" s="751">
        <f>IF(VLOOKUP(A177,'Revitalisation-Revitalisierung'!$A$4:$Z$275,5,FALSE)="","",VLOOKUP(A177,'Revitalisation-Revitalisierung'!$A$4:$Z$275,5,FALSE))</f>
        <v>8.9909090909090921</v>
      </c>
      <c r="BC177" s="752">
        <f>IF(VLOOKUP(A177,'Revitalisation-Revitalisierung'!$A$4:$Z$275,6,FALSE)="","",VLOOKUP(A177,'Revitalisation-Revitalisierung'!$A$4:$Z$275,6,FALSE))</f>
        <v>14.948581282380239</v>
      </c>
      <c r="BD177" s="752">
        <f>IF(VLOOKUP(A177,'Revitalisation-Revitalisierung'!$A$4:$Z$275,7,FALSE)="","",VLOOKUP(A177,'Revitalisation-Revitalisierung'!$A$4:$Z$275,7,FALSE))</f>
        <v>5.9090909090909092</v>
      </c>
      <c r="BE177" s="753" t="str">
        <f>IF(VLOOKUP(A177,'Revitalisation-Revitalisierung'!$A$4:$Z$275,8,FALSE)="","",VLOOKUP(A177,'Revitalisation-Revitalisierung'!$A$4:$Z$275,8,FALSE))</f>
        <v>peu nécessaire, facile</v>
      </c>
      <c r="BF177" s="754" t="str">
        <f>IF(VLOOKUP(A177,'Revitalisation-Revitalisierung'!$A$4:$Z$275,9,FALSE)="","",VLOOKUP(A177,'Revitalisation-Revitalisierung'!$A$4:$Z$275,9,FALSE))</f>
        <v/>
      </c>
      <c r="BG177" s="754" t="str">
        <f>IF(VLOOKUP(A177,'Revitalisation-Revitalisierung'!$A$4:$Z$275,10,FALSE)="","",VLOOKUP(A177,'Revitalisation-Revitalisierung'!$A$4:$Z$275,10,FALSE))</f>
        <v>K2</v>
      </c>
      <c r="BH177" s="755" t="str">
        <f>IF(VLOOKUP(A177,'Revitalisation-Revitalisierung'!$A$4:$Z$275,11,FALSE)="","",VLOOKUP(A177,'Revitalisation-Revitalisierung'!$A$4:$Z$275,11,FALSE))</f>
        <v/>
      </c>
      <c r="BI177" s="756" t="str">
        <f>IF(VLOOKUP(A177,'Revitalisation-Revitalisierung'!$A$4:$Z$275,12,FALSE)="","",VLOOKUP(A177,'Revitalisation-Revitalisierung'!$A$4:$Z$275,12,FALSE))</f>
        <v/>
      </c>
      <c r="BJ177" s="788" t="str">
        <f>IF(VLOOKUP(A177,'Revitalisation-Revitalisierung'!$A$4:$Z$275,13,FALSE)="","",VLOOKUP(A177,'Revitalisation-Revitalisierung'!$A$4:$Z$275,13,FALSE))</f>
        <v>Très nécessaire, facile / unbedingt nötig, einfach</v>
      </c>
      <c r="BK177" s="870" t="str">
        <f>IF(VLOOKUP(A177,'Revitalisation-Revitalisierung'!$A$4:$Z$275,14,FALSE)="","",VLOOKUP(A177,'Revitalisation-Revitalisierung'!$A$4:$Z$275,14,FALSE))</f>
        <v>b</v>
      </c>
      <c r="BL177" s="758" t="str">
        <f>IF(VLOOKUP(A177,'Revitalisation-Revitalisierung'!$A$4:$Z$275,15,FALSE)="","",VLOOKUP(A177,'Revitalisation-Revitalisierung'!$A$4:$Z$275,15,FALSE))</f>
        <v>élevé</v>
      </c>
      <c r="BM177" s="759" t="str">
        <f>IF(VLOOKUP(A177,'Revitalisation-Revitalisierung'!$A$4:$Z$275,16,FALSE)="","",VLOOKUP(A177,'Revitalisation-Revitalisierung'!$A$4:$Z$275,16,FALSE))</f>
        <v>faible</v>
      </c>
      <c r="BN177" s="759" t="str">
        <f>IF(VLOOKUP(A177,'Revitalisation-Revitalisierung'!$A$4:$Z$275,17,FALSE)="","",VLOOKUP(A177,'Revitalisation-Revitalisierung'!$A$4:$Z$275,17,FALSE))</f>
        <v>nulle</v>
      </c>
      <c r="BO177" s="760" t="str">
        <f>IF(VLOOKUP(A177,'Revitalisation-Revitalisierung'!$A$4:$Z$275,18,FALSE)="","",VLOOKUP(A177,'Revitalisation-Revitalisierung'!$A$4:$Z$275,18,FALSE))</f>
        <v>Non nécessaire / nicht nötig</v>
      </c>
      <c r="BP177" s="760" t="str">
        <f>IF(VLOOKUP(A177,'Revitalisation-Revitalisierung'!$A$4:$Z$275,19,FALSE)="","",VLOOKUP(A177,'Revitalisation-Revitalisierung'!$A$4:$Z$275,19,FALSE))</f>
        <v>Partiellement nécessaire, facile / teilweise nötig, einfach</v>
      </c>
      <c r="BQ177" s="759" t="str">
        <f>IF(VLOOKUP(A177,'Revitalisation-Revitalisierung'!$A$4:$Z$275,20,FALSE)="","",VLOOKUP(A177,'Revitalisation-Revitalisierung'!$A$4:$Z$275,20,FALSE))</f>
        <v>e</v>
      </c>
      <c r="BR177" s="759" t="str">
        <f>IF(VLOOKUP(A177,'Revitalisation-Revitalisierung'!$A$4:$Z$275,21,FALSE)="","",VLOOKUP(A177,'Revitalisation-Revitalisierung'!$A$4:$Z$275,21,FALSE))</f>
        <v/>
      </c>
      <c r="BS177" s="762" t="str">
        <f>IF(VLOOKUP(A177,'Revitalisation-Revitalisierung'!$A$4:$Z$275,22,FALSE)="","",VLOOKUP(A177,'Revitalisation-Revitalisierung'!$A$4:$Z$275,22,FALSE))</f>
        <v>X</v>
      </c>
      <c r="BT177" s="700" t="str">
        <f>IF(VLOOKUP(A177,'Revitalisation-Revitalisierung'!$A$4:$Z$275,23,FALSE)="","",VLOOKUP(A177,'Revitalisation-Revitalisierung'!$A$4:$Z$275,23,FALSE))</f>
        <v/>
      </c>
      <c r="BU177" s="699" t="str">
        <f>IF(VLOOKUP(A177,'Revitalisation-Revitalisierung'!$A$4:$Z$275,24,FALSE)="","",VLOOKUP(A177,'Revitalisation-Revitalisierung'!$A$4:$Z$275,24,FALSE))</f>
        <v/>
      </c>
      <c r="BV177" s="804" t="str">
        <f>IF(VLOOKUP(A177,'Revitalisation-Revitalisierung'!$A$4:$Z$275,25,FALSE)="","",VLOOKUP(A177,'Revitalisation-Revitalisierung'!$A$4:$Z$275,25,FALSE))</f>
        <v>Partiellement nécessaire, facile / teilweise nötig, einfach</v>
      </c>
      <c r="BW177" s="871" t="str">
        <f>IF(VLOOKUP(A177,'Revitalisation-Revitalisierung'!$A$4:$AA$275,27,FALSE)="","",VLOOKUP(A177,'Revitalisation-Revitalisierung'!$A$4:$AA$275,27,FALSE))</f>
        <v>b</v>
      </c>
    </row>
    <row r="178" spans="1:75" ht="62.45" customHeight="1" x14ac:dyDescent="0.25">
      <c r="A178" s="935">
        <v>227</v>
      </c>
      <c r="B178" s="856">
        <f>IF(VLOOKUP(A178,'Données de base - Grunddaten'!$A$2:$M$297,2,FALSE)="","",VLOOKUP(A178,'Données de base - Grunddaten'!$A$2:$M$297,2,FALSE))</f>
        <v>1</v>
      </c>
      <c r="C178" s="857" t="str">
        <f>IF(VLOOKUP(A178,'Données de base - Grunddaten'!$A$2:$M$297,3,FALSE)="","",VLOOKUP(A178,'Données de base - Grunddaten'!$A$2:$M$297,3,FALSE))</f>
        <v>Sonlèrt–Sabbione</v>
      </c>
      <c r="D178" s="857" t="str">
        <f>IF(VLOOKUP(A178,'Données de base - Grunddaten'!$A$2:$M$297,4,FALSE)="","",VLOOKUP(A178,'Données de base - Grunddaten'!$A$2:$M$297,4,FALSE))</f>
        <v>Bavona</v>
      </c>
      <c r="E178" s="857" t="str">
        <f>IF(VLOOKUP(A178,'Données de base - Grunddaten'!$A$2:$M$297,5,FALSE)="","",VLOOKUP(A178,'Données de base - Grunddaten'!$A$2:$M$297,5,FALSE))</f>
        <v>TI</v>
      </c>
      <c r="F178" s="857" t="str">
        <f>IF(VLOOKUP(A178,'Données de base - Grunddaten'!$A$2:$M$297,6,FALSE)="","",VLOOKUP(A178,'Données de base - Grunddaten'!$A$2:$M$297,6,FALSE))</f>
        <v>Alpes méridionales</v>
      </c>
      <c r="G178" s="857" t="str">
        <f>IF(VLOOKUP(A178,'Données de base - Grunddaten'!$A$2:$M$297,7,FALSE)="","",VLOOKUP(A178,'Données de base - Grunddaten'!$A$2:$M$297,7,FALSE))</f>
        <v>Montagnard inf.</v>
      </c>
      <c r="H178" s="857">
        <f>IF(VLOOKUP(A178,'Données de base - Grunddaten'!$A$2:$M$297,8,FALSE)="","",VLOOKUP(A178,'Données de base - Grunddaten'!$A$2:$M$297,8,FALSE))</f>
        <v>730</v>
      </c>
      <c r="I178" s="857">
        <f>IF(VLOOKUP(A178,'Données de base - Grunddaten'!$A$2:$M$297,9,FALSE)="","",VLOOKUP(A178,'Données de base - Grunddaten'!$A$2:$M$297,9,FALSE))</f>
        <v>1992</v>
      </c>
      <c r="J178" s="857">
        <f>IF(VLOOKUP(A178,'Données de base - Grunddaten'!$A$2:$M$297,10,FALSE)="","",VLOOKUP(A178,'Données de base - Grunddaten'!$A$2:$M$297,10,FALSE))</f>
        <v>41</v>
      </c>
      <c r="K178" s="857" t="str">
        <f>IF(VLOOKUP(A178,'Données de base - Grunddaten'!$A$2:$M$297,11,FALSE)="","",VLOOKUP(A178,'Données de base - Grunddaten'!$A$2:$M$297,11,FALSE))</f>
        <v>Cours d'eau naturels de l'étage montagnard</v>
      </c>
      <c r="L178" s="857" t="str">
        <f>IF(VLOOKUP(A178,'Données de base - Grunddaten'!$A$2:$M$297,12,FALSE)="","",VLOOKUP(A178,'Données de base - Grunddaten'!$A$2:$M$297,12,FALSE))</f>
        <v>en tresses</v>
      </c>
      <c r="M178" s="858" t="str">
        <f>IF(VLOOKUP(A178,'Données de base - Grunddaten'!$A$2:$M$297,13,FALSE)="","",VLOOKUP(A178,'Données de base - Grunddaten'!$A$2:$M$297,13,FALSE))</f>
        <v>en tresses</v>
      </c>
      <c r="N178" s="872" t="str">
        <f>IF(VLOOKUP(A178,'Charriage - Geschiebehaushalt'!$A$4:$R$275,5,FALSE)="","",VLOOKUP(A178,'Charriage - Geschiebehaushalt'!$A$4:$R$275,5,FALSE))</f>
        <v>pertinent</v>
      </c>
      <c r="O178" s="881" t="str">
        <f>IF(VLOOKUP(A178,'Charriage - Geschiebehaushalt'!$A$4:$R$275,6,FALSE)="","",VLOOKUP(A178,'Charriage - Geschiebehaushalt'!$A$4:$R$275,6,FALSE))</f>
        <v>non documenté</v>
      </c>
      <c r="P178" s="874" t="str">
        <f>IF(VLOOKUP(A178,'Charriage - Geschiebehaushalt'!$A$4:$R$275,7,FALSE)="","",VLOOKUP(A178,'Charriage - Geschiebehaushalt'!$A$4:$R$275,7,FALSE))</f>
        <v/>
      </c>
      <c r="Q178" s="874" t="str">
        <f>IF(VLOOKUP(A178,'Charriage - Geschiebehaushalt'!$A$4:$R$275,8,FALSE)="","",VLOOKUP(A178,'Charriage - Geschiebehaushalt'!$A$4:$R$275,8,FALSE))</f>
        <v>non documenté</v>
      </c>
      <c r="R178" s="875">
        <f>IF(VLOOKUP(A178,'Charriage - Geschiebehaushalt'!$A$4:$R$275,9,FALSE)="","",VLOOKUP(A178,'Charriage - Geschiebehaushalt'!$A$4:$R$275,9,FALSE))</f>
        <v>0</v>
      </c>
      <c r="S178" s="876" t="str">
        <f>IF(VLOOKUP(A178,'Charriage - Geschiebehaushalt'!$A$4:$R$275,10,FALSE)="","",VLOOKUP(A178,'Charriage - Geschiebehaushalt'!$A$4:$R$275,10,FALSE))</f>
        <v>pas ou faiblement entravé</v>
      </c>
      <c r="T178" s="875">
        <f>IF(VLOOKUP(A178,'Charriage - Geschiebehaushalt'!$A$4:$R$275,11,FALSE)="","",VLOOKUP(A178,'Charriage - Geschiebehaushalt'!$A$4:$R$275,11,FALSE))</f>
        <v>0.14412773865</v>
      </c>
      <c r="U178" s="876" t="str">
        <f>IF(VLOOKUP(A178,'Charriage - Geschiebehaushalt'!$A$4:$R$275,12,FALSE)="","",VLOOKUP(A178,'Charriage - Geschiebehaushalt'!$A$4:$R$275,12,FALSE))</f>
        <v>déficit dans les formations pionnières</v>
      </c>
      <c r="V178" s="877" t="str">
        <f>IF(VLOOKUP(A178,'Charriage - Geschiebehaushalt'!$A$4:$R$275,13,FALSE)="","",VLOOKUP(A178,'Charriage - Geschiebehaushalt'!$A$4:$R$275,13,FALSE))</f>
        <v>Peu d'extraction connue dans Val Bavona, débit eau très faible</v>
      </c>
      <c r="W178" s="877" t="str">
        <f>IF(VLOOKUP(A178,'Charriage - Geschiebehaushalt'!$A$4:$R$275,14,FALSE)="","",VLOOKUP(A178,'Charriage - Geschiebehaushalt'!$A$4:$R$275,14,FALSE))</f>
        <v>A vérifier</v>
      </c>
      <c r="X178" s="877" t="str">
        <f>IF(VLOOKUP(A178,'Charriage - Geschiebehaushalt'!$A$4:$R$275,15,FALSE)="","",VLOOKUP(A178,'Charriage - Geschiebehaushalt'!$A$4:$R$275,15,FALSE))</f>
        <v>3 barrages présens à moins de 10 km</v>
      </c>
      <c r="Y178" s="882" t="str">
        <f>IF(VLOOKUP(A178,'Charriage - Geschiebehaushalt'!$A$4:$R$275,16,FALSE)="","",VLOOKUP(A178,'Charriage - Geschiebehaushalt'!$A$4:$R$275,16,FALSE))</f>
        <v>charriage présumé perturbé</v>
      </c>
      <c r="Z178" s="763" t="str">
        <f>IF(VLOOKUP(A178,'Charriage - Geschiebehaushalt'!$A$4:$R$275,17,FALSE)="","",VLOOKUP(A178,'Charriage - Geschiebehaushalt'!$A$4:$R$275,17,FALSE))</f>
        <v>Charriage présumé perturbé / Geschiebehaushalt vermutlich beeinträchtigt</v>
      </c>
      <c r="AA178" s="880" t="str">
        <f>IF(VLOOKUP(A178,'Charriage - Geschiebehaushalt'!$A$4:$R$275,18,FALSE)="","",VLOOKUP(A178,'Charriage - Geschiebehaushalt'!$A$4:$R$275,18,FALSE))</f>
        <v>b</v>
      </c>
      <c r="AB178" s="737" t="str">
        <f>IF(VLOOKUP(A178,'Charriage - Geschiebehaushalt'!$A$4:$AC$275,19,FALSE)="","",VLOOKUP(A178,'Charriage - Geschiebehaushalt'!$A$4:$AC$275,19,FALSE))</f>
        <v>nul et faible</v>
      </c>
      <c r="AC178" s="738">
        <f>IF(VLOOKUP(A178,'Charriage - Geschiebehaushalt'!$A$4:$AC$275,20,FALSE)="","",VLOOKUP(A178,'Charriage - Geschiebehaushalt'!$A$4:$AC$275,20,FALSE))</f>
        <v>0</v>
      </c>
      <c r="AD178" s="789" t="str">
        <f>IF(VLOOKUP(A178,'Charriage - Geschiebehaushalt'!$A$4:$AC$275,21,FALSE)="","",VLOOKUP(A178,'Charriage - Geschiebehaushalt'!$A$4:$AC$275,21,FALSE))</f>
        <v>0-20%</v>
      </c>
      <c r="AE178" s="805" t="str">
        <f>IF(VLOOKUP(A178,'Charriage - Geschiebehaushalt'!$A$4:$AC$275,22,FALSE)="","",VLOOKUP(A178,'Charriage - Geschiebehaushalt'!$A$4:$AC$275,22,FALSE))</f>
        <v>0-20%</v>
      </c>
      <c r="AF178" s="787" t="str">
        <f>IF(VLOOKUP(A178,'Charriage - Geschiebehaushalt'!$A$4:$AC$275,23,FALSE)="","",VLOOKUP(A178,'Charriage - Geschiebehaushalt'!$A$4:$AC$275,23,FALSE))</f>
        <v>c</v>
      </c>
      <c r="AG178" s="765" t="str">
        <f>IF(VLOOKUP(A178,'Charriage - Geschiebehaushalt'!$A$4:$AC$275,24,FALSE)="","",VLOOKUP(A178,'Charriage - Geschiebehaushalt'!$A$4:$AC$275,24,FALSE))</f>
        <v/>
      </c>
      <c r="AH178" s="764" t="str">
        <f>IF(VLOOKUP(A178,'Charriage - Geschiebehaushalt'!$A$4:$AC$275,25,FALSE)="","",VLOOKUP(A178,'Charriage - Geschiebehaushalt'!$A$4:$AC$275,25,FALSE))</f>
        <v/>
      </c>
      <c r="AI178" s="433" t="str">
        <f>IF(VLOOKUP(A178,'Charriage - Geschiebehaushalt'!$A$4:$AC$275,26,FALSE)="","",VLOOKUP(A178,'Charriage - Geschiebehaushalt'!$A$4:$AC$275,26,FALSE))</f>
        <v/>
      </c>
      <c r="AJ178" s="434" t="str">
        <f>IF(VLOOKUP(A178,'Charriage - Geschiebehaushalt'!$A$4:$AC$275,27,FALSE)="","",VLOOKUP(A178,'Charriage - Geschiebehaushalt'!$A$4:$AC$275,27,FALSE))</f>
        <v/>
      </c>
      <c r="AK178" s="1286" t="str">
        <f>IF(VLOOKUP(A178,'Charriage - Geschiebehaushalt'!$A$4:$AC$275,28,FALSE)="","",VLOOKUP(A178,'Charriage - Geschiebehaushalt'!$A$4:$AC$275,28,FALSE))</f>
        <v>0-20%</v>
      </c>
      <c r="AL178" s="1285" t="str">
        <f>IF(VLOOKUP(A178,'Charriage - Geschiebehaushalt'!$A$4:$AD$275,30,FALSE)="","",VLOOKUP(A178,'Charriage - Geschiebehaushalt'!$A$4:$AD$275,30,FALSE))</f>
        <v>a</v>
      </c>
      <c r="AM178" s="1279" t="str">
        <f>IF(VLOOKUP(A178,'Débit - Abfluss'!$A$4:$K$275,5,FALSE)="","",VLOOKUP(A178,'Débit - Abfluss'!$A$4:$M$275,5,FALSE))</f>
        <v>21-40%</v>
      </c>
      <c r="AN178" s="868" t="str">
        <f>IF(VLOOKUP(A178,'Débit - Abfluss'!$A$4:$K$275,6,FALSE)="","",VLOOKUP(A178,'Débit - Abfluss'!$A$4:$M$275,6,FALSE))</f>
        <v/>
      </c>
      <c r="AO178" s="869" t="str">
        <f>IF(VLOOKUP(A178,'Débit - Abfluss'!$A$4:$K$275,7,FALSE)="","",VLOOKUP(A178,'Débit - Abfluss'!$A$4:$M$275,7,FALSE))</f>
        <v/>
      </c>
      <c r="AP178" s="766" t="str">
        <f>IF(VLOOKUP(A178,'Débit - Abfluss'!$A$4:$K$275,8,FALSE)="","",VLOOKUP(A178,'Débit - Abfluss'!$A$4:$M$275,8,FALSE))</f>
        <v>21-40%</v>
      </c>
      <c r="AQ178" s="678" t="str">
        <f>IF(VLOOKUP(A178,'Débit - Abfluss'!$A$4:$K$275,9,FALSE)="","",VLOOKUP(A178,'Débit - Abfluss'!$A$4:$M$275,9,FALSE))</f>
        <v>&lt;10% /  10-50%</v>
      </c>
      <c r="AR178" s="767" t="str">
        <f>IF(VLOOKUP(A178,'Débit - Abfluss'!$A$4:$K$275,10,FALSE)="","",VLOOKUP(A178,'Débit - Abfluss'!$A$4:$M$275,10,FALSE))</f>
        <v>21-40%</v>
      </c>
      <c r="AS178" s="767" t="str">
        <f>IF(VLOOKUP(A178,'Débit - Abfluss'!$A$4:$K$275,11,FALSE)="","",VLOOKUP(A178,'Débit - Abfluss'!$A$4:$M$275,11,FALSE))</f>
        <v/>
      </c>
      <c r="AT178" s="744" t="str">
        <f>IF(VLOOKUP(A178,'Débit - Abfluss'!$A$4:$Q$275,12,FALSE)="","",VLOOKUP(A178,'Débit - Abfluss'!$A$4:$Q$275,12,FALSE))</f>
        <v/>
      </c>
      <c r="AU178" s="806" t="str">
        <f>IF(VLOOKUP(A178,'Débit - Abfluss'!$A$4:$Q$275,13,FALSE)="","",VLOOKUP(A178,'Débit - Abfluss'!$A$4:$Q$275,13,FALSE))</f>
        <v/>
      </c>
      <c r="AV178" s="791" t="str">
        <f>IF(VLOOKUP(A178,'Débit - Abfluss'!$A$4:$Q$275,14,FALSE)="","",VLOOKUP(A178,'Débit - Abfluss'!$A$4:$Q$275,14,FALSE))</f>
        <v>TI-W D
TI-W 36</v>
      </c>
      <c r="AW178" s="768" t="str">
        <f>IF(VLOOKUP(A178,'Débit - Abfluss'!$A$4:$Q$275,15,FALSE)="","",VLOOKUP(A178,'Débit - Abfluss'!$A$4:$Q$275,15,FALSE))</f>
        <v>Bavona
Cavergno</v>
      </c>
      <c r="AX178" s="679" t="str">
        <f>IF(VLOOKUP(A178,'Débit - Abfluss'!$A$4:$Q$275,16,FALSE)="","",VLOOKUP(A178,'Débit - Abfluss'!$A$4:$Q$275,16,FALSE))</f>
        <v/>
      </c>
      <c r="AY178" s="769" t="str">
        <f>IF(VLOOKUP(A178,'Débit - Abfluss'!$A$4:$Q$275,17,FALSE)="","",VLOOKUP(A178,'Débit - Abfluss'!$A$4:$Q$275,17,FALSE))</f>
        <v>21-40%</v>
      </c>
      <c r="AZ178" s="749" t="str">
        <f>IF(VLOOKUP(A178,'Eclusée - Schwall-Sunk'!$A$2:$F$273,5,FALSE)="","",VLOOKUP(A178,'Eclusée - Schwall-Sunk'!$A$2:$F$273,5,FALSE))</f>
        <v>force hydraulique</v>
      </c>
      <c r="BA178" s="750" t="str">
        <f>IF(VLOOKUP(A178,'Eclusée - Schwall-Sunk'!$A$2:$F$273,6,FALSE)="","",VLOOKUP(A178,'Eclusée - Schwall-Sunk'!$A$2:$F$273,6,FALSE))</f>
        <v>Non affecté / nicht betroffen</v>
      </c>
      <c r="BB178" s="751">
        <f>IF(VLOOKUP(A178,'Revitalisation-Revitalisierung'!$A$4:$Z$275,5,FALSE)="","",VLOOKUP(A178,'Revitalisation-Revitalisierung'!$A$4:$Z$275,5,FALSE))</f>
        <v>0</v>
      </c>
      <c r="BC178" s="752">
        <f>IF(VLOOKUP(A178,'Revitalisation-Revitalisierung'!$A$4:$Z$275,6,FALSE)="","",VLOOKUP(A178,'Revitalisation-Revitalisierung'!$A$4:$Z$275,6,FALSE))</f>
        <v>0</v>
      </c>
      <c r="BD178" s="752">
        <f>IF(VLOOKUP(A178,'Revitalisation-Revitalisierung'!$A$4:$Z$275,7,FALSE)="","",VLOOKUP(A178,'Revitalisation-Revitalisierung'!$A$4:$Z$275,7,FALSE))</f>
        <v>0</v>
      </c>
      <c r="BE178" s="753" t="str">
        <f>IF(VLOOKUP(A178,'Revitalisation-Revitalisierung'!$A$4:$Z$275,8,FALSE)="","",VLOOKUP(A178,'Revitalisation-Revitalisierung'!$A$4:$Z$275,8,FALSE))</f>
        <v>non nécessaire</v>
      </c>
      <c r="BF178" s="754" t="str">
        <f>IF(VLOOKUP(A178,'Revitalisation-Revitalisierung'!$A$4:$Z$275,9,FALSE)="","",VLOOKUP(A178,'Revitalisation-Revitalisierung'!$A$4:$Z$275,9,FALSE))</f>
        <v/>
      </c>
      <c r="BG178" s="754" t="str">
        <f>IF(VLOOKUP(A178,'Revitalisation-Revitalisierung'!$A$4:$Z$275,10,FALSE)="","",VLOOKUP(A178,'Revitalisation-Revitalisierung'!$A$4:$Z$275,10,FALSE))</f>
        <v>K2</v>
      </c>
      <c r="BH178" s="755" t="str">
        <f>IF(VLOOKUP(A178,'Revitalisation-Revitalisierung'!$A$4:$Z$275,11,FALSE)="","",VLOOKUP(A178,'Revitalisation-Revitalisierung'!$A$4:$Z$275,11,FALSE))</f>
        <v/>
      </c>
      <c r="BI178" s="756" t="str">
        <f>IF(VLOOKUP(A178,'Revitalisation-Revitalisierung'!$A$4:$Z$275,12,FALSE)="","",VLOOKUP(A178,'Revitalisation-Revitalisierung'!$A$4:$Z$275,12,FALSE))</f>
        <v/>
      </c>
      <c r="BJ178" s="788" t="str">
        <f>IF(VLOOKUP(A178,'Revitalisation-Revitalisierung'!$A$4:$Z$275,13,FALSE)="","",VLOOKUP(A178,'Revitalisation-Revitalisierung'!$A$4:$Z$275,13,FALSE))</f>
        <v>Non nécessaire / nicht nötig</v>
      </c>
      <c r="BK178" s="870" t="str">
        <f>IF(VLOOKUP(A178,'Revitalisation-Revitalisierung'!$A$4:$Z$275,14,FALSE)="","",VLOOKUP(A178,'Revitalisation-Revitalisierung'!$A$4:$Z$275,14,FALSE))</f>
        <v>a</v>
      </c>
      <c r="BL178" s="758" t="str">
        <f>IF(VLOOKUP(A178,'Revitalisation-Revitalisierung'!$A$4:$Z$275,15,FALSE)="","",VLOOKUP(A178,'Revitalisation-Revitalisierung'!$A$4:$Z$275,15,FALSE))</f>
        <v>moyen</v>
      </c>
      <c r="BM178" s="759" t="str">
        <f>IF(VLOOKUP(A178,'Revitalisation-Revitalisierung'!$A$4:$Z$275,16,FALSE)="","",VLOOKUP(A178,'Revitalisation-Revitalisierung'!$A$4:$Z$275,16,FALSE))</f>
        <v>faible et important</v>
      </c>
      <c r="BN178" s="759" t="str">
        <f>IF(VLOOKUP(A178,'Revitalisation-Revitalisierung'!$A$4:$Z$275,17,FALSE)="","",VLOOKUP(A178,'Revitalisation-Revitalisierung'!$A$4:$Z$275,17,FALSE))</f>
        <v>faible et nulle</v>
      </c>
      <c r="BO178" s="760" t="str">
        <f>IF(VLOOKUP(A178,'Revitalisation-Revitalisierung'!$A$4:$Z$275,18,FALSE)="","",VLOOKUP(A178,'Revitalisation-Revitalisierung'!$A$4:$Z$275,18,FALSE))</f>
        <v>Partiellement nécessaire, facile / teilweise nötig, einfach</v>
      </c>
      <c r="BP178" s="761" t="str">
        <f>IF(VLOOKUP(A178,'Revitalisation-Revitalisierung'!$A$4:$Z$275,19,FALSE)="","",VLOOKUP(A178,'Revitalisation-Revitalisierung'!$A$4:$Z$275,19,FALSE))</f>
        <v>Partiellement nécessaire, facile / teilweise nötig, einfach</v>
      </c>
      <c r="BQ178" s="759" t="str">
        <f>IF(VLOOKUP(A178,'Revitalisation-Revitalisierung'!$A$4:$Z$275,20,FALSE)="","",VLOOKUP(A178,'Revitalisation-Revitalisierung'!$A$4:$Z$275,20,FALSE))</f>
        <v>c</v>
      </c>
      <c r="BR178" s="759" t="str">
        <f>IF(VLOOKUP(A178,'Revitalisation-Revitalisierung'!$A$4:$Z$275,21,FALSE)="","",VLOOKUP(A178,'Revitalisation-Revitalisierung'!$A$4:$Z$275,21,FALSE))</f>
        <v>nécessaire seulement sur certains tronçons</v>
      </c>
      <c r="BS178" s="762" t="str">
        <f>IF(VLOOKUP(A178,'Revitalisation-Revitalisierung'!$A$4:$Z$275,22,FALSE)="","",VLOOKUP(A178,'Revitalisation-Revitalisierung'!$A$4:$Z$275,22,FALSE))</f>
        <v/>
      </c>
      <c r="BT178" s="700" t="str">
        <f>IF(VLOOKUP(A178,'Revitalisation-Revitalisierung'!$A$4:$Z$275,23,FALSE)="","",VLOOKUP(A178,'Revitalisation-Revitalisierung'!$A$4:$Z$275,23,FALSE))</f>
        <v/>
      </c>
      <c r="BU178" s="699" t="str">
        <f>IF(VLOOKUP(A178,'Revitalisation-Revitalisierung'!$A$4:$Z$275,24,FALSE)="","",VLOOKUP(A178,'Revitalisation-Revitalisierung'!$A$4:$Z$275,24,FALSE))</f>
        <v/>
      </c>
      <c r="BV178" s="761" t="str">
        <f>IF(VLOOKUP(A178,'Revitalisation-Revitalisierung'!$A$4:$Z$275,25,FALSE)="","",VLOOKUP(A178,'Revitalisation-Revitalisierung'!$A$4:$Z$275,25,FALSE))</f>
        <v>Partiellement nécessaire, facile / teilweise nötig, einfach</v>
      </c>
      <c r="BW178" s="871" t="str">
        <f>IF(VLOOKUP(A178,'Revitalisation-Revitalisierung'!$A$4:$AA$275,27,FALSE)="","",VLOOKUP(A178,'Revitalisation-Revitalisierung'!$A$4:$AA$275,27,FALSE))</f>
        <v>a</v>
      </c>
    </row>
    <row r="179" spans="1:75" ht="91.15" customHeight="1" x14ac:dyDescent="0.25">
      <c r="A179" s="935">
        <v>228</v>
      </c>
      <c r="B179" s="856">
        <f>IF(VLOOKUP(A179,'Données de base - Grunddaten'!$A$2:$M$297,2,FALSE)="","",VLOOKUP(A179,'Données de base - Grunddaten'!$A$2:$M$297,2,FALSE))</f>
        <v>1</v>
      </c>
      <c r="C179" s="857" t="str">
        <f>IF(VLOOKUP(A179,'Données de base - Grunddaten'!$A$2:$M$297,3,FALSE)="","",VLOOKUP(A179,'Données de base - Grunddaten'!$A$2:$M$297,3,FALSE))</f>
        <v>Foce della Maggia</v>
      </c>
      <c r="D179" s="857" t="str">
        <f>IF(VLOOKUP(A179,'Données de base - Grunddaten'!$A$2:$M$297,4,FALSE)="","",VLOOKUP(A179,'Données de base - Grunddaten'!$A$2:$M$297,4,FALSE))</f>
        <v>Lago Maggiore, Maggia</v>
      </c>
      <c r="E179" s="857" t="str">
        <f>IF(VLOOKUP(A179,'Données de base - Grunddaten'!$A$2:$M$297,5,FALSE)="","",VLOOKUP(A179,'Données de base - Grunddaten'!$A$2:$M$297,5,FALSE))</f>
        <v>TI</v>
      </c>
      <c r="F179" s="857" t="str">
        <f>IF(VLOOKUP(A179,'Données de base - Grunddaten'!$A$2:$M$297,6,FALSE)="","",VLOOKUP(A179,'Données de base - Grunddaten'!$A$2:$M$297,6,FALSE))</f>
        <v>Tessin méridional</v>
      </c>
      <c r="G179" s="857" t="str">
        <f>IF(VLOOKUP(A179,'Données de base - Grunddaten'!$A$2:$M$297,7,FALSE)="","",VLOOKUP(A179,'Données de base - Grunddaten'!$A$2:$M$297,7,FALSE))</f>
        <v>Collinéen</v>
      </c>
      <c r="H179" s="857">
        <f>IF(VLOOKUP(A179,'Données de base - Grunddaten'!$A$2:$M$297,8,FALSE)="","",VLOOKUP(A179,'Données de base - Grunddaten'!$A$2:$M$297,8,FALSE))</f>
        <v>195</v>
      </c>
      <c r="I179" s="857">
        <f>IF(VLOOKUP(A179,'Données de base - Grunddaten'!$A$2:$M$297,9,FALSE)="","",VLOOKUP(A179,'Données de base - Grunddaten'!$A$2:$M$297,9,FALSE))</f>
        <v>1992</v>
      </c>
      <c r="J179" s="857">
        <f>IF(VLOOKUP(A179,'Données de base - Grunddaten'!$A$2:$M$297,10,FALSE)="","",VLOOKUP(A179,'Données de base - Grunddaten'!$A$2:$M$297,10,FALSE))</f>
        <v>90</v>
      </c>
      <c r="K179" s="857" t="str">
        <f>IF(VLOOKUP(A179,'Données de base - Grunddaten'!$A$2:$M$297,11,FALSE)="","",VLOOKUP(A179,'Données de base - Grunddaten'!$A$2:$M$297,11,FALSE))</f>
        <v>Delta</v>
      </c>
      <c r="L179" s="857" t="str">
        <f>IF(VLOOKUP(A179,'Données de base - Grunddaten'!$A$2:$M$297,12,FALSE)="","",VLOOKUP(A179,'Données de base - Grunddaten'!$A$2:$M$297,12,FALSE))</f>
        <v>rectiligne</v>
      </c>
      <c r="M179" s="858" t="str">
        <f>IF(VLOOKUP(A179,'Données de base - Grunddaten'!$A$2:$M$297,13,FALSE)="","",VLOOKUP(A179,'Données de base - Grunddaten'!$A$2:$M$297,13,FALSE))</f>
        <v>rectiligne</v>
      </c>
      <c r="N179" s="872" t="str">
        <f>IF(VLOOKUP(A179,'Charriage - Geschiebehaushalt'!$A$4:$R$275,5,FALSE)="","",VLOOKUP(A179,'Charriage - Geschiebehaushalt'!$A$4:$R$275,5,FALSE))</f>
        <v>pertinent</v>
      </c>
      <c r="O179" s="881" t="str">
        <f>IF(VLOOKUP(A179,'Charriage - Geschiebehaushalt'!$A$4:$R$275,6,FALSE)="","",VLOOKUP(A179,'Charriage - Geschiebehaushalt'!$A$4:$R$275,6,FALSE))</f>
        <v>non documenté</v>
      </c>
      <c r="P179" s="874" t="str">
        <f>IF(VLOOKUP(A179,'Charriage - Geschiebehaushalt'!$A$4:$R$275,7,FALSE)="","",VLOOKUP(A179,'Charriage - Geschiebehaushalt'!$A$4:$R$275,7,FALSE))</f>
        <v/>
      </c>
      <c r="Q179" s="874" t="str">
        <f>IF(VLOOKUP(A179,'Charriage - Geschiebehaushalt'!$A$4:$R$275,8,FALSE)="","",VLOOKUP(A179,'Charriage - Geschiebehaushalt'!$A$4:$R$275,8,FALSE))</f>
        <v>non documenté</v>
      </c>
      <c r="R179" s="875">
        <f>IF(VLOOKUP(A179,'Charriage - Geschiebehaushalt'!$A$4:$R$275,9,FALSE)="","",VLOOKUP(A179,'Charriage - Geschiebehaushalt'!$A$4:$R$275,9,FALSE))</f>
        <v>3.49620608529186E-2</v>
      </c>
      <c r="S179" s="876" t="str">
        <f>IF(VLOOKUP(A179,'Charriage - Geschiebehaushalt'!$A$4:$R$275,10,FALSE)="","",VLOOKUP(A179,'Charriage - Geschiebehaushalt'!$A$4:$R$275,10,FALSE))</f>
        <v>pas ou faiblement entravé</v>
      </c>
      <c r="T179" s="875">
        <f>IF(VLOOKUP(A179,'Charriage - Geschiebehaushalt'!$A$4:$R$275,11,FALSE)="","",VLOOKUP(A179,'Charriage - Geschiebehaushalt'!$A$4:$R$275,11,FALSE))</f>
        <v>0.47946954983000001</v>
      </c>
      <c r="U179" s="895" t="str">
        <f>IF(VLOOKUP(A179,'Charriage - Geschiebehaushalt'!$A$4:$R$275,12,FALSE)="","",VLOOKUP(A179,'Charriage - Geschiebehaushalt'!$A$4:$R$275,12,FALSE))</f>
        <v>déficit non apparent en charriage ou en remobilisation des sédiments</v>
      </c>
      <c r="V179" s="877" t="str">
        <f>IF(VLOOKUP(A179,'Charriage - Geschiebehaushalt'!$A$4:$R$275,13,FALSE)="","",VLOOKUP(A179,'Charriage - Geschiebehaushalt'!$A$4:$R$275,13,FALSE))</f>
        <v/>
      </c>
      <c r="W179" s="877" t="str">
        <f>IF(VLOOKUP(A179,'Charriage - Geschiebehaushalt'!$A$4:$R$275,14,FALSE)="","",VLOOKUP(A179,'Charriage - Geschiebehaushalt'!$A$4:$R$275,14,FALSE))</f>
        <v/>
      </c>
      <c r="X179" s="877" t="str">
        <f>IF(VLOOKUP(A179,'Charriage - Geschiebehaushalt'!$A$4:$R$275,15,FALSE)="","",VLOOKUP(A179,'Charriage - Geschiebehaushalt'!$A$4:$R$275,15,FALSE))</f>
        <v/>
      </c>
      <c r="Y179" s="879" t="str">
        <f>IF(VLOOKUP(A179,'Charriage - Geschiebehaushalt'!$A$4:$R$275,16,FALSE)="","",VLOOKUP(A179,'Charriage - Geschiebehaushalt'!$A$4:$R$275,16,FALSE))</f>
        <v/>
      </c>
      <c r="Z179" s="763" t="str">
        <f>IF(VLOOKUP(A179,'Charriage - Geschiebehaushalt'!$A$4:$R$275,17,FALSE)="","",VLOOKUP(A179,'Charriage - Geschiebehaushalt'!$A$4:$R$275,17,FALSE))</f>
        <v>Déficit non apparent en charriage ou en remobilisation des sédiments / kein sichtbares Defizit beim Geschiebehaushalt bzw. bei der Mobilisierung von Geschiebe</v>
      </c>
      <c r="AA179" s="880" t="str">
        <f>IF(VLOOKUP(A179,'Charriage - Geschiebehaushalt'!$A$4:$R$275,18,FALSE)="","",VLOOKUP(A179,'Charriage - Geschiebehaushalt'!$A$4:$R$275,18,FALSE))</f>
        <v>b</v>
      </c>
      <c r="AB179" s="737" t="str">
        <f>IF(VLOOKUP(A179,'Charriage - Geschiebehaushalt'!$A$4:$AC$275,19,FALSE)="","",VLOOKUP(A179,'Charriage - Geschiebehaushalt'!$A$4:$AC$275,19,FALSE))</f>
        <v>négligeable</v>
      </c>
      <c r="AC179" s="738">
        <f>IF(VLOOKUP(A179,'Charriage - Geschiebehaushalt'!$A$4:$AC$275,20,FALSE)="","",VLOOKUP(A179,'Charriage - Geschiebehaushalt'!$A$4:$AC$275,20,FALSE))</f>
        <v>0</v>
      </c>
      <c r="AD179" s="789" t="str">
        <f>IF(VLOOKUP(A179,'Charriage - Geschiebehaushalt'!$A$4:$AC$275,21,FALSE)="","",VLOOKUP(A179,'Charriage - Geschiebehaushalt'!$A$4:$AC$275,21,FALSE))</f>
        <v>0-20%</v>
      </c>
      <c r="AE179" s="740" t="str">
        <f>IF(VLOOKUP(A179,'Charriage - Geschiebehaushalt'!$A$4:$AC$275,22,FALSE)="","",VLOOKUP(A179,'Charriage - Geschiebehaushalt'!$A$4:$AC$275,22,FALSE))</f>
        <v>0-20%</v>
      </c>
      <c r="AF179" s="787" t="str">
        <f>IF(VLOOKUP(A179,'Charriage - Geschiebehaushalt'!$A$4:$AC$275,23,FALSE)="","",VLOOKUP(A179,'Charriage - Geschiebehaushalt'!$A$4:$AC$275,23,FALSE))</f>
        <v>d</v>
      </c>
      <c r="AG179" s="765" t="str">
        <f>IF(VLOOKUP(A179,'Charriage - Geschiebehaushalt'!$A$4:$AC$275,24,FALSE)="","",VLOOKUP(A179,'Charriage - Geschiebehaushalt'!$A$4:$AC$275,24,FALSE))</f>
        <v/>
      </c>
      <c r="AH179" s="764" t="str">
        <f>IF(VLOOKUP(A179,'Charriage - Geschiebehaushalt'!$A$4:$AC$275,25,FALSE)="","",VLOOKUP(A179,'Charriage - Geschiebehaushalt'!$A$4:$AC$275,25,FALSE))</f>
        <v/>
      </c>
      <c r="AI179" s="433" t="str">
        <f>IF(VLOOKUP(A179,'Charriage - Geschiebehaushalt'!$A$4:$AC$275,26,FALSE)="","",VLOOKUP(A179,'Charriage - Geschiebehaushalt'!$A$4:$AC$275,26,FALSE))</f>
        <v/>
      </c>
      <c r="AJ179" s="434" t="str">
        <f>IF(VLOOKUP(A179,'Charriage - Geschiebehaushalt'!$A$4:$AC$275,27,FALSE)="","",VLOOKUP(A179,'Charriage - Geschiebehaushalt'!$A$4:$AC$275,27,FALSE))</f>
        <v/>
      </c>
      <c r="AK179" s="801" t="str">
        <f>IF(VLOOKUP(A179,'Charriage - Geschiebehaushalt'!$A$4:$AC$275,28,FALSE)="","",VLOOKUP(A179,'Charriage - Geschiebehaushalt'!$A$4:$AC$275,28,FALSE))</f>
        <v>0-20%</v>
      </c>
      <c r="AL179" s="1285" t="str">
        <f>IF(VLOOKUP(A179,'Charriage - Geschiebehaushalt'!$A$4:$AD$275,30,FALSE)="","",VLOOKUP(A179,'Charriage - Geschiebehaushalt'!$A$4:$AD$275,30,FALSE))</f>
        <v>a</v>
      </c>
      <c r="AM179" s="1279" t="str">
        <f>IF(VLOOKUP(A179,'Débit - Abfluss'!$A$4:$K$275,5,FALSE)="","",VLOOKUP(A179,'Débit - Abfluss'!$A$4:$M$275,5,FALSE))</f>
        <v>21-40%</v>
      </c>
      <c r="AN179" s="868" t="str">
        <f>IF(VLOOKUP(A179,'Débit - Abfluss'!$A$4:$K$275,6,FALSE)="","",VLOOKUP(A179,'Débit - Abfluss'!$A$4:$M$275,6,FALSE))</f>
        <v/>
      </c>
      <c r="AO179" s="869" t="str">
        <f>IF(VLOOKUP(A179,'Débit - Abfluss'!$A$4:$K$275,7,FALSE)="","",VLOOKUP(A179,'Débit - Abfluss'!$A$4:$M$275,7,FALSE))</f>
        <v/>
      </c>
      <c r="AP179" s="766" t="str">
        <f>IF(VLOOKUP(A179,'Débit - Abfluss'!$A$4:$K$275,8,FALSE)="","",VLOOKUP(A179,'Débit - Abfluss'!$A$4:$M$275,8,FALSE))</f>
        <v>21-40%</v>
      </c>
      <c r="AQ179" s="742" t="str">
        <f>IF(VLOOKUP(A179,'Débit - Abfluss'!$A$4:$K$275,9,FALSE)="","",VLOOKUP(A179,'Débit - Abfluss'!$A$4:$M$275,9,FALSE))</f>
        <v>-</v>
      </c>
      <c r="AR179" s="773" t="str">
        <f>IF(VLOOKUP(A179,'Débit - Abfluss'!$A$4:$K$275,10,FALSE)="","",VLOOKUP(A179,'Débit - Abfluss'!$A$4:$M$275,10,FALSE))</f>
        <v>21-40%</v>
      </c>
      <c r="AS179" s="773" t="str">
        <f>IF(VLOOKUP(A179,'Débit - Abfluss'!$A$4:$K$275,11,FALSE)="","",VLOOKUP(A179,'Débit - Abfluss'!$A$4:$M$275,11,FALSE))</f>
        <v>X</v>
      </c>
      <c r="AT179" s="744" t="str">
        <f>IF(VLOOKUP(A179,'Débit - Abfluss'!$A$4:$Q$275,12,FALSE)="","",VLOOKUP(A179,'Débit - Abfluss'!$A$4:$Q$275,12,FALSE))</f>
        <v/>
      </c>
      <c r="AU179" s="683" t="str">
        <f>IF(VLOOKUP(A179,'Débit - Abfluss'!$A$4:$Q$275,13,FALSE)="","",VLOOKUP(A179,'Débit - Abfluss'!$A$4:$Q$275,13,FALSE))</f>
        <v>Il biotopo non è influenzato dal prelievo dell’impianto di Ponte Brolla, che restituisce le acque nella Maggia a monte della zona golenale, inoltre nessun bacino di compenso è presente presso l’impianto.</v>
      </c>
      <c r="AV179" s="791" t="str">
        <f>IF(VLOOKUP(A179,'Débit - Abfluss'!$A$4:$Q$275,14,FALSE)="","",VLOOKUP(A179,'Débit - Abfluss'!$A$4:$Q$275,14,FALSE))</f>
        <v>TI-W 70</v>
      </c>
      <c r="AW179" s="768" t="str">
        <f>IF(VLOOKUP(A179,'Débit - Abfluss'!$A$4:$Q$275,15,FALSE)="","",VLOOKUP(A179,'Débit - Abfluss'!$A$4:$Q$275,15,FALSE))</f>
        <v>Ponte Brolla</v>
      </c>
      <c r="AX179" s="679" t="str">
        <f>IF(VLOOKUP(A179,'Débit - Abfluss'!$A$4:$Q$275,16,FALSE)="","",VLOOKUP(A179,'Débit - Abfluss'!$A$4:$Q$275,16,FALSE))</f>
        <v/>
      </c>
      <c r="AY179" s="769" t="str">
        <f>IF(VLOOKUP(A179,'Débit - Abfluss'!$A$4:$Q$275,17,FALSE)="","",VLOOKUP(A179,'Débit - Abfluss'!$A$4:$Q$275,17,FALSE))</f>
        <v>81-100%</v>
      </c>
      <c r="AZ179" s="749" t="str">
        <f>IF(VLOOKUP(A179,'Eclusée - Schwall-Sunk'!$A$2:$F$273,5,FALSE)="","",VLOOKUP(A179,'Eclusée - Schwall-Sunk'!$A$2:$F$273,5,FALSE))</f>
        <v>force hydraulique</v>
      </c>
      <c r="BA179" s="750" t="str">
        <f>IF(VLOOKUP(A179,'Eclusée - Schwall-Sunk'!$A$2:$F$273,6,FALSE)="","",VLOOKUP(A179,'Eclusée - Schwall-Sunk'!$A$2:$F$273,6,FALSE))</f>
        <v>Non affecté / nicht betroffen</v>
      </c>
      <c r="BB179" s="751" t="str">
        <f>IF(VLOOKUP(A179,'Revitalisation-Revitalisierung'!$A$4:$Z$275,5,FALSE)="","",VLOOKUP(A179,'Revitalisation-Revitalisierung'!$A$4:$Z$275,5,FALSE))</f>
        <v/>
      </c>
      <c r="BC179" s="752" t="str">
        <f>IF(VLOOKUP(A179,'Revitalisation-Revitalisierung'!$A$4:$Z$275,6,FALSE)="","",VLOOKUP(A179,'Revitalisation-Revitalisierung'!$A$4:$Z$275,6,FALSE))</f>
        <v/>
      </c>
      <c r="BD179" s="752" t="str">
        <f>IF(VLOOKUP(A179,'Revitalisation-Revitalisierung'!$A$4:$Z$275,7,FALSE)="","",VLOOKUP(A179,'Revitalisation-Revitalisierung'!$A$4:$Z$275,7,FALSE))</f>
        <v/>
      </c>
      <c r="BE179" s="753" t="str">
        <f>IF(VLOOKUP(A179,'Revitalisation-Revitalisierung'!$A$4:$Z$275,8,FALSE)="","",VLOOKUP(A179,'Revitalisation-Revitalisierung'!$A$4:$Z$275,8,FALSE))</f>
        <v/>
      </c>
      <c r="BF179" s="754" t="str">
        <f>IF(VLOOKUP(A179,'Revitalisation-Revitalisierung'!$A$4:$Z$275,9,FALSE)="","",VLOOKUP(A179,'Revitalisation-Revitalisierung'!$A$4:$Z$275,9,FALSE))</f>
        <v/>
      </c>
      <c r="BG179" s="754" t="str">
        <f>IF(VLOOKUP(A179,'Revitalisation-Revitalisierung'!$A$4:$Z$275,10,FALSE)="","",VLOOKUP(A179,'Revitalisation-Revitalisierung'!$A$4:$Z$275,10,FALSE))</f>
        <v>K1</v>
      </c>
      <c r="BH179" s="755" t="str">
        <f>IF(VLOOKUP(A179,'Revitalisation-Revitalisierung'!$A$4:$Z$275,11,FALSE)="","",VLOOKUP(A179,'Revitalisation-Revitalisierung'!$A$4:$Z$275,11,FALSE))</f>
        <v>peu nécessaire, facile</v>
      </c>
      <c r="BI179" s="756" t="str">
        <f>IF(VLOOKUP(A179,'Revitalisation-Revitalisierung'!$A$4:$Z$275,12,FALSE)="","",VLOOKUP(A179,'Revitalisation-Revitalisierung'!$A$4:$Z$275,12,FALSE))</f>
        <v>car déjà en partie naturel</v>
      </c>
      <c r="BJ179" s="788" t="str">
        <f>IF(VLOOKUP(A179,'Revitalisation-Revitalisierung'!$A$4:$Z$275,13,FALSE)="","",VLOOKUP(A179,'Revitalisation-Revitalisierung'!$A$4:$Z$275,13,FALSE))</f>
        <v>Très nécessaire, facile / unbedingt nötig, einfach</v>
      </c>
      <c r="BK179" s="870" t="str">
        <f>IF(VLOOKUP(A179,'Revitalisation-Revitalisierung'!$A$4:$Z$275,14,FALSE)="","",VLOOKUP(A179,'Revitalisation-Revitalisierung'!$A$4:$Z$275,14,FALSE))</f>
        <v>b</v>
      </c>
      <c r="BL179" s="758" t="str">
        <f>IF(VLOOKUP(A179,'Revitalisation-Revitalisierung'!$A$4:$Z$275,15,FALSE)="","",VLOOKUP(A179,'Revitalisation-Revitalisierung'!$A$4:$Z$275,15,FALSE))</f>
        <v>moyen et important</v>
      </c>
      <c r="BM179" s="759" t="str">
        <f>IF(VLOOKUP(A179,'Revitalisation-Revitalisierung'!$A$4:$Z$275,16,FALSE)="","",VLOOKUP(A179,'Revitalisation-Revitalisierung'!$A$4:$Z$275,16,FALSE))</f>
        <v>moyen</v>
      </c>
      <c r="BN179" s="759" t="str">
        <f>IF(VLOOKUP(A179,'Revitalisation-Revitalisierung'!$A$4:$Z$275,17,FALSE)="","",VLOOKUP(A179,'Revitalisation-Revitalisierung'!$A$4:$Z$275,17,FALSE))</f>
        <v>nulle</v>
      </c>
      <c r="BO179" s="760" t="str">
        <f>IF(VLOOKUP(A179,'Revitalisation-Revitalisierung'!$A$4:$Z$275,18,FALSE)="","",VLOOKUP(A179,'Revitalisation-Revitalisierung'!$A$4:$Z$275,18,FALSE))</f>
        <v>Partiellement nécessaire, facile / teilweise nötig, einfach</v>
      </c>
      <c r="BP179" s="761" t="str">
        <f>IF(VLOOKUP(A179,'Revitalisation-Revitalisierung'!$A$4:$Z$275,19,FALSE)="","",VLOOKUP(A179,'Revitalisation-Revitalisierung'!$A$4:$Z$275,19,FALSE))</f>
        <v>Partiellement nécessaire, facile / teilweise nötig, einfach</v>
      </c>
      <c r="BQ179" s="759" t="str">
        <f>IF(VLOOKUP(A179,'Revitalisation-Revitalisierung'!$A$4:$Z$275,20,FALSE)="","",VLOOKUP(A179,'Revitalisation-Revitalisierung'!$A$4:$Z$275,20,FALSE))</f>
        <v>c</v>
      </c>
      <c r="BR179" s="759" t="str">
        <f>IF(VLOOKUP(A179,'Revitalisation-Revitalisierung'!$A$4:$Z$275,21,FALSE)="","",VLOOKUP(A179,'Revitalisation-Revitalisierung'!$A$4:$Z$275,21,FALSE))</f>
        <v/>
      </c>
      <c r="BS179" s="762" t="str">
        <f>IF(VLOOKUP(A179,'Revitalisation-Revitalisierung'!$A$4:$Z$275,22,FALSE)="","",VLOOKUP(A179,'Revitalisation-Revitalisierung'!$A$4:$Z$275,22,FALSE))</f>
        <v/>
      </c>
      <c r="BT179" s="700" t="str">
        <f>IF(VLOOKUP(A179,'Revitalisation-Revitalisierung'!$A$4:$Z$275,23,FALSE)="","",VLOOKUP(A179,'Revitalisation-Revitalisierung'!$A$4:$Z$275,23,FALSE))</f>
        <v/>
      </c>
      <c r="BU179" s="699" t="str">
        <f>IF(VLOOKUP(A179,'Revitalisation-Revitalisierung'!$A$4:$Z$275,24,FALSE)="","",VLOOKUP(A179,'Revitalisation-Revitalisierung'!$A$4:$Z$275,24,FALSE))</f>
        <v/>
      </c>
      <c r="BV179" s="761" t="str">
        <f>IF(VLOOKUP(A179,'Revitalisation-Revitalisierung'!$A$4:$Z$275,25,FALSE)="","",VLOOKUP(A179,'Revitalisation-Revitalisierung'!$A$4:$Z$275,25,FALSE))</f>
        <v>Partiellement nécessaire, facile / teilweise nötig, einfach</v>
      </c>
      <c r="BW179" s="871" t="str">
        <f>IF(VLOOKUP(A179,'Revitalisation-Revitalisierung'!$A$4:$AA$275,27,FALSE)="","",VLOOKUP(A179,'Revitalisation-Revitalisierung'!$A$4:$AA$275,27,FALSE))</f>
        <v>a</v>
      </c>
    </row>
    <row r="180" spans="1:75" ht="85.15" customHeight="1" x14ac:dyDescent="0.25">
      <c r="A180" s="935">
        <v>229</v>
      </c>
      <c r="B180" s="856">
        <f>IF(VLOOKUP(A180,'Données de base - Grunddaten'!$A$2:$M$297,2,FALSE)="","",VLOOKUP(A180,'Données de base - Grunddaten'!$A$2:$M$297,2,FALSE))</f>
        <v>1</v>
      </c>
      <c r="C180" s="857" t="str">
        <f>IF(VLOOKUP(A180,'Données de base - Grunddaten'!$A$2:$M$297,3,FALSE)="","",VLOOKUP(A180,'Données de base - Grunddaten'!$A$2:$M$297,3,FALSE))</f>
        <v>Madonna del Piano</v>
      </c>
      <c r="D180" s="857" t="str">
        <f>IF(VLOOKUP(A180,'Données de base - Grunddaten'!$A$2:$M$297,4,FALSE)="","",VLOOKUP(A180,'Données de base - Grunddaten'!$A$2:$M$297,4,FALSE))</f>
        <v>Tresa</v>
      </c>
      <c r="E180" s="857" t="str">
        <f>IF(VLOOKUP(A180,'Données de base - Grunddaten'!$A$2:$M$297,5,FALSE)="","",VLOOKUP(A180,'Données de base - Grunddaten'!$A$2:$M$297,5,FALSE))</f>
        <v>TI</v>
      </c>
      <c r="F180" s="857" t="str">
        <f>IF(VLOOKUP(A180,'Données de base - Grunddaten'!$A$2:$M$297,6,FALSE)="","",VLOOKUP(A180,'Données de base - Grunddaten'!$A$2:$M$297,6,FALSE))</f>
        <v>Tessin méridional</v>
      </c>
      <c r="G180" s="857" t="str">
        <f>IF(VLOOKUP(A180,'Données de base - Grunddaten'!$A$2:$M$297,7,FALSE)="","",VLOOKUP(A180,'Données de base - Grunddaten'!$A$2:$M$297,7,FALSE))</f>
        <v>Collinéen</v>
      </c>
      <c r="H180" s="857">
        <f>IF(VLOOKUP(A180,'Données de base - Grunddaten'!$A$2:$M$297,8,FALSE)="","",VLOOKUP(A180,'Données de base - Grunddaten'!$A$2:$M$297,8,FALSE))</f>
        <v>265</v>
      </c>
      <c r="I180" s="857">
        <f>IF(VLOOKUP(A180,'Données de base - Grunddaten'!$A$2:$M$297,9,FALSE)="","",VLOOKUP(A180,'Données de base - Grunddaten'!$A$2:$M$297,9,FALSE))</f>
        <v>1992</v>
      </c>
      <c r="J180" s="857">
        <f>IF(VLOOKUP(A180,'Données de base - Grunddaten'!$A$2:$M$297,10,FALSE)="","",VLOOKUP(A180,'Données de base - Grunddaten'!$A$2:$M$297,10,FALSE))</f>
        <v>61</v>
      </c>
      <c r="K180" s="857" t="str">
        <f>IF(VLOOKUP(A180,'Données de base - Grunddaten'!$A$2:$M$297,11,FALSE)="","",VLOOKUP(A180,'Données de base - Grunddaten'!$A$2:$M$297,11,FALSE))</f>
        <v>Cours d'eau naturels de l'étage collinéen du Sud des Alpes</v>
      </c>
      <c r="L180" s="857" t="str">
        <f>IF(VLOOKUP(A180,'Données de base - Grunddaten'!$A$2:$M$297,12,FALSE)="","",VLOOKUP(A180,'Données de base - Grunddaten'!$A$2:$M$297,12,FALSE))</f>
        <v>en tresses</v>
      </c>
      <c r="M180" s="858" t="str">
        <f>IF(VLOOKUP(A180,'Données de base - Grunddaten'!$A$2:$M$297,13,FALSE)="","",VLOOKUP(A180,'Données de base - Grunddaten'!$A$2:$M$297,13,FALSE))</f>
        <v>en tresses</v>
      </c>
      <c r="N180" s="872" t="str">
        <f>IF(VLOOKUP(A180,'Charriage - Geschiebehaushalt'!$A$4:$R$275,5,FALSE)="","",VLOOKUP(A180,'Charriage - Geschiebehaushalt'!$A$4:$R$275,5,FALSE))</f>
        <v>pertinent</v>
      </c>
      <c r="O180" s="881" t="str">
        <f>IF(VLOOKUP(A180,'Charriage - Geschiebehaushalt'!$A$4:$R$275,6,FALSE)="","",VLOOKUP(A180,'Charriage - Geschiebehaushalt'!$A$4:$R$275,6,FALSE))</f>
        <v>non documenté</v>
      </c>
      <c r="P180" s="874" t="str">
        <f>IF(VLOOKUP(A180,'Charriage - Geschiebehaushalt'!$A$4:$R$275,7,FALSE)="","",VLOOKUP(A180,'Charriage - Geschiebehaushalt'!$A$4:$R$275,7,FALSE))</f>
        <v/>
      </c>
      <c r="Q180" s="874" t="str">
        <f>IF(VLOOKUP(A180,'Charriage - Geschiebehaushalt'!$A$4:$R$275,8,FALSE)="","",VLOOKUP(A180,'Charriage - Geschiebehaushalt'!$A$4:$R$275,8,FALSE))</f>
        <v>non documenté</v>
      </c>
      <c r="R180" s="875">
        <f>IF(VLOOKUP(A180,'Charriage - Geschiebehaushalt'!$A$4:$R$275,9,FALSE)="","",VLOOKUP(A180,'Charriage - Geschiebehaushalt'!$A$4:$R$275,9,FALSE))</f>
        <v>4.5959902282617503E-2</v>
      </c>
      <c r="S180" s="876" t="str">
        <f>IF(VLOOKUP(A180,'Charriage - Geschiebehaushalt'!$A$4:$R$275,10,FALSE)="","",VLOOKUP(A180,'Charriage - Geschiebehaushalt'!$A$4:$R$275,10,FALSE))</f>
        <v>pas ou faiblement entravé</v>
      </c>
      <c r="T180" s="875">
        <f>IF(VLOOKUP(A180,'Charriage - Geschiebehaushalt'!$A$4:$R$275,11,FALSE)="","",VLOOKUP(A180,'Charriage - Geschiebehaushalt'!$A$4:$R$275,11,FALSE))</f>
        <v>0.13891650591999999</v>
      </c>
      <c r="U180" s="876" t="str">
        <f>IF(VLOOKUP(A180,'Charriage - Geschiebehaushalt'!$A$4:$R$275,12,FALSE)="","",VLOOKUP(A180,'Charriage - Geschiebehaushalt'!$A$4:$R$275,12,FALSE))</f>
        <v>déficit dans les formations pionnières</v>
      </c>
      <c r="V180" s="877" t="str">
        <f>IF(VLOOKUP(A180,'Charriage - Geschiebehaushalt'!$A$4:$R$275,13,FALSE)="","",VLOOKUP(A180,'Charriage - Geschiebehaushalt'!$A$4:$R$275,13,FALSE))</f>
        <v>Alimentation par le Lac de Lugano 2 km en amont. Pas d'affluent. Charraige naturellement faible.</v>
      </c>
      <c r="W180" s="878" t="str">
        <f>IF(VLOOKUP(A180,'Charriage - Geschiebehaushalt'!$A$4:$R$275,14,FALSE)="","",VLOOKUP(A180,'Charriage - Geschiebehaushalt'!$A$4:$R$275,14,FALSE))</f>
        <v>charriage présumé naturel</v>
      </c>
      <c r="X180" s="878" t="str">
        <f>IF(VLOOKUP(A180,'Charriage - Geschiebehaushalt'!$A$4:$R$275,15,FALSE)="","",VLOOKUP(A180,'Charriage - Geschiebehaushalt'!$A$4:$R$275,15,FALSE))</f>
        <v/>
      </c>
      <c r="Y180" s="882" t="str">
        <f>IF(VLOOKUP(A180,'Charriage - Geschiebehaushalt'!$A$4:$R$275,16,FALSE)="","",VLOOKUP(A180,'Charriage - Geschiebehaushalt'!$A$4:$R$275,16,FALSE))</f>
        <v/>
      </c>
      <c r="Z180" s="763" t="str">
        <f>IF(VLOOKUP(A180,'Charriage - Geschiebehaushalt'!$A$4:$R$275,17,FALSE)="","",VLOOKUP(A180,'Charriage - Geschiebehaushalt'!$A$4:$R$275,17,FALSE))</f>
        <v>Charriage présumé naturel / Geschiebehaushalt vermutlich natürlich</v>
      </c>
      <c r="AA180" s="880" t="str">
        <f>IF(VLOOKUP(A180,'Charriage - Geschiebehaushalt'!$A$4:$R$275,18,FALSE)="","",VLOOKUP(A180,'Charriage - Geschiebehaushalt'!$A$4:$R$275,18,FALSE))</f>
        <v>b</v>
      </c>
      <c r="AB180" s="737" t="str">
        <f>IF(VLOOKUP(A180,'Charriage - Geschiebehaushalt'!$A$4:$AC$275,19,FALSE)="","",VLOOKUP(A180,'Charriage - Geschiebehaushalt'!$A$4:$AC$275,19,FALSE))</f>
        <v>non évalué</v>
      </c>
      <c r="AC180" s="738" t="str">
        <f>IF(VLOOKUP(A180,'Charriage - Geschiebehaushalt'!$A$4:$AC$275,20,FALSE)="","",VLOOKUP(A180,'Charriage - Geschiebehaushalt'!$A$4:$AC$275,20,FALSE))</f>
        <v>non évalué</v>
      </c>
      <c r="AD180" s="764" t="str">
        <f>IF(VLOOKUP(A180,'Charriage - Geschiebehaushalt'!$A$4:$AC$275,21,FALSE)="","",VLOOKUP(A180,'Charriage - Geschiebehaushalt'!$A$4:$AC$275,21,FALSE))</f>
        <v/>
      </c>
      <c r="AE180" s="740" t="str">
        <f>IF(VLOOKUP(A180,'Charriage - Geschiebehaushalt'!$A$4:$AC$275,22,FALSE)="","",VLOOKUP(A180,'Charriage - Geschiebehaushalt'!$A$4:$AC$275,22,FALSE))</f>
        <v>0-20%</v>
      </c>
      <c r="AF180" s="904" t="str">
        <f>IF(VLOOKUP(A180,'Charriage - Geschiebehaushalt'!$A$4:$AC$275,23,FALSE)="","",VLOOKUP(A180,'Charriage - Geschiebehaushalt'!$A$4:$AC$275,23,FALSE))</f>
        <v>b</v>
      </c>
      <c r="AG180" s="765" t="str">
        <f>IF(VLOOKUP(A180,'Charriage - Geschiebehaushalt'!$A$4:$AC$275,24,FALSE)="","",VLOOKUP(A180,'Charriage - Geschiebehaushalt'!$A$4:$AC$275,24,FALSE))</f>
        <v/>
      </c>
      <c r="AH180" s="764" t="str">
        <f>IF(VLOOKUP(A180,'Charriage - Geschiebehaushalt'!$A$4:$AC$275,25,FALSE)="","",VLOOKUP(A180,'Charriage - Geschiebehaushalt'!$A$4:$AC$275,25,FALSE))</f>
        <v/>
      </c>
      <c r="AI180" s="433" t="str">
        <f>IF(VLOOKUP(A180,'Charriage - Geschiebehaushalt'!$A$4:$AC$275,26,FALSE)="","",VLOOKUP(A180,'Charriage - Geschiebehaushalt'!$A$4:$AC$275,26,FALSE))</f>
        <v/>
      </c>
      <c r="AJ180" s="434" t="str">
        <f>IF(VLOOKUP(A180,'Charriage - Geschiebehaushalt'!$A$4:$AC$275,27,FALSE)="","",VLOOKUP(A180,'Charriage - Geschiebehaushalt'!$A$4:$AC$275,27,FALSE))</f>
        <v/>
      </c>
      <c r="AK180" s="801" t="str">
        <f>IF(VLOOKUP(A180,'Charriage - Geschiebehaushalt'!$A$4:$AC$275,28,FALSE)="","",VLOOKUP(A180,'Charriage - Geschiebehaushalt'!$A$4:$AC$275,28,FALSE))</f>
        <v>0-20%</v>
      </c>
      <c r="AL180" s="1285" t="str">
        <f>IF(VLOOKUP(A180,'Charriage - Geschiebehaushalt'!$A$4:$AD$275,30,FALSE)="","",VLOOKUP(A180,'Charriage - Geschiebehaushalt'!$A$4:$AD$275,30,FALSE))</f>
        <v>b</v>
      </c>
      <c r="AM180" s="1279" t="str">
        <f>IF(VLOOKUP(A180,'Débit - Abfluss'!$A$4:$K$275,5,FALSE)="","",VLOOKUP(A180,'Débit - Abfluss'!$A$4:$M$275,5,FALSE))</f>
        <v>100%</v>
      </c>
      <c r="AN180" s="868" t="str">
        <f>IF(VLOOKUP(A180,'Débit - Abfluss'!$A$4:$K$275,6,FALSE)="","",VLOOKUP(A180,'Débit - Abfluss'!$A$4:$M$275,6,FALSE))</f>
        <v>aucune information supplémentaire</v>
      </c>
      <c r="AO180" s="869" t="str">
        <f>IF(VLOOKUP(A180,'Débit - Abfluss'!$A$4:$K$275,7,FALSE)="","",VLOOKUP(A180,'Débit - Abfluss'!$A$4:$M$275,7,FALSE))</f>
        <v>aucune information supplémentaire</v>
      </c>
      <c r="AP180" s="766" t="str">
        <f>IF(VLOOKUP(A180,'Débit - Abfluss'!$A$4:$K$275,8,FALSE)="","",VLOOKUP(A180,'Débit - Abfluss'!$A$4:$M$275,8,FALSE))</f>
        <v>100%</v>
      </c>
      <c r="AQ180" s="742" t="str">
        <f>IF(VLOOKUP(A180,'Débit - Abfluss'!$A$4:$K$275,9,FALSE)="","",VLOOKUP(A180,'Débit - Abfluss'!$A$4:$M$275,9,FALSE))</f>
        <v>-</v>
      </c>
      <c r="AR180" s="767" t="str">
        <f>IF(VLOOKUP(A180,'Débit - Abfluss'!$A$4:$K$275,10,FALSE)="","",VLOOKUP(A180,'Débit - Abfluss'!$A$4:$M$275,10,FALSE))</f>
        <v>100%</v>
      </c>
      <c r="AS180" s="767" t="str">
        <f>IF(VLOOKUP(A180,'Débit - Abfluss'!$A$4:$K$275,11,FALSE)="","",VLOOKUP(A180,'Débit - Abfluss'!$A$4:$M$275,11,FALSE))</f>
        <v/>
      </c>
      <c r="AT180" s="744" t="str">
        <f>IF(VLOOKUP(A180,'Débit - Abfluss'!$A$4:$Q$275,12,FALSE)="","",VLOOKUP(A180,'Débit - Abfluss'!$A$4:$Q$275,12,FALSE))</f>
        <v/>
      </c>
      <c r="AU180" s="745" t="str">
        <f>IF(VLOOKUP(A180,'Débit - Abfluss'!$A$4:$Q$275,13,FALSE)="","",VLOOKUP(A180,'Débit - Abfluss'!$A$4:$Q$275,13,FALSE))</f>
        <v/>
      </c>
      <c r="AV180" s="791" t="str">
        <f>IF(VLOOKUP(A180,'Débit - Abfluss'!$A$4:$Q$275,14,FALSE)="","",VLOOKUP(A180,'Débit - Abfluss'!$A$4:$Q$275,14,FALSE))</f>
        <v/>
      </c>
      <c r="AW180" s="768" t="str">
        <f>IF(VLOOKUP(A180,'Débit - Abfluss'!$A$4:$Q$275,15,FALSE)="","",VLOOKUP(A180,'Débit - Abfluss'!$A$4:$Q$275,15,FALSE))</f>
        <v/>
      </c>
      <c r="AX180" s="679" t="str">
        <f>IF(VLOOKUP(A180,'Débit - Abfluss'!$A$4:$Q$275,16,FALSE)="","",VLOOKUP(A180,'Débit - Abfluss'!$A$4:$Q$275,16,FALSE))</f>
        <v/>
      </c>
      <c r="AY180" s="769" t="str">
        <f>IF(VLOOKUP(A180,'Débit - Abfluss'!$A$4:$Q$275,17,FALSE)="","",VLOOKUP(A180,'Débit - Abfluss'!$A$4:$Q$275,17,FALSE))</f>
        <v>100%</v>
      </c>
      <c r="AZ180" s="749" t="str">
        <f>IF(VLOOKUP(A180,'Eclusée - Schwall-Sunk'!$A$2:$F$273,5,FALSE)="","",VLOOKUP(A180,'Eclusée - Schwall-Sunk'!$A$2:$F$273,5,FALSE))</f>
        <v/>
      </c>
      <c r="BA180" s="750" t="str">
        <f>IF(VLOOKUP(A180,'Eclusée - Schwall-Sunk'!$A$2:$F$273,6,FALSE)="","",VLOOKUP(A180,'Eclusée - Schwall-Sunk'!$A$2:$F$273,6,FALSE))</f>
        <v>Non affecté / nicht betroffen</v>
      </c>
      <c r="BB180" s="751">
        <f>IF(VLOOKUP(A180,'Revitalisation-Revitalisierung'!$A$4:$Z$275,5,FALSE)="","",VLOOKUP(A180,'Revitalisation-Revitalisierung'!$A$4:$Z$275,5,FALSE))</f>
        <v>-3.6363636363636362</v>
      </c>
      <c r="BC180" s="752">
        <f>IF(VLOOKUP(A180,'Revitalisation-Revitalisierung'!$A$4:$Z$275,6,FALSE)="","",VLOOKUP(A180,'Revitalisation-Revitalisierung'!$A$4:$Z$275,6,FALSE))</f>
        <v>0</v>
      </c>
      <c r="BD180" s="752">
        <f>IF(VLOOKUP(A180,'Revitalisation-Revitalisierung'!$A$4:$Z$275,7,FALSE)="","",VLOOKUP(A180,'Revitalisation-Revitalisierung'!$A$4:$Z$275,7,FALSE))</f>
        <v>3.6363636363636362</v>
      </c>
      <c r="BE180" s="753" t="str">
        <f>IF(VLOOKUP(A180,'Revitalisation-Revitalisierung'!$A$4:$Z$275,8,FALSE)="","",VLOOKUP(A180,'Revitalisation-Revitalisierung'!$A$4:$Z$275,8,FALSE))</f>
        <v>non nécessaire</v>
      </c>
      <c r="BF180" s="754" t="str">
        <f>IF(VLOOKUP(A180,'Revitalisation-Revitalisierung'!$A$4:$Z$275,9,FALSE)="","",VLOOKUP(A180,'Revitalisation-Revitalisierung'!$A$4:$Z$275,9,FALSE))</f>
        <v/>
      </c>
      <c r="BG180" s="754" t="str">
        <f>IF(VLOOKUP(A180,'Revitalisation-Revitalisierung'!$A$4:$Z$275,10,FALSE)="","",VLOOKUP(A180,'Revitalisation-Revitalisierung'!$A$4:$Z$275,10,FALSE))</f>
        <v>K3</v>
      </c>
      <c r="BH180" s="755" t="str">
        <f>IF(VLOOKUP(A180,'Revitalisation-Revitalisierung'!$A$4:$Z$275,11,FALSE)="","",VLOOKUP(A180,'Revitalisation-Revitalisierung'!$A$4:$Z$275,11,FALSE))</f>
        <v/>
      </c>
      <c r="BI180" s="756" t="str">
        <f>IF(VLOOKUP(A180,'Revitalisation-Revitalisierung'!$A$4:$Z$275,12,FALSE)="","",VLOOKUP(A180,'Revitalisation-Revitalisierung'!$A$4:$Z$275,12,FALSE))</f>
        <v/>
      </c>
      <c r="BJ180" s="788" t="str">
        <f>IF(VLOOKUP(A180,'Revitalisation-Revitalisierung'!$A$4:$Z$275,13,FALSE)="","",VLOOKUP(A180,'Revitalisation-Revitalisierung'!$A$4:$Z$275,13,FALSE))</f>
        <v>Non nécessaire / nicht nötig</v>
      </c>
      <c r="BK180" s="870" t="str">
        <f>IF(VLOOKUP(A180,'Revitalisation-Revitalisierung'!$A$4:$Z$275,14,FALSE)="","",VLOOKUP(A180,'Revitalisation-Revitalisierung'!$A$4:$Z$275,14,FALSE))</f>
        <v>a</v>
      </c>
      <c r="BL180" s="758" t="str">
        <f>IF(VLOOKUP(A180,'Revitalisation-Revitalisierung'!$A$4:$Z$275,15,FALSE)="","",VLOOKUP(A180,'Revitalisation-Revitalisierung'!$A$4:$Z$275,15,FALSE))</f>
        <v>important</v>
      </c>
      <c r="BM180" s="759" t="str">
        <f>IF(VLOOKUP(A180,'Revitalisation-Revitalisierung'!$A$4:$Z$275,16,FALSE)="","",VLOOKUP(A180,'Revitalisation-Revitalisierung'!$A$4:$Z$275,16,FALSE))</f>
        <v>moyen et faible</v>
      </c>
      <c r="BN180" s="759" t="str">
        <f>IF(VLOOKUP(A180,'Revitalisation-Revitalisierung'!$A$4:$Z$275,17,FALSE)="","",VLOOKUP(A180,'Revitalisation-Revitalisierung'!$A$4:$Z$275,17,FALSE))</f>
        <v>nulle (2 affluents prio 3)</v>
      </c>
      <c r="BO180" s="760" t="str">
        <f>IF(VLOOKUP(A180,'Revitalisation-Revitalisierung'!$A$4:$Z$275,18,FALSE)="","",VLOOKUP(A180,'Revitalisation-Revitalisierung'!$A$4:$Z$275,18,FALSE))</f>
        <v>Non nécessaire / nicht nötig</v>
      </c>
      <c r="BP180" s="761" t="str">
        <f>IF(VLOOKUP(A180,'Revitalisation-Revitalisierung'!$A$4:$Z$275,19,FALSE)="","",VLOOKUP(A180,'Revitalisation-Revitalisierung'!$A$4:$Z$275,19,FALSE))</f>
        <v>Non nécessaire / nicht nötig</v>
      </c>
      <c r="BQ180" s="759" t="str">
        <f>IF(VLOOKUP(A180,'Revitalisation-Revitalisierung'!$A$4:$Z$275,20,FALSE)="","",VLOOKUP(A180,'Revitalisation-Revitalisierung'!$A$4:$Z$275,20,FALSE))</f>
        <v>d</v>
      </c>
      <c r="BR180" s="759" t="str">
        <f>IF(VLOOKUP(A180,'Revitalisation-Revitalisierung'!$A$4:$Z$275,21,FALSE)="","",VLOOKUP(A180,'Revitalisation-Revitalisierung'!$A$4:$Z$275,21,FALSE))</f>
        <v>2 affulents prioritaires</v>
      </c>
      <c r="BS180" s="762" t="str">
        <f>IF(VLOOKUP(A180,'Revitalisation-Revitalisierung'!$A$4:$Z$275,22,FALSE)="","",VLOOKUP(A180,'Revitalisation-Revitalisierung'!$A$4:$Z$275,22,FALSE))</f>
        <v/>
      </c>
      <c r="BT180" s="700" t="str">
        <f>IF(VLOOKUP(A180,'Revitalisation-Revitalisierung'!$A$4:$Z$275,23,FALSE)="","",VLOOKUP(A180,'Revitalisation-Revitalisierung'!$A$4:$Z$275,23,FALSE))</f>
        <v/>
      </c>
      <c r="BU180" s="699" t="str">
        <f>IF(VLOOKUP(A180,'Revitalisation-Revitalisierung'!$A$4:$Z$275,24,FALSE)="","",VLOOKUP(A180,'Revitalisation-Revitalisierung'!$A$4:$Z$275,24,FALSE))</f>
        <v/>
      </c>
      <c r="BV180" s="761" t="str">
        <f>IF(VLOOKUP(A180,'Revitalisation-Revitalisierung'!$A$4:$Z$275,25,FALSE)="","",VLOOKUP(A180,'Revitalisation-Revitalisierung'!$A$4:$Z$275,25,FALSE))</f>
        <v>Non nécessaire / nicht nötig</v>
      </c>
      <c r="BW180" s="871" t="str">
        <f>IF(VLOOKUP(A180,'Revitalisation-Revitalisierung'!$A$4:$AA$275,27,FALSE)="","",VLOOKUP(A180,'Revitalisation-Revitalisierung'!$A$4:$AA$275,27,FALSE))</f>
        <v>a</v>
      </c>
    </row>
    <row r="181" spans="1:75" ht="78" customHeight="1" x14ac:dyDescent="0.25">
      <c r="A181" s="935">
        <v>301</v>
      </c>
      <c r="B181" s="856">
        <f>IF(VLOOKUP(A181,'Données de base - Grunddaten'!$A$2:$M$297,2,FALSE)="","",VLOOKUP(A181,'Données de base - Grunddaten'!$A$2:$M$297,2,FALSE))</f>
        <v>1</v>
      </c>
      <c r="C181" s="857" t="str">
        <f>IF(VLOOKUP(A181,'Données de base - Grunddaten'!$A$2:$M$297,3,FALSE)="","",VLOOKUP(A181,'Données de base - Grunddaten'!$A$2:$M$297,3,FALSE))</f>
        <v>Les Iles de Bogis</v>
      </c>
      <c r="D181" s="857" t="str">
        <f>IF(VLOOKUP(A181,'Données de base - Grunddaten'!$A$2:$M$297,4,FALSE)="","",VLOOKUP(A181,'Données de base - Grunddaten'!$A$2:$M$297,4,FALSE))</f>
        <v>La Versoix</v>
      </c>
      <c r="E181" s="857" t="str">
        <f>IF(VLOOKUP(A181,'Données de base - Grunddaten'!$A$2:$M$297,5,FALSE)="","",VLOOKUP(A181,'Données de base - Grunddaten'!$A$2:$M$297,5,FALSE))</f>
        <v>VD</v>
      </c>
      <c r="F181" s="857" t="str">
        <f>IF(VLOOKUP(A181,'Données de base - Grunddaten'!$A$2:$M$297,6,FALSE)="","",VLOOKUP(A181,'Données de base - Grunddaten'!$A$2:$M$297,6,FALSE))</f>
        <v>Bassins lémanique et rhénan</v>
      </c>
      <c r="G181" s="857" t="str">
        <f>IF(VLOOKUP(A181,'Données de base - Grunddaten'!$A$2:$M$297,7,FALSE)="","",VLOOKUP(A181,'Données de base - Grunddaten'!$A$2:$M$297,7,FALSE))</f>
        <v>Collinéen</v>
      </c>
      <c r="H181" s="857">
        <f>IF(VLOOKUP(A181,'Données de base - Grunddaten'!$A$2:$M$297,8,FALSE)="","",VLOOKUP(A181,'Données de base - Grunddaten'!$A$2:$M$297,8,FALSE))</f>
        <v>300</v>
      </c>
      <c r="I181" s="857">
        <f>IF(VLOOKUP(A181,'Données de base - Grunddaten'!$A$2:$M$297,9,FALSE)="","",VLOOKUP(A181,'Données de base - Grunddaten'!$A$2:$M$297,9,FALSE))</f>
        <v>2003</v>
      </c>
      <c r="J181" s="857">
        <f>IF(VLOOKUP(A181,'Données de base - Grunddaten'!$A$2:$M$297,10,FALSE)="","",VLOOKUP(A181,'Données de base - Grunddaten'!$A$2:$M$297,10,FALSE))</f>
        <v>82</v>
      </c>
      <c r="K181" s="857" t="str">
        <f>IF(VLOOKUP(A181,'Données de base - Grunddaten'!$A$2:$M$297,11,FALSE)="","",VLOOKUP(A181,'Données de base - Grunddaten'!$A$2:$M$297,11,FALSE))</f>
        <v>Singularité: Cours d'eau en milieu marécageux</v>
      </c>
      <c r="L181" s="857" t="str">
        <f>IF(VLOOKUP(A181,'Données de base - Grunddaten'!$A$2:$M$297,12,FALSE)="","",VLOOKUP(A181,'Données de base - Grunddaten'!$A$2:$M$297,12,FALSE))</f>
        <v>méandres migrants</v>
      </c>
      <c r="M181" s="858" t="str">
        <f>IF(VLOOKUP(A181,'Données de base - Grunddaten'!$A$2:$M$297,13,FALSE)="","",VLOOKUP(A181,'Données de base - Grunddaten'!$A$2:$M$297,13,FALSE))</f>
        <v>méandres migrants</v>
      </c>
      <c r="N181" s="872" t="str">
        <f>IF(VLOOKUP(A181,'Charriage - Geschiebehaushalt'!$A$4:$R$275,5,FALSE)="","",VLOOKUP(A181,'Charriage - Geschiebehaushalt'!$A$4:$R$275,5,FALSE))</f>
        <v>pertinent</v>
      </c>
      <c r="O181" s="881" t="str">
        <f>IF(VLOOKUP(A181,'Charriage - Geschiebehaushalt'!$A$4:$R$275,6,FALSE)="","",VLOOKUP(A181,'Charriage - Geschiebehaushalt'!$A$4:$R$275,6,FALSE))</f>
        <v>non documenté</v>
      </c>
      <c r="P181" s="874" t="str">
        <f>IF(VLOOKUP(A181,'Charriage - Geschiebehaushalt'!$A$4:$R$275,7,FALSE)="","",VLOOKUP(A181,'Charriage - Geschiebehaushalt'!$A$4:$R$275,7,FALSE))</f>
        <v/>
      </c>
      <c r="Q181" s="874" t="str">
        <f>IF(VLOOKUP(A181,'Charriage - Geschiebehaushalt'!$A$4:$R$275,8,FALSE)="","",VLOOKUP(A181,'Charriage - Geschiebehaushalt'!$A$4:$R$275,8,FALSE))</f>
        <v>non documenté</v>
      </c>
      <c r="R181" s="875">
        <f>IF(VLOOKUP(A181,'Charriage - Geschiebehaushalt'!$A$4:$R$275,9,FALSE)="","",VLOOKUP(A181,'Charriage - Geschiebehaushalt'!$A$4:$R$275,9,FALSE))</f>
        <v>0</v>
      </c>
      <c r="S181" s="876" t="str">
        <f>IF(VLOOKUP(A181,'Charriage - Geschiebehaushalt'!$A$4:$R$275,10,FALSE)="","",VLOOKUP(A181,'Charriage - Geschiebehaushalt'!$A$4:$R$275,10,FALSE))</f>
        <v>pas ou faiblement entravé</v>
      </c>
      <c r="T181" s="875">
        <f>IF(VLOOKUP(A181,'Charriage - Geschiebehaushalt'!$A$4:$R$275,11,FALSE)="","",VLOOKUP(A181,'Charriage - Geschiebehaushalt'!$A$4:$R$275,11,FALSE))</f>
        <v>0.58558488456000002</v>
      </c>
      <c r="U181" s="895" t="str">
        <f>IF(VLOOKUP(A181,'Charriage - Geschiebehaushalt'!$A$4:$R$275,12,FALSE)="","",VLOOKUP(A181,'Charriage - Geschiebehaushalt'!$A$4:$R$275,12,FALSE))</f>
        <v>déficit non apparent en charriage ou en remobilisation des sédiments</v>
      </c>
      <c r="V181" s="877" t="str">
        <f>IF(VLOOKUP(A181,'Charriage - Geschiebehaushalt'!$A$4:$R$275,13,FALSE)="","",VLOOKUP(A181,'Charriage - Geschiebehaushalt'!$A$4:$R$275,13,FALSE))</f>
        <v/>
      </c>
      <c r="W181" s="877" t="str">
        <f>IF(VLOOKUP(A181,'Charriage - Geschiebehaushalt'!$A$4:$R$275,14,FALSE)="","",VLOOKUP(A181,'Charriage - Geschiebehaushalt'!$A$4:$R$275,14,FALSE))</f>
        <v/>
      </c>
      <c r="X181" s="877" t="str">
        <f>IF(VLOOKUP(A181,'Charriage - Geschiebehaushalt'!$A$4:$R$275,15,FALSE)="","",VLOOKUP(A181,'Charriage - Geschiebehaushalt'!$A$4:$R$275,15,FALSE))</f>
        <v/>
      </c>
      <c r="Y181" s="879" t="str">
        <f>IF(VLOOKUP(A181,'Charriage - Geschiebehaushalt'!$A$4:$R$275,16,FALSE)="","",VLOOKUP(A181,'Charriage - Geschiebehaushalt'!$A$4:$R$275,16,FALSE))</f>
        <v/>
      </c>
      <c r="Z181" s="763" t="str">
        <f>IF(VLOOKUP(A181,'Charriage - Geschiebehaushalt'!$A$4:$R$275,17,FALSE)="","",VLOOKUP(A181,'Charriage - Geschiebehaushalt'!$A$4:$R$275,17,FALSE))</f>
        <v>Charriage présumé naturel / Geschiebehaushalt vermutlich natürlich</v>
      </c>
      <c r="AA181" s="880" t="str">
        <f>IF(VLOOKUP(A181,'Charriage - Geschiebehaushalt'!$A$4:$R$275,18,FALSE)="","",VLOOKUP(A181,'Charriage - Geschiebehaushalt'!$A$4:$R$275,18,FALSE))</f>
        <v>b</v>
      </c>
      <c r="AB181" s="737" t="str">
        <f>IF(VLOOKUP(A181,'Charriage - Geschiebehaushalt'!$A$4:$AC$275,19,FALSE)="","",VLOOKUP(A181,'Charriage - Geschiebehaushalt'!$A$4:$AC$275,19,FALSE))</f>
        <v>non évalué</v>
      </c>
      <c r="AC181" s="738" t="str">
        <f>IF(VLOOKUP(A181,'Charriage - Geschiebehaushalt'!$A$4:$AC$275,20,FALSE)="","",VLOOKUP(A181,'Charriage - Geschiebehaushalt'!$A$4:$AC$275,20,FALSE))</f>
        <v>non évalué</v>
      </c>
      <c r="AD181" s="764" t="str">
        <f>IF(VLOOKUP(A181,'Charriage - Geschiebehaushalt'!$A$4:$AC$275,21,FALSE)="","",VLOOKUP(A181,'Charriage - Geschiebehaushalt'!$A$4:$AC$275,21,FALSE))</f>
        <v/>
      </c>
      <c r="AE181" s="740" t="str">
        <f>IF(VLOOKUP(A181,'Charriage - Geschiebehaushalt'!$A$4:$AC$275,22,FALSE)="","",VLOOKUP(A181,'Charriage - Geschiebehaushalt'!$A$4:$AC$275,22,FALSE))</f>
        <v>0-20%</v>
      </c>
      <c r="AF181" s="787" t="str">
        <f>IF(VLOOKUP(A181,'Charriage - Geschiebehaushalt'!$A$4:$AC$275,23,FALSE)="","",VLOOKUP(A181,'Charriage - Geschiebehaushalt'!$A$4:$AC$275,23,FALSE))</f>
        <v>b</v>
      </c>
      <c r="AG181" s="765" t="str">
        <f>IF(VLOOKUP(A181,'Charriage - Geschiebehaushalt'!$A$4:$AC$275,24,FALSE)="","",VLOOKUP(A181,'Charriage - Geschiebehaushalt'!$A$4:$AC$275,24,FALSE))</f>
        <v/>
      </c>
      <c r="AH181" s="764" t="str">
        <f>IF(VLOOKUP(A181,'Charriage - Geschiebehaushalt'!$A$4:$AC$275,25,FALSE)="","",VLOOKUP(A181,'Charriage - Geschiebehaushalt'!$A$4:$AC$275,25,FALSE))</f>
        <v/>
      </c>
      <c r="AI181" s="896" t="str">
        <f>IF(VLOOKUP(A181,'Charriage - Geschiebehaushalt'!$A$4:$AC$275,26,FALSE)="","",VLOOKUP(A181,'Charriage - Geschiebehaushalt'!$A$4:$AC$275,26,FALSE))</f>
        <v>non</v>
      </c>
      <c r="AJ181" s="897" t="str">
        <f>IF(VLOOKUP(A181,'Charriage - Geschiebehaushalt'!$A$4:$AC$275,27,FALSE)="","",VLOOKUP(A181,'Charriage - Geschiebehaushalt'!$A$4:$AC$275,27,FALSE))</f>
        <v>Etude genenoise en vue adaptation prélèvements d'eau dans le Brassu. Si ces prèlèvements se font, ce sera au détriment de la Versoix. Contact Franck Pidoux</v>
      </c>
      <c r="AK181" s="801" t="str">
        <f>IF(VLOOKUP(A181,'Charriage - Geschiebehaushalt'!$A$4:$AC$275,28,FALSE)="","",VLOOKUP(A181,'Charriage - Geschiebehaushalt'!$A$4:$AC$275,28,FALSE))</f>
        <v>0-20%</v>
      </c>
      <c r="AL181" s="1285" t="str">
        <f>IF(VLOOKUP(A181,'Charriage - Geschiebehaushalt'!$A$4:$AD$275,30,FALSE)="","",VLOOKUP(A181,'Charriage - Geschiebehaushalt'!$A$4:$AD$275,30,FALSE))</f>
        <v>b</v>
      </c>
      <c r="AM181" s="1279" t="str">
        <f>IF(VLOOKUP(A181,'Débit - Abfluss'!$A$4:$K$275,5,FALSE)="","",VLOOKUP(A181,'Débit - Abfluss'!$A$4:$M$275,5,FALSE))</f>
        <v>100%</v>
      </c>
      <c r="AN181" s="868" t="str">
        <f>IF(VLOOKUP(A181,'Débit - Abfluss'!$A$4:$K$275,6,FALSE)="","",VLOOKUP(A181,'Débit - Abfluss'!$A$4:$M$275,6,FALSE))</f>
        <v>aucune information supplémentaire</v>
      </c>
      <c r="AO181" s="869" t="str">
        <f>IF(VLOOKUP(A181,'Débit - Abfluss'!$A$4:$K$275,7,FALSE)="","",VLOOKUP(A181,'Débit - Abfluss'!$A$4:$M$275,7,FALSE))</f>
        <v>aucune information supplémentaire</v>
      </c>
      <c r="AP181" s="766" t="str">
        <f>IF(VLOOKUP(A181,'Débit - Abfluss'!$A$4:$K$275,8,FALSE)="","",VLOOKUP(A181,'Débit - Abfluss'!$A$4:$M$275,8,FALSE))</f>
        <v>100%</v>
      </c>
      <c r="AQ181" s="742" t="str">
        <f>IF(VLOOKUP(A181,'Débit - Abfluss'!$A$4:$K$275,9,FALSE)="","",VLOOKUP(A181,'Débit - Abfluss'!$A$4:$M$275,9,FALSE))</f>
        <v>-</v>
      </c>
      <c r="AR181" s="767" t="str">
        <f>IF(VLOOKUP(A181,'Débit - Abfluss'!$A$4:$K$275,10,FALSE)="","",VLOOKUP(A181,'Débit - Abfluss'!$A$4:$M$275,10,FALSE))</f>
        <v>100%</v>
      </c>
      <c r="AS181" s="767" t="str">
        <f>IF(VLOOKUP(A181,'Débit - Abfluss'!$A$4:$K$275,11,FALSE)="","",VLOOKUP(A181,'Débit - Abfluss'!$A$4:$M$275,11,FALSE))</f>
        <v/>
      </c>
      <c r="AT181" s="778" t="str">
        <f>IF(VLOOKUP(A181,'Débit - Abfluss'!$A$4:$Q$275,12,FALSE)="","",VLOOKUP(A181,'Débit - Abfluss'!$A$4:$Q$275,12,FALSE))</f>
        <v/>
      </c>
      <c r="AU181" s="779" t="str">
        <f>IF(VLOOKUP(A181,'Débit - Abfluss'!$A$4:$Q$275,13,FALSE)="","",VLOOKUP(A181,'Débit - Abfluss'!$A$4:$Q$275,13,FALSE))</f>
        <v/>
      </c>
      <c r="AV181" s="746" t="str">
        <f>IF(VLOOKUP(A181,'Débit - Abfluss'!$A$4:$Q$275,14,FALSE)="","",VLOOKUP(A181,'Débit - Abfluss'!$A$4:$Q$275,14,FALSE))</f>
        <v/>
      </c>
      <c r="AW181" s="768" t="str">
        <f>IF(VLOOKUP(A181,'Débit - Abfluss'!$A$4:$Q$275,15,FALSE)="","",VLOOKUP(A181,'Débit - Abfluss'!$A$4:$Q$275,15,FALSE))</f>
        <v/>
      </c>
      <c r="AX181" s="679" t="str">
        <f>IF(VLOOKUP(A181,'Débit - Abfluss'!$A$4:$Q$275,16,FALSE)="","",VLOOKUP(A181,'Débit - Abfluss'!$A$4:$Q$275,16,FALSE))</f>
        <v/>
      </c>
      <c r="AY181" s="769" t="str">
        <f>IF(VLOOKUP(A181,'Débit - Abfluss'!$A$4:$Q$275,17,FALSE)="","",VLOOKUP(A181,'Débit - Abfluss'!$A$4:$Q$275,17,FALSE))</f>
        <v>100%</v>
      </c>
      <c r="AZ181" s="749" t="str">
        <f>IF(VLOOKUP(A181,'Eclusée - Schwall-Sunk'!$A$2:$F$273,5,FALSE)="","",VLOOKUP(A181,'Eclusée - Schwall-Sunk'!$A$2:$F$273,5,FALSE))</f>
        <v/>
      </c>
      <c r="BA181" s="750" t="str">
        <f>IF(VLOOKUP(A181,'Eclusée - Schwall-Sunk'!$A$2:$F$273,6,FALSE)="","",VLOOKUP(A181,'Eclusée - Schwall-Sunk'!$A$2:$F$273,6,FALSE))</f>
        <v>Non affecté / nicht betroffen</v>
      </c>
      <c r="BB181" s="751">
        <f>IF(VLOOKUP(A181,'Revitalisation-Revitalisierung'!$A$4:$Z$275,5,FALSE)="","",VLOOKUP(A181,'Revitalisation-Revitalisierung'!$A$4:$Z$275,5,FALSE))</f>
        <v>-0.45454545454545453</v>
      </c>
      <c r="BC181" s="752">
        <f>IF(VLOOKUP(A181,'Revitalisation-Revitalisierung'!$A$4:$Z$275,6,FALSE)="","",VLOOKUP(A181,'Revitalisation-Revitalisierung'!$A$4:$Z$275,6,FALSE))</f>
        <v>0</v>
      </c>
      <c r="BD181" s="752">
        <f>IF(VLOOKUP(A181,'Revitalisation-Revitalisierung'!$A$4:$Z$275,7,FALSE)="","",VLOOKUP(A181,'Revitalisation-Revitalisierung'!$A$4:$Z$275,7,FALSE))</f>
        <v>0.45454545454545453</v>
      </c>
      <c r="BE181" s="753" t="str">
        <f>IF(VLOOKUP(A181,'Revitalisation-Revitalisierung'!$A$4:$Z$275,8,FALSE)="","",VLOOKUP(A181,'Revitalisation-Revitalisierung'!$A$4:$Z$275,8,FALSE))</f>
        <v>non nécessaire</v>
      </c>
      <c r="BF181" s="754" t="str">
        <f>IF(VLOOKUP(A181,'Revitalisation-Revitalisierung'!$A$4:$Z$275,9,FALSE)="","",VLOOKUP(A181,'Revitalisation-Revitalisierung'!$A$4:$Z$275,9,FALSE))</f>
        <v>nicht nötig</v>
      </c>
      <c r="BG181" s="754" t="str">
        <f>IF(VLOOKUP(A181,'Revitalisation-Revitalisierung'!$A$4:$Z$275,10,FALSE)="","",VLOOKUP(A181,'Revitalisation-Revitalisierung'!$A$4:$Z$275,10,FALSE))</f>
        <v>K1</v>
      </c>
      <c r="BH181" s="755" t="str">
        <f>IF(VLOOKUP(A181,'Revitalisation-Revitalisierung'!$A$4:$Z$275,11,FALSE)="","",VLOOKUP(A181,'Revitalisation-Revitalisierung'!$A$4:$Z$275,11,FALSE))</f>
        <v/>
      </c>
      <c r="BI181" s="756" t="str">
        <f>IF(VLOOKUP(A181,'Revitalisation-Revitalisierung'!$A$4:$Z$275,12,FALSE)="","",VLOOKUP(A181,'Revitalisation-Revitalisierung'!$A$4:$Z$275,12,FALSE))</f>
        <v/>
      </c>
      <c r="BJ181" s="788" t="str">
        <f>IF(VLOOKUP(A181,'Revitalisation-Revitalisierung'!$A$4:$Z$275,13,FALSE)="","",VLOOKUP(A181,'Revitalisation-Revitalisierung'!$A$4:$Z$275,13,FALSE))</f>
        <v>Non nécessaire / nicht nötig</v>
      </c>
      <c r="BK181" s="870" t="str">
        <f>IF(VLOOKUP(A181,'Revitalisation-Revitalisierung'!$A$4:$Z$275,14,FALSE)="","",VLOOKUP(A181,'Revitalisation-Revitalisierung'!$A$4:$Z$275,14,FALSE))</f>
        <v>a</v>
      </c>
      <c r="BL181" s="758" t="str">
        <f>IF(VLOOKUP(A181,'Revitalisation-Revitalisierung'!$A$4:$Z$275,15,FALSE)="","",VLOOKUP(A181,'Revitalisation-Revitalisierung'!$A$4:$Z$275,15,FALSE))</f>
        <v>élevé</v>
      </c>
      <c r="BM181" s="759" t="str">
        <f>IF(VLOOKUP(A181,'Revitalisation-Revitalisierung'!$A$4:$Z$275,16,FALSE)="","",VLOOKUP(A181,'Revitalisation-Revitalisierung'!$A$4:$Z$275,16,FALSE))</f>
        <v>faible</v>
      </c>
      <c r="BN181" s="759" t="str">
        <f>IF(VLOOKUP(A181,'Revitalisation-Revitalisierung'!$A$4:$Z$275,17,FALSE)="","",VLOOKUP(A181,'Revitalisation-Revitalisierung'!$A$4:$Z$275,17,FALSE))</f>
        <v>nulle</v>
      </c>
      <c r="BO181" s="760" t="str">
        <f>IF(VLOOKUP(A181,'Revitalisation-Revitalisierung'!$A$4:$Z$275,18,FALSE)="","",VLOOKUP(A181,'Revitalisation-Revitalisierung'!$A$4:$Z$275,18,FALSE))</f>
        <v>Non nécessaire / nicht nötig</v>
      </c>
      <c r="BP181" s="761" t="str">
        <f>IF(VLOOKUP(A181,'Revitalisation-Revitalisierung'!$A$4:$Z$275,19,FALSE)="","",VLOOKUP(A181,'Revitalisation-Revitalisierung'!$A$4:$Z$275,19,FALSE))</f>
        <v>Non nécessaire / nicht nötig</v>
      </c>
      <c r="BQ181" s="759" t="str">
        <f>IF(VLOOKUP(A181,'Revitalisation-Revitalisierung'!$A$4:$Z$275,20,FALSE)="","",VLOOKUP(A181,'Revitalisation-Revitalisierung'!$A$4:$Z$275,20,FALSE))</f>
        <v>d</v>
      </c>
      <c r="BR181" s="807" t="str">
        <f>IF(VLOOKUP(A181,'Revitalisation-Revitalisierung'!$A$4:$Z$275,21,FALSE)="","",VLOOKUP(A181,'Revitalisation-Revitalisierung'!$A$4:$Z$275,21,FALSE))</f>
        <v/>
      </c>
      <c r="BS181" s="808" t="str">
        <f>IF(VLOOKUP(A181,'Revitalisation-Revitalisierung'!$A$4:$Z$275,22,FALSE)="","",VLOOKUP(A181,'Revitalisation-Revitalisierung'!$A$4:$Z$275,22,FALSE))</f>
        <v/>
      </c>
      <c r="BT181" s="703" t="str">
        <f>IF(VLOOKUP(A181,'Revitalisation-Revitalisierung'!$A$4:$Z$275,23,FALSE)="","",VLOOKUP(A181,'Revitalisation-Revitalisierung'!$A$4:$Z$275,23,FALSE))</f>
        <v/>
      </c>
      <c r="BU181" s="704" t="str">
        <f>IF(VLOOKUP(A181,'Revitalisation-Revitalisierung'!$A$4:$Z$275,24,FALSE)="","",VLOOKUP(A181,'Revitalisation-Revitalisierung'!$A$4:$Z$275,24,FALSE))</f>
        <v/>
      </c>
      <c r="BV181" s="761" t="str">
        <f>IF(VLOOKUP(A181,'Revitalisation-Revitalisierung'!$A$4:$Z$275,25,FALSE)="","",VLOOKUP(A181,'Revitalisation-Revitalisierung'!$A$4:$Z$275,25,FALSE))</f>
        <v>Non nécessaire / nicht nötig</v>
      </c>
      <c r="BW181" s="871" t="str">
        <f>IF(VLOOKUP(A181,'Revitalisation-Revitalisierung'!$A$4:$AA$275,27,FALSE)="","",VLOOKUP(A181,'Revitalisation-Revitalisierung'!$A$4:$AA$275,27,FALSE))</f>
        <v>a</v>
      </c>
    </row>
    <row r="182" spans="1:75" ht="52.15" customHeight="1" x14ac:dyDescent="0.25">
      <c r="A182" s="1230">
        <v>302</v>
      </c>
      <c r="B182" s="856">
        <f>IF(VLOOKUP(A182,'Données de base - Grunddaten'!$A$2:$M$297,2,FALSE)="","",VLOOKUP(A182,'Données de base - Grunddaten'!$A$2:$M$297,2,FALSE))</f>
        <v>1</v>
      </c>
      <c r="C182" s="857" t="str">
        <f>IF(VLOOKUP(A182,'Données de base - Grunddaten'!$A$2:$M$297,3,FALSE)="","",VLOOKUP(A182,'Données de base - Grunddaten'!$A$2:$M$297,3,FALSE))</f>
        <v>La Lovataire - La Venoge</v>
      </c>
      <c r="D182" s="857" t="str">
        <f>IF(VLOOKUP(A182,'Données de base - Grunddaten'!$A$2:$M$297,4,FALSE)="","",VLOOKUP(A182,'Données de base - Grunddaten'!$A$2:$M$297,4,FALSE))</f>
        <v>La Venoge</v>
      </c>
      <c r="E182" s="857" t="str">
        <f>IF(VLOOKUP(A182,'Données de base - Grunddaten'!$A$2:$M$297,5,FALSE)="","",VLOOKUP(A182,'Données de base - Grunddaten'!$A$2:$M$297,5,FALSE))</f>
        <v>VD</v>
      </c>
      <c r="F182" s="857" t="str">
        <f>IF(VLOOKUP(A182,'Données de base - Grunddaten'!$A$2:$M$297,6,FALSE)="","",VLOOKUP(A182,'Données de base - Grunddaten'!$A$2:$M$297,6,FALSE))</f>
        <v>Plateau occidental</v>
      </c>
      <c r="G182" s="857" t="str">
        <f>IF(VLOOKUP(A182,'Données de base - Grunddaten'!$A$2:$M$297,7,FALSE)="","",VLOOKUP(A182,'Données de base - Grunddaten'!$A$2:$M$297,7,FALSE))</f>
        <v>Collinéen</v>
      </c>
      <c r="H182" s="857" t="str">
        <f>IF(VLOOKUP(A182,'Données de base - Grunddaten'!$A$2:$M$297,8,FALSE)="","",VLOOKUP(A182,'Données de base - Grunddaten'!$A$2:$M$297,8,FALSE))</f>
        <v>400 m</v>
      </c>
      <c r="I182" s="857" t="str">
        <f>IF(VLOOKUP(A182,'Données de base - Grunddaten'!$A$2:$M$297,9,FALSE)="","",VLOOKUP(A182,'Données de base - Grunddaten'!$A$2:$M$297,9,FALSE))</f>
        <v>candidat</v>
      </c>
      <c r="J182" s="857">
        <f>IF(VLOOKUP(A182,'Données de base - Grunddaten'!$A$2:$M$297,10,FALSE)="","",VLOOKUP(A182,'Données de base - Grunddaten'!$A$2:$M$297,10,FALSE))</f>
        <v>51</v>
      </c>
      <c r="K182" s="857" t="str">
        <f>IF(VLOOKUP(A182,'Données de base - Grunddaten'!$A$2:$M$297,11,FALSE)="","",VLOOKUP(A182,'Données de base - Grunddaten'!$A$2:$M$297,11,FALSE))</f>
        <v>Cours d'eau naturels de l'étage collinéen du Moyen-Pays</v>
      </c>
      <c r="L182" s="857" t="str">
        <f>IF(VLOOKUP(A182,'Données de base - Grunddaten'!$A$2:$M$297,12,FALSE)="","",VLOOKUP(A182,'Données de base - Grunddaten'!$A$2:$M$297,12,FALSE))</f>
        <v>méandres développés</v>
      </c>
      <c r="M182" s="858" t="str">
        <f>IF(VLOOKUP(A182,'Données de base - Grunddaten'!$A$2:$M$297,13,FALSE)="","",VLOOKUP(A182,'Données de base - Grunddaten'!$A$2:$M$297,13,FALSE))</f>
        <v>méandres développés</v>
      </c>
      <c r="N182" s="872" t="str">
        <f>IF(VLOOKUP(A182,'Charriage - Geschiebehaushalt'!$A$4:$R$275,5,FALSE)="","",VLOOKUP(A182,'Charriage - Geschiebehaushalt'!$A$4:$R$275,5,FALSE))</f>
        <v>pertinent</v>
      </c>
      <c r="O182" s="881" t="str">
        <f>IF(VLOOKUP(A182,'Charriage - Geschiebehaushalt'!$A$4:$R$275,6,FALSE)="","",VLOOKUP(A182,'Charriage - Geschiebehaushalt'!$A$4:$R$275,6,FALSE))</f>
        <v>non documenté</v>
      </c>
      <c r="P182" s="874" t="str">
        <f>IF(VLOOKUP(A182,'Charriage - Geschiebehaushalt'!$A$4:$R$275,7,FALSE)="","",VLOOKUP(A182,'Charriage - Geschiebehaushalt'!$A$4:$R$275,7,FALSE))</f>
        <v/>
      </c>
      <c r="Q182" s="874" t="str">
        <f>IF(VLOOKUP(A182,'Charriage - Geschiebehaushalt'!$A$4:$R$275,8,FALSE)="","",VLOOKUP(A182,'Charriage - Geschiebehaushalt'!$A$4:$R$275,8,FALSE))</f>
        <v>non documenté</v>
      </c>
      <c r="R182" s="875" t="str">
        <f>IF(VLOOKUP(A182,'Charriage - Geschiebehaushalt'!$A$4:$R$275,9,FALSE)="","",VLOOKUP(A182,'Charriage - Geschiebehaushalt'!$A$4:$R$275,9,FALSE))</f>
        <v/>
      </c>
      <c r="S182" s="876" t="str">
        <f>IF(VLOOKUP(A182,'Charriage - Geschiebehaushalt'!$A$4:$R$275,10,FALSE)="","",VLOOKUP(A182,'Charriage - Geschiebehaushalt'!$A$4:$R$275,10,FALSE))</f>
        <v/>
      </c>
      <c r="T182" s="876" t="str">
        <f>IF(VLOOKUP(A182,'Charriage - Geschiebehaushalt'!$A$4:$R$275,11,FALSE)="","",VLOOKUP(A182,'Charriage - Geschiebehaushalt'!$A$4:$R$275,11,FALSE))</f>
        <v/>
      </c>
      <c r="U182" s="876" t="str">
        <f>IF(VLOOKUP(A182,'Charriage - Geschiebehaushalt'!$A$4:$R$275,12,FALSE)="","",VLOOKUP(A182,'Charriage - Geschiebehaushalt'!$A$4:$R$275,12,FALSE))</f>
        <v/>
      </c>
      <c r="V182" s="877" t="str">
        <f>IF(VLOOKUP(A182,'Charriage - Geschiebehaushalt'!$A$4:$R$275,13,FALSE)="","",VLOOKUP(A182,'Charriage - Geschiebehaushalt'!$A$4:$R$275,13,FALSE))</f>
        <v/>
      </c>
      <c r="W182" s="877" t="str">
        <f>IF(VLOOKUP(A182,'Charriage - Geschiebehaushalt'!$A$4:$R$275,14,FALSE)="","",VLOOKUP(A182,'Charriage - Geschiebehaushalt'!$A$4:$R$275,14,FALSE))</f>
        <v>A vérifier</v>
      </c>
      <c r="X182" s="877" t="str">
        <f>IF(VLOOKUP(A182,'Charriage - Geschiebehaushalt'!$A$4:$R$275,15,FALSE)="","",VLOOKUP(A182,'Charriage - Geschiebehaushalt'!$A$4:$R$275,15,FALSE))</f>
        <v>pas d'ouvrage dans le bassin versant</v>
      </c>
      <c r="Y182" s="902" t="str">
        <f>IF(VLOOKUP(A182,'Charriage - Geschiebehaushalt'!$A$4:$R$275,16,FALSE)="","",VLOOKUP(A182,'Charriage - Geschiebehaushalt'!$A$4:$R$275,16,FALSE))</f>
        <v>charriage présumé naturel</v>
      </c>
      <c r="Z182" s="763" t="str">
        <f>IF(VLOOKUP(A182,'Charriage - Geschiebehaushalt'!$A$4:$R$275,17,FALSE)="","",VLOOKUP(A182,'Charriage - Geschiebehaushalt'!$A$4:$R$275,17,FALSE))</f>
        <v>Charriage présumé naturel / Geschiebehaushalt vermutlich natürlich</v>
      </c>
      <c r="AA182" s="880" t="str">
        <f>IF(VLOOKUP(A182,'Charriage - Geschiebehaushalt'!$A$4:$R$275,18,FALSE)="","",VLOOKUP(A182,'Charriage - Geschiebehaushalt'!$A$4:$R$275,18,FALSE))</f>
        <v>b</v>
      </c>
      <c r="AB182" s="737" t="str">
        <f>IF(VLOOKUP(A182,'Charriage - Geschiebehaushalt'!$A$4:$AC$275,19,FALSE)="","",VLOOKUP(A182,'Charriage - Geschiebehaushalt'!$A$4:$AC$275,19,FALSE))</f>
        <v>aucune</v>
      </c>
      <c r="AC182" s="738" t="str">
        <f>IF(VLOOKUP(A182,'Charriage - Geschiebehaushalt'!$A$4:$AC$275,20,FALSE)="","",VLOOKUP(A182,'Charriage - Geschiebehaushalt'!$A$4:$AC$275,20,FALSE))</f>
        <v>aucun</v>
      </c>
      <c r="AD182" s="764" t="str">
        <f>IF(VLOOKUP(A182,'Charriage - Geschiebehaushalt'!$A$4:$AC$275,21,FALSE)="","",VLOOKUP(A182,'Charriage - Geschiebehaushalt'!$A$4:$AC$275,21,FALSE))</f>
        <v>0-20%</v>
      </c>
      <c r="AE182" s="740" t="str">
        <f>IF(VLOOKUP(A182,'Charriage - Geschiebehaushalt'!$A$4:$AC$275,22,FALSE)="","",VLOOKUP(A182,'Charriage - Geschiebehaushalt'!$A$4:$AC$275,22,FALSE))</f>
        <v>0-20%</v>
      </c>
      <c r="AF182" s="787" t="str">
        <f>IF(VLOOKUP(A182,'Charriage - Geschiebehaushalt'!$A$4:$AC$275,23,FALSE)="","",VLOOKUP(A182,'Charriage - Geschiebehaushalt'!$A$4:$AC$275,23,FALSE))</f>
        <v>d</v>
      </c>
      <c r="AG182" s="765" t="str">
        <f>IF(VLOOKUP(A182,'Charriage - Geschiebehaushalt'!$A$4:$AC$275,24,FALSE)="","",VLOOKUP(A182,'Charriage - Geschiebehaushalt'!$A$4:$AC$275,24,FALSE))</f>
        <v/>
      </c>
      <c r="AH182" s="764" t="str">
        <f>IF(VLOOKUP(A182,'Charriage - Geschiebehaushalt'!$A$4:$AC$275,25,FALSE)="","",VLOOKUP(A182,'Charriage - Geschiebehaushalt'!$A$4:$AC$275,25,FALSE))</f>
        <v/>
      </c>
      <c r="AI182" s="896" t="str">
        <f>IF(VLOOKUP(A182,'Charriage - Geschiebehaushalt'!$A$4:$AC$275,26,FALSE)="","",VLOOKUP(A182,'Charriage - Geschiebehaushalt'!$A$4:$AC$275,26,FALSE))</f>
        <v>non</v>
      </c>
      <c r="AJ182" s="897" t="str">
        <f>IF(VLOOKUP(A182,'Charriage - Geschiebehaushalt'!$A$4:$AC$275,27,FALSE)="","",VLOOKUP(A182,'Charriage - Geschiebehaushalt'!$A$4:$AC$275,27,FALSE))</f>
        <v xml:space="preserve">voir étude dans le cadre du projet de renaturation de l'embouchure pilotée par DGE-EAU. </v>
      </c>
      <c r="AK182" s="801" t="str">
        <f>IF(VLOOKUP(A182,'Charriage - Geschiebehaushalt'!$A$4:$AC$275,28,FALSE)="","",VLOOKUP(A182,'Charriage - Geschiebehaushalt'!$A$4:$AC$275,28,FALSE))</f>
        <v>0-20%</v>
      </c>
      <c r="AL182" s="1285" t="str">
        <f>IF(VLOOKUP(A182,'Charriage - Geschiebehaushalt'!$A$4:$AD$275,30,FALSE)="","",VLOOKUP(A182,'Charriage - Geschiebehaushalt'!$A$4:$AD$275,30,FALSE))</f>
        <v>a</v>
      </c>
      <c r="AM182" s="1279" t="str">
        <f>IF(VLOOKUP(A182,'Débit - Abfluss'!$A$4:$K$275,5,FALSE)="","",VLOOKUP(A182,'Débit - Abfluss'!$A$4:$M$275,5,FALSE))</f>
        <v>non documenté</v>
      </c>
      <c r="AN182" s="868" t="str">
        <f>IF(VLOOKUP(A182,'Débit - Abfluss'!$A$4:$K$275,6,FALSE)="","",VLOOKUP(A182,'Débit - Abfluss'!$A$4:$M$275,6,FALSE))</f>
        <v>aucune information supplémentaire</v>
      </c>
      <c r="AO182" s="889" t="str">
        <f>IF(VLOOKUP(A182,'Débit - Abfluss'!$A$4:$K$275,7,FALSE)="","",VLOOKUP(A182,'Débit - Abfluss'!$A$4:$M$275,7,FALSE))</f>
        <v>Prélèvement : &lt;50%</v>
      </c>
      <c r="AP182" s="766" t="str">
        <f>IF(VLOOKUP(A182,'Débit - Abfluss'!$A$4:$K$275,8,FALSE)="","",VLOOKUP(A182,'Débit - Abfluss'!$A$4:$M$275,8,FALSE))</f>
        <v>81-100%</v>
      </c>
      <c r="AQ182" s="678" t="str">
        <f>IF(VLOOKUP(A182,'Débit - Abfluss'!$A$4:$K$275,9,FALSE)="","",VLOOKUP(A182,'Débit - Abfluss'!$A$4:$M$275,9,FALSE))</f>
        <v>Fehlende Angaben</v>
      </c>
      <c r="AR182" s="773" t="str">
        <f>IF(VLOOKUP(A182,'Débit - Abfluss'!$A$4:$K$275,10,FALSE)="","",VLOOKUP(A182,'Débit - Abfluss'!$A$4:$M$275,10,FALSE))</f>
        <v>81-100%</v>
      </c>
      <c r="AS182" s="773" t="str">
        <f>IF(VLOOKUP(A182,'Débit - Abfluss'!$A$4:$K$275,11,FALSE)="","",VLOOKUP(A182,'Débit - Abfluss'!$A$4:$M$275,11,FALSE))</f>
        <v>X</v>
      </c>
      <c r="AT182" s="778" t="str">
        <f>IF(VLOOKUP(A182,'Débit - Abfluss'!$A$4:$Q$275,12,FALSE)="","",VLOOKUP(A182,'Débit - Abfluss'!$A$4:$Q$275,12,FALSE))</f>
        <v/>
      </c>
      <c r="AU182" s="779" t="str">
        <f>IF(VLOOKUP(A182,'Débit - Abfluss'!$A$4:$Q$275,13,FALSE)="","",VLOOKUP(A182,'Débit - Abfluss'!$A$4:$Q$275,13,FALSE))</f>
        <v/>
      </c>
      <c r="AV182" s="746" t="str">
        <f>IF(VLOOKUP(A182,'Débit - Abfluss'!$A$4:$Q$275,14,FALSE)="","",VLOOKUP(A182,'Débit - Abfluss'!$A$4:$Q$275,14,FALSE))</f>
        <v>VD-W morges 501</v>
      </c>
      <c r="AW182" s="768" t="str">
        <f>IF(VLOOKUP(A182,'Débit - Abfluss'!$A$4:$Q$275,15,FALSE)="","",VLOOKUP(A182,'Débit - Abfluss'!$A$4:$Q$275,15,FALSE))</f>
        <v/>
      </c>
      <c r="AX182" s="679" t="str">
        <f>IF(VLOOKUP(A182,'Débit - Abfluss'!$A$4:$Q$275,16,FALSE)="","",VLOOKUP(A182,'Débit - Abfluss'!$A$4:$Q$275,16,FALSE))</f>
        <v/>
      </c>
      <c r="AY182" s="775" t="str">
        <f>IF(VLOOKUP(A182,'Débit - Abfluss'!$A$4:$Q$275,17,FALSE)="","",VLOOKUP(A182,'Débit - Abfluss'!$A$4:$Q$275,17,FALSE))</f>
        <v>81-100%</v>
      </c>
      <c r="AZ182" s="749" t="str">
        <f>IF(VLOOKUP(A182,'Eclusée - Schwall-Sunk'!$A$2:$F$273,5,FALSE)="","",VLOOKUP(A182,'Eclusée - Schwall-Sunk'!$A$2:$F$273,5,FALSE))</f>
        <v>autre prélèvement</v>
      </c>
      <c r="BA182" s="750" t="str">
        <f>IF(VLOOKUP(A182,'Eclusée - Schwall-Sunk'!$A$2:$F$273,6,FALSE)="","",VLOOKUP(A182,'Eclusée - Schwall-Sunk'!$A$2:$F$273,6,FALSE))</f>
        <v>Non affecté / nicht betroffen</v>
      </c>
      <c r="BB182" s="751" t="str">
        <f>IF(VLOOKUP(A182,'Revitalisation-Revitalisierung'!$A$4:$Z$275,5,FALSE)="","",VLOOKUP(A182,'Revitalisation-Revitalisierung'!$A$4:$Z$275,5,FALSE))</f>
        <v/>
      </c>
      <c r="BC182" s="752" t="str">
        <f>IF(VLOOKUP(A182,'Revitalisation-Revitalisierung'!$A$4:$Z$275,6,FALSE)="","",VLOOKUP(A182,'Revitalisation-Revitalisierung'!$A$4:$Z$275,6,FALSE))</f>
        <v/>
      </c>
      <c r="BD182" s="752" t="str">
        <f>IF(VLOOKUP(A182,'Revitalisation-Revitalisierung'!$A$4:$Z$275,7,FALSE)="","",VLOOKUP(A182,'Revitalisation-Revitalisierung'!$A$4:$Z$275,7,FALSE))</f>
        <v/>
      </c>
      <c r="BE182" s="753" t="str">
        <f>IF(VLOOKUP(A182,'Revitalisation-Revitalisierung'!$A$4:$Z$275,8,FALSE)="","",VLOOKUP(A182,'Revitalisation-Revitalisierung'!$A$4:$Z$275,8,FALSE))</f>
        <v>peu nécessaire, facile</v>
      </c>
      <c r="BF182" s="754" t="str">
        <f>IF(VLOOKUP(A182,'Revitalisation-Revitalisierung'!$A$4:$Z$275,9,FALSE)="","",VLOOKUP(A182,'Revitalisation-Revitalisierung'!$A$4:$Z$275,9,FALSE))</f>
        <v>leicht</v>
      </c>
      <c r="BG182" s="754" t="str">
        <f>IF(VLOOKUP(A182,'Revitalisation-Revitalisierung'!$A$4:$Z$275,10,FALSE)="","",VLOOKUP(A182,'Revitalisation-Revitalisierung'!$A$4:$Z$275,10,FALSE))</f>
        <v/>
      </c>
      <c r="BH182" s="755" t="str">
        <f>IF(VLOOKUP(A182,'Revitalisation-Revitalisierung'!$A$4:$Z$275,11,FALSE)="","",VLOOKUP(A182,'Revitalisation-Revitalisierung'!$A$4:$Z$275,11,FALSE))</f>
        <v/>
      </c>
      <c r="BI182" s="756" t="str">
        <f>IF(VLOOKUP(A182,'Revitalisation-Revitalisierung'!$A$4:$Z$275,12,FALSE)="","",VLOOKUP(A182,'Revitalisation-Revitalisierung'!$A$4:$Z$275,12,FALSE))</f>
        <v/>
      </c>
      <c r="BJ182" s="788" t="str">
        <f>IF(VLOOKUP(A182,'Revitalisation-Revitalisierung'!$A$4:$Z$275,13,FALSE)="","",VLOOKUP(A182,'Revitalisation-Revitalisierung'!$A$4:$Z$275,13,FALSE))</f>
        <v>Partiellement nécessaire, facile / teilweise nötig, einfach</v>
      </c>
      <c r="BK182" s="870" t="str">
        <f>IF(VLOOKUP(A182,'Revitalisation-Revitalisierung'!$A$4:$Z$275,14,FALSE)="","",VLOOKUP(A182,'Revitalisation-Revitalisierung'!$A$4:$Z$275,14,FALSE))</f>
        <v>a</v>
      </c>
      <c r="BL182" s="758" t="str">
        <f>IF(VLOOKUP(A182,'Revitalisation-Revitalisierung'!$A$4:$Z$275,15,FALSE)="","",VLOOKUP(A182,'Revitalisation-Revitalisierung'!$A$4:$Z$275,15,FALSE))</f>
        <v>élevé (Venoge et "canal")</v>
      </c>
      <c r="BM182" s="759" t="str">
        <f>IF(VLOOKUP(A182,'Revitalisation-Revitalisierung'!$A$4:$Z$275,16,FALSE)="","",VLOOKUP(A182,'Revitalisation-Revitalisierung'!$A$4:$Z$275,16,FALSE))</f>
        <v>moyen (Venoge) et faible ("canal")</v>
      </c>
      <c r="BN182" s="759" t="str">
        <f>IF(VLOOKUP(A182,'Revitalisation-Revitalisierung'!$A$4:$Z$275,17,FALSE)="","",VLOOKUP(A182,'Revitalisation-Revitalisierung'!$A$4:$Z$275,17,FALSE))</f>
        <v>moyen (Venoge) et faible ("canal")</v>
      </c>
      <c r="BO182" s="760" t="str">
        <f>IF(VLOOKUP(A182,'Revitalisation-Revitalisierung'!$A$4:$Z$275,18,FALSE)="","",VLOOKUP(A182,'Revitalisation-Revitalisierung'!$A$4:$Z$275,18,FALSE))</f>
        <v>Partiellement nécessaire, facile / teilweise nötig, einfach</v>
      </c>
      <c r="BP182" s="761" t="str">
        <f>IF(VLOOKUP(A182,'Revitalisation-Revitalisierung'!$A$4:$Z$275,19,FALSE)="","",VLOOKUP(A182,'Revitalisation-Revitalisierung'!$A$4:$Z$275,19,FALSE))</f>
        <v>Partiellement nécessaire, facile / teilweise nötig, einfach</v>
      </c>
      <c r="BQ182" s="759" t="str">
        <f>IF(VLOOKUP(A182,'Revitalisation-Revitalisierung'!$A$4:$Z$275,20,FALSE)="","",VLOOKUP(A182,'Revitalisation-Revitalisierung'!$A$4:$Z$275,20,FALSE))</f>
        <v>d</v>
      </c>
      <c r="BR182" s="759" t="str">
        <f>IF(VLOOKUP(A182,'Revitalisation-Revitalisierung'!$A$4:$Z$275,21,FALSE)="","",VLOOKUP(A182,'Revitalisation-Revitalisierung'!$A$4:$Z$275,21,FALSE))</f>
        <v/>
      </c>
      <c r="BS182" s="762" t="str">
        <f>IF(VLOOKUP(A182,'Revitalisation-Revitalisierung'!$A$4:$Z$275,22,FALSE)="","",VLOOKUP(A182,'Revitalisation-Revitalisierung'!$A$4:$Z$275,22,FALSE))</f>
        <v/>
      </c>
      <c r="BT182" s="703" t="str">
        <f>IF(VLOOKUP(A182,'Revitalisation-Revitalisierung'!$A$4:$Z$275,23,FALSE)="","",VLOOKUP(A182,'Revitalisation-Revitalisierung'!$A$4:$Z$275,23,FALSE))</f>
        <v/>
      </c>
      <c r="BU182" s="704" t="str">
        <f>IF(VLOOKUP(A182,'Revitalisation-Revitalisierung'!$A$4:$Z$275,24,FALSE)="","",VLOOKUP(A182,'Revitalisation-Revitalisierung'!$A$4:$Z$275,24,FALSE))</f>
        <v/>
      </c>
      <c r="BV182" s="761" t="str">
        <f>IF(VLOOKUP(A182,'Revitalisation-Revitalisierung'!$A$4:$Z$275,25,FALSE)="","",VLOOKUP(A182,'Revitalisation-Revitalisierung'!$A$4:$Z$275,25,FALSE))</f>
        <v>Partiellement nécessaire, facile / teilweise nötig, einfach</v>
      </c>
      <c r="BW182" s="871" t="str">
        <f>IF(VLOOKUP(A182,'Revitalisation-Revitalisierung'!$A$4:$AA$275,27,FALSE)="","",VLOOKUP(A182,'Revitalisation-Revitalisierung'!$A$4:$AA$275,27,FALSE))</f>
        <v>a</v>
      </c>
    </row>
    <row r="183" spans="1:75" ht="81" customHeight="1" x14ac:dyDescent="0.25">
      <c r="A183" s="937">
        <v>303</v>
      </c>
      <c r="B183" s="856">
        <f>IF(VLOOKUP(A183,'Données de base - Grunddaten'!$A$2:$M$297,2,FALSE)="","",VLOOKUP(A183,'Données de base - Grunddaten'!$A$2:$M$297,2,FALSE))</f>
        <v>1</v>
      </c>
      <c r="C183" s="857" t="str">
        <f>IF(VLOOKUP(A183,'Données de base - Grunddaten'!$A$2:$M$297,3,FALSE)="","",VLOOKUP(A183,'Données de base - Grunddaten'!$A$2:$M$297,3,FALSE))</f>
        <v>Solalex</v>
      </c>
      <c r="D183" s="857" t="str">
        <f>IF(VLOOKUP(A183,'Données de base - Grunddaten'!$A$2:$M$297,4,FALSE)="","",VLOOKUP(A183,'Données de base - Grunddaten'!$A$2:$M$297,4,FALSE))</f>
        <v>L'Avançon d'Anzeindaz</v>
      </c>
      <c r="E183" s="857" t="str">
        <f>IF(VLOOKUP(A183,'Données de base - Grunddaten'!$A$2:$M$297,5,FALSE)="","",VLOOKUP(A183,'Données de base - Grunddaten'!$A$2:$M$297,5,FALSE))</f>
        <v>VD</v>
      </c>
      <c r="F183" s="857" t="str">
        <f>IF(VLOOKUP(A183,'Données de base - Grunddaten'!$A$2:$M$297,6,FALSE)="","",VLOOKUP(A183,'Données de base - Grunddaten'!$A$2:$M$297,6,FALSE))</f>
        <v>Alpes septentrionales</v>
      </c>
      <c r="G183" s="857" t="str">
        <f>IF(VLOOKUP(A183,'Données de base - Grunddaten'!$A$2:$M$297,7,FALSE)="","",VLOOKUP(A183,'Données de base - Grunddaten'!$A$2:$M$297,7,FALSE))</f>
        <v>Subalpin inf.</v>
      </c>
      <c r="H183" s="857">
        <f>IF(VLOOKUP(A183,'Données de base - Grunddaten'!$A$2:$M$297,8,FALSE)="","",VLOOKUP(A183,'Données de base - Grunddaten'!$A$2:$M$297,8,FALSE))</f>
        <v>1480</v>
      </c>
      <c r="I183" s="857">
        <f>IF(VLOOKUP(A183,'Données de base - Grunddaten'!$A$2:$M$297,9,FALSE)="","",VLOOKUP(A183,'Données de base - Grunddaten'!$A$2:$M$297,9,FALSE))</f>
        <v>2003</v>
      </c>
      <c r="J183" s="857">
        <f>IF(VLOOKUP(A183,'Données de base - Grunddaten'!$A$2:$M$297,10,FALSE)="","",VLOOKUP(A183,'Données de base - Grunddaten'!$A$2:$M$297,10,FALSE))</f>
        <v>31</v>
      </c>
      <c r="K183" s="857" t="str">
        <f>IF(VLOOKUP(A183,'Données de base - Grunddaten'!$A$2:$M$297,11,FALSE)="","",VLOOKUP(A183,'Données de base - Grunddaten'!$A$2:$M$297,11,FALSE))</f>
        <v>Cours d'eau naturels de l'étage subalpin</v>
      </c>
      <c r="L183" s="857" t="str">
        <f>IF(VLOOKUP(A183,'Données de base - Grunddaten'!$A$2:$M$297,12,FALSE)="","",VLOOKUP(A183,'Données de base - Grunddaten'!$A$2:$M$297,12,FALSE))</f>
        <v>en tresses</v>
      </c>
      <c r="M183" s="858" t="str">
        <f>IF(VLOOKUP(A183,'Données de base - Grunddaten'!$A$2:$M$297,13,FALSE)="","",VLOOKUP(A183,'Données de base - Grunddaten'!$A$2:$M$297,13,FALSE))</f>
        <v>en tresses</v>
      </c>
      <c r="N183" s="872" t="str">
        <f>IF(VLOOKUP(A183,'Charriage - Geschiebehaushalt'!$A$4:$R$275,5,FALSE)="","",VLOOKUP(A183,'Charriage - Geschiebehaushalt'!$A$4:$R$275,5,FALSE))</f>
        <v>pertinent</v>
      </c>
      <c r="O183" s="881" t="str">
        <f>IF(VLOOKUP(A183,'Charriage - Geschiebehaushalt'!$A$4:$R$275,6,FALSE)="","",VLOOKUP(A183,'Charriage - Geschiebehaushalt'!$A$4:$R$275,6,FALSE))</f>
        <v>non documenté</v>
      </c>
      <c r="P183" s="874" t="str">
        <f>IF(VLOOKUP(A183,'Charriage - Geschiebehaushalt'!$A$4:$R$275,7,FALSE)="","",VLOOKUP(A183,'Charriage - Geschiebehaushalt'!$A$4:$R$275,7,FALSE))</f>
        <v/>
      </c>
      <c r="Q183" s="874" t="str">
        <f>IF(VLOOKUP(A183,'Charriage - Geschiebehaushalt'!$A$4:$R$275,8,FALSE)="","",VLOOKUP(A183,'Charriage - Geschiebehaushalt'!$A$4:$R$275,8,FALSE))</f>
        <v>non documenté</v>
      </c>
      <c r="R183" s="875">
        <f>IF(VLOOKUP(A183,'Charriage - Geschiebehaushalt'!$A$4:$R$275,9,FALSE)="","",VLOOKUP(A183,'Charriage - Geschiebehaushalt'!$A$4:$R$275,9,FALSE))</f>
        <v>5.5868123074900002E-2</v>
      </c>
      <c r="S183" s="876" t="str">
        <f>IF(VLOOKUP(A183,'Charriage - Geschiebehaushalt'!$A$4:$R$275,10,FALSE)="","",VLOOKUP(A183,'Charriage - Geschiebehaushalt'!$A$4:$R$275,10,FALSE))</f>
        <v>pas ou faiblement entravé</v>
      </c>
      <c r="T183" s="875">
        <f>IF(VLOOKUP(A183,'Charriage - Geschiebehaushalt'!$A$4:$R$275,11,FALSE)="","",VLOOKUP(A183,'Charriage - Geschiebehaushalt'!$A$4:$R$275,11,FALSE))</f>
        <v>0.34833671509000003</v>
      </c>
      <c r="U183" s="876" t="str">
        <f>IF(VLOOKUP(A183,'Charriage - Geschiebehaushalt'!$A$4:$R$275,12,FALSE)="","",VLOOKUP(A183,'Charriage - Geschiebehaushalt'!$A$4:$R$275,12,FALSE))</f>
        <v>déficit dans les formations pionnières</v>
      </c>
      <c r="V183" s="877" t="str">
        <f>IF(VLOOKUP(A183,'Charriage - Geschiebehaushalt'!$A$4:$R$275,13,FALSE)="","",VLOOKUP(A183,'Charriage - Geschiebehaushalt'!$A$4:$R$275,13,FALSE))</f>
        <v>Charriage très important. Beau système tressé. Chenal-pilote très profond. Extraction en aval objet (dans objet)</v>
      </c>
      <c r="W183" s="878" t="str">
        <f>IF(VLOOKUP(A183,'Charriage - Geschiebehaushalt'!$A$4:$R$275,14,FALSE)="","",VLOOKUP(A183,'Charriage - Geschiebehaushalt'!$A$4:$R$275,14,FALSE))</f>
        <v>charriage présumé naturel</v>
      </c>
      <c r="X183" s="878" t="str">
        <f>IF(VLOOKUP(A183,'Charriage - Geschiebehaushalt'!$A$4:$R$275,15,FALSE)="","",VLOOKUP(A183,'Charriage - Geschiebehaushalt'!$A$4:$R$275,15,FALSE))</f>
        <v/>
      </c>
      <c r="Y183" s="882" t="str">
        <f>IF(VLOOKUP(A183,'Charriage - Geschiebehaushalt'!$A$4:$R$275,16,FALSE)="","",VLOOKUP(A183,'Charriage - Geschiebehaushalt'!$A$4:$R$275,16,FALSE))</f>
        <v/>
      </c>
      <c r="Z183" s="763" t="str">
        <f>IF(VLOOKUP(A183,'Charriage - Geschiebehaushalt'!$A$4:$R$275,17,FALSE)="","",VLOOKUP(A183,'Charriage - Geschiebehaushalt'!$A$4:$R$275,17,FALSE))</f>
        <v>Charriage présumé naturel / Geschiebehaushalt vermutlich natürlich</v>
      </c>
      <c r="AA183" s="880" t="str">
        <f>IF(VLOOKUP(A183,'Charriage - Geschiebehaushalt'!$A$4:$R$275,18,FALSE)="","",VLOOKUP(A183,'Charriage - Geschiebehaushalt'!$A$4:$R$275,18,FALSE))</f>
        <v>a</v>
      </c>
      <c r="AB183" s="737" t="str">
        <f>IF(VLOOKUP(A183,'Charriage - Geschiebehaushalt'!$A$4:$AC$275,19,FALSE)="","",VLOOKUP(A183,'Charriage - Geschiebehaushalt'!$A$4:$AC$275,19,FALSE))</f>
        <v>aucune</v>
      </c>
      <c r="AC183" s="738" t="str">
        <f>IF(VLOOKUP(A183,'Charriage - Geschiebehaushalt'!$A$4:$AC$275,20,FALSE)="","",VLOOKUP(A183,'Charriage - Geschiebehaushalt'!$A$4:$AC$275,20,FALSE))</f>
        <v>aucun</v>
      </c>
      <c r="AD183" s="764" t="str">
        <f>IF(VLOOKUP(A183,'Charriage - Geschiebehaushalt'!$A$4:$AC$275,21,FALSE)="","",VLOOKUP(A183,'Charriage - Geschiebehaushalt'!$A$4:$AC$275,21,FALSE))</f>
        <v>0-20%</v>
      </c>
      <c r="AE183" s="740" t="str">
        <f>IF(VLOOKUP(A183,'Charriage - Geschiebehaushalt'!$A$4:$AC$275,22,FALSE)="","",VLOOKUP(A183,'Charriage - Geschiebehaushalt'!$A$4:$AC$275,22,FALSE))</f>
        <v>0-20%</v>
      </c>
      <c r="AF183" s="787" t="str">
        <f>IF(VLOOKUP(A183,'Charriage - Geschiebehaushalt'!$A$4:$AC$275,23,FALSE)="","",VLOOKUP(A183,'Charriage - Geschiebehaushalt'!$A$4:$AC$275,23,FALSE))</f>
        <v>d</v>
      </c>
      <c r="AG183" s="765" t="str">
        <f>IF(VLOOKUP(A183,'Charriage - Geschiebehaushalt'!$A$4:$AC$275,24,FALSE)="","",VLOOKUP(A183,'Charriage - Geschiebehaushalt'!$A$4:$AC$275,24,FALSE))</f>
        <v/>
      </c>
      <c r="AH183" s="764" t="str">
        <f>IF(VLOOKUP(A183,'Charriage - Geschiebehaushalt'!$A$4:$AC$275,25,FALSE)="","",VLOOKUP(A183,'Charriage - Geschiebehaushalt'!$A$4:$AC$275,25,FALSE))</f>
        <v/>
      </c>
      <c r="AI183" s="896" t="str">
        <f>IF(VLOOKUP(A183,'Charriage - Geschiebehaushalt'!$A$4:$AC$275,26,FALSE)="","",VLOOKUP(A183,'Charriage - Geschiebehaushalt'!$A$4:$AC$275,26,FALSE))</f>
        <v>oui</v>
      </c>
      <c r="AJ183" s="897" t="str">
        <f>IF(VLOOKUP(A183,'Charriage - Geschiebehaushalt'!$A$4:$AC$275,27,FALSE)="","",VLOOKUP(A183,'Charriage - Geschiebehaushalt'!$A$4:$AC$275,27,FALSE))</f>
        <v>voir projet de renaturation</v>
      </c>
      <c r="AK183" s="801" t="str">
        <f>IF(VLOOKUP(A183,'Charriage - Geschiebehaushalt'!$A$4:$AC$275,28,FALSE)="","",VLOOKUP(A183,'Charriage - Geschiebehaushalt'!$A$4:$AC$275,28,FALSE))</f>
        <v>0-20%</v>
      </c>
      <c r="AL183" s="1285" t="str">
        <f>IF(VLOOKUP(A183,'Charriage - Geschiebehaushalt'!$A$4:$AD$275,30,FALSE)="","",VLOOKUP(A183,'Charriage - Geschiebehaushalt'!$A$4:$AD$275,30,FALSE))</f>
        <v>a</v>
      </c>
      <c r="AM183" s="1279" t="str">
        <f>IF(VLOOKUP(A183,'Débit - Abfluss'!$A$4:$K$275,5,FALSE)="","",VLOOKUP(A183,'Débit - Abfluss'!$A$4:$M$275,5,FALSE))</f>
        <v>100%</v>
      </c>
      <c r="AN183" s="868" t="str">
        <f>IF(VLOOKUP(A183,'Débit - Abfluss'!$A$4:$K$275,6,FALSE)="","",VLOOKUP(A183,'Débit - Abfluss'!$A$4:$M$275,6,FALSE))</f>
        <v>aucune information supplémentaire</v>
      </c>
      <c r="AO183" s="869" t="str">
        <f>IF(VLOOKUP(A183,'Débit - Abfluss'!$A$4:$K$275,7,FALSE)="","",VLOOKUP(A183,'Débit - Abfluss'!$A$4:$M$275,7,FALSE))</f>
        <v>aucune information supplémentaire</v>
      </c>
      <c r="AP183" s="766" t="str">
        <f>IF(VLOOKUP(A183,'Débit - Abfluss'!$A$4:$K$275,8,FALSE)="","",VLOOKUP(A183,'Débit - Abfluss'!$A$4:$M$275,8,FALSE))</f>
        <v>100%</v>
      </c>
      <c r="AQ183" s="742" t="str">
        <f>IF(VLOOKUP(A183,'Débit - Abfluss'!$A$4:$K$275,9,FALSE)="","",VLOOKUP(A183,'Débit - Abfluss'!$A$4:$M$275,9,FALSE))</f>
        <v>-</v>
      </c>
      <c r="AR183" s="767" t="str">
        <f>IF(VLOOKUP(A183,'Débit - Abfluss'!$A$4:$K$275,10,FALSE)="","",VLOOKUP(A183,'Débit - Abfluss'!$A$4:$M$275,10,FALSE))</f>
        <v>100%</v>
      </c>
      <c r="AS183" s="767" t="str">
        <f>IF(VLOOKUP(A183,'Débit - Abfluss'!$A$4:$K$275,11,FALSE)="","",VLOOKUP(A183,'Débit - Abfluss'!$A$4:$M$275,11,FALSE))</f>
        <v/>
      </c>
      <c r="AT183" s="778" t="str">
        <f>IF(VLOOKUP(A183,'Débit - Abfluss'!$A$4:$Q$275,12,FALSE)="","",VLOOKUP(A183,'Débit - Abfluss'!$A$4:$Q$275,12,FALSE))</f>
        <v/>
      </c>
      <c r="AU183" s="779" t="str">
        <f>IF(VLOOKUP(A183,'Débit - Abfluss'!$A$4:$Q$275,13,FALSE)="","",VLOOKUP(A183,'Débit - Abfluss'!$A$4:$Q$275,13,FALSE))</f>
        <v/>
      </c>
      <c r="AV183" s="746" t="str">
        <f>IF(VLOOKUP(A183,'Débit - Abfluss'!$A$4:$Q$275,14,FALSE)="","",VLOOKUP(A183,'Débit - Abfluss'!$A$4:$Q$275,14,FALSE))</f>
        <v/>
      </c>
      <c r="AW183" s="768" t="str">
        <f>IF(VLOOKUP(A183,'Débit - Abfluss'!$A$4:$Q$275,15,FALSE)="","",VLOOKUP(A183,'Débit - Abfluss'!$A$4:$Q$275,15,FALSE))</f>
        <v/>
      </c>
      <c r="AX183" s="679" t="str">
        <f>IF(VLOOKUP(A183,'Débit - Abfluss'!$A$4:$Q$275,16,FALSE)="","",VLOOKUP(A183,'Débit - Abfluss'!$A$4:$Q$275,16,FALSE))</f>
        <v/>
      </c>
      <c r="AY183" s="769" t="str">
        <f>IF(VLOOKUP(A183,'Débit - Abfluss'!$A$4:$Q$275,17,FALSE)="","",VLOOKUP(A183,'Débit - Abfluss'!$A$4:$Q$275,17,FALSE))</f>
        <v>100%</v>
      </c>
      <c r="AZ183" s="749" t="str">
        <f>IF(VLOOKUP(A183,'Eclusée - Schwall-Sunk'!$A$2:$F$273,5,FALSE)="","",VLOOKUP(A183,'Eclusée - Schwall-Sunk'!$A$2:$F$273,5,FALSE))</f>
        <v/>
      </c>
      <c r="BA183" s="750" t="str">
        <f>IF(VLOOKUP(A183,'Eclusée - Schwall-Sunk'!$A$2:$F$273,6,FALSE)="","",VLOOKUP(A183,'Eclusée - Schwall-Sunk'!$A$2:$F$273,6,FALSE))</f>
        <v>Non affecté / nicht betroffen</v>
      </c>
      <c r="BB183" s="751">
        <f>IF(VLOOKUP(A183,'Revitalisation-Revitalisierung'!$A$4:$Z$275,5,FALSE)="","",VLOOKUP(A183,'Revitalisation-Revitalisierung'!$A$4:$Z$275,5,FALSE))</f>
        <v>-1.572727272727273</v>
      </c>
      <c r="BC183" s="752">
        <f>IF(VLOOKUP(A183,'Revitalisation-Revitalisierung'!$A$4:$Z$275,6,FALSE)="","",VLOOKUP(A183,'Revitalisation-Revitalisierung'!$A$4:$Z$275,6,FALSE))</f>
        <v>0.73257003098814533</v>
      </c>
      <c r="BD183" s="752">
        <f>IF(VLOOKUP(A183,'Revitalisation-Revitalisierung'!$A$4:$Z$275,7,FALSE)="","",VLOOKUP(A183,'Revitalisation-Revitalisierung'!$A$4:$Z$275,7,FALSE))</f>
        <v>2.2727272727272729</v>
      </c>
      <c r="BE183" s="753" t="str">
        <f>IF(VLOOKUP(A183,'Revitalisation-Revitalisierung'!$A$4:$Z$275,8,FALSE)="","",VLOOKUP(A183,'Revitalisation-Revitalisierung'!$A$4:$Z$275,8,FALSE))</f>
        <v>peu nécessaire, facile</v>
      </c>
      <c r="BF183" s="754" t="str">
        <f>IF(VLOOKUP(A183,'Revitalisation-Revitalisierung'!$A$4:$Z$275,9,FALSE)="","",VLOOKUP(A183,'Revitalisation-Revitalisierung'!$A$4:$Z$275,9,FALSE))</f>
        <v>nicht nötig</v>
      </c>
      <c r="BG183" s="754" t="str">
        <f>IF(VLOOKUP(A183,'Revitalisation-Revitalisierung'!$A$4:$Z$275,10,FALSE)="","",VLOOKUP(A183,'Revitalisation-Revitalisierung'!$A$4:$Z$275,10,FALSE))</f>
        <v>K2</v>
      </c>
      <c r="BH183" s="755" t="str">
        <f>IF(VLOOKUP(A183,'Revitalisation-Revitalisierung'!$A$4:$Z$275,11,FALSE)="","",VLOOKUP(A183,'Revitalisation-Revitalisierung'!$A$4:$Z$275,11,FALSE))</f>
        <v/>
      </c>
      <c r="BI183" s="756" t="str">
        <f>IF(VLOOKUP(A183,'Revitalisation-Revitalisierung'!$A$4:$Z$275,12,FALSE)="","",VLOOKUP(A183,'Revitalisation-Revitalisierung'!$A$4:$Z$275,12,FALSE))</f>
        <v/>
      </c>
      <c r="BJ183" s="788" t="str">
        <f>IF(VLOOKUP(A183,'Revitalisation-Revitalisierung'!$A$4:$Z$275,13,FALSE)="","",VLOOKUP(A183,'Revitalisation-Revitalisierung'!$A$4:$Z$275,13,FALSE))</f>
        <v>Très nécessaire, facile / unbedingt nötig, einfach</v>
      </c>
      <c r="BK183" s="870" t="str">
        <f>IF(VLOOKUP(A183,'Revitalisation-Revitalisierung'!$A$4:$Z$275,14,FALSE)="","",VLOOKUP(A183,'Revitalisation-Revitalisierung'!$A$4:$Z$275,14,FALSE))</f>
        <v>b</v>
      </c>
      <c r="BL183" s="758" t="str">
        <f>IF(VLOOKUP(A183,'Revitalisation-Revitalisierung'!$A$4:$Z$275,15,FALSE)="","",VLOOKUP(A183,'Revitalisation-Revitalisierung'!$A$4:$Z$275,15,FALSE))</f>
        <v>moyen</v>
      </c>
      <c r="BM183" s="759" t="str">
        <f>IF(VLOOKUP(A183,'Revitalisation-Revitalisierung'!$A$4:$Z$275,16,FALSE)="","",VLOOKUP(A183,'Revitalisation-Revitalisierung'!$A$4:$Z$275,16,FALSE))</f>
        <v>élevé et faible (1/5 amont)</v>
      </c>
      <c r="BN183" s="759" t="str">
        <f>IF(VLOOKUP(A183,'Revitalisation-Revitalisierung'!$A$4:$Z$275,17,FALSE)="","",VLOOKUP(A183,'Revitalisation-Revitalisierung'!$A$4:$Z$275,17,FALSE))</f>
        <v>élevé et nulle (1/5 amont)</v>
      </c>
      <c r="BO183" s="760" t="str">
        <f>IF(VLOOKUP(A183,'Revitalisation-Revitalisierung'!$A$4:$Z$275,18,FALSE)="","",VLOOKUP(A183,'Revitalisation-Revitalisierung'!$A$4:$Z$275,18,FALSE))</f>
        <v>Très nécessaire, facile / unbedingt nötig, einfach</v>
      </c>
      <c r="BP183" s="761" t="str">
        <f>IF(VLOOKUP(A183,'Revitalisation-Revitalisierung'!$A$4:$Z$275,19,FALSE)="","",VLOOKUP(A183,'Revitalisation-Revitalisierung'!$A$4:$Z$275,19,FALSE))</f>
        <v>Très nécessaire, facile / unbedingt nötig, einfach</v>
      </c>
      <c r="BQ183" s="759" t="str">
        <f>IF(VLOOKUP(A183,'Revitalisation-Revitalisierung'!$A$4:$Z$275,20,FALSE)="","",VLOOKUP(A183,'Revitalisation-Revitalisierung'!$A$4:$Z$275,20,FALSE))</f>
        <v>d</v>
      </c>
      <c r="BR183" s="807" t="str">
        <f>IF(VLOOKUP(A183,'Revitalisation-Revitalisierung'!$A$4:$Z$275,21,FALSE)="","",VLOOKUP(A183,'Revitalisation-Revitalisierung'!$A$4:$Z$275,21,FALSE))</f>
        <v/>
      </c>
      <c r="BS183" s="808" t="str">
        <f>IF(VLOOKUP(A183,'Revitalisation-Revitalisierung'!$A$4:$Z$275,22,FALSE)="","",VLOOKUP(A183,'Revitalisation-Revitalisierung'!$A$4:$Z$275,22,FALSE))</f>
        <v/>
      </c>
      <c r="BT183" s="703" t="str">
        <f>IF(VLOOKUP(A183,'Revitalisation-Revitalisierung'!$A$4:$Z$275,23,FALSE)="","",VLOOKUP(A183,'Revitalisation-Revitalisierung'!$A$4:$Z$275,23,FALSE))</f>
        <v/>
      </c>
      <c r="BU183" s="704" t="str">
        <f>IF(VLOOKUP(A183,'Revitalisation-Revitalisierung'!$A$4:$Z$275,24,FALSE)="","",VLOOKUP(A183,'Revitalisation-Revitalisierung'!$A$4:$Z$275,24,FALSE))</f>
        <v/>
      </c>
      <c r="BV183" s="761" t="str">
        <f>IF(VLOOKUP(A183,'Revitalisation-Revitalisierung'!$A$4:$Z$275,25,FALSE)="","",VLOOKUP(A183,'Revitalisation-Revitalisierung'!$A$4:$Z$275,25,FALSE))</f>
        <v>Très nécessaire, facile / unbedingt nötig, einfach</v>
      </c>
      <c r="BW183" s="871" t="str">
        <f>IF(VLOOKUP(A183,'Revitalisation-Revitalisierung'!$A$4:$AA$275,27,FALSE)="","",VLOOKUP(A183,'Revitalisation-Revitalisierung'!$A$4:$AA$275,27,FALSE))</f>
        <v>a</v>
      </c>
    </row>
    <row r="184" spans="1:75" ht="88.9" customHeight="1" x14ac:dyDescent="0.25">
      <c r="A184" s="937">
        <v>304</v>
      </c>
      <c r="B184" s="856">
        <f>IF(VLOOKUP(A184,'Données de base - Grunddaten'!$A$2:$M$297,2,FALSE)="","",VLOOKUP(A184,'Données de base - Grunddaten'!$A$2:$M$297,2,FALSE))</f>
        <v>1</v>
      </c>
      <c r="C184" s="857" t="str">
        <f>IF(VLOOKUP(A184,'Données de base - Grunddaten'!$A$2:$M$297,3,FALSE)="","",VLOOKUP(A184,'Données de base - Grunddaten'!$A$2:$M$297,3,FALSE))</f>
        <v>Embouchure de la Broye</v>
      </c>
      <c r="D184" s="857" t="str">
        <f>IF(VLOOKUP(A184,'Données de base - Grunddaten'!$A$2:$M$297,4,FALSE)="","",VLOOKUP(A184,'Données de base - Grunddaten'!$A$2:$M$297,4,FALSE))</f>
        <v>La Broye, Lac de Morat</v>
      </c>
      <c r="E184" s="857" t="str">
        <f>IF(VLOOKUP(A184,'Données de base - Grunddaten'!$A$2:$M$297,5,FALSE)="","",VLOOKUP(A184,'Données de base - Grunddaten'!$A$2:$M$297,5,FALSE))</f>
        <v>VD</v>
      </c>
      <c r="F184" s="857" t="str">
        <f>IF(VLOOKUP(A184,'Données de base - Grunddaten'!$A$2:$M$297,6,FALSE)="","",VLOOKUP(A184,'Données de base - Grunddaten'!$A$2:$M$297,6,FALSE))</f>
        <v>Plateau occidental</v>
      </c>
      <c r="G184" s="857" t="str">
        <f>IF(VLOOKUP(A184,'Données de base - Grunddaten'!$A$2:$M$297,7,FALSE)="","",VLOOKUP(A184,'Données de base - Grunddaten'!$A$2:$M$297,7,FALSE))</f>
        <v>Collinéen</v>
      </c>
      <c r="H184" s="857">
        <f>IF(VLOOKUP(A184,'Données de base - Grunddaten'!$A$2:$M$297,8,FALSE)="","",VLOOKUP(A184,'Données de base - Grunddaten'!$A$2:$M$297,8,FALSE))</f>
        <v>430</v>
      </c>
      <c r="I184" s="857">
        <f>IF(VLOOKUP(A184,'Données de base - Grunddaten'!$A$2:$M$297,9,FALSE)="","",VLOOKUP(A184,'Données de base - Grunddaten'!$A$2:$M$297,9,FALSE))</f>
        <v>2003</v>
      </c>
      <c r="J184" s="857">
        <f>IF(VLOOKUP(A184,'Données de base - Grunddaten'!$A$2:$M$297,10,FALSE)="","",VLOOKUP(A184,'Données de base - Grunddaten'!$A$2:$M$297,10,FALSE))</f>
        <v>90</v>
      </c>
      <c r="K184" s="857" t="str">
        <f>IF(VLOOKUP(A184,'Données de base - Grunddaten'!$A$2:$M$297,11,FALSE)="","",VLOOKUP(A184,'Données de base - Grunddaten'!$A$2:$M$297,11,FALSE))</f>
        <v>Delta</v>
      </c>
      <c r="L184" s="857" t="str">
        <f>IF(VLOOKUP(A184,'Données de base - Grunddaten'!$A$2:$M$297,12,FALSE)="","",VLOOKUP(A184,'Données de base - Grunddaten'!$A$2:$M$297,12,FALSE))</f>
        <v>cours rectiligne</v>
      </c>
      <c r="M184" s="858" t="str">
        <f>IF(VLOOKUP(A184,'Données de base - Grunddaten'!$A$2:$M$297,13,FALSE)="","",VLOOKUP(A184,'Données de base - Grunddaten'!$A$2:$M$297,13,FALSE))</f>
        <v>cours rectiligne</v>
      </c>
      <c r="N184" s="872" t="str">
        <f>IF(VLOOKUP(A184,'Charriage - Geschiebehaushalt'!$A$4:$R$275,5,FALSE)="","",VLOOKUP(A184,'Charriage - Geschiebehaushalt'!$A$4:$R$275,5,FALSE))</f>
        <v>pertinent</v>
      </c>
      <c r="O184" s="881" t="str">
        <f>IF(VLOOKUP(A184,'Charriage - Geschiebehaushalt'!$A$4:$R$275,6,FALSE)="","",VLOOKUP(A184,'Charriage - Geschiebehaushalt'!$A$4:$R$275,6,FALSE))</f>
        <v>non documenté</v>
      </c>
      <c r="P184" s="874" t="str">
        <f>IF(VLOOKUP(A184,'Charriage - Geschiebehaushalt'!$A$4:$R$275,7,FALSE)="","",VLOOKUP(A184,'Charriage - Geschiebehaushalt'!$A$4:$R$275,7,FALSE))</f>
        <v/>
      </c>
      <c r="Q184" s="874" t="str">
        <f>IF(VLOOKUP(A184,'Charriage - Geschiebehaushalt'!$A$4:$R$275,8,FALSE)="","",VLOOKUP(A184,'Charriage - Geschiebehaushalt'!$A$4:$R$275,8,FALSE))</f>
        <v>non documenté</v>
      </c>
      <c r="R184" s="875">
        <f>IF(VLOOKUP(A184,'Charriage - Geschiebehaushalt'!$A$4:$R$275,9,FALSE)="","",VLOOKUP(A184,'Charriage - Geschiebehaushalt'!$A$4:$R$275,9,FALSE))</f>
        <v>4.7085572306046999E-2</v>
      </c>
      <c r="S184" s="876" t="str">
        <f>IF(VLOOKUP(A184,'Charriage - Geschiebehaushalt'!$A$4:$R$275,10,FALSE)="","",VLOOKUP(A184,'Charriage - Geschiebehaushalt'!$A$4:$R$275,10,FALSE))</f>
        <v>pas ou faiblement entravé</v>
      </c>
      <c r="T184" s="875">
        <f>IF(VLOOKUP(A184,'Charriage - Geschiebehaushalt'!$A$4:$R$275,11,FALSE)="","",VLOOKUP(A184,'Charriage - Geschiebehaushalt'!$A$4:$R$275,11,FALSE))</f>
        <v>0.50301922514999997</v>
      </c>
      <c r="U184" s="895" t="str">
        <f>IF(VLOOKUP(A184,'Charriage - Geschiebehaushalt'!$A$4:$R$275,12,FALSE)="","",VLOOKUP(A184,'Charriage - Geschiebehaushalt'!$A$4:$R$275,12,FALSE))</f>
        <v>déficit non apparent en charriage ou en remobilisation des sédiments</v>
      </c>
      <c r="V184" s="877" t="str">
        <f>IF(VLOOKUP(A184,'Charriage - Geschiebehaushalt'!$A$4:$R$275,13,FALSE)="","",VLOOKUP(A184,'Charriage - Geschiebehaushalt'!$A$4:$R$275,13,FALSE))</f>
        <v/>
      </c>
      <c r="W184" s="877" t="str">
        <f>IF(VLOOKUP(A184,'Charriage - Geschiebehaushalt'!$A$4:$R$275,14,FALSE)="","",VLOOKUP(A184,'Charriage - Geschiebehaushalt'!$A$4:$R$275,14,FALSE))</f>
        <v/>
      </c>
      <c r="X184" s="877" t="str">
        <f>IF(VLOOKUP(A184,'Charriage - Geschiebehaushalt'!$A$4:$R$275,15,FALSE)="","",VLOOKUP(A184,'Charriage - Geschiebehaushalt'!$A$4:$R$275,15,FALSE))</f>
        <v/>
      </c>
      <c r="Y184" s="879" t="str">
        <f>IF(VLOOKUP(A184,'Charriage - Geschiebehaushalt'!$A$4:$R$275,16,FALSE)="","",VLOOKUP(A184,'Charriage - Geschiebehaushalt'!$A$4:$R$275,16,FALSE))</f>
        <v/>
      </c>
      <c r="Z184" s="763" t="str">
        <f>IF(VLOOKUP(A184,'Charriage - Geschiebehaushalt'!$A$4:$R$275,17,FALSE)="","",VLOOKUP(A184,'Charriage - Geschiebehaushalt'!$A$4:$R$275,17,FALSE))</f>
        <v>Déficit non apparent en charriage ou en remobilisation des sédiments / kein sichtbares Defizit beim Geschiebehaushalt bzw. bei der Mobilisierung von Geschiebe</v>
      </c>
      <c r="AA184" s="880" t="str">
        <f>IF(VLOOKUP(A184,'Charriage - Geschiebehaushalt'!$A$4:$R$275,18,FALSE)="","",VLOOKUP(A184,'Charriage - Geschiebehaushalt'!$A$4:$R$275,18,FALSE))</f>
        <v>b</v>
      </c>
      <c r="AB184" s="737" t="str">
        <f>IF(VLOOKUP(A184,'Charriage - Geschiebehaushalt'!$A$4:$AC$275,19,FALSE)="","",VLOOKUP(A184,'Charriage - Geschiebehaushalt'!$A$4:$AC$275,19,FALSE))</f>
        <v>aucune</v>
      </c>
      <c r="AC184" s="738" t="str">
        <f>IF(VLOOKUP(A184,'Charriage - Geschiebehaushalt'!$A$4:$AC$275,20,FALSE)="","",VLOOKUP(A184,'Charriage - Geschiebehaushalt'!$A$4:$AC$275,20,FALSE))</f>
        <v>aucun</v>
      </c>
      <c r="AD184" s="764" t="str">
        <f>IF(VLOOKUP(A184,'Charriage - Geschiebehaushalt'!$A$4:$AC$275,21,FALSE)="","",VLOOKUP(A184,'Charriage - Geschiebehaushalt'!$A$4:$AC$275,21,FALSE))</f>
        <v>0-20%</v>
      </c>
      <c r="AE184" s="740" t="str">
        <f>IF(VLOOKUP(A184,'Charriage - Geschiebehaushalt'!$A$4:$AC$275,22,FALSE)="","",VLOOKUP(A184,'Charriage - Geschiebehaushalt'!$A$4:$AC$275,22,FALSE))</f>
        <v>0-20%</v>
      </c>
      <c r="AF184" s="787" t="str">
        <f>IF(VLOOKUP(A184,'Charriage - Geschiebehaushalt'!$A$4:$AC$275,23,FALSE)="","",VLOOKUP(A184,'Charriage - Geschiebehaushalt'!$A$4:$AC$275,23,FALSE))</f>
        <v>d</v>
      </c>
      <c r="AG184" s="765" t="str">
        <f>IF(VLOOKUP(A184,'Charriage - Geschiebehaushalt'!$A$4:$AC$275,24,FALSE)="","",VLOOKUP(A184,'Charriage - Geschiebehaushalt'!$A$4:$AC$275,24,FALSE))</f>
        <v/>
      </c>
      <c r="AH184" s="764" t="str">
        <f>IF(VLOOKUP(A184,'Charriage - Geschiebehaushalt'!$A$4:$AC$275,25,FALSE)="","",VLOOKUP(A184,'Charriage - Geschiebehaushalt'!$A$4:$AC$275,25,FALSE))</f>
        <v/>
      </c>
      <c r="AI184" s="896" t="str">
        <f>IF(VLOOKUP(A184,'Charriage - Geschiebehaushalt'!$A$4:$AC$275,26,FALSE)="","",VLOOKUP(A184,'Charriage - Geschiebehaushalt'!$A$4:$AC$275,26,FALSE))</f>
        <v>oui</v>
      </c>
      <c r="AJ184" s="897" t="str">
        <f>IF(VLOOKUP(A184,'Charriage - Geschiebehaushalt'!$A$4:$AC$275,27,FALSE)="","",VLOOKUP(A184,'Charriage - Geschiebehaushalt'!$A$4:$AC$275,27,FALSE))</f>
        <v xml:space="preserve">voir étude dans le cadre du projet de renaturation de l'embouchure pilotée par DGE-EAU. </v>
      </c>
      <c r="AK184" s="801" t="str">
        <f>IF(VLOOKUP(A184,'Charriage - Geschiebehaushalt'!$A$4:$AC$275,28,FALSE)="","",VLOOKUP(A184,'Charriage - Geschiebehaushalt'!$A$4:$AC$275,28,FALSE))</f>
        <v>0-20%</v>
      </c>
      <c r="AL184" s="1285" t="str">
        <f>IF(VLOOKUP(A184,'Charriage - Geschiebehaushalt'!$A$4:$AD$275,30,FALSE)="","",VLOOKUP(A184,'Charriage - Geschiebehaushalt'!$A$4:$AD$275,30,FALSE))</f>
        <v>a</v>
      </c>
      <c r="AM184" s="1279" t="str">
        <f>IF(VLOOKUP(A184,'Débit - Abfluss'!$A$4:$K$275,5,FALSE)="","",VLOOKUP(A184,'Débit - Abfluss'!$A$4:$M$275,5,FALSE))</f>
        <v>100%</v>
      </c>
      <c r="AN184" s="868" t="str">
        <f>IF(VLOOKUP(A184,'Débit - Abfluss'!$A$4:$K$275,6,FALSE)="","",VLOOKUP(A184,'Débit - Abfluss'!$A$4:$M$275,6,FALSE))</f>
        <v>aucune information supplémentaire</v>
      </c>
      <c r="AO184" s="869" t="str">
        <f>IF(VLOOKUP(A184,'Débit - Abfluss'!$A$4:$K$275,7,FALSE)="","",VLOOKUP(A184,'Débit - Abfluss'!$A$4:$M$275,7,FALSE))</f>
        <v>aucune information supplémentaire</v>
      </c>
      <c r="AP184" s="766" t="str">
        <f>IF(VLOOKUP(A184,'Débit - Abfluss'!$A$4:$K$275,8,FALSE)="","",VLOOKUP(A184,'Débit - Abfluss'!$A$4:$M$275,8,FALSE))</f>
        <v>100%</v>
      </c>
      <c r="AQ184" s="742" t="str">
        <f>IF(VLOOKUP(A184,'Débit - Abfluss'!$A$4:$K$275,9,FALSE)="","",VLOOKUP(A184,'Débit - Abfluss'!$A$4:$M$275,9,FALSE))</f>
        <v>-</v>
      </c>
      <c r="AR184" s="767" t="str">
        <f>IF(VLOOKUP(A184,'Débit - Abfluss'!$A$4:$K$275,10,FALSE)="","",VLOOKUP(A184,'Débit - Abfluss'!$A$4:$M$275,10,FALSE))</f>
        <v>100%</v>
      </c>
      <c r="AS184" s="767" t="str">
        <f>IF(VLOOKUP(A184,'Débit - Abfluss'!$A$4:$K$275,11,FALSE)="","",VLOOKUP(A184,'Débit - Abfluss'!$A$4:$M$275,11,FALSE))</f>
        <v/>
      </c>
      <c r="AT184" s="778" t="str">
        <f>IF(VLOOKUP(A184,'Débit - Abfluss'!$A$4:$Q$275,12,FALSE)="","",VLOOKUP(A184,'Débit - Abfluss'!$A$4:$Q$275,12,FALSE))</f>
        <v/>
      </c>
      <c r="AU184" s="779" t="str">
        <f>IF(VLOOKUP(A184,'Débit - Abfluss'!$A$4:$Q$275,13,FALSE)="","",VLOOKUP(A184,'Débit - Abfluss'!$A$4:$Q$275,13,FALSE))</f>
        <v/>
      </c>
      <c r="AV184" s="746" t="str">
        <f>IF(VLOOKUP(A184,'Débit - Abfluss'!$A$4:$Q$275,14,FALSE)="","",VLOOKUP(A184,'Débit - Abfluss'!$A$4:$Q$275,14,FALSE))</f>
        <v/>
      </c>
      <c r="AW184" s="768" t="str">
        <f>IF(VLOOKUP(A184,'Débit - Abfluss'!$A$4:$Q$275,15,FALSE)="","",VLOOKUP(A184,'Débit - Abfluss'!$A$4:$Q$275,15,FALSE))</f>
        <v/>
      </c>
      <c r="AX184" s="682" t="str">
        <f>IF(VLOOKUP(A184,'Débit - Abfluss'!$A$4:$Q$275,16,FALSE)="","",VLOOKUP(A184,'Débit - Abfluss'!$A$4:$Q$275,16,FALSE))</f>
        <v/>
      </c>
      <c r="AY184" s="1229" t="str">
        <f>IF(VLOOKUP(A184,'Débit - Abfluss'!$A$4:$Q$275,17,FALSE)="","",VLOOKUP(A184,'Débit - Abfluss'!$A$4:$Q$275,17,FALSE))</f>
        <v>100%</v>
      </c>
      <c r="AZ184" s="749" t="str">
        <f>IF(VLOOKUP(A184,'Eclusée - Schwall-Sunk'!$A$2:$F$273,5,FALSE)="","",VLOOKUP(A184,'Eclusée - Schwall-Sunk'!$A$2:$F$273,5,FALSE))</f>
        <v/>
      </c>
      <c r="BA184" s="750" t="str">
        <f>IF(VLOOKUP(A184,'Eclusée - Schwall-Sunk'!$A$2:$F$273,6,FALSE)="","",VLOOKUP(A184,'Eclusée - Schwall-Sunk'!$A$2:$F$273,6,FALSE))</f>
        <v>Non affecté / nicht betroffen</v>
      </c>
      <c r="BB184" s="751" t="str">
        <f>IF(VLOOKUP(A184,'Revitalisation-Revitalisierung'!$A$4:$Z$275,5,FALSE)="","",VLOOKUP(A184,'Revitalisation-Revitalisierung'!$A$4:$Z$275,5,FALSE))</f>
        <v/>
      </c>
      <c r="BC184" s="752" t="str">
        <f>IF(VLOOKUP(A184,'Revitalisation-Revitalisierung'!$A$4:$Z$275,6,FALSE)="","",VLOOKUP(A184,'Revitalisation-Revitalisierung'!$A$4:$Z$275,6,FALSE))</f>
        <v/>
      </c>
      <c r="BD184" s="752" t="str">
        <f>IF(VLOOKUP(A184,'Revitalisation-Revitalisierung'!$A$4:$Z$275,7,FALSE)="","",VLOOKUP(A184,'Revitalisation-Revitalisierung'!$A$4:$Z$275,7,FALSE))</f>
        <v/>
      </c>
      <c r="BE184" s="753" t="str">
        <f>IF(VLOOKUP(A184,'Revitalisation-Revitalisierung'!$A$4:$Z$275,8,FALSE)="","",VLOOKUP(A184,'Revitalisation-Revitalisierung'!$A$4:$Z$275,8,FALSE))</f>
        <v/>
      </c>
      <c r="BF184" s="754" t="str">
        <f>IF(VLOOKUP(A184,'Revitalisation-Revitalisierung'!$A$4:$Z$275,9,FALSE)="","",VLOOKUP(A184,'Revitalisation-Revitalisierung'!$A$4:$Z$275,9,FALSE))</f>
        <v>schwierig</v>
      </c>
      <c r="BG184" s="754" t="str">
        <f>IF(VLOOKUP(A184,'Revitalisation-Revitalisierung'!$A$4:$Z$275,10,FALSE)="","",VLOOKUP(A184,'Revitalisation-Revitalisierung'!$A$4:$Z$275,10,FALSE))</f>
        <v>K1</v>
      </c>
      <c r="BH184" s="755" t="str">
        <f>IF(VLOOKUP(A184,'Revitalisation-Revitalisierung'!$A$4:$Z$275,11,FALSE)="","",VLOOKUP(A184,'Revitalisation-Revitalisierung'!$A$4:$Z$275,11,FALSE))</f>
        <v>très nécessaire, facile</v>
      </c>
      <c r="BI184" s="756" t="str">
        <f>IF(VLOOKUP(A184,'Revitalisation-Revitalisierung'!$A$4:$Z$275,12,FALSE)="","",VLOOKUP(A184,'Revitalisation-Revitalisierung'!$A$4:$Z$275,12,FALSE))</f>
        <v>Haut potentiel : encore formation de bas-marais et bois tendre, nécessite seulement le retrait des entraves. Pas de biens dommageables au-delà des digues</v>
      </c>
      <c r="BJ184" s="788" t="str">
        <f>IF(VLOOKUP(A184,'Revitalisation-Revitalisierung'!$A$4:$Z$275,13,FALSE)="","",VLOOKUP(A184,'Revitalisation-Revitalisierung'!$A$4:$Z$275,13,FALSE))</f>
        <v>Très nécessaire, facile / unbedingt nötig, einfach</v>
      </c>
      <c r="BK184" s="870" t="str">
        <f>IF(VLOOKUP(A184,'Revitalisation-Revitalisierung'!$A$4:$Z$275,14,FALSE)="","",VLOOKUP(A184,'Revitalisation-Revitalisierung'!$A$4:$Z$275,14,FALSE))</f>
        <v>a</v>
      </c>
      <c r="BL184" s="758" t="str">
        <f>IF(VLOOKUP(A184,'Revitalisation-Revitalisierung'!$A$4:$Z$275,15,FALSE)="","",VLOOKUP(A184,'Revitalisation-Revitalisierung'!$A$4:$Z$275,15,FALSE))</f>
        <v>élevé</v>
      </c>
      <c r="BM184" s="759" t="str">
        <f>IF(VLOOKUP(A184,'Revitalisation-Revitalisierung'!$A$4:$Z$275,16,FALSE)="","",VLOOKUP(A184,'Revitalisation-Revitalisierung'!$A$4:$Z$275,16,FALSE))</f>
        <v>élevé</v>
      </c>
      <c r="BN184" s="759" t="str">
        <f>IF(VLOOKUP(A184,'Revitalisation-Revitalisierung'!$A$4:$Z$275,17,FALSE)="","",VLOOKUP(A184,'Revitalisation-Revitalisierung'!$A$4:$Z$275,17,FALSE))</f>
        <v>élevé</v>
      </c>
      <c r="BO184" s="760" t="str">
        <f>IF(VLOOKUP(A184,'Revitalisation-Revitalisierung'!$A$4:$Z$275,18,FALSE)="","",VLOOKUP(A184,'Revitalisation-Revitalisierung'!$A$4:$Z$275,18,FALSE))</f>
        <v>Très nécessaire, facile / unbedingt nötig, einfach</v>
      </c>
      <c r="BP184" s="761" t="str">
        <f>IF(VLOOKUP(A184,'Revitalisation-Revitalisierung'!$A$4:$Z$275,19,FALSE)="","",VLOOKUP(A184,'Revitalisation-Revitalisierung'!$A$4:$Z$275,19,FALSE))</f>
        <v>Très nécessaire, facile / unbedingt nötig, einfach</v>
      </c>
      <c r="BQ184" s="759" t="str">
        <f>IF(VLOOKUP(A184,'Revitalisation-Revitalisierung'!$A$4:$Z$275,20,FALSE)="","",VLOOKUP(A184,'Revitalisation-Revitalisierung'!$A$4:$Z$275,20,FALSE))</f>
        <v>d</v>
      </c>
      <c r="BR184" s="759" t="str">
        <f>IF(VLOOKUP(A184,'Revitalisation-Revitalisierung'!$A$4:$Z$275,21,FALSE)="","",VLOOKUP(A184,'Revitalisation-Revitalisierung'!$A$4:$Z$275,21,FALSE))</f>
        <v/>
      </c>
      <c r="BS184" s="762" t="str">
        <f>IF(VLOOKUP(A184,'Revitalisation-Revitalisierung'!$A$4:$Z$275,22,FALSE)="","",VLOOKUP(A184,'Revitalisation-Revitalisierung'!$A$4:$Z$275,22,FALSE))</f>
        <v/>
      </c>
      <c r="BT184" s="703" t="str">
        <f>IF(VLOOKUP(A184,'Revitalisation-Revitalisierung'!$A$4:$Z$275,23,FALSE)="","",VLOOKUP(A184,'Revitalisation-Revitalisierung'!$A$4:$Z$275,23,FALSE))</f>
        <v/>
      </c>
      <c r="BU184" s="704" t="str">
        <f>IF(VLOOKUP(A184,'Revitalisation-Revitalisierung'!$A$4:$Z$275,24,FALSE)="","",VLOOKUP(A184,'Revitalisation-Revitalisierung'!$A$4:$Z$275,24,FALSE))</f>
        <v/>
      </c>
      <c r="BV184" s="761" t="str">
        <f>IF(VLOOKUP(A184,'Revitalisation-Revitalisierung'!$A$4:$Z$275,25,FALSE)="","",VLOOKUP(A184,'Revitalisation-Revitalisierung'!$A$4:$Z$275,25,FALSE))</f>
        <v>Très nécessaire, facile / unbedingt nötig, einfach</v>
      </c>
      <c r="BW184" s="871" t="str">
        <f>IF(VLOOKUP(A184,'Revitalisation-Revitalisierung'!$A$4:$AA$275,27,FALSE)="","",VLOOKUP(A184,'Revitalisation-Revitalisierung'!$A$4:$AA$275,27,FALSE))</f>
        <v>a</v>
      </c>
    </row>
    <row r="185" spans="1:75" ht="75.599999999999994" customHeight="1" x14ac:dyDescent="0.25">
      <c r="A185" s="937">
        <v>305</v>
      </c>
      <c r="B185" s="856">
        <f>IF(VLOOKUP(A185,'Données de base - Grunddaten'!$A$2:$M$297,2,FALSE)="","",VLOOKUP(A185,'Données de base - Grunddaten'!$A$2:$M$297,2,FALSE))</f>
        <v>1</v>
      </c>
      <c r="C185" s="857" t="str">
        <f>IF(VLOOKUP(A185,'Données de base - Grunddaten'!$A$2:$M$297,3,FALSE)="","",VLOOKUP(A185,'Données de base - Grunddaten'!$A$2:$M$297,3,FALSE))</f>
        <v>Embouchure du Chandon</v>
      </c>
      <c r="D185" s="857" t="str">
        <f>IF(VLOOKUP(A185,'Données de base - Grunddaten'!$A$2:$M$297,4,FALSE)="","",VLOOKUP(A185,'Données de base - Grunddaten'!$A$2:$M$297,4,FALSE))</f>
        <v>Le Chandon, Lac de Morat</v>
      </c>
      <c r="E185" s="857" t="str">
        <f>IF(VLOOKUP(A185,'Données de base - Grunddaten'!$A$2:$M$297,5,FALSE)="","",VLOOKUP(A185,'Données de base - Grunddaten'!$A$2:$M$297,5,FALSE))</f>
        <v>VD</v>
      </c>
      <c r="F185" s="857" t="str">
        <f>IF(VLOOKUP(A185,'Données de base - Grunddaten'!$A$2:$M$297,6,FALSE)="","",VLOOKUP(A185,'Données de base - Grunddaten'!$A$2:$M$297,6,FALSE))</f>
        <v>Plateau occidental</v>
      </c>
      <c r="G185" s="857" t="str">
        <f>IF(VLOOKUP(A185,'Données de base - Grunddaten'!$A$2:$M$297,7,FALSE)="","",VLOOKUP(A185,'Données de base - Grunddaten'!$A$2:$M$297,7,FALSE))</f>
        <v>Collinéen</v>
      </c>
      <c r="H185" s="857">
        <f>IF(VLOOKUP(A185,'Données de base - Grunddaten'!$A$2:$M$297,8,FALSE)="","",VLOOKUP(A185,'Données de base - Grunddaten'!$A$2:$M$297,8,FALSE))</f>
        <v>430</v>
      </c>
      <c r="I185" s="857">
        <f>IF(VLOOKUP(A185,'Données de base - Grunddaten'!$A$2:$M$297,9,FALSE)="","",VLOOKUP(A185,'Données de base - Grunddaten'!$A$2:$M$297,9,FALSE))</f>
        <v>2003</v>
      </c>
      <c r="J185" s="857">
        <f>IF(VLOOKUP(A185,'Données de base - Grunddaten'!$A$2:$M$297,10,FALSE)="","",VLOOKUP(A185,'Données de base - Grunddaten'!$A$2:$M$297,10,FALSE))</f>
        <v>90</v>
      </c>
      <c r="K185" s="857" t="str">
        <f>IF(VLOOKUP(A185,'Données de base - Grunddaten'!$A$2:$M$297,11,FALSE)="","",VLOOKUP(A185,'Données de base - Grunddaten'!$A$2:$M$297,11,FALSE))</f>
        <v>Delta</v>
      </c>
      <c r="L185" s="857" t="str">
        <f>IF(VLOOKUP(A185,'Données de base - Grunddaten'!$A$2:$M$297,12,FALSE)="","",VLOOKUP(A185,'Données de base - Grunddaten'!$A$2:$M$297,12,FALSE))</f>
        <v>méandres migrants</v>
      </c>
      <c r="M185" s="858" t="str">
        <f>IF(VLOOKUP(A185,'Données de base - Grunddaten'!$A$2:$M$297,13,FALSE)="","",VLOOKUP(A185,'Données de base - Grunddaten'!$A$2:$M$297,13,FALSE))</f>
        <v>méandres migrants</v>
      </c>
      <c r="N185" s="872" t="str">
        <f>IF(VLOOKUP(A185,'Charriage - Geschiebehaushalt'!$A$4:$R$275,5,FALSE)="","",VLOOKUP(A185,'Charriage - Geschiebehaushalt'!$A$4:$R$275,5,FALSE))</f>
        <v>pertinent</v>
      </c>
      <c r="O185" s="881" t="str">
        <f>IF(VLOOKUP(A185,'Charriage - Geschiebehaushalt'!$A$4:$R$275,6,FALSE)="","",VLOOKUP(A185,'Charriage - Geschiebehaushalt'!$A$4:$R$275,6,FALSE))</f>
        <v>non documenté</v>
      </c>
      <c r="P185" s="874" t="str">
        <f>IF(VLOOKUP(A185,'Charriage - Geschiebehaushalt'!$A$4:$R$275,7,FALSE)="","",VLOOKUP(A185,'Charriage - Geschiebehaushalt'!$A$4:$R$275,7,FALSE))</f>
        <v/>
      </c>
      <c r="Q185" s="874" t="str">
        <f>IF(VLOOKUP(A185,'Charriage - Geschiebehaushalt'!$A$4:$R$275,8,FALSE)="","",VLOOKUP(A185,'Charriage - Geschiebehaushalt'!$A$4:$R$275,8,FALSE))</f>
        <v>non documenté</v>
      </c>
      <c r="R185" s="875">
        <f>IF(VLOOKUP(A185,'Charriage - Geschiebehaushalt'!$A$4:$R$275,9,FALSE)="","",VLOOKUP(A185,'Charriage - Geschiebehaushalt'!$A$4:$R$275,9,FALSE))</f>
        <v>0</v>
      </c>
      <c r="S185" s="876" t="str">
        <f>IF(VLOOKUP(A185,'Charriage - Geschiebehaushalt'!$A$4:$R$275,10,FALSE)="","",VLOOKUP(A185,'Charriage - Geschiebehaushalt'!$A$4:$R$275,10,FALSE))</f>
        <v>pas ou faiblement entravé</v>
      </c>
      <c r="T185" s="875">
        <f>IF(VLOOKUP(A185,'Charriage - Geschiebehaushalt'!$A$4:$R$275,11,FALSE)="","",VLOOKUP(A185,'Charriage - Geschiebehaushalt'!$A$4:$R$275,11,FALSE))</f>
        <v>0.15833601803</v>
      </c>
      <c r="U185" s="876" t="str">
        <f>IF(VLOOKUP(A185,'Charriage - Geschiebehaushalt'!$A$4:$R$275,12,FALSE)="","",VLOOKUP(A185,'Charriage - Geschiebehaushalt'!$A$4:$R$275,12,FALSE))</f>
        <v>déficit dans les formations pionnières</v>
      </c>
      <c r="V185" s="877" t="str">
        <f>IF(VLOOKUP(A185,'Charriage - Geschiebehaushalt'!$A$4:$R$275,13,FALSE)="","",VLOOKUP(A185,'Charriage - Geschiebehaushalt'!$A$4:$R$275,13,FALSE))</f>
        <v>Charriage de sédiments fins probablement actif. Pas d'extraction. Delta semble en progression</v>
      </c>
      <c r="W185" s="878" t="str">
        <f>IF(VLOOKUP(A185,'Charriage - Geschiebehaushalt'!$A$4:$R$275,14,FALSE)="","",VLOOKUP(A185,'Charriage - Geschiebehaushalt'!$A$4:$R$275,14,FALSE))</f>
        <v>charriage présumé naturel</v>
      </c>
      <c r="X185" s="878" t="str">
        <f>IF(VLOOKUP(A185,'Charriage - Geschiebehaushalt'!$A$4:$R$275,15,FALSE)="","",VLOOKUP(A185,'Charriage - Geschiebehaushalt'!$A$4:$R$275,15,FALSE))</f>
        <v/>
      </c>
      <c r="Y185" s="882" t="str">
        <f>IF(VLOOKUP(A185,'Charriage - Geschiebehaushalt'!$A$4:$R$275,16,FALSE)="","",VLOOKUP(A185,'Charriage - Geschiebehaushalt'!$A$4:$R$275,16,FALSE))</f>
        <v/>
      </c>
      <c r="Z185" s="763" t="str">
        <f>IF(VLOOKUP(A185,'Charriage - Geschiebehaushalt'!$A$4:$R$275,17,FALSE)="","",VLOOKUP(A185,'Charriage - Geschiebehaushalt'!$A$4:$R$275,17,FALSE))</f>
        <v>Charriage présumé naturel / Geschiebehaushalt vermutlich natürlich</v>
      </c>
      <c r="AA185" s="880" t="str">
        <f>IF(VLOOKUP(A185,'Charriage - Geschiebehaushalt'!$A$4:$R$275,18,FALSE)="","",VLOOKUP(A185,'Charriage - Geschiebehaushalt'!$A$4:$R$275,18,FALSE))</f>
        <v>b</v>
      </c>
      <c r="AB185" s="737" t="str">
        <f>IF(VLOOKUP(A185,'Charriage - Geschiebehaushalt'!$A$4:$AC$275,19,FALSE)="","",VLOOKUP(A185,'Charriage - Geschiebehaushalt'!$A$4:$AC$275,19,FALSE))</f>
        <v>non évalué</v>
      </c>
      <c r="AC185" s="738" t="str">
        <f>IF(VLOOKUP(A185,'Charriage - Geschiebehaushalt'!$A$4:$AC$275,20,FALSE)="","",VLOOKUP(A185,'Charriage - Geschiebehaushalt'!$A$4:$AC$275,20,FALSE))</f>
        <v>non évalué</v>
      </c>
      <c r="AD185" s="764" t="str">
        <f>IF(VLOOKUP(A185,'Charriage - Geschiebehaushalt'!$A$4:$AC$275,21,FALSE)="","",VLOOKUP(A185,'Charriage - Geschiebehaushalt'!$A$4:$AC$275,21,FALSE))</f>
        <v/>
      </c>
      <c r="AE185" s="740" t="str">
        <f>IF(VLOOKUP(A185,'Charriage - Geschiebehaushalt'!$A$4:$AC$275,22,FALSE)="","",VLOOKUP(A185,'Charriage - Geschiebehaushalt'!$A$4:$AC$275,22,FALSE))</f>
        <v>0-20%</v>
      </c>
      <c r="AF185" s="787" t="str">
        <f>IF(VLOOKUP(A185,'Charriage - Geschiebehaushalt'!$A$4:$AC$275,23,FALSE)="","",VLOOKUP(A185,'Charriage - Geschiebehaushalt'!$A$4:$AC$275,23,FALSE))</f>
        <v>b</v>
      </c>
      <c r="AG185" s="765" t="str">
        <f>IF(VLOOKUP(A185,'Charriage - Geschiebehaushalt'!$A$4:$AC$275,24,FALSE)="","",VLOOKUP(A185,'Charriage - Geschiebehaushalt'!$A$4:$AC$275,24,FALSE))</f>
        <v/>
      </c>
      <c r="AH185" s="764" t="str">
        <f>IF(VLOOKUP(A185,'Charriage - Geschiebehaushalt'!$A$4:$AC$275,25,FALSE)="","",VLOOKUP(A185,'Charriage - Geschiebehaushalt'!$A$4:$AC$275,25,FALSE))</f>
        <v/>
      </c>
      <c r="AI185" s="896" t="str">
        <f>IF(VLOOKUP(A185,'Charriage - Geschiebehaushalt'!$A$4:$AC$275,26,FALSE)="","",VLOOKUP(A185,'Charriage - Geschiebehaushalt'!$A$4:$AC$275,26,FALSE))</f>
        <v>non</v>
      </c>
      <c r="AJ185" s="436" t="str">
        <f>IF(VLOOKUP(A185,'Charriage - Geschiebehaushalt'!$A$4:$AC$275,27,FALSE)="","",VLOOKUP(A185,'Charriage - Geschiebehaushalt'!$A$4:$AC$275,27,FALSE))</f>
        <v/>
      </c>
      <c r="AK185" s="801" t="str">
        <f>IF(VLOOKUP(A185,'Charriage - Geschiebehaushalt'!$A$4:$AC$275,28,FALSE)="","",VLOOKUP(A185,'Charriage - Geschiebehaushalt'!$A$4:$AC$275,28,FALSE))</f>
        <v>0-20%</v>
      </c>
      <c r="AL185" s="1285" t="str">
        <f>IF(VLOOKUP(A185,'Charriage - Geschiebehaushalt'!$A$4:$AD$275,30,FALSE)="","",VLOOKUP(A185,'Charriage - Geschiebehaushalt'!$A$4:$AD$275,30,FALSE))</f>
        <v>b</v>
      </c>
      <c r="AM185" s="1279" t="str">
        <f>IF(VLOOKUP(A185,'Débit - Abfluss'!$A$4:$K$275,5,FALSE)="","",VLOOKUP(A185,'Débit - Abfluss'!$A$4:$M$275,5,FALSE))</f>
        <v>100%</v>
      </c>
      <c r="AN185" s="868" t="str">
        <f>IF(VLOOKUP(A185,'Débit - Abfluss'!$A$4:$K$275,6,FALSE)="","",VLOOKUP(A185,'Débit - Abfluss'!$A$4:$M$275,6,FALSE))</f>
        <v>aucune information supplémentaire</v>
      </c>
      <c r="AO185" s="869" t="str">
        <f>IF(VLOOKUP(A185,'Débit - Abfluss'!$A$4:$K$275,7,FALSE)="","",VLOOKUP(A185,'Débit - Abfluss'!$A$4:$M$275,7,FALSE))</f>
        <v>aucune information supplémentaire</v>
      </c>
      <c r="AP185" s="766" t="str">
        <f>IF(VLOOKUP(A185,'Débit - Abfluss'!$A$4:$K$275,8,FALSE)="","",VLOOKUP(A185,'Débit - Abfluss'!$A$4:$M$275,8,FALSE))</f>
        <v>100%</v>
      </c>
      <c r="AQ185" s="742" t="str">
        <f>IF(VLOOKUP(A185,'Débit - Abfluss'!$A$4:$K$275,9,FALSE)="","",VLOOKUP(A185,'Débit - Abfluss'!$A$4:$M$275,9,FALSE))</f>
        <v>-</v>
      </c>
      <c r="AR185" s="767" t="str">
        <f>IF(VLOOKUP(A185,'Débit - Abfluss'!$A$4:$K$275,10,FALSE)="","",VLOOKUP(A185,'Débit - Abfluss'!$A$4:$M$275,10,FALSE))</f>
        <v>100%</v>
      </c>
      <c r="AS185" s="767" t="str">
        <f>IF(VLOOKUP(A185,'Débit - Abfluss'!$A$4:$K$275,11,FALSE)="","",VLOOKUP(A185,'Débit - Abfluss'!$A$4:$M$275,11,FALSE))</f>
        <v/>
      </c>
      <c r="AT185" s="778" t="str">
        <f>IF(VLOOKUP(A185,'Débit - Abfluss'!$A$4:$Q$275,12,FALSE)="","",VLOOKUP(A185,'Débit - Abfluss'!$A$4:$Q$275,12,FALSE))</f>
        <v/>
      </c>
      <c r="AU185" s="779" t="str">
        <f>IF(VLOOKUP(A185,'Débit - Abfluss'!$A$4:$Q$275,13,FALSE)="","",VLOOKUP(A185,'Débit - Abfluss'!$A$4:$Q$275,13,FALSE))</f>
        <v/>
      </c>
      <c r="AV185" s="746" t="str">
        <f>IF(VLOOKUP(A185,'Débit - Abfluss'!$A$4:$Q$275,14,FALSE)="","",VLOOKUP(A185,'Débit - Abfluss'!$A$4:$Q$275,14,FALSE))</f>
        <v/>
      </c>
      <c r="AW185" s="768" t="str">
        <f>IF(VLOOKUP(A185,'Débit - Abfluss'!$A$4:$Q$275,15,FALSE)="","",VLOOKUP(A185,'Débit - Abfluss'!$A$4:$Q$275,15,FALSE))</f>
        <v/>
      </c>
      <c r="AX185" s="679" t="str">
        <f>IF(VLOOKUP(A185,'Débit - Abfluss'!$A$4:$Q$275,16,FALSE)="","",VLOOKUP(A185,'Débit - Abfluss'!$A$4:$Q$275,16,FALSE))</f>
        <v/>
      </c>
      <c r="AY185" s="769" t="str">
        <f>IF(VLOOKUP(A185,'Débit - Abfluss'!$A$4:$Q$275,17,FALSE)="","",VLOOKUP(A185,'Débit - Abfluss'!$A$4:$Q$275,17,FALSE))</f>
        <v>100%</v>
      </c>
      <c r="AZ185" s="749" t="str">
        <f>IF(VLOOKUP(A185,'Eclusée - Schwall-Sunk'!$A$2:$F$273,5,FALSE)="","",VLOOKUP(A185,'Eclusée - Schwall-Sunk'!$A$2:$F$273,5,FALSE))</f>
        <v/>
      </c>
      <c r="BA185" s="750" t="str">
        <f>IF(VLOOKUP(A185,'Eclusée - Schwall-Sunk'!$A$2:$F$273,6,FALSE)="","",VLOOKUP(A185,'Eclusée - Schwall-Sunk'!$A$2:$F$273,6,FALSE))</f>
        <v>Non affecté / nicht betroffen</v>
      </c>
      <c r="BB185" s="751" t="str">
        <f>IF(VLOOKUP(A185,'Revitalisation-Revitalisierung'!$A$4:$Z$275,5,FALSE)="","",VLOOKUP(A185,'Revitalisation-Revitalisierung'!$A$4:$Z$275,5,FALSE))</f>
        <v/>
      </c>
      <c r="BC185" s="752" t="str">
        <f>IF(VLOOKUP(A185,'Revitalisation-Revitalisierung'!$A$4:$Z$275,6,FALSE)="","",VLOOKUP(A185,'Revitalisation-Revitalisierung'!$A$4:$Z$275,6,FALSE))</f>
        <v/>
      </c>
      <c r="BD185" s="752" t="str">
        <f>IF(VLOOKUP(A185,'Revitalisation-Revitalisierung'!$A$4:$Z$275,7,FALSE)="","",VLOOKUP(A185,'Revitalisation-Revitalisierung'!$A$4:$Z$275,7,FALSE))</f>
        <v/>
      </c>
      <c r="BE185" s="753" t="str">
        <f>IF(VLOOKUP(A185,'Revitalisation-Revitalisierung'!$A$4:$Z$275,8,FALSE)="","",VLOOKUP(A185,'Revitalisation-Revitalisierung'!$A$4:$Z$275,8,FALSE))</f>
        <v>très nécessaire, facile</v>
      </c>
      <c r="BF185" s="754" t="str">
        <f>IF(VLOOKUP(A185,'Revitalisation-Revitalisierung'!$A$4:$Z$275,9,FALSE)="","",VLOOKUP(A185,'Revitalisation-Revitalisierung'!$A$4:$Z$275,9,FALSE))</f>
        <v>leicht</v>
      </c>
      <c r="BG185" s="754" t="str">
        <f>IF(VLOOKUP(A185,'Revitalisation-Revitalisierung'!$A$4:$Z$275,10,FALSE)="","",VLOOKUP(A185,'Revitalisation-Revitalisierung'!$A$4:$Z$275,10,FALSE))</f>
        <v>K3</v>
      </c>
      <c r="BH185" s="755" t="str">
        <f>IF(VLOOKUP(A185,'Revitalisation-Revitalisierung'!$A$4:$Z$275,11,FALSE)="","",VLOOKUP(A185,'Revitalisation-Revitalisierung'!$A$4:$Z$275,11,FALSE))</f>
        <v/>
      </c>
      <c r="BI185" s="756" t="str">
        <f>IF(VLOOKUP(A185,'Revitalisation-Revitalisierung'!$A$4:$Z$275,12,FALSE)="","",VLOOKUP(A185,'Revitalisation-Revitalisierung'!$A$4:$Z$275,12,FALSE))</f>
        <v/>
      </c>
      <c r="BJ185" s="788" t="str">
        <f>IF(VLOOKUP(A185,'Revitalisation-Revitalisierung'!$A$4:$Z$275,13,FALSE)="","",VLOOKUP(A185,'Revitalisation-Revitalisierung'!$A$4:$Z$275,13,FALSE))</f>
        <v>Non nécessaire / nicht nötig</v>
      </c>
      <c r="BK185" s="870" t="str">
        <f>IF(VLOOKUP(A185,'Revitalisation-Revitalisierung'!$A$4:$Z$275,14,FALSE)="","",VLOOKUP(A185,'Revitalisation-Revitalisierung'!$A$4:$Z$275,14,FALSE))</f>
        <v>b</v>
      </c>
      <c r="BL185" s="758" t="str">
        <f>IF(VLOOKUP(A185,'Revitalisation-Revitalisierung'!$A$4:$Z$275,15,FALSE)="","",VLOOKUP(A185,'Revitalisation-Revitalisierung'!$A$4:$Z$275,15,FALSE))</f>
        <v>élevé</v>
      </c>
      <c r="BM185" s="759" t="str">
        <f>IF(VLOOKUP(A185,'Revitalisation-Revitalisierung'!$A$4:$Z$275,16,FALSE)="","",VLOOKUP(A185,'Revitalisation-Revitalisierung'!$A$4:$Z$275,16,FALSE))</f>
        <v>faible</v>
      </c>
      <c r="BN185" s="759" t="str">
        <f>IF(VLOOKUP(A185,'Revitalisation-Revitalisierung'!$A$4:$Z$275,17,FALSE)="","",VLOOKUP(A185,'Revitalisation-Revitalisierung'!$A$4:$Z$275,17,FALSE))</f>
        <v>nulle</v>
      </c>
      <c r="BO185" s="760" t="str">
        <f>IF(VLOOKUP(A185,'Revitalisation-Revitalisierung'!$A$4:$Z$275,18,FALSE)="","",VLOOKUP(A185,'Revitalisation-Revitalisierung'!$A$4:$Z$275,18,FALSE))</f>
        <v>Non nécessaire / nicht nötig</v>
      </c>
      <c r="BP185" s="761" t="str">
        <f>IF(VLOOKUP(A185,'Revitalisation-Revitalisierung'!$A$4:$Z$275,19,FALSE)="","",VLOOKUP(A185,'Revitalisation-Revitalisierung'!$A$4:$Z$275,19,FALSE))</f>
        <v>Non nécessaire / nicht nötig</v>
      </c>
      <c r="BQ185" s="759" t="str">
        <f>IF(VLOOKUP(A185,'Revitalisation-Revitalisierung'!$A$4:$Z$275,20,FALSE)="","",VLOOKUP(A185,'Revitalisation-Revitalisierung'!$A$4:$Z$275,20,FALSE))</f>
        <v>d</v>
      </c>
      <c r="BR185" s="759" t="str">
        <f>IF(VLOOKUP(A185,'Revitalisation-Revitalisierung'!$A$4:$Z$275,21,FALSE)="","",VLOOKUP(A185,'Revitalisation-Revitalisierung'!$A$4:$Z$275,21,FALSE))</f>
        <v/>
      </c>
      <c r="BS185" s="762" t="str">
        <f>IF(VLOOKUP(A185,'Revitalisation-Revitalisierung'!$A$4:$Z$275,22,FALSE)="","",VLOOKUP(A185,'Revitalisation-Revitalisierung'!$A$4:$Z$275,22,FALSE))</f>
        <v/>
      </c>
      <c r="BT185" s="703" t="str">
        <f>IF(VLOOKUP(A185,'Revitalisation-Revitalisierung'!$A$4:$Z$275,23,FALSE)="","",VLOOKUP(A185,'Revitalisation-Revitalisierung'!$A$4:$Z$275,23,FALSE))</f>
        <v/>
      </c>
      <c r="BU185" s="704" t="str">
        <f>IF(VLOOKUP(A185,'Revitalisation-Revitalisierung'!$A$4:$Z$275,24,FALSE)="","",VLOOKUP(A185,'Revitalisation-Revitalisierung'!$A$4:$Z$275,24,FALSE))</f>
        <v/>
      </c>
      <c r="BV185" s="761" t="str">
        <f>IF(VLOOKUP(A185,'Revitalisation-Revitalisierung'!$A$4:$Z$275,25,FALSE)="","",VLOOKUP(A185,'Revitalisation-Revitalisierung'!$A$4:$Z$275,25,FALSE))</f>
        <v>Non nécessaire / nicht nötig</v>
      </c>
      <c r="BW185" s="871" t="str">
        <f>IF(VLOOKUP(A185,'Revitalisation-Revitalisierung'!$A$4:$AA$275,27,FALSE)="","",VLOOKUP(A185,'Revitalisation-Revitalisierung'!$A$4:$AA$275,27,FALSE))</f>
        <v>a</v>
      </c>
    </row>
    <row r="186" spans="1:75" ht="59.45" customHeight="1" x14ac:dyDescent="0.25">
      <c r="A186" s="1230">
        <v>306</v>
      </c>
      <c r="B186" s="856">
        <f>IF(VLOOKUP(A186,'Données de base - Grunddaten'!$A$2:$M$297,2,FALSE)="","",VLOOKUP(A186,'Données de base - Grunddaten'!$A$2:$M$297,2,FALSE))</f>
        <v>1</v>
      </c>
      <c r="C186" s="857" t="str">
        <f>IF(VLOOKUP(A186,'Données de base - Grunddaten'!$A$2:$M$297,3,FALSE)="","",VLOOKUP(A186,'Données de base - Grunddaten'!$A$2:$M$297,3,FALSE))</f>
        <v>La Ramée-Préfargier</v>
      </c>
      <c r="D186" s="857" t="str">
        <f>IF(VLOOKUP(A186,'Données de base - Grunddaten'!$A$2:$M$297,4,FALSE)="","",VLOOKUP(A186,'Données de base - Grunddaten'!$A$2:$M$297,4,FALSE))</f>
        <v>Lac de Neuchâtel</v>
      </c>
      <c r="E186" s="857" t="str">
        <f>IF(VLOOKUP(A186,'Données de base - Grunddaten'!$A$2:$M$297,5,FALSE)="","",VLOOKUP(A186,'Données de base - Grunddaten'!$A$2:$M$297,5,FALSE))</f>
        <v>NE</v>
      </c>
      <c r="F186" s="857" t="str">
        <f>IF(VLOOKUP(A186,'Données de base - Grunddaten'!$A$2:$M$297,6,FALSE)="","",VLOOKUP(A186,'Données de base - Grunddaten'!$A$2:$M$297,6,FALSE))</f>
        <v>Plateau occidental</v>
      </c>
      <c r="G186" s="857" t="str">
        <f>IF(VLOOKUP(A186,'Données de base - Grunddaten'!$A$2:$M$297,7,FALSE)="","",VLOOKUP(A186,'Données de base - Grunddaten'!$A$2:$M$297,7,FALSE))</f>
        <v>Collinéen</v>
      </c>
      <c r="H186" s="857" t="str">
        <f>IF(VLOOKUP(A186,'Données de base - Grunddaten'!$A$2:$M$297,8,FALSE)="","",VLOOKUP(A186,'Données de base - Grunddaten'!$A$2:$M$297,8,FALSE))</f>
        <v>430 m</v>
      </c>
      <c r="I186" s="857" t="str">
        <f>IF(VLOOKUP(A186,'Données de base - Grunddaten'!$A$2:$M$297,9,FALSE)="","",VLOOKUP(A186,'Données de base - Grunddaten'!$A$2:$M$297,9,FALSE))</f>
        <v>candidat</v>
      </c>
      <c r="J186" s="857">
        <f>IF(VLOOKUP(A186,'Données de base - Grunddaten'!$A$2:$M$297,10,FALSE)="","",VLOOKUP(A186,'Données de base - Grunddaten'!$A$2:$M$297,10,FALSE))</f>
        <v>101</v>
      </c>
      <c r="K186" s="857" t="str">
        <f>IF(VLOOKUP(A186,'Données de base - Grunddaten'!$A$2:$M$297,11,FALSE)="","",VLOOKUP(A186,'Données de base - Grunddaten'!$A$2:$M$297,11,FALSE))</f>
        <v>Rives de lacs de l'étage collinéen</v>
      </c>
      <c r="L186" s="857" t="str">
        <f>IF(VLOOKUP(A186,'Données de base - Grunddaten'!$A$2:$M$297,12,FALSE)="","",VLOOKUP(A186,'Données de base - Grunddaten'!$A$2:$M$297,12,FALSE))</f>
        <v>rives lacustres</v>
      </c>
      <c r="M186" s="858" t="str">
        <f>IF(VLOOKUP(A186,'Données de base - Grunddaten'!$A$2:$M$297,13,FALSE)="","",VLOOKUP(A186,'Données de base - Grunddaten'!$A$2:$M$297,13,FALSE))</f>
        <v>rives lacustres</v>
      </c>
      <c r="N186" s="891" t="str">
        <f>IF(VLOOKUP(A186,'Charriage - Geschiebehaushalt'!$A$4:$R$275,5,FALSE)="","",VLOOKUP(A186,'Charriage - Geschiebehaushalt'!$A$4:$R$275,5,FALSE))</f>
        <v>non pertinent</v>
      </c>
      <c r="O186" s="881" t="str">
        <f>IF(VLOOKUP(A186,'Charriage - Geschiebehaushalt'!$A$4:$R$275,6,FALSE)="","",VLOOKUP(A186,'Charriage - Geschiebehaushalt'!$A$4:$R$275,6,FALSE))</f>
        <v/>
      </c>
      <c r="P186" s="874" t="str">
        <f>IF(VLOOKUP(A186,'Charriage - Geschiebehaushalt'!$A$4:$R$275,7,FALSE)="","",VLOOKUP(A186,'Charriage - Geschiebehaushalt'!$A$4:$R$275,7,FALSE))</f>
        <v/>
      </c>
      <c r="Q186" s="874" t="str">
        <f>IF(VLOOKUP(A186,'Charriage - Geschiebehaushalt'!$A$4:$R$275,8,FALSE)="","",VLOOKUP(A186,'Charriage - Geschiebehaushalt'!$A$4:$R$275,8,FALSE))</f>
        <v>non documenté</v>
      </c>
      <c r="R186" s="875" t="str">
        <f>IF(VLOOKUP(A186,'Charriage - Geschiebehaushalt'!$A$4:$R$275,9,FALSE)="","",VLOOKUP(A186,'Charriage - Geschiebehaushalt'!$A$4:$R$275,9,FALSE))</f>
        <v/>
      </c>
      <c r="S186" s="876" t="str">
        <f>IF(VLOOKUP(A186,'Charriage - Geschiebehaushalt'!$A$4:$R$275,10,FALSE)="","",VLOOKUP(A186,'Charriage - Geschiebehaushalt'!$A$4:$R$275,10,FALSE))</f>
        <v/>
      </c>
      <c r="T186" s="876" t="str">
        <f>IF(VLOOKUP(A186,'Charriage - Geschiebehaushalt'!$A$4:$R$275,11,FALSE)="","",VLOOKUP(A186,'Charriage - Geschiebehaushalt'!$A$4:$R$275,11,FALSE))</f>
        <v/>
      </c>
      <c r="U186" s="876" t="str">
        <f>IF(VLOOKUP(A186,'Charriage - Geschiebehaushalt'!$A$4:$R$275,12,FALSE)="","",VLOOKUP(A186,'Charriage - Geschiebehaushalt'!$A$4:$R$275,12,FALSE))</f>
        <v/>
      </c>
      <c r="V186" s="877" t="str">
        <f>IF(VLOOKUP(A186,'Charriage - Geschiebehaushalt'!$A$4:$R$275,13,FALSE)="","",VLOOKUP(A186,'Charriage - Geschiebehaushalt'!$A$4:$R$275,13,FALSE))</f>
        <v/>
      </c>
      <c r="W186" s="877" t="str">
        <f>IF(VLOOKUP(A186,'Charriage - Geschiebehaushalt'!$A$4:$R$275,14,FALSE)="","",VLOOKUP(A186,'Charriage - Geschiebehaushalt'!$A$4:$R$275,14,FALSE))</f>
        <v/>
      </c>
      <c r="X186" s="877" t="str">
        <f>IF(VLOOKUP(A186,'Charriage - Geschiebehaushalt'!$A$4:$R$275,15,FALSE)="","",VLOOKUP(A186,'Charriage - Geschiebehaushalt'!$A$4:$R$275,15,FALSE))</f>
        <v/>
      </c>
      <c r="Y186" s="879" t="str">
        <f>IF(VLOOKUP(A186,'Charriage - Geschiebehaushalt'!$A$4:$R$275,16,FALSE)="","",VLOOKUP(A186,'Charriage - Geschiebehaushalt'!$A$4:$R$275,16,FALSE))</f>
        <v/>
      </c>
      <c r="Z186" s="763" t="str">
        <f>IF(VLOOKUP(A186,'Charriage - Geschiebehaushalt'!$A$4:$R$275,17,FALSE)="","",VLOOKUP(A186,'Charriage - Geschiebehaushalt'!$A$4:$R$275,17,FALSE))</f>
        <v>non pertinent / nicht relevant</v>
      </c>
      <c r="AA186" s="880" t="str">
        <f>IF(VLOOKUP(A186,'Charriage - Geschiebehaushalt'!$A$4:$R$275,18,FALSE)="","",VLOOKUP(A186,'Charriage - Geschiebehaushalt'!$A$4:$R$275,18,FALSE))</f>
        <v>a</v>
      </c>
      <c r="AB186" s="737">
        <f>IF(VLOOKUP(A186,'Charriage - Geschiebehaushalt'!$A$4:$AC$275,19,FALSE)="","",VLOOKUP(A186,'Charriage - Geschiebehaushalt'!$A$4:$AC$275,19,FALSE))</f>
        <v>0</v>
      </c>
      <c r="AC186" s="738">
        <f>IF(VLOOKUP(A186,'Charriage - Geschiebehaushalt'!$A$4:$AC$275,20,FALSE)="","",VLOOKUP(A186,'Charriage - Geschiebehaushalt'!$A$4:$AC$275,20,FALSE))</f>
        <v>0</v>
      </c>
      <c r="AD186" s="764" t="str">
        <f>IF(VLOOKUP(A186,'Charriage - Geschiebehaushalt'!$A$4:$AC$275,21,FALSE)="","",VLOOKUP(A186,'Charriage - Geschiebehaushalt'!$A$4:$AC$275,21,FALSE))</f>
        <v/>
      </c>
      <c r="AE186" s="740" t="str">
        <f>IF(VLOOKUP(A186,'Charriage - Geschiebehaushalt'!$A$4:$AC$275,22,FALSE)="","",VLOOKUP(A186,'Charriage - Geschiebehaushalt'!$A$4:$AC$275,22,FALSE))</f>
        <v>non pertinent / nicht relevant</v>
      </c>
      <c r="AF186" s="787" t="str">
        <f>IF(VLOOKUP(A186,'Charriage - Geschiebehaushalt'!$A$4:$AC$275,23,FALSE)="","",VLOOKUP(A186,'Charriage - Geschiebehaushalt'!$A$4:$AC$275,23,FALSE))</f>
        <v>a</v>
      </c>
      <c r="AG186" s="765" t="str">
        <f>IF(VLOOKUP(A186,'Charriage - Geschiebehaushalt'!$A$4:$AC$275,24,FALSE)="","",VLOOKUP(A186,'Charriage - Geschiebehaushalt'!$A$4:$AC$275,24,FALSE))</f>
        <v/>
      </c>
      <c r="AH186" s="764" t="str">
        <f>IF(VLOOKUP(A186,'Charriage - Geschiebehaushalt'!$A$4:$AC$275,25,FALSE)="","",VLOOKUP(A186,'Charriage - Geschiebehaushalt'!$A$4:$AC$275,25,FALSE))</f>
        <v/>
      </c>
      <c r="AI186" s="435" t="str">
        <f>IF(VLOOKUP(A186,'Charriage - Geschiebehaushalt'!$A$4:$AC$275,26,FALSE)="","",VLOOKUP(A186,'Charriage - Geschiebehaushalt'!$A$4:$AC$275,26,FALSE))</f>
        <v/>
      </c>
      <c r="AJ186" s="434" t="str">
        <f>IF(VLOOKUP(A186,'Charriage - Geschiebehaushalt'!$A$4:$AC$275,27,FALSE)="","",VLOOKUP(A186,'Charriage - Geschiebehaushalt'!$A$4:$AC$275,27,FALSE))</f>
        <v/>
      </c>
      <c r="AK186" s="801" t="str">
        <f>IF(VLOOKUP(A186,'Charriage - Geschiebehaushalt'!$A$4:$AC$275,28,FALSE)="","",VLOOKUP(A186,'Charriage - Geschiebehaushalt'!$A$4:$AC$275,28,FALSE))</f>
        <v>non pertinent / nicht relevant</v>
      </c>
      <c r="AL186" s="1285" t="str">
        <f>IF(VLOOKUP(A186,'Charriage - Geschiebehaushalt'!$A$4:$AD$275,30,FALSE)="","",VLOOKUP(A186,'Charriage - Geschiebehaushalt'!$A$4:$AD$275,30,FALSE))</f>
        <v>a</v>
      </c>
      <c r="AM186" s="1279" t="str">
        <f>IF(VLOOKUP(A186,'Débit - Abfluss'!$A$4:$K$275,5,FALSE)="","",VLOOKUP(A186,'Débit - Abfluss'!$A$4:$M$275,5,FALSE))</f>
        <v>non pertinent</v>
      </c>
      <c r="AN186" s="868" t="str">
        <f>IF(VLOOKUP(A186,'Débit - Abfluss'!$A$4:$K$275,6,FALSE)="","",VLOOKUP(A186,'Débit - Abfluss'!$A$4:$M$275,6,FALSE))</f>
        <v/>
      </c>
      <c r="AO186" s="869" t="str">
        <f>IF(VLOOKUP(A186,'Débit - Abfluss'!$A$4:$K$275,7,FALSE)="","",VLOOKUP(A186,'Débit - Abfluss'!$A$4:$M$275,7,FALSE))</f>
        <v/>
      </c>
      <c r="AP186" s="766" t="str">
        <f>IF(VLOOKUP(A186,'Débit - Abfluss'!$A$4:$K$275,8,FALSE)="","",VLOOKUP(A186,'Débit - Abfluss'!$A$4:$M$275,8,FALSE))</f>
        <v>non pertinent / nicht relevant</v>
      </c>
      <c r="AQ186" s="742" t="str">
        <f>IF(VLOOKUP(A186,'Débit - Abfluss'!$A$4:$K$275,9,FALSE)="","",VLOOKUP(A186,'Débit - Abfluss'!$A$4:$M$275,9,FALSE))</f>
        <v>-</v>
      </c>
      <c r="AR186" s="767" t="str">
        <f>IF(VLOOKUP(A186,'Débit - Abfluss'!$A$4:$K$275,10,FALSE)="","",VLOOKUP(A186,'Débit - Abfluss'!$A$4:$M$275,10,FALSE))</f>
        <v>non pertinent / nicht relevant</v>
      </c>
      <c r="AS186" s="767" t="str">
        <f>IF(VLOOKUP(A186,'Débit - Abfluss'!$A$4:$K$275,11,FALSE)="","",VLOOKUP(A186,'Débit - Abfluss'!$A$4:$M$275,11,FALSE))</f>
        <v/>
      </c>
      <c r="AT186" s="778" t="str">
        <f>IF(VLOOKUP(A186,'Débit - Abfluss'!$A$4:$Q$275,12,FALSE)="","",VLOOKUP(A186,'Débit - Abfluss'!$A$4:$Q$275,12,FALSE))</f>
        <v/>
      </c>
      <c r="AU186" s="779" t="str">
        <f>IF(VLOOKUP(A186,'Débit - Abfluss'!$A$4:$Q$275,13,FALSE)="","",VLOOKUP(A186,'Débit - Abfluss'!$A$4:$Q$275,13,FALSE))</f>
        <v/>
      </c>
      <c r="AV186" s="746" t="str">
        <f>IF(VLOOKUP(A186,'Débit - Abfluss'!$A$4:$Q$275,14,FALSE)="","",VLOOKUP(A186,'Débit - Abfluss'!$A$4:$Q$275,14,FALSE))</f>
        <v/>
      </c>
      <c r="AW186" s="768" t="str">
        <f>IF(VLOOKUP(A186,'Débit - Abfluss'!$A$4:$Q$275,15,FALSE)="","",VLOOKUP(A186,'Débit - Abfluss'!$A$4:$Q$275,15,FALSE))</f>
        <v/>
      </c>
      <c r="AX186" s="679" t="str">
        <f>IF(VLOOKUP(A186,'Débit - Abfluss'!$A$4:$Q$275,16,FALSE)="","",VLOOKUP(A186,'Débit - Abfluss'!$A$4:$Q$275,16,FALSE))</f>
        <v/>
      </c>
      <c r="AY186" s="769" t="str">
        <f>IF(VLOOKUP(A186,'Débit - Abfluss'!$A$4:$Q$275,17,FALSE)="","",VLOOKUP(A186,'Débit - Abfluss'!$A$4:$Q$275,17,FALSE))</f>
        <v>non pertinent / nicht relevant</v>
      </c>
      <c r="AZ186" s="749" t="str">
        <f>IF(VLOOKUP(A186,'Eclusée - Schwall-Sunk'!$A$2:$F$273,5,FALSE)="","",VLOOKUP(A186,'Eclusée - Schwall-Sunk'!$A$2:$F$273,5,FALSE))</f>
        <v/>
      </c>
      <c r="BA186" s="750" t="str">
        <f>IF(VLOOKUP(A186,'Eclusée - Schwall-Sunk'!$A$2:$F$273,6,FALSE)="","",VLOOKUP(A186,'Eclusée - Schwall-Sunk'!$A$2:$F$273,6,FALSE))</f>
        <v>Non affecté / nicht betroffen</v>
      </c>
      <c r="BB186" s="751" t="str">
        <f>IF(VLOOKUP(A186,'Revitalisation-Revitalisierung'!$A$4:$Z$275,5,FALSE)="","",VLOOKUP(A186,'Revitalisation-Revitalisierung'!$A$4:$Z$275,5,FALSE))</f>
        <v/>
      </c>
      <c r="BC186" s="752" t="str">
        <f>IF(VLOOKUP(A186,'Revitalisation-Revitalisierung'!$A$4:$Z$275,6,FALSE)="","",VLOOKUP(A186,'Revitalisation-Revitalisierung'!$A$4:$Z$275,6,FALSE))</f>
        <v/>
      </c>
      <c r="BD186" s="752" t="str">
        <f>IF(VLOOKUP(A186,'Revitalisation-Revitalisierung'!$A$4:$Z$275,7,FALSE)="","",VLOOKUP(A186,'Revitalisation-Revitalisierung'!$A$4:$Z$275,7,FALSE))</f>
        <v/>
      </c>
      <c r="BE186" s="753" t="str">
        <f>IF(VLOOKUP(A186,'Revitalisation-Revitalisierung'!$A$4:$Z$275,8,FALSE)="","",VLOOKUP(A186,'Revitalisation-Revitalisierung'!$A$4:$Z$275,8,FALSE))</f>
        <v>non pertinent</v>
      </c>
      <c r="BF186" s="754" t="str">
        <f>IF(VLOOKUP(A186,'Revitalisation-Revitalisierung'!$A$4:$Z$275,9,FALSE)="","",VLOOKUP(A186,'Revitalisation-Revitalisierung'!$A$4:$Z$275,9,FALSE))</f>
        <v>unmöglich</v>
      </c>
      <c r="BG186" s="754" t="str">
        <f>IF(VLOOKUP(A186,'Revitalisation-Revitalisierung'!$A$4:$Z$275,10,FALSE)="","",VLOOKUP(A186,'Revitalisation-Revitalisierung'!$A$4:$Z$275,10,FALSE))</f>
        <v/>
      </c>
      <c r="BH186" s="755" t="str">
        <f>IF(VLOOKUP(A186,'Revitalisation-Revitalisierung'!$A$4:$Z$275,11,FALSE)="","",VLOOKUP(A186,'Revitalisation-Revitalisierung'!$A$4:$Z$275,11,FALSE))</f>
        <v/>
      </c>
      <c r="BI186" s="756" t="str">
        <f>IF(VLOOKUP(A186,'Revitalisation-Revitalisierung'!$A$4:$Z$275,12,FALSE)="","",VLOOKUP(A186,'Revitalisation-Revitalisierung'!$A$4:$Z$275,12,FALSE))</f>
        <v/>
      </c>
      <c r="BJ186" s="788" t="str">
        <f>IF(VLOOKUP(A186,'Revitalisation-Revitalisierung'!$A$4:$Z$275,13,FALSE)="","",VLOOKUP(A186,'Revitalisation-Revitalisierung'!$A$4:$Z$275,13,FALSE))</f>
        <v>non pertinent / nicht relevant</v>
      </c>
      <c r="BK186" s="870" t="str">
        <f>IF(VLOOKUP(A186,'Revitalisation-Revitalisierung'!$A$4:$Z$275,14,FALSE)="","",VLOOKUP(A186,'Revitalisation-Revitalisierung'!$A$4:$Z$275,14,FALSE))</f>
        <v>a</v>
      </c>
      <c r="BL186" s="758">
        <f>IF(VLOOKUP(A186,'Revitalisation-Revitalisierung'!$A$4:$Z$275,15,FALSE)="","",VLOOKUP(A186,'Revitalisation-Revitalisierung'!$A$4:$Z$275,15,FALSE))</f>
        <v>0</v>
      </c>
      <c r="BM186" s="759">
        <f>IF(VLOOKUP(A186,'Revitalisation-Revitalisierung'!$A$4:$Z$275,16,FALSE)="","",VLOOKUP(A186,'Revitalisation-Revitalisierung'!$A$4:$Z$275,16,FALSE))</f>
        <v>0</v>
      </c>
      <c r="BN186" s="759">
        <f>IF(VLOOKUP(A186,'Revitalisation-Revitalisierung'!$A$4:$Z$275,17,FALSE)="","",VLOOKUP(A186,'Revitalisation-Revitalisierung'!$A$4:$Z$275,17,FALSE))</f>
        <v>0</v>
      </c>
      <c r="BO186" s="760" t="str">
        <f>IF(VLOOKUP(A186,'Revitalisation-Revitalisierung'!$A$4:$Z$275,18,FALSE)="","",VLOOKUP(A186,'Revitalisation-Revitalisierung'!$A$4:$Z$275,18,FALSE))</f>
        <v/>
      </c>
      <c r="BP186" s="761" t="str">
        <f>IF(VLOOKUP(A186,'Revitalisation-Revitalisierung'!$A$4:$Z$275,19,FALSE)="","",VLOOKUP(A186,'Revitalisation-Revitalisierung'!$A$4:$Z$275,19,FALSE))</f>
        <v>non pertinent / nicht relevant</v>
      </c>
      <c r="BQ186" s="759" t="str">
        <f>IF(VLOOKUP(A186,'Revitalisation-Revitalisierung'!$A$4:$Z$275,20,FALSE)="","",VLOOKUP(A186,'Revitalisation-Revitalisierung'!$A$4:$Z$275,20,FALSE))</f>
        <v>a</v>
      </c>
      <c r="BR186" s="759" t="str">
        <f>IF(VLOOKUP(A186,'Revitalisation-Revitalisierung'!$A$4:$Z$275,21,FALSE)="","",VLOOKUP(A186,'Revitalisation-Revitalisierung'!$A$4:$Z$275,21,FALSE))</f>
        <v/>
      </c>
      <c r="BS186" s="762" t="str">
        <f>IF(VLOOKUP(A186,'Revitalisation-Revitalisierung'!$A$4:$Z$275,22,FALSE)="","",VLOOKUP(A186,'Revitalisation-Revitalisierung'!$A$4:$Z$275,22,FALSE))</f>
        <v/>
      </c>
      <c r="BT186" s="703" t="str">
        <f>IF(VLOOKUP(A186,'Revitalisation-Revitalisierung'!$A$4:$Z$275,23,FALSE)="","",VLOOKUP(A186,'Revitalisation-Revitalisierung'!$A$4:$Z$275,23,FALSE))</f>
        <v/>
      </c>
      <c r="BU186" s="704" t="str">
        <f>IF(VLOOKUP(A186,'Revitalisation-Revitalisierung'!$A$4:$Z$275,24,FALSE)="","",VLOOKUP(A186,'Revitalisation-Revitalisierung'!$A$4:$Z$275,24,FALSE))</f>
        <v/>
      </c>
      <c r="BV186" s="761" t="str">
        <f>IF(VLOOKUP(A186,'Revitalisation-Revitalisierung'!$A$4:$Z$275,25,FALSE)="","",VLOOKUP(A186,'Revitalisation-Revitalisierung'!$A$4:$Z$275,25,FALSE))</f>
        <v>non pertinent / nicht relevant</v>
      </c>
      <c r="BW186" s="871" t="str">
        <f>IF(VLOOKUP(A186,'Revitalisation-Revitalisierung'!$A$4:$AA$275,27,FALSE)="","",VLOOKUP(A186,'Revitalisation-Revitalisierung'!$A$4:$AA$275,27,FALSE))</f>
        <v>a</v>
      </c>
    </row>
    <row r="187" spans="1:75" ht="60.6" customHeight="1" x14ac:dyDescent="0.25">
      <c r="A187" s="937">
        <v>307</v>
      </c>
      <c r="B187" s="856">
        <f>IF(VLOOKUP(A187,'Données de base - Grunddaten'!$A$2:$M$297,2,FALSE)="","",VLOOKUP(A187,'Données de base - Grunddaten'!$A$2:$M$297,2,FALSE))</f>
        <v>1</v>
      </c>
      <c r="C187" s="857" t="str">
        <f>IF(VLOOKUP(A187,'Données de base - Grunddaten'!$A$2:$M$297,3,FALSE)="","",VLOOKUP(A187,'Données de base - Grunddaten'!$A$2:$M$297,3,FALSE))</f>
        <v>Le Chablais</v>
      </c>
      <c r="D187" s="857" t="str">
        <f>IF(VLOOKUP(A187,'Données de base - Grunddaten'!$A$2:$M$297,4,FALSE)="","",VLOOKUP(A187,'Données de base - Grunddaten'!$A$2:$M$297,4,FALSE))</f>
        <v>Lac de Morat</v>
      </c>
      <c r="E187" s="857" t="str">
        <f>IF(VLOOKUP(A187,'Données de base - Grunddaten'!$A$2:$M$297,5,FALSE)="","",VLOOKUP(A187,'Données de base - Grunddaten'!$A$2:$M$297,5,FALSE))</f>
        <v>FR</v>
      </c>
      <c r="F187" s="857" t="str">
        <f>IF(VLOOKUP(A187,'Données de base - Grunddaten'!$A$2:$M$297,6,FALSE)="","",VLOOKUP(A187,'Données de base - Grunddaten'!$A$2:$M$297,6,FALSE))</f>
        <v>Plateau occidental</v>
      </c>
      <c r="G187" s="857" t="str">
        <f>IF(VLOOKUP(A187,'Données de base - Grunddaten'!$A$2:$M$297,7,FALSE)="","",VLOOKUP(A187,'Données de base - Grunddaten'!$A$2:$M$297,7,FALSE))</f>
        <v>Collinéen</v>
      </c>
      <c r="H187" s="857">
        <f>IF(VLOOKUP(A187,'Données de base - Grunddaten'!$A$2:$M$297,8,FALSE)="","",VLOOKUP(A187,'Données de base - Grunddaten'!$A$2:$M$297,8,FALSE))</f>
        <v>430</v>
      </c>
      <c r="I187" s="857">
        <f>IF(VLOOKUP(A187,'Données de base - Grunddaten'!$A$2:$M$297,9,FALSE)="","",VLOOKUP(A187,'Données de base - Grunddaten'!$A$2:$M$297,9,FALSE))</f>
        <v>2003</v>
      </c>
      <c r="J187" s="857">
        <f>IF(VLOOKUP(A187,'Données de base - Grunddaten'!$A$2:$M$297,10,FALSE)="","",VLOOKUP(A187,'Données de base - Grunddaten'!$A$2:$M$297,10,FALSE))</f>
        <v>101</v>
      </c>
      <c r="K187" s="857" t="str">
        <f>IF(VLOOKUP(A187,'Données de base - Grunddaten'!$A$2:$M$297,11,FALSE)="","",VLOOKUP(A187,'Données de base - Grunddaten'!$A$2:$M$297,11,FALSE))</f>
        <v>Rives de lacs de l'étage collinéen</v>
      </c>
      <c r="L187" s="857" t="str">
        <f>IF(VLOOKUP(A187,'Données de base - Grunddaten'!$A$2:$M$297,12,FALSE)="","",VLOOKUP(A187,'Données de base - Grunddaten'!$A$2:$M$297,12,FALSE))</f>
        <v>rives lacustres</v>
      </c>
      <c r="M187" s="858" t="str">
        <f>IF(VLOOKUP(A187,'Données de base - Grunddaten'!$A$2:$M$297,13,FALSE)="","",VLOOKUP(A187,'Données de base - Grunddaten'!$A$2:$M$297,13,FALSE))</f>
        <v>rives lacustres</v>
      </c>
      <c r="N187" s="891" t="str">
        <f>IF(VLOOKUP(A187,'Charriage - Geschiebehaushalt'!$A$4:$R$275,5,FALSE)="","",VLOOKUP(A187,'Charriage - Geschiebehaushalt'!$A$4:$R$275,5,FALSE))</f>
        <v>non pertinent</v>
      </c>
      <c r="O187" s="881" t="str">
        <f>IF(VLOOKUP(A187,'Charriage - Geschiebehaushalt'!$A$4:$R$275,6,FALSE)="","",VLOOKUP(A187,'Charriage - Geschiebehaushalt'!$A$4:$R$275,6,FALSE))</f>
        <v/>
      </c>
      <c r="P187" s="874" t="str">
        <f>IF(VLOOKUP(A187,'Charriage - Geschiebehaushalt'!$A$4:$R$275,7,FALSE)="","",VLOOKUP(A187,'Charriage - Geschiebehaushalt'!$A$4:$R$275,7,FALSE))</f>
        <v/>
      </c>
      <c r="Q187" s="874" t="str">
        <f>IF(VLOOKUP(A187,'Charriage - Geschiebehaushalt'!$A$4:$R$275,8,FALSE)="","",VLOOKUP(A187,'Charriage - Geschiebehaushalt'!$A$4:$R$275,8,FALSE))</f>
        <v>non documenté</v>
      </c>
      <c r="R187" s="875">
        <f>IF(VLOOKUP(A187,'Charriage - Geschiebehaushalt'!$A$4:$R$275,9,FALSE)="","",VLOOKUP(A187,'Charriage - Geschiebehaushalt'!$A$4:$R$275,9,FALSE))</f>
        <v>0</v>
      </c>
      <c r="S187" s="876" t="str">
        <f>IF(VLOOKUP(A187,'Charriage - Geschiebehaushalt'!$A$4:$R$275,10,FALSE)="","",VLOOKUP(A187,'Charriage - Geschiebehaushalt'!$A$4:$R$275,10,FALSE))</f>
        <v>pas ou faiblement entravé</v>
      </c>
      <c r="T187" s="875">
        <f>IF(VLOOKUP(A187,'Charriage - Geschiebehaushalt'!$A$4:$R$275,11,FALSE)="","",VLOOKUP(A187,'Charriage - Geschiebehaushalt'!$A$4:$R$275,11,FALSE))</f>
        <v>0.18486045338000001</v>
      </c>
      <c r="U187" s="876" t="str">
        <f>IF(VLOOKUP(A187,'Charriage - Geschiebehaushalt'!$A$4:$R$275,12,FALSE)="","",VLOOKUP(A187,'Charriage - Geschiebehaushalt'!$A$4:$R$275,12,FALSE))</f>
        <v>déficit dans les formations pionnières</v>
      </c>
      <c r="V187" s="877" t="str">
        <f>IF(VLOOKUP(A187,'Charriage - Geschiebehaushalt'!$A$4:$R$275,13,FALSE)="","",VLOOKUP(A187,'Charriage - Geschiebehaushalt'!$A$4:$R$275,13,FALSE))</f>
        <v/>
      </c>
      <c r="W187" s="877" t="str">
        <f>IF(VLOOKUP(A187,'Charriage - Geschiebehaushalt'!$A$4:$R$275,14,FALSE)="","",VLOOKUP(A187,'Charriage - Geschiebehaushalt'!$A$4:$R$275,14,FALSE))</f>
        <v/>
      </c>
      <c r="X187" s="877" t="str">
        <f>IF(VLOOKUP(A187,'Charriage - Geschiebehaushalt'!$A$4:$R$275,15,FALSE)="","",VLOOKUP(A187,'Charriage - Geschiebehaushalt'!$A$4:$R$275,15,FALSE))</f>
        <v/>
      </c>
      <c r="Y187" s="879" t="str">
        <f>IF(VLOOKUP(A187,'Charriage - Geschiebehaushalt'!$A$4:$R$275,16,FALSE)="","",VLOOKUP(A187,'Charriage - Geschiebehaushalt'!$A$4:$R$275,16,FALSE))</f>
        <v/>
      </c>
      <c r="Z187" s="763" t="str">
        <f>IF(VLOOKUP(A187,'Charriage - Geschiebehaushalt'!$A$4:$R$275,17,FALSE)="","",VLOOKUP(A187,'Charriage - Geschiebehaushalt'!$A$4:$R$275,17,FALSE))</f>
        <v>non pertinent / nicht relevant</v>
      </c>
      <c r="AA187" s="880" t="str">
        <f>IF(VLOOKUP(A187,'Charriage - Geschiebehaushalt'!$A$4:$R$275,18,FALSE)="","",VLOOKUP(A187,'Charriage - Geschiebehaushalt'!$A$4:$R$275,18,FALSE))</f>
        <v>a</v>
      </c>
      <c r="AB187" s="737">
        <f>IF(VLOOKUP(A187,'Charriage - Geschiebehaushalt'!$A$4:$AC$275,19,FALSE)="","",VLOOKUP(A187,'Charriage - Geschiebehaushalt'!$A$4:$AC$275,19,FALSE))</f>
        <v>0</v>
      </c>
      <c r="AC187" s="738">
        <f>IF(VLOOKUP(A187,'Charriage - Geschiebehaushalt'!$A$4:$AC$275,20,FALSE)="","",VLOOKUP(A187,'Charriage - Geschiebehaushalt'!$A$4:$AC$275,20,FALSE))</f>
        <v>0</v>
      </c>
      <c r="AD187" s="764" t="str">
        <f>IF(VLOOKUP(A187,'Charriage - Geschiebehaushalt'!$A$4:$AC$275,21,FALSE)="","",VLOOKUP(A187,'Charriage - Geschiebehaushalt'!$A$4:$AC$275,21,FALSE))</f>
        <v/>
      </c>
      <c r="AE187" s="740" t="str">
        <f>IF(VLOOKUP(A187,'Charriage - Geschiebehaushalt'!$A$4:$AC$275,22,FALSE)="","",VLOOKUP(A187,'Charriage - Geschiebehaushalt'!$A$4:$AC$275,22,FALSE))</f>
        <v>non pertinent / nicht relevant</v>
      </c>
      <c r="AF187" s="787" t="str">
        <f>IF(VLOOKUP(A187,'Charriage - Geschiebehaushalt'!$A$4:$AC$275,23,FALSE)="","",VLOOKUP(A187,'Charriage - Geschiebehaushalt'!$A$4:$AC$275,23,FALSE))</f>
        <v>a</v>
      </c>
      <c r="AG187" s="765" t="str">
        <f>IF(VLOOKUP(A187,'Charriage - Geschiebehaushalt'!$A$4:$AC$275,24,FALSE)="","",VLOOKUP(A187,'Charriage - Geschiebehaushalt'!$A$4:$AC$275,24,FALSE))</f>
        <v/>
      </c>
      <c r="AH187" s="764" t="str">
        <f>IF(VLOOKUP(A187,'Charriage - Geschiebehaushalt'!$A$4:$AC$275,25,FALSE)="","",VLOOKUP(A187,'Charriage - Geschiebehaushalt'!$A$4:$AC$275,25,FALSE))</f>
        <v/>
      </c>
      <c r="AI187" s="433" t="str">
        <f>IF(VLOOKUP(A187,'Charriage - Geschiebehaushalt'!$A$4:$AC$275,26,FALSE)="","",VLOOKUP(A187,'Charriage - Geschiebehaushalt'!$A$4:$AC$275,26,FALSE))</f>
        <v/>
      </c>
      <c r="AJ187" s="436" t="str">
        <f>IF(VLOOKUP(A187,'Charriage - Geschiebehaushalt'!$A$4:$AC$275,27,FALSE)="","",VLOOKUP(A187,'Charriage - Geschiebehaushalt'!$A$4:$AC$275,27,FALSE))</f>
        <v/>
      </c>
      <c r="AK187" s="801" t="str">
        <f>IF(VLOOKUP(A187,'Charriage - Geschiebehaushalt'!$A$4:$AC$275,28,FALSE)="","",VLOOKUP(A187,'Charriage - Geschiebehaushalt'!$A$4:$AC$275,28,FALSE))</f>
        <v>non pertinent / nicht relevant</v>
      </c>
      <c r="AL187" s="1285" t="str">
        <f>IF(VLOOKUP(A187,'Charriage - Geschiebehaushalt'!$A$4:$AD$275,30,FALSE)="","",VLOOKUP(A187,'Charriage - Geschiebehaushalt'!$A$4:$AD$275,30,FALSE))</f>
        <v>a</v>
      </c>
      <c r="AM187" s="1279" t="str">
        <f>IF(VLOOKUP(A187,'Débit - Abfluss'!$A$4:$K$275,5,FALSE)="","",VLOOKUP(A187,'Débit - Abfluss'!$A$4:$M$275,5,FALSE))</f>
        <v>non pertinent</v>
      </c>
      <c r="AN187" s="868" t="str">
        <f>IF(VLOOKUP(A187,'Débit - Abfluss'!$A$4:$K$275,6,FALSE)="","",VLOOKUP(A187,'Débit - Abfluss'!$A$4:$M$275,6,FALSE))</f>
        <v/>
      </c>
      <c r="AO187" s="869" t="str">
        <f>IF(VLOOKUP(A187,'Débit - Abfluss'!$A$4:$K$275,7,FALSE)="","",VLOOKUP(A187,'Débit - Abfluss'!$A$4:$M$275,7,FALSE))</f>
        <v/>
      </c>
      <c r="AP187" s="766" t="str">
        <f>IF(VLOOKUP(A187,'Débit - Abfluss'!$A$4:$K$275,8,FALSE)="","",VLOOKUP(A187,'Débit - Abfluss'!$A$4:$M$275,8,FALSE))</f>
        <v>non pertinent / nicht relevant</v>
      </c>
      <c r="AQ187" s="742" t="str">
        <f>IF(VLOOKUP(A187,'Débit - Abfluss'!$A$4:$K$275,9,FALSE)="","",VLOOKUP(A187,'Débit - Abfluss'!$A$4:$M$275,9,FALSE))</f>
        <v>-</v>
      </c>
      <c r="AR187" s="767" t="str">
        <f>IF(VLOOKUP(A187,'Débit - Abfluss'!$A$4:$K$275,10,FALSE)="","",VLOOKUP(A187,'Débit - Abfluss'!$A$4:$M$275,10,FALSE))</f>
        <v>non pertinent / nicht relevant</v>
      </c>
      <c r="AS187" s="767" t="str">
        <f>IF(VLOOKUP(A187,'Débit - Abfluss'!$A$4:$K$275,11,FALSE)="","",VLOOKUP(A187,'Débit - Abfluss'!$A$4:$M$275,11,FALSE))</f>
        <v/>
      </c>
      <c r="AT187" s="744" t="str">
        <f>IF(VLOOKUP(A187,'Débit - Abfluss'!$A$4:$Q$275,12,FALSE)="","",VLOOKUP(A187,'Débit - Abfluss'!$A$4:$Q$275,12,FALSE))</f>
        <v/>
      </c>
      <c r="AU187" s="803" t="str">
        <f>IF(VLOOKUP(A187,'Débit - Abfluss'!$A$4:$Q$275,13,FALSE)="","",VLOOKUP(A187,'Débit - Abfluss'!$A$4:$Q$275,13,FALSE))</f>
        <v/>
      </c>
      <c r="AV187" s="746" t="str">
        <f>IF(VLOOKUP(A187,'Débit - Abfluss'!$A$4:$Q$275,14,FALSE)="","",VLOOKUP(A187,'Débit - Abfluss'!$A$4:$Q$275,14,FALSE))</f>
        <v/>
      </c>
      <c r="AW187" s="768" t="str">
        <f>IF(VLOOKUP(A187,'Débit - Abfluss'!$A$4:$Q$275,15,FALSE)="","",VLOOKUP(A187,'Débit - Abfluss'!$A$4:$Q$275,15,FALSE))</f>
        <v/>
      </c>
      <c r="AX187" s="677" t="str">
        <f>IF(VLOOKUP(A187,'Débit - Abfluss'!$A$4:$Q$275,16,FALSE)="","",VLOOKUP(A187,'Débit - Abfluss'!$A$4:$Q$275,16,FALSE))</f>
        <v/>
      </c>
      <c r="AY187" s="769" t="str">
        <f>IF(VLOOKUP(A187,'Débit - Abfluss'!$A$4:$Q$275,17,FALSE)="","",VLOOKUP(A187,'Débit - Abfluss'!$A$4:$Q$275,17,FALSE))</f>
        <v>non pertinent / nicht relevant</v>
      </c>
      <c r="AZ187" s="749" t="str">
        <f>IF(VLOOKUP(A187,'Eclusée - Schwall-Sunk'!$A$2:$F$273,5,FALSE)="","",VLOOKUP(A187,'Eclusée - Schwall-Sunk'!$A$2:$F$273,5,FALSE))</f>
        <v/>
      </c>
      <c r="BA187" s="750" t="str">
        <f>IF(VLOOKUP(A187,'Eclusée - Schwall-Sunk'!$A$2:$F$273,6,FALSE)="","",VLOOKUP(A187,'Eclusée - Schwall-Sunk'!$A$2:$F$273,6,FALSE))</f>
        <v>Non affecté / nicht betroffen</v>
      </c>
      <c r="BB187" s="751" t="str">
        <f>IF(VLOOKUP(A187,'Revitalisation-Revitalisierung'!$A$4:$Z$275,5,FALSE)="","",VLOOKUP(A187,'Revitalisation-Revitalisierung'!$A$4:$Z$275,5,FALSE))</f>
        <v/>
      </c>
      <c r="BC187" s="752" t="str">
        <f>IF(VLOOKUP(A187,'Revitalisation-Revitalisierung'!$A$4:$Z$275,6,FALSE)="","",VLOOKUP(A187,'Revitalisation-Revitalisierung'!$A$4:$Z$275,6,FALSE))</f>
        <v/>
      </c>
      <c r="BD187" s="752" t="str">
        <f>IF(VLOOKUP(A187,'Revitalisation-Revitalisierung'!$A$4:$Z$275,7,FALSE)="","",VLOOKUP(A187,'Revitalisation-Revitalisierung'!$A$4:$Z$275,7,FALSE))</f>
        <v/>
      </c>
      <c r="BE187" s="753" t="str">
        <f>IF(VLOOKUP(A187,'Revitalisation-Revitalisierung'!$A$4:$Z$275,8,FALSE)="","",VLOOKUP(A187,'Revitalisation-Revitalisierung'!$A$4:$Z$275,8,FALSE))</f>
        <v>non nécessaire</v>
      </c>
      <c r="BF187" s="754" t="str">
        <f>IF(VLOOKUP(A187,'Revitalisation-Revitalisierung'!$A$4:$Z$275,9,FALSE)="","",VLOOKUP(A187,'Revitalisation-Revitalisierung'!$A$4:$Z$275,9,FALSE))</f>
        <v>nicht nötig</v>
      </c>
      <c r="BG187" s="754" t="str">
        <f>IF(VLOOKUP(A187,'Revitalisation-Revitalisierung'!$A$4:$Z$275,10,FALSE)="","",VLOOKUP(A187,'Revitalisation-Revitalisierung'!$A$4:$Z$275,10,FALSE))</f>
        <v>K3</v>
      </c>
      <c r="BH187" s="755" t="str">
        <f>IF(VLOOKUP(A187,'Revitalisation-Revitalisierung'!$A$4:$Z$275,11,FALSE)="","",VLOOKUP(A187,'Revitalisation-Revitalisierung'!$A$4:$Z$275,11,FALSE))</f>
        <v/>
      </c>
      <c r="BI187" s="756" t="str">
        <f>IF(VLOOKUP(A187,'Revitalisation-Revitalisierung'!$A$4:$Z$275,12,FALSE)="","",VLOOKUP(A187,'Revitalisation-Revitalisierung'!$A$4:$Z$275,12,FALSE))</f>
        <v/>
      </c>
      <c r="BJ187" s="788" t="str">
        <f>IF(VLOOKUP(A187,'Revitalisation-Revitalisierung'!$A$4:$Z$275,13,FALSE)="","",VLOOKUP(A187,'Revitalisation-Revitalisierung'!$A$4:$Z$275,13,FALSE))</f>
        <v>Non nécessaire / nicht nötig</v>
      </c>
      <c r="BK187" s="870" t="str">
        <f>IF(VLOOKUP(A187,'Revitalisation-Revitalisierung'!$A$4:$Z$275,14,FALSE)="","",VLOOKUP(A187,'Revitalisation-Revitalisierung'!$A$4:$Z$275,14,FALSE))</f>
        <v>a</v>
      </c>
      <c r="BL187" s="758">
        <f>IF(VLOOKUP(A187,'Revitalisation-Revitalisierung'!$A$4:$Z$275,15,FALSE)="","",VLOOKUP(A187,'Revitalisation-Revitalisierung'!$A$4:$Z$275,15,FALSE))</f>
        <v>0</v>
      </c>
      <c r="BM187" s="759">
        <f>IF(VLOOKUP(A187,'Revitalisation-Revitalisierung'!$A$4:$Z$275,16,FALSE)="","",VLOOKUP(A187,'Revitalisation-Revitalisierung'!$A$4:$Z$275,16,FALSE))</f>
        <v>0</v>
      </c>
      <c r="BN187" s="759">
        <f>IF(VLOOKUP(A187,'Revitalisation-Revitalisierung'!$A$4:$Z$275,17,FALSE)="","",VLOOKUP(A187,'Revitalisation-Revitalisierung'!$A$4:$Z$275,17,FALSE))</f>
        <v>0</v>
      </c>
      <c r="BO187" s="760" t="str">
        <f>IF(VLOOKUP(A187,'Revitalisation-Revitalisierung'!$A$4:$Z$275,18,FALSE)="","",VLOOKUP(A187,'Revitalisation-Revitalisierung'!$A$4:$Z$275,18,FALSE))</f>
        <v/>
      </c>
      <c r="BP187" s="761" t="str">
        <f>IF(VLOOKUP(A187,'Revitalisation-Revitalisierung'!$A$4:$Z$275,19,FALSE)="","",VLOOKUP(A187,'Revitalisation-Revitalisierung'!$A$4:$Z$275,19,FALSE))</f>
        <v>Non nécessaire / nicht nötig</v>
      </c>
      <c r="BQ187" s="759" t="str">
        <f>IF(VLOOKUP(A187,'Revitalisation-Revitalisierung'!$A$4:$Z$275,20,FALSE)="","",VLOOKUP(A187,'Revitalisation-Revitalisierung'!$A$4:$Z$275,20,FALSE))</f>
        <v>a</v>
      </c>
      <c r="BR187" s="759" t="str">
        <f>IF(VLOOKUP(A187,'Revitalisation-Revitalisierung'!$A$4:$Z$275,21,FALSE)="","",VLOOKUP(A187,'Revitalisation-Revitalisierung'!$A$4:$Z$275,21,FALSE))</f>
        <v/>
      </c>
      <c r="BS187" s="762" t="str">
        <f>IF(VLOOKUP(A187,'Revitalisation-Revitalisierung'!$A$4:$Z$275,22,FALSE)="","",VLOOKUP(A187,'Revitalisation-Revitalisierung'!$A$4:$Z$275,22,FALSE))</f>
        <v/>
      </c>
      <c r="BT187" s="703" t="str">
        <f>IF(VLOOKUP(A187,'Revitalisation-Revitalisierung'!$A$4:$Z$275,23,FALSE)="","",VLOOKUP(A187,'Revitalisation-Revitalisierung'!$A$4:$Z$275,23,FALSE))</f>
        <v/>
      </c>
      <c r="BU187" s="704" t="str">
        <f>IF(VLOOKUP(A187,'Revitalisation-Revitalisierung'!$A$4:$Z$275,24,FALSE)="","",VLOOKUP(A187,'Revitalisation-Revitalisierung'!$A$4:$Z$275,24,FALSE))</f>
        <v/>
      </c>
      <c r="BV187" s="761" t="str">
        <f>IF(VLOOKUP(A187,'Revitalisation-Revitalisierung'!$A$4:$Z$275,25,FALSE)="","",VLOOKUP(A187,'Revitalisation-Revitalisierung'!$A$4:$Z$275,25,FALSE))</f>
        <v>Non nécessaire / nicht nötig</v>
      </c>
      <c r="BW187" s="871" t="str">
        <f>IF(VLOOKUP(A187,'Revitalisation-Revitalisierung'!$A$4:$AA$275,27,FALSE)="","",VLOOKUP(A187,'Revitalisation-Revitalisierung'!$A$4:$AA$275,27,FALSE))</f>
        <v>a</v>
      </c>
    </row>
    <row r="188" spans="1:75" ht="62.45" customHeight="1" x14ac:dyDescent="0.25">
      <c r="A188" s="937">
        <v>310</v>
      </c>
      <c r="B188" s="856">
        <f>IF(VLOOKUP(A188,'Données de base - Grunddaten'!$A$2:$M$297,2,FALSE)="","",VLOOKUP(A188,'Données de base - Grunddaten'!$A$2:$M$297,2,FALSE))</f>
        <v>1</v>
      </c>
      <c r="C188" s="857" t="str">
        <f>IF(VLOOKUP(A188,'Données de base - Grunddaten'!$A$2:$M$297,3,FALSE)="","",VLOOKUP(A188,'Données de base - Grunddaten'!$A$2:$M$297,3,FALSE))</f>
        <v>Lac de Montsalvens</v>
      </c>
      <c r="D188" s="857" t="str">
        <f>IF(VLOOKUP(A188,'Données de base - Grunddaten'!$A$2:$M$297,4,FALSE)="","",VLOOKUP(A188,'Données de base - Grunddaten'!$A$2:$M$297,4,FALSE))</f>
        <v>La Jogne, Lac de Montsalvens</v>
      </c>
      <c r="E188" s="857" t="str">
        <f>IF(VLOOKUP(A188,'Données de base - Grunddaten'!$A$2:$M$297,5,FALSE)="","",VLOOKUP(A188,'Données de base - Grunddaten'!$A$2:$M$297,5,FALSE))</f>
        <v>FR</v>
      </c>
      <c r="F188" s="857" t="str">
        <f>IF(VLOOKUP(A188,'Données de base - Grunddaten'!$A$2:$M$297,6,FALSE)="","",VLOOKUP(A188,'Données de base - Grunddaten'!$A$2:$M$297,6,FALSE))</f>
        <v>Alpes septentrionales</v>
      </c>
      <c r="G188" s="857" t="str">
        <f>IF(VLOOKUP(A188,'Données de base - Grunddaten'!$A$2:$M$297,7,FALSE)="","",VLOOKUP(A188,'Données de base - Grunddaten'!$A$2:$M$297,7,FALSE))</f>
        <v>Montagnard inf.</v>
      </c>
      <c r="H188" s="857">
        <f>IF(VLOOKUP(A188,'Données de base - Grunddaten'!$A$2:$M$297,8,FALSE)="","",VLOOKUP(A188,'Données de base - Grunddaten'!$A$2:$M$297,8,FALSE))</f>
        <v>800</v>
      </c>
      <c r="I188" s="857">
        <f>IF(VLOOKUP(A188,'Données de base - Grunddaten'!$A$2:$M$297,9,FALSE)="","",VLOOKUP(A188,'Données de base - Grunddaten'!$A$2:$M$297,9,FALSE))</f>
        <v>2003</v>
      </c>
      <c r="J188" s="857">
        <f>IF(VLOOKUP(A188,'Données de base - Grunddaten'!$A$2:$M$297,10,FALSE)="","",VLOOKUP(A188,'Données de base - Grunddaten'!$A$2:$M$297,10,FALSE))</f>
        <v>102</v>
      </c>
      <c r="K188" s="857" t="str">
        <f>IF(VLOOKUP(A188,'Données de base - Grunddaten'!$A$2:$M$297,11,FALSE)="","",VLOOKUP(A188,'Données de base - Grunddaten'!$A$2:$M$297,11,FALSE))</f>
        <v>Rives de lacs de retenue des étages collinéen et montagnard</v>
      </c>
      <c r="L188" s="857" t="str">
        <f>IF(VLOOKUP(A188,'Données de base - Grunddaten'!$A$2:$M$297,12,FALSE)="","",VLOOKUP(A188,'Données de base - Grunddaten'!$A$2:$M$297,12,FALSE))</f>
        <v>en méandres migrants</v>
      </c>
      <c r="M188" s="858" t="str">
        <f>IF(VLOOKUP(A188,'Données de base - Grunddaten'!$A$2:$M$297,13,FALSE)="","",VLOOKUP(A188,'Données de base - Grunddaten'!$A$2:$M$297,13,FALSE))</f>
        <v>rives lacustres</v>
      </c>
      <c r="N188" s="891" t="str">
        <f>IF(VLOOKUP(A188,'Charriage - Geschiebehaushalt'!$A$4:$R$275,5,FALSE)="","",VLOOKUP(A188,'Charriage - Geschiebehaushalt'!$A$4:$R$275,5,FALSE))</f>
        <v>non pertinent</v>
      </c>
      <c r="O188" s="881" t="str">
        <f>IF(VLOOKUP(A188,'Charriage - Geschiebehaushalt'!$A$4:$R$275,6,FALSE)="","",VLOOKUP(A188,'Charriage - Geschiebehaushalt'!$A$4:$R$275,6,FALSE))</f>
        <v/>
      </c>
      <c r="P188" s="874" t="str">
        <f>IF(VLOOKUP(A188,'Charriage - Geschiebehaushalt'!$A$4:$R$275,7,FALSE)="","",VLOOKUP(A188,'Charriage - Geschiebehaushalt'!$A$4:$R$275,7,FALSE))</f>
        <v/>
      </c>
      <c r="Q188" s="874" t="str">
        <f>IF(VLOOKUP(A188,'Charriage - Geschiebehaushalt'!$A$4:$R$275,8,FALSE)="","",VLOOKUP(A188,'Charriage - Geschiebehaushalt'!$A$4:$R$275,8,FALSE))</f>
        <v>non documenté</v>
      </c>
      <c r="R188" s="875">
        <f>IF(VLOOKUP(A188,'Charriage - Geschiebehaushalt'!$A$4:$R$275,9,FALSE)="","",VLOOKUP(A188,'Charriage - Geschiebehaushalt'!$A$4:$R$275,9,FALSE))</f>
        <v>0</v>
      </c>
      <c r="S188" s="876" t="str">
        <f>IF(VLOOKUP(A188,'Charriage - Geschiebehaushalt'!$A$4:$R$275,10,FALSE)="","",VLOOKUP(A188,'Charriage - Geschiebehaushalt'!$A$4:$R$275,10,FALSE))</f>
        <v>pas ou faiblement entravé</v>
      </c>
      <c r="T188" s="875">
        <f>IF(VLOOKUP(A188,'Charriage - Geschiebehaushalt'!$A$4:$R$275,11,FALSE)="","",VLOOKUP(A188,'Charriage - Geschiebehaushalt'!$A$4:$R$275,11,FALSE))</f>
        <v>0.87971463570999997</v>
      </c>
      <c r="U188" s="876" t="str">
        <f>IF(VLOOKUP(A188,'Charriage - Geschiebehaushalt'!$A$4:$R$275,12,FALSE)="","",VLOOKUP(A188,'Charriage - Geschiebehaushalt'!$A$4:$R$275,12,FALSE))</f>
        <v>déficit non apparent en charriage ou en remobilisation des sédiments</v>
      </c>
      <c r="V188" s="877" t="str">
        <f>IF(VLOOKUP(A188,'Charriage - Geschiebehaushalt'!$A$4:$R$275,13,FALSE)="","",VLOOKUP(A188,'Charriage - Geschiebehaushalt'!$A$4:$R$275,13,FALSE))</f>
        <v/>
      </c>
      <c r="W188" s="877" t="str">
        <f>IF(VLOOKUP(A188,'Charriage - Geschiebehaushalt'!$A$4:$R$275,14,FALSE)="","",VLOOKUP(A188,'Charriage - Geschiebehaushalt'!$A$4:$R$275,14,FALSE))</f>
        <v/>
      </c>
      <c r="X188" s="877" t="str">
        <f>IF(VLOOKUP(A188,'Charriage - Geschiebehaushalt'!$A$4:$R$275,15,FALSE)="","",VLOOKUP(A188,'Charriage - Geschiebehaushalt'!$A$4:$R$275,15,FALSE))</f>
        <v/>
      </c>
      <c r="Y188" s="879" t="str">
        <f>IF(VLOOKUP(A188,'Charriage - Geschiebehaushalt'!$A$4:$R$275,16,FALSE)="","",VLOOKUP(A188,'Charriage - Geschiebehaushalt'!$A$4:$R$275,16,FALSE))</f>
        <v/>
      </c>
      <c r="Z188" s="763" t="str">
        <f>IF(VLOOKUP(A188,'Charriage - Geschiebehaushalt'!$A$4:$R$275,17,FALSE)="","",VLOOKUP(A188,'Charriage - Geschiebehaushalt'!$A$4:$R$275,17,FALSE))</f>
        <v>Charriage présumé perturbé / Geschiebehaushalt vermutlich beeinträchtigt</v>
      </c>
      <c r="AA188" s="880" t="str">
        <f>IF(VLOOKUP(A188,'Charriage - Geschiebehaushalt'!$A$4:$R$275,18,FALSE)="","",VLOOKUP(A188,'Charriage - Geschiebehaushalt'!$A$4:$R$275,18,FALSE))</f>
        <v>a</v>
      </c>
      <c r="AB188" s="737" t="str">
        <f>IF(VLOOKUP(A188,'Charriage - Geschiebehaushalt'!$A$4:$AC$275,19,FALSE)="","",VLOOKUP(A188,'Charriage - Geschiebehaushalt'!$A$4:$AC$275,19,FALSE))</f>
        <v>stark</v>
      </c>
      <c r="AC188" s="738" t="str">
        <f>IF(VLOOKUP(A188,'Charriage - Geschiebehaushalt'!$A$4:$AC$275,20,FALSE)="","",VLOOKUP(A188,'Charriage - Geschiebehaushalt'!$A$4:$AC$275,20,FALSE))</f>
        <v>1 (2016)</v>
      </c>
      <c r="AD188" s="764" t="str">
        <f>IF(VLOOKUP(A188,'Charriage - Geschiebehaushalt'!$A$4:$AC$275,21,FALSE)="","",VLOOKUP(A188,'Charriage - Geschiebehaushalt'!$A$4:$AC$275,21,FALSE))</f>
        <v>51-80%</v>
      </c>
      <c r="AE188" s="740" t="str">
        <f>IF(VLOOKUP(A188,'Charriage - Geschiebehaushalt'!$A$4:$AC$275,22,FALSE)="","",VLOOKUP(A188,'Charriage - Geschiebehaushalt'!$A$4:$AC$275,22,FALSE))</f>
        <v>51-80%</v>
      </c>
      <c r="AF188" s="787" t="str">
        <f>IF(VLOOKUP(A188,'Charriage - Geschiebehaushalt'!$A$4:$AC$275,23,FALSE)="","",VLOOKUP(A188,'Charriage - Geschiebehaushalt'!$A$4:$AC$275,23,FALSE))</f>
        <v>d</v>
      </c>
      <c r="AG188" s="765" t="str">
        <f>IF(VLOOKUP(A188,'Charriage - Geschiebehaushalt'!$A$4:$AC$275,24,FALSE)="","",VLOOKUP(A188,'Charriage - Geschiebehaushalt'!$A$4:$AC$275,24,FALSE))</f>
        <v/>
      </c>
      <c r="AH188" s="764" t="str">
        <f>IF(VLOOKUP(A188,'Charriage - Geschiebehaushalt'!$A$4:$AC$275,25,FALSE)="","",VLOOKUP(A188,'Charriage - Geschiebehaushalt'!$A$4:$AC$275,25,FALSE))</f>
        <v/>
      </c>
      <c r="AI188" s="433" t="str">
        <f>IF(VLOOKUP(A188,'Charriage - Geschiebehaushalt'!$A$4:$AC$275,26,FALSE)="","",VLOOKUP(A188,'Charriage - Geschiebehaushalt'!$A$4:$AC$275,26,FALSE))</f>
        <v/>
      </c>
      <c r="AJ188" s="436" t="str">
        <f>IF(VLOOKUP(A188,'Charriage - Geschiebehaushalt'!$A$4:$AC$275,27,FALSE)="","",VLOOKUP(A188,'Charriage - Geschiebehaushalt'!$A$4:$AC$275,27,FALSE))</f>
        <v>OK</v>
      </c>
      <c r="AK188" s="801" t="str">
        <f>IF(VLOOKUP(A188,'Charriage - Geschiebehaushalt'!$A$4:$AC$275,28,FALSE)="","",VLOOKUP(A188,'Charriage - Geschiebehaushalt'!$A$4:$AC$275,28,FALSE))</f>
        <v>51-80%</v>
      </c>
      <c r="AL188" s="1285" t="str">
        <f>IF(VLOOKUP(A188,'Charriage - Geschiebehaushalt'!$A$4:$AD$275,30,FALSE)="","",VLOOKUP(A188,'Charriage - Geschiebehaushalt'!$A$4:$AD$275,30,FALSE))</f>
        <v>a</v>
      </c>
      <c r="AM188" s="1279" t="str">
        <f>IF(VLOOKUP(A188,'Débit - Abfluss'!$A$4:$K$275,5,FALSE)="","",VLOOKUP(A188,'Débit - Abfluss'!$A$4:$M$275,5,FALSE))</f>
        <v>non pertinent</v>
      </c>
      <c r="AN188" s="868" t="str">
        <f>IF(VLOOKUP(A188,'Débit - Abfluss'!$A$4:$K$275,6,FALSE)="","",VLOOKUP(A188,'Débit - Abfluss'!$A$4:$M$275,6,FALSE))</f>
        <v/>
      </c>
      <c r="AO188" s="869" t="str">
        <f>IF(VLOOKUP(A188,'Débit - Abfluss'!$A$4:$K$275,7,FALSE)="","",VLOOKUP(A188,'Débit - Abfluss'!$A$4:$M$275,7,FALSE))</f>
        <v/>
      </c>
      <c r="AP188" s="766" t="str">
        <f>IF(VLOOKUP(A188,'Débit - Abfluss'!$A$4:$K$275,8,FALSE)="","",VLOOKUP(A188,'Débit - Abfluss'!$A$4:$M$275,8,FALSE))</f>
        <v>non pertinent / nicht relevant</v>
      </c>
      <c r="AQ188" s="742" t="str">
        <f>IF(VLOOKUP(A188,'Débit - Abfluss'!$A$4:$K$275,9,FALSE)="","",VLOOKUP(A188,'Débit - Abfluss'!$A$4:$M$275,9,FALSE))</f>
        <v>-</v>
      </c>
      <c r="AR188" s="767" t="str">
        <f>IF(VLOOKUP(A188,'Débit - Abfluss'!$A$4:$K$275,10,FALSE)="","",VLOOKUP(A188,'Débit - Abfluss'!$A$4:$M$275,10,FALSE))</f>
        <v>non pertinent / nicht relevant</v>
      </c>
      <c r="AS188" s="767" t="str">
        <f>IF(VLOOKUP(A188,'Débit - Abfluss'!$A$4:$K$275,11,FALSE)="","",VLOOKUP(A188,'Débit - Abfluss'!$A$4:$M$275,11,FALSE))</f>
        <v/>
      </c>
      <c r="AT188" s="744" t="str">
        <f>IF(VLOOKUP(A188,'Débit - Abfluss'!$A$4:$Q$275,12,FALSE)="","",VLOOKUP(A188,'Débit - Abfluss'!$A$4:$Q$275,12,FALSE))</f>
        <v/>
      </c>
      <c r="AU188" s="803" t="str">
        <f>IF(VLOOKUP(A188,'Débit - Abfluss'!$A$4:$Q$275,13,FALSE)="","",VLOOKUP(A188,'Débit - Abfluss'!$A$4:$Q$275,13,FALSE))</f>
        <v/>
      </c>
      <c r="AV188" s="746" t="str">
        <f>IF(VLOOKUP(A188,'Débit - Abfluss'!$A$4:$Q$275,14,FALSE)="","",VLOOKUP(A188,'Débit - Abfluss'!$A$4:$Q$275,14,FALSE))</f>
        <v/>
      </c>
      <c r="AW188" s="768" t="str">
        <f>IF(VLOOKUP(A188,'Débit - Abfluss'!$A$4:$Q$275,15,FALSE)="","",VLOOKUP(A188,'Débit - Abfluss'!$A$4:$Q$275,15,FALSE))</f>
        <v/>
      </c>
      <c r="AX188" s="677" t="str">
        <f>IF(VLOOKUP(A188,'Débit - Abfluss'!$A$4:$Q$275,16,FALSE)="","",VLOOKUP(A188,'Débit - Abfluss'!$A$4:$Q$275,16,FALSE))</f>
        <v/>
      </c>
      <c r="AY188" s="769" t="str">
        <f>IF(VLOOKUP(A188,'Débit - Abfluss'!$A$4:$Q$275,17,FALSE)="","",VLOOKUP(A188,'Débit - Abfluss'!$A$4:$Q$275,17,FALSE))</f>
        <v>non pertinent / nicht relevant</v>
      </c>
      <c r="AZ188" s="749" t="str">
        <f>IF(VLOOKUP(A188,'Eclusée - Schwall-Sunk'!$A$2:$F$273,5,FALSE)="","",VLOOKUP(A188,'Eclusée - Schwall-Sunk'!$A$2:$F$273,5,FALSE))</f>
        <v/>
      </c>
      <c r="BA188" s="750" t="str">
        <f>IF(VLOOKUP(A188,'Eclusée - Schwall-Sunk'!$A$2:$F$273,6,FALSE)="","",VLOOKUP(A188,'Eclusée - Schwall-Sunk'!$A$2:$F$273,6,FALSE))</f>
        <v>Non affecté / nicht betroffen</v>
      </c>
      <c r="BB188" s="751" t="str">
        <f>IF(VLOOKUP(A188,'Revitalisation-Revitalisierung'!$A$4:$Z$275,5,FALSE)="","",VLOOKUP(A188,'Revitalisation-Revitalisierung'!$A$4:$Z$275,5,FALSE))</f>
        <v/>
      </c>
      <c r="BC188" s="752" t="str">
        <f>IF(VLOOKUP(A188,'Revitalisation-Revitalisierung'!$A$4:$Z$275,6,FALSE)="","",VLOOKUP(A188,'Revitalisation-Revitalisierung'!$A$4:$Z$275,6,FALSE))</f>
        <v/>
      </c>
      <c r="BD188" s="752" t="str">
        <f>IF(VLOOKUP(A188,'Revitalisation-Revitalisierung'!$A$4:$Z$275,7,FALSE)="","",VLOOKUP(A188,'Revitalisation-Revitalisierung'!$A$4:$Z$275,7,FALSE))</f>
        <v/>
      </c>
      <c r="BE188" s="753" t="str">
        <f>IF(VLOOKUP(A188,'Revitalisation-Revitalisierung'!$A$4:$Z$275,8,FALSE)="","",VLOOKUP(A188,'Revitalisation-Revitalisierung'!$A$4:$Z$275,8,FALSE))</f>
        <v>non nécessaire</v>
      </c>
      <c r="BF188" s="754" t="str">
        <f>IF(VLOOKUP(A188,'Revitalisation-Revitalisierung'!$A$4:$Z$275,9,FALSE)="","",VLOOKUP(A188,'Revitalisation-Revitalisierung'!$A$4:$Z$275,9,FALSE))</f>
        <v>nicht nötig</v>
      </c>
      <c r="BG188" s="754" t="str">
        <f>IF(VLOOKUP(A188,'Revitalisation-Revitalisierung'!$A$4:$Z$275,10,FALSE)="","",VLOOKUP(A188,'Revitalisation-Revitalisierung'!$A$4:$Z$275,10,FALSE))</f>
        <v>K1</v>
      </c>
      <c r="BH188" s="755" t="str">
        <f>IF(VLOOKUP(A188,'Revitalisation-Revitalisierung'!$A$4:$Z$275,11,FALSE)="","",VLOOKUP(A188,'Revitalisation-Revitalisierung'!$A$4:$Z$275,11,FALSE))</f>
        <v/>
      </c>
      <c r="BI188" s="756" t="str">
        <f>IF(VLOOKUP(A188,'Revitalisation-Revitalisierung'!$A$4:$Z$275,12,FALSE)="","",VLOOKUP(A188,'Revitalisation-Revitalisierung'!$A$4:$Z$275,12,FALSE))</f>
        <v/>
      </c>
      <c r="BJ188" s="788" t="str">
        <f>IF(VLOOKUP(A188,'Revitalisation-Revitalisierung'!$A$4:$Z$275,13,FALSE)="","",VLOOKUP(A188,'Revitalisation-Revitalisierung'!$A$4:$Z$275,13,FALSE))</f>
        <v>Très nécessaire, difficile / unbedingt nötig, schwierig</v>
      </c>
      <c r="BK188" s="870" t="str">
        <f>IF(VLOOKUP(A188,'Revitalisation-Revitalisierung'!$A$4:$Z$275,14,FALSE)="","",VLOOKUP(A188,'Revitalisation-Revitalisierung'!$A$4:$Z$275,14,FALSE))</f>
        <v>b</v>
      </c>
      <c r="BL188" s="758" t="str">
        <f>IF(VLOOKUP(A188,'Revitalisation-Revitalisierung'!$A$4:$Z$275,15,FALSE)="","",VLOOKUP(A188,'Revitalisation-Revitalisierung'!$A$4:$Z$275,15,FALSE))</f>
        <v>gross</v>
      </c>
      <c r="BM188" s="759" t="str">
        <f>IF(VLOOKUP(A188,'Revitalisation-Revitalisierung'!$A$4:$Z$275,16,FALSE)="","",VLOOKUP(A188,'Revitalisation-Revitalisierung'!$A$4:$Z$275,16,FALSE))</f>
        <v>natürlich</v>
      </c>
      <c r="BN188" s="759" t="str">
        <f>IF(VLOOKUP(A188,'Revitalisation-Revitalisierung'!$A$4:$Z$275,17,FALSE)="","",VLOOKUP(A188,'Revitalisation-Revitalisierung'!$A$4:$Z$275,17,FALSE))</f>
        <v>tief</v>
      </c>
      <c r="BO188" s="760" t="str">
        <f>IF(VLOOKUP(A188,'Revitalisation-Revitalisierung'!$A$4:$Z$275,18,FALSE)="","",VLOOKUP(A188,'Revitalisation-Revitalisierung'!$A$4:$Z$275,18,FALSE))</f>
        <v>Non nécessaire / nicht nötig</v>
      </c>
      <c r="BP188" s="761" t="str">
        <f>IF(VLOOKUP(A188,'Revitalisation-Revitalisierung'!$A$4:$Z$275,19,FALSE)="","",VLOOKUP(A188,'Revitalisation-Revitalisierung'!$A$4:$Z$275,19,FALSE))</f>
        <v>Non nécessaire / nicht nötig</v>
      </c>
      <c r="BQ188" s="759" t="str">
        <f>IF(VLOOKUP(A188,'Revitalisation-Revitalisierung'!$A$4:$Z$275,20,FALSE)="","",VLOOKUP(A188,'Revitalisation-Revitalisierung'!$A$4:$Z$275,20,FALSE))</f>
        <v>c</v>
      </c>
      <c r="BR188" s="759" t="str">
        <f>IF(VLOOKUP(A188,'Revitalisation-Revitalisierung'!$A$4:$Z$275,21,FALSE)="","",VLOOKUP(A188,'Revitalisation-Revitalisierung'!$A$4:$Z$275,21,FALSE))</f>
        <v/>
      </c>
      <c r="BS188" s="762" t="str">
        <f>IF(VLOOKUP(A188,'Revitalisation-Revitalisierung'!$A$4:$Z$275,22,FALSE)="","",VLOOKUP(A188,'Revitalisation-Revitalisierung'!$A$4:$Z$275,22,FALSE))</f>
        <v/>
      </c>
      <c r="BT188" s="703" t="str">
        <f>IF(VLOOKUP(A188,'Revitalisation-Revitalisierung'!$A$4:$Z$275,23,FALSE)="","",VLOOKUP(A188,'Revitalisation-Revitalisierung'!$A$4:$Z$275,23,FALSE))</f>
        <v/>
      </c>
      <c r="BU188" s="704" t="str">
        <f>IF(VLOOKUP(A188,'Revitalisation-Revitalisierung'!$A$4:$Z$275,24,FALSE)="","",VLOOKUP(A188,'Revitalisation-Revitalisierung'!$A$4:$Z$275,24,FALSE))</f>
        <v>Pas de données disponibles</v>
      </c>
      <c r="BV188" s="761" t="str">
        <f>IF(VLOOKUP(A188,'Revitalisation-Revitalisierung'!$A$4:$Z$275,25,FALSE)="","",VLOOKUP(A188,'Revitalisation-Revitalisierung'!$A$4:$Z$275,25,FALSE))</f>
        <v>Non nécessaire / nicht nötig</v>
      </c>
      <c r="BW188" s="871" t="str">
        <f>IF(VLOOKUP(A188,'Revitalisation-Revitalisierung'!$A$4:$AA$275,27,FALSE)="","",VLOOKUP(A188,'Revitalisation-Revitalisierung'!$A$4:$AA$275,27,FALSE))</f>
        <v>a</v>
      </c>
    </row>
    <row r="189" spans="1:75" ht="105.6" customHeight="1" x14ac:dyDescent="0.25">
      <c r="A189" s="1230">
        <v>311</v>
      </c>
      <c r="B189" s="856">
        <f>IF(VLOOKUP(A189,'Données de base - Grunddaten'!$A$2:$M$297,2,FALSE)="","",VLOOKUP(A189,'Données de base - Grunddaten'!$A$2:$M$297,2,FALSE))</f>
        <v>1</v>
      </c>
      <c r="C189" s="857" t="str">
        <f>IF(VLOOKUP(A189,'Données de base - Grunddaten'!$A$2:$M$297,3,FALSE)="","",VLOOKUP(A189,'Données de base - Grunddaten'!$A$2:$M$297,3,FALSE))</f>
        <v>Cerniat-La Valsainte</v>
      </c>
      <c r="D189" s="857" t="str">
        <f>IF(VLOOKUP(A189,'Données de base - Grunddaten'!$A$2:$M$297,4,FALSE)="","",VLOOKUP(A189,'Données de base - Grunddaten'!$A$2:$M$297,4,FALSE))</f>
        <v>Le Javro</v>
      </c>
      <c r="E189" s="857" t="str">
        <f>IF(VLOOKUP(A189,'Données de base - Grunddaten'!$A$2:$M$297,5,FALSE)="","",VLOOKUP(A189,'Données de base - Grunddaten'!$A$2:$M$297,5,FALSE))</f>
        <v>FR</v>
      </c>
      <c r="F189" s="857" t="str">
        <f>IF(VLOOKUP(A189,'Données de base - Grunddaten'!$A$2:$M$297,6,FALSE)="","",VLOOKUP(A189,'Données de base - Grunddaten'!$A$2:$M$297,6,FALSE))</f>
        <v>Préalpes, Alpes septentrionales</v>
      </c>
      <c r="G189" s="857" t="str">
        <f>IF(VLOOKUP(A189,'Données de base - Grunddaten'!$A$2:$M$297,7,FALSE)="","",VLOOKUP(A189,'Données de base - Grunddaten'!$A$2:$M$297,7,FALSE))</f>
        <v xml:space="preserve">Montagnard sup. </v>
      </c>
      <c r="H189" s="857" t="str">
        <f>IF(VLOOKUP(A189,'Données de base - Grunddaten'!$A$2:$M$297,8,FALSE)="","",VLOOKUP(A189,'Données de base - Grunddaten'!$A$2:$M$297,8,FALSE))</f>
        <v>900 m</v>
      </c>
      <c r="I189" s="857" t="str">
        <f>IF(VLOOKUP(A189,'Données de base - Grunddaten'!$A$2:$M$297,9,FALSE)="","",VLOOKUP(A189,'Données de base - Grunddaten'!$A$2:$M$297,9,FALSE))</f>
        <v>candidat</v>
      </c>
      <c r="J189" s="857">
        <f>IF(VLOOKUP(A189,'Données de base - Grunddaten'!$A$2:$M$297,10,FALSE)="","",VLOOKUP(A189,'Données de base - Grunddaten'!$A$2:$M$297,10,FALSE))</f>
        <v>41</v>
      </c>
      <c r="K189" s="857" t="str">
        <f>IF(VLOOKUP(A189,'Données de base - Grunddaten'!$A$2:$M$297,11,FALSE)="","",VLOOKUP(A189,'Données de base - Grunddaten'!$A$2:$M$297,11,FALSE))</f>
        <v>Cours d'eau naturels de l'étage montagnard</v>
      </c>
      <c r="L189" s="857" t="str">
        <f>IF(VLOOKUP(A189,'Données de base - Grunddaten'!$A$2:$M$297,12,FALSE)="","",VLOOKUP(A189,'Données de base - Grunddaten'!$A$2:$M$297,12,FALSE))</f>
        <v>en méandres migrants</v>
      </c>
      <c r="M189" s="858" t="str">
        <f>IF(VLOOKUP(A189,'Données de base - Grunddaten'!$A$2:$M$297,13,FALSE)="","",VLOOKUP(A189,'Données de base - Grunddaten'!$A$2:$M$297,13,FALSE))</f>
        <v>en méandres migrants</v>
      </c>
      <c r="N189" s="872" t="str">
        <f>IF(VLOOKUP(A189,'Charriage - Geschiebehaushalt'!$A$4:$R$275,5,FALSE)="","",VLOOKUP(A189,'Charriage - Geschiebehaushalt'!$A$4:$R$275,5,FALSE))</f>
        <v>pertinent</v>
      </c>
      <c r="O189" s="881" t="str">
        <f>IF(VLOOKUP(A189,'Charriage - Geschiebehaushalt'!$A$4:$R$275,6,FALSE)="","",VLOOKUP(A189,'Charriage - Geschiebehaushalt'!$A$4:$R$275,6,FALSE))</f>
        <v>non documenté</v>
      </c>
      <c r="P189" s="874" t="str">
        <f>IF(VLOOKUP(A189,'Charriage - Geschiebehaushalt'!$A$4:$R$275,7,FALSE)="","",VLOOKUP(A189,'Charriage - Geschiebehaushalt'!$A$4:$R$275,7,FALSE))</f>
        <v/>
      </c>
      <c r="Q189" s="874" t="str">
        <f>IF(VLOOKUP(A189,'Charriage - Geschiebehaushalt'!$A$4:$R$275,8,FALSE)="","",VLOOKUP(A189,'Charriage - Geschiebehaushalt'!$A$4:$R$275,8,FALSE))</f>
        <v>non documenté</v>
      </c>
      <c r="R189" s="875">
        <f>IF(VLOOKUP(A189,'Charriage - Geschiebehaushalt'!$A$4:$R$275,9,FALSE)="","",VLOOKUP(A189,'Charriage - Geschiebehaushalt'!$A$4:$R$275,9,FALSE))</f>
        <v>6.8000000000000005E-2</v>
      </c>
      <c r="S189" s="876" t="str">
        <f>IF(VLOOKUP(A189,'Charriage - Geschiebehaushalt'!$A$4:$R$275,10,FALSE)="","",VLOOKUP(A189,'Charriage - Geschiebehaushalt'!$A$4:$R$275,10,FALSE))</f>
        <v>pas ou faiblement entravé</v>
      </c>
      <c r="T189" s="875">
        <f>IF(VLOOKUP(A189,'Charriage - Geschiebehaushalt'!$A$4:$R$275,11,FALSE)="","",VLOOKUP(A189,'Charriage - Geschiebehaushalt'!$A$4:$R$275,11,FALSE))</f>
        <v>0.33800000000000002</v>
      </c>
      <c r="U189" s="876" t="str">
        <f>IF(VLOOKUP(A189,'Charriage - Geschiebehaushalt'!$A$4:$R$275,12,FALSE)="","",VLOOKUP(A189,'Charriage - Geschiebehaushalt'!$A$4:$R$275,12,FALSE))</f>
        <v>déficit dans les formations pionnières</v>
      </c>
      <c r="V189" s="877" t="str">
        <f>IF(VLOOKUP(A189,'Charriage - Geschiebehaushalt'!$A$4:$R$275,13,FALSE)="","",VLOOKUP(A189,'Charriage - Geschiebehaushalt'!$A$4:$R$275,13,FALSE))</f>
        <v>Google: cours en tresses sinueux. Pas d'extraction visible ou notée sur la carte des atteintes</v>
      </c>
      <c r="W189" s="878" t="str">
        <f>IF(VLOOKUP(A189,'Charriage - Geschiebehaushalt'!$A$4:$R$275,14,FALSE)="","",VLOOKUP(A189,'Charriage - Geschiebehaushalt'!$A$4:$R$275,14,FALSE))</f>
        <v>charriage présumé naturel</v>
      </c>
      <c r="X189" s="878" t="str">
        <f>IF(VLOOKUP(A189,'Charriage - Geschiebehaushalt'!$A$4:$R$275,15,FALSE)="","",VLOOKUP(A189,'Charriage - Geschiebehaushalt'!$A$4:$R$275,15,FALSE))</f>
        <v/>
      </c>
      <c r="Y189" s="882" t="str">
        <f>IF(VLOOKUP(A189,'Charriage - Geschiebehaushalt'!$A$4:$R$275,16,FALSE)="","",VLOOKUP(A189,'Charriage - Geschiebehaushalt'!$A$4:$R$275,16,FALSE))</f>
        <v/>
      </c>
      <c r="Z189" s="763" t="str">
        <f>IF(VLOOKUP(A189,'Charriage - Geschiebehaushalt'!$A$4:$R$275,17,FALSE)="","",VLOOKUP(A189,'Charriage - Geschiebehaushalt'!$A$4:$R$275,17,FALSE))</f>
        <v>Charriage présumé naturel / Geschiebehaushalt vermutlich natürlich</v>
      </c>
      <c r="AA189" s="880" t="str">
        <f>IF(VLOOKUP(A189,'Charriage - Geschiebehaushalt'!$A$4:$R$275,18,FALSE)="","",VLOOKUP(A189,'Charriage - Geschiebehaushalt'!$A$4:$R$275,18,FALSE))</f>
        <v>a</v>
      </c>
      <c r="AB189" s="737" t="str">
        <f>IF(VLOOKUP(A189,'Charriage - Geschiebehaushalt'!$A$4:$AC$275,19,FALSE)="","",VLOOKUP(A189,'Charriage - Geschiebehaushalt'!$A$4:$AC$275,19,FALSE))</f>
        <v>keine</v>
      </c>
      <c r="AC189" s="738">
        <f>IF(VLOOKUP(A189,'Charriage - Geschiebehaushalt'!$A$4:$AC$275,20,FALSE)="","",VLOOKUP(A189,'Charriage - Geschiebehaushalt'!$A$4:$AC$275,20,FALSE))</f>
        <v>0</v>
      </c>
      <c r="AD189" s="764" t="str">
        <f>IF(VLOOKUP(A189,'Charriage - Geschiebehaushalt'!$A$4:$AC$275,21,FALSE)="","",VLOOKUP(A189,'Charriage - Geschiebehaushalt'!$A$4:$AC$275,21,FALSE))</f>
        <v>0-20%</v>
      </c>
      <c r="AE189" s="740" t="str">
        <f>IF(VLOOKUP(A189,'Charriage - Geschiebehaushalt'!$A$4:$AC$275,22,FALSE)="","",VLOOKUP(A189,'Charriage - Geschiebehaushalt'!$A$4:$AC$275,22,FALSE))</f>
        <v>0-20%</v>
      </c>
      <c r="AF189" s="787" t="str">
        <f>IF(VLOOKUP(A189,'Charriage - Geschiebehaushalt'!$A$4:$AC$275,23,FALSE)="","",VLOOKUP(A189,'Charriage - Geschiebehaushalt'!$A$4:$AC$275,23,FALSE))</f>
        <v>d</v>
      </c>
      <c r="AG189" s="765" t="str">
        <f>IF(VLOOKUP(A189,'Charriage - Geschiebehaushalt'!$A$4:$AC$275,24,FALSE)="","",VLOOKUP(A189,'Charriage - Geschiebehaushalt'!$A$4:$AC$275,24,FALSE))</f>
        <v/>
      </c>
      <c r="AH189" s="764" t="str">
        <f>IF(VLOOKUP(A189,'Charriage - Geschiebehaushalt'!$A$4:$AC$275,25,FALSE)="","",VLOOKUP(A189,'Charriage - Geschiebehaushalt'!$A$4:$AC$275,25,FALSE))</f>
        <v/>
      </c>
      <c r="AI189" s="433" t="str">
        <f>IF(VLOOKUP(A189,'Charriage - Geschiebehaushalt'!$A$4:$AC$275,26,FALSE)="","",VLOOKUP(A189,'Charriage - Geschiebehaushalt'!$A$4:$AC$275,26,FALSE))</f>
        <v/>
      </c>
      <c r="AJ189" s="436" t="str">
        <f>IF(VLOOKUP(A189,'Charriage - Geschiebehaushalt'!$A$4:$AC$275,27,FALSE)="","",VLOOKUP(A189,'Charriage - Geschiebehaushalt'!$A$4:$AC$275,27,FALSE))</f>
        <v>OK</v>
      </c>
      <c r="AK189" s="801" t="str">
        <f>IF(VLOOKUP(A189,'Charriage - Geschiebehaushalt'!$A$4:$AC$275,28,FALSE)="","",VLOOKUP(A189,'Charriage - Geschiebehaushalt'!$A$4:$AC$275,28,FALSE))</f>
        <v>0-20%</v>
      </c>
      <c r="AL189" s="1285" t="str">
        <f>IF(VLOOKUP(A189,'Charriage - Geschiebehaushalt'!$A$4:$AD$275,30,FALSE)="","",VLOOKUP(A189,'Charriage - Geschiebehaushalt'!$A$4:$AD$275,30,FALSE))</f>
        <v>a</v>
      </c>
      <c r="AM189" s="1279" t="str">
        <f>IF(VLOOKUP(A189,'Débit - Abfluss'!$A$4:$K$275,5,FALSE)="","",VLOOKUP(A189,'Débit - Abfluss'!$A$4:$M$275,5,FALSE))</f>
        <v>non documenté</v>
      </c>
      <c r="AN189" s="868" t="str">
        <f>IF(VLOOKUP(A189,'Débit - Abfluss'!$A$4:$K$275,6,FALSE)="","",VLOOKUP(A189,'Débit - Abfluss'!$A$4:$M$275,6,FALSE))</f>
        <v>aucune information supplémentaire</v>
      </c>
      <c r="AO189" s="869" t="str">
        <f>IF(VLOOKUP(A189,'Débit - Abfluss'!$A$4:$K$275,7,FALSE)="","",VLOOKUP(A189,'Débit - Abfluss'!$A$4:$M$275,7,FALSE))</f>
        <v>aucune information supplémentaire</v>
      </c>
      <c r="AP189" s="766" t="str">
        <f>IF(VLOOKUP(A189,'Débit - Abfluss'!$A$4:$K$275,8,FALSE)="","",VLOOKUP(A189,'Débit - Abfluss'!$A$4:$M$275,8,FALSE))</f>
        <v>Régime présumé naturel (100%) / Abfluss vermutlich natürlich</v>
      </c>
      <c r="AQ189" s="742" t="str">
        <f>IF(VLOOKUP(A189,'Débit - Abfluss'!$A$4:$K$275,9,FALSE)="","",VLOOKUP(A189,'Débit - Abfluss'!$A$4:$M$275,9,FALSE))</f>
        <v>-</v>
      </c>
      <c r="AR189" s="767" t="str">
        <f>IF(VLOOKUP(A189,'Débit - Abfluss'!$A$4:$K$275,10,FALSE)="","",VLOOKUP(A189,'Débit - Abfluss'!$A$4:$M$275,10,FALSE))</f>
        <v>Régime présumé naturel (100%) / Abfluss vermutlich natürlich</v>
      </c>
      <c r="AS189" s="767" t="str">
        <f>IF(VLOOKUP(A189,'Débit - Abfluss'!$A$4:$K$275,11,FALSE)="","",VLOOKUP(A189,'Débit - Abfluss'!$A$4:$M$275,11,FALSE))</f>
        <v/>
      </c>
      <c r="AT189" s="744" t="str">
        <f>IF(VLOOKUP(A189,'Débit - Abfluss'!$A$4:$Q$275,12,FALSE)="","",VLOOKUP(A189,'Débit - Abfluss'!$A$4:$Q$275,12,FALSE))</f>
        <v/>
      </c>
      <c r="AU189" s="768" t="str">
        <f>IF(VLOOKUP(A189,'Débit - Abfluss'!$A$4:$Q$275,13,FALSE)="","",VLOOKUP(A189,'Débit - Abfluss'!$A$4:$Q$275,13,FALSE))</f>
        <v>ok</v>
      </c>
      <c r="AV189" s="746" t="str">
        <f>IF(VLOOKUP(A189,'Débit - Abfluss'!$A$4:$Q$275,14,FALSE)="","",VLOOKUP(A189,'Débit - Abfluss'!$A$4:$Q$275,14,FALSE))</f>
        <v/>
      </c>
      <c r="AW189" s="768" t="str">
        <f>IF(VLOOKUP(A189,'Débit - Abfluss'!$A$4:$Q$275,15,FALSE)="","",VLOOKUP(A189,'Débit - Abfluss'!$A$4:$Q$275,15,FALSE))</f>
        <v/>
      </c>
      <c r="AX189" s="677" t="str">
        <f>IF(VLOOKUP(A189,'Débit - Abfluss'!$A$4:$Q$275,16,FALSE)="","",VLOOKUP(A189,'Débit - Abfluss'!$A$4:$Q$275,16,FALSE))</f>
        <v/>
      </c>
      <c r="AY189" s="769" t="str">
        <f>IF(VLOOKUP(A189,'Débit - Abfluss'!$A$4:$Q$275,17,FALSE)="","",VLOOKUP(A189,'Débit - Abfluss'!$A$4:$Q$275,17,FALSE))</f>
        <v>Régime présumé naturel (100%) / Abfluss vermutlich natürlich</v>
      </c>
      <c r="AZ189" s="749" t="str">
        <f>IF(VLOOKUP(A189,'Eclusée - Schwall-Sunk'!$A$2:$F$273,5,FALSE)="","",VLOOKUP(A189,'Eclusée - Schwall-Sunk'!$A$2:$F$273,5,FALSE))</f>
        <v/>
      </c>
      <c r="BA189" s="750" t="str">
        <f>IF(VLOOKUP(A189,'Eclusée - Schwall-Sunk'!$A$2:$F$273,6,FALSE)="","",VLOOKUP(A189,'Eclusée - Schwall-Sunk'!$A$2:$F$273,6,FALSE))</f>
        <v>Non affecté / nicht betroffen</v>
      </c>
      <c r="BB189" s="751" t="str">
        <f>IF(VLOOKUP(A189,'Revitalisation-Revitalisierung'!$A$4:$Z$275,5,FALSE)="","",VLOOKUP(A189,'Revitalisation-Revitalisierung'!$A$4:$Z$275,5,FALSE))</f>
        <v/>
      </c>
      <c r="BC189" s="752" t="str">
        <f>IF(VLOOKUP(A189,'Revitalisation-Revitalisierung'!$A$4:$Z$275,6,FALSE)="","",VLOOKUP(A189,'Revitalisation-Revitalisierung'!$A$4:$Z$275,6,FALSE))</f>
        <v/>
      </c>
      <c r="BD189" s="752" t="str">
        <f>IF(VLOOKUP(A189,'Revitalisation-Revitalisierung'!$A$4:$Z$275,7,FALSE)="","",VLOOKUP(A189,'Revitalisation-Revitalisierung'!$A$4:$Z$275,7,FALSE))</f>
        <v/>
      </c>
      <c r="BE189" s="753" t="str">
        <f>IF(VLOOKUP(A189,'Revitalisation-Revitalisierung'!$A$4:$Z$275,8,FALSE)="","",VLOOKUP(A189,'Revitalisation-Revitalisierung'!$A$4:$Z$275,8,FALSE))</f>
        <v>non nécessaire</v>
      </c>
      <c r="BF189" s="754" t="str">
        <f>IF(VLOOKUP(A189,'Revitalisation-Revitalisierung'!$A$4:$Z$275,9,FALSE)="","",VLOOKUP(A189,'Revitalisation-Revitalisierung'!$A$4:$Z$275,9,FALSE))</f>
        <v>nicht nötig</v>
      </c>
      <c r="BG189" s="754" t="str">
        <f>IF(VLOOKUP(A189,'Revitalisation-Revitalisierung'!$A$4:$Z$275,10,FALSE)="","",VLOOKUP(A189,'Revitalisation-Revitalisierung'!$A$4:$Z$275,10,FALSE))</f>
        <v/>
      </c>
      <c r="BH189" s="755" t="str">
        <f>IF(VLOOKUP(A189,'Revitalisation-Revitalisierung'!$A$4:$Z$275,11,FALSE)="","",VLOOKUP(A189,'Revitalisation-Revitalisierung'!$A$4:$Z$275,11,FALSE))</f>
        <v/>
      </c>
      <c r="BI189" s="756" t="str">
        <f>IF(VLOOKUP(A189,'Revitalisation-Revitalisierung'!$A$4:$Z$275,12,FALSE)="","",VLOOKUP(A189,'Revitalisation-Revitalisierung'!$A$4:$Z$275,12,FALSE))</f>
        <v/>
      </c>
      <c r="BJ189" s="788" t="str">
        <f>IF(VLOOKUP(A189,'Revitalisation-Revitalisierung'!$A$4:$Z$275,13,FALSE)="","",VLOOKUP(A189,'Revitalisation-Revitalisierung'!$A$4:$Z$275,13,FALSE))</f>
        <v>Non nécessaire / nicht nötig</v>
      </c>
      <c r="BK189" s="870" t="str">
        <f>IF(VLOOKUP(A189,'Revitalisation-Revitalisierung'!$A$4:$Z$275,14,FALSE)="","",VLOOKUP(A189,'Revitalisation-Revitalisierung'!$A$4:$Z$275,14,FALSE))</f>
        <v>a</v>
      </c>
      <c r="BL189" s="758" t="str">
        <f>IF(VLOOKUP(A189,'Revitalisation-Revitalisierung'!$A$4:$Z$275,15,FALSE)="","",VLOOKUP(A189,'Revitalisation-Revitalisierung'!$A$4:$Z$275,15,FALSE))</f>
        <v>gross</v>
      </c>
      <c r="BM189" s="759" t="str">
        <f>IF(VLOOKUP(A189,'Revitalisation-Revitalisierung'!$A$4:$Z$275,16,FALSE)="","",VLOOKUP(A189,'Revitalisation-Revitalisierung'!$A$4:$Z$275,16,FALSE))</f>
        <v>natürlich</v>
      </c>
      <c r="BN189" s="759" t="str">
        <f>IF(VLOOKUP(A189,'Revitalisation-Revitalisierung'!$A$4:$Z$275,17,FALSE)="","",VLOOKUP(A189,'Revitalisation-Revitalisierung'!$A$4:$Z$275,17,FALSE))</f>
        <v>tief</v>
      </c>
      <c r="BO189" s="760" t="str">
        <f>IF(VLOOKUP(A189,'Revitalisation-Revitalisierung'!$A$4:$Z$275,18,FALSE)="","",VLOOKUP(A189,'Revitalisation-Revitalisierung'!$A$4:$Z$275,18,FALSE))</f>
        <v>Non nécessaire / nicht nötig</v>
      </c>
      <c r="BP189" s="761" t="str">
        <f>IF(VLOOKUP(A189,'Revitalisation-Revitalisierung'!$A$4:$Z$275,19,FALSE)="","",VLOOKUP(A189,'Revitalisation-Revitalisierung'!$A$4:$Z$275,19,FALSE))</f>
        <v>Non nécessaire / nicht nötig</v>
      </c>
      <c r="BQ189" s="759" t="str">
        <f>IF(VLOOKUP(A189,'Revitalisation-Revitalisierung'!$A$4:$Z$275,20,FALSE)="","",VLOOKUP(A189,'Revitalisation-Revitalisierung'!$A$4:$Z$275,20,FALSE))</f>
        <v>d</v>
      </c>
      <c r="BR189" s="809" t="str">
        <f>IF(VLOOKUP(A189,'Revitalisation-Revitalisierung'!$A$4:$Z$275,21,FALSE)="","",VLOOKUP(A189,'Revitalisation-Revitalisierung'!$A$4:$Z$275,21,FALSE))</f>
        <v/>
      </c>
      <c r="BS189" s="810" t="str">
        <f>IF(VLOOKUP(A189,'Revitalisation-Revitalisierung'!$A$4:$Z$275,22,FALSE)="","",VLOOKUP(A189,'Revitalisation-Revitalisierung'!$A$4:$Z$275,22,FALSE))</f>
        <v/>
      </c>
      <c r="BT189" s="703" t="str">
        <f>IF(VLOOKUP(A189,'Revitalisation-Revitalisierung'!$A$4:$Z$275,23,FALSE)="","",VLOOKUP(A189,'Revitalisation-Revitalisierung'!$A$4:$Z$275,23,FALSE))</f>
        <v/>
      </c>
      <c r="BU189" s="704" t="str">
        <f>IF(VLOOKUP(A189,'Revitalisation-Revitalisierung'!$A$4:$Z$275,24,FALSE)="","",VLOOKUP(A189,'Revitalisation-Revitalisierung'!$A$4:$Z$275,24,FALSE))</f>
        <v>Modifier Nutzen : gering     
 Modifier Priorität :  gering</v>
      </c>
      <c r="BV189" s="761" t="str">
        <f>IF(VLOOKUP(A189,'Revitalisation-Revitalisierung'!$A$4:$Z$275,25,FALSE)="","",VLOOKUP(A189,'Revitalisation-Revitalisierung'!$A$4:$Z$275,25,FALSE))</f>
        <v>Non nécessaire / nicht nötig</v>
      </c>
      <c r="BW189" s="871" t="str">
        <f>IF(VLOOKUP(A189,'Revitalisation-Revitalisierung'!$A$4:$AA$275,27,FALSE)="","",VLOOKUP(A189,'Revitalisation-Revitalisierung'!$A$4:$AA$275,27,FALSE))</f>
        <v>a</v>
      </c>
    </row>
    <row r="190" spans="1:75" ht="90" customHeight="1" x14ac:dyDescent="0.25">
      <c r="A190" s="1230">
        <v>312</v>
      </c>
      <c r="B190" s="856">
        <f>IF(VLOOKUP(A190,'Données de base - Grunddaten'!$A$2:$M$297,2,FALSE)="","",VLOOKUP(A190,'Données de base - Grunddaten'!$A$2:$M$297,2,FALSE))</f>
        <v>1</v>
      </c>
      <c r="C190" s="857" t="str">
        <f>IF(VLOOKUP(A190,'Données de base - Grunddaten'!$A$2:$M$297,3,FALSE)="","",VLOOKUP(A190,'Données de base - Grunddaten'!$A$2:$M$297,3,FALSE))</f>
        <v>Plasselb</v>
      </c>
      <c r="D190" s="857" t="str">
        <f>IF(VLOOKUP(A190,'Données de base - Grunddaten'!$A$2:$M$297,4,FALSE)="","",VLOOKUP(A190,'Données de base - Grunddaten'!$A$2:$M$297,4,FALSE))</f>
        <v>Ärgera</v>
      </c>
      <c r="E190" s="857" t="str">
        <f>IF(VLOOKUP(A190,'Données de base - Grunddaten'!$A$2:$M$297,5,FALSE)="","",VLOOKUP(A190,'Données de base - Grunddaten'!$A$2:$M$297,5,FALSE))</f>
        <v>FR</v>
      </c>
      <c r="F190" s="857" t="str">
        <f>IF(VLOOKUP(A190,'Données de base - Grunddaten'!$A$2:$M$297,6,FALSE)="","",VLOOKUP(A190,'Données de base - Grunddaten'!$A$2:$M$297,6,FALSE))</f>
        <v>Préalpes</v>
      </c>
      <c r="G190" s="857" t="str">
        <f>IF(VLOOKUP(A190,'Données de base - Grunddaten'!$A$2:$M$297,7,FALSE)="","",VLOOKUP(A190,'Données de base - Grunddaten'!$A$2:$M$297,7,FALSE))</f>
        <v>Montagnard sup.</v>
      </c>
      <c r="H190" s="857" t="str">
        <f>IF(VLOOKUP(A190,'Données de base - Grunddaten'!$A$2:$M$297,8,FALSE)="","",VLOOKUP(A190,'Données de base - Grunddaten'!$A$2:$M$297,8,FALSE))</f>
        <v>960 m</v>
      </c>
      <c r="I190" s="857" t="str">
        <f>IF(VLOOKUP(A190,'Données de base - Grunddaten'!$A$2:$M$297,9,FALSE)="","",VLOOKUP(A190,'Données de base - Grunddaten'!$A$2:$M$297,9,FALSE))</f>
        <v>candidat</v>
      </c>
      <c r="J190" s="857">
        <f>IF(VLOOKUP(A190,'Données de base - Grunddaten'!$A$2:$M$297,10,FALSE)="","",VLOOKUP(A190,'Données de base - Grunddaten'!$A$2:$M$297,10,FALSE))</f>
        <v>41</v>
      </c>
      <c r="K190" s="857" t="str">
        <f>IF(VLOOKUP(A190,'Données de base - Grunddaten'!$A$2:$M$297,11,FALSE)="","",VLOOKUP(A190,'Données de base - Grunddaten'!$A$2:$M$297,11,FALSE))</f>
        <v>Cours d'eau naturels de l'étage montagnard</v>
      </c>
      <c r="L190" s="857" t="str">
        <f>IF(VLOOKUP(A190,'Données de base - Grunddaten'!$A$2:$M$297,12,FALSE)="","",VLOOKUP(A190,'Données de base - Grunddaten'!$A$2:$M$297,12,FALSE))</f>
        <v>en tresses</v>
      </c>
      <c r="M190" s="858" t="str">
        <f>IF(VLOOKUP(A190,'Données de base - Grunddaten'!$A$2:$M$297,13,FALSE)="","",VLOOKUP(A190,'Données de base - Grunddaten'!$A$2:$M$297,13,FALSE))</f>
        <v>en tresses</v>
      </c>
      <c r="N190" s="872" t="str">
        <f>IF(VLOOKUP(A190,'Charriage - Geschiebehaushalt'!$A$4:$R$275,5,FALSE)="","",VLOOKUP(A190,'Charriage - Geschiebehaushalt'!$A$4:$R$275,5,FALSE))</f>
        <v>pertinent</v>
      </c>
      <c r="O190" s="881" t="str">
        <f>IF(VLOOKUP(A190,'Charriage - Geschiebehaushalt'!$A$4:$R$275,6,FALSE)="","",VLOOKUP(A190,'Charriage - Geschiebehaushalt'!$A$4:$R$275,6,FALSE))</f>
        <v>non documenté</v>
      </c>
      <c r="P190" s="874" t="str">
        <f>IF(VLOOKUP(A190,'Charriage - Geschiebehaushalt'!$A$4:$R$275,7,FALSE)="","",VLOOKUP(A190,'Charriage - Geschiebehaushalt'!$A$4:$R$275,7,FALSE))</f>
        <v/>
      </c>
      <c r="Q190" s="874" t="str">
        <f>IF(VLOOKUP(A190,'Charriage - Geschiebehaushalt'!$A$4:$R$275,8,FALSE)="","",VLOOKUP(A190,'Charriage - Geschiebehaushalt'!$A$4:$R$275,8,FALSE))</f>
        <v>non documenté</v>
      </c>
      <c r="R190" s="875">
        <f>IF(VLOOKUP(A190,'Charriage - Geschiebehaushalt'!$A$4:$R$275,9,FALSE)="","",VLOOKUP(A190,'Charriage - Geschiebehaushalt'!$A$4:$R$275,9,FALSE))</f>
        <v>0</v>
      </c>
      <c r="S190" s="876" t="str">
        <f>IF(VLOOKUP(A190,'Charriage - Geschiebehaushalt'!$A$4:$R$275,10,FALSE)="","",VLOOKUP(A190,'Charriage - Geschiebehaushalt'!$A$4:$R$275,10,FALSE))</f>
        <v>pas ou faiblement entravé</v>
      </c>
      <c r="T190" s="875">
        <f>IF(VLOOKUP(A190,'Charriage - Geschiebehaushalt'!$A$4:$R$275,11,FALSE)="","",VLOOKUP(A190,'Charriage - Geschiebehaushalt'!$A$4:$R$275,11,FALSE))</f>
        <v>0.379</v>
      </c>
      <c r="U190" s="895" t="str">
        <f>IF(VLOOKUP(A190,'Charriage - Geschiebehaushalt'!$A$4:$R$275,12,FALSE)="","",VLOOKUP(A190,'Charriage - Geschiebehaushalt'!$A$4:$R$275,12,FALSE))</f>
        <v>déficit non apparent en charriage ou en remobilisation des sédiments</v>
      </c>
      <c r="V190" s="878" t="str">
        <f>IF(VLOOKUP(A190,'Charriage - Geschiebehaushalt'!$A$4:$R$275,13,FALSE)="","",VLOOKUP(A190,'Charriage - Geschiebehaushalt'!$A$4:$R$275,13,FALSE))</f>
        <v/>
      </c>
      <c r="W190" s="878" t="str">
        <f>IF(VLOOKUP(A190,'Charriage - Geschiebehaushalt'!$A$4:$R$275,14,FALSE)="","",VLOOKUP(A190,'Charriage - Geschiebehaushalt'!$A$4:$R$275,14,FALSE))</f>
        <v/>
      </c>
      <c r="X190" s="878" t="str">
        <f>IF(VLOOKUP(A190,'Charriage - Geschiebehaushalt'!$A$4:$R$275,15,FALSE)="","",VLOOKUP(A190,'Charriage - Geschiebehaushalt'!$A$4:$R$275,15,FALSE))</f>
        <v/>
      </c>
      <c r="Y190" s="882" t="str">
        <f>IF(VLOOKUP(A190,'Charriage - Geschiebehaushalt'!$A$4:$R$275,16,FALSE)="","",VLOOKUP(A190,'Charriage - Geschiebehaushalt'!$A$4:$R$275,16,FALSE))</f>
        <v/>
      </c>
      <c r="Z190" s="763" t="str">
        <f>IF(VLOOKUP(A190,'Charriage - Geschiebehaushalt'!$A$4:$R$275,17,FALSE)="","",VLOOKUP(A190,'Charriage - Geschiebehaushalt'!$A$4:$R$275,17,FALSE))</f>
        <v>Charriage présumé naturel / Geschiebehaushalt vermutlich natürlich</v>
      </c>
      <c r="AA190" s="880" t="str">
        <f>IF(VLOOKUP(A190,'Charriage - Geschiebehaushalt'!$A$4:$R$275,18,FALSE)="","",VLOOKUP(A190,'Charriage - Geschiebehaushalt'!$A$4:$R$275,18,FALSE))</f>
        <v>b</v>
      </c>
      <c r="AB190" s="737" t="str">
        <f>IF(VLOOKUP(A190,'Charriage - Geschiebehaushalt'!$A$4:$AC$275,19,FALSE)="","",VLOOKUP(A190,'Charriage - Geschiebehaushalt'!$A$4:$AC$275,19,FALSE))</f>
        <v>keine</v>
      </c>
      <c r="AC190" s="738">
        <f>IF(VLOOKUP(A190,'Charriage - Geschiebehaushalt'!$A$4:$AC$275,20,FALSE)="","",VLOOKUP(A190,'Charriage - Geschiebehaushalt'!$A$4:$AC$275,20,FALSE))</f>
        <v>0</v>
      </c>
      <c r="AD190" s="764" t="str">
        <f>IF(VLOOKUP(A190,'Charriage - Geschiebehaushalt'!$A$4:$AC$275,21,FALSE)="","",VLOOKUP(A190,'Charriage - Geschiebehaushalt'!$A$4:$AC$275,21,FALSE))</f>
        <v>0-20%</v>
      </c>
      <c r="AE190" s="740" t="str">
        <f>IF(VLOOKUP(A190,'Charriage - Geschiebehaushalt'!$A$4:$AC$275,22,FALSE)="","",VLOOKUP(A190,'Charriage - Geschiebehaushalt'!$A$4:$AC$275,22,FALSE))</f>
        <v>0-20%</v>
      </c>
      <c r="AF190" s="787" t="str">
        <f>IF(VLOOKUP(A190,'Charriage - Geschiebehaushalt'!$A$4:$AC$275,23,FALSE)="","",VLOOKUP(A190,'Charriage - Geschiebehaushalt'!$A$4:$AC$275,23,FALSE))</f>
        <v>d</v>
      </c>
      <c r="AG190" s="765" t="str">
        <f>IF(VLOOKUP(A190,'Charriage - Geschiebehaushalt'!$A$4:$AC$275,24,FALSE)="","",VLOOKUP(A190,'Charriage - Geschiebehaushalt'!$A$4:$AC$275,24,FALSE))</f>
        <v/>
      </c>
      <c r="AH190" s="764" t="str">
        <f>IF(VLOOKUP(A190,'Charriage - Geschiebehaushalt'!$A$4:$AC$275,25,FALSE)="","",VLOOKUP(A190,'Charriage - Geschiebehaushalt'!$A$4:$AC$275,25,FALSE))</f>
        <v/>
      </c>
      <c r="AI190" s="433" t="str">
        <f>IF(VLOOKUP(A190,'Charriage - Geschiebehaushalt'!$A$4:$AC$275,26,FALSE)="","",VLOOKUP(A190,'Charriage - Geschiebehaushalt'!$A$4:$AC$275,26,FALSE))</f>
        <v/>
      </c>
      <c r="AJ190" s="436" t="str">
        <f>IF(VLOOKUP(A190,'Charriage - Geschiebehaushalt'!$A$4:$AC$275,27,FALSE)="","",VLOOKUP(A190,'Charriage - Geschiebehaushalt'!$A$4:$AC$275,27,FALSE))</f>
        <v>OK</v>
      </c>
      <c r="AK190" s="801" t="str">
        <f>IF(VLOOKUP(A190,'Charriage - Geschiebehaushalt'!$A$4:$AC$275,28,FALSE)="","",VLOOKUP(A190,'Charriage - Geschiebehaushalt'!$A$4:$AC$275,28,FALSE))</f>
        <v>0-20%</v>
      </c>
      <c r="AL190" s="1285" t="str">
        <f>IF(VLOOKUP(A190,'Charriage - Geschiebehaushalt'!$A$4:$AD$275,30,FALSE)="","",VLOOKUP(A190,'Charriage - Geschiebehaushalt'!$A$4:$AD$275,30,FALSE))</f>
        <v>a</v>
      </c>
      <c r="AM190" s="1279" t="str">
        <f>IF(VLOOKUP(A190,'Débit - Abfluss'!$A$4:$K$275,5,FALSE)="","",VLOOKUP(A190,'Débit - Abfluss'!$A$4:$M$275,5,FALSE))</f>
        <v>non documenté</v>
      </c>
      <c r="AN190" s="868" t="str">
        <f>IF(VLOOKUP(A190,'Débit - Abfluss'!$A$4:$K$275,6,FALSE)="","",VLOOKUP(A190,'Débit - Abfluss'!$A$4:$M$275,6,FALSE))</f>
        <v>aucune information supplémentaire</v>
      </c>
      <c r="AO190" s="869" t="str">
        <f>IF(VLOOKUP(A190,'Débit - Abfluss'!$A$4:$K$275,7,FALSE)="","",VLOOKUP(A190,'Débit - Abfluss'!$A$4:$M$275,7,FALSE))</f>
        <v>aucune information supplémentaire</v>
      </c>
      <c r="AP190" s="766" t="str">
        <f>IF(VLOOKUP(A190,'Débit - Abfluss'!$A$4:$K$275,8,FALSE)="","",VLOOKUP(A190,'Débit - Abfluss'!$A$4:$M$275,8,FALSE))</f>
        <v>Régime présumé naturel (100%) / Abfluss vermutlich natürlich</v>
      </c>
      <c r="AQ190" s="742" t="str">
        <f>IF(VLOOKUP(A190,'Débit - Abfluss'!$A$4:$K$275,9,FALSE)="","",VLOOKUP(A190,'Débit - Abfluss'!$A$4:$M$275,9,FALSE))</f>
        <v>-</v>
      </c>
      <c r="AR190" s="767" t="str">
        <f>IF(VLOOKUP(A190,'Débit - Abfluss'!$A$4:$K$275,10,FALSE)="","",VLOOKUP(A190,'Débit - Abfluss'!$A$4:$M$275,10,FALSE))</f>
        <v>Régime présumé naturel (100%) / Abfluss vermutlich natürlich</v>
      </c>
      <c r="AS190" s="767" t="str">
        <f>IF(VLOOKUP(A190,'Débit - Abfluss'!$A$4:$K$275,11,FALSE)="","",VLOOKUP(A190,'Débit - Abfluss'!$A$4:$M$275,11,FALSE))</f>
        <v/>
      </c>
      <c r="AT190" s="744" t="str">
        <f>IF(VLOOKUP(A190,'Débit - Abfluss'!$A$4:$Q$275,12,FALSE)="","",VLOOKUP(A190,'Débit - Abfluss'!$A$4:$Q$275,12,FALSE))</f>
        <v/>
      </c>
      <c r="AU190" s="768" t="str">
        <f>IF(VLOOKUP(A190,'Débit - Abfluss'!$A$4:$Q$275,13,FALSE)="","",VLOOKUP(A190,'Débit - Abfluss'!$A$4:$Q$275,13,FALSE))</f>
        <v>ok</v>
      </c>
      <c r="AV190" s="746" t="str">
        <f>IF(VLOOKUP(A190,'Débit - Abfluss'!$A$4:$Q$275,14,FALSE)="","",VLOOKUP(A190,'Débit - Abfluss'!$A$4:$Q$275,14,FALSE))</f>
        <v/>
      </c>
      <c r="AW190" s="768" t="str">
        <f>IF(VLOOKUP(A190,'Débit - Abfluss'!$A$4:$Q$275,15,FALSE)="","",VLOOKUP(A190,'Débit - Abfluss'!$A$4:$Q$275,15,FALSE))</f>
        <v/>
      </c>
      <c r="AX190" s="677" t="str">
        <f>IF(VLOOKUP(A190,'Débit - Abfluss'!$A$4:$Q$275,16,FALSE)="","",VLOOKUP(A190,'Débit - Abfluss'!$A$4:$Q$275,16,FALSE))</f>
        <v/>
      </c>
      <c r="AY190" s="769" t="str">
        <f>IF(VLOOKUP(A190,'Débit - Abfluss'!$A$4:$Q$275,17,FALSE)="","",VLOOKUP(A190,'Débit - Abfluss'!$A$4:$Q$275,17,FALSE))</f>
        <v>Régime présumé naturel (100%) / Abfluss vermutlich natürlich</v>
      </c>
      <c r="AZ190" s="749" t="str">
        <f>IF(VLOOKUP(A190,'Eclusée - Schwall-Sunk'!$A$2:$F$273,5,FALSE)="","",VLOOKUP(A190,'Eclusée - Schwall-Sunk'!$A$2:$F$273,5,FALSE))</f>
        <v/>
      </c>
      <c r="BA190" s="750" t="str">
        <f>IF(VLOOKUP(A190,'Eclusée - Schwall-Sunk'!$A$2:$F$273,6,FALSE)="","",VLOOKUP(A190,'Eclusée - Schwall-Sunk'!$A$2:$F$273,6,FALSE))</f>
        <v>Non affecté / nicht betroffen</v>
      </c>
      <c r="BB190" s="751" t="str">
        <f>IF(VLOOKUP(A190,'Revitalisation-Revitalisierung'!$A$4:$Z$275,5,FALSE)="","",VLOOKUP(A190,'Revitalisation-Revitalisierung'!$A$4:$Z$275,5,FALSE))</f>
        <v/>
      </c>
      <c r="BC190" s="752" t="str">
        <f>IF(VLOOKUP(A190,'Revitalisation-Revitalisierung'!$A$4:$Z$275,6,FALSE)="","",VLOOKUP(A190,'Revitalisation-Revitalisierung'!$A$4:$Z$275,6,FALSE))</f>
        <v/>
      </c>
      <c r="BD190" s="752" t="str">
        <f>IF(VLOOKUP(A190,'Revitalisation-Revitalisierung'!$A$4:$Z$275,7,FALSE)="","",VLOOKUP(A190,'Revitalisation-Revitalisierung'!$A$4:$Z$275,7,FALSE))</f>
        <v/>
      </c>
      <c r="BE190" s="753" t="str">
        <f>IF(VLOOKUP(A190,'Revitalisation-Revitalisierung'!$A$4:$Z$275,8,FALSE)="","",VLOOKUP(A190,'Revitalisation-Revitalisierung'!$A$4:$Z$275,8,FALSE))</f>
        <v>non nécessaire</v>
      </c>
      <c r="BF190" s="754" t="str">
        <f>IF(VLOOKUP(A190,'Revitalisation-Revitalisierung'!$A$4:$Z$275,9,FALSE)="","",VLOOKUP(A190,'Revitalisation-Revitalisierung'!$A$4:$Z$275,9,FALSE))</f>
        <v>nicht nötig</v>
      </c>
      <c r="BG190" s="754" t="str">
        <f>IF(VLOOKUP(A190,'Revitalisation-Revitalisierung'!$A$4:$Z$275,10,FALSE)="","",VLOOKUP(A190,'Revitalisation-Revitalisierung'!$A$4:$Z$275,10,FALSE))</f>
        <v/>
      </c>
      <c r="BH190" s="755" t="str">
        <f>IF(VLOOKUP(A190,'Revitalisation-Revitalisierung'!$A$4:$Z$275,11,FALSE)="","",VLOOKUP(A190,'Revitalisation-Revitalisierung'!$A$4:$Z$275,11,FALSE))</f>
        <v/>
      </c>
      <c r="BI190" s="756" t="str">
        <f>IF(VLOOKUP(A190,'Revitalisation-Revitalisierung'!$A$4:$Z$275,12,FALSE)="","",VLOOKUP(A190,'Revitalisation-Revitalisierung'!$A$4:$Z$275,12,FALSE))</f>
        <v/>
      </c>
      <c r="BJ190" s="788" t="str">
        <f>IF(VLOOKUP(A190,'Revitalisation-Revitalisierung'!$A$4:$Z$275,13,FALSE)="","",VLOOKUP(A190,'Revitalisation-Revitalisierung'!$A$4:$Z$275,13,FALSE))</f>
        <v>Non nécessaire / nicht nötig</v>
      </c>
      <c r="BK190" s="870" t="str">
        <f>IF(VLOOKUP(A190,'Revitalisation-Revitalisierung'!$A$4:$Z$275,14,FALSE)="","",VLOOKUP(A190,'Revitalisation-Revitalisierung'!$A$4:$Z$275,14,FALSE))</f>
        <v>a</v>
      </c>
      <c r="BL190" s="758" t="str">
        <f>IF(VLOOKUP(A190,'Revitalisation-Revitalisierung'!$A$4:$Z$275,15,FALSE)="","",VLOOKUP(A190,'Revitalisation-Revitalisierung'!$A$4:$Z$275,15,FALSE))</f>
        <v>gross</v>
      </c>
      <c r="BM190" s="759" t="str">
        <f>IF(VLOOKUP(A190,'Revitalisation-Revitalisierung'!$A$4:$Z$275,16,FALSE)="","",VLOOKUP(A190,'Revitalisation-Revitalisierung'!$A$4:$Z$275,16,FALSE))</f>
        <v>natürlich</v>
      </c>
      <c r="BN190" s="759" t="str">
        <f>IF(VLOOKUP(A190,'Revitalisation-Revitalisierung'!$A$4:$Z$275,17,FALSE)="","",VLOOKUP(A190,'Revitalisation-Revitalisierung'!$A$4:$Z$275,17,FALSE))</f>
        <v>tief</v>
      </c>
      <c r="BO190" s="760" t="str">
        <f>IF(VLOOKUP(A190,'Revitalisation-Revitalisierung'!$A$4:$Z$275,18,FALSE)="","",VLOOKUP(A190,'Revitalisation-Revitalisierung'!$A$4:$Z$275,18,FALSE))</f>
        <v>Non nécessaire / nicht nötig</v>
      </c>
      <c r="BP190" s="761" t="str">
        <f>IF(VLOOKUP(A190,'Revitalisation-Revitalisierung'!$A$4:$Z$275,19,FALSE)="","",VLOOKUP(A190,'Revitalisation-Revitalisierung'!$A$4:$Z$275,19,FALSE))</f>
        <v>Non nécessaire / nicht nötig</v>
      </c>
      <c r="BQ190" s="759" t="str">
        <f>IF(VLOOKUP(A190,'Revitalisation-Revitalisierung'!$A$4:$Z$275,20,FALSE)="","",VLOOKUP(A190,'Revitalisation-Revitalisierung'!$A$4:$Z$275,20,FALSE))</f>
        <v>d</v>
      </c>
      <c r="BR190" s="759" t="str">
        <f>IF(VLOOKUP(A190,'Revitalisation-Revitalisierung'!$A$4:$Z$275,21,FALSE)="","",VLOOKUP(A190,'Revitalisation-Revitalisierung'!$A$4:$Z$275,21,FALSE))</f>
        <v/>
      </c>
      <c r="BS190" s="762" t="str">
        <f>IF(VLOOKUP(A190,'Revitalisation-Revitalisierung'!$A$4:$Z$275,22,FALSE)="","",VLOOKUP(A190,'Revitalisation-Revitalisierung'!$A$4:$Z$275,22,FALSE))</f>
        <v/>
      </c>
      <c r="BT190" s="703" t="str">
        <f>IF(VLOOKUP(A190,'Revitalisation-Revitalisierung'!$A$4:$Z$275,23,FALSE)="","",VLOOKUP(A190,'Revitalisation-Revitalisierung'!$A$4:$Z$275,23,FALSE))</f>
        <v/>
      </c>
      <c r="BU190" s="704" t="str">
        <f>IF(VLOOKUP(A190,'Revitalisation-Revitalisierung'!$A$4:$Z$275,24,FALSE)="","",VLOOKUP(A190,'Revitalisation-Revitalisierung'!$A$4:$Z$275,24,FALSE))</f>
        <v>Modifier Nutzen : gering      
Modifier Priorität :  gering</v>
      </c>
      <c r="BV190" s="761" t="str">
        <f>IF(VLOOKUP(A190,'Revitalisation-Revitalisierung'!$A$4:$Z$275,25,FALSE)="","",VLOOKUP(A190,'Revitalisation-Revitalisierung'!$A$4:$Z$275,25,FALSE))</f>
        <v>Non nécessaire / nicht nötig</v>
      </c>
      <c r="BW190" s="871" t="str">
        <f>IF(VLOOKUP(A190,'Revitalisation-Revitalisierung'!$A$4:$AA$275,27,FALSE)="","",VLOOKUP(A190,'Revitalisation-Revitalisierung'!$A$4:$AA$275,27,FALSE))</f>
        <v>a</v>
      </c>
    </row>
    <row r="191" spans="1:75" ht="58.15" customHeight="1" x14ac:dyDescent="0.25">
      <c r="A191" s="937">
        <v>313</v>
      </c>
      <c r="B191" s="856">
        <f>IF(VLOOKUP(A191,'Données de base - Grunddaten'!$A$2:$M$297,2,FALSE)="","",VLOOKUP(A191,'Données de base - Grunddaten'!$A$2:$M$297,2,FALSE))</f>
        <v>1</v>
      </c>
      <c r="C191" s="857" t="str">
        <f>IF(VLOOKUP(A191,'Données de base - Grunddaten'!$A$2:$M$297,3,FALSE)="","",VLOOKUP(A191,'Données de base - Grunddaten'!$A$2:$M$297,3,FALSE))</f>
        <v>Muscherensense</v>
      </c>
      <c r="D191" s="857" t="str">
        <f>IF(VLOOKUP(A191,'Données de base - Grunddaten'!$A$2:$M$297,4,FALSE)="","",VLOOKUP(A191,'Données de base - Grunddaten'!$A$2:$M$297,4,FALSE))</f>
        <v>Muscherensense</v>
      </c>
      <c r="E191" s="857" t="str">
        <f>IF(VLOOKUP(A191,'Données de base - Grunddaten'!$A$2:$M$297,5,FALSE)="","",VLOOKUP(A191,'Données de base - Grunddaten'!$A$2:$M$297,5,FALSE))</f>
        <v>FR</v>
      </c>
      <c r="F191" s="857" t="str">
        <f>IF(VLOOKUP(A191,'Données de base - Grunddaten'!$A$2:$M$297,6,FALSE)="","",VLOOKUP(A191,'Données de base - Grunddaten'!$A$2:$M$297,6,FALSE))</f>
        <v>Préalpes</v>
      </c>
      <c r="G191" s="857" t="str">
        <f>IF(VLOOKUP(A191,'Données de base - Grunddaten'!$A$2:$M$297,7,FALSE)="","",VLOOKUP(A191,'Données de base - Grunddaten'!$A$2:$M$297,7,FALSE))</f>
        <v>Montagnard sup.</v>
      </c>
      <c r="H191" s="857">
        <f>IF(VLOOKUP(A191,'Données de base - Grunddaten'!$A$2:$M$297,8,FALSE)="","",VLOOKUP(A191,'Données de base - Grunddaten'!$A$2:$M$297,8,FALSE))</f>
        <v>1100</v>
      </c>
      <c r="I191" s="857">
        <f>IF(VLOOKUP(A191,'Données de base - Grunddaten'!$A$2:$M$297,9,FALSE)="","",VLOOKUP(A191,'Données de base - Grunddaten'!$A$2:$M$297,9,FALSE))</f>
        <v>2003</v>
      </c>
      <c r="J191" s="857">
        <f>IF(VLOOKUP(A191,'Données de base - Grunddaten'!$A$2:$M$297,10,FALSE)="","",VLOOKUP(A191,'Données de base - Grunddaten'!$A$2:$M$297,10,FALSE))</f>
        <v>41</v>
      </c>
      <c r="K191" s="857" t="str">
        <f>IF(VLOOKUP(A191,'Données de base - Grunddaten'!$A$2:$M$297,11,FALSE)="","",VLOOKUP(A191,'Données de base - Grunddaten'!$A$2:$M$297,11,FALSE))</f>
        <v>Cours d'eau naturels de l'étage montagnard</v>
      </c>
      <c r="L191" s="857" t="str">
        <f>IF(VLOOKUP(A191,'Données de base - Grunddaten'!$A$2:$M$297,12,FALSE)="","",VLOOKUP(A191,'Données de base - Grunddaten'!$A$2:$M$297,12,FALSE))</f>
        <v>en tresses</v>
      </c>
      <c r="M191" s="858" t="str">
        <f>IF(VLOOKUP(A191,'Données de base - Grunddaten'!$A$2:$M$297,13,FALSE)="","",VLOOKUP(A191,'Données de base - Grunddaten'!$A$2:$M$297,13,FALSE))</f>
        <v>en tresses</v>
      </c>
      <c r="N191" s="872" t="str">
        <f>IF(VLOOKUP(A191,'Charriage - Geschiebehaushalt'!$A$4:$R$275,5,FALSE)="","",VLOOKUP(A191,'Charriage - Geschiebehaushalt'!$A$4:$R$275,5,FALSE))</f>
        <v>pertinent</v>
      </c>
      <c r="O191" s="881" t="str">
        <f>IF(VLOOKUP(A191,'Charriage - Geschiebehaushalt'!$A$4:$R$275,6,FALSE)="","",VLOOKUP(A191,'Charriage - Geschiebehaushalt'!$A$4:$R$275,6,FALSE))</f>
        <v>non documenté</v>
      </c>
      <c r="P191" s="874" t="str">
        <f>IF(VLOOKUP(A191,'Charriage - Geschiebehaushalt'!$A$4:$R$275,7,FALSE)="","",VLOOKUP(A191,'Charriage - Geschiebehaushalt'!$A$4:$R$275,7,FALSE))</f>
        <v/>
      </c>
      <c r="Q191" s="874" t="str">
        <f>IF(VLOOKUP(A191,'Charriage - Geschiebehaushalt'!$A$4:$R$275,8,FALSE)="","",VLOOKUP(A191,'Charriage - Geschiebehaushalt'!$A$4:$R$275,8,FALSE))</f>
        <v>non documenté</v>
      </c>
      <c r="R191" s="875">
        <f>IF(VLOOKUP(A191,'Charriage - Geschiebehaushalt'!$A$4:$R$275,9,FALSE)="","",VLOOKUP(A191,'Charriage - Geschiebehaushalt'!$A$4:$R$275,9,FALSE))</f>
        <v>4.2740109102057E-2</v>
      </c>
      <c r="S191" s="876" t="str">
        <f>IF(VLOOKUP(A191,'Charriage - Geschiebehaushalt'!$A$4:$R$275,10,FALSE)="","",VLOOKUP(A191,'Charriage - Geschiebehaushalt'!$A$4:$R$275,10,FALSE))</f>
        <v>pas ou faiblement entravé</v>
      </c>
      <c r="T191" s="875">
        <f>IF(VLOOKUP(A191,'Charriage - Geschiebehaushalt'!$A$4:$R$275,11,FALSE)="","",VLOOKUP(A191,'Charriage - Geschiebehaushalt'!$A$4:$R$275,11,FALSE))</f>
        <v>0.25552803032999999</v>
      </c>
      <c r="U191" s="876" t="str">
        <f>IF(VLOOKUP(A191,'Charriage - Geschiebehaushalt'!$A$4:$R$275,12,FALSE)="","",VLOOKUP(A191,'Charriage - Geschiebehaushalt'!$A$4:$R$275,12,FALSE))</f>
        <v>déficit dans les formations pionnières</v>
      </c>
      <c r="V191" s="877" t="str">
        <f>IF(VLOOKUP(A191,'Charriage - Geschiebehaushalt'!$A$4:$R$275,13,FALSE)="","",VLOOKUP(A191,'Charriage - Geschiebehaushalt'!$A$4:$R$275,13,FALSE))</f>
        <v>Objet naturel. Si extractions sécuritaire, peu d'effet sur le style</v>
      </c>
      <c r="W191" s="878" t="str">
        <f>IF(VLOOKUP(A191,'Charriage - Geschiebehaushalt'!$A$4:$R$275,14,FALSE)="","",VLOOKUP(A191,'Charriage - Geschiebehaushalt'!$A$4:$R$275,14,FALSE))</f>
        <v>charriage présumé naturel</v>
      </c>
      <c r="X191" s="878" t="str">
        <f>IF(VLOOKUP(A191,'Charriage - Geschiebehaushalt'!$A$4:$R$275,15,FALSE)="","",VLOOKUP(A191,'Charriage - Geschiebehaushalt'!$A$4:$R$275,15,FALSE))</f>
        <v/>
      </c>
      <c r="Y191" s="882" t="str">
        <f>IF(VLOOKUP(A191,'Charriage - Geschiebehaushalt'!$A$4:$R$275,16,FALSE)="","",VLOOKUP(A191,'Charriage - Geschiebehaushalt'!$A$4:$R$275,16,FALSE))</f>
        <v/>
      </c>
      <c r="Z191" s="763" t="str">
        <f>IF(VLOOKUP(A191,'Charriage - Geschiebehaushalt'!$A$4:$R$275,17,FALSE)="","",VLOOKUP(A191,'Charriage - Geschiebehaushalt'!$A$4:$R$275,17,FALSE))</f>
        <v>Charriage présumé naturel / Geschiebehaushalt vermutlich natürlich</v>
      </c>
      <c r="AA191" s="880" t="str">
        <f>IF(VLOOKUP(A191,'Charriage - Geschiebehaushalt'!$A$4:$R$275,18,FALSE)="","",VLOOKUP(A191,'Charriage - Geschiebehaushalt'!$A$4:$R$275,18,FALSE))</f>
        <v>b</v>
      </c>
      <c r="AB191" s="737" t="str">
        <f>IF(VLOOKUP(A191,'Charriage - Geschiebehaushalt'!$A$4:$AC$275,19,FALSE)="","",VLOOKUP(A191,'Charriage - Geschiebehaushalt'!$A$4:$AC$275,19,FALSE))</f>
        <v>keine</v>
      </c>
      <c r="AC191" s="738">
        <f>IF(VLOOKUP(A191,'Charriage - Geschiebehaushalt'!$A$4:$AC$275,20,FALSE)="","",VLOOKUP(A191,'Charriage - Geschiebehaushalt'!$A$4:$AC$275,20,FALSE))</f>
        <v>0</v>
      </c>
      <c r="AD191" s="764" t="str">
        <f>IF(VLOOKUP(A191,'Charriage - Geschiebehaushalt'!$A$4:$AC$275,21,FALSE)="","",VLOOKUP(A191,'Charriage - Geschiebehaushalt'!$A$4:$AC$275,21,FALSE))</f>
        <v>0-20%</v>
      </c>
      <c r="AE191" s="740" t="str">
        <f>IF(VLOOKUP(A191,'Charriage - Geschiebehaushalt'!$A$4:$AC$275,22,FALSE)="","",VLOOKUP(A191,'Charriage - Geschiebehaushalt'!$A$4:$AC$275,22,FALSE))</f>
        <v>0-20%</v>
      </c>
      <c r="AF191" s="787" t="str">
        <f>IF(VLOOKUP(A191,'Charriage - Geschiebehaushalt'!$A$4:$AC$275,23,FALSE)="","",VLOOKUP(A191,'Charriage - Geschiebehaushalt'!$A$4:$AC$275,23,FALSE))</f>
        <v>d</v>
      </c>
      <c r="AG191" s="765" t="str">
        <f>IF(VLOOKUP(A191,'Charriage - Geschiebehaushalt'!$A$4:$AC$275,24,FALSE)="","",VLOOKUP(A191,'Charriage - Geschiebehaushalt'!$A$4:$AC$275,24,FALSE))</f>
        <v/>
      </c>
      <c r="AH191" s="764" t="str">
        <f>IF(VLOOKUP(A191,'Charriage - Geschiebehaushalt'!$A$4:$AC$275,25,FALSE)="","",VLOOKUP(A191,'Charriage - Geschiebehaushalt'!$A$4:$AC$275,25,FALSE))</f>
        <v/>
      </c>
      <c r="AI191" s="433" t="str">
        <f>IF(VLOOKUP(A191,'Charriage - Geschiebehaushalt'!$A$4:$AC$275,26,FALSE)="","",VLOOKUP(A191,'Charriage - Geschiebehaushalt'!$A$4:$AC$275,26,FALSE))</f>
        <v/>
      </c>
      <c r="AJ191" s="436" t="str">
        <f>IF(VLOOKUP(A191,'Charriage - Geschiebehaushalt'!$A$4:$AC$275,27,FALSE)="","",VLOOKUP(A191,'Charriage - Geschiebehaushalt'!$A$4:$AC$275,27,FALSE))</f>
        <v>OK</v>
      </c>
      <c r="AK191" s="801" t="str">
        <f>IF(VLOOKUP(A191,'Charriage - Geschiebehaushalt'!$A$4:$AC$275,28,FALSE)="","",VLOOKUP(A191,'Charriage - Geschiebehaushalt'!$A$4:$AC$275,28,FALSE))</f>
        <v>0-20%</v>
      </c>
      <c r="AL191" s="1285" t="str">
        <f>IF(VLOOKUP(A191,'Charriage - Geschiebehaushalt'!$A$4:$AD$275,30,FALSE)="","",VLOOKUP(A191,'Charriage - Geschiebehaushalt'!$A$4:$AD$275,30,FALSE))</f>
        <v>a</v>
      </c>
      <c r="AM191" s="1279" t="str">
        <f>IF(VLOOKUP(A191,'Débit - Abfluss'!$A$4:$K$275,5,FALSE)="","",VLOOKUP(A191,'Débit - Abfluss'!$A$4:$M$275,5,FALSE))</f>
        <v>100%</v>
      </c>
      <c r="AN191" s="868" t="str">
        <f>IF(VLOOKUP(A191,'Débit - Abfluss'!$A$4:$K$275,6,FALSE)="","",VLOOKUP(A191,'Débit - Abfluss'!$A$4:$M$275,6,FALSE))</f>
        <v>aucune information supplémentaire</v>
      </c>
      <c r="AO191" s="869" t="str">
        <f>IF(VLOOKUP(A191,'Débit - Abfluss'!$A$4:$K$275,7,FALSE)="","",VLOOKUP(A191,'Débit - Abfluss'!$A$4:$M$275,7,FALSE))</f>
        <v>aucune information supplémentaire</v>
      </c>
      <c r="AP191" s="766" t="str">
        <f>IF(VLOOKUP(A191,'Débit - Abfluss'!$A$4:$K$275,8,FALSE)="","",VLOOKUP(A191,'Débit - Abfluss'!$A$4:$M$275,8,FALSE))</f>
        <v>100%</v>
      </c>
      <c r="AQ191" s="742" t="str">
        <f>IF(VLOOKUP(A191,'Débit - Abfluss'!$A$4:$K$275,9,FALSE)="","",VLOOKUP(A191,'Débit - Abfluss'!$A$4:$M$275,9,FALSE))</f>
        <v>-</v>
      </c>
      <c r="AR191" s="767" t="str">
        <f>IF(VLOOKUP(A191,'Débit - Abfluss'!$A$4:$K$275,10,FALSE)="","",VLOOKUP(A191,'Débit - Abfluss'!$A$4:$M$275,10,FALSE))</f>
        <v>100%</v>
      </c>
      <c r="AS191" s="767" t="str">
        <f>IF(VLOOKUP(A191,'Débit - Abfluss'!$A$4:$K$275,11,FALSE)="","",VLOOKUP(A191,'Débit - Abfluss'!$A$4:$M$275,11,FALSE))</f>
        <v/>
      </c>
      <c r="AT191" s="744" t="str">
        <f>IF(VLOOKUP(A191,'Débit - Abfluss'!$A$4:$Q$275,12,FALSE)="","",VLOOKUP(A191,'Débit - Abfluss'!$A$4:$Q$275,12,FALSE))</f>
        <v/>
      </c>
      <c r="AU191" s="768" t="str">
        <f>IF(VLOOKUP(A191,'Débit - Abfluss'!$A$4:$Q$275,13,FALSE)="","",VLOOKUP(A191,'Débit - Abfluss'!$A$4:$Q$275,13,FALSE))</f>
        <v>ok</v>
      </c>
      <c r="AV191" s="746" t="str">
        <f>IF(VLOOKUP(A191,'Débit - Abfluss'!$A$4:$Q$275,14,FALSE)="","",VLOOKUP(A191,'Débit - Abfluss'!$A$4:$Q$275,14,FALSE))</f>
        <v/>
      </c>
      <c r="AW191" s="768" t="str">
        <f>IF(VLOOKUP(A191,'Débit - Abfluss'!$A$4:$Q$275,15,FALSE)="","",VLOOKUP(A191,'Débit - Abfluss'!$A$4:$Q$275,15,FALSE))</f>
        <v/>
      </c>
      <c r="AX191" s="677" t="str">
        <f>IF(VLOOKUP(A191,'Débit - Abfluss'!$A$4:$Q$275,16,FALSE)="","",VLOOKUP(A191,'Débit - Abfluss'!$A$4:$Q$275,16,FALSE))</f>
        <v/>
      </c>
      <c r="AY191" s="769" t="str">
        <f>IF(VLOOKUP(A191,'Débit - Abfluss'!$A$4:$Q$275,17,FALSE)="","",VLOOKUP(A191,'Débit - Abfluss'!$A$4:$Q$275,17,FALSE))</f>
        <v>100%</v>
      </c>
      <c r="AZ191" s="749" t="str">
        <f>IF(VLOOKUP(A191,'Eclusée - Schwall-Sunk'!$A$2:$F$273,5,FALSE)="","",VLOOKUP(A191,'Eclusée - Schwall-Sunk'!$A$2:$F$273,5,FALSE))</f>
        <v/>
      </c>
      <c r="BA191" s="750" t="str">
        <f>IF(VLOOKUP(A191,'Eclusée - Schwall-Sunk'!$A$2:$F$273,6,FALSE)="","",VLOOKUP(A191,'Eclusée - Schwall-Sunk'!$A$2:$F$273,6,FALSE))</f>
        <v>Non affecté / nicht betroffen</v>
      </c>
      <c r="BB191" s="751">
        <f>IF(VLOOKUP(A191,'Revitalisation-Revitalisierung'!$A$4:$Z$275,5,FALSE)="","",VLOOKUP(A191,'Revitalisation-Revitalisierung'!$A$4:$Z$275,5,FALSE))</f>
        <v>-3.1818181818181817</v>
      </c>
      <c r="BC191" s="752">
        <f>IF(VLOOKUP(A191,'Revitalisation-Revitalisierung'!$A$4:$Z$275,6,FALSE)="","",VLOOKUP(A191,'Revitalisation-Revitalisierung'!$A$4:$Z$275,6,FALSE))</f>
        <v>0</v>
      </c>
      <c r="BD191" s="752">
        <f>IF(VLOOKUP(A191,'Revitalisation-Revitalisierung'!$A$4:$Z$275,7,FALSE)="","",VLOOKUP(A191,'Revitalisation-Revitalisierung'!$A$4:$Z$275,7,FALSE))</f>
        <v>3.1818181818181817</v>
      </c>
      <c r="BE191" s="753" t="str">
        <f>IF(VLOOKUP(A191,'Revitalisation-Revitalisierung'!$A$4:$Z$275,8,FALSE)="","",VLOOKUP(A191,'Revitalisation-Revitalisierung'!$A$4:$Z$275,8,FALSE))</f>
        <v>non nécessaire</v>
      </c>
      <c r="BF191" s="754" t="str">
        <f>IF(VLOOKUP(A191,'Revitalisation-Revitalisierung'!$A$4:$Z$275,9,FALSE)="","",VLOOKUP(A191,'Revitalisation-Revitalisierung'!$A$4:$Z$275,9,FALSE))</f>
        <v>nicht nötig</v>
      </c>
      <c r="BG191" s="754" t="str">
        <f>IF(VLOOKUP(A191,'Revitalisation-Revitalisierung'!$A$4:$Z$275,10,FALSE)="","",VLOOKUP(A191,'Revitalisation-Revitalisierung'!$A$4:$Z$275,10,FALSE))</f>
        <v>K3</v>
      </c>
      <c r="BH191" s="755" t="str">
        <f>IF(VLOOKUP(A191,'Revitalisation-Revitalisierung'!$A$4:$Z$275,11,FALSE)="","",VLOOKUP(A191,'Revitalisation-Revitalisierung'!$A$4:$Z$275,11,FALSE))</f>
        <v/>
      </c>
      <c r="BI191" s="756" t="str">
        <f>IF(VLOOKUP(A191,'Revitalisation-Revitalisierung'!$A$4:$Z$275,12,FALSE)="","",VLOOKUP(A191,'Revitalisation-Revitalisierung'!$A$4:$Z$275,12,FALSE))</f>
        <v/>
      </c>
      <c r="BJ191" s="788" t="str">
        <f>IF(VLOOKUP(A191,'Revitalisation-Revitalisierung'!$A$4:$Z$275,13,FALSE)="","",VLOOKUP(A191,'Revitalisation-Revitalisierung'!$A$4:$Z$275,13,FALSE))</f>
        <v>Non nécessaire / nicht nötig</v>
      </c>
      <c r="BK191" s="870" t="str">
        <f>IF(VLOOKUP(A191,'Revitalisation-Revitalisierung'!$A$4:$Z$275,14,FALSE)="","",VLOOKUP(A191,'Revitalisation-Revitalisierung'!$A$4:$Z$275,14,FALSE))</f>
        <v>a</v>
      </c>
      <c r="BL191" s="758" t="str">
        <f>IF(VLOOKUP(A191,'Revitalisation-Revitalisierung'!$A$4:$Z$275,15,FALSE)="","",VLOOKUP(A191,'Revitalisation-Revitalisierung'!$A$4:$Z$275,15,FALSE))</f>
        <v>gross</v>
      </c>
      <c r="BM191" s="759" t="str">
        <f>IF(VLOOKUP(A191,'Revitalisation-Revitalisierung'!$A$4:$Z$275,16,FALSE)="","",VLOOKUP(A191,'Revitalisation-Revitalisierung'!$A$4:$Z$275,16,FALSE))</f>
        <v>natürlich</v>
      </c>
      <c r="BN191" s="759" t="str">
        <f>IF(VLOOKUP(A191,'Revitalisation-Revitalisierung'!$A$4:$Z$275,17,FALSE)="","",VLOOKUP(A191,'Revitalisation-Revitalisierung'!$A$4:$Z$275,17,FALSE))</f>
        <v>tief</v>
      </c>
      <c r="BO191" s="760" t="str">
        <f>IF(VLOOKUP(A191,'Revitalisation-Revitalisierung'!$A$4:$Z$275,18,FALSE)="","",VLOOKUP(A191,'Revitalisation-Revitalisierung'!$A$4:$Z$275,18,FALSE))</f>
        <v>Non nécessaire / nicht nötig</v>
      </c>
      <c r="BP191" s="761" t="str">
        <f>IF(VLOOKUP(A191,'Revitalisation-Revitalisierung'!$A$4:$Z$275,19,FALSE)="","",VLOOKUP(A191,'Revitalisation-Revitalisierung'!$A$4:$Z$275,19,FALSE))</f>
        <v>Non nécessaire / nicht nötig</v>
      </c>
      <c r="BQ191" s="759" t="str">
        <f>IF(VLOOKUP(A191,'Revitalisation-Revitalisierung'!$A$4:$Z$275,20,FALSE)="","",VLOOKUP(A191,'Revitalisation-Revitalisierung'!$A$4:$Z$275,20,FALSE))</f>
        <v>d</v>
      </c>
      <c r="BR191" s="759" t="str">
        <f>IF(VLOOKUP(A191,'Revitalisation-Revitalisierung'!$A$4:$Z$275,21,FALSE)="","",VLOOKUP(A191,'Revitalisation-Revitalisierung'!$A$4:$Z$275,21,FALSE))</f>
        <v/>
      </c>
      <c r="BS191" s="762" t="str">
        <f>IF(VLOOKUP(A191,'Revitalisation-Revitalisierung'!$A$4:$Z$275,22,FALSE)="","",VLOOKUP(A191,'Revitalisation-Revitalisierung'!$A$4:$Z$275,22,FALSE))</f>
        <v/>
      </c>
      <c r="BT191" s="703" t="str">
        <f>IF(VLOOKUP(A191,'Revitalisation-Revitalisierung'!$A$4:$Z$275,23,FALSE)="","",VLOOKUP(A191,'Revitalisation-Revitalisierung'!$A$4:$Z$275,23,FALSE))</f>
        <v/>
      </c>
      <c r="BU191" s="704" t="str">
        <f>IF(VLOOKUP(A191,'Revitalisation-Revitalisierung'!$A$4:$Z$275,24,FALSE)="","",VLOOKUP(A191,'Revitalisation-Revitalisierung'!$A$4:$Z$275,24,FALSE))</f>
        <v>Modifier Nutzen : gering      
Modifier Priorität :  gering</v>
      </c>
      <c r="BV191" s="761" t="str">
        <f>IF(VLOOKUP(A191,'Revitalisation-Revitalisierung'!$A$4:$Z$275,25,FALSE)="","",VLOOKUP(A191,'Revitalisation-Revitalisierung'!$A$4:$Z$275,25,FALSE))</f>
        <v>Non nécessaire / nicht nötig</v>
      </c>
      <c r="BW191" s="871" t="str">
        <f>IF(VLOOKUP(A191,'Revitalisation-Revitalisierung'!$A$4:$AA$275,27,FALSE)="","",VLOOKUP(A191,'Revitalisation-Revitalisierung'!$A$4:$AA$275,27,FALSE))</f>
        <v>a</v>
      </c>
    </row>
    <row r="192" spans="1:75" ht="53.45" customHeight="1" x14ac:dyDescent="0.25">
      <c r="A192" s="937">
        <v>314</v>
      </c>
      <c r="B192" s="856">
        <f>IF(VLOOKUP(A192,'Données de base - Grunddaten'!$A$2:$M$297,2,FALSE)="","",VLOOKUP(A192,'Données de base - Grunddaten'!$A$2:$M$297,2,FALSE))</f>
        <v>1</v>
      </c>
      <c r="C192" s="857" t="str">
        <f>IF(VLOOKUP(A192,'Données de base - Grunddaten'!$A$2:$M$297,3,FALSE)="","",VLOOKUP(A192,'Données de base - Grunddaten'!$A$2:$M$297,3,FALSE))</f>
        <v>Kalte Sense</v>
      </c>
      <c r="D192" s="857" t="str">
        <f>IF(VLOOKUP(A192,'Données de base - Grunddaten'!$A$2:$M$297,4,FALSE)="","",VLOOKUP(A192,'Données de base - Grunddaten'!$A$2:$M$297,4,FALSE))</f>
        <v>Kalte Sense</v>
      </c>
      <c r="E192" s="857" t="str">
        <f>IF(VLOOKUP(A192,'Données de base - Grunddaten'!$A$2:$M$297,5,FALSE)="","",VLOOKUP(A192,'Données de base - Grunddaten'!$A$2:$M$297,5,FALSE))</f>
        <v>BE/FR</v>
      </c>
      <c r="F192" s="857" t="str">
        <f>IF(VLOOKUP(A192,'Données de base - Grunddaten'!$A$2:$M$297,6,FALSE)="","",VLOOKUP(A192,'Données de base - Grunddaten'!$A$2:$M$297,6,FALSE))</f>
        <v>Préalpes</v>
      </c>
      <c r="G192" s="857" t="str">
        <f>IF(VLOOKUP(A192,'Données de base - Grunddaten'!$A$2:$M$297,7,FALSE)="","",VLOOKUP(A192,'Données de base - Grunddaten'!$A$2:$M$297,7,FALSE))</f>
        <v>Montagnard sup.</v>
      </c>
      <c r="H192" s="857">
        <f>IF(VLOOKUP(A192,'Données de base - Grunddaten'!$A$2:$M$297,8,FALSE)="","",VLOOKUP(A192,'Données de base - Grunddaten'!$A$2:$M$297,8,FALSE))</f>
        <v>1000</v>
      </c>
      <c r="I192" s="857">
        <f>IF(VLOOKUP(A192,'Données de base - Grunddaten'!$A$2:$M$297,9,FALSE)="","",VLOOKUP(A192,'Données de base - Grunddaten'!$A$2:$M$297,9,FALSE))</f>
        <v>2003</v>
      </c>
      <c r="J192" s="857">
        <f>IF(VLOOKUP(A192,'Données de base - Grunddaten'!$A$2:$M$297,10,FALSE)="","",VLOOKUP(A192,'Données de base - Grunddaten'!$A$2:$M$297,10,FALSE))</f>
        <v>41</v>
      </c>
      <c r="K192" s="857" t="str">
        <f>IF(VLOOKUP(A192,'Données de base - Grunddaten'!$A$2:$M$297,11,FALSE)="","",VLOOKUP(A192,'Données de base - Grunddaten'!$A$2:$M$297,11,FALSE))</f>
        <v>Cours d'eau naturels de l'étage montagnard</v>
      </c>
      <c r="L192" s="857" t="str">
        <f>IF(VLOOKUP(A192,'Données de base - Grunddaten'!$A$2:$M$297,12,FALSE)="","",VLOOKUP(A192,'Données de base - Grunddaten'!$A$2:$M$297,12,FALSE))</f>
        <v>en tresses</v>
      </c>
      <c r="M192" s="858" t="str">
        <f>IF(VLOOKUP(A192,'Données de base - Grunddaten'!$A$2:$M$297,13,FALSE)="","",VLOOKUP(A192,'Données de base - Grunddaten'!$A$2:$M$297,13,FALSE))</f>
        <v>en tresses</v>
      </c>
      <c r="N192" s="872" t="str">
        <f>IF(VLOOKUP(A192,'Charriage - Geschiebehaushalt'!$A$4:$R$275,5,FALSE)="","",VLOOKUP(A192,'Charriage - Geschiebehaushalt'!$A$4:$R$275,5,FALSE))</f>
        <v>pertinent</v>
      </c>
      <c r="O192" s="873" t="str">
        <f>IF(VLOOKUP(A192,'Charriage - Geschiebehaushalt'!$A$4:$R$275,6,FALSE)="","",VLOOKUP(A192,'Charriage - Geschiebehaushalt'!$A$4:$R$275,6,FALSE))</f>
        <v>0-20%</v>
      </c>
      <c r="P192" s="874" t="str">
        <f>IF(VLOOKUP(A192,'Charriage - Geschiebehaushalt'!$A$4:$R$275,7,FALSE)="","",VLOOKUP(A192,'Charriage - Geschiebehaushalt'!$A$4:$R$275,7,FALSE))</f>
        <v/>
      </c>
      <c r="Q192" s="874" t="str">
        <f>IF(VLOOKUP(A192,'Charriage - Geschiebehaushalt'!$A$4:$R$275,8,FALSE)="","",VLOOKUP(A192,'Charriage - Geschiebehaushalt'!$A$4:$R$275,8,FALSE))</f>
        <v>non documenté</v>
      </c>
      <c r="R192" s="875">
        <f>IF(VLOOKUP(A192,'Charriage - Geschiebehaushalt'!$A$4:$R$275,9,FALSE)="","",VLOOKUP(A192,'Charriage - Geschiebehaushalt'!$A$4:$R$275,9,FALSE))</f>
        <v>0.184796316233175</v>
      </c>
      <c r="S192" s="876" t="str">
        <f>IF(VLOOKUP(A192,'Charriage - Geschiebehaushalt'!$A$4:$R$275,10,FALSE)="","",VLOOKUP(A192,'Charriage - Geschiebehaushalt'!$A$4:$R$275,10,FALSE))</f>
        <v>pas ou faiblement entravé</v>
      </c>
      <c r="T192" s="875">
        <f>IF(VLOOKUP(A192,'Charriage - Geschiebehaushalt'!$A$4:$R$275,11,FALSE)="","",VLOOKUP(A192,'Charriage - Geschiebehaushalt'!$A$4:$R$275,11,FALSE))</f>
        <v>0.26347365541000001</v>
      </c>
      <c r="U192" s="876" t="str">
        <f>IF(VLOOKUP(A192,'Charriage - Geschiebehaushalt'!$A$4:$R$275,12,FALSE)="","",VLOOKUP(A192,'Charriage - Geschiebehaushalt'!$A$4:$R$275,12,FALSE))</f>
        <v>déficit dans les formations pionnières</v>
      </c>
      <c r="V192" s="877" t="str">
        <f>IF(VLOOKUP(A192,'Charriage - Geschiebehaushalt'!$A$4:$R$275,13,FALSE)="","",VLOOKUP(A192,'Charriage - Geschiebehaushalt'!$A$4:$R$275,13,FALSE))</f>
        <v/>
      </c>
      <c r="W192" s="877" t="str">
        <f>IF(VLOOKUP(A192,'Charriage - Geschiebehaushalt'!$A$4:$R$275,14,FALSE)="","",VLOOKUP(A192,'Charriage - Geschiebehaushalt'!$A$4:$R$275,14,FALSE))</f>
        <v/>
      </c>
      <c r="X192" s="877" t="str">
        <f>IF(VLOOKUP(A192,'Charriage - Geschiebehaushalt'!$A$4:$R$275,15,FALSE)="","",VLOOKUP(A192,'Charriage - Geschiebehaushalt'!$A$4:$R$275,15,FALSE))</f>
        <v/>
      </c>
      <c r="Y192" s="879" t="str">
        <f>IF(VLOOKUP(A192,'Charriage - Geschiebehaushalt'!$A$4:$R$275,16,FALSE)="","",VLOOKUP(A192,'Charriage - Geschiebehaushalt'!$A$4:$R$275,16,FALSE))</f>
        <v/>
      </c>
      <c r="Z192" s="763" t="str">
        <f>IF(VLOOKUP(A192,'Charriage - Geschiebehaushalt'!$A$4:$R$275,17,FALSE)="","",VLOOKUP(A192,'Charriage - Geschiebehaushalt'!$A$4:$R$275,17,FALSE))</f>
        <v>0-20%</v>
      </c>
      <c r="AA192" s="880" t="str">
        <f>IF(VLOOKUP(A192,'Charriage - Geschiebehaushalt'!$A$4:$R$275,18,FALSE)="","",VLOOKUP(A192,'Charriage - Geschiebehaushalt'!$A$4:$R$275,18,FALSE))</f>
        <v>a</v>
      </c>
      <c r="AB192" s="737" t="str">
        <f>IF(VLOOKUP(A192,'Charriage - Geschiebehaushalt'!$A$4:$AC$275,19,FALSE)="","",VLOOKUP(A192,'Charriage - Geschiebehaushalt'!$A$4:$AC$275,19,FALSE))</f>
        <v>- /
keine</v>
      </c>
      <c r="AC192" s="738" t="str">
        <f>IF(VLOOKUP(A192,'Charriage - Geschiebehaushalt'!$A$4:$AC$275,20,FALSE)="","",VLOOKUP(A192,'Charriage - Geschiebehaushalt'!$A$4:$AC$275,20,FALSE))</f>
        <v>- /
-</v>
      </c>
      <c r="AD192" s="764" t="str">
        <f>IF(VLOOKUP(A192,'Charriage - Geschiebehaushalt'!$A$4:$AC$275,21,FALSE)="","",VLOOKUP(A192,'Charriage - Geschiebehaushalt'!$A$4:$AC$275,21,FALSE))</f>
        <v/>
      </c>
      <c r="AE192" s="740" t="str">
        <f>IF(VLOOKUP(A192,'Charriage - Geschiebehaushalt'!$A$4:$AC$275,22,FALSE)="","",VLOOKUP(A192,'Charriage - Geschiebehaushalt'!$A$4:$AC$275,22,FALSE))</f>
        <v>0-20%</v>
      </c>
      <c r="AF192" s="787" t="str">
        <f>IF(VLOOKUP(A192,'Charriage - Geschiebehaushalt'!$A$4:$AC$275,23,FALSE)="","",VLOOKUP(A192,'Charriage - Geschiebehaushalt'!$A$4:$AC$275,23,FALSE))</f>
        <v>d</v>
      </c>
      <c r="AG192" s="765" t="str">
        <f>IF(VLOOKUP(A192,'Charriage - Geschiebehaushalt'!$A$4:$AC$275,24,FALSE)="","",VLOOKUP(A192,'Charriage - Geschiebehaushalt'!$A$4:$AC$275,24,FALSE))</f>
        <v/>
      </c>
      <c r="AH192" s="764" t="str">
        <f>IF(VLOOKUP(A192,'Charriage - Geschiebehaushalt'!$A$4:$AC$275,25,FALSE)="","",VLOOKUP(A192,'Charriage - Geschiebehaushalt'!$A$4:$AC$275,25,FALSE))</f>
        <v/>
      </c>
      <c r="AI192" s="433" t="str">
        <f>IF(VLOOKUP(A192,'Charriage - Geschiebehaushalt'!$A$4:$AC$275,26,FALSE)="","",VLOOKUP(A192,'Charriage - Geschiebehaushalt'!$A$4:$AC$275,26,FALSE))</f>
        <v/>
      </c>
      <c r="AJ192" s="436" t="str">
        <f>IF(VLOOKUP(A192,'Charriage - Geschiebehaushalt'!$A$4:$AC$275,27,FALSE)="","",VLOOKUP(A192,'Charriage - Geschiebehaushalt'!$A$4:$AC$275,27,FALSE))</f>
        <v>OK (FR). Pas exprimé (BE)</v>
      </c>
      <c r="AK192" s="801" t="str">
        <f>IF(VLOOKUP(A192,'Charriage - Geschiebehaushalt'!$A$4:$AC$275,28,FALSE)="","",VLOOKUP(A192,'Charriage - Geschiebehaushalt'!$A$4:$AC$275,28,FALSE))</f>
        <v>0-20%</v>
      </c>
      <c r="AL192" s="1285" t="str">
        <f>IF(VLOOKUP(A192,'Charriage - Geschiebehaushalt'!$A$4:$AD$275,30,FALSE)="","",VLOOKUP(A192,'Charriage - Geschiebehaushalt'!$A$4:$AD$275,30,FALSE))</f>
        <v>a</v>
      </c>
      <c r="AM192" s="1279" t="str">
        <f>IF(VLOOKUP(A192,'Débit - Abfluss'!$A$4:$K$275,5,FALSE)="","",VLOOKUP(A192,'Débit - Abfluss'!$A$4:$M$275,5,FALSE))</f>
        <v>100%</v>
      </c>
      <c r="AN192" s="868" t="str">
        <f>IF(VLOOKUP(A192,'Débit - Abfluss'!$A$4:$K$275,6,FALSE)="","",VLOOKUP(A192,'Débit - Abfluss'!$A$4:$M$275,6,FALSE))</f>
        <v>aucune information supplémentaire</v>
      </c>
      <c r="AO192" s="869" t="str">
        <f>IF(VLOOKUP(A192,'Débit - Abfluss'!$A$4:$K$275,7,FALSE)="","",VLOOKUP(A192,'Débit - Abfluss'!$A$4:$M$275,7,FALSE))</f>
        <v>aucune information supplémentaire</v>
      </c>
      <c r="AP192" s="766" t="str">
        <f>IF(VLOOKUP(A192,'Débit - Abfluss'!$A$4:$K$275,8,FALSE)="","",VLOOKUP(A192,'Débit - Abfluss'!$A$4:$M$275,8,FALSE))</f>
        <v>100%</v>
      </c>
      <c r="AQ192" s="742" t="str">
        <f>IF(VLOOKUP(A192,'Débit - Abfluss'!$A$4:$K$275,9,FALSE)="","",VLOOKUP(A192,'Débit - Abfluss'!$A$4:$M$275,9,FALSE))</f>
        <v>-</v>
      </c>
      <c r="AR192" s="767" t="str">
        <f>IF(VLOOKUP(A192,'Débit - Abfluss'!$A$4:$K$275,10,FALSE)="","",VLOOKUP(A192,'Débit - Abfluss'!$A$4:$M$275,10,FALSE))</f>
        <v>100%</v>
      </c>
      <c r="AS192" s="767" t="str">
        <f>IF(VLOOKUP(A192,'Débit - Abfluss'!$A$4:$K$275,11,FALSE)="","",VLOOKUP(A192,'Débit - Abfluss'!$A$4:$M$275,11,FALSE))</f>
        <v/>
      </c>
      <c r="AT192" s="744" t="str">
        <f>IF(VLOOKUP(A192,'Débit - Abfluss'!$A$4:$Q$275,12,FALSE)="","",VLOOKUP(A192,'Débit - Abfluss'!$A$4:$Q$275,12,FALSE))</f>
        <v/>
      </c>
      <c r="AU192" s="768" t="str">
        <f>IF(VLOOKUP(A192,'Débit - Abfluss'!$A$4:$Q$275,13,FALSE)="","",VLOOKUP(A192,'Débit - Abfluss'!$A$4:$Q$275,13,FALSE))</f>
        <v>ok</v>
      </c>
      <c r="AV192" s="746" t="str">
        <f>IF(VLOOKUP(A192,'Débit - Abfluss'!$A$4:$Q$275,14,FALSE)="","",VLOOKUP(A192,'Débit - Abfluss'!$A$4:$Q$275,14,FALSE))</f>
        <v/>
      </c>
      <c r="AW192" s="768" t="str">
        <f>IF(VLOOKUP(A192,'Débit - Abfluss'!$A$4:$Q$275,15,FALSE)="","",VLOOKUP(A192,'Débit - Abfluss'!$A$4:$Q$275,15,FALSE))</f>
        <v/>
      </c>
      <c r="AX192" s="677" t="str">
        <f>IF(VLOOKUP(A192,'Débit - Abfluss'!$A$4:$Q$275,16,FALSE)="","",VLOOKUP(A192,'Débit - Abfluss'!$A$4:$Q$275,16,FALSE))</f>
        <v/>
      </c>
      <c r="AY192" s="769" t="str">
        <f>IF(VLOOKUP(A192,'Débit - Abfluss'!$A$4:$Q$275,17,FALSE)="","",VLOOKUP(A192,'Débit - Abfluss'!$A$4:$Q$275,17,FALSE))</f>
        <v>100%</v>
      </c>
      <c r="AZ192" s="749" t="str">
        <f>IF(VLOOKUP(A192,'Eclusée - Schwall-Sunk'!$A$2:$F$273,5,FALSE)="","",VLOOKUP(A192,'Eclusée - Schwall-Sunk'!$A$2:$F$273,5,FALSE))</f>
        <v/>
      </c>
      <c r="BA192" s="750" t="str">
        <f>IF(VLOOKUP(A192,'Eclusée - Schwall-Sunk'!$A$2:$F$273,6,FALSE)="","",VLOOKUP(A192,'Eclusée - Schwall-Sunk'!$A$2:$F$273,6,FALSE))</f>
        <v>Non affecté / nicht betroffen</v>
      </c>
      <c r="BB192" s="751">
        <f>IF(VLOOKUP(A192,'Revitalisation-Revitalisierung'!$A$4:$Z$275,5,FALSE)="","",VLOOKUP(A192,'Revitalisation-Revitalisierung'!$A$4:$Z$275,5,FALSE))</f>
        <v>6.0090909090909097</v>
      </c>
      <c r="BC192" s="752">
        <f>IF(VLOOKUP(A192,'Revitalisation-Revitalisierung'!$A$4:$Z$275,6,FALSE)="","",VLOOKUP(A192,'Revitalisation-Revitalisierung'!$A$4:$Z$275,6,FALSE))</f>
        <v>20.133256872098443</v>
      </c>
      <c r="BD192" s="752">
        <f>IF(VLOOKUP(A192,'Revitalisation-Revitalisierung'!$A$4:$Z$275,7,FALSE)="","",VLOOKUP(A192,'Revitalisation-Revitalisierung'!$A$4:$Z$275,7,FALSE))</f>
        <v>14.090909090909092</v>
      </c>
      <c r="BE192" s="753" t="str">
        <f>IF(VLOOKUP(A192,'Revitalisation-Revitalisierung'!$A$4:$Z$275,8,FALSE)="","",VLOOKUP(A192,'Revitalisation-Revitalisierung'!$A$4:$Z$275,8,FALSE))</f>
        <v>peu nécessaire, facile</v>
      </c>
      <c r="BF192" s="754" t="str">
        <f>IF(VLOOKUP(A192,'Revitalisation-Revitalisierung'!$A$4:$Z$275,9,FALSE)="","",VLOOKUP(A192,'Revitalisation-Revitalisierung'!$A$4:$Z$275,9,FALSE))</f>
        <v>nicht nötig</v>
      </c>
      <c r="BG192" s="754" t="str">
        <f>IF(VLOOKUP(A192,'Revitalisation-Revitalisierung'!$A$4:$Z$275,10,FALSE)="","",VLOOKUP(A192,'Revitalisation-Revitalisierung'!$A$4:$Z$275,10,FALSE))</f>
        <v>K3</v>
      </c>
      <c r="BH192" s="755" t="str">
        <f>IF(VLOOKUP(A192,'Revitalisation-Revitalisierung'!$A$4:$Z$275,11,FALSE)="","",VLOOKUP(A192,'Revitalisation-Revitalisierung'!$A$4:$Z$275,11,FALSE))</f>
        <v/>
      </c>
      <c r="BI192" s="756" t="str">
        <f>IF(VLOOKUP(A192,'Revitalisation-Revitalisierung'!$A$4:$Z$275,12,FALSE)="","",VLOOKUP(A192,'Revitalisation-Revitalisierung'!$A$4:$Z$275,12,FALSE))</f>
        <v/>
      </c>
      <c r="BJ192" s="788" t="str">
        <f>IF(VLOOKUP(A192,'Revitalisation-Revitalisierung'!$A$4:$Z$275,13,FALSE)="","",VLOOKUP(A192,'Revitalisation-Revitalisierung'!$A$4:$Z$275,13,FALSE))</f>
        <v>Partiellement nécessaire, facile / teilweise nötig, einfach</v>
      </c>
      <c r="BK192" s="870" t="str">
        <f>IF(VLOOKUP(A192,'Revitalisation-Revitalisierung'!$A$4:$Z$275,14,FALSE)="","",VLOOKUP(A192,'Revitalisation-Revitalisierung'!$A$4:$Z$275,14,FALSE))</f>
        <v>a</v>
      </c>
      <c r="BL192" s="758" t="str">
        <f>IF(VLOOKUP(A192,'Revitalisation-Revitalisierung'!$A$4:$Z$275,15,FALSE)="","",VLOOKUP(A192,'Revitalisation-Revitalisierung'!$A$4:$Z$275,15,FALSE))</f>
        <v>gross/mittel /
mittel</v>
      </c>
      <c r="BM192" s="759" t="str">
        <f>IF(VLOOKUP(A192,'Revitalisation-Revitalisierung'!$A$4:$Z$275,16,FALSE)="","",VLOOKUP(A192,'Revitalisation-Revitalisierung'!$A$4:$Z$275,16,FALSE))</f>
        <v>gering /
natürlich</v>
      </c>
      <c r="BN192" s="759" t="str">
        <f>IF(VLOOKUP(A192,'Revitalisation-Revitalisierung'!$A$4:$Z$275,17,FALSE)="","",VLOOKUP(A192,'Revitalisation-Revitalisierung'!$A$4:$Z$275,17,FALSE))</f>
        <v>- /
tief</v>
      </c>
      <c r="BO192" s="760" t="str">
        <f>IF(VLOOKUP(A192,'Revitalisation-Revitalisierung'!$A$4:$Z$275,18,FALSE)="","",VLOOKUP(A192,'Revitalisation-Revitalisierung'!$A$4:$Z$275,18,FALSE))</f>
        <v>Non nécessaire / nicht nötig</v>
      </c>
      <c r="BP192" s="761" t="str">
        <f>IF(VLOOKUP(A192,'Revitalisation-Revitalisierung'!$A$4:$Z$275,19,FALSE)="","",VLOOKUP(A192,'Revitalisation-Revitalisierung'!$A$4:$Z$275,19,FALSE))</f>
        <v>Non nécessaire / nicht nötig</v>
      </c>
      <c r="BQ192" s="759" t="str">
        <f>IF(VLOOKUP(A192,'Revitalisation-Revitalisierung'!$A$4:$Z$275,20,FALSE)="","",VLOOKUP(A192,'Revitalisation-Revitalisierung'!$A$4:$Z$275,20,FALSE))</f>
        <v>c</v>
      </c>
      <c r="BR192" s="759" t="str">
        <f>IF(VLOOKUP(A192,'Revitalisation-Revitalisierung'!$A$4:$Z$275,21,FALSE)="","",VLOOKUP(A192,'Revitalisation-Revitalisierung'!$A$4:$Z$275,21,FALSE))</f>
        <v>Cohérence entre les 2 cantons</v>
      </c>
      <c r="BS192" s="762" t="str">
        <f>IF(VLOOKUP(A192,'Revitalisation-Revitalisierung'!$A$4:$Z$275,22,FALSE)="","",VLOOKUP(A192,'Revitalisation-Revitalisierung'!$A$4:$Z$275,22,FALSE))</f>
        <v/>
      </c>
      <c r="BT192" s="703" t="str">
        <f>IF(VLOOKUP(A192,'Revitalisation-Revitalisierung'!$A$4:$Z$275,23,FALSE)="","",VLOOKUP(A192,'Revitalisation-Revitalisierung'!$A$4:$Z$275,23,FALSE))</f>
        <v/>
      </c>
      <c r="BU192" s="704" t="str">
        <f>IF(VLOOKUP(A192,'Revitalisation-Revitalisierung'!$A$4:$Z$275,24,FALSE)="","",VLOOKUP(A192,'Revitalisation-Revitalisierung'!$A$4:$Z$275,24,FALSE))</f>
        <v>Modifier Poten éco : Gross        
 Modifier Priorität :  gering</v>
      </c>
      <c r="BV192" s="761" t="str">
        <f>IF(VLOOKUP(A192,'Revitalisation-Revitalisierung'!$A$4:$Z$275,25,FALSE)="","",VLOOKUP(A192,'Revitalisation-Revitalisierung'!$A$4:$Z$275,25,FALSE))</f>
        <v>Non nécessaire / nicht nötig</v>
      </c>
      <c r="BW192" s="871" t="str">
        <f>IF(VLOOKUP(A192,'Revitalisation-Revitalisierung'!$A$4:$AA$275,27,FALSE)="","",VLOOKUP(A192,'Revitalisation-Revitalisierung'!$A$4:$AA$275,27,FALSE))</f>
        <v>a</v>
      </c>
    </row>
    <row r="193" spans="1:75" ht="59.45" customHeight="1" x14ac:dyDescent="0.25">
      <c r="A193" s="937">
        <v>315</v>
      </c>
      <c r="B193" s="856">
        <f>IF(VLOOKUP(A193,'Données de base - Grunddaten'!$A$2:$M$297,2,FALSE)="","",VLOOKUP(A193,'Données de base - Grunddaten'!$A$2:$M$297,2,FALSE))</f>
        <v>1</v>
      </c>
      <c r="C193" s="857" t="str">
        <f>IF(VLOOKUP(A193,'Données de base - Grunddaten'!$A$2:$M$297,3,FALSE)="","",VLOOKUP(A193,'Données de base - Grunddaten'!$A$2:$M$297,3,FALSE))</f>
        <v>Rotenbach</v>
      </c>
      <c r="D193" s="857" t="str">
        <f>IF(VLOOKUP(A193,'Données de base - Grunddaten'!$A$2:$M$297,4,FALSE)="","",VLOOKUP(A193,'Données de base - Grunddaten'!$A$2:$M$297,4,FALSE))</f>
        <v>Kalte Sense</v>
      </c>
      <c r="E193" s="857" t="str">
        <f>IF(VLOOKUP(A193,'Données de base - Grunddaten'!$A$2:$M$297,5,FALSE)="","",VLOOKUP(A193,'Données de base - Grunddaten'!$A$2:$M$297,5,FALSE))</f>
        <v>BE</v>
      </c>
      <c r="F193" s="857" t="str">
        <f>IF(VLOOKUP(A193,'Données de base - Grunddaten'!$A$2:$M$297,6,FALSE)="","",VLOOKUP(A193,'Données de base - Grunddaten'!$A$2:$M$297,6,FALSE))</f>
        <v>Préalpes</v>
      </c>
      <c r="G193" s="857" t="str">
        <f>IF(VLOOKUP(A193,'Données de base - Grunddaten'!$A$2:$M$297,7,FALSE)="","",VLOOKUP(A193,'Données de base - Grunddaten'!$A$2:$M$297,7,FALSE))</f>
        <v>Montagnard sup.</v>
      </c>
      <c r="H193" s="857">
        <f>IF(VLOOKUP(A193,'Données de base - Grunddaten'!$A$2:$M$297,8,FALSE)="","",VLOOKUP(A193,'Données de base - Grunddaten'!$A$2:$M$297,8,FALSE))</f>
        <v>1100</v>
      </c>
      <c r="I193" s="857">
        <f>IF(VLOOKUP(A193,'Données de base - Grunddaten'!$A$2:$M$297,9,FALSE)="","",VLOOKUP(A193,'Données de base - Grunddaten'!$A$2:$M$297,9,FALSE))</f>
        <v>2003</v>
      </c>
      <c r="J193" s="857">
        <f>IF(VLOOKUP(A193,'Données de base - Grunddaten'!$A$2:$M$297,10,FALSE)="","",VLOOKUP(A193,'Données de base - Grunddaten'!$A$2:$M$297,10,FALSE))</f>
        <v>41</v>
      </c>
      <c r="K193" s="857" t="str">
        <f>IF(VLOOKUP(A193,'Données de base - Grunddaten'!$A$2:$M$297,11,FALSE)="","",VLOOKUP(A193,'Données de base - Grunddaten'!$A$2:$M$297,11,FALSE))</f>
        <v>Cours d'eau naturels de l'étage montagnard</v>
      </c>
      <c r="L193" s="857" t="str">
        <f>IF(VLOOKUP(A193,'Données de base - Grunddaten'!$A$2:$M$297,12,FALSE)="","",VLOOKUP(A193,'Données de base - Grunddaten'!$A$2:$M$297,12,FALSE))</f>
        <v>en tresses</v>
      </c>
      <c r="M193" s="858" t="str">
        <f>IF(VLOOKUP(A193,'Données de base - Grunddaten'!$A$2:$M$297,13,FALSE)="","",VLOOKUP(A193,'Données de base - Grunddaten'!$A$2:$M$297,13,FALSE))</f>
        <v>en tresses</v>
      </c>
      <c r="N193" s="872" t="str">
        <f>IF(VLOOKUP(A193,'Charriage - Geschiebehaushalt'!$A$4:$R$275,5,FALSE)="","",VLOOKUP(A193,'Charriage - Geschiebehaushalt'!$A$4:$R$275,5,FALSE))</f>
        <v>pertinent</v>
      </c>
      <c r="O193" s="873" t="str">
        <f>IF(VLOOKUP(A193,'Charriage - Geschiebehaushalt'!$A$4:$R$275,6,FALSE)="","",VLOOKUP(A193,'Charriage - Geschiebehaushalt'!$A$4:$R$275,6,FALSE))</f>
        <v>21-50%</v>
      </c>
      <c r="P193" s="874" t="str">
        <f>IF(VLOOKUP(A193,'Charriage - Geschiebehaushalt'!$A$4:$R$275,7,FALSE)="","",VLOOKUP(A193,'Charriage - Geschiebehaushalt'!$A$4:$R$275,7,FALSE))</f>
        <v/>
      </c>
      <c r="Q193" s="874" t="str">
        <f>IF(VLOOKUP(A193,'Charriage - Geschiebehaushalt'!$A$4:$R$275,8,FALSE)="","",VLOOKUP(A193,'Charriage - Geschiebehaushalt'!$A$4:$R$275,8,FALSE))</f>
        <v>non documenté</v>
      </c>
      <c r="R193" s="875">
        <f>IF(VLOOKUP(A193,'Charriage - Geschiebehaushalt'!$A$4:$R$275,9,FALSE)="","",VLOOKUP(A193,'Charriage - Geschiebehaushalt'!$A$4:$R$275,9,FALSE))</f>
        <v>0.116792348415616</v>
      </c>
      <c r="S193" s="876" t="str">
        <f>IF(VLOOKUP(A193,'Charriage - Geschiebehaushalt'!$A$4:$R$275,10,FALSE)="","",VLOOKUP(A193,'Charriage - Geschiebehaushalt'!$A$4:$R$275,10,FALSE))</f>
        <v>pas ou faiblement entravé</v>
      </c>
      <c r="T193" s="875">
        <f>IF(VLOOKUP(A193,'Charriage - Geschiebehaushalt'!$A$4:$R$275,11,FALSE)="","",VLOOKUP(A193,'Charriage - Geschiebehaushalt'!$A$4:$R$275,11,FALSE))</f>
        <v>0.39006384274</v>
      </c>
      <c r="U193" s="876" t="str">
        <f>IF(VLOOKUP(A193,'Charriage - Geschiebehaushalt'!$A$4:$R$275,12,FALSE)="","",VLOOKUP(A193,'Charriage - Geschiebehaushalt'!$A$4:$R$275,12,FALSE))</f>
        <v>déficit non apparent en charriage ou en remobilisation des sédiments</v>
      </c>
      <c r="V193" s="877" t="str">
        <f>IF(VLOOKUP(A193,'Charriage - Geschiebehaushalt'!$A$4:$R$275,13,FALSE)="","",VLOOKUP(A193,'Charriage - Geschiebehaushalt'!$A$4:$R$275,13,FALSE))</f>
        <v/>
      </c>
      <c r="W193" s="877" t="str">
        <f>IF(VLOOKUP(A193,'Charriage - Geschiebehaushalt'!$A$4:$R$275,14,FALSE)="","",VLOOKUP(A193,'Charriage - Geschiebehaushalt'!$A$4:$R$275,14,FALSE))</f>
        <v/>
      </c>
      <c r="X193" s="877" t="str">
        <f>IF(VLOOKUP(A193,'Charriage - Geschiebehaushalt'!$A$4:$R$275,15,FALSE)="","",VLOOKUP(A193,'Charriage - Geschiebehaushalt'!$A$4:$R$275,15,FALSE))</f>
        <v/>
      </c>
      <c r="Y193" s="879" t="str">
        <f>IF(VLOOKUP(A193,'Charriage - Geschiebehaushalt'!$A$4:$R$275,16,FALSE)="","",VLOOKUP(A193,'Charriage - Geschiebehaushalt'!$A$4:$R$275,16,FALSE))</f>
        <v/>
      </c>
      <c r="Z193" s="763" t="str">
        <f>IF(VLOOKUP(A193,'Charriage - Geschiebehaushalt'!$A$4:$R$275,17,FALSE)="","",VLOOKUP(A193,'Charriage - Geschiebehaushalt'!$A$4:$R$275,17,FALSE))</f>
        <v>21-50%</v>
      </c>
      <c r="AA193" s="880" t="str">
        <f>IF(VLOOKUP(A193,'Charriage - Geschiebehaushalt'!$A$4:$R$275,18,FALSE)="","",VLOOKUP(A193,'Charriage - Geschiebehaushalt'!$A$4:$R$275,18,FALSE))</f>
        <v>a</v>
      </c>
      <c r="AB193" s="737" t="str">
        <f>IF(VLOOKUP(A193,'Charriage - Geschiebehaushalt'!$A$4:$AC$275,19,FALSE)="","",VLOOKUP(A193,'Charriage - Geschiebehaushalt'!$A$4:$AC$275,19,FALSE))</f>
        <v>-</v>
      </c>
      <c r="AC193" s="738" t="str">
        <f>IF(VLOOKUP(A193,'Charriage - Geschiebehaushalt'!$A$4:$AC$275,20,FALSE)="","",VLOOKUP(A193,'Charriage - Geschiebehaushalt'!$A$4:$AC$275,20,FALSE))</f>
        <v>-</v>
      </c>
      <c r="AD193" s="764" t="str">
        <f>IF(VLOOKUP(A193,'Charriage - Geschiebehaushalt'!$A$4:$AC$275,21,FALSE)="","",VLOOKUP(A193,'Charriage - Geschiebehaushalt'!$A$4:$AC$275,21,FALSE))</f>
        <v/>
      </c>
      <c r="AE193" s="740" t="str">
        <f>IF(VLOOKUP(A193,'Charriage - Geschiebehaushalt'!$A$4:$AC$275,22,FALSE)="","",VLOOKUP(A193,'Charriage - Geschiebehaushalt'!$A$4:$AC$275,22,FALSE))</f>
        <v>21-50%</v>
      </c>
      <c r="AF193" s="787" t="str">
        <f>IF(VLOOKUP(A193,'Charriage - Geschiebehaushalt'!$A$4:$AC$275,23,FALSE)="","",VLOOKUP(A193,'Charriage - Geschiebehaushalt'!$A$4:$AC$275,23,FALSE))</f>
        <v>a</v>
      </c>
      <c r="AG193" s="765" t="str">
        <f>IF(VLOOKUP(A193,'Charriage - Geschiebehaushalt'!$A$4:$AC$275,24,FALSE)="","",VLOOKUP(A193,'Charriage - Geschiebehaushalt'!$A$4:$AC$275,24,FALSE))</f>
        <v/>
      </c>
      <c r="AH193" s="764" t="str">
        <f>IF(VLOOKUP(A193,'Charriage - Geschiebehaushalt'!$A$4:$AC$275,25,FALSE)="","",VLOOKUP(A193,'Charriage - Geschiebehaushalt'!$A$4:$AC$275,25,FALSE))</f>
        <v/>
      </c>
      <c r="AI193" s="433" t="str">
        <f>IF(VLOOKUP(A193,'Charriage - Geschiebehaushalt'!$A$4:$AC$275,26,FALSE)="","",VLOOKUP(A193,'Charriage - Geschiebehaushalt'!$A$4:$AC$275,26,FALSE))</f>
        <v/>
      </c>
      <c r="AJ193" s="434" t="str">
        <f>IF(VLOOKUP(A193,'Charriage - Geschiebehaushalt'!$A$4:$AC$275,27,FALSE)="","",VLOOKUP(A193,'Charriage - Geschiebehaushalt'!$A$4:$AC$275,27,FALSE))</f>
        <v/>
      </c>
      <c r="AK193" s="801" t="str">
        <f>IF(VLOOKUP(A193,'Charriage - Geschiebehaushalt'!$A$4:$AC$275,28,FALSE)="","",VLOOKUP(A193,'Charriage - Geschiebehaushalt'!$A$4:$AC$275,28,FALSE))</f>
        <v>21-50%</v>
      </c>
      <c r="AL193" s="1285" t="str">
        <f>IF(VLOOKUP(A193,'Charriage - Geschiebehaushalt'!$A$4:$AD$275,30,FALSE)="","",VLOOKUP(A193,'Charriage - Geschiebehaushalt'!$A$4:$AD$275,30,FALSE))</f>
        <v>a</v>
      </c>
      <c r="AM193" s="1279" t="str">
        <f>IF(VLOOKUP(A193,'Débit - Abfluss'!$A$4:$K$275,5,FALSE)="","",VLOOKUP(A193,'Débit - Abfluss'!$A$4:$M$275,5,FALSE))</f>
        <v>100%</v>
      </c>
      <c r="AN193" s="868" t="str">
        <f>IF(VLOOKUP(A193,'Débit - Abfluss'!$A$4:$K$275,6,FALSE)="","",VLOOKUP(A193,'Débit - Abfluss'!$A$4:$M$275,6,FALSE))</f>
        <v>aucune information supplémentaire</v>
      </c>
      <c r="AO193" s="869" t="str">
        <f>IF(VLOOKUP(A193,'Débit - Abfluss'!$A$4:$K$275,7,FALSE)="","",VLOOKUP(A193,'Débit - Abfluss'!$A$4:$M$275,7,FALSE))</f>
        <v>aucune information supplémentaire</v>
      </c>
      <c r="AP193" s="766" t="str">
        <f>IF(VLOOKUP(A193,'Débit - Abfluss'!$A$4:$K$275,8,FALSE)="","",VLOOKUP(A193,'Débit - Abfluss'!$A$4:$M$275,8,FALSE))</f>
        <v>100%</v>
      </c>
      <c r="AQ193" s="742" t="str">
        <f>IF(VLOOKUP(A193,'Débit - Abfluss'!$A$4:$K$275,9,FALSE)="","",VLOOKUP(A193,'Débit - Abfluss'!$A$4:$M$275,9,FALSE))</f>
        <v>-</v>
      </c>
      <c r="AR193" s="767" t="str">
        <f>IF(VLOOKUP(A193,'Débit - Abfluss'!$A$4:$K$275,10,FALSE)="","",VLOOKUP(A193,'Débit - Abfluss'!$A$4:$M$275,10,FALSE))</f>
        <v>100%</v>
      </c>
      <c r="AS193" s="767" t="str">
        <f>IF(VLOOKUP(A193,'Débit - Abfluss'!$A$4:$K$275,11,FALSE)="","",VLOOKUP(A193,'Débit - Abfluss'!$A$4:$M$275,11,FALSE))</f>
        <v/>
      </c>
      <c r="AT193" s="744" t="str">
        <f>IF(VLOOKUP(A193,'Débit - Abfluss'!$A$4:$Q$275,12,FALSE)="","",VLOOKUP(A193,'Débit - Abfluss'!$A$4:$Q$275,12,FALSE))</f>
        <v/>
      </c>
      <c r="AU193" s="745" t="str">
        <f>IF(VLOOKUP(A193,'Débit - Abfluss'!$A$4:$Q$275,13,FALSE)="","",VLOOKUP(A193,'Débit - Abfluss'!$A$4:$Q$275,13,FALSE))</f>
        <v/>
      </c>
      <c r="AV193" s="746" t="str">
        <f>IF(VLOOKUP(A193,'Débit - Abfluss'!$A$4:$Q$275,14,FALSE)="","",VLOOKUP(A193,'Débit - Abfluss'!$A$4:$Q$275,14,FALSE))</f>
        <v/>
      </c>
      <c r="AW193" s="768" t="str">
        <f>IF(VLOOKUP(A193,'Débit - Abfluss'!$A$4:$Q$275,15,FALSE)="","",VLOOKUP(A193,'Débit - Abfluss'!$A$4:$Q$275,15,FALSE))</f>
        <v/>
      </c>
      <c r="AX193" s="677" t="str">
        <f>IF(VLOOKUP(A193,'Débit - Abfluss'!$A$4:$Q$275,16,FALSE)="","",VLOOKUP(A193,'Débit - Abfluss'!$A$4:$Q$275,16,FALSE))</f>
        <v/>
      </c>
      <c r="AY193" s="769" t="str">
        <f>IF(VLOOKUP(A193,'Débit - Abfluss'!$A$4:$Q$275,17,FALSE)="","",VLOOKUP(A193,'Débit - Abfluss'!$A$4:$Q$275,17,FALSE))</f>
        <v>100%</v>
      </c>
      <c r="AZ193" s="749" t="str">
        <f>IF(VLOOKUP(A193,'Eclusée - Schwall-Sunk'!$A$2:$F$273,5,FALSE)="","",VLOOKUP(A193,'Eclusée - Schwall-Sunk'!$A$2:$F$273,5,FALSE))</f>
        <v/>
      </c>
      <c r="BA193" s="750" t="str">
        <f>IF(VLOOKUP(A193,'Eclusée - Schwall-Sunk'!$A$2:$F$273,6,FALSE)="","",VLOOKUP(A193,'Eclusée - Schwall-Sunk'!$A$2:$F$273,6,FALSE))</f>
        <v>Non affecté / nicht betroffen</v>
      </c>
      <c r="BB193" s="751">
        <f>IF(VLOOKUP(A193,'Revitalisation-Revitalisierung'!$A$4:$Z$275,5,FALSE)="","",VLOOKUP(A193,'Revitalisation-Revitalisierung'!$A$4:$Z$275,5,FALSE))</f>
        <v>-9.0545454545454547</v>
      </c>
      <c r="BC193" s="752">
        <f>IF(VLOOKUP(A193,'Revitalisation-Revitalisierung'!$A$4:$Z$275,6,FALSE)="","",VLOOKUP(A193,'Revitalisation-Revitalisierung'!$A$4:$Z$275,6,FALSE))</f>
        <v>6.4038757871058438</v>
      </c>
      <c r="BD193" s="752">
        <f>IF(VLOOKUP(A193,'Revitalisation-Revitalisierung'!$A$4:$Z$275,7,FALSE)="","",VLOOKUP(A193,'Revitalisation-Revitalisierung'!$A$4:$Z$275,7,FALSE))</f>
        <v>15.454545454545455</v>
      </c>
      <c r="BE193" s="753" t="str">
        <f>IF(VLOOKUP(A193,'Revitalisation-Revitalisierung'!$A$4:$Z$275,8,FALSE)="","",VLOOKUP(A193,'Revitalisation-Revitalisierung'!$A$4:$Z$275,8,FALSE))</f>
        <v>peu nécessaire, facile</v>
      </c>
      <c r="BF193" s="754" t="str">
        <f>IF(VLOOKUP(A193,'Revitalisation-Revitalisierung'!$A$4:$Z$275,9,FALSE)="","",VLOOKUP(A193,'Revitalisation-Revitalisierung'!$A$4:$Z$275,9,FALSE))</f>
        <v>nicht nötig</v>
      </c>
      <c r="BG193" s="754" t="str">
        <f>IF(VLOOKUP(A193,'Revitalisation-Revitalisierung'!$A$4:$Z$275,10,FALSE)="","",VLOOKUP(A193,'Revitalisation-Revitalisierung'!$A$4:$Z$275,10,FALSE))</f>
        <v>K2</v>
      </c>
      <c r="BH193" s="755" t="str">
        <f>IF(VLOOKUP(A193,'Revitalisation-Revitalisierung'!$A$4:$Z$275,11,FALSE)="","",VLOOKUP(A193,'Revitalisation-Revitalisierung'!$A$4:$Z$275,11,FALSE))</f>
        <v/>
      </c>
      <c r="BI193" s="756" t="str">
        <f>IF(VLOOKUP(A193,'Revitalisation-Revitalisierung'!$A$4:$Z$275,12,FALSE)="","",VLOOKUP(A193,'Revitalisation-Revitalisierung'!$A$4:$Z$275,12,FALSE))</f>
        <v/>
      </c>
      <c r="BJ193" s="788" t="str">
        <f>IF(VLOOKUP(A193,'Revitalisation-Revitalisierung'!$A$4:$Z$275,13,FALSE)="","",VLOOKUP(A193,'Revitalisation-Revitalisierung'!$A$4:$Z$275,13,FALSE))</f>
        <v>Partiellement nécessaire, facile / teilweise nötig, einfach</v>
      </c>
      <c r="BK193" s="870" t="str">
        <f>IF(VLOOKUP(A193,'Revitalisation-Revitalisierung'!$A$4:$Z$275,14,FALSE)="","",VLOOKUP(A193,'Revitalisation-Revitalisierung'!$A$4:$Z$275,14,FALSE))</f>
        <v>a</v>
      </c>
      <c r="BL193" s="758" t="str">
        <f>IF(VLOOKUP(A193,'Revitalisation-Revitalisierung'!$A$4:$Z$275,15,FALSE)="","",VLOOKUP(A193,'Revitalisation-Revitalisierung'!$A$4:$Z$275,15,FALSE))</f>
        <v>gross</v>
      </c>
      <c r="BM193" s="759" t="str">
        <f>IF(VLOOKUP(A193,'Revitalisation-Revitalisierung'!$A$4:$Z$275,16,FALSE)="","",VLOOKUP(A193,'Revitalisation-Revitalisierung'!$A$4:$Z$275,16,FALSE))</f>
        <v>gering</v>
      </c>
      <c r="BN193" s="759" t="str">
        <f>IF(VLOOKUP(A193,'Revitalisation-Revitalisierung'!$A$4:$Z$275,17,FALSE)="","",VLOOKUP(A193,'Revitalisation-Revitalisierung'!$A$4:$Z$275,17,FALSE))</f>
        <v>-</v>
      </c>
      <c r="BO193" s="760" t="str">
        <f>IF(VLOOKUP(A193,'Revitalisation-Revitalisierung'!$A$4:$Z$275,18,FALSE)="","",VLOOKUP(A193,'Revitalisation-Revitalisierung'!$A$4:$Z$275,18,FALSE))</f>
        <v>Non nécessaire / nicht nötig</v>
      </c>
      <c r="BP193" s="761" t="str">
        <f>IF(VLOOKUP(A193,'Revitalisation-Revitalisierung'!$A$4:$Z$275,19,FALSE)="","",VLOOKUP(A193,'Revitalisation-Revitalisierung'!$A$4:$Z$275,19,FALSE))</f>
        <v>Non nécessaire / nicht nötig</v>
      </c>
      <c r="BQ193" s="759" t="str">
        <f>IF(VLOOKUP(A193,'Revitalisation-Revitalisierung'!$A$4:$Z$275,20,FALSE)="","",VLOOKUP(A193,'Revitalisation-Revitalisierung'!$A$4:$Z$275,20,FALSE))</f>
        <v>c</v>
      </c>
      <c r="BR193" s="759" t="str">
        <f>IF(VLOOKUP(A193,'Revitalisation-Revitalisierung'!$A$4:$Z$275,21,FALSE)="","",VLOOKUP(A193,'Revitalisation-Revitalisierung'!$A$4:$Z$275,21,FALSE))</f>
        <v/>
      </c>
      <c r="BS193" s="762" t="str">
        <f>IF(VLOOKUP(A193,'Revitalisation-Revitalisierung'!$A$4:$Z$275,22,FALSE)="","",VLOOKUP(A193,'Revitalisation-Revitalisierung'!$A$4:$Z$275,22,FALSE))</f>
        <v/>
      </c>
      <c r="BT193" s="703" t="str">
        <f>IF(VLOOKUP(A193,'Revitalisation-Revitalisierung'!$A$4:$Z$275,23,FALSE)="","",VLOOKUP(A193,'Revitalisation-Revitalisierung'!$A$4:$Z$275,23,FALSE))</f>
        <v/>
      </c>
      <c r="BU193" s="704" t="str">
        <f>IF(VLOOKUP(A193,'Revitalisation-Revitalisierung'!$A$4:$Z$275,24,FALSE)="","",VLOOKUP(A193,'Revitalisation-Revitalisierung'!$A$4:$Z$275,24,FALSE))</f>
        <v>nicht nötig</v>
      </c>
      <c r="BV193" s="761" t="str">
        <f>IF(VLOOKUP(A193,'Revitalisation-Revitalisierung'!$A$4:$Z$275,25,FALSE)="","",VLOOKUP(A193,'Revitalisation-Revitalisierung'!$A$4:$Z$275,25,FALSE))</f>
        <v>Non nécessaire / nicht nötig</v>
      </c>
      <c r="BW193" s="871" t="str">
        <f>IF(VLOOKUP(A193,'Revitalisation-Revitalisierung'!$A$4:$AA$275,27,FALSE)="","",VLOOKUP(A193,'Revitalisation-Revitalisierung'!$A$4:$AA$275,27,FALSE))</f>
        <v>a</v>
      </c>
    </row>
    <row r="194" spans="1:75" ht="95.45" customHeight="1" x14ac:dyDescent="0.25">
      <c r="A194" s="1230">
        <v>316</v>
      </c>
      <c r="B194" s="856">
        <f>IF(VLOOKUP(A194,'Données de base - Grunddaten'!$A$2:$M$297,2,FALSE)="","",VLOOKUP(A194,'Données de base - Grunddaten'!$A$2:$M$297,2,FALSE))</f>
        <v>1</v>
      </c>
      <c r="C194" s="857" t="str">
        <f>IF(VLOOKUP(A194,'Données de base - Grunddaten'!$A$2:$M$297,3,FALSE)="","",VLOOKUP(A194,'Données de base - Grunddaten'!$A$2:$M$297,3,FALSE))</f>
        <v>Heubach</v>
      </c>
      <c r="D194" s="857" t="str">
        <f>IF(VLOOKUP(A194,'Données de base - Grunddaten'!$A$2:$M$297,4,FALSE)="","",VLOOKUP(A194,'Données de base - Grunddaten'!$A$2:$M$297,4,FALSE))</f>
        <v>Schwarzwasser</v>
      </c>
      <c r="E194" s="857" t="str">
        <f>IF(VLOOKUP(A194,'Données de base - Grunddaten'!$A$2:$M$297,5,FALSE)="","",VLOOKUP(A194,'Données de base - Grunddaten'!$A$2:$M$297,5,FALSE))</f>
        <v>BE</v>
      </c>
      <c r="F194" s="857" t="str">
        <f>IF(VLOOKUP(A194,'Données de base - Grunddaten'!$A$2:$M$297,6,FALSE)="","",VLOOKUP(A194,'Données de base - Grunddaten'!$A$2:$M$297,6,FALSE))</f>
        <v>Préalpes</v>
      </c>
      <c r="G194" s="857" t="str">
        <f>IF(VLOOKUP(A194,'Données de base - Grunddaten'!$A$2:$M$297,7,FALSE)="","",VLOOKUP(A194,'Données de base - Grunddaten'!$A$2:$M$297,7,FALSE))</f>
        <v>Montagnard inf.</v>
      </c>
      <c r="H194" s="857" t="str">
        <f>IF(VLOOKUP(A194,'Données de base - Grunddaten'!$A$2:$M$297,8,FALSE)="","",VLOOKUP(A194,'Données de base - Grunddaten'!$A$2:$M$297,8,FALSE))</f>
        <v>860 m</v>
      </c>
      <c r="I194" s="857" t="str">
        <f>IF(VLOOKUP(A194,'Données de base - Grunddaten'!$A$2:$M$297,9,FALSE)="","",VLOOKUP(A194,'Données de base - Grunddaten'!$A$2:$M$297,9,FALSE))</f>
        <v>candidat</v>
      </c>
      <c r="J194" s="857">
        <f>IF(VLOOKUP(A194,'Données de base - Grunddaten'!$A$2:$M$297,10,FALSE)="","",VLOOKUP(A194,'Données de base - Grunddaten'!$A$2:$M$297,10,FALSE))</f>
        <v>41</v>
      </c>
      <c r="K194" s="857" t="str">
        <f>IF(VLOOKUP(A194,'Données de base - Grunddaten'!$A$2:$M$297,11,FALSE)="","",VLOOKUP(A194,'Données de base - Grunddaten'!$A$2:$M$297,11,FALSE))</f>
        <v>Cours d'eau naturels de l'étage montagnard</v>
      </c>
      <c r="L194" s="857" t="str">
        <f>IF(VLOOKUP(A194,'Données de base - Grunddaten'!$A$2:$M$297,12,FALSE)="","",VLOOKUP(A194,'Données de base - Grunddaten'!$A$2:$M$297,12,FALSE))</f>
        <v>en méandres migrants</v>
      </c>
      <c r="M194" s="858" t="str">
        <f>IF(VLOOKUP(A194,'Données de base - Grunddaten'!$A$2:$M$297,13,FALSE)="","",VLOOKUP(A194,'Données de base - Grunddaten'!$A$2:$M$297,13,FALSE))</f>
        <v>en méandres migrants</v>
      </c>
      <c r="N194" s="872" t="str">
        <f>IF(VLOOKUP(A194,'Charriage - Geschiebehaushalt'!$A$4:$R$275,5,FALSE)="","",VLOOKUP(A194,'Charriage - Geschiebehaushalt'!$A$4:$R$275,5,FALSE))</f>
        <v>pertinent</v>
      </c>
      <c r="O194" s="873" t="str">
        <f>IF(VLOOKUP(A194,'Charriage - Geschiebehaushalt'!$A$4:$R$275,6,FALSE)="","",VLOOKUP(A194,'Charriage - Geschiebehaushalt'!$A$4:$R$275,6,FALSE))</f>
        <v>0-20%</v>
      </c>
      <c r="P194" s="874" t="str">
        <f>IF(VLOOKUP(A194,'Charriage - Geschiebehaushalt'!$A$4:$R$275,7,FALSE)="","",VLOOKUP(A194,'Charriage - Geschiebehaushalt'!$A$4:$R$275,7,FALSE))</f>
        <v/>
      </c>
      <c r="Q194" s="874" t="str">
        <f>IF(VLOOKUP(A194,'Charriage - Geschiebehaushalt'!$A$4:$R$275,8,FALSE)="","",VLOOKUP(A194,'Charriage - Geschiebehaushalt'!$A$4:$R$275,8,FALSE))</f>
        <v>non documenté</v>
      </c>
      <c r="R194" s="875">
        <f>IF(VLOOKUP(A194,'Charriage - Geschiebehaushalt'!$A$4:$R$275,9,FALSE)="","",VLOOKUP(A194,'Charriage - Geschiebehaushalt'!$A$4:$R$275,9,FALSE))</f>
        <v>0.25600000000000001</v>
      </c>
      <c r="S194" s="876" t="str">
        <f>IF(VLOOKUP(A194,'Charriage - Geschiebehaushalt'!$A$4:$R$275,10,FALSE)="","",VLOOKUP(A194,'Charriage - Geschiebehaushalt'!$A$4:$R$275,10,FALSE))</f>
        <v>la remobilisation des sédiments est perturbée</v>
      </c>
      <c r="T194" s="876" t="str">
        <f>IF(VLOOKUP(A194,'Charriage - Geschiebehaushalt'!$A$4:$R$275,11,FALSE)="","",VLOOKUP(A194,'Charriage - Geschiebehaushalt'!$A$4:$R$275,11,FALSE))</f>
        <v/>
      </c>
      <c r="U194" s="876" t="str">
        <f>IF(VLOOKUP(A194,'Charriage - Geschiebehaushalt'!$A$4:$R$275,12,FALSE)="","",VLOOKUP(A194,'Charriage - Geschiebehaushalt'!$A$4:$R$275,12,FALSE))</f>
        <v/>
      </c>
      <c r="V194" s="877" t="str">
        <f>IF(VLOOKUP(A194,'Charriage - Geschiebehaushalt'!$A$4:$R$275,13,FALSE)="","",VLOOKUP(A194,'Charriage - Geschiebehaushalt'!$A$4:$R$275,13,FALSE))</f>
        <v/>
      </c>
      <c r="W194" s="877" t="str">
        <f>IF(VLOOKUP(A194,'Charriage - Geschiebehaushalt'!$A$4:$R$275,14,FALSE)="","",VLOOKUP(A194,'Charriage - Geschiebehaushalt'!$A$4:$R$275,14,FALSE))</f>
        <v/>
      </c>
      <c r="X194" s="877" t="str">
        <f>IF(VLOOKUP(A194,'Charriage - Geschiebehaushalt'!$A$4:$R$275,15,FALSE)="","",VLOOKUP(A194,'Charriage - Geschiebehaushalt'!$A$4:$R$275,15,FALSE))</f>
        <v/>
      </c>
      <c r="Y194" s="879" t="str">
        <f>IF(VLOOKUP(A194,'Charriage - Geschiebehaushalt'!$A$4:$R$275,16,FALSE)="","",VLOOKUP(A194,'Charriage - Geschiebehaushalt'!$A$4:$R$275,16,FALSE))</f>
        <v/>
      </c>
      <c r="Z194" s="763" t="str">
        <f>IF(VLOOKUP(A194,'Charriage - Geschiebehaushalt'!$A$4:$R$275,17,FALSE)="","",VLOOKUP(A194,'Charriage - Geschiebehaushalt'!$A$4:$R$275,17,FALSE))</f>
        <v>0-20%</v>
      </c>
      <c r="AA194" s="880" t="str">
        <f>IF(VLOOKUP(A194,'Charriage - Geschiebehaushalt'!$A$4:$R$275,18,FALSE)="","",VLOOKUP(A194,'Charriage - Geschiebehaushalt'!$A$4:$R$275,18,FALSE))</f>
        <v>a</v>
      </c>
      <c r="AB194" s="737" t="str">
        <f>IF(VLOOKUP(A194,'Charriage - Geschiebehaushalt'!$A$4:$AC$275,19,FALSE)="","",VLOOKUP(A194,'Charriage - Geschiebehaushalt'!$A$4:$AC$275,19,FALSE))</f>
        <v>-</v>
      </c>
      <c r="AC194" s="738" t="str">
        <f>IF(VLOOKUP(A194,'Charriage - Geschiebehaushalt'!$A$4:$AC$275,20,FALSE)="","",VLOOKUP(A194,'Charriage - Geschiebehaushalt'!$A$4:$AC$275,20,FALSE))</f>
        <v>-</v>
      </c>
      <c r="AD194" s="764" t="str">
        <f>IF(VLOOKUP(A194,'Charriage - Geschiebehaushalt'!$A$4:$AC$275,21,FALSE)="","",VLOOKUP(A194,'Charriage - Geschiebehaushalt'!$A$4:$AC$275,21,FALSE))</f>
        <v/>
      </c>
      <c r="AE194" s="740" t="str">
        <f>IF(VLOOKUP(A194,'Charriage - Geschiebehaushalt'!$A$4:$AC$275,22,FALSE)="","",VLOOKUP(A194,'Charriage - Geschiebehaushalt'!$A$4:$AC$275,22,FALSE))</f>
        <v>0-20%</v>
      </c>
      <c r="AF194" s="787" t="str">
        <f>IF(VLOOKUP(A194,'Charriage - Geschiebehaushalt'!$A$4:$AC$275,23,FALSE)="","",VLOOKUP(A194,'Charriage - Geschiebehaushalt'!$A$4:$AC$275,23,FALSE))</f>
        <v>a</v>
      </c>
      <c r="AG194" s="765" t="str">
        <f>IF(VLOOKUP(A194,'Charriage - Geschiebehaushalt'!$A$4:$AC$275,24,FALSE)="","",VLOOKUP(A194,'Charriage - Geschiebehaushalt'!$A$4:$AC$275,24,FALSE))</f>
        <v/>
      </c>
      <c r="AH194" s="764" t="str">
        <f>IF(VLOOKUP(A194,'Charriage - Geschiebehaushalt'!$A$4:$AC$275,25,FALSE)="","",VLOOKUP(A194,'Charriage - Geschiebehaushalt'!$A$4:$AC$275,25,FALSE))</f>
        <v/>
      </c>
      <c r="AI194" s="433" t="str">
        <f>IF(VLOOKUP(A194,'Charriage - Geschiebehaushalt'!$A$4:$AC$275,26,FALSE)="","",VLOOKUP(A194,'Charriage - Geschiebehaushalt'!$A$4:$AC$275,26,FALSE))</f>
        <v/>
      </c>
      <c r="AJ194" s="434" t="str">
        <f>IF(VLOOKUP(A194,'Charriage - Geschiebehaushalt'!$A$4:$AC$275,27,FALSE)="","",VLOOKUP(A194,'Charriage - Geschiebehaushalt'!$A$4:$AC$275,27,FALSE))</f>
        <v/>
      </c>
      <c r="AK194" s="801" t="str">
        <f>IF(VLOOKUP(A194,'Charriage - Geschiebehaushalt'!$A$4:$AC$275,28,FALSE)="","",VLOOKUP(A194,'Charriage - Geschiebehaushalt'!$A$4:$AC$275,28,FALSE))</f>
        <v>0-20%</v>
      </c>
      <c r="AL194" s="1285" t="str">
        <f>IF(VLOOKUP(A194,'Charriage - Geschiebehaushalt'!$A$4:$AD$275,30,FALSE)="","",VLOOKUP(A194,'Charriage - Geschiebehaushalt'!$A$4:$AD$275,30,FALSE))</f>
        <v>a</v>
      </c>
      <c r="AM194" s="1279" t="str">
        <f>IF(VLOOKUP(A194,'Débit - Abfluss'!$A$4:$K$275,5,FALSE)="","",VLOOKUP(A194,'Débit - Abfluss'!$A$4:$M$275,5,FALSE))</f>
        <v>non documenté</v>
      </c>
      <c r="AN194" s="868" t="str">
        <f>IF(VLOOKUP(A194,'Débit - Abfluss'!$A$4:$K$275,6,FALSE)="","",VLOOKUP(A194,'Débit - Abfluss'!$A$4:$M$275,6,FALSE))</f>
        <v>aucune information supplémentaire</v>
      </c>
      <c r="AO194" s="869" t="str">
        <f>IF(VLOOKUP(A194,'Débit - Abfluss'!$A$4:$K$275,7,FALSE)="","",VLOOKUP(A194,'Débit - Abfluss'!$A$4:$M$275,7,FALSE))</f>
        <v>aucune information supplémentaire</v>
      </c>
      <c r="AP194" s="766" t="str">
        <f>IF(VLOOKUP(A194,'Débit - Abfluss'!$A$4:$K$275,8,FALSE)="","",VLOOKUP(A194,'Débit - Abfluss'!$A$4:$M$275,8,FALSE))</f>
        <v>Régime présumé naturel (100%) / Abfluss vermutlich natürlich</v>
      </c>
      <c r="AQ194" s="742" t="str">
        <f>IF(VLOOKUP(A194,'Débit - Abfluss'!$A$4:$K$275,9,FALSE)="","",VLOOKUP(A194,'Débit - Abfluss'!$A$4:$M$275,9,FALSE))</f>
        <v>-</v>
      </c>
      <c r="AR194" s="767" t="str">
        <f>IF(VLOOKUP(A194,'Débit - Abfluss'!$A$4:$K$275,10,FALSE)="","",VLOOKUP(A194,'Débit - Abfluss'!$A$4:$M$275,10,FALSE))</f>
        <v>Régime présumé naturel (100%) / Abfluss vermutlich natürlich</v>
      </c>
      <c r="AS194" s="767" t="str">
        <f>IF(VLOOKUP(A194,'Débit - Abfluss'!$A$4:$K$275,11,FALSE)="","",VLOOKUP(A194,'Débit - Abfluss'!$A$4:$M$275,11,FALSE))</f>
        <v/>
      </c>
      <c r="AT194" s="744" t="str">
        <f>IF(VLOOKUP(A194,'Débit - Abfluss'!$A$4:$Q$275,12,FALSE)="","",VLOOKUP(A194,'Débit - Abfluss'!$A$4:$Q$275,12,FALSE))</f>
        <v/>
      </c>
      <c r="AU194" s="745" t="str">
        <f>IF(VLOOKUP(A194,'Débit - Abfluss'!$A$4:$Q$275,13,FALSE)="","",VLOOKUP(A194,'Débit - Abfluss'!$A$4:$Q$275,13,FALSE))</f>
        <v/>
      </c>
      <c r="AV194" s="746" t="str">
        <f>IF(VLOOKUP(A194,'Débit - Abfluss'!$A$4:$Q$275,14,FALSE)="","",VLOOKUP(A194,'Débit - Abfluss'!$A$4:$Q$275,14,FALSE))</f>
        <v/>
      </c>
      <c r="AW194" s="768" t="str">
        <f>IF(VLOOKUP(A194,'Débit - Abfluss'!$A$4:$Q$275,15,FALSE)="","",VLOOKUP(A194,'Débit - Abfluss'!$A$4:$Q$275,15,FALSE))</f>
        <v/>
      </c>
      <c r="AX194" s="677" t="str">
        <f>IF(VLOOKUP(A194,'Débit - Abfluss'!$A$4:$Q$275,16,FALSE)="","",VLOOKUP(A194,'Débit - Abfluss'!$A$4:$Q$275,16,FALSE))</f>
        <v/>
      </c>
      <c r="AY194" s="769" t="str">
        <f>IF(VLOOKUP(A194,'Débit - Abfluss'!$A$4:$Q$275,17,FALSE)="","",VLOOKUP(A194,'Débit - Abfluss'!$A$4:$Q$275,17,FALSE))</f>
        <v>Régime présumé naturel (100%) / Abfluss vermutlich natürlich</v>
      </c>
      <c r="AZ194" s="749" t="str">
        <f>IF(VLOOKUP(A194,'Eclusée - Schwall-Sunk'!$A$2:$F$273,5,FALSE)="","",VLOOKUP(A194,'Eclusée - Schwall-Sunk'!$A$2:$F$273,5,FALSE))</f>
        <v/>
      </c>
      <c r="BA194" s="750" t="str">
        <f>IF(VLOOKUP(A194,'Eclusée - Schwall-Sunk'!$A$2:$F$273,6,FALSE)="","",VLOOKUP(A194,'Eclusée - Schwall-Sunk'!$A$2:$F$273,6,FALSE))</f>
        <v>Non affecté / nicht betroffen</v>
      </c>
      <c r="BB194" s="751" t="str">
        <f>IF(VLOOKUP(A194,'Revitalisation-Revitalisierung'!$A$4:$Z$275,5,FALSE)="","",VLOOKUP(A194,'Revitalisation-Revitalisierung'!$A$4:$Z$275,5,FALSE))</f>
        <v/>
      </c>
      <c r="BC194" s="752" t="str">
        <f>IF(VLOOKUP(A194,'Revitalisation-Revitalisierung'!$A$4:$Z$275,6,FALSE)="","",VLOOKUP(A194,'Revitalisation-Revitalisierung'!$A$4:$Z$275,6,FALSE))</f>
        <v/>
      </c>
      <c r="BD194" s="752" t="str">
        <f>IF(VLOOKUP(A194,'Revitalisation-Revitalisierung'!$A$4:$Z$275,7,FALSE)="","",VLOOKUP(A194,'Revitalisation-Revitalisierung'!$A$4:$Z$275,7,FALSE))</f>
        <v/>
      </c>
      <c r="BE194" s="753" t="str">
        <f>IF(VLOOKUP(A194,'Revitalisation-Revitalisierung'!$A$4:$Z$275,8,FALSE)="","",VLOOKUP(A194,'Revitalisation-Revitalisierung'!$A$4:$Z$275,8,FALSE))</f>
        <v/>
      </c>
      <c r="BF194" s="754" t="str">
        <f>IF(VLOOKUP(A194,'Revitalisation-Revitalisierung'!$A$4:$Z$275,9,FALSE)="","",VLOOKUP(A194,'Revitalisation-Revitalisierung'!$A$4:$Z$275,9,FALSE))</f>
        <v/>
      </c>
      <c r="BG194" s="754" t="str">
        <f>IF(VLOOKUP(A194,'Revitalisation-Revitalisierung'!$A$4:$Z$275,10,FALSE)="","",VLOOKUP(A194,'Revitalisation-Revitalisierung'!$A$4:$Z$275,10,FALSE))</f>
        <v/>
      </c>
      <c r="BH194" s="755" t="str">
        <f>IF(VLOOKUP(A194,'Revitalisation-Revitalisierung'!$A$4:$Z$275,11,FALSE)="","",VLOOKUP(A194,'Revitalisation-Revitalisierung'!$A$4:$Z$275,11,FALSE))</f>
        <v>peu nécessaire, facile</v>
      </c>
      <c r="BI194" s="756" t="str">
        <f>IF(VLOOKUP(A194,'Revitalisation-Revitalisierung'!$A$4:$Z$275,12,FALSE)="","",VLOOKUP(A194,'Revitalisation-Revitalisierung'!$A$4:$Z$275,12,FALSE))</f>
        <v>pas  évalué:  peu nécessaire car système semblant encore naturel et fonctionnel (bois tendre), et facile car relativement peu d'atteintes</v>
      </c>
      <c r="BJ194" s="788" t="str">
        <f>IF(VLOOKUP(A194,'Revitalisation-Revitalisierung'!$A$4:$Z$275,13,FALSE)="","",VLOOKUP(A194,'Revitalisation-Revitalisierung'!$A$4:$Z$275,13,FALSE))</f>
        <v>Non nécessaire / nicht nötig</v>
      </c>
      <c r="BK194" s="870" t="str">
        <f>IF(VLOOKUP(A194,'Revitalisation-Revitalisierung'!$A$4:$Z$275,14,FALSE)="","",VLOOKUP(A194,'Revitalisation-Revitalisierung'!$A$4:$Z$275,14,FALSE))</f>
        <v>b</v>
      </c>
      <c r="BL194" s="758" t="str">
        <f>IF(VLOOKUP(A194,'Revitalisation-Revitalisierung'!$A$4:$Z$275,15,FALSE)="","",VLOOKUP(A194,'Revitalisation-Revitalisierung'!$A$4:$Z$275,15,FALSE))</f>
        <v>gross/mittel</v>
      </c>
      <c r="BM194" s="759" t="str">
        <f>IF(VLOOKUP(A194,'Revitalisation-Revitalisierung'!$A$4:$Z$275,16,FALSE)="","",VLOOKUP(A194,'Revitalisation-Revitalisierung'!$A$4:$Z$275,16,FALSE))</f>
        <v>mittel/gering</v>
      </c>
      <c r="BN194" s="759" t="str">
        <f>IF(VLOOKUP(A194,'Revitalisation-Revitalisierung'!$A$4:$Z$275,17,FALSE)="","",VLOOKUP(A194,'Revitalisation-Revitalisierung'!$A$4:$Z$275,17,FALSE))</f>
        <v>-</v>
      </c>
      <c r="BO194" s="760" t="str">
        <f>IF(VLOOKUP(A194,'Revitalisation-Revitalisierung'!$A$4:$Z$275,18,FALSE)="","",VLOOKUP(A194,'Revitalisation-Revitalisierung'!$A$4:$Z$275,18,FALSE))</f>
        <v>Non nécessaire / nicht nötig</v>
      </c>
      <c r="BP194" s="761" t="str">
        <f>IF(VLOOKUP(A194,'Revitalisation-Revitalisierung'!$A$4:$Z$275,19,FALSE)="","",VLOOKUP(A194,'Revitalisation-Revitalisierung'!$A$4:$Z$275,19,FALSE))</f>
        <v>Non nécessaire / nicht nötig</v>
      </c>
      <c r="BQ194" s="759" t="str">
        <f>IF(VLOOKUP(A194,'Revitalisation-Revitalisierung'!$A$4:$Z$275,20,FALSE)="","",VLOOKUP(A194,'Revitalisation-Revitalisierung'!$A$4:$Z$275,20,FALSE))</f>
        <v>d</v>
      </c>
      <c r="BR194" s="759" t="str">
        <f>IF(VLOOKUP(A194,'Revitalisation-Revitalisierung'!$A$4:$Z$275,21,FALSE)="","",VLOOKUP(A194,'Revitalisation-Revitalisierung'!$A$4:$Z$275,21,FALSE))</f>
        <v/>
      </c>
      <c r="BS194" s="762" t="str">
        <f>IF(VLOOKUP(A194,'Revitalisation-Revitalisierung'!$A$4:$Z$275,22,FALSE)="","",VLOOKUP(A194,'Revitalisation-Revitalisierung'!$A$4:$Z$275,22,FALSE))</f>
        <v/>
      </c>
      <c r="BT194" s="703" t="str">
        <f>IF(VLOOKUP(A194,'Revitalisation-Revitalisierung'!$A$4:$Z$275,23,FALSE)="","",VLOOKUP(A194,'Revitalisation-Revitalisierung'!$A$4:$Z$275,23,FALSE))</f>
        <v/>
      </c>
      <c r="BU194" s="704" t="str">
        <f>IF(VLOOKUP(A194,'Revitalisation-Revitalisierung'!$A$4:$Z$275,24,FALSE)="","",VLOOKUP(A194,'Revitalisation-Revitalisierung'!$A$4:$Z$275,24,FALSE))</f>
        <v>nicht nötig</v>
      </c>
      <c r="BV194" s="761" t="str">
        <f>IF(VLOOKUP(A194,'Revitalisation-Revitalisierung'!$A$4:$Z$275,25,FALSE)="","",VLOOKUP(A194,'Revitalisation-Revitalisierung'!$A$4:$Z$275,25,FALSE))</f>
        <v>Non nécessaire / nicht nötig</v>
      </c>
      <c r="BW194" s="871" t="str">
        <f>IF(VLOOKUP(A194,'Revitalisation-Revitalisierung'!$A$4:$AA$275,27,FALSE)="","",VLOOKUP(A194,'Revitalisation-Revitalisierung'!$A$4:$AA$275,27,FALSE))</f>
        <v>a</v>
      </c>
    </row>
    <row r="195" spans="1:75" ht="93" customHeight="1" x14ac:dyDescent="0.25">
      <c r="A195" s="1230">
        <v>317</v>
      </c>
      <c r="B195" s="856">
        <f>IF(VLOOKUP(A195,'Données de base - Grunddaten'!$A$2:$M$297,2,FALSE)="","",VLOOKUP(A195,'Données de base - Grunddaten'!$A$2:$M$297,2,FALSE))</f>
        <v>1</v>
      </c>
      <c r="C195" s="857" t="str">
        <f>IF(VLOOKUP(A195,'Données de base - Grunddaten'!$A$2:$M$297,3,FALSE)="","",VLOOKUP(A195,'Données de base - Grunddaten'!$A$2:$M$297,3,FALSE))</f>
        <v>Seligraben</v>
      </c>
      <c r="D195" s="857" t="str">
        <f>IF(VLOOKUP(A195,'Données de base - Grunddaten'!$A$2:$M$297,4,FALSE)="","",VLOOKUP(A195,'Données de base - Grunddaten'!$A$2:$M$297,4,FALSE))</f>
        <v>Seligrabenbach</v>
      </c>
      <c r="E195" s="857" t="str">
        <f>IF(VLOOKUP(A195,'Données de base - Grunddaten'!$A$2:$M$297,5,FALSE)="","",VLOOKUP(A195,'Données de base - Grunddaten'!$A$2:$M$297,5,FALSE))</f>
        <v>BE</v>
      </c>
      <c r="F195" s="857" t="str">
        <f>IF(VLOOKUP(A195,'Données de base - Grunddaten'!$A$2:$M$297,6,FALSE)="","",VLOOKUP(A195,'Données de base - Grunddaten'!$A$2:$M$297,6,FALSE))</f>
        <v>Plateau occidental, Préalpes</v>
      </c>
      <c r="G195" s="857" t="str">
        <f>IF(VLOOKUP(A195,'Données de base - Grunddaten'!$A$2:$M$297,7,FALSE)="","",VLOOKUP(A195,'Données de base - Grunddaten'!$A$2:$M$297,7,FALSE))</f>
        <v>Montagnard inf.</v>
      </c>
      <c r="H195" s="857" t="str">
        <f>IF(VLOOKUP(A195,'Données de base - Grunddaten'!$A$2:$M$297,8,FALSE)="","",VLOOKUP(A195,'Données de base - Grunddaten'!$A$2:$M$297,8,FALSE))</f>
        <v>860 m</v>
      </c>
      <c r="I195" s="857" t="str">
        <f>IF(VLOOKUP(A195,'Données de base - Grunddaten'!$A$2:$M$297,9,FALSE)="","",VLOOKUP(A195,'Données de base - Grunddaten'!$A$2:$M$297,9,FALSE))</f>
        <v>candidat</v>
      </c>
      <c r="J195" s="857">
        <f>IF(VLOOKUP(A195,'Données de base - Grunddaten'!$A$2:$M$297,10,FALSE)="","",VLOOKUP(A195,'Données de base - Grunddaten'!$A$2:$M$297,10,FALSE))</f>
        <v>41</v>
      </c>
      <c r="K195" s="857" t="str">
        <f>IF(VLOOKUP(A195,'Données de base - Grunddaten'!$A$2:$M$297,11,FALSE)="","",VLOOKUP(A195,'Données de base - Grunddaten'!$A$2:$M$297,11,FALSE))</f>
        <v>Cours d'eau naturels de l'étage montagnard</v>
      </c>
      <c r="L195" s="857" t="str">
        <f>IF(VLOOKUP(A195,'Données de base - Grunddaten'!$A$2:$M$297,12,FALSE)="","",VLOOKUP(A195,'Données de base - Grunddaten'!$A$2:$M$297,12,FALSE))</f>
        <v>en méandres migrants</v>
      </c>
      <c r="M195" s="858" t="str">
        <f>IF(VLOOKUP(A195,'Données de base - Grunddaten'!$A$2:$M$297,13,FALSE)="","",VLOOKUP(A195,'Données de base - Grunddaten'!$A$2:$M$297,13,FALSE))</f>
        <v>en méandres migrants</v>
      </c>
      <c r="N195" s="872" t="str">
        <f>IF(VLOOKUP(A195,'Charriage - Geschiebehaushalt'!$A$4:$R$275,5,FALSE)="","",VLOOKUP(A195,'Charriage - Geschiebehaushalt'!$A$4:$R$275,5,FALSE))</f>
        <v>pertinent</v>
      </c>
      <c r="O195" s="881" t="str">
        <f>IF(VLOOKUP(A195,'Charriage - Geschiebehaushalt'!$A$4:$R$275,6,FALSE)="","",VLOOKUP(A195,'Charriage - Geschiebehaushalt'!$A$4:$R$275,6,FALSE))</f>
        <v>non documenté</v>
      </c>
      <c r="P195" s="874" t="str">
        <f>IF(VLOOKUP(A195,'Charriage - Geschiebehaushalt'!$A$4:$R$275,7,FALSE)="","",VLOOKUP(A195,'Charriage - Geschiebehaushalt'!$A$4:$R$275,7,FALSE))</f>
        <v/>
      </c>
      <c r="Q195" s="874" t="str">
        <f>IF(VLOOKUP(A195,'Charriage - Geschiebehaushalt'!$A$4:$R$275,8,FALSE)="","",VLOOKUP(A195,'Charriage - Geschiebehaushalt'!$A$4:$R$275,8,FALSE))</f>
        <v>non documenté</v>
      </c>
      <c r="R195" s="875">
        <f>IF(VLOOKUP(A195,'Charriage - Geschiebehaushalt'!$A$4:$R$275,9,FALSE)="","",VLOOKUP(A195,'Charriage - Geschiebehaushalt'!$A$4:$R$275,9,FALSE))</f>
        <v>0.23499999999999999</v>
      </c>
      <c r="S195" s="876" t="str">
        <f>IF(VLOOKUP(A195,'Charriage - Geschiebehaushalt'!$A$4:$R$275,10,FALSE)="","",VLOOKUP(A195,'Charriage - Geschiebehaushalt'!$A$4:$R$275,10,FALSE))</f>
        <v>pas ou faiblement entravé</v>
      </c>
      <c r="T195" s="875">
        <f>IF(VLOOKUP(A195,'Charriage - Geschiebehaushalt'!$A$4:$R$275,11,FALSE)="","",VLOOKUP(A195,'Charriage - Geschiebehaushalt'!$A$4:$R$275,11,FALSE))</f>
        <v>0.214</v>
      </c>
      <c r="U195" s="876" t="str">
        <f>IF(VLOOKUP(A195,'Charriage - Geschiebehaushalt'!$A$4:$R$275,12,FALSE)="","",VLOOKUP(A195,'Charriage - Geschiebehaushalt'!$A$4:$R$275,12,FALSE))</f>
        <v>déficit dans les formations pionnières</v>
      </c>
      <c r="V195" s="878" t="str">
        <f>IF(VLOOKUP(A195,'Charriage - Geschiebehaushalt'!$A$4:$R$275,13,FALSE)="","",VLOOKUP(A195,'Charriage - Geschiebehaushalt'!$A$4:$R$275,13,FALSE))</f>
        <v/>
      </c>
      <c r="W195" s="877" t="str">
        <f>IF(VLOOKUP(A195,'Charriage - Geschiebehaushalt'!$A$4:$R$275,14,FALSE)="","",VLOOKUP(A195,'Charriage - Geschiebehaushalt'!$A$4:$R$275,14,FALSE))</f>
        <v>A vérifier</v>
      </c>
      <c r="X195" s="877" t="str">
        <f>IF(VLOOKUP(A195,'Charriage - Geschiebehaushalt'!$A$4:$R$275,15,FALSE)="","",VLOOKUP(A195,'Charriage - Geschiebehaushalt'!$A$4:$R$275,15,FALSE))</f>
        <v>pas d'ouvrage sur le bassin versant</v>
      </c>
      <c r="Y195" s="882" t="str">
        <f>IF(VLOOKUP(A195,'Charriage - Geschiebehaushalt'!$A$4:$R$275,16,FALSE)="","",VLOOKUP(A195,'Charriage - Geschiebehaushalt'!$A$4:$R$275,16,FALSE))</f>
        <v>charriage présumé naturel</v>
      </c>
      <c r="Z195" s="763" t="str">
        <f>IF(VLOOKUP(A195,'Charriage - Geschiebehaushalt'!$A$4:$R$275,17,FALSE)="","",VLOOKUP(A195,'Charriage - Geschiebehaushalt'!$A$4:$R$275,17,FALSE))</f>
        <v>Charriage présumé naturel / Geschiebehaushalt vermutlich natürlich</v>
      </c>
      <c r="AA195" s="880" t="str">
        <f>IF(VLOOKUP(A195,'Charriage - Geschiebehaushalt'!$A$4:$R$275,18,FALSE)="","",VLOOKUP(A195,'Charriage - Geschiebehaushalt'!$A$4:$R$275,18,FALSE))</f>
        <v>b</v>
      </c>
      <c r="AB195" s="737" t="str">
        <f>IF(VLOOKUP(A195,'Charriage - Geschiebehaushalt'!$A$4:$AC$275,19,FALSE)="","",VLOOKUP(A195,'Charriage - Geschiebehaushalt'!$A$4:$AC$275,19,FALSE))</f>
        <v>-</v>
      </c>
      <c r="AC195" s="738" t="str">
        <f>IF(VLOOKUP(A195,'Charriage - Geschiebehaushalt'!$A$4:$AC$275,20,FALSE)="","",VLOOKUP(A195,'Charriage - Geschiebehaushalt'!$A$4:$AC$275,20,FALSE))</f>
        <v>-</v>
      </c>
      <c r="AD195" s="764" t="str">
        <f>IF(VLOOKUP(A195,'Charriage - Geschiebehaushalt'!$A$4:$AC$275,21,FALSE)="","",VLOOKUP(A195,'Charriage - Geschiebehaushalt'!$A$4:$AC$275,21,FALSE))</f>
        <v/>
      </c>
      <c r="AE195" s="740" t="str">
        <f>IF(VLOOKUP(A195,'Charriage - Geschiebehaushalt'!$A$4:$AC$275,22,FALSE)="","",VLOOKUP(A195,'Charriage - Geschiebehaushalt'!$A$4:$AC$275,22,FALSE))</f>
        <v>0-20%</v>
      </c>
      <c r="AF195" s="787" t="str">
        <f>IF(VLOOKUP(A195,'Charriage - Geschiebehaushalt'!$A$4:$AC$275,23,FALSE)="","",VLOOKUP(A195,'Charriage - Geschiebehaushalt'!$A$4:$AC$275,23,FALSE))</f>
        <v>b</v>
      </c>
      <c r="AG195" s="765" t="str">
        <f>IF(VLOOKUP(A195,'Charriage - Geschiebehaushalt'!$A$4:$AC$275,24,FALSE)="","",VLOOKUP(A195,'Charriage - Geschiebehaushalt'!$A$4:$AC$275,24,FALSE))</f>
        <v/>
      </c>
      <c r="AH195" s="764" t="str">
        <f>IF(VLOOKUP(A195,'Charriage - Geschiebehaushalt'!$A$4:$AC$275,25,FALSE)="","",VLOOKUP(A195,'Charriage - Geschiebehaushalt'!$A$4:$AC$275,25,FALSE))</f>
        <v/>
      </c>
      <c r="AI195" s="433" t="str">
        <f>IF(VLOOKUP(A195,'Charriage - Geschiebehaushalt'!$A$4:$AC$275,26,FALSE)="","",VLOOKUP(A195,'Charriage - Geschiebehaushalt'!$A$4:$AC$275,26,FALSE))</f>
        <v/>
      </c>
      <c r="AJ195" s="434" t="str">
        <f>IF(VLOOKUP(A195,'Charriage - Geschiebehaushalt'!$A$4:$AC$275,27,FALSE)="","",VLOOKUP(A195,'Charriage - Geschiebehaushalt'!$A$4:$AC$275,27,FALSE))</f>
        <v/>
      </c>
      <c r="AK195" s="801" t="str">
        <f>IF(VLOOKUP(A195,'Charriage - Geschiebehaushalt'!$A$4:$AC$275,28,FALSE)="","",VLOOKUP(A195,'Charriage - Geschiebehaushalt'!$A$4:$AC$275,28,FALSE))</f>
        <v>0-20%</v>
      </c>
      <c r="AL195" s="1285" t="str">
        <f>IF(VLOOKUP(A195,'Charriage - Geschiebehaushalt'!$A$4:$AD$275,30,FALSE)="","",VLOOKUP(A195,'Charriage - Geschiebehaushalt'!$A$4:$AD$275,30,FALSE))</f>
        <v>b</v>
      </c>
      <c r="AM195" s="1279" t="str">
        <f>IF(VLOOKUP(A195,'Débit - Abfluss'!$A$4:$K$275,5,FALSE)="","",VLOOKUP(A195,'Débit - Abfluss'!$A$4:$M$275,5,FALSE))</f>
        <v>non documenté</v>
      </c>
      <c r="AN195" s="868" t="str">
        <f>IF(VLOOKUP(A195,'Débit - Abfluss'!$A$4:$K$275,6,FALSE)="","",VLOOKUP(A195,'Débit - Abfluss'!$A$4:$M$275,6,FALSE))</f>
        <v>aucune information supplémentaire</v>
      </c>
      <c r="AO195" s="869" t="str">
        <f>IF(VLOOKUP(A195,'Débit - Abfluss'!$A$4:$K$275,7,FALSE)="","",VLOOKUP(A195,'Débit - Abfluss'!$A$4:$M$275,7,FALSE))</f>
        <v>aucune information supplémentaire</v>
      </c>
      <c r="AP195" s="766" t="str">
        <f>IF(VLOOKUP(A195,'Débit - Abfluss'!$A$4:$K$275,8,FALSE)="","",VLOOKUP(A195,'Débit - Abfluss'!$A$4:$M$275,8,FALSE))</f>
        <v>Régime présumé naturel (100%) / Abfluss vermutlich natürlich</v>
      </c>
      <c r="AQ195" s="742" t="str">
        <f>IF(VLOOKUP(A195,'Débit - Abfluss'!$A$4:$K$275,9,FALSE)="","",VLOOKUP(A195,'Débit - Abfluss'!$A$4:$M$275,9,FALSE))</f>
        <v>-</v>
      </c>
      <c r="AR195" s="767" t="str">
        <f>IF(VLOOKUP(A195,'Débit - Abfluss'!$A$4:$K$275,10,FALSE)="","",VLOOKUP(A195,'Débit - Abfluss'!$A$4:$M$275,10,FALSE))</f>
        <v>Régime présumé naturel (100%) / Abfluss vermutlich natürlich</v>
      </c>
      <c r="AS195" s="767" t="str">
        <f>IF(VLOOKUP(A195,'Débit - Abfluss'!$A$4:$K$275,11,FALSE)="","",VLOOKUP(A195,'Débit - Abfluss'!$A$4:$M$275,11,FALSE))</f>
        <v/>
      </c>
      <c r="AT195" s="744" t="str">
        <f>IF(VLOOKUP(A195,'Débit - Abfluss'!$A$4:$Q$275,12,FALSE)="","",VLOOKUP(A195,'Débit - Abfluss'!$A$4:$Q$275,12,FALSE))</f>
        <v/>
      </c>
      <c r="AU195" s="745" t="str">
        <f>IF(VLOOKUP(A195,'Débit - Abfluss'!$A$4:$Q$275,13,FALSE)="","",VLOOKUP(A195,'Débit - Abfluss'!$A$4:$Q$275,13,FALSE))</f>
        <v/>
      </c>
      <c r="AV195" s="746" t="str">
        <f>IF(VLOOKUP(A195,'Débit - Abfluss'!$A$4:$Q$275,14,FALSE)="","",VLOOKUP(A195,'Débit - Abfluss'!$A$4:$Q$275,14,FALSE))</f>
        <v/>
      </c>
      <c r="AW195" s="768" t="str">
        <f>IF(VLOOKUP(A195,'Débit - Abfluss'!$A$4:$Q$275,15,FALSE)="","",VLOOKUP(A195,'Débit - Abfluss'!$A$4:$Q$275,15,FALSE))</f>
        <v/>
      </c>
      <c r="AX195" s="684" t="str">
        <f>IF(VLOOKUP(A195,'Débit - Abfluss'!$A$4:$Q$275,16,FALSE)="","",VLOOKUP(A195,'Débit - Abfluss'!$A$4:$Q$275,16,FALSE))</f>
        <v/>
      </c>
      <c r="AY195" s="769" t="str">
        <f>IF(VLOOKUP(A195,'Débit - Abfluss'!$A$4:$Q$275,17,FALSE)="","",VLOOKUP(A195,'Débit - Abfluss'!$A$4:$Q$275,17,FALSE))</f>
        <v>Régime présumé naturel (100%) / Abfluss vermutlich natürlich</v>
      </c>
      <c r="AZ195" s="749" t="str">
        <f>IF(VLOOKUP(A195,'Eclusée - Schwall-Sunk'!$A$2:$F$273,5,FALSE)="","",VLOOKUP(A195,'Eclusée - Schwall-Sunk'!$A$2:$F$273,5,FALSE))</f>
        <v/>
      </c>
      <c r="BA195" s="750" t="str">
        <f>IF(VLOOKUP(A195,'Eclusée - Schwall-Sunk'!$A$2:$F$273,6,FALSE)="","",VLOOKUP(A195,'Eclusée - Schwall-Sunk'!$A$2:$F$273,6,FALSE))</f>
        <v>Non affecté / nicht betroffen</v>
      </c>
      <c r="BB195" s="751" t="str">
        <f>IF(VLOOKUP(A195,'Revitalisation-Revitalisierung'!$A$4:$Z$275,5,FALSE)="","",VLOOKUP(A195,'Revitalisation-Revitalisierung'!$A$4:$Z$275,5,FALSE))</f>
        <v/>
      </c>
      <c r="BC195" s="752" t="str">
        <f>IF(VLOOKUP(A195,'Revitalisation-Revitalisierung'!$A$4:$Z$275,6,FALSE)="","",VLOOKUP(A195,'Revitalisation-Revitalisierung'!$A$4:$Z$275,6,FALSE))</f>
        <v/>
      </c>
      <c r="BD195" s="752" t="str">
        <f>IF(VLOOKUP(A195,'Revitalisation-Revitalisierung'!$A$4:$Z$275,7,FALSE)="","",VLOOKUP(A195,'Revitalisation-Revitalisierung'!$A$4:$Z$275,7,FALSE))</f>
        <v/>
      </c>
      <c r="BE195" s="753" t="str">
        <f>IF(VLOOKUP(A195,'Revitalisation-Revitalisierung'!$A$4:$Z$275,8,FALSE)="","",VLOOKUP(A195,'Revitalisation-Revitalisierung'!$A$4:$Z$275,8,FALSE))</f>
        <v/>
      </c>
      <c r="BF195" s="754" t="str">
        <f>IF(VLOOKUP(A195,'Revitalisation-Revitalisierung'!$A$4:$Z$275,9,FALSE)="","",VLOOKUP(A195,'Revitalisation-Revitalisierung'!$A$4:$Z$275,9,FALSE))</f>
        <v>nicht nötig</v>
      </c>
      <c r="BG195" s="754" t="str">
        <f>IF(VLOOKUP(A195,'Revitalisation-Revitalisierung'!$A$4:$Z$275,10,FALSE)="","",VLOOKUP(A195,'Revitalisation-Revitalisierung'!$A$4:$Z$275,10,FALSE))</f>
        <v/>
      </c>
      <c r="BH195" s="755" t="str">
        <f>IF(VLOOKUP(A195,'Revitalisation-Revitalisierung'!$A$4:$Z$275,11,FALSE)="","",VLOOKUP(A195,'Revitalisation-Revitalisierung'!$A$4:$Z$275,11,FALSE))</f>
        <v>non nécessaire</v>
      </c>
      <c r="BI195" s="756" t="str">
        <f>IF(VLOOKUP(A195,'Revitalisation-Revitalisierung'!$A$4:$Z$275,12,FALSE)="","",VLOOKUP(A195,'Revitalisation-Revitalisierung'!$A$4:$Z$275,12,FALSE))</f>
        <v/>
      </c>
      <c r="BJ195" s="788" t="str">
        <f>IF(VLOOKUP(A195,'Revitalisation-Revitalisierung'!$A$4:$Z$275,13,FALSE)="","",VLOOKUP(A195,'Revitalisation-Revitalisierung'!$A$4:$Z$275,13,FALSE))</f>
        <v>Non nécessaire / nicht nötig</v>
      </c>
      <c r="BK195" s="870" t="str">
        <f>IF(VLOOKUP(A195,'Revitalisation-Revitalisierung'!$A$4:$Z$275,14,FALSE)="","",VLOOKUP(A195,'Revitalisation-Revitalisierung'!$A$4:$Z$275,14,FALSE))</f>
        <v>a</v>
      </c>
      <c r="BL195" s="758" t="str">
        <f>IF(VLOOKUP(A195,'Revitalisation-Revitalisierung'!$A$4:$Z$275,15,FALSE)="","",VLOOKUP(A195,'Revitalisation-Revitalisierung'!$A$4:$Z$275,15,FALSE))</f>
        <v>gross/mittel</v>
      </c>
      <c r="BM195" s="759" t="str">
        <f>IF(VLOOKUP(A195,'Revitalisation-Revitalisierung'!$A$4:$Z$275,16,FALSE)="","",VLOOKUP(A195,'Revitalisation-Revitalisierung'!$A$4:$Z$275,16,FALSE))</f>
        <v>gross/gering</v>
      </c>
      <c r="BN195" s="759" t="str">
        <f>IF(VLOOKUP(A195,'Revitalisation-Revitalisierung'!$A$4:$Z$275,17,FALSE)="","",VLOOKUP(A195,'Revitalisation-Revitalisierung'!$A$4:$Z$275,17,FALSE))</f>
        <v>-</v>
      </c>
      <c r="BO195" s="760" t="str">
        <f>IF(VLOOKUP(A195,'Revitalisation-Revitalisierung'!$A$4:$Z$275,18,FALSE)="","",VLOOKUP(A195,'Revitalisation-Revitalisierung'!$A$4:$Z$275,18,FALSE))</f>
        <v>Non nécessaire / nicht nötig</v>
      </c>
      <c r="BP195" s="761" t="str">
        <f>IF(VLOOKUP(A195,'Revitalisation-Revitalisierung'!$A$4:$Z$275,19,FALSE)="","",VLOOKUP(A195,'Revitalisation-Revitalisierung'!$A$4:$Z$275,19,FALSE))</f>
        <v>Non nécessaire / nicht nötig</v>
      </c>
      <c r="BQ195" s="759" t="str">
        <f>IF(VLOOKUP(A195,'Revitalisation-Revitalisierung'!$A$4:$Z$275,20,FALSE)="","",VLOOKUP(A195,'Revitalisation-Revitalisierung'!$A$4:$Z$275,20,FALSE))</f>
        <v>d</v>
      </c>
      <c r="BR195" s="759" t="str">
        <f>IF(VLOOKUP(A195,'Revitalisation-Revitalisierung'!$A$4:$Z$275,21,FALSE)="","",VLOOKUP(A195,'Revitalisation-Revitalisierung'!$A$4:$Z$275,21,FALSE))</f>
        <v/>
      </c>
      <c r="BS195" s="762" t="str">
        <f>IF(VLOOKUP(A195,'Revitalisation-Revitalisierung'!$A$4:$Z$275,22,FALSE)="","",VLOOKUP(A195,'Revitalisation-Revitalisierung'!$A$4:$Z$275,22,FALSE))</f>
        <v/>
      </c>
      <c r="BT195" s="703" t="str">
        <f>IF(VLOOKUP(A195,'Revitalisation-Revitalisierung'!$A$4:$Z$275,23,FALSE)="","",VLOOKUP(A195,'Revitalisation-Revitalisierung'!$A$4:$Z$275,23,FALSE))</f>
        <v/>
      </c>
      <c r="BU195" s="704" t="str">
        <f>IF(VLOOKUP(A195,'Revitalisation-Revitalisierung'!$A$4:$Z$275,24,FALSE)="","",VLOOKUP(A195,'Revitalisation-Revitalisierung'!$A$4:$Z$275,24,FALSE))</f>
        <v>nicht nötig</v>
      </c>
      <c r="BV195" s="761" t="str">
        <f>IF(VLOOKUP(A195,'Revitalisation-Revitalisierung'!$A$4:$Z$275,25,FALSE)="","",VLOOKUP(A195,'Revitalisation-Revitalisierung'!$A$4:$Z$275,25,FALSE))</f>
        <v>Non nécessaire / nicht nötig</v>
      </c>
      <c r="BW195" s="871" t="str">
        <f>IF(VLOOKUP(A195,'Revitalisation-Revitalisierung'!$A$4:$AA$275,27,FALSE)="","",VLOOKUP(A195,'Revitalisation-Revitalisierung'!$A$4:$AA$275,27,FALSE))</f>
        <v>a</v>
      </c>
    </row>
    <row r="196" spans="1:75" ht="98.45" customHeight="1" x14ac:dyDescent="0.25">
      <c r="A196" s="1230">
        <v>318</v>
      </c>
      <c r="B196" s="856">
        <f>IF(VLOOKUP(A196,'Données de base - Grunddaten'!$A$2:$M$297,2,FALSE)="","",VLOOKUP(A196,'Données de base - Grunddaten'!$A$2:$M$297,2,FALSE))</f>
        <v>1</v>
      </c>
      <c r="C196" s="857" t="str">
        <f>IF(VLOOKUP(A196,'Données de base - Grunddaten'!$A$2:$M$297,3,FALSE)="","",VLOOKUP(A196,'Données de base - Grunddaten'!$A$2:$M$297,3,FALSE))</f>
        <v>Eymatt</v>
      </c>
      <c r="D196" s="857" t="str">
        <f>IF(VLOOKUP(A196,'Données de base - Grunddaten'!$A$2:$M$297,4,FALSE)="","",VLOOKUP(A196,'Données de base - Grunddaten'!$A$2:$M$297,4,FALSE))</f>
        <v>Gäbelbach</v>
      </c>
      <c r="E196" s="857" t="str">
        <f>IF(VLOOKUP(A196,'Données de base - Grunddaten'!$A$2:$M$297,5,FALSE)="","",VLOOKUP(A196,'Données de base - Grunddaten'!$A$2:$M$297,5,FALSE))</f>
        <v>BE</v>
      </c>
      <c r="F196" s="857" t="str">
        <f>IF(VLOOKUP(A196,'Données de base - Grunddaten'!$A$2:$M$297,6,FALSE)="","",VLOOKUP(A196,'Données de base - Grunddaten'!$A$2:$M$297,6,FALSE))</f>
        <v>Plateau occidental</v>
      </c>
      <c r="G196" s="857" t="str">
        <f>IF(VLOOKUP(A196,'Données de base - Grunddaten'!$A$2:$M$297,7,FALSE)="","",VLOOKUP(A196,'Données de base - Grunddaten'!$A$2:$M$297,7,FALSE))</f>
        <v>Collinéen</v>
      </c>
      <c r="H196" s="857" t="str">
        <f>IF(VLOOKUP(A196,'Données de base - Grunddaten'!$A$2:$M$297,8,FALSE)="","",VLOOKUP(A196,'Données de base - Grunddaten'!$A$2:$M$297,8,FALSE))</f>
        <v>480 m</v>
      </c>
      <c r="I196" s="857" t="str">
        <f>IF(VLOOKUP(A196,'Données de base - Grunddaten'!$A$2:$M$297,9,FALSE)="","",VLOOKUP(A196,'Données de base - Grunddaten'!$A$2:$M$297,9,FALSE))</f>
        <v>candidat</v>
      </c>
      <c r="J196" s="857">
        <f>IF(VLOOKUP(A196,'Données de base - Grunddaten'!$A$2:$M$297,10,FALSE)="","",VLOOKUP(A196,'Données de base - Grunddaten'!$A$2:$M$297,10,FALSE))</f>
        <v>61</v>
      </c>
      <c r="K196" s="857" t="str">
        <f>IF(VLOOKUP(A196,'Données de base - Grunddaten'!$A$2:$M$297,11,FALSE)="","",VLOOKUP(A196,'Données de base - Grunddaten'!$A$2:$M$297,11,FALSE))</f>
        <v>Cours d'eau naturels de l'étage collinéen du Sud des Alpes, Plateau occidental</v>
      </c>
      <c r="L196" s="857" t="str">
        <f>IF(VLOOKUP(A196,'Données de base - Grunddaten'!$A$2:$M$297,12,FALSE)="","",VLOOKUP(A196,'Données de base - Grunddaten'!$A$2:$M$297,12,FALSE))</f>
        <v>méandres migrants</v>
      </c>
      <c r="M196" s="858" t="str">
        <f>IF(VLOOKUP(A196,'Données de base - Grunddaten'!$A$2:$M$297,13,FALSE)="","",VLOOKUP(A196,'Données de base - Grunddaten'!$A$2:$M$297,13,FALSE))</f>
        <v>en méandres</v>
      </c>
      <c r="N196" s="872" t="str">
        <f>IF(VLOOKUP(A196,'Charriage - Geschiebehaushalt'!$A$4:$R$275,5,FALSE)="","",VLOOKUP(A196,'Charriage - Geschiebehaushalt'!$A$4:$R$275,5,FALSE))</f>
        <v>pertinent</v>
      </c>
      <c r="O196" s="873" t="str">
        <f>IF(VLOOKUP(A196,'Charriage - Geschiebehaushalt'!$A$4:$R$275,6,FALSE)="","",VLOOKUP(A196,'Charriage - Geschiebehaushalt'!$A$4:$R$275,6,FALSE))</f>
        <v>51-80%</v>
      </c>
      <c r="P196" s="874" t="str">
        <f>IF(VLOOKUP(A196,'Charriage - Geschiebehaushalt'!$A$4:$R$275,7,FALSE)="","",VLOOKUP(A196,'Charriage - Geschiebehaushalt'!$A$4:$R$275,7,FALSE))</f>
        <v/>
      </c>
      <c r="Q196" s="874" t="str">
        <f>IF(VLOOKUP(A196,'Charriage - Geschiebehaushalt'!$A$4:$R$275,8,FALSE)="","",VLOOKUP(A196,'Charriage - Geschiebehaushalt'!$A$4:$R$275,8,FALSE))</f>
        <v>non documenté</v>
      </c>
      <c r="R196" s="875" t="str">
        <f>IF(VLOOKUP(A196,'Charriage - Geschiebehaushalt'!$A$4:$R$275,9,FALSE)="","",VLOOKUP(A196,'Charriage - Geschiebehaushalt'!$A$4:$R$275,9,FALSE))</f>
        <v/>
      </c>
      <c r="S196" s="876" t="str">
        <f>IF(VLOOKUP(A196,'Charriage - Geschiebehaushalt'!$A$4:$R$275,10,FALSE)="","",VLOOKUP(A196,'Charriage - Geschiebehaushalt'!$A$4:$R$275,10,FALSE))</f>
        <v/>
      </c>
      <c r="T196" s="876" t="str">
        <f>IF(VLOOKUP(A196,'Charriage - Geschiebehaushalt'!$A$4:$R$275,11,FALSE)="","",VLOOKUP(A196,'Charriage - Geschiebehaushalt'!$A$4:$R$275,11,FALSE))</f>
        <v/>
      </c>
      <c r="U196" s="876" t="str">
        <f>IF(VLOOKUP(A196,'Charriage - Geschiebehaushalt'!$A$4:$R$275,12,FALSE)="","",VLOOKUP(A196,'Charriage - Geschiebehaushalt'!$A$4:$R$275,12,FALSE))</f>
        <v/>
      </c>
      <c r="V196" s="877" t="str">
        <f>IF(VLOOKUP(A196,'Charriage - Geschiebehaushalt'!$A$4:$R$275,13,FALSE)="","",VLOOKUP(A196,'Charriage - Geschiebehaushalt'!$A$4:$R$275,13,FALSE))</f>
        <v/>
      </c>
      <c r="W196" s="877" t="str">
        <f>IF(VLOOKUP(A196,'Charriage - Geschiebehaushalt'!$A$4:$R$275,14,FALSE)="","",VLOOKUP(A196,'Charriage - Geschiebehaushalt'!$A$4:$R$275,14,FALSE))</f>
        <v/>
      </c>
      <c r="X196" s="877" t="str">
        <f>IF(VLOOKUP(A196,'Charriage - Geschiebehaushalt'!$A$4:$R$275,15,FALSE)="","",VLOOKUP(A196,'Charriage - Geschiebehaushalt'!$A$4:$R$275,15,FALSE))</f>
        <v/>
      </c>
      <c r="Y196" s="879" t="str">
        <f>IF(VLOOKUP(A196,'Charriage - Geschiebehaushalt'!$A$4:$R$275,16,FALSE)="","",VLOOKUP(A196,'Charriage - Geschiebehaushalt'!$A$4:$R$275,16,FALSE))</f>
        <v/>
      </c>
      <c r="Z196" s="763" t="str">
        <f>IF(VLOOKUP(A196,'Charriage - Geschiebehaushalt'!$A$4:$R$275,17,FALSE)="","",VLOOKUP(A196,'Charriage - Geschiebehaushalt'!$A$4:$R$275,17,FALSE))</f>
        <v>51-80%</v>
      </c>
      <c r="AA196" s="880" t="str">
        <f>IF(VLOOKUP(A196,'Charriage - Geschiebehaushalt'!$A$4:$R$275,18,FALSE)="","",VLOOKUP(A196,'Charriage - Geschiebehaushalt'!$A$4:$R$275,18,FALSE))</f>
        <v>a</v>
      </c>
      <c r="AB196" s="737" t="e">
        <f>IF(VLOOKUP(A196,'Charriage - Geschiebehaushalt'!$A$4:$AC$275,19,FALSE)="","",VLOOKUP(A196,'Charriage - Geschiebehaushalt'!$A$4:$AC$275,19,FALSE))</f>
        <v>#N/A</v>
      </c>
      <c r="AC196" s="738" t="e">
        <f>IF(VLOOKUP(A196,'Charriage - Geschiebehaushalt'!$A$4:$AC$275,20,FALSE)="","",VLOOKUP(A196,'Charriage - Geschiebehaushalt'!$A$4:$AC$275,20,FALSE))</f>
        <v>#N/A</v>
      </c>
      <c r="AD196" s="764" t="str">
        <f>IF(VLOOKUP(A196,'Charriage - Geschiebehaushalt'!$A$4:$AC$275,21,FALSE)="","",VLOOKUP(A196,'Charriage - Geschiebehaushalt'!$A$4:$AC$275,21,FALSE))</f>
        <v/>
      </c>
      <c r="AE196" s="740" t="str">
        <f>IF(VLOOKUP(A196,'Charriage - Geschiebehaushalt'!$A$4:$AC$275,22,FALSE)="","",VLOOKUP(A196,'Charriage - Geschiebehaushalt'!$A$4:$AC$275,22,FALSE))</f>
        <v>51-80%</v>
      </c>
      <c r="AF196" s="787" t="str">
        <f>IF(VLOOKUP(A196,'Charriage - Geschiebehaushalt'!$A$4:$AC$275,23,FALSE)="","",VLOOKUP(A196,'Charriage - Geschiebehaushalt'!$A$4:$AC$275,23,FALSE))</f>
        <v>a</v>
      </c>
      <c r="AG196" s="765" t="str">
        <f>IF(VLOOKUP(A196,'Charriage - Geschiebehaushalt'!$A$4:$AC$275,24,FALSE)="","",VLOOKUP(A196,'Charriage - Geschiebehaushalt'!$A$4:$AC$275,24,FALSE))</f>
        <v/>
      </c>
      <c r="AH196" s="764" t="str">
        <f>IF(VLOOKUP(A196,'Charriage - Geschiebehaushalt'!$A$4:$AC$275,25,FALSE)="","",VLOOKUP(A196,'Charriage - Geschiebehaushalt'!$A$4:$AC$275,25,FALSE))</f>
        <v/>
      </c>
      <c r="AI196" s="433" t="str">
        <f>IF(VLOOKUP(A196,'Charriage - Geschiebehaushalt'!$A$4:$AC$275,26,FALSE)="","",VLOOKUP(A196,'Charriage - Geschiebehaushalt'!$A$4:$AC$275,26,FALSE))</f>
        <v/>
      </c>
      <c r="AJ196" s="434" t="str">
        <f>IF(VLOOKUP(A196,'Charriage - Geschiebehaushalt'!$A$4:$AC$275,27,FALSE)="","",VLOOKUP(A196,'Charriage - Geschiebehaushalt'!$A$4:$AC$275,27,FALSE))</f>
        <v/>
      </c>
      <c r="AK196" s="801" t="str">
        <f>IF(VLOOKUP(A196,'Charriage - Geschiebehaushalt'!$A$4:$AC$275,28,FALSE)="","",VLOOKUP(A196,'Charriage - Geschiebehaushalt'!$A$4:$AC$275,28,FALSE))</f>
        <v>21-50%</v>
      </c>
      <c r="AL196" s="1285" t="str">
        <f>IF(VLOOKUP(A196,'Charriage - Geschiebehaushalt'!$A$4:$AD$275,30,FALSE)="","",VLOOKUP(A196,'Charriage - Geschiebehaushalt'!$A$4:$AD$275,30,FALSE))</f>
        <v>a</v>
      </c>
      <c r="AM196" s="1279" t="str">
        <f>IF(VLOOKUP(A196,'Débit - Abfluss'!$A$4:$K$275,5,FALSE)="","",VLOOKUP(A196,'Débit - Abfluss'!$A$4:$M$275,5,FALSE))</f>
        <v>non documenté</v>
      </c>
      <c r="AN196" s="885" t="str">
        <f>IF(VLOOKUP(A196,'Débit - Abfluss'!$A$4:$K$275,6,FALSE)="","",VLOOKUP(A196,'Débit - Abfluss'!$A$4:$M$275,6,FALSE))</f>
        <v>&gt;90%</v>
      </c>
      <c r="AO196" s="869" t="str">
        <f>IF(VLOOKUP(A196,'Débit - Abfluss'!$A$4:$K$275,7,FALSE)="","",VLOOKUP(A196,'Débit - Abfluss'!$A$4:$M$275,7,FALSE))</f>
        <v/>
      </c>
      <c r="AP196" s="766" t="str">
        <f>IF(VLOOKUP(A196,'Débit - Abfluss'!$A$4:$K$275,8,FALSE)="","",VLOOKUP(A196,'Débit - Abfluss'!$A$4:$M$275,8,FALSE))</f>
        <v>Régime présumé naturel (100%) / Abfluss vermutlich natürlich</v>
      </c>
      <c r="AQ196" s="742" t="str">
        <f>IF(VLOOKUP(A196,'Débit - Abfluss'!$A$4:$K$275,9,FALSE)="","",VLOOKUP(A196,'Débit - Abfluss'!$A$4:$M$275,9,FALSE))</f>
        <v>-</v>
      </c>
      <c r="AR196" s="767" t="str">
        <f>IF(VLOOKUP(A196,'Débit - Abfluss'!$A$4:$K$275,10,FALSE)="","",VLOOKUP(A196,'Débit - Abfluss'!$A$4:$M$275,10,FALSE))</f>
        <v>Régime présumé naturel (100%) / Abfluss vermutlich natürlich</v>
      </c>
      <c r="AS196" s="767" t="str">
        <f>IF(VLOOKUP(A196,'Débit - Abfluss'!$A$4:$K$275,11,FALSE)="","",VLOOKUP(A196,'Débit - Abfluss'!$A$4:$M$275,11,FALSE))</f>
        <v/>
      </c>
      <c r="AT196" s="744" t="str">
        <f>IF(VLOOKUP(A196,'Débit - Abfluss'!$A$4:$Q$275,12,FALSE)="","",VLOOKUP(A196,'Débit - Abfluss'!$A$4:$Q$275,12,FALSE))</f>
        <v/>
      </c>
      <c r="AU196" s="745" t="str">
        <f>IF(VLOOKUP(A196,'Débit - Abfluss'!$A$4:$Q$275,13,FALSE)="","",VLOOKUP(A196,'Débit - Abfluss'!$A$4:$Q$275,13,FALSE))</f>
        <v/>
      </c>
      <c r="AV196" s="746" t="str">
        <f>IF(VLOOKUP(A196,'Débit - Abfluss'!$A$4:$Q$275,14,FALSE)="","",VLOOKUP(A196,'Débit - Abfluss'!$A$4:$Q$275,14,FALSE))</f>
        <v/>
      </c>
      <c r="AW196" s="768" t="str">
        <f>IF(VLOOKUP(A196,'Débit - Abfluss'!$A$4:$Q$275,15,FALSE)="","",VLOOKUP(A196,'Débit - Abfluss'!$A$4:$Q$275,15,FALSE))</f>
        <v/>
      </c>
      <c r="AX196" s="677" t="str">
        <f>IF(VLOOKUP(A196,'Débit - Abfluss'!$A$4:$Q$275,16,FALSE)="","",VLOOKUP(A196,'Débit - Abfluss'!$A$4:$Q$275,16,FALSE))</f>
        <v/>
      </c>
      <c r="AY196" s="769" t="str">
        <f>IF(VLOOKUP(A196,'Débit - Abfluss'!$A$4:$Q$275,17,FALSE)="","",VLOOKUP(A196,'Débit - Abfluss'!$A$4:$Q$275,17,FALSE))</f>
        <v>Régime présumé naturel (100%) / Abfluss vermutlich natürlich</v>
      </c>
      <c r="AZ196" s="749" t="str">
        <f>IF(VLOOKUP(A196,'Eclusée - Schwall-Sunk'!$A$2:$F$273,5,FALSE)="","",VLOOKUP(A196,'Eclusée - Schwall-Sunk'!$A$2:$F$273,5,FALSE))</f>
        <v/>
      </c>
      <c r="BA196" s="750" t="str">
        <f>IF(VLOOKUP(A196,'Eclusée - Schwall-Sunk'!$A$2:$F$273,6,FALSE)="","",VLOOKUP(A196,'Eclusée - Schwall-Sunk'!$A$2:$F$273,6,FALSE))</f>
        <v>Non affecté / nicht betroffen</v>
      </c>
      <c r="BB196" s="751" t="str">
        <f>IF(VLOOKUP(A196,'Revitalisation-Revitalisierung'!$A$4:$Z$275,5,FALSE)="","",VLOOKUP(A196,'Revitalisation-Revitalisierung'!$A$4:$Z$275,5,FALSE))</f>
        <v/>
      </c>
      <c r="BC196" s="752" t="str">
        <f>IF(VLOOKUP(A196,'Revitalisation-Revitalisierung'!$A$4:$Z$275,6,FALSE)="","",VLOOKUP(A196,'Revitalisation-Revitalisierung'!$A$4:$Z$275,6,FALSE))</f>
        <v/>
      </c>
      <c r="BD196" s="752" t="str">
        <f>IF(VLOOKUP(A196,'Revitalisation-Revitalisierung'!$A$4:$Z$275,7,FALSE)="","",VLOOKUP(A196,'Revitalisation-Revitalisierung'!$A$4:$Z$275,7,FALSE))</f>
        <v/>
      </c>
      <c r="BE196" s="753" t="str">
        <f>IF(VLOOKUP(A196,'Revitalisation-Revitalisierung'!$A$4:$Z$275,8,FALSE)="","",VLOOKUP(A196,'Revitalisation-Revitalisierung'!$A$4:$Z$275,8,FALSE))</f>
        <v/>
      </c>
      <c r="BF196" s="754" t="str">
        <f>IF(VLOOKUP(A196,'Revitalisation-Revitalisierung'!$A$4:$Z$275,9,FALSE)="","",VLOOKUP(A196,'Revitalisation-Revitalisierung'!$A$4:$Z$275,9,FALSE))</f>
        <v>nicht nötig</v>
      </c>
      <c r="BG196" s="754" t="str">
        <f>IF(VLOOKUP(A196,'Revitalisation-Revitalisierung'!$A$4:$Z$275,10,FALSE)="","",VLOOKUP(A196,'Revitalisation-Revitalisierung'!$A$4:$Z$275,10,FALSE))</f>
        <v/>
      </c>
      <c r="BH196" s="755" t="str">
        <f>IF(VLOOKUP(A196,'Revitalisation-Revitalisierung'!$A$4:$Z$275,11,FALSE)="","",VLOOKUP(A196,'Revitalisation-Revitalisierung'!$A$4:$Z$275,11,FALSE))</f>
        <v>non nécessaire</v>
      </c>
      <c r="BI196" s="756" t="str">
        <f>IF(VLOOKUP(A196,'Revitalisation-Revitalisierung'!$A$4:$Z$275,12,FALSE)="","",VLOOKUP(A196,'Revitalisation-Revitalisierung'!$A$4:$Z$275,12,FALSE))</f>
        <v/>
      </c>
      <c r="BJ196" s="788" t="str">
        <f>IF(VLOOKUP(A196,'Revitalisation-Revitalisierung'!$A$4:$Z$275,13,FALSE)="","",VLOOKUP(A196,'Revitalisation-Revitalisierung'!$A$4:$Z$275,13,FALSE))</f>
        <v>Non nécessaire / nicht nötig</v>
      </c>
      <c r="BK196" s="870" t="str">
        <f>IF(VLOOKUP(A196,'Revitalisation-Revitalisierung'!$A$4:$Z$275,14,FALSE)="","",VLOOKUP(A196,'Revitalisation-Revitalisierung'!$A$4:$Z$275,14,FALSE))</f>
        <v>a</v>
      </c>
      <c r="BL196" s="758" t="e">
        <f>IF(VLOOKUP(A196,'Revitalisation-Revitalisierung'!$A$4:$Z$275,15,FALSE)="","",VLOOKUP(A196,'Revitalisation-Revitalisierung'!$A$4:$Z$275,15,FALSE))</f>
        <v>#N/A</v>
      </c>
      <c r="BM196" s="759" t="e">
        <f>IF(VLOOKUP(A196,'Revitalisation-Revitalisierung'!$A$4:$Z$275,16,FALSE)="","",VLOOKUP(A196,'Revitalisation-Revitalisierung'!$A$4:$Z$275,16,FALSE))</f>
        <v>#N/A</v>
      </c>
      <c r="BN196" s="759" t="e">
        <f>IF(VLOOKUP(A196,'Revitalisation-Revitalisierung'!$A$4:$Z$275,17,FALSE)="","",VLOOKUP(A196,'Revitalisation-Revitalisierung'!$A$4:$Z$275,17,FALSE))</f>
        <v>#N/A</v>
      </c>
      <c r="BO196" s="760" t="str">
        <f>IF(VLOOKUP(A196,'Revitalisation-Revitalisierung'!$A$4:$Z$275,18,FALSE)="","",VLOOKUP(A196,'Revitalisation-Revitalisierung'!$A$4:$Z$275,18,FALSE))</f>
        <v/>
      </c>
      <c r="BP196" s="761" t="str">
        <f>IF(VLOOKUP(A196,'Revitalisation-Revitalisierung'!$A$4:$Z$275,19,FALSE)="","",VLOOKUP(A196,'Revitalisation-Revitalisierung'!$A$4:$Z$275,19,FALSE))</f>
        <v>Non nécessaire / nicht nötig</v>
      </c>
      <c r="BQ196" s="759" t="str">
        <f>IF(VLOOKUP(A196,'Revitalisation-Revitalisierung'!$A$4:$Z$275,20,FALSE)="","",VLOOKUP(A196,'Revitalisation-Revitalisierung'!$A$4:$Z$275,20,FALSE))</f>
        <v>a</v>
      </c>
      <c r="BR196" s="759" t="str">
        <f>IF(VLOOKUP(A196,'Revitalisation-Revitalisierung'!$A$4:$Z$275,21,FALSE)="","",VLOOKUP(A196,'Revitalisation-Revitalisierung'!$A$4:$Z$275,21,FALSE))</f>
        <v/>
      </c>
      <c r="BS196" s="762" t="str">
        <f>IF(VLOOKUP(A196,'Revitalisation-Revitalisierung'!$A$4:$Z$275,22,FALSE)="","",VLOOKUP(A196,'Revitalisation-Revitalisierung'!$A$4:$Z$275,22,FALSE))</f>
        <v/>
      </c>
      <c r="BT196" s="703" t="str">
        <f>IF(VLOOKUP(A196,'Revitalisation-Revitalisierung'!$A$4:$Z$275,23,FALSE)="","",VLOOKUP(A196,'Revitalisation-Revitalisierung'!$A$4:$Z$275,23,FALSE))</f>
        <v/>
      </c>
      <c r="BU196" s="704" t="str">
        <f>IF(VLOOKUP(A196,'Revitalisation-Revitalisierung'!$A$4:$Z$275,24,FALSE)="","",VLOOKUP(A196,'Revitalisation-Revitalisierung'!$A$4:$Z$275,24,FALSE))</f>
        <v>nicht nötig</v>
      </c>
      <c r="BV196" s="761" t="str">
        <f>IF(VLOOKUP(A196,'Revitalisation-Revitalisierung'!$A$4:$Z$275,25,FALSE)="","",VLOOKUP(A196,'Revitalisation-Revitalisierung'!$A$4:$Z$275,25,FALSE))</f>
        <v>Non nécessaire / nicht nötig</v>
      </c>
      <c r="BW196" s="871" t="str">
        <f>IF(VLOOKUP(A196,'Revitalisation-Revitalisierung'!$A$4:$AA$275,27,FALSE)="","",VLOOKUP(A196,'Revitalisation-Revitalisierung'!$A$4:$AA$275,27,FALSE))</f>
        <v>a</v>
      </c>
    </row>
    <row r="197" spans="1:75" ht="112.5" x14ac:dyDescent="0.25">
      <c r="A197" s="937">
        <v>319</v>
      </c>
      <c r="B197" s="856">
        <f>IF(VLOOKUP(A197,'Données de base - Grunddaten'!$A$2:$M$297,2,FALSE)="","",VLOOKUP(A197,'Données de base - Grunddaten'!$A$2:$M$297,2,FALSE))</f>
        <v>1</v>
      </c>
      <c r="C197" s="857" t="str">
        <f>IF(VLOOKUP(A197,'Données de base - Grunddaten'!$A$2:$M$297,3,FALSE)="","",VLOOKUP(A197,'Données de base - Grunddaten'!$A$2:$M$297,3,FALSE))</f>
        <v>Emmeschlucht</v>
      </c>
      <c r="D197" s="857" t="str">
        <f>IF(VLOOKUP(A197,'Données de base - Grunddaten'!$A$2:$M$297,4,FALSE)="","",VLOOKUP(A197,'Données de base - Grunddaten'!$A$2:$M$297,4,FALSE))</f>
        <v>Emme</v>
      </c>
      <c r="E197" s="857" t="str">
        <f>IF(VLOOKUP(A197,'Données de base - Grunddaten'!$A$2:$M$297,5,FALSE)="","",VLOOKUP(A197,'Données de base - Grunddaten'!$A$2:$M$297,5,FALSE))</f>
        <v>BE</v>
      </c>
      <c r="F197" s="857" t="str">
        <f>IF(VLOOKUP(A197,'Données de base - Grunddaten'!$A$2:$M$297,6,FALSE)="","",VLOOKUP(A197,'Données de base - Grunddaten'!$A$2:$M$297,6,FALSE))</f>
        <v>Préalpes</v>
      </c>
      <c r="G197" s="857" t="str">
        <f>IF(VLOOKUP(A197,'Données de base - Grunddaten'!$A$2:$M$297,7,FALSE)="","",VLOOKUP(A197,'Données de base - Grunddaten'!$A$2:$M$297,7,FALSE))</f>
        <v>Montagnard inf.</v>
      </c>
      <c r="H197" s="857">
        <f>IF(VLOOKUP(A197,'Données de base - Grunddaten'!$A$2:$M$297,8,FALSE)="","",VLOOKUP(A197,'Données de base - Grunddaten'!$A$2:$M$297,8,FALSE))</f>
        <v>800</v>
      </c>
      <c r="I197" s="857">
        <f>IF(VLOOKUP(A197,'Données de base - Grunddaten'!$A$2:$M$297,9,FALSE)="","",VLOOKUP(A197,'Données de base - Grunddaten'!$A$2:$M$297,9,FALSE))</f>
        <v>2003</v>
      </c>
      <c r="J197" s="857">
        <f>IF(VLOOKUP(A197,'Données de base - Grunddaten'!$A$2:$M$297,10,FALSE)="","",VLOOKUP(A197,'Données de base - Grunddaten'!$A$2:$M$297,10,FALSE))</f>
        <v>41</v>
      </c>
      <c r="K197" s="857" t="str">
        <f>IF(VLOOKUP(A197,'Données de base - Grunddaten'!$A$2:$M$297,11,FALSE)="","",VLOOKUP(A197,'Données de base - Grunddaten'!$A$2:$M$297,11,FALSE))</f>
        <v>Cours d'eau naturels de l'étage montagnard</v>
      </c>
      <c r="L197" s="857" t="str">
        <f>IF(VLOOKUP(A197,'Données de base - Grunddaten'!$A$2:$M$297,12,FALSE)="","",VLOOKUP(A197,'Données de base - Grunddaten'!$A$2:$M$297,12,FALSE))</f>
        <v>cours encaissé</v>
      </c>
      <c r="M197" s="858" t="str">
        <f>IF(VLOOKUP(A197,'Données de base - Grunddaten'!$A$2:$M$297,13,FALSE)="","",VLOOKUP(A197,'Données de base - Grunddaten'!$A$2:$M$297,13,FALSE))</f>
        <v>cours encaissé</v>
      </c>
      <c r="N197" s="872" t="str">
        <f>IF(VLOOKUP(A197,'Charriage - Geschiebehaushalt'!$A$4:$R$275,5,FALSE)="","",VLOOKUP(A197,'Charriage - Geschiebehaushalt'!$A$4:$R$275,5,FALSE))</f>
        <v>pertinent</v>
      </c>
      <c r="O197" s="873" t="str">
        <f>IF(VLOOKUP(A197,'Charriage - Geschiebehaushalt'!$A$4:$R$275,6,FALSE)="","",VLOOKUP(A197,'Charriage - Geschiebehaushalt'!$A$4:$R$275,6,FALSE))</f>
        <v>21-50%</v>
      </c>
      <c r="P197" s="874">
        <f>IF(VLOOKUP(A197,'Charriage - Geschiebehaushalt'!$A$4:$R$275,7,FALSE)="","",VLOOKUP(A197,'Charriage - Geschiebehaushalt'!$A$4:$R$275,7,FALSE))</f>
        <v>71</v>
      </c>
      <c r="Q197" s="874" t="str">
        <f>IF(VLOOKUP(A197,'Charriage - Geschiebehaushalt'!$A$4:$R$275,8,FALSE)="","",VLOOKUP(A197,'Charriage - Geschiebehaushalt'!$A$4:$R$275,8,FALSE))</f>
        <v>dépôt donc pas de problème de charriage</v>
      </c>
      <c r="R197" s="875">
        <f>IF(VLOOKUP(A197,'Charriage - Geschiebehaushalt'!$A$4:$R$275,9,FALSE)="","",VLOOKUP(A197,'Charriage - Geschiebehaushalt'!$A$4:$R$275,9,FALSE))</f>
        <v>0</v>
      </c>
      <c r="S197" s="876" t="str">
        <f>IF(VLOOKUP(A197,'Charriage - Geschiebehaushalt'!$A$4:$R$275,10,FALSE)="","",VLOOKUP(A197,'Charriage - Geschiebehaushalt'!$A$4:$R$275,10,FALSE))</f>
        <v>pas ou faiblement entravé</v>
      </c>
      <c r="T197" s="875">
        <f>IF(VLOOKUP(A197,'Charriage - Geschiebehaushalt'!$A$4:$R$275,11,FALSE)="","",VLOOKUP(A197,'Charriage - Geschiebehaushalt'!$A$4:$R$275,11,FALSE))</f>
        <v>7.951595736E-2</v>
      </c>
      <c r="U197" s="876" t="str">
        <f>IF(VLOOKUP(A197,'Charriage - Geschiebehaushalt'!$A$4:$R$275,12,FALSE)="","",VLOOKUP(A197,'Charriage - Geschiebehaushalt'!$A$4:$R$275,12,FALSE))</f>
        <v>déficit dans les formations pionnières</v>
      </c>
      <c r="V197" s="877" t="str">
        <f>IF(VLOOKUP(A197,'Charriage - Geschiebehaushalt'!$A$4:$R$275,13,FALSE)="","",VLOOKUP(A197,'Charriage - Geschiebehaushalt'!$A$4:$R$275,13,FALSE))</f>
        <v/>
      </c>
      <c r="W197" s="877" t="str">
        <f>IF(VLOOKUP(A197,'Charriage - Geschiebehaushalt'!$A$4:$R$275,14,FALSE)="","",VLOOKUP(A197,'Charriage - Geschiebehaushalt'!$A$4:$R$275,14,FALSE))</f>
        <v/>
      </c>
      <c r="X197" s="877" t="str">
        <f>IF(VLOOKUP(A197,'Charriage - Geschiebehaushalt'!$A$4:$R$275,15,FALSE)="","",VLOOKUP(A197,'Charriage - Geschiebehaushalt'!$A$4:$R$275,15,FALSE))</f>
        <v/>
      </c>
      <c r="Y197" s="879" t="str">
        <f>IF(VLOOKUP(A197,'Charriage - Geschiebehaushalt'!$A$4:$R$275,16,FALSE)="","",VLOOKUP(A197,'Charriage - Geschiebehaushalt'!$A$4:$R$275,16,FALSE))</f>
        <v/>
      </c>
      <c r="Z197" s="763" t="str">
        <f>IF(VLOOKUP(A197,'Charriage - Geschiebehaushalt'!$A$4:$R$275,17,FALSE)="","",VLOOKUP(A197,'Charriage - Geschiebehaushalt'!$A$4:$R$275,17,FALSE))</f>
        <v>21-50%</v>
      </c>
      <c r="AA197" s="880" t="str">
        <f>IF(VLOOKUP(A197,'Charriage - Geschiebehaushalt'!$A$4:$R$275,18,FALSE)="","",VLOOKUP(A197,'Charriage - Geschiebehaushalt'!$A$4:$R$275,18,FALSE))</f>
        <v>a</v>
      </c>
      <c r="AB197" s="737" t="str">
        <f>IF(VLOOKUP(A197,'Charriage - Geschiebehaushalt'!$A$4:$AC$275,19,FALSE)="","",VLOOKUP(A197,'Charriage - Geschiebehaushalt'!$A$4:$AC$275,19,FALSE))</f>
        <v>keine</v>
      </c>
      <c r="AC197" s="738" t="str">
        <f>IF(VLOOKUP(A197,'Charriage - Geschiebehaushalt'!$A$4:$AC$275,20,FALSE)="","",VLOOKUP(A197,'Charriage - Geschiebehaushalt'!$A$4:$AC$275,20,FALSE))</f>
        <v>-</v>
      </c>
      <c r="AD197" s="764" t="str">
        <f>IF(VLOOKUP(A197,'Charriage - Geschiebehaushalt'!$A$4:$AC$275,21,FALSE)="","",VLOOKUP(A197,'Charriage - Geschiebehaushalt'!$A$4:$AC$275,21,FALSE))</f>
        <v>0-20%</v>
      </c>
      <c r="AE197" s="740" t="str">
        <f>IF(VLOOKUP(A197,'Charriage - Geschiebehaushalt'!$A$4:$AC$275,22,FALSE)="","",VLOOKUP(A197,'Charriage - Geschiebehaushalt'!$A$4:$AC$275,22,FALSE))</f>
        <v>0-20%</v>
      </c>
      <c r="AF197" s="787" t="str">
        <f>IF(VLOOKUP(A197,'Charriage - Geschiebehaushalt'!$A$4:$AC$275,23,FALSE)="","",VLOOKUP(A197,'Charriage - Geschiebehaushalt'!$A$4:$AC$275,23,FALSE))</f>
        <v>c</v>
      </c>
      <c r="AG197" s="765" t="str">
        <f>IF(VLOOKUP(A197,'Charriage - Geschiebehaushalt'!$A$4:$AC$275,24,FALSE)="","",VLOOKUP(A197,'Charriage - Geschiebehaushalt'!$A$4:$AC$275,24,FALSE))</f>
        <v/>
      </c>
      <c r="AH197" s="764" t="str">
        <f>IF(VLOOKUP(A197,'Charriage - Geschiebehaushalt'!$A$4:$AC$275,25,FALSE)="","",VLOOKUP(A197,'Charriage - Geschiebehaushalt'!$A$4:$AC$275,25,FALSE))</f>
        <v/>
      </c>
      <c r="AI197" s="433" t="str">
        <f>IF(VLOOKUP(A197,'Charriage - Geschiebehaushalt'!$A$4:$AC$275,26,FALSE)="","",VLOOKUP(A197,'Charriage - Geschiebehaushalt'!$A$4:$AC$275,26,FALSE))</f>
        <v/>
      </c>
      <c r="AJ197" s="434" t="str">
        <f>IF(VLOOKUP(A197,'Charriage - Geschiebehaushalt'!$A$4:$AC$275,27,FALSE)="","",VLOOKUP(A197,'Charriage - Geschiebehaushalt'!$A$4:$AC$275,27,FALSE))</f>
        <v/>
      </c>
      <c r="AK197" s="801" t="str">
        <f>IF(VLOOKUP(A197,'Charriage - Geschiebehaushalt'!$A$4:$AC$275,28,FALSE)="","",VLOOKUP(A197,'Charriage - Geschiebehaushalt'!$A$4:$AC$275,28,FALSE))</f>
        <v>0-20%</v>
      </c>
      <c r="AL197" s="1285" t="str">
        <f>IF(VLOOKUP(A197,'Charriage - Geschiebehaushalt'!$A$4:$AD$275,30,FALSE)="","",VLOOKUP(A197,'Charriage - Geschiebehaushalt'!$A$4:$AD$275,30,FALSE))</f>
        <v>a</v>
      </c>
      <c r="AM197" s="1279" t="str">
        <f>IF(VLOOKUP(A197,'Débit - Abfluss'!$A$4:$K$275,5,FALSE)="","",VLOOKUP(A197,'Débit - Abfluss'!$A$4:$M$275,5,FALSE))</f>
        <v>100%</v>
      </c>
      <c r="AN197" s="868" t="str">
        <f>IF(VLOOKUP(A197,'Débit - Abfluss'!$A$4:$K$275,6,FALSE)="","",VLOOKUP(A197,'Débit - Abfluss'!$A$4:$M$275,6,FALSE))</f>
        <v>aucune information supplémentaire</v>
      </c>
      <c r="AO197" s="905" t="str">
        <f>IF(VLOOKUP(A197,'Débit - Abfluss'!$A$4:$K$275,7,FALSE)="","",VLOOKUP(A197,'Débit - Abfluss'!$A$4:$M$275,7,FALSE))</f>
        <v>Tient compte des prélèvements &gt;50% sur les affluents en rive gauche</v>
      </c>
      <c r="AP197" s="766" t="str">
        <f>IF(VLOOKUP(A197,'Débit - Abfluss'!$A$4:$K$275,8,FALSE)="","",VLOOKUP(A197,'Débit - Abfluss'!$A$4:$M$275,8,FALSE))</f>
        <v>81-100%</v>
      </c>
      <c r="AQ197" s="742" t="str">
        <f>IF(VLOOKUP(A197,'Débit - Abfluss'!$A$4:$K$275,9,FALSE)="","",VLOOKUP(A197,'Débit - Abfluss'!$A$4:$M$275,9,FALSE))</f>
        <v>-</v>
      </c>
      <c r="AR197" s="767" t="str">
        <f>IF(VLOOKUP(A197,'Débit - Abfluss'!$A$4:$K$275,10,FALSE)="","",VLOOKUP(A197,'Débit - Abfluss'!$A$4:$M$275,10,FALSE))</f>
        <v>81-100%</v>
      </c>
      <c r="AS197" s="767" t="str">
        <f>IF(VLOOKUP(A197,'Débit - Abfluss'!$A$4:$K$275,11,FALSE)="","",VLOOKUP(A197,'Débit - Abfluss'!$A$4:$M$275,11,FALSE))</f>
        <v/>
      </c>
      <c r="AT197" s="744" t="str">
        <f>IF(VLOOKUP(A197,'Débit - Abfluss'!$A$4:$Q$275,12,FALSE)="","",VLOOKUP(A197,'Débit - Abfluss'!$A$4:$Q$275,12,FALSE))</f>
        <v/>
      </c>
      <c r="AU197" s="745" t="str">
        <f>IF(VLOOKUP(A197,'Débit - Abfluss'!$A$4:$Q$275,13,FALSE)="","",VLOOKUP(A197,'Débit - Abfluss'!$A$4:$Q$275,13,FALSE))</f>
        <v/>
      </c>
      <c r="AV197" s="746" t="str">
        <f>IF(VLOOKUP(A197,'Débit - Abfluss'!$A$4:$Q$275,14,FALSE)="","",VLOOKUP(A197,'Débit - Abfluss'!$A$4:$Q$275,14,FALSE))</f>
        <v/>
      </c>
      <c r="AW197" s="768" t="str">
        <f>IF(VLOOKUP(A197,'Débit - Abfluss'!$A$4:$Q$275,15,FALSE)="","",VLOOKUP(A197,'Débit - Abfluss'!$A$4:$Q$275,15,FALSE))</f>
        <v/>
      </c>
      <c r="AX197" s="677" t="str">
        <f>IF(VLOOKUP(A197,'Débit - Abfluss'!$A$4:$Q$275,16,FALSE)="","",VLOOKUP(A197,'Débit - Abfluss'!$A$4:$Q$275,16,FALSE))</f>
        <v/>
      </c>
      <c r="AY197" s="769" t="str">
        <f>IF(VLOOKUP(A197,'Débit - Abfluss'!$A$4:$Q$275,17,FALSE)="","",VLOOKUP(A197,'Débit - Abfluss'!$A$4:$Q$275,17,FALSE))</f>
        <v>81-100%</v>
      </c>
      <c r="AZ197" s="749" t="str">
        <f>IF(VLOOKUP(A197,'Eclusée - Schwall-Sunk'!$A$2:$F$273,5,FALSE)="","",VLOOKUP(A197,'Eclusée - Schwall-Sunk'!$A$2:$F$273,5,FALSE))</f>
        <v/>
      </c>
      <c r="BA197" s="750" t="str">
        <f>IF(VLOOKUP(A197,'Eclusée - Schwall-Sunk'!$A$2:$F$273,6,FALSE)="","",VLOOKUP(A197,'Eclusée - Schwall-Sunk'!$A$2:$F$273,6,FALSE))</f>
        <v>Non affecté / nicht betroffen</v>
      </c>
      <c r="BB197" s="751">
        <f>IF(VLOOKUP(A197,'Revitalisation-Revitalisierung'!$A$4:$Z$275,5,FALSE)="","",VLOOKUP(A197,'Revitalisation-Revitalisierung'!$A$4:$Z$275,5,FALSE))</f>
        <v>-11.818181818181818</v>
      </c>
      <c r="BC197" s="752">
        <f>IF(VLOOKUP(A197,'Revitalisation-Revitalisierung'!$A$4:$Z$275,6,FALSE)="","",VLOOKUP(A197,'Revitalisation-Revitalisierung'!$A$4:$Z$275,6,FALSE))</f>
        <v>0</v>
      </c>
      <c r="BD197" s="752">
        <f>IF(VLOOKUP(A197,'Revitalisation-Revitalisierung'!$A$4:$Z$275,7,FALSE)="","",VLOOKUP(A197,'Revitalisation-Revitalisierung'!$A$4:$Z$275,7,FALSE))</f>
        <v>11.818181818181818</v>
      </c>
      <c r="BE197" s="753" t="str">
        <f>IF(VLOOKUP(A197,'Revitalisation-Revitalisierung'!$A$4:$Z$275,8,FALSE)="","",VLOOKUP(A197,'Revitalisation-Revitalisierung'!$A$4:$Z$275,8,FALSE))</f>
        <v>non nécessaire</v>
      </c>
      <c r="BF197" s="754" t="str">
        <f>IF(VLOOKUP(A197,'Revitalisation-Revitalisierung'!$A$4:$Z$275,9,FALSE)="","",VLOOKUP(A197,'Revitalisation-Revitalisierung'!$A$4:$Z$275,9,FALSE))</f>
        <v/>
      </c>
      <c r="BG197" s="754" t="str">
        <f>IF(VLOOKUP(A197,'Revitalisation-Revitalisierung'!$A$4:$Z$275,10,FALSE)="","",VLOOKUP(A197,'Revitalisation-Revitalisierung'!$A$4:$Z$275,10,FALSE))</f>
        <v>K2</v>
      </c>
      <c r="BH197" s="755" t="str">
        <f>IF(VLOOKUP(A197,'Revitalisation-Revitalisierung'!$A$4:$Z$275,11,FALSE)="","",VLOOKUP(A197,'Revitalisation-Revitalisierung'!$A$4:$Z$275,11,FALSE))</f>
        <v/>
      </c>
      <c r="BI197" s="756" t="str">
        <f>IF(VLOOKUP(A197,'Revitalisation-Revitalisierung'!$A$4:$Z$275,12,FALSE)="","",VLOOKUP(A197,'Revitalisation-Revitalisierung'!$A$4:$Z$275,12,FALSE))</f>
        <v/>
      </c>
      <c r="BJ197" s="788" t="str">
        <f>IF(VLOOKUP(A197,'Revitalisation-Revitalisierung'!$A$4:$Z$275,13,FALSE)="","",VLOOKUP(A197,'Revitalisation-Revitalisierung'!$A$4:$Z$275,13,FALSE))</f>
        <v>Non nécessaire / nicht nötig</v>
      </c>
      <c r="BK197" s="870" t="str">
        <f>IF(VLOOKUP(A197,'Revitalisation-Revitalisierung'!$A$4:$Z$275,14,FALSE)="","",VLOOKUP(A197,'Revitalisation-Revitalisierung'!$A$4:$Z$275,14,FALSE))</f>
        <v>a</v>
      </c>
      <c r="BL197" s="758" t="str">
        <f>IF(VLOOKUP(A197,'Revitalisation-Revitalisierung'!$A$4:$Z$275,15,FALSE)="","",VLOOKUP(A197,'Revitalisation-Revitalisierung'!$A$4:$Z$275,15,FALSE))</f>
        <v>gross</v>
      </c>
      <c r="BM197" s="759" t="str">
        <f>IF(VLOOKUP(A197,'Revitalisation-Revitalisierung'!$A$4:$Z$275,16,FALSE)="","",VLOOKUP(A197,'Revitalisation-Revitalisierung'!$A$4:$Z$275,16,FALSE))</f>
        <v>gering</v>
      </c>
      <c r="BN197" s="759" t="str">
        <f>IF(VLOOKUP(A197,'Revitalisation-Revitalisierung'!$A$4:$Z$275,17,FALSE)="","",VLOOKUP(A197,'Revitalisation-Revitalisierung'!$A$4:$Z$275,17,FALSE))</f>
        <v>-</v>
      </c>
      <c r="BO197" s="760" t="str">
        <f>IF(VLOOKUP(A197,'Revitalisation-Revitalisierung'!$A$4:$Z$275,18,FALSE)="","",VLOOKUP(A197,'Revitalisation-Revitalisierung'!$A$4:$Z$275,18,FALSE))</f>
        <v>Non nécessaire / nicht nötig</v>
      </c>
      <c r="BP197" s="761" t="str">
        <f>IF(VLOOKUP(A197,'Revitalisation-Revitalisierung'!$A$4:$Z$275,19,FALSE)="","",VLOOKUP(A197,'Revitalisation-Revitalisierung'!$A$4:$Z$275,19,FALSE))</f>
        <v>Non nécessaire / nicht nötig</v>
      </c>
      <c r="BQ197" s="759" t="str">
        <f>IF(VLOOKUP(A197,'Revitalisation-Revitalisierung'!$A$4:$Z$275,20,FALSE)="","",VLOOKUP(A197,'Revitalisation-Revitalisierung'!$A$4:$Z$275,20,FALSE))</f>
        <v>d</v>
      </c>
      <c r="BR197" s="759" t="str">
        <f>IF(VLOOKUP(A197,'Revitalisation-Revitalisierung'!$A$4:$Z$275,21,FALSE)="","",VLOOKUP(A197,'Revitalisation-Revitalisierung'!$A$4:$Z$275,21,FALSE))</f>
        <v/>
      </c>
      <c r="BS197" s="762" t="str">
        <f>IF(VLOOKUP(A197,'Revitalisation-Revitalisierung'!$A$4:$Z$275,22,FALSE)="","",VLOOKUP(A197,'Revitalisation-Revitalisierung'!$A$4:$Z$275,22,FALSE))</f>
        <v/>
      </c>
      <c r="BT197" s="703" t="str">
        <f>IF(VLOOKUP(A197,'Revitalisation-Revitalisierung'!$A$4:$Z$275,23,FALSE)="","",VLOOKUP(A197,'Revitalisation-Revitalisierung'!$A$4:$Z$275,23,FALSE))</f>
        <v/>
      </c>
      <c r="BU197" s="704" t="str">
        <f>IF(VLOOKUP(A197,'Revitalisation-Revitalisierung'!$A$4:$Z$275,24,FALSE)="","",VLOOKUP(A197,'Revitalisation-Revitalisierung'!$A$4:$Z$275,24,FALSE))</f>
        <v>nicht nötig</v>
      </c>
      <c r="BV197" s="761" t="str">
        <f>IF(VLOOKUP(A197,'Revitalisation-Revitalisierung'!$A$4:$Z$275,25,FALSE)="","",VLOOKUP(A197,'Revitalisation-Revitalisierung'!$A$4:$Z$275,25,FALSE))</f>
        <v>Non nécessaire / nicht nötig</v>
      </c>
      <c r="BW197" s="871" t="str">
        <f>IF(VLOOKUP(A197,'Revitalisation-Revitalisierung'!$A$4:$AA$275,27,FALSE)="","",VLOOKUP(A197,'Revitalisation-Revitalisierung'!$A$4:$AA$275,27,FALSE))</f>
        <v>a</v>
      </c>
    </row>
    <row r="198" spans="1:75" ht="95.45" customHeight="1" x14ac:dyDescent="0.25">
      <c r="A198" s="1230">
        <v>320</v>
      </c>
      <c r="B198" s="856">
        <f>IF(VLOOKUP(A198,'Données de base - Grunddaten'!$A$2:$M$297,2,FALSE)="","",VLOOKUP(A198,'Données de base - Grunddaten'!$A$2:$M$297,2,FALSE))</f>
        <v>1</v>
      </c>
      <c r="C198" s="857" t="str">
        <f>IF(VLOOKUP(A198,'Données de base - Grunddaten'!$A$2:$M$297,3,FALSE)="","",VLOOKUP(A198,'Données de base - Grunddaten'!$A$2:$M$297,3,FALSE))</f>
        <v>Innereriz Zulg</v>
      </c>
      <c r="D198" s="857" t="str">
        <f>IF(VLOOKUP(A198,'Données de base - Grunddaten'!$A$2:$M$297,4,FALSE)="","",VLOOKUP(A198,'Données de base - Grunddaten'!$A$2:$M$297,4,FALSE))</f>
        <v>Zulg</v>
      </c>
      <c r="E198" s="857" t="str">
        <f>IF(VLOOKUP(A198,'Données de base - Grunddaten'!$A$2:$M$297,5,FALSE)="","",VLOOKUP(A198,'Données de base - Grunddaten'!$A$2:$M$297,5,FALSE))</f>
        <v>BE</v>
      </c>
      <c r="F198" s="857" t="str">
        <f>IF(VLOOKUP(A198,'Données de base - Grunddaten'!$A$2:$M$297,6,FALSE)="","",VLOOKUP(A198,'Données de base - Grunddaten'!$A$2:$M$297,6,FALSE))</f>
        <v>Préalpes</v>
      </c>
      <c r="G198" s="857" t="str">
        <f>IF(VLOOKUP(A198,'Données de base - Grunddaten'!$A$2:$M$297,7,FALSE)="","",VLOOKUP(A198,'Données de base - Grunddaten'!$A$2:$M$297,7,FALSE))</f>
        <v>Montagnard sup.</v>
      </c>
      <c r="H198" s="857">
        <f>IF(VLOOKUP(A198,'Données de base - Grunddaten'!$A$2:$M$297,8,FALSE)="","",VLOOKUP(A198,'Données de base - Grunddaten'!$A$2:$M$297,8,FALSE))</f>
        <v>1000</v>
      </c>
      <c r="I198" s="857" t="str">
        <f>IF(VLOOKUP(A198,'Données de base - Grunddaten'!$A$2:$M$297,9,FALSE)="","",VLOOKUP(A198,'Données de base - Grunddaten'!$A$2:$M$297,9,FALSE))</f>
        <v>candidat</v>
      </c>
      <c r="J198" s="857">
        <f>IF(VLOOKUP(A198,'Données de base - Grunddaten'!$A$2:$M$297,10,FALSE)="","",VLOOKUP(A198,'Données de base - Grunddaten'!$A$2:$M$297,10,FALSE))</f>
        <v>41</v>
      </c>
      <c r="K198" s="857" t="str">
        <f>IF(VLOOKUP(A198,'Données de base - Grunddaten'!$A$2:$M$297,11,FALSE)="","",VLOOKUP(A198,'Données de base - Grunddaten'!$A$2:$M$297,11,FALSE))</f>
        <v>Cours d'eau naturels de l'étage montagnard</v>
      </c>
      <c r="L198" s="857" t="str">
        <f>IF(VLOOKUP(A198,'Données de base - Grunddaten'!$A$2:$M$297,12,FALSE)="","",VLOOKUP(A198,'Données de base - Grunddaten'!$A$2:$M$297,12,FALSE))</f>
        <v>en méandres migrants</v>
      </c>
      <c r="M198" s="858" t="str">
        <f>IF(VLOOKUP(A198,'Données de base - Grunddaten'!$A$2:$M$297,13,FALSE)="","",VLOOKUP(A198,'Données de base - Grunddaten'!$A$2:$M$297,13,FALSE))</f>
        <v>en méandres migrants</v>
      </c>
      <c r="N198" s="872" t="str">
        <f>IF(VLOOKUP(A198,'Charriage - Geschiebehaushalt'!$A$4:$R$275,5,FALSE)="","",VLOOKUP(A198,'Charriage - Geschiebehaushalt'!$A$4:$R$275,5,FALSE))</f>
        <v>pertinent</v>
      </c>
      <c r="O198" s="873" t="str">
        <f>IF(VLOOKUP(A198,'Charriage - Geschiebehaushalt'!$A$4:$R$275,6,FALSE)="","",VLOOKUP(A198,'Charriage - Geschiebehaushalt'!$A$4:$R$275,6,FALSE))</f>
        <v>21-50%</v>
      </c>
      <c r="P198" s="874" t="str">
        <f>IF(VLOOKUP(A198,'Charriage - Geschiebehaushalt'!$A$4:$R$275,7,FALSE)="","",VLOOKUP(A198,'Charriage - Geschiebehaushalt'!$A$4:$R$275,7,FALSE))</f>
        <v/>
      </c>
      <c r="Q198" s="874" t="str">
        <f>IF(VLOOKUP(A198,'Charriage - Geschiebehaushalt'!$A$4:$R$275,8,FALSE)="","",VLOOKUP(A198,'Charriage - Geschiebehaushalt'!$A$4:$R$275,8,FALSE))</f>
        <v>non documenté</v>
      </c>
      <c r="R198" s="875">
        <f>IF(VLOOKUP(A198,'Charriage - Geschiebehaushalt'!$A$4:$R$275,9,FALSE)="","",VLOOKUP(A198,'Charriage - Geschiebehaushalt'!$A$4:$R$275,9,FALSE))</f>
        <v>0.104</v>
      </c>
      <c r="S198" s="876" t="str">
        <f>IF(VLOOKUP(A198,'Charriage - Geschiebehaushalt'!$A$4:$R$275,10,FALSE)="","",VLOOKUP(A198,'Charriage - Geschiebehaushalt'!$A$4:$R$275,10,FALSE))</f>
        <v>pas ou faiblement entravé</v>
      </c>
      <c r="T198" s="875">
        <f>IF(VLOOKUP(A198,'Charriage - Geschiebehaushalt'!$A$4:$R$275,11,FALSE)="","",VLOOKUP(A198,'Charriage - Geschiebehaushalt'!$A$4:$R$275,11,FALSE))</f>
        <v>0.38600000000000001</v>
      </c>
      <c r="U198" s="876" t="str">
        <f>IF(VLOOKUP(A198,'Charriage - Geschiebehaushalt'!$A$4:$R$275,12,FALSE)="","",VLOOKUP(A198,'Charriage - Geschiebehaushalt'!$A$4:$R$275,12,FALSE))</f>
        <v>déficit dans les formations pionnières</v>
      </c>
      <c r="V198" s="877" t="str">
        <f>IF(VLOOKUP(A198,'Charriage - Geschiebehaushalt'!$A$4:$R$275,13,FALSE)="","",VLOOKUP(A198,'Charriage - Geschiebehaushalt'!$A$4:$R$275,13,FALSE))</f>
        <v/>
      </c>
      <c r="W198" s="877" t="str">
        <f>IF(VLOOKUP(A198,'Charriage - Geschiebehaushalt'!$A$4:$R$275,14,FALSE)="","",VLOOKUP(A198,'Charriage - Geschiebehaushalt'!$A$4:$R$275,14,FALSE))</f>
        <v/>
      </c>
      <c r="X198" s="877" t="str">
        <f>IF(VLOOKUP(A198,'Charriage - Geschiebehaushalt'!$A$4:$R$275,15,FALSE)="","",VLOOKUP(A198,'Charriage - Geschiebehaushalt'!$A$4:$R$275,15,FALSE))</f>
        <v/>
      </c>
      <c r="Y198" s="879" t="str">
        <f>IF(VLOOKUP(A198,'Charriage - Geschiebehaushalt'!$A$4:$R$275,16,FALSE)="","",VLOOKUP(A198,'Charriage - Geschiebehaushalt'!$A$4:$R$275,16,FALSE))</f>
        <v/>
      </c>
      <c r="Z198" s="763" t="str">
        <f>IF(VLOOKUP(A198,'Charriage - Geschiebehaushalt'!$A$4:$R$275,17,FALSE)="","",VLOOKUP(A198,'Charriage - Geschiebehaushalt'!$A$4:$R$275,17,FALSE))</f>
        <v>21-50%</v>
      </c>
      <c r="AA198" s="880" t="str">
        <f>IF(VLOOKUP(A198,'Charriage - Geschiebehaushalt'!$A$4:$R$275,18,FALSE)="","",VLOOKUP(A198,'Charriage - Geschiebehaushalt'!$A$4:$R$275,18,FALSE))</f>
        <v>a</v>
      </c>
      <c r="AB198" s="737" t="str">
        <f>IF(VLOOKUP(A198,'Charriage - Geschiebehaushalt'!$A$4:$AC$275,19,FALSE)="","",VLOOKUP(A198,'Charriage - Geschiebehaushalt'!$A$4:$AC$275,19,FALSE))</f>
        <v>-</v>
      </c>
      <c r="AC198" s="738" t="str">
        <f>IF(VLOOKUP(A198,'Charriage - Geschiebehaushalt'!$A$4:$AC$275,20,FALSE)="","",VLOOKUP(A198,'Charriage - Geschiebehaushalt'!$A$4:$AC$275,20,FALSE))</f>
        <v>-</v>
      </c>
      <c r="AD198" s="764" t="str">
        <f>IF(VLOOKUP(A198,'Charriage - Geschiebehaushalt'!$A$4:$AC$275,21,FALSE)="","",VLOOKUP(A198,'Charriage - Geschiebehaushalt'!$A$4:$AC$275,21,FALSE))</f>
        <v/>
      </c>
      <c r="AE198" s="740" t="str">
        <f>IF(VLOOKUP(A198,'Charriage - Geschiebehaushalt'!$A$4:$AC$275,22,FALSE)="","",VLOOKUP(A198,'Charriage - Geschiebehaushalt'!$A$4:$AC$275,22,FALSE))</f>
        <v>21-50%</v>
      </c>
      <c r="AF198" s="787" t="str">
        <f>IF(VLOOKUP(A198,'Charriage - Geschiebehaushalt'!$A$4:$AC$275,23,FALSE)="","",VLOOKUP(A198,'Charriage - Geschiebehaushalt'!$A$4:$AC$275,23,FALSE))</f>
        <v>a</v>
      </c>
      <c r="AG198" s="765" t="str">
        <f>IF(VLOOKUP(A198,'Charriage - Geschiebehaushalt'!$A$4:$AC$275,24,FALSE)="","",VLOOKUP(A198,'Charriage - Geschiebehaushalt'!$A$4:$AC$275,24,FALSE))</f>
        <v/>
      </c>
      <c r="AH198" s="764" t="str">
        <f>IF(VLOOKUP(A198,'Charriage - Geschiebehaushalt'!$A$4:$AC$275,25,FALSE)="","",VLOOKUP(A198,'Charriage - Geschiebehaushalt'!$A$4:$AC$275,25,FALSE))</f>
        <v/>
      </c>
      <c r="AI198" s="433" t="str">
        <f>IF(VLOOKUP(A198,'Charriage - Geschiebehaushalt'!$A$4:$AC$275,26,FALSE)="","",VLOOKUP(A198,'Charriage - Geschiebehaushalt'!$A$4:$AC$275,26,FALSE))</f>
        <v/>
      </c>
      <c r="AJ198" s="434" t="str">
        <f>IF(VLOOKUP(A198,'Charriage - Geschiebehaushalt'!$A$4:$AC$275,27,FALSE)="","",VLOOKUP(A198,'Charriage - Geschiebehaushalt'!$A$4:$AC$275,27,FALSE))</f>
        <v/>
      </c>
      <c r="AK198" s="801" t="str">
        <f>IF(VLOOKUP(A198,'Charriage - Geschiebehaushalt'!$A$4:$AC$275,28,FALSE)="","",VLOOKUP(A198,'Charriage - Geschiebehaushalt'!$A$4:$AC$275,28,FALSE))</f>
        <v>21-50%</v>
      </c>
      <c r="AL198" s="1285" t="str">
        <f>IF(VLOOKUP(A198,'Charriage - Geschiebehaushalt'!$A$4:$AD$275,30,FALSE)="","",VLOOKUP(A198,'Charriage - Geschiebehaushalt'!$A$4:$AD$275,30,FALSE))</f>
        <v>a</v>
      </c>
      <c r="AM198" s="1279" t="str">
        <f>IF(VLOOKUP(A198,'Débit - Abfluss'!$A$4:$K$275,5,FALSE)="","",VLOOKUP(A198,'Débit - Abfluss'!$A$4:$M$275,5,FALSE))</f>
        <v>non documenté</v>
      </c>
      <c r="AN198" s="868" t="str">
        <f>IF(VLOOKUP(A198,'Débit - Abfluss'!$A$4:$K$275,6,FALSE)="","",VLOOKUP(A198,'Débit - Abfluss'!$A$4:$M$275,6,FALSE))</f>
        <v>aucune information supplémentaire</v>
      </c>
      <c r="AO198" s="869" t="str">
        <f>IF(VLOOKUP(A198,'Débit - Abfluss'!$A$4:$K$275,7,FALSE)="","",VLOOKUP(A198,'Débit - Abfluss'!$A$4:$M$275,7,FALSE))</f>
        <v>aucune information supplémentaire</v>
      </c>
      <c r="AP198" s="766" t="str">
        <f>IF(VLOOKUP(A198,'Débit - Abfluss'!$A$4:$K$275,8,FALSE)="","",VLOOKUP(A198,'Débit - Abfluss'!$A$4:$M$275,8,FALSE))</f>
        <v>Régime présumé naturel (100%) / Abfluss vermutlich natürlich</v>
      </c>
      <c r="AQ198" s="742" t="str">
        <f>IF(VLOOKUP(A198,'Débit - Abfluss'!$A$4:$K$275,9,FALSE)="","",VLOOKUP(A198,'Débit - Abfluss'!$A$4:$M$275,9,FALSE))</f>
        <v>-</v>
      </c>
      <c r="AR198" s="767" t="str">
        <f>IF(VLOOKUP(A198,'Débit - Abfluss'!$A$4:$K$275,10,FALSE)="","",VLOOKUP(A198,'Débit - Abfluss'!$A$4:$M$275,10,FALSE))</f>
        <v>Régime présumé naturel (100%) / Abfluss vermutlich natürlich</v>
      </c>
      <c r="AS198" s="767" t="str">
        <f>IF(VLOOKUP(A198,'Débit - Abfluss'!$A$4:$K$275,11,FALSE)="","",VLOOKUP(A198,'Débit - Abfluss'!$A$4:$M$275,11,FALSE))</f>
        <v/>
      </c>
      <c r="AT198" s="744" t="str">
        <f>IF(VLOOKUP(A198,'Débit - Abfluss'!$A$4:$Q$275,12,FALSE)="","",VLOOKUP(A198,'Débit - Abfluss'!$A$4:$Q$275,12,FALSE))</f>
        <v/>
      </c>
      <c r="AU198" s="745" t="str">
        <f>IF(VLOOKUP(A198,'Débit - Abfluss'!$A$4:$Q$275,13,FALSE)="","",VLOOKUP(A198,'Débit - Abfluss'!$A$4:$Q$275,13,FALSE))</f>
        <v/>
      </c>
      <c r="AV198" s="746" t="str">
        <f>IF(VLOOKUP(A198,'Débit - Abfluss'!$A$4:$Q$275,14,FALSE)="","",VLOOKUP(A198,'Débit - Abfluss'!$A$4:$Q$275,14,FALSE))</f>
        <v/>
      </c>
      <c r="AW198" s="768" t="str">
        <f>IF(VLOOKUP(A198,'Débit - Abfluss'!$A$4:$Q$275,15,FALSE)="","",VLOOKUP(A198,'Débit - Abfluss'!$A$4:$Q$275,15,FALSE))</f>
        <v/>
      </c>
      <c r="AX198" s="677" t="str">
        <f>IF(VLOOKUP(A198,'Débit - Abfluss'!$A$4:$Q$275,16,FALSE)="","",VLOOKUP(A198,'Débit - Abfluss'!$A$4:$Q$275,16,FALSE))</f>
        <v/>
      </c>
      <c r="AY198" s="769" t="str">
        <f>IF(VLOOKUP(A198,'Débit - Abfluss'!$A$4:$Q$275,17,FALSE)="","",VLOOKUP(A198,'Débit - Abfluss'!$A$4:$Q$275,17,FALSE))</f>
        <v>Régime présumé naturel (100%) / Abfluss vermutlich natürlich</v>
      </c>
      <c r="AZ198" s="749" t="str">
        <f>IF(VLOOKUP(A198,'Eclusée - Schwall-Sunk'!$A$2:$F$273,5,FALSE)="","",VLOOKUP(A198,'Eclusée - Schwall-Sunk'!$A$2:$F$273,5,FALSE))</f>
        <v/>
      </c>
      <c r="BA198" s="750" t="str">
        <f>IF(VLOOKUP(A198,'Eclusée - Schwall-Sunk'!$A$2:$F$273,6,FALSE)="","",VLOOKUP(A198,'Eclusée - Schwall-Sunk'!$A$2:$F$273,6,FALSE))</f>
        <v>Non affecté / nicht betroffen</v>
      </c>
      <c r="BB198" s="751" t="str">
        <f>IF(VLOOKUP(A198,'Revitalisation-Revitalisierung'!$A$4:$Z$275,5,FALSE)="","",VLOOKUP(A198,'Revitalisation-Revitalisierung'!$A$4:$Z$275,5,FALSE))</f>
        <v/>
      </c>
      <c r="BC198" s="752" t="str">
        <f>IF(VLOOKUP(A198,'Revitalisation-Revitalisierung'!$A$4:$Z$275,6,FALSE)="","",VLOOKUP(A198,'Revitalisation-Revitalisierung'!$A$4:$Z$275,6,FALSE))</f>
        <v/>
      </c>
      <c r="BD198" s="752" t="str">
        <f>IF(VLOOKUP(A198,'Revitalisation-Revitalisierung'!$A$4:$Z$275,7,FALSE)="","",VLOOKUP(A198,'Revitalisation-Revitalisierung'!$A$4:$Z$275,7,FALSE))</f>
        <v/>
      </c>
      <c r="BE198" s="753" t="str">
        <f>IF(VLOOKUP(A198,'Revitalisation-Revitalisierung'!$A$4:$Z$275,8,FALSE)="","",VLOOKUP(A198,'Revitalisation-Revitalisierung'!$A$4:$Z$275,8,FALSE))</f>
        <v/>
      </c>
      <c r="BF198" s="754" t="str">
        <f>IF(VLOOKUP(A198,'Revitalisation-Revitalisierung'!$A$4:$Z$275,9,FALSE)="","",VLOOKUP(A198,'Revitalisation-Revitalisierung'!$A$4:$Z$275,9,FALSE))</f>
        <v>nicht nötig</v>
      </c>
      <c r="BG198" s="754" t="str">
        <f>IF(VLOOKUP(A198,'Revitalisation-Revitalisierung'!$A$4:$Z$275,10,FALSE)="","",VLOOKUP(A198,'Revitalisation-Revitalisierung'!$A$4:$Z$275,10,FALSE))</f>
        <v/>
      </c>
      <c r="BH198" s="755" t="str">
        <f>IF(VLOOKUP(A198,'Revitalisation-Revitalisierung'!$A$4:$Z$275,11,FALSE)="","",VLOOKUP(A198,'Revitalisation-Revitalisierung'!$A$4:$Z$275,11,FALSE))</f>
        <v>non nécessaire</v>
      </c>
      <c r="BI198" s="756" t="str">
        <f>IF(VLOOKUP(A198,'Revitalisation-Revitalisierung'!$A$4:$Z$275,12,FALSE)="","",VLOOKUP(A198,'Revitalisation-Revitalisierung'!$A$4:$Z$275,12,FALSE))</f>
        <v/>
      </c>
      <c r="BJ198" s="788" t="str">
        <f>IF(VLOOKUP(A198,'Revitalisation-Revitalisierung'!$A$4:$Z$275,13,FALSE)="","",VLOOKUP(A198,'Revitalisation-Revitalisierung'!$A$4:$Z$275,13,FALSE))</f>
        <v>Non nécessaire / nicht nötig</v>
      </c>
      <c r="BK198" s="870" t="str">
        <f>IF(VLOOKUP(A198,'Revitalisation-Revitalisierung'!$A$4:$Z$275,14,FALSE)="","",VLOOKUP(A198,'Revitalisation-Revitalisierung'!$A$4:$Z$275,14,FALSE))</f>
        <v>a</v>
      </c>
      <c r="BL198" s="758" t="str">
        <f>IF(VLOOKUP(A198,'Revitalisation-Revitalisierung'!$A$4:$Z$275,15,FALSE)="","",VLOOKUP(A198,'Revitalisation-Revitalisierung'!$A$4:$Z$275,15,FALSE))</f>
        <v>gross/mittel</v>
      </c>
      <c r="BM198" s="759" t="str">
        <f>IF(VLOOKUP(A198,'Revitalisation-Revitalisierung'!$A$4:$Z$275,16,FALSE)="","",VLOOKUP(A198,'Revitalisation-Revitalisierung'!$A$4:$Z$275,16,FALSE))</f>
        <v>gering</v>
      </c>
      <c r="BN198" s="759" t="str">
        <f>IF(VLOOKUP(A198,'Revitalisation-Revitalisierung'!$A$4:$Z$275,17,FALSE)="","",VLOOKUP(A198,'Revitalisation-Revitalisierung'!$A$4:$Z$275,17,FALSE))</f>
        <v>-</v>
      </c>
      <c r="BO198" s="760" t="str">
        <f>IF(VLOOKUP(A198,'Revitalisation-Revitalisierung'!$A$4:$Z$275,18,FALSE)="","",VLOOKUP(A198,'Revitalisation-Revitalisierung'!$A$4:$Z$275,18,FALSE))</f>
        <v>Non nécessaire / nicht nötig</v>
      </c>
      <c r="BP198" s="761" t="str">
        <f>IF(VLOOKUP(A198,'Revitalisation-Revitalisierung'!$A$4:$Z$275,19,FALSE)="","",VLOOKUP(A198,'Revitalisation-Revitalisierung'!$A$4:$Z$275,19,FALSE))</f>
        <v>Non nécessaire / nicht nötig</v>
      </c>
      <c r="BQ198" s="759" t="str">
        <f>IF(VLOOKUP(A198,'Revitalisation-Revitalisierung'!$A$4:$Z$275,20,FALSE)="","",VLOOKUP(A198,'Revitalisation-Revitalisierung'!$A$4:$Z$275,20,FALSE))</f>
        <v>d</v>
      </c>
      <c r="BR198" s="759" t="str">
        <f>IF(VLOOKUP(A198,'Revitalisation-Revitalisierung'!$A$4:$Z$275,21,FALSE)="","",VLOOKUP(A198,'Revitalisation-Revitalisierung'!$A$4:$Z$275,21,FALSE))</f>
        <v/>
      </c>
      <c r="BS198" s="762" t="str">
        <f>IF(VLOOKUP(A198,'Revitalisation-Revitalisierung'!$A$4:$Z$275,22,FALSE)="","",VLOOKUP(A198,'Revitalisation-Revitalisierung'!$A$4:$Z$275,22,FALSE))</f>
        <v/>
      </c>
      <c r="BT198" s="703" t="str">
        <f>IF(VLOOKUP(A198,'Revitalisation-Revitalisierung'!$A$4:$Z$275,23,FALSE)="","",VLOOKUP(A198,'Revitalisation-Revitalisierung'!$A$4:$Z$275,23,FALSE))</f>
        <v/>
      </c>
      <c r="BU198" s="704" t="str">
        <f>IF(VLOOKUP(A198,'Revitalisation-Revitalisierung'!$A$4:$Z$275,24,FALSE)="","",VLOOKUP(A198,'Revitalisation-Revitalisierung'!$A$4:$Z$275,24,FALSE))</f>
        <v>nicht nötig</v>
      </c>
      <c r="BV198" s="761" t="str">
        <f>IF(VLOOKUP(A198,'Revitalisation-Revitalisierung'!$A$4:$Z$275,25,FALSE)="","",VLOOKUP(A198,'Revitalisation-Revitalisierung'!$A$4:$Z$275,25,FALSE))</f>
        <v>Non nécessaire / nicht nötig</v>
      </c>
      <c r="BW198" s="871" t="str">
        <f>IF(VLOOKUP(A198,'Revitalisation-Revitalisierung'!$A$4:$AA$275,27,FALSE)="","",VLOOKUP(A198,'Revitalisation-Revitalisierung'!$A$4:$AA$275,27,FALSE))</f>
        <v>a</v>
      </c>
    </row>
    <row r="199" spans="1:75" ht="67.900000000000006" customHeight="1" x14ac:dyDescent="0.25">
      <c r="A199" s="935">
        <v>321</v>
      </c>
      <c r="B199" s="856">
        <f>IF(VLOOKUP(A199,'Données de base - Grunddaten'!$A$2:$M$297,2,FALSE)="","",VLOOKUP(A199,'Données de base - Grunddaten'!$A$2:$M$297,2,FALSE))</f>
        <v>1</v>
      </c>
      <c r="C199" s="857" t="str">
        <f>IF(VLOOKUP(A199,'Données de base - Grunddaten'!$A$2:$M$297,3,FALSE)="","",VLOOKUP(A199,'Données de base - Grunddaten'!$A$2:$M$297,3,FALSE))</f>
        <v>Harzisboden</v>
      </c>
      <c r="D199" s="857" t="str">
        <f>IF(VLOOKUP(A199,'Données de base - Grunddaten'!$A$2:$M$297,4,FALSE)="","",VLOOKUP(A199,'Données de base - Grunddaten'!$A$2:$M$297,4,FALSE))</f>
        <v>Emme</v>
      </c>
      <c r="E199" s="857" t="str">
        <f>IF(VLOOKUP(A199,'Données de base - Grunddaten'!$A$2:$M$297,5,FALSE)="","",VLOOKUP(A199,'Données de base - Grunddaten'!$A$2:$M$297,5,FALSE))</f>
        <v>BE</v>
      </c>
      <c r="F199" s="857" t="str">
        <f>IF(VLOOKUP(A199,'Données de base - Grunddaten'!$A$2:$M$297,6,FALSE)="","",VLOOKUP(A199,'Données de base - Grunddaten'!$A$2:$M$297,6,FALSE))</f>
        <v>Alpes septentrionales</v>
      </c>
      <c r="G199" s="857" t="str">
        <f>IF(VLOOKUP(A199,'Données de base - Grunddaten'!$A$2:$M$297,7,FALSE)="","",VLOOKUP(A199,'Données de base - Grunddaten'!$A$2:$M$297,7,FALSE))</f>
        <v>Montagnard sup.</v>
      </c>
      <c r="H199" s="857">
        <f>IF(VLOOKUP(A199,'Données de base - Grunddaten'!$A$2:$M$297,8,FALSE)="","",VLOOKUP(A199,'Données de base - Grunddaten'!$A$2:$M$297,8,FALSE))</f>
        <v>1120</v>
      </c>
      <c r="I199" s="857">
        <f>IF(VLOOKUP(A199,'Données de base - Grunddaten'!$A$2:$M$297,9,FALSE)="","",VLOOKUP(A199,'Données de base - Grunddaten'!$A$2:$M$297,9,FALSE))</f>
        <v>2003</v>
      </c>
      <c r="J199" s="857">
        <f>IF(VLOOKUP(A199,'Données de base - Grunddaten'!$A$2:$M$297,10,FALSE)="","",VLOOKUP(A199,'Données de base - Grunddaten'!$A$2:$M$297,10,FALSE))</f>
        <v>41</v>
      </c>
      <c r="K199" s="857" t="str">
        <f>IF(VLOOKUP(A199,'Données de base - Grunddaten'!$A$2:$M$297,11,FALSE)="","",VLOOKUP(A199,'Données de base - Grunddaten'!$A$2:$M$297,11,FALSE))</f>
        <v>Cours d'eau naturels de l'étage montagnard</v>
      </c>
      <c r="L199" s="857" t="str">
        <f>IF(VLOOKUP(A199,'Données de base - Grunddaten'!$A$2:$M$297,12,FALSE)="","",VLOOKUP(A199,'Données de base - Grunddaten'!$A$2:$M$297,12,FALSE))</f>
        <v>en méandres migrants</v>
      </c>
      <c r="M199" s="858" t="str">
        <f>IF(VLOOKUP(A199,'Données de base - Grunddaten'!$A$2:$M$297,13,FALSE)="","",VLOOKUP(A199,'Données de base - Grunddaten'!$A$2:$M$297,13,FALSE))</f>
        <v>en méandres migrants</v>
      </c>
      <c r="N199" s="872" t="str">
        <f>IF(VLOOKUP(A199,'Charriage - Geschiebehaushalt'!$A$4:$R$275,5,FALSE)="","",VLOOKUP(A199,'Charriage - Geschiebehaushalt'!$A$4:$R$275,5,FALSE))</f>
        <v>pertinent</v>
      </c>
      <c r="O199" s="873" t="str">
        <f>IF(VLOOKUP(A199,'Charriage - Geschiebehaushalt'!$A$4:$R$275,6,FALSE)="","",VLOOKUP(A199,'Charriage - Geschiebehaushalt'!$A$4:$R$275,6,FALSE))</f>
        <v>21-50%</v>
      </c>
      <c r="P199" s="874" t="str">
        <f>IF(VLOOKUP(A199,'Charriage - Geschiebehaushalt'!$A$4:$R$275,7,FALSE)="","",VLOOKUP(A199,'Charriage - Geschiebehaushalt'!$A$4:$R$275,7,FALSE))</f>
        <v/>
      </c>
      <c r="Q199" s="874" t="str">
        <f>IF(VLOOKUP(A199,'Charriage - Geschiebehaushalt'!$A$4:$R$275,8,FALSE)="","",VLOOKUP(A199,'Charriage - Geschiebehaushalt'!$A$4:$R$275,8,FALSE))</f>
        <v>non documenté</v>
      </c>
      <c r="R199" s="875">
        <f>IF(VLOOKUP(A199,'Charriage - Geschiebehaushalt'!$A$4:$R$275,9,FALSE)="","",VLOOKUP(A199,'Charriage - Geschiebehaushalt'!$A$4:$R$275,9,FALSE))</f>
        <v>4.2849618077255201E-2</v>
      </c>
      <c r="S199" s="876" t="str">
        <f>IF(VLOOKUP(A199,'Charriage - Geschiebehaushalt'!$A$4:$R$275,10,FALSE)="","",VLOOKUP(A199,'Charriage - Geschiebehaushalt'!$A$4:$R$275,10,FALSE))</f>
        <v>pas ou faiblement entravé</v>
      </c>
      <c r="T199" s="875">
        <f>IF(VLOOKUP(A199,'Charriage - Geschiebehaushalt'!$A$4:$R$275,11,FALSE)="","",VLOOKUP(A199,'Charriage - Geschiebehaushalt'!$A$4:$R$275,11,FALSE))</f>
        <v>0.46853296173999998</v>
      </c>
      <c r="U199" s="876" t="str">
        <f>IF(VLOOKUP(A199,'Charriage - Geschiebehaushalt'!$A$4:$R$275,12,FALSE)="","",VLOOKUP(A199,'Charriage - Geschiebehaushalt'!$A$4:$R$275,12,FALSE))</f>
        <v>déficit non apparent en charriage ou en remobilisation des sédiments</v>
      </c>
      <c r="V199" s="877" t="str">
        <f>IF(VLOOKUP(A199,'Charriage - Geschiebehaushalt'!$A$4:$R$275,13,FALSE)="","",VLOOKUP(A199,'Charriage - Geschiebehaushalt'!$A$4:$R$275,13,FALSE))</f>
        <v/>
      </c>
      <c r="W199" s="877" t="str">
        <f>IF(VLOOKUP(A199,'Charriage - Geschiebehaushalt'!$A$4:$R$275,14,FALSE)="","",VLOOKUP(A199,'Charriage - Geschiebehaushalt'!$A$4:$R$275,14,FALSE))</f>
        <v/>
      </c>
      <c r="X199" s="877" t="str">
        <f>IF(VLOOKUP(A199,'Charriage - Geschiebehaushalt'!$A$4:$R$275,15,FALSE)="","",VLOOKUP(A199,'Charriage - Geschiebehaushalt'!$A$4:$R$275,15,FALSE))</f>
        <v/>
      </c>
      <c r="Y199" s="879" t="str">
        <f>IF(VLOOKUP(A199,'Charriage - Geschiebehaushalt'!$A$4:$R$275,16,FALSE)="","",VLOOKUP(A199,'Charriage - Geschiebehaushalt'!$A$4:$R$275,16,FALSE))</f>
        <v/>
      </c>
      <c r="Z199" s="763" t="str">
        <f>IF(VLOOKUP(A199,'Charriage - Geschiebehaushalt'!$A$4:$R$275,17,FALSE)="","",VLOOKUP(A199,'Charriage - Geschiebehaushalt'!$A$4:$R$275,17,FALSE))</f>
        <v>21-50%</v>
      </c>
      <c r="AA199" s="880" t="str">
        <f>IF(VLOOKUP(A199,'Charriage - Geschiebehaushalt'!$A$4:$R$275,18,FALSE)="","",VLOOKUP(A199,'Charriage - Geschiebehaushalt'!$A$4:$R$275,18,FALSE))</f>
        <v>a</v>
      </c>
      <c r="AB199" s="737" t="str">
        <f>IF(VLOOKUP(A199,'Charriage - Geschiebehaushalt'!$A$4:$AC$275,19,FALSE)="","",VLOOKUP(A199,'Charriage - Geschiebehaushalt'!$A$4:$AC$275,19,FALSE))</f>
        <v>-</v>
      </c>
      <c r="AC199" s="738" t="str">
        <f>IF(VLOOKUP(A199,'Charriage - Geschiebehaushalt'!$A$4:$AC$275,20,FALSE)="","",VLOOKUP(A199,'Charriage - Geschiebehaushalt'!$A$4:$AC$275,20,FALSE))</f>
        <v>-</v>
      </c>
      <c r="AD199" s="764" t="str">
        <f>IF(VLOOKUP(A199,'Charriage - Geschiebehaushalt'!$A$4:$AC$275,21,FALSE)="","",VLOOKUP(A199,'Charriage - Geschiebehaushalt'!$A$4:$AC$275,21,FALSE))</f>
        <v/>
      </c>
      <c r="AE199" s="740" t="str">
        <f>IF(VLOOKUP(A199,'Charriage - Geschiebehaushalt'!$A$4:$AC$275,22,FALSE)="","",VLOOKUP(A199,'Charriage - Geschiebehaushalt'!$A$4:$AC$275,22,FALSE))</f>
        <v>21-50%</v>
      </c>
      <c r="AF199" s="787" t="str">
        <f>IF(VLOOKUP(A199,'Charriage - Geschiebehaushalt'!$A$4:$AC$275,23,FALSE)="","",VLOOKUP(A199,'Charriage - Geschiebehaushalt'!$A$4:$AC$275,23,FALSE))</f>
        <v>a</v>
      </c>
      <c r="AG199" s="765" t="str">
        <f>IF(VLOOKUP(A199,'Charriage - Geschiebehaushalt'!$A$4:$AC$275,24,FALSE)="","",VLOOKUP(A199,'Charriage - Geschiebehaushalt'!$A$4:$AC$275,24,FALSE))</f>
        <v/>
      </c>
      <c r="AH199" s="764" t="str">
        <f>IF(VLOOKUP(A199,'Charriage - Geschiebehaushalt'!$A$4:$AC$275,25,FALSE)="","",VLOOKUP(A199,'Charriage - Geschiebehaushalt'!$A$4:$AC$275,25,FALSE))</f>
        <v/>
      </c>
      <c r="AI199" s="433" t="str">
        <f>IF(VLOOKUP(A199,'Charriage - Geschiebehaushalt'!$A$4:$AC$275,26,FALSE)="","",VLOOKUP(A199,'Charriage - Geschiebehaushalt'!$A$4:$AC$275,26,FALSE))</f>
        <v/>
      </c>
      <c r="AJ199" s="434" t="str">
        <f>IF(VLOOKUP(A199,'Charriage - Geschiebehaushalt'!$A$4:$AC$275,27,FALSE)="","",VLOOKUP(A199,'Charriage - Geschiebehaushalt'!$A$4:$AC$275,27,FALSE))</f>
        <v/>
      </c>
      <c r="AK199" s="801" t="str">
        <f>IF(VLOOKUP(A199,'Charriage - Geschiebehaushalt'!$A$4:$AC$275,28,FALSE)="","",VLOOKUP(A199,'Charriage - Geschiebehaushalt'!$A$4:$AC$275,28,FALSE))</f>
        <v>21-50%</v>
      </c>
      <c r="AL199" s="1285" t="str">
        <f>IF(VLOOKUP(A199,'Charriage - Geschiebehaushalt'!$A$4:$AD$275,30,FALSE)="","",VLOOKUP(A199,'Charriage - Geschiebehaushalt'!$A$4:$AD$275,30,FALSE))</f>
        <v>a</v>
      </c>
      <c r="AM199" s="1279" t="str">
        <f>IF(VLOOKUP(A199,'Débit - Abfluss'!$A$4:$K$275,5,FALSE)="","",VLOOKUP(A199,'Débit - Abfluss'!$A$4:$M$275,5,FALSE))</f>
        <v>100%</v>
      </c>
      <c r="AN199" s="868" t="str">
        <f>IF(VLOOKUP(A199,'Débit - Abfluss'!$A$4:$K$275,6,FALSE)="","",VLOOKUP(A199,'Débit - Abfluss'!$A$4:$M$275,6,FALSE))</f>
        <v>aucune information supplémentaire</v>
      </c>
      <c r="AO199" s="869" t="str">
        <f>IF(VLOOKUP(A199,'Débit - Abfluss'!$A$4:$K$275,7,FALSE)="","",VLOOKUP(A199,'Débit - Abfluss'!$A$4:$M$275,7,FALSE))</f>
        <v>aucune information supplémentaire</v>
      </c>
      <c r="AP199" s="766" t="str">
        <f>IF(VLOOKUP(A199,'Débit - Abfluss'!$A$4:$K$275,8,FALSE)="","",VLOOKUP(A199,'Débit - Abfluss'!$A$4:$M$275,8,FALSE))</f>
        <v>100%</v>
      </c>
      <c r="AQ199" s="742" t="str">
        <f>IF(VLOOKUP(A199,'Débit - Abfluss'!$A$4:$K$275,9,FALSE)="","",VLOOKUP(A199,'Débit - Abfluss'!$A$4:$M$275,9,FALSE))</f>
        <v>-</v>
      </c>
      <c r="AR199" s="767" t="str">
        <f>IF(VLOOKUP(A199,'Débit - Abfluss'!$A$4:$K$275,10,FALSE)="","",VLOOKUP(A199,'Débit - Abfluss'!$A$4:$M$275,10,FALSE))</f>
        <v>100%</v>
      </c>
      <c r="AS199" s="767" t="str">
        <f>IF(VLOOKUP(A199,'Débit - Abfluss'!$A$4:$K$275,11,FALSE)="","",VLOOKUP(A199,'Débit - Abfluss'!$A$4:$M$275,11,FALSE))</f>
        <v/>
      </c>
      <c r="AT199" s="744" t="str">
        <f>IF(VLOOKUP(A199,'Débit - Abfluss'!$A$4:$Q$275,12,FALSE)="","",VLOOKUP(A199,'Débit - Abfluss'!$A$4:$Q$275,12,FALSE))</f>
        <v/>
      </c>
      <c r="AU199" s="745" t="str">
        <f>IF(VLOOKUP(A199,'Débit - Abfluss'!$A$4:$Q$275,13,FALSE)="","",VLOOKUP(A199,'Débit - Abfluss'!$A$4:$Q$275,13,FALSE))</f>
        <v/>
      </c>
      <c r="AV199" s="746" t="str">
        <f>IF(VLOOKUP(A199,'Débit - Abfluss'!$A$4:$Q$275,14,FALSE)="","",VLOOKUP(A199,'Débit - Abfluss'!$A$4:$Q$275,14,FALSE))</f>
        <v/>
      </c>
      <c r="AW199" s="768" t="str">
        <f>IF(VLOOKUP(A199,'Débit - Abfluss'!$A$4:$Q$275,15,FALSE)="","",VLOOKUP(A199,'Débit - Abfluss'!$A$4:$Q$275,15,FALSE))</f>
        <v/>
      </c>
      <c r="AX199" s="677" t="str">
        <f>IF(VLOOKUP(A199,'Débit - Abfluss'!$A$4:$Q$275,16,FALSE)="","",VLOOKUP(A199,'Débit - Abfluss'!$A$4:$Q$275,16,FALSE))</f>
        <v/>
      </c>
      <c r="AY199" s="769" t="str">
        <f>IF(VLOOKUP(A199,'Débit - Abfluss'!$A$4:$Q$275,17,FALSE)="","",VLOOKUP(A199,'Débit - Abfluss'!$A$4:$Q$275,17,FALSE))</f>
        <v>100%</v>
      </c>
      <c r="AZ199" s="749" t="str">
        <f>IF(VLOOKUP(A199,'Eclusée - Schwall-Sunk'!$A$2:$F$273,5,FALSE)="","",VLOOKUP(A199,'Eclusée - Schwall-Sunk'!$A$2:$F$273,5,FALSE))</f>
        <v/>
      </c>
      <c r="BA199" s="750" t="str">
        <f>IF(VLOOKUP(A199,'Eclusée - Schwall-Sunk'!$A$2:$F$273,6,FALSE)="","",VLOOKUP(A199,'Eclusée - Schwall-Sunk'!$A$2:$F$273,6,FALSE))</f>
        <v>Non affecté / nicht betroffen</v>
      </c>
      <c r="BB199" s="751">
        <f>IF(VLOOKUP(A199,'Revitalisation-Revitalisierung'!$A$4:$Z$275,5,FALSE)="","",VLOOKUP(A199,'Revitalisation-Revitalisierung'!$A$4:$Z$275,5,FALSE))</f>
        <v>-8.1818181818181817</v>
      </c>
      <c r="BC199" s="752">
        <f>IF(VLOOKUP(A199,'Revitalisation-Revitalisierung'!$A$4:$Z$275,6,FALSE)="","",VLOOKUP(A199,'Revitalisation-Revitalisierung'!$A$4:$Z$275,6,FALSE))</f>
        <v>0</v>
      </c>
      <c r="BD199" s="752">
        <f>IF(VLOOKUP(A199,'Revitalisation-Revitalisierung'!$A$4:$Z$275,7,FALSE)="","",VLOOKUP(A199,'Revitalisation-Revitalisierung'!$A$4:$Z$275,7,FALSE))</f>
        <v>8.1818181818181817</v>
      </c>
      <c r="BE199" s="753" t="str">
        <f>IF(VLOOKUP(A199,'Revitalisation-Revitalisierung'!$A$4:$Z$275,8,FALSE)="","",VLOOKUP(A199,'Revitalisation-Revitalisierung'!$A$4:$Z$275,8,FALSE))</f>
        <v>non nécessaire</v>
      </c>
      <c r="BF199" s="754" t="str">
        <f>IF(VLOOKUP(A199,'Revitalisation-Revitalisierung'!$A$4:$Z$275,9,FALSE)="","",VLOOKUP(A199,'Revitalisation-Revitalisierung'!$A$4:$Z$275,9,FALSE))</f>
        <v>nicht nötig</v>
      </c>
      <c r="BG199" s="754" t="str">
        <f>IF(VLOOKUP(A199,'Revitalisation-Revitalisierung'!$A$4:$Z$275,10,FALSE)="","",VLOOKUP(A199,'Revitalisation-Revitalisierung'!$A$4:$Z$275,10,FALSE))</f>
        <v>K2</v>
      </c>
      <c r="BH199" s="755" t="str">
        <f>IF(VLOOKUP(A199,'Revitalisation-Revitalisierung'!$A$4:$Z$275,11,FALSE)="","",VLOOKUP(A199,'Revitalisation-Revitalisierung'!$A$4:$Z$275,11,FALSE))</f>
        <v/>
      </c>
      <c r="BI199" s="756" t="str">
        <f>IF(VLOOKUP(A199,'Revitalisation-Revitalisierung'!$A$4:$Z$275,12,FALSE)="","",VLOOKUP(A199,'Revitalisation-Revitalisierung'!$A$4:$Z$275,12,FALSE))</f>
        <v/>
      </c>
      <c r="BJ199" s="788" t="str">
        <f>IF(VLOOKUP(A199,'Revitalisation-Revitalisierung'!$A$4:$Z$275,13,FALSE)="","",VLOOKUP(A199,'Revitalisation-Revitalisierung'!$A$4:$Z$275,13,FALSE))</f>
        <v>Non nécessaire / nicht nötig</v>
      </c>
      <c r="BK199" s="870" t="str">
        <f>IF(VLOOKUP(A199,'Revitalisation-Revitalisierung'!$A$4:$Z$275,14,FALSE)="","",VLOOKUP(A199,'Revitalisation-Revitalisierung'!$A$4:$Z$275,14,FALSE))</f>
        <v>a</v>
      </c>
      <c r="BL199" s="758" t="str">
        <f>IF(VLOOKUP(A199,'Revitalisation-Revitalisierung'!$A$4:$Z$275,15,FALSE)="","",VLOOKUP(A199,'Revitalisation-Revitalisierung'!$A$4:$Z$275,15,FALSE))</f>
        <v>gross</v>
      </c>
      <c r="BM199" s="759" t="str">
        <f>IF(VLOOKUP(A199,'Revitalisation-Revitalisierung'!$A$4:$Z$275,16,FALSE)="","",VLOOKUP(A199,'Revitalisation-Revitalisierung'!$A$4:$Z$275,16,FALSE))</f>
        <v>gering</v>
      </c>
      <c r="BN199" s="759" t="str">
        <f>IF(VLOOKUP(A199,'Revitalisation-Revitalisierung'!$A$4:$Z$275,17,FALSE)="","",VLOOKUP(A199,'Revitalisation-Revitalisierung'!$A$4:$Z$275,17,FALSE))</f>
        <v>-</v>
      </c>
      <c r="BO199" s="760" t="str">
        <f>IF(VLOOKUP(A199,'Revitalisation-Revitalisierung'!$A$4:$Z$275,18,FALSE)="","",VLOOKUP(A199,'Revitalisation-Revitalisierung'!$A$4:$Z$275,18,FALSE))</f>
        <v>Non nécessaire / nicht nötig</v>
      </c>
      <c r="BP199" s="761" t="str">
        <f>IF(VLOOKUP(A199,'Revitalisation-Revitalisierung'!$A$4:$Z$275,19,FALSE)="","",VLOOKUP(A199,'Revitalisation-Revitalisierung'!$A$4:$Z$275,19,FALSE))</f>
        <v>Non nécessaire / nicht nötig</v>
      </c>
      <c r="BQ199" s="759" t="str">
        <f>IF(VLOOKUP(A199,'Revitalisation-Revitalisierung'!$A$4:$Z$275,20,FALSE)="","",VLOOKUP(A199,'Revitalisation-Revitalisierung'!$A$4:$Z$275,20,FALSE))</f>
        <v>d</v>
      </c>
      <c r="BR199" s="759" t="str">
        <f>IF(VLOOKUP(A199,'Revitalisation-Revitalisierung'!$A$4:$Z$275,21,FALSE)="","",VLOOKUP(A199,'Revitalisation-Revitalisierung'!$A$4:$Z$275,21,FALSE))</f>
        <v/>
      </c>
      <c r="BS199" s="762" t="str">
        <f>IF(VLOOKUP(A199,'Revitalisation-Revitalisierung'!$A$4:$Z$275,22,FALSE)="","",VLOOKUP(A199,'Revitalisation-Revitalisierung'!$A$4:$Z$275,22,FALSE))</f>
        <v/>
      </c>
      <c r="BT199" s="703" t="str">
        <f>IF(VLOOKUP(A199,'Revitalisation-Revitalisierung'!$A$4:$Z$275,23,FALSE)="","",VLOOKUP(A199,'Revitalisation-Revitalisierung'!$A$4:$Z$275,23,FALSE))</f>
        <v/>
      </c>
      <c r="BU199" s="704" t="str">
        <f>IF(VLOOKUP(A199,'Revitalisation-Revitalisierung'!$A$4:$Z$275,24,FALSE)="","",VLOOKUP(A199,'Revitalisation-Revitalisierung'!$A$4:$Z$275,24,FALSE))</f>
        <v>nicht nötig</v>
      </c>
      <c r="BV199" s="761" t="str">
        <f>IF(VLOOKUP(A199,'Revitalisation-Revitalisierung'!$A$4:$Z$275,25,FALSE)="","",VLOOKUP(A199,'Revitalisation-Revitalisierung'!$A$4:$Z$275,25,FALSE))</f>
        <v>Non nécessaire / nicht nötig</v>
      </c>
      <c r="BW199" s="871" t="str">
        <f>IF(VLOOKUP(A199,'Revitalisation-Revitalisierung'!$A$4:$AA$275,27,FALSE)="","",VLOOKUP(A199,'Revitalisation-Revitalisierung'!$A$4:$AA$275,27,FALSE))</f>
        <v>a</v>
      </c>
    </row>
    <row r="200" spans="1:75" ht="51" customHeight="1" x14ac:dyDescent="0.25">
      <c r="A200" s="935">
        <v>322</v>
      </c>
      <c r="B200" s="856">
        <f>IF(VLOOKUP(A200,'Données de base - Grunddaten'!$A$2:$M$297,2,FALSE)="","",VLOOKUP(A200,'Données de base - Grunddaten'!$A$2:$M$297,2,FALSE))</f>
        <v>1</v>
      </c>
      <c r="C200" s="857" t="str">
        <f>IF(VLOOKUP(A200,'Données de base - Grunddaten'!$A$2:$M$297,3,FALSE)="","",VLOOKUP(A200,'Données de base - Grunddaten'!$A$2:$M$297,3,FALSE))</f>
        <v>Rezliberg</v>
      </c>
      <c r="D200" s="857" t="str">
        <f>IF(VLOOKUP(A200,'Données de base - Grunddaten'!$A$2:$M$297,4,FALSE)="","",VLOOKUP(A200,'Données de base - Grunddaten'!$A$2:$M$297,4,FALSE))</f>
        <v>Trüebbach</v>
      </c>
      <c r="E200" s="857" t="str">
        <f>IF(VLOOKUP(A200,'Données de base - Grunddaten'!$A$2:$M$297,5,FALSE)="","",VLOOKUP(A200,'Données de base - Grunddaten'!$A$2:$M$297,5,FALSE))</f>
        <v>BE</v>
      </c>
      <c r="F200" s="857" t="str">
        <f>IF(VLOOKUP(A200,'Données de base - Grunddaten'!$A$2:$M$297,6,FALSE)="","",VLOOKUP(A200,'Données de base - Grunddaten'!$A$2:$M$297,6,FALSE))</f>
        <v>Alpes septentrionales</v>
      </c>
      <c r="G200" s="857" t="str">
        <f>IF(VLOOKUP(A200,'Données de base - Grunddaten'!$A$2:$M$297,7,FALSE)="","",VLOOKUP(A200,'Données de base - Grunddaten'!$A$2:$M$297,7,FALSE))</f>
        <v>Subalpin inf.</v>
      </c>
      <c r="H200" s="857">
        <f>IF(VLOOKUP(A200,'Données de base - Grunddaten'!$A$2:$M$297,8,FALSE)="","",VLOOKUP(A200,'Données de base - Grunddaten'!$A$2:$M$297,8,FALSE))</f>
        <v>1450</v>
      </c>
      <c r="I200" s="857">
        <f>IF(VLOOKUP(A200,'Données de base - Grunddaten'!$A$2:$M$297,9,FALSE)="","",VLOOKUP(A200,'Données de base - Grunddaten'!$A$2:$M$297,9,FALSE))</f>
        <v>2003</v>
      </c>
      <c r="J200" s="857">
        <f>IF(VLOOKUP(A200,'Données de base - Grunddaten'!$A$2:$M$297,10,FALSE)="","",VLOOKUP(A200,'Données de base - Grunddaten'!$A$2:$M$297,10,FALSE))</f>
        <v>31</v>
      </c>
      <c r="K200" s="857" t="str">
        <f>IF(VLOOKUP(A200,'Données de base - Grunddaten'!$A$2:$M$297,11,FALSE)="","",VLOOKUP(A200,'Données de base - Grunddaten'!$A$2:$M$297,11,FALSE))</f>
        <v>Cours d'eau naturels de l'étage subalpin</v>
      </c>
      <c r="L200" s="857" t="str">
        <f>IF(VLOOKUP(A200,'Données de base - Grunddaten'!$A$2:$M$297,12,FALSE)="","",VLOOKUP(A200,'Données de base - Grunddaten'!$A$2:$M$297,12,FALSE))</f>
        <v>en méandres migrants</v>
      </c>
      <c r="M200" s="858" t="str">
        <f>IF(VLOOKUP(A200,'Données de base - Grunddaten'!$A$2:$M$297,13,FALSE)="","",VLOOKUP(A200,'Données de base - Grunddaten'!$A$2:$M$297,13,FALSE))</f>
        <v>en tresses</v>
      </c>
      <c r="N200" s="872" t="str">
        <f>IF(VLOOKUP(A200,'Charriage - Geschiebehaushalt'!$A$4:$R$275,5,FALSE)="","",VLOOKUP(A200,'Charriage - Geschiebehaushalt'!$A$4:$R$275,5,FALSE))</f>
        <v>pertinent</v>
      </c>
      <c r="O200" s="873" t="str">
        <f>IF(VLOOKUP(A200,'Charriage - Geschiebehaushalt'!$A$4:$R$275,6,FALSE)="","",VLOOKUP(A200,'Charriage - Geschiebehaushalt'!$A$4:$R$275,6,FALSE))</f>
        <v>0-20%</v>
      </c>
      <c r="P200" s="874" t="str">
        <f>IF(VLOOKUP(A200,'Charriage - Geschiebehaushalt'!$A$4:$R$275,7,FALSE)="","",VLOOKUP(A200,'Charriage - Geschiebehaushalt'!$A$4:$R$275,7,FALSE))</f>
        <v/>
      </c>
      <c r="Q200" s="874" t="str">
        <f>IF(VLOOKUP(A200,'Charriage - Geschiebehaushalt'!$A$4:$R$275,8,FALSE)="","",VLOOKUP(A200,'Charriage - Geschiebehaushalt'!$A$4:$R$275,8,FALSE))</f>
        <v>non documenté</v>
      </c>
      <c r="R200" s="875">
        <f>IF(VLOOKUP(A200,'Charriage - Geschiebehaushalt'!$A$4:$R$275,9,FALSE)="","",VLOOKUP(A200,'Charriage - Geschiebehaushalt'!$A$4:$R$275,9,FALSE))</f>
        <v>8.9837640003805438E-2</v>
      </c>
      <c r="S200" s="876" t="str">
        <f>IF(VLOOKUP(A200,'Charriage - Geschiebehaushalt'!$A$4:$R$275,10,FALSE)="","",VLOOKUP(A200,'Charriage - Geschiebehaushalt'!$A$4:$R$275,10,FALSE))</f>
        <v>pas ou faiblement entravé</v>
      </c>
      <c r="T200" s="875">
        <f>IF(VLOOKUP(A200,'Charriage - Geschiebehaushalt'!$A$4:$R$275,11,FALSE)="","",VLOOKUP(A200,'Charriage - Geschiebehaushalt'!$A$4:$R$275,11,FALSE))</f>
        <v>0.24021123573</v>
      </c>
      <c r="U200" s="876" t="str">
        <f>IF(VLOOKUP(A200,'Charriage - Geschiebehaushalt'!$A$4:$R$275,12,FALSE)="","",VLOOKUP(A200,'Charriage - Geschiebehaushalt'!$A$4:$R$275,12,FALSE))</f>
        <v>déficit dans les formations pionnières</v>
      </c>
      <c r="V200" s="877" t="str">
        <f>IF(VLOOKUP(A200,'Charriage - Geschiebehaushalt'!$A$4:$R$275,13,FALSE)="","",VLOOKUP(A200,'Charriage - Geschiebehaushalt'!$A$4:$R$275,13,FALSE))</f>
        <v/>
      </c>
      <c r="W200" s="877" t="str">
        <f>IF(VLOOKUP(A200,'Charriage - Geschiebehaushalt'!$A$4:$R$275,14,FALSE)="","",VLOOKUP(A200,'Charriage - Geschiebehaushalt'!$A$4:$R$275,14,FALSE))</f>
        <v/>
      </c>
      <c r="X200" s="877" t="str">
        <f>IF(VLOOKUP(A200,'Charriage - Geschiebehaushalt'!$A$4:$R$275,15,FALSE)="","",VLOOKUP(A200,'Charriage - Geschiebehaushalt'!$A$4:$R$275,15,FALSE))</f>
        <v/>
      </c>
      <c r="Y200" s="879" t="str">
        <f>IF(VLOOKUP(A200,'Charriage - Geschiebehaushalt'!$A$4:$R$275,16,FALSE)="","",VLOOKUP(A200,'Charriage - Geschiebehaushalt'!$A$4:$R$275,16,FALSE))</f>
        <v/>
      </c>
      <c r="Z200" s="763" t="str">
        <f>IF(VLOOKUP(A200,'Charriage - Geschiebehaushalt'!$A$4:$R$275,17,FALSE)="","",VLOOKUP(A200,'Charriage - Geschiebehaushalt'!$A$4:$R$275,17,FALSE))</f>
        <v>0-20%</v>
      </c>
      <c r="AA200" s="880" t="str">
        <f>IF(VLOOKUP(A200,'Charriage - Geschiebehaushalt'!$A$4:$R$275,18,FALSE)="","",VLOOKUP(A200,'Charriage - Geschiebehaushalt'!$A$4:$R$275,18,FALSE))</f>
        <v>a</v>
      </c>
      <c r="AB200" s="737" t="str">
        <f>IF(VLOOKUP(A200,'Charriage - Geschiebehaushalt'!$A$4:$AC$275,19,FALSE)="","",VLOOKUP(A200,'Charriage - Geschiebehaushalt'!$A$4:$AC$275,19,FALSE))</f>
        <v>-</v>
      </c>
      <c r="AC200" s="738" t="str">
        <f>IF(VLOOKUP(A200,'Charriage - Geschiebehaushalt'!$A$4:$AC$275,20,FALSE)="","",VLOOKUP(A200,'Charriage - Geschiebehaushalt'!$A$4:$AC$275,20,FALSE))</f>
        <v>-</v>
      </c>
      <c r="AD200" s="764" t="str">
        <f>IF(VLOOKUP(A200,'Charriage - Geschiebehaushalt'!$A$4:$AC$275,21,FALSE)="","",VLOOKUP(A200,'Charriage - Geschiebehaushalt'!$A$4:$AC$275,21,FALSE))</f>
        <v/>
      </c>
      <c r="AE200" s="740" t="str">
        <f>IF(VLOOKUP(A200,'Charriage - Geschiebehaushalt'!$A$4:$AC$275,22,FALSE)="","",VLOOKUP(A200,'Charriage - Geschiebehaushalt'!$A$4:$AC$275,22,FALSE))</f>
        <v>0-20%</v>
      </c>
      <c r="AF200" s="787" t="str">
        <f>IF(VLOOKUP(A200,'Charriage - Geschiebehaushalt'!$A$4:$AC$275,23,FALSE)="","",VLOOKUP(A200,'Charriage - Geschiebehaushalt'!$A$4:$AC$275,23,FALSE))</f>
        <v>a</v>
      </c>
      <c r="AG200" s="765" t="str">
        <f>IF(VLOOKUP(A200,'Charriage - Geschiebehaushalt'!$A$4:$AC$275,24,FALSE)="","",VLOOKUP(A200,'Charriage - Geschiebehaushalt'!$A$4:$AC$275,24,FALSE))</f>
        <v/>
      </c>
      <c r="AH200" s="764" t="str">
        <f>IF(VLOOKUP(A200,'Charriage - Geschiebehaushalt'!$A$4:$AC$275,25,FALSE)="","",VLOOKUP(A200,'Charriage - Geschiebehaushalt'!$A$4:$AC$275,25,FALSE))</f>
        <v/>
      </c>
      <c r="AI200" s="433" t="str">
        <f>IF(VLOOKUP(A200,'Charriage - Geschiebehaushalt'!$A$4:$AC$275,26,FALSE)="","",VLOOKUP(A200,'Charriage - Geschiebehaushalt'!$A$4:$AC$275,26,FALSE))</f>
        <v/>
      </c>
      <c r="AJ200" s="434" t="str">
        <f>IF(VLOOKUP(A200,'Charriage - Geschiebehaushalt'!$A$4:$AC$275,27,FALSE)="","",VLOOKUP(A200,'Charriage - Geschiebehaushalt'!$A$4:$AC$275,27,FALSE))</f>
        <v/>
      </c>
      <c r="AK200" s="801" t="str">
        <f>IF(VLOOKUP(A200,'Charriage - Geschiebehaushalt'!$A$4:$AC$275,28,FALSE)="","",VLOOKUP(A200,'Charriage - Geschiebehaushalt'!$A$4:$AC$275,28,FALSE))</f>
        <v>0-20%</v>
      </c>
      <c r="AL200" s="1285" t="str">
        <f>IF(VLOOKUP(A200,'Charriage - Geschiebehaushalt'!$A$4:$AD$275,30,FALSE)="","",VLOOKUP(A200,'Charriage - Geschiebehaushalt'!$A$4:$AD$275,30,FALSE))</f>
        <v>a</v>
      </c>
      <c r="AM200" s="1279" t="str">
        <f>IF(VLOOKUP(A200,'Débit - Abfluss'!$A$4:$K$275,5,FALSE)="","",VLOOKUP(A200,'Débit - Abfluss'!$A$4:$M$275,5,FALSE))</f>
        <v>100%</v>
      </c>
      <c r="AN200" s="868" t="str">
        <f>IF(VLOOKUP(A200,'Débit - Abfluss'!$A$4:$K$275,6,FALSE)="","",VLOOKUP(A200,'Débit - Abfluss'!$A$4:$M$275,6,FALSE))</f>
        <v>aucune information supplémentaire</v>
      </c>
      <c r="AO200" s="869" t="str">
        <f>IF(VLOOKUP(A200,'Débit - Abfluss'!$A$4:$K$275,7,FALSE)="","",VLOOKUP(A200,'Débit - Abfluss'!$A$4:$M$275,7,FALSE))</f>
        <v>aucune information supplémentaire</v>
      </c>
      <c r="AP200" s="766" t="str">
        <f>IF(VLOOKUP(A200,'Débit - Abfluss'!$A$4:$K$275,8,FALSE)="","",VLOOKUP(A200,'Débit - Abfluss'!$A$4:$M$275,8,FALSE))</f>
        <v>100%</v>
      </c>
      <c r="AQ200" s="742" t="str">
        <f>IF(VLOOKUP(A200,'Débit - Abfluss'!$A$4:$K$275,9,FALSE)="","",VLOOKUP(A200,'Débit - Abfluss'!$A$4:$M$275,9,FALSE))</f>
        <v>-</v>
      </c>
      <c r="AR200" s="767" t="str">
        <f>IF(VLOOKUP(A200,'Débit - Abfluss'!$A$4:$K$275,10,FALSE)="","",VLOOKUP(A200,'Débit - Abfluss'!$A$4:$M$275,10,FALSE))</f>
        <v>100%</v>
      </c>
      <c r="AS200" s="767" t="str">
        <f>IF(VLOOKUP(A200,'Débit - Abfluss'!$A$4:$K$275,11,FALSE)="","",VLOOKUP(A200,'Débit - Abfluss'!$A$4:$M$275,11,FALSE))</f>
        <v/>
      </c>
      <c r="AT200" s="744" t="str">
        <f>IF(VLOOKUP(A200,'Débit - Abfluss'!$A$4:$Q$275,12,FALSE)="","",VLOOKUP(A200,'Débit - Abfluss'!$A$4:$Q$275,12,FALSE))</f>
        <v/>
      </c>
      <c r="AU200" s="745" t="str">
        <f>IF(VLOOKUP(A200,'Débit - Abfluss'!$A$4:$Q$275,13,FALSE)="","",VLOOKUP(A200,'Débit - Abfluss'!$A$4:$Q$275,13,FALSE))</f>
        <v/>
      </c>
      <c r="AV200" s="746" t="str">
        <f>IF(VLOOKUP(A200,'Débit - Abfluss'!$A$4:$Q$275,14,FALSE)="","",VLOOKUP(A200,'Débit - Abfluss'!$A$4:$Q$275,14,FALSE))</f>
        <v/>
      </c>
      <c r="AW200" s="768" t="str">
        <f>IF(VLOOKUP(A200,'Débit - Abfluss'!$A$4:$Q$275,15,FALSE)="","",VLOOKUP(A200,'Débit - Abfluss'!$A$4:$Q$275,15,FALSE))</f>
        <v/>
      </c>
      <c r="AX200" s="677" t="str">
        <f>IF(VLOOKUP(A200,'Débit - Abfluss'!$A$4:$Q$275,16,FALSE)="","",VLOOKUP(A200,'Débit - Abfluss'!$A$4:$Q$275,16,FALSE))</f>
        <v/>
      </c>
      <c r="AY200" s="769" t="str">
        <f>IF(VLOOKUP(A200,'Débit - Abfluss'!$A$4:$Q$275,17,FALSE)="","",VLOOKUP(A200,'Débit - Abfluss'!$A$4:$Q$275,17,FALSE))</f>
        <v>100%</v>
      </c>
      <c r="AZ200" s="749" t="str">
        <f>IF(VLOOKUP(A200,'Eclusée - Schwall-Sunk'!$A$2:$F$273,5,FALSE)="","",VLOOKUP(A200,'Eclusée - Schwall-Sunk'!$A$2:$F$273,5,FALSE))</f>
        <v/>
      </c>
      <c r="BA200" s="750" t="str">
        <f>IF(VLOOKUP(A200,'Eclusée - Schwall-Sunk'!$A$2:$F$273,6,FALSE)="","",VLOOKUP(A200,'Eclusée - Schwall-Sunk'!$A$2:$F$273,6,FALSE))</f>
        <v>Non affecté / nicht betroffen</v>
      </c>
      <c r="BB200" s="751">
        <f>IF(VLOOKUP(A200,'Revitalisation-Revitalisierung'!$A$4:$Z$275,5,FALSE)="","",VLOOKUP(A200,'Revitalisation-Revitalisierung'!$A$4:$Z$275,5,FALSE))</f>
        <v>4.4000000000000004</v>
      </c>
      <c r="BC200" s="752">
        <f>IF(VLOOKUP(A200,'Revitalisation-Revitalisierung'!$A$4:$Z$275,6,FALSE)="","",VLOOKUP(A200,'Revitalisation-Revitalisierung'!$A$4:$Z$275,6,FALSE))</f>
        <v>9.4454042173273454</v>
      </c>
      <c r="BD200" s="752">
        <f>IF(VLOOKUP(A200,'Revitalisation-Revitalisierung'!$A$4:$Z$275,7,FALSE)="","",VLOOKUP(A200,'Revitalisation-Revitalisierung'!$A$4:$Z$275,7,FALSE))</f>
        <v>5</v>
      </c>
      <c r="BE200" s="753" t="str">
        <f>IF(VLOOKUP(A200,'Revitalisation-Revitalisierung'!$A$4:$Z$275,8,FALSE)="","",VLOOKUP(A200,'Revitalisation-Revitalisierung'!$A$4:$Z$275,8,FALSE))</f>
        <v>peu nécessaire, facile</v>
      </c>
      <c r="BF200" s="754" t="str">
        <f>IF(VLOOKUP(A200,'Revitalisation-Revitalisierung'!$A$4:$Z$275,9,FALSE)="","",VLOOKUP(A200,'Revitalisation-Revitalisierung'!$A$4:$Z$275,9,FALSE))</f>
        <v/>
      </c>
      <c r="BG200" s="754" t="str">
        <f>IF(VLOOKUP(A200,'Revitalisation-Revitalisierung'!$A$4:$Z$275,10,FALSE)="","",VLOOKUP(A200,'Revitalisation-Revitalisierung'!$A$4:$Z$275,10,FALSE))</f>
        <v>K3</v>
      </c>
      <c r="BH200" s="755" t="str">
        <f>IF(VLOOKUP(A200,'Revitalisation-Revitalisierung'!$A$4:$Z$275,11,FALSE)="","",VLOOKUP(A200,'Revitalisation-Revitalisierung'!$A$4:$Z$275,11,FALSE))</f>
        <v/>
      </c>
      <c r="BI200" s="756" t="str">
        <f>IF(VLOOKUP(A200,'Revitalisation-Revitalisierung'!$A$4:$Z$275,12,FALSE)="","",VLOOKUP(A200,'Revitalisation-Revitalisierung'!$A$4:$Z$275,12,FALSE))</f>
        <v/>
      </c>
      <c r="BJ200" s="788" t="str">
        <f>IF(VLOOKUP(A200,'Revitalisation-Revitalisierung'!$A$4:$Z$275,13,FALSE)="","",VLOOKUP(A200,'Revitalisation-Revitalisierung'!$A$4:$Z$275,13,FALSE))</f>
        <v>Non nécessaire / nicht nötig</v>
      </c>
      <c r="BK200" s="870" t="str">
        <f>IF(VLOOKUP(A200,'Revitalisation-Revitalisierung'!$A$4:$Z$275,14,FALSE)="","",VLOOKUP(A200,'Revitalisation-Revitalisierung'!$A$4:$Z$275,14,FALSE))</f>
        <v>b</v>
      </c>
      <c r="BL200" s="758" t="str">
        <f>IF(VLOOKUP(A200,'Revitalisation-Revitalisierung'!$A$4:$Z$275,15,FALSE)="","",VLOOKUP(A200,'Revitalisation-Revitalisierung'!$A$4:$Z$275,15,FALSE))</f>
        <v>gross</v>
      </c>
      <c r="BM200" s="759" t="str">
        <f>IF(VLOOKUP(A200,'Revitalisation-Revitalisierung'!$A$4:$Z$275,16,FALSE)="","",VLOOKUP(A200,'Revitalisation-Revitalisierung'!$A$4:$Z$275,16,FALSE))</f>
        <v>gering</v>
      </c>
      <c r="BN200" s="759" t="str">
        <f>IF(VLOOKUP(A200,'Revitalisation-Revitalisierung'!$A$4:$Z$275,17,FALSE)="","",VLOOKUP(A200,'Revitalisation-Revitalisierung'!$A$4:$Z$275,17,FALSE))</f>
        <v>-</v>
      </c>
      <c r="BO200" s="760" t="str">
        <f>IF(VLOOKUP(A200,'Revitalisation-Revitalisierung'!$A$4:$Z$275,18,FALSE)="","",VLOOKUP(A200,'Revitalisation-Revitalisierung'!$A$4:$Z$275,18,FALSE))</f>
        <v>Non nécessaire / nicht nötig</v>
      </c>
      <c r="BP200" s="761" t="str">
        <f>IF(VLOOKUP(A200,'Revitalisation-Revitalisierung'!$A$4:$Z$275,19,FALSE)="","",VLOOKUP(A200,'Revitalisation-Revitalisierung'!$A$4:$Z$275,19,FALSE))</f>
        <v>Non nécessaire / nicht nötig</v>
      </c>
      <c r="BQ200" s="759" t="str">
        <f>IF(VLOOKUP(A200,'Revitalisation-Revitalisierung'!$A$4:$Z$275,20,FALSE)="","",VLOOKUP(A200,'Revitalisation-Revitalisierung'!$A$4:$Z$275,20,FALSE))</f>
        <v>d</v>
      </c>
      <c r="BR200" s="759" t="str">
        <f>IF(VLOOKUP(A200,'Revitalisation-Revitalisierung'!$A$4:$Z$275,21,FALSE)="","",VLOOKUP(A200,'Revitalisation-Revitalisierung'!$A$4:$Z$275,21,FALSE))</f>
        <v/>
      </c>
      <c r="BS200" s="762" t="str">
        <f>IF(VLOOKUP(A200,'Revitalisation-Revitalisierung'!$A$4:$Z$275,22,FALSE)="","",VLOOKUP(A200,'Revitalisation-Revitalisierung'!$A$4:$Z$275,22,FALSE))</f>
        <v/>
      </c>
      <c r="BT200" s="760" t="str">
        <f>IF(VLOOKUP(A200,'Revitalisation-Revitalisierung'!$A$4:$Z$275,23,FALSE)="","",VLOOKUP(A200,'Revitalisation-Revitalisierung'!$A$4:$Z$275,23,FALSE))</f>
        <v/>
      </c>
      <c r="BU200" s="710" t="str">
        <f>IF(VLOOKUP(A200,'Revitalisation-Revitalisierung'!$A$4:$Z$275,24,FALSE)="","",VLOOKUP(A200,'Revitalisation-Revitalisierung'!$A$4:$Z$275,24,FALSE))</f>
        <v>nicht nötig</v>
      </c>
      <c r="BV200" s="761" t="str">
        <f>IF(VLOOKUP(A200,'Revitalisation-Revitalisierung'!$A$4:$Z$275,25,FALSE)="","",VLOOKUP(A200,'Revitalisation-Revitalisierung'!$A$4:$Z$275,25,FALSE))</f>
        <v>Non nécessaire / nicht nötig</v>
      </c>
      <c r="BW200" s="871" t="str">
        <f>IF(VLOOKUP(A200,'Revitalisation-Revitalisierung'!$A$4:$AA$275,27,FALSE)="","",VLOOKUP(A200,'Revitalisation-Revitalisierung'!$A$4:$AA$275,27,FALSE))</f>
        <v>a</v>
      </c>
    </row>
    <row r="201" spans="1:75" ht="64.900000000000006" customHeight="1" x14ac:dyDescent="0.25">
      <c r="A201" s="935">
        <v>323</v>
      </c>
      <c r="B201" s="856">
        <f>IF(VLOOKUP(A201,'Données de base - Grunddaten'!$A$2:$M$297,2,FALSE)="","",VLOOKUP(A201,'Données de base - Grunddaten'!$A$2:$M$297,2,FALSE))</f>
        <v>1</v>
      </c>
      <c r="C201" s="857" t="str">
        <f>IF(VLOOKUP(A201,'Données de base - Grunddaten'!$A$2:$M$297,3,FALSE)="","",VLOOKUP(A201,'Données de base - Grunddaten'!$A$2:$M$297,3,FALSE))</f>
        <v>Hornbrügg</v>
      </c>
      <c r="D201" s="857" t="str">
        <f>IF(VLOOKUP(A201,'Données de base - Grunddaten'!$A$2:$M$297,4,FALSE)="","",VLOOKUP(A201,'Données de base - Grunddaten'!$A$2:$M$297,4,FALSE))</f>
        <v>Allebach, Rossbach</v>
      </c>
      <c r="E201" s="857" t="str">
        <f>IF(VLOOKUP(A201,'Données de base - Grunddaten'!$A$2:$M$297,5,FALSE)="","",VLOOKUP(A201,'Données de base - Grunddaten'!$A$2:$M$297,5,FALSE))</f>
        <v>BE</v>
      </c>
      <c r="F201" s="857" t="str">
        <f>IF(VLOOKUP(A201,'Données de base - Grunddaten'!$A$2:$M$297,6,FALSE)="","",VLOOKUP(A201,'Données de base - Grunddaten'!$A$2:$M$297,6,FALSE))</f>
        <v>Alpes septentrionales</v>
      </c>
      <c r="G201" s="857" t="str">
        <f>IF(VLOOKUP(A201,'Données de base - Grunddaten'!$A$2:$M$297,7,FALSE)="","",VLOOKUP(A201,'Données de base - Grunddaten'!$A$2:$M$297,7,FALSE))</f>
        <v>Subalpin inf.</v>
      </c>
      <c r="H201" s="857">
        <f>IF(VLOOKUP(A201,'Données de base - Grunddaten'!$A$2:$M$297,8,FALSE)="","",VLOOKUP(A201,'Données de base - Grunddaten'!$A$2:$M$297,8,FALSE))</f>
        <v>1460</v>
      </c>
      <c r="I201" s="857">
        <f>IF(VLOOKUP(A201,'Données de base - Grunddaten'!$A$2:$M$297,9,FALSE)="","",VLOOKUP(A201,'Données de base - Grunddaten'!$A$2:$M$297,9,FALSE))</f>
        <v>2003</v>
      </c>
      <c r="J201" s="857">
        <f>IF(VLOOKUP(A201,'Données de base - Grunddaten'!$A$2:$M$297,10,FALSE)="","",VLOOKUP(A201,'Données de base - Grunddaten'!$A$2:$M$297,10,FALSE))</f>
        <v>31</v>
      </c>
      <c r="K201" s="857" t="str">
        <f>IF(VLOOKUP(A201,'Données de base - Grunddaten'!$A$2:$M$297,11,FALSE)="","",VLOOKUP(A201,'Données de base - Grunddaten'!$A$2:$M$297,11,FALSE))</f>
        <v>Cours d'eau naturels de l'étage subalpin</v>
      </c>
      <c r="L201" s="857" t="str">
        <f>IF(VLOOKUP(A201,'Données de base - Grunddaten'!$A$2:$M$297,12,FALSE)="","",VLOOKUP(A201,'Données de base - Grunddaten'!$A$2:$M$297,12,FALSE))</f>
        <v>en tresses</v>
      </c>
      <c r="M201" s="858" t="str">
        <f>IF(VLOOKUP(A201,'Données de base - Grunddaten'!$A$2:$M$297,13,FALSE)="","",VLOOKUP(A201,'Données de base - Grunddaten'!$A$2:$M$297,13,FALSE))</f>
        <v>en tresses</v>
      </c>
      <c r="N201" s="872" t="str">
        <f>IF(VLOOKUP(A201,'Charriage - Geschiebehaushalt'!$A$4:$R$275,5,FALSE)="","",VLOOKUP(A201,'Charriage - Geschiebehaushalt'!$A$4:$R$275,5,FALSE))</f>
        <v>pertinent</v>
      </c>
      <c r="O201" s="881" t="str">
        <f>IF(VLOOKUP(A201,'Charriage - Geschiebehaushalt'!$A$4:$R$275,6,FALSE)="","",VLOOKUP(A201,'Charriage - Geschiebehaushalt'!$A$4:$R$275,6,FALSE))</f>
        <v>non documenté</v>
      </c>
      <c r="P201" s="874" t="str">
        <f>IF(VLOOKUP(A201,'Charriage - Geschiebehaushalt'!$A$4:$R$275,7,FALSE)="","",VLOOKUP(A201,'Charriage - Geschiebehaushalt'!$A$4:$R$275,7,FALSE))</f>
        <v/>
      </c>
      <c r="Q201" s="874" t="str">
        <f>IF(VLOOKUP(A201,'Charriage - Geschiebehaushalt'!$A$4:$R$275,8,FALSE)="","",VLOOKUP(A201,'Charriage - Geschiebehaushalt'!$A$4:$R$275,8,FALSE))</f>
        <v>non documenté</v>
      </c>
      <c r="R201" s="875">
        <f>IF(VLOOKUP(A201,'Charriage - Geschiebehaushalt'!$A$4:$R$275,9,FALSE)="","",VLOOKUP(A201,'Charriage - Geschiebehaushalt'!$A$4:$R$275,9,FALSE))</f>
        <v>8.4293964649352904E-2</v>
      </c>
      <c r="S201" s="876" t="str">
        <f>IF(VLOOKUP(A201,'Charriage - Geschiebehaushalt'!$A$4:$R$275,10,FALSE)="","",VLOOKUP(A201,'Charriage - Geschiebehaushalt'!$A$4:$R$275,10,FALSE))</f>
        <v>pas ou faiblement entravé</v>
      </c>
      <c r="T201" s="875">
        <f>IF(VLOOKUP(A201,'Charriage - Geschiebehaushalt'!$A$4:$R$275,11,FALSE)="","",VLOOKUP(A201,'Charriage - Geschiebehaushalt'!$A$4:$R$275,11,FALSE))</f>
        <v>9.6042833011000001E-2</v>
      </c>
      <c r="U201" s="876" t="str">
        <f>IF(VLOOKUP(A201,'Charriage - Geschiebehaushalt'!$A$4:$R$275,12,FALSE)="","",VLOOKUP(A201,'Charriage - Geschiebehaushalt'!$A$4:$R$275,12,FALSE))</f>
        <v>déficit dans les formations pionnières</v>
      </c>
      <c r="V201" s="877" t="str">
        <f>IF(VLOOKUP(A201,'Charriage - Geschiebehaushalt'!$A$4:$R$275,13,FALSE)="","",VLOOKUP(A201,'Charriage - Geschiebehaushalt'!$A$4:$R$275,13,FALSE))</f>
        <v>Système naturel, cours multiple en tresses. Charriage paraît très actif</v>
      </c>
      <c r="W201" s="878" t="str">
        <f>IF(VLOOKUP(A201,'Charriage - Geschiebehaushalt'!$A$4:$R$275,14,FALSE)="","",VLOOKUP(A201,'Charriage - Geschiebehaushalt'!$A$4:$R$275,14,FALSE))</f>
        <v>charriage présumé naturel</v>
      </c>
      <c r="X201" s="878" t="str">
        <f>IF(VLOOKUP(A201,'Charriage - Geschiebehaushalt'!$A$4:$R$275,15,FALSE)="","",VLOOKUP(A201,'Charriage - Geschiebehaushalt'!$A$4:$R$275,15,FALSE))</f>
        <v/>
      </c>
      <c r="Y201" s="882" t="str">
        <f>IF(VLOOKUP(A201,'Charriage - Geschiebehaushalt'!$A$4:$R$275,16,FALSE)="","",VLOOKUP(A201,'Charriage - Geschiebehaushalt'!$A$4:$R$275,16,FALSE))</f>
        <v/>
      </c>
      <c r="Z201" s="763" t="str">
        <f>IF(VLOOKUP(A201,'Charriage - Geschiebehaushalt'!$A$4:$R$275,17,FALSE)="","",VLOOKUP(A201,'Charriage - Geschiebehaushalt'!$A$4:$R$275,17,FALSE))</f>
        <v>Charriage présumé naturel / Geschiebehaushalt vermutlich natürlich</v>
      </c>
      <c r="AA201" s="880" t="str">
        <f>IF(VLOOKUP(A201,'Charriage - Geschiebehaushalt'!$A$4:$R$275,18,FALSE)="","",VLOOKUP(A201,'Charriage - Geschiebehaushalt'!$A$4:$R$275,18,FALSE))</f>
        <v>b</v>
      </c>
      <c r="AB201" s="737" t="str">
        <f>IF(VLOOKUP(A201,'Charriage - Geschiebehaushalt'!$A$4:$AC$275,19,FALSE)="","",VLOOKUP(A201,'Charriage - Geschiebehaushalt'!$A$4:$AC$275,19,FALSE))</f>
        <v>-</v>
      </c>
      <c r="AC201" s="738" t="str">
        <f>IF(VLOOKUP(A201,'Charriage - Geschiebehaushalt'!$A$4:$AC$275,20,FALSE)="","",VLOOKUP(A201,'Charriage - Geschiebehaushalt'!$A$4:$AC$275,20,FALSE))</f>
        <v>-</v>
      </c>
      <c r="AD201" s="764" t="str">
        <f>IF(VLOOKUP(A201,'Charriage - Geschiebehaushalt'!$A$4:$AC$275,21,FALSE)="","",VLOOKUP(A201,'Charriage - Geschiebehaushalt'!$A$4:$AC$275,21,FALSE))</f>
        <v/>
      </c>
      <c r="AE201" s="740" t="str">
        <f>IF(VLOOKUP(A201,'Charriage - Geschiebehaushalt'!$A$4:$AC$275,22,FALSE)="","",VLOOKUP(A201,'Charriage - Geschiebehaushalt'!$A$4:$AC$275,22,FALSE))</f>
        <v>0-20%</v>
      </c>
      <c r="AF201" s="787" t="str">
        <f>IF(VLOOKUP(A201,'Charriage - Geschiebehaushalt'!$A$4:$AC$275,23,FALSE)="","",VLOOKUP(A201,'Charriage - Geschiebehaushalt'!$A$4:$AC$275,23,FALSE))</f>
        <v>b</v>
      </c>
      <c r="AG201" s="765" t="str">
        <f>IF(VLOOKUP(A201,'Charriage - Geschiebehaushalt'!$A$4:$AC$275,24,FALSE)="","",VLOOKUP(A201,'Charriage - Geschiebehaushalt'!$A$4:$AC$275,24,FALSE))</f>
        <v/>
      </c>
      <c r="AH201" s="764" t="str">
        <f>IF(VLOOKUP(A201,'Charriage - Geschiebehaushalt'!$A$4:$AC$275,25,FALSE)="","",VLOOKUP(A201,'Charriage - Geschiebehaushalt'!$A$4:$AC$275,25,FALSE))</f>
        <v/>
      </c>
      <c r="AI201" s="433" t="str">
        <f>IF(VLOOKUP(A201,'Charriage - Geschiebehaushalt'!$A$4:$AC$275,26,FALSE)="","",VLOOKUP(A201,'Charriage - Geschiebehaushalt'!$A$4:$AC$275,26,FALSE))</f>
        <v/>
      </c>
      <c r="AJ201" s="434" t="str">
        <f>IF(VLOOKUP(A201,'Charriage - Geschiebehaushalt'!$A$4:$AC$275,27,FALSE)="","",VLOOKUP(A201,'Charriage - Geschiebehaushalt'!$A$4:$AC$275,27,FALSE))</f>
        <v/>
      </c>
      <c r="AK201" s="801" t="str">
        <f>IF(VLOOKUP(A201,'Charriage - Geschiebehaushalt'!$A$4:$AC$275,28,FALSE)="","",VLOOKUP(A201,'Charriage - Geschiebehaushalt'!$A$4:$AC$275,28,FALSE))</f>
        <v>0-20%</v>
      </c>
      <c r="AL201" s="1285" t="str">
        <f>IF(VLOOKUP(A201,'Charriage - Geschiebehaushalt'!$A$4:$AD$275,30,FALSE)="","",VLOOKUP(A201,'Charriage - Geschiebehaushalt'!$A$4:$AD$275,30,FALSE))</f>
        <v>b</v>
      </c>
      <c r="AM201" s="1279" t="str">
        <f>IF(VLOOKUP(A201,'Débit - Abfluss'!$A$4:$K$275,5,FALSE)="","",VLOOKUP(A201,'Débit - Abfluss'!$A$4:$M$275,5,FALSE))</f>
        <v>100%</v>
      </c>
      <c r="AN201" s="868" t="str">
        <f>IF(VLOOKUP(A201,'Débit - Abfluss'!$A$4:$K$275,6,FALSE)="","",VLOOKUP(A201,'Débit - Abfluss'!$A$4:$M$275,6,FALSE))</f>
        <v>aucune information supplémentaire</v>
      </c>
      <c r="AO201" s="869" t="str">
        <f>IF(VLOOKUP(A201,'Débit - Abfluss'!$A$4:$K$275,7,FALSE)="","",VLOOKUP(A201,'Débit - Abfluss'!$A$4:$M$275,7,FALSE))</f>
        <v>aucune information supplémentaire</v>
      </c>
      <c r="AP201" s="781" t="str">
        <f>IF(VLOOKUP(A201,'Débit - Abfluss'!$A$4:$K$275,8,FALSE)="","",VLOOKUP(A201,'Débit - Abfluss'!$A$4:$M$275,8,FALSE))</f>
        <v>100%</v>
      </c>
      <c r="AQ201" s="742" t="str">
        <f>IF(VLOOKUP(A201,'Débit - Abfluss'!$A$4:$K$275,9,FALSE)="","",VLOOKUP(A201,'Débit - Abfluss'!$A$4:$M$275,9,FALSE))</f>
        <v>-</v>
      </c>
      <c r="AR201" s="767" t="str">
        <f>IF(VLOOKUP(A201,'Débit - Abfluss'!$A$4:$K$275,10,FALSE)="","",VLOOKUP(A201,'Débit - Abfluss'!$A$4:$M$275,10,FALSE))</f>
        <v>100%</v>
      </c>
      <c r="AS201" s="767" t="str">
        <f>IF(VLOOKUP(A201,'Débit - Abfluss'!$A$4:$K$275,11,FALSE)="","",VLOOKUP(A201,'Débit - Abfluss'!$A$4:$M$275,11,FALSE))</f>
        <v/>
      </c>
      <c r="AT201" s="744" t="str">
        <f>IF(VLOOKUP(A201,'Débit - Abfluss'!$A$4:$Q$275,12,FALSE)="","",VLOOKUP(A201,'Débit - Abfluss'!$A$4:$Q$275,12,FALSE))</f>
        <v/>
      </c>
      <c r="AU201" s="745" t="str">
        <f>IF(VLOOKUP(A201,'Débit - Abfluss'!$A$4:$Q$275,13,FALSE)="","",VLOOKUP(A201,'Débit - Abfluss'!$A$4:$Q$275,13,FALSE))</f>
        <v/>
      </c>
      <c r="AV201" s="746" t="str">
        <f>IF(VLOOKUP(A201,'Débit - Abfluss'!$A$4:$Q$275,14,FALSE)="","",VLOOKUP(A201,'Débit - Abfluss'!$A$4:$Q$275,14,FALSE))</f>
        <v/>
      </c>
      <c r="AW201" s="768" t="str">
        <f>IF(VLOOKUP(A201,'Débit - Abfluss'!$A$4:$Q$275,15,FALSE)="","",VLOOKUP(A201,'Débit - Abfluss'!$A$4:$Q$275,15,FALSE))</f>
        <v/>
      </c>
      <c r="AX201" s="677" t="str">
        <f>IF(VLOOKUP(A201,'Débit - Abfluss'!$A$4:$Q$275,16,FALSE)="","",VLOOKUP(A201,'Débit - Abfluss'!$A$4:$Q$275,16,FALSE))</f>
        <v/>
      </c>
      <c r="AY201" s="769" t="str">
        <f>IF(VLOOKUP(A201,'Débit - Abfluss'!$A$4:$Q$275,17,FALSE)="","",VLOOKUP(A201,'Débit - Abfluss'!$A$4:$Q$275,17,FALSE))</f>
        <v>100%</v>
      </c>
      <c r="AZ201" s="749" t="str">
        <f>IF(VLOOKUP(A201,'Eclusée - Schwall-Sunk'!$A$2:$F$273,5,FALSE)="","",VLOOKUP(A201,'Eclusée - Schwall-Sunk'!$A$2:$F$273,5,FALSE))</f>
        <v/>
      </c>
      <c r="BA201" s="750" t="str">
        <f>IF(VLOOKUP(A201,'Eclusée - Schwall-Sunk'!$A$2:$F$273,6,FALSE)="","",VLOOKUP(A201,'Eclusée - Schwall-Sunk'!$A$2:$F$273,6,FALSE))</f>
        <v>Non affecté / nicht betroffen</v>
      </c>
      <c r="BB201" s="751">
        <f>IF(VLOOKUP(A201,'Revitalisation-Revitalisierung'!$A$4:$Z$275,5,FALSE)="","",VLOOKUP(A201,'Revitalisation-Revitalisierung'!$A$4:$Z$275,5,FALSE))</f>
        <v>-5.6545454545454552</v>
      </c>
      <c r="BC201" s="752">
        <f>IF(VLOOKUP(A201,'Revitalisation-Revitalisierung'!$A$4:$Z$275,6,FALSE)="","",VLOOKUP(A201,'Revitalisation-Revitalisierung'!$A$4:$Z$275,6,FALSE))</f>
        <v>4.8015603797416491</v>
      </c>
      <c r="BD201" s="752">
        <f>IF(VLOOKUP(A201,'Revitalisation-Revitalisierung'!$A$4:$Z$275,7,FALSE)="","",VLOOKUP(A201,'Revitalisation-Revitalisierung'!$A$4:$Z$275,7,FALSE))</f>
        <v>10.454545454545455</v>
      </c>
      <c r="BE201" s="753" t="str">
        <f>IF(VLOOKUP(A201,'Revitalisation-Revitalisierung'!$A$4:$Z$275,8,FALSE)="","",VLOOKUP(A201,'Revitalisation-Revitalisierung'!$A$4:$Z$275,8,FALSE))</f>
        <v>peu nécessaire, facile</v>
      </c>
      <c r="BF201" s="754" t="str">
        <f>IF(VLOOKUP(A201,'Revitalisation-Revitalisierung'!$A$4:$Z$275,9,FALSE)="","",VLOOKUP(A201,'Revitalisation-Revitalisierung'!$A$4:$Z$275,9,FALSE))</f>
        <v>nicht nötig</v>
      </c>
      <c r="BG201" s="754" t="str">
        <f>IF(VLOOKUP(A201,'Revitalisation-Revitalisierung'!$A$4:$Z$275,10,FALSE)="","",VLOOKUP(A201,'Revitalisation-Revitalisierung'!$A$4:$Z$275,10,FALSE))</f>
        <v>K3</v>
      </c>
      <c r="BH201" s="755" t="str">
        <f>IF(VLOOKUP(A201,'Revitalisation-Revitalisierung'!$A$4:$Z$275,11,FALSE)="","",VLOOKUP(A201,'Revitalisation-Revitalisierung'!$A$4:$Z$275,11,FALSE))</f>
        <v/>
      </c>
      <c r="BI201" s="756" t="str">
        <f>IF(VLOOKUP(A201,'Revitalisation-Revitalisierung'!$A$4:$Z$275,12,FALSE)="","",VLOOKUP(A201,'Revitalisation-Revitalisierung'!$A$4:$Z$275,12,FALSE))</f>
        <v/>
      </c>
      <c r="BJ201" s="788" t="str">
        <f>IF(VLOOKUP(A201,'Revitalisation-Revitalisierung'!$A$4:$Z$275,13,FALSE)="","",VLOOKUP(A201,'Revitalisation-Revitalisierung'!$A$4:$Z$275,13,FALSE))</f>
        <v>Partiellement nécessaire, facile / teilweise nötig, einfach</v>
      </c>
      <c r="BK201" s="870" t="str">
        <f>IF(VLOOKUP(A201,'Revitalisation-Revitalisierung'!$A$4:$Z$275,14,FALSE)="","",VLOOKUP(A201,'Revitalisation-Revitalisierung'!$A$4:$Z$275,14,FALSE))</f>
        <v>a</v>
      </c>
      <c r="BL201" s="758" t="str">
        <f>IF(VLOOKUP(A201,'Revitalisation-Revitalisierung'!$A$4:$Z$275,15,FALSE)="","",VLOOKUP(A201,'Revitalisation-Revitalisierung'!$A$4:$Z$275,15,FALSE))</f>
        <v>gross</v>
      </c>
      <c r="BM201" s="759" t="str">
        <f>IF(VLOOKUP(A201,'Revitalisation-Revitalisierung'!$A$4:$Z$275,16,FALSE)="","",VLOOKUP(A201,'Revitalisation-Revitalisierung'!$A$4:$Z$275,16,FALSE))</f>
        <v>gross</v>
      </c>
      <c r="BN201" s="759" t="str">
        <f>IF(VLOOKUP(A201,'Revitalisation-Revitalisierung'!$A$4:$Z$275,17,FALSE)="","",VLOOKUP(A201,'Revitalisation-Revitalisierung'!$A$4:$Z$275,17,FALSE))</f>
        <v>-</v>
      </c>
      <c r="BO201" s="760" t="str">
        <f>IF(VLOOKUP(A201,'Revitalisation-Revitalisierung'!$A$4:$Z$275,18,FALSE)="","",VLOOKUP(A201,'Revitalisation-Revitalisierung'!$A$4:$Z$275,18,FALSE))</f>
        <v>Très nécessaire, facile / unbedingt nötig, einfach</v>
      </c>
      <c r="BP201" s="761" t="str">
        <f>IF(VLOOKUP(A201,'Revitalisation-Revitalisierung'!$A$4:$Z$275,19,FALSE)="","",VLOOKUP(A201,'Revitalisation-Revitalisierung'!$A$4:$Z$275,19,FALSE))</f>
        <v>Très nécessaire, facile / unbedingt nötig, einfach</v>
      </c>
      <c r="BQ201" s="759" t="str">
        <f>IF(VLOOKUP(A201,'Revitalisation-Revitalisierung'!$A$4:$Z$275,20,FALSE)="","",VLOOKUP(A201,'Revitalisation-Revitalisierung'!$A$4:$Z$275,20,FALSE))</f>
        <v>c</v>
      </c>
      <c r="BR201" s="759" t="str">
        <f>IF(VLOOKUP(A201,'Revitalisation-Revitalisierung'!$A$4:$Z$275,21,FALSE)="","",VLOOKUP(A201,'Revitalisation-Revitalisierung'!$A$4:$Z$275,21,FALSE))</f>
        <v/>
      </c>
      <c r="BS201" s="762" t="str">
        <f>IF(VLOOKUP(A201,'Revitalisation-Revitalisierung'!$A$4:$Z$275,22,FALSE)="","",VLOOKUP(A201,'Revitalisation-Revitalisierung'!$A$4:$Z$275,22,FALSE))</f>
        <v/>
      </c>
      <c r="BT201" s="703" t="str">
        <f>IF(VLOOKUP(A201,'Revitalisation-Revitalisierung'!$A$4:$Z$275,23,FALSE)="","",VLOOKUP(A201,'Revitalisation-Revitalisierung'!$A$4:$Z$275,23,FALSE))</f>
        <v/>
      </c>
      <c r="BU201" s="704" t="str">
        <f>IF(VLOOKUP(A201,'Revitalisation-Revitalisierung'!$A$4:$Z$275,24,FALSE)="","",VLOOKUP(A201,'Revitalisation-Revitalisierung'!$A$4:$Z$275,24,FALSE))</f>
        <v>teilweise nötig</v>
      </c>
      <c r="BV201" s="761" t="str">
        <f>IF(VLOOKUP(A201,'Revitalisation-Revitalisierung'!$A$4:$Z$275,25,FALSE)="","",VLOOKUP(A201,'Revitalisation-Revitalisierung'!$A$4:$Z$275,25,FALSE))</f>
        <v>Partiellement nécessaire, facile / teilweise nötig, einfach</v>
      </c>
      <c r="BW201" s="871" t="str">
        <f>IF(VLOOKUP(A201,'Revitalisation-Revitalisierung'!$A$4:$AA$275,27,FALSE)="","",VLOOKUP(A201,'Revitalisation-Revitalisierung'!$A$4:$AA$275,27,FALSE))</f>
        <v>a</v>
      </c>
    </row>
    <row r="202" spans="1:75" ht="60.6" customHeight="1" x14ac:dyDescent="0.25">
      <c r="A202" s="935">
        <v>324</v>
      </c>
      <c r="B202" s="856">
        <f>IF(VLOOKUP(A202,'Données de base - Grunddaten'!$A$2:$M$297,2,FALSE)="","",VLOOKUP(A202,'Données de base - Grunddaten'!$A$2:$M$297,2,FALSE))</f>
        <v>1</v>
      </c>
      <c r="C202" s="857" t="str">
        <f>IF(VLOOKUP(A202,'Données de base - Grunddaten'!$A$2:$M$297,3,FALSE)="","",VLOOKUP(A202,'Données de base - Grunddaten'!$A$2:$M$297,3,FALSE))</f>
        <v>Lochweid</v>
      </c>
      <c r="D202" s="857" t="str">
        <f>IF(VLOOKUP(A202,'Données de base - Grunddaten'!$A$2:$M$297,4,FALSE)="","",VLOOKUP(A202,'Données de base - Grunddaten'!$A$2:$M$297,4,FALSE))</f>
        <v>Tschentbach</v>
      </c>
      <c r="E202" s="857" t="str">
        <f>IF(VLOOKUP(A202,'Données de base - Grunddaten'!$A$2:$M$297,5,FALSE)="","",VLOOKUP(A202,'Données de base - Grunddaten'!$A$2:$M$297,5,FALSE))</f>
        <v>BE</v>
      </c>
      <c r="F202" s="857" t="str">
        <f>IF(VLOOKUP(A202,'Données de base - Grunddaten'!$A$2:$M$297,6,FALSE)="","",VLOOKUP(A202,'Données de base - Grunddaten'!$A$2:$M$297,6,FALSE))</f>
        <v>Alpes septentrionales</v>
      </c>
      <c r="G202" s="857" t="str">
        <f>IF(VLOOKUP(A202,'Données de base - Grunddaten'!$A$2:$M$297,7,FALSE)="","",VLOOKUP(A202,'Données de base - Grunddaten'!$A$2:$M$297,7,FALSE))</f>
        <v>Subalpin inf.</v>
      </c>
      <c r="H202" s="857">
        <f>IF(VLOOKUP(A202,'Données de base - Grunddaten'!$A$2:$M$297,8,FALSE)="","",VLOOKUP(A202,'Données de base - Grunddaten'!$A$2:$M$297,8,FALSE))</f>
        <v>1220</v>
      </c>
      <c r="I202" s="857">
        <f>IF(VLOOKUP(A202,'Données de base - Grunddaten'!$A$2:$M$297,9,FALSE)="","",VLOOKUP(A202,'Données de base - Grunddaten'!$A$2:$M$297,9,FALSE))</f>
        <v>2003</v>
      </c>
      <c r="J202" s="857">
        <f>IF(VLOOKUP(A202,'Données de base - Grunddaten'!$A$2:$M$297,10,FALSE)="","",VLOOKUP(A202,'Données de base - Grunddaten'!$A$2:$M$297,10,FALSE))</f>
        <v>41</v>
      </c>
      <c r="K202" s="857" t="str">
        <f>IF(VLOOKUP(A202,'Données de base - Grunddaten'!$A$2:$M$297,11,FALSE)="","",VLOOKUP(A202,'Données de base - Grunddaten'!$A$2:$M$297,11,FALSE))</f>
        <v>Cours d'eau naturels de l'étage montagnard</v>
      </c>
      <c r="L202" s="857" t="str">
        <f>IF(VLOOKUP(A202,'Données de base - Grunddaten'!$A$2:$M$297,12,FALSE)="","",VLOOKUP(A202,'Données de base - Grunddaten'!$A$2:$M$297,12,FALSE))</f>
        <v>en méandres migrants</v>
      </c>
      <c r="M202" s="858" t="str">
        <f>IF(VLOOKUP(A202,'Données de base - Grunddaten'!$A$2:$M$297,13,FALSE)="","",VLOOKUP(A202,'Données de base - Grunddaten'!$A$2:$M$297,13,FALSE))</f>
        <v>méandres migrants</v>
      </c>
      <c r="N202" s="872" t="str">
        <f>IF(VLOOKUP(A202,'Charriage - Geschiebehaushalt'!$A$4:$R$275,5,FALSE)="","",VLOOKUP(A202,'Charriage - Geschiebehaushalt'!$A$4:$R$275,5,FALSE))</f>
        <v>pertinent</v>
      </c>
      <c r="O202" s="881" t="str">
        <f>IF(VLOOKUP(A202,'Charriage - Geschiebehaushalt'!$A$4:$R$275,6,FALSE)="","",VLOOKUP(A202,'Charriage - Geschiebehaushalt'!$A$4:$R$275,6,FALSE))</f>
        <v>non documenté</v>
      </c>
      <c r="P202" s="874" t="str">
        <f>IF(VLOOKUP(A202,'Charriage - Geschiebehaushalt'!$A$4:$R$275,7,FALSE)="","",VLOOKUP(A202,'Charriage - Geschiebehaushalt'!$A$4:$R$275,7,FALSE))</f>
        <v/>
      </c>
      <c r="Q202" s="874" t="str">
        <f>IF(VLOOKUP(A202,'Charriage - Geschiebehaushalt'!$A$4:$R$275,8,FALSE)="","",VLOOKUP(A202,'Charriage - Geschiebehaushalt'!$A$4:$R$275,8,FALSE))</f>
        <v>non documenté</v>
      </c>
      <c r="R202" s="875">
        <f>IF(VLOOKUP(A202,'Charriage - Geschiebehaushalt'!$A$4:$R$275,9,FALSE)="","",VLOOKUP(A202,'Charriage - Geschiebehaushalt'!$A$4:$R$275,9,FALSE))</f>
        <v>0.190529280203522</v>
      </c>
      <c r="S202" s="876" t="str">
        <f>IF(VLOOKUP(A202,'Charriage - Geschiebehaushalt'!$A$4:$R$275,10,FALSE)="","",VLOOKUP(A202,'Charriage - Geschiebehaushalt'!$A$4:$R$275,10,FALSE))</f>
        <v>pas ou faiblement entravé</v>
      </c>
      <c r="T202" s="875">
        <f>IF(VLOOKUP(A202,'Charriage - Geschiebehaushalt'!$A$4:$R$275,11,FALSE)="","",VLOOKUP(A202,'Charriage - Geschiebehaushalt'!$A$4:$R$275,11,FALSE))</f>
        <v>0.26212304416999999</v>
      </c>
      <c r="U202" s="876" t="str">
        <f>IF(VLOOKUP(A202,'Charriage - Geschiebehaushalt'!$A$4:$R$275,12,FALSE)="","",VLOOKUP(A202,'Charriage - Geschiebehaushalt'!$A$4:$R$275,12,FALSE))</f>
        <v>déficit dans les formations pionnières</v>
      </c>
      <c r="V202" s="877" t="str">
        <f>IF(VLOOKUP(A202,'Charriage - Geschiebehaushalt'!$A$4:$R$275,13,FALSE)="","",VLOOKUP(A202,'Charriage - Geschiebehaushalt'!$A$4:$R$275,13,FALSE))</f>
        <v>Peut-être incision</v>
      </c>
      <c r="W202" s="877" t="str">
        <f>IF(VLOOKUP(A202,'Charriage - Geschiebehaushalt'!$A$4:$R$275,14,FALSE)="","",VLOOKUP(A202,'Charriage - Geschiebehaushalt'!$A$4:$R$275,14,FALSE))</f>
        <v>A vérifier</v>
      </c>
      <c r="X202" s="877" t="str">
        <f>IF(VLOOKUP(A202,'Charriage - Geschiebehaushalt'!$A$4:$R$275,15,FALSE)="","",VLOOKUP(A202,'Charriage - Geschiebehaushalt'!$A$4:$R$275,15,FALSE))</f>
        <v>pas d'ouvrage dans le bassin versant</v>
      </c>
      <c r="Y202" s="882" t="str">
        <f>IF(VLOOKUP(A202,'Charriage - Geschiebehaushalt'!$A$4:$R$275,16,FALSE)="","",VLOOKUP(A202,'Charriage - Geschiebehaushalt'!$A$4:$R$275,16,FALSE))</f>
        <v>charriage présumé naturel</v>
      </c>
      <c r="Z202" s="763" t="str">
        <f>IF(VLOOKUP(A202,'Charriage - Geschiebehaushalt'!$A$4:$R$275,17,FALSE)="","",VLOOKUP(A202,'Charriage - Geschiebehaushalt'!$A$4:$R$275,17,FALSE))</f>
        <v>Charriage présumé naturel / Geschiebehaushalt vermutlich natürlich</v>
      </c>
      <c r="AA202" s="880" t="str">
        <f>IF(VLOOKUP(A202,'Charriage - Geschiebehaushalt'!$A$4:$R$275,18,FALSE)="","",VLOOKUP(A202,'Charriage - Geschiebehaushalt'!$A$4:$R$275,18,FALSE))</f>
        <v>b</v>
      </c>
      <c r="AB202" s="737" t="str">
        <f>IF(VLOOKUP(A202,'Charriage - Geschiebehaushalt'!$A$4:$AC$275,19,FALSE)="","",VLOOKUP(A202,'Charriage - Geschiebehaushalt'!$A$4:$AC$275,19,FALSE))</f>
        <v>-</v>
      </c>
      <c r="AC202" s="738" t="str">
        <f>IF(VLOOKUP(A202,'Charriage - Geschiebehaushalt'!$A$4:$AC$275,20,FALSE)="","",VLOOKUP(A202,'Charriage - Geschiebehaushalt'!$A$4:$AC$275,20,FALSE))</f>
        <v>-</v>
      </c>
      <c r="AD202" s="764" t="str">
        <f>IF(VLOOKUP(A202,'Charriage - Geschiebehaushalt'!$A$4:$AC$275,21,FALSE)="","",VLOOKUP(A202,'Charriage - Geschiebehaushalt'!$A$4:$AC$275,21,FALSE))</f>
        <v/>
      </c>
      <c r="AE202" s="740" t="str">
        <f>IF(VLOOKUP(A202,'Charriage - Geschiebehaushalt'!$A$4:$AC$275,22,FALSE)="","",VLOOKUP(A202,'Charriage - Geschiebehaushalt'!$A$4:$AC$275,22,FALSE))</f>
        <v>0-20%</v>
      </c>
      <c r="AF202" s="787" t="str">
        <f>IF(VLOOKUP(A202,'Charriage - Geschiebehaushalt'!$A$4:$AC$275,23,FALSE)="","",VLOOKUP(A202,'Charriage - Geschiebehaushalt'!$A$4:$AC$275,23,FALSE))</f>
        <v>b</v>
      </c>
      <c r="AG202" s="765" t="str">
        <f>IF(VLOOKUP(A202,'Charriage - Geschiebehaushalt'!$A$4:$AC$275,24,FALSE)="","",VLOOKUP(A202,'Charriage - Geschiebehaushalt'!$A$4:$AC$275,24,FALSE))</f>
        <v/>
      </c>
      <c r="AH202" s="764" t="str">
        <f>IF(VLOOKUP(A202,'Charriage - Geschiebehaushalt'!$A$4:$AC$275,25,FALSE)="","",VLOOKUP(A202,'Charriage - Geschiebehaushalt'!$A$4:$AC$275,25,FALSE))</f>
        <v/>
      </c>
      <c r="AI202" s="433" t="str">
        <f>IF(VLOOKUP(A202,'Charriage - Geschiebehaushalt'!$A$4:$AC$275,26,FALSE)="","",VLOOKUP(A202,'Charriage - Geschiebehaushalt'!$A$4:$AC$275,26,FALSE))</f>
        <v/>
      </c>
      <c r="AJ202" s="434" t="str">
        <f>IF(VLOOKUP(A202,'Charriage - Geschiebehaushalt'!$A$4:$AC$275,27,FALSE)="","",VLOOKUP(A202,'Charriage - Geschiebehaushalt'!$A$4:$AC$275,27,FALSE))</f>
        <v/>
      </c>
      <c r="AK202" s="801" t="str">
        <f>IF(VLOOKUP(A202,'Charriage - Geschiebehaushalt'!$A$4:$AC$275,28,FALSE)="","",VLOOKUP(A202,'Charriage - Geschiebehaushalt'!$A$4:$AC$275,28,FALSE))</f>
        <v>0-20%</v>
      </c>
      <c r="AL202" s="1285" t="str">
        <f>IF(VLOOKUP(A202,'Charriage - Geschiebehaushalt'!$A$4:$AD$275,30,FALSE)="","",VLOOKUP(A202,'Charriage - Geschiebehaushalt'!$A$4:$AD$275,30,FALSE))</f>
        <v>b</v>
      </c>
      <c r="AM202" s="1279" t="str">
        <f>IF(VLOOKUP(A202,'Débit - Abfluss'!$A$4:$K$275,5,FALSE)="","",VLOOKUP(A202,'Débit - Abfluss'!$A$4:$M$275,5,FALSE))</f>
        <v>100%</v>
      </c>
      <c r="AN202" s="868" t="str">
        <f>IF(VLOOKUP(A202,'Débit - Abfluss'!$A$4:$K$275,6,FALSE)="","",VLOOKUP(A202,'Débit - Abfluss'!$A$4:$M$275,6,FALSE))</f>
        <v>aucune information supplémentaire</v>
      </c>
      <c r="AO202" s="869" t="str">
        <f>IF(VLOOKUP(A202,'Débit - Abfluss'!$A$4:$K$275,7,FALSE)="","",VLOOKUP(A202,'Débit - Abfluss'!$A$4:$M$275,7,FALSE))</f>
        <v>aucune information supplémentaire</v>
      </c>
      <c r="AP202" s="766" t="str">
        <f>IF(VLOOKUP(A202,'Débit - Abfluss'!$A$4:$K$275,8,FALSE)="","",VLOOKUP(A202,'Débit - Abfluss'!$A$4:$M$275,8,FALSE))</f>
        <v>100%</v>
      </c>
      <c r="AQ202" s="742" t="str">
        <f>IF(VLOOKUP(A202,'Débit - Abfluss'!$A$4:$K$275,9,FALSE)="","",VLOOKUP(A202,'Débit - Abfluss'!$A$4:$M$275,9,FALSE))</f>
        <v>-</v>
      </c>
      <c r="AR202" s="767" t="str">
        <f>IF(VLOOKUP(A202,'Débit - Abfluss'!$A$4:$K$275,10,FALSE)="","",VLOOKUP(A202,'Débit - Abfluss'!$A$4:$M$275,10,FALSE))</f>
        <v>100%</v>
      </c>
      <c r="AS202" s="767" t="str">
        <f>IF(VLOOKUP(A202,'Débit - Abfluss'!$A$4:$K$275,11,FALSE)="","",VLOOKUP(A202,'Débit - Abfluss'!$A$4:$M$275,11,FALSE))</f>
        <v/>
      </c>
      <c r="AT202" s="744" t="str">
        <f>IF(VLOOKUP(A202,'Débit - Abfluss'!$A$4:$Q$275,12,FALSE)="","",VLOOKUP(A202,'Débit - Abfluss'!$A$4:$Q$275,12,FALSE))</f>
        <v/>
      </c>
      <c r="AU202" s="745" t="str">
        <f>IF(VLOOKUP(A202,'Débit - Abfluss'!$A$4:$Q$275,13,FALSE)="","",VLOOKUP(A202,'Débit - Abfluss'!$A$4:$Q$275,13,FALSE))</f>
        <v/>
      </c>
      <c r="AV202" s="746" t="str">
        <f>IF(VLOOKUP(A202,'Débit - Abfluss'!$A$4:$Q$275,14,FALSE)="","",VLOOKUP(A202,'Débit - Abfluss'!$A$4:$Q$275,14,FALSE))</f>
        <v/>
      </c>
      <c r="AW202" s="768" t="str">
        <f>IF(VLOOKUP(A202,'Débit - Abfluss'!$A$4:$Q$275,15,FALSE)="","",VLOOKUP(A202,'Débit - Abfluss'!$A$4:$Q$275,15,FALSE))</f>
        <v/>
      </c>
      <c r="AX202" s="677" t="str">
        <f>IF(VLOOKUP(A202,'Débit - Abfluss'!$A$4:$Q$275,16,FALSE)="","",VLOOKUP(A202,'Débit - Abfluss'!$A$4:$Q$275,16,FALSE))</f>
        <v/>
      </c>
      <c r="AY202" s="769" t="str">
        <f>IF(VLOOKUP(A202,'Débit - Abfluss'!$A$4:$Q$275,17,FALSE)="","",VLOOKUP(A202,'Débit - Abfluss'!$A$4:$Q$275,17,FALSE))</f>
        <v>100%</v>
      </c>
      <c r="AZ202" s="749" t="str">
        <f>IF(VLOOKUP(A202,'Eclusée - Schwall-Sunk'!$A$2:$F$273,5,FALSE)="","",VLOOKUP(A202,'Eclusée - Schwall-Sunk'!$A$2:$F$273,5,FALSE))</f>
        <v/>
      </c>
      <c r="BA202" s="750" t="str">
        <f>IF(VLOOKUP(A202,'Eclusée - Schwall-Sunk'!$A$2:$F$273,6,FALSE)="","",VLOOKUP(A202,'Eclusée - Schwall-Sunk'!$A$2:$F$273,6,FALSE))</f>
        <v>Non affecté / nicht betroffen</v>
      </c>
      <c r="BB202" s="751">
        <f>IF(VLOOKUP(A202,'Revitalisation-Revitalisierung'!$A$4:$Z$275,5,FALSE)="","",VLOOKUP(A202,'Revitalisation-Revitalisierung'!$A$4:$Z$275,5,FALSE))</f>
        <v>12.709090909090909</v>
      </c>
      <c r="BC202" s="752">
        <f>IF(VLOOKUP(A202,'Revitalisation-Revitalisierung'!$A$4:$Z$275,6,FALSE)="","",VLOOKUP(A202,'Revitalisation-Revitalisierung'!$A$4:$Z$275,6,FALSE))</f>
        <v>21.771994111698021</v>
      </c>
      <c r="BD202" s="752">
        <f>IF(VLOOKUP(A202,'Revitalisation-Revitalisierung'!$A$4:$Z$275,7,FALSE)="","",VLOOKUP(A202,'Revitalisation-Revitalisierung'!$A$4:$Z$275,7,FALSE))</f>
        <v>9.0909090909090917</v>
      </c>
      <c r="BE202" s="753" t="str">
        <f>IF(VLOOKUP(A202,'Revitalisation-Revitalisierung'!$A$4:$Z$275,8,FALSE)="","",VLOOKUP(A202,'Revitalisation-Revitalisierung'!$A$4:$Z$275,8,FALSE))</f>
        <v>peu nécessaire, facile</v>
      </c>
      <c r="BF202" s="754" t="str">
        <f>IF(VLOOKUP(A202,'Revitalisation-Revitalisierung'!$A$4:$Z$275,9,FALSE)="","",VLOOKUP(A202,'Revitalisation-Revitalisierung'!$A$4:$Z$275,9,FALSE))</f>
        <v>nicht nötig</v>
      </c>
      <c r="BG202" s="754" t="str">
        <f>IF(VLOOKUP(A202,'Revitalisation-Revitalisierung'!$A$4:$Z$275,10,FALSE)="","",VLOOKUP(A202,'Revitalisation-Revitalisierung'!$A$4:$Z$275,10,FALSE))</f>
        <v>K3</v>
      </c>
      <c r="BH202" s="755" t="str">
        <f>IF(VLOOKUP(A202,'Revitalisation-Revitalisierung'!$A$4:$Z$275,11,FALSE)="","",VLOOKUP(A202,'Revitalisation-Revitalisierung'!$A$4:$Z$275,11,FALSE))</f>
        <v/>
      </c>
      <c r="BI202" s="756" t="str">
        <f>IF(VLOOKUP(A202,'Revitalisation-Revitalisierung'!$A$4:$Z$275,12,FALSE)="","",VLOOKUP(A202,'Revitalisation-Revitalisierung'!$A$4:$Z$275,12,FALSE))</f>
        <v/>
      </c>
      <c r="BJ202" s="788" t="str">
        <f>IF(VLOOKUP(A202,'Revitalisation-Revitalisierung'!$A$4:$Z$275,13,FALSE)="","",VLOOKUP(A202,'Revitalisation-Revitalisierung'!$A$4:$Z$275,13,FALSE))</f>
        <v>Partiellement nécessaire, facile / teilweise nötig, einfach</v>
      </c>
      <c r="BK202" s="870" t="str">
        <f>IF(VLOOKUP(A202,'Revitalisation-Revitalisierung'!$A$4:$Z$275,14,FALSE)="","",VLOOKUP(A202,'Revitalisation-Revitalisierung'!$A$4:$Z$275,14,FALSE))</f>
        <v>a</v>
      </c>
      <c r="BL202" s="758" t="str">
        <f>IF(VLOOKUP(A202,'Revitalisation-Revitalisierung'!$A$4:$Z$275,15,FALSE)="","",VLOOKUP(A202,'Revitalisation-Revitalisierung'!$A$4:$Z$275,15,FALSE))</f>
        <v xml:space="preserve">mittel </v>
      </c>
      <c r="BM202" s="759" t="str">
        <f>IF(VLOOKUP(A202,'Revitalisation-Revitalisierung'!$A$4:$Z$275,16,FALSE)="","",VLOOKUP(A202,'Revitalisation-Revitalisierung'!$A$4:$Z$275,16,FALSE))</f>
        <v>gering</v>
      </c>
      <c r="BN202" s="759" t="str">
        <f>IF(VLOOKUP(A202,'Revitalisation-Revitalisierung'!$A$4:$Z$275,17,FALSE)="","",VLOOKUP(A202,'Revitalisation-Revitalisierung'!$A$4:$Z$275,17,FALSE))</f>
        <v>-</v>
      </c>
      <c r="BO202" s="760" t="str">
        <f>IF(VLOOKUP(A202,'Revitalisation-Revitalisierung'!$A$4:$Z$275,18,FALSE)="","",VLOOKUP(A202,'Revitalisation-Revitalisierung'!$A$4:$Z$275,18,FALSE))</f>
        <v>Non nécessaire / nicht nötig</v>
      </c>
      <c r="BP202" s="761" t="str">
        <f>IF(VLOOKUP(A202,'Revitalisation-Revitalisierung'!$A$4:$Z$275,19,FALSE)="","",VLOOKUP(A202,'Revitalisation-Revitalisierung'!$A$4:$Z$275,19,FALSE))</f>
        <v>Partiellement nécessaire, facile / teilweise nötig, einfach</v>
      </c>
      <c r="BQ202" s="759" t="str">
        <f>IF(VLOOKUP(A202,'Revitalisation-Revitalisierung'!$A$4:$Z$275,20,FALSE)="","",VLOOKUP(A202,'Revitalisation-Revitalisierung'!$A$4:$Z$275,20,FALSE))</f>
        <v>e</v>
      </c>
      <c r="BR202" s="759" t="str">
        <f>IF(VLOOKUP(A202,'Revitalisation-Revitalisierung'!$A$4:$Z$275,21,FALSE)="","",VLOOKUP(A202,'Revitalisation-Revitalisierung'!$A$4:$Z$275,21,FALSE))</f>
        <v/>
      </c>
      <c r="BS202" s="762" t="str">
        <f>IF(VLOOKUP(A202,'Revitalisation-Revitalisierung'!$A$4:$Z$275,22,FALSE)="","",VLOOKUP(A202,'Revitalisation-Revitalisierung'!$A$4:$Z$275,22,FALSE))</f>
        <v>X</v>
      </c>
      <c r="BT202" s="703" t="str">
        <f>IF(VLOOKUP(A202,'Revitalisation-Revitalisierung'!$A$4:$Z$275,23,FALSE)="","",VLOOKUP(A202,'Revitalisation-Revitalisierung'!$A$4:$Z$275,23,FALSE))</f>
        <v/>
      </c>
      <c r="BU202" s="704" t="str">
        <f>IF(VLOOKUP(A202,'Revitalisation-Revitalisierung'!$A$4:$Z$275,24,FALSE)="","",VLOOKUP(A202,'Revitalisation-Revitalisierung'!$A$4:$Z$275,24,FALSE))</f>
        <v>nicht nötig</v>
      </c>
      <c r="BV202" s="761" t="str">
        <f>IF(VLOOKUP(A202,'Revitalisation-Revitalisierung'!$A$4:$Z$275,25,FALSE)="","",VLOOKUP(A202,'Revitalisation-Revitalisierung'!$A$4:$Z$275,25,FALSE))</f>
        <v>Non nécessaire / nicht nötig</v>
      </c>
      <c r="BW202" s="871" t="str">
        <f>IF(VLOOKUP(A202,'Revitalisation-Revitalisierung'!$A$4:$AA$275,27,FALSE)="","",VLOOKUP(A202,'Revitalisation-Revitalisierung'!$A$4:$AA$275,27,FALSE))</f>
        <v>a</v>
      </c>
    </row>
    <row r="203" spans="1:75" ht="58.15" customHeight="1" x14ac:dyDescent="0.25">
      <c r="A203" s="935">
        <v>325</v>
      </c>
      <c r="B203" s="856">
        <f>IF(VLOOKUP(A203,'Données de base - Grunddaten'!$A$2:$M$297,2,FALSE)="","",VLOOKUP(A203,'Données de base - Grunddaten'!$A$2:$M$297,2,FALSE))</f>
        <v>1</v>
      </c>
      <c r="C203" s="857" t="str">
        <f>IF(VLOOKUP(A203,'Données de base - Grunddaten'!$A$2:$M$297,3,FALSE)="","",VLOOKUP(A203,'Données de base - Grunddaten'!$A$2:$M$297,3,FALSE))</f>
        <v>Gastere bei Selden</v>
      </c>
      <c r="D203" s="857" t="str">
        <f>IF(VLOOKUP(A203,'Données de base - Grunddaten'!$A$2:$M$297,4,FALSE)="","",VLOOKUP(A203,'Données de base - Grunddaten'!$A$2:$M$297,4,FALSE))</f>
        <v>Kander</v>
      </c>
      <c r="E203" s="857" t="str">
        <f>IF(VLOOKUP(A203,'Données de base - Grunddaten'!$A$2:$M$297,5,FALSE)="","",VLOOKUP(A203,'Données de base - Grunddaten'!$A$2:$M$297,5,FALSE))</f>
        <v>BE</v>
      </c>
      <c r="F203" s="857" t="str">
        <f>IF(VLOOKUP(A203,'Données de base - Grunddaten'!$A$2:$M$297,6,FALSE)="","",VLOOKUP(A203,'Données de base - Grunddaten'!$A$2:$M$297,6,FALSE))</f>
        <v>Alpes septentrionales</v>
      </c>
      <c r="G203" s="857" t="str">
        <f>IF(VLOOKUP(A203,'Données de base - Grunddaten'!$A$2:$M$297,7,FALSE)="","",VLOOKUP(A203,'Données de base - Grunddaten'!$A$2:$M$297,7,FALSE))</f>
        <v>Subalpin sup.</v>
      </c>
      <c r="H203" s="857">
        <f>IF(VLOOKUP(A203,'Données de base - Grunddaten'!$A$2:$M$297,8,FALSE)="","",VLOOKUP(A203,'Données de base - Grunddaten'!$A$2:$M$297,8,FALSE))</f>
        <v>1540</v>
      </c>
      <c r="I203" s="857">
        <f>IF(VLOOKUP(A203,'Données de base - Grunddaten'!$A$2:$M$297,9,FALSE)="","",VLOOKUP(A203,'Données de base - Grunddaten'!$A$2:$M$297,9,FALSE))</f>
        <v>2003</v>
      </c>
      <c r="J203" s="857">
        <f>IF(VLOOKUP(A203,'Données de base - Grunddaten'!$A$2:$M$297,10,FALSE)="","",VLOOKUP(A203,'Données de base - Grunddaten'!$A$2:$M$297,10,FALSE))</f>
        <v>31</v>
      </c>
      <c r="K203" s="857" t="str">
        <f>IF(VLOOKUP(A203,'Données de base - Grunddaten'!$A$2:$M$297,11,FALSE)="","",VLOOKUP(A203,'Données de base - Grunddaten'!$A$2:$M$297,11,FALSE))</f>
        <v>Cours d'eau naturels de l'étage subalpin</v>
      </c>
      <c r="L203" s="857" t="str">
        <f>IF(VLOOKUP(A203,'Données de base - Grunddaten'!$A$2:$M$297,12,FALSE)="","",VLOOKUP(A203,'Données de base - Grunddaten'!$A$2:$M$297,12,FALSE))</f>
        <v>en méandres migrants</v>
      </c>
      <c r="M203" s="858" t="str">
        <f>IF(VLOOKUP(A203,'Données de base - Grunddaten'!$A$2:$M$297,13,FALSE)="","",VLOOKUP(A203,'Données de base - Grunddaten'!$A$2:$M$297,13,FALSE))</f>
        <v>en tresses</v>
      </c>
      <c r="N203" s="872" t="str">
        <f>IF(VLOOKUP(A203,'Charriage - Geschiebehaushalt'!$A$4:$R$275,5,FALSE)="","",VLOOKUP(A203,'Charriage - Geschiebehaushalt'!$A$4:$R$275,5,FALSE))</f>
        <v>pertinent</v>
      </c>
      <c r="O203" s="873" t="str">
        <f>IF(VLOOKUP(A203,'Charriage - Geschiebehaushalt'!$A$4:$R$275,6,FALSE)="","",VLOOKUP(A203,'Charriage - Geschiebehaushalt'!$A$4:$R$275,6,FALSE))</f>
        <v>0-20%</v>
      </c>
      <c r="P203" s="874" t="str">
        <f>IF(VLOOKUP(A203,'Charriage - Geschiebehaushalt'!$A$4:$R$275,7,FALSE)="","",VLOOKUP(A203,'Charriage - Geschiebehaushalt'!$A$4:$R$275,7,FALSE))</f>
        <v/>
      </c>
      <c r="Q203" s="874" t="str">
        <f>IF(VLOOKUP(A203,'Charriage - Geschiebehaushalt'!$A$4:$R$275,8,FALSE)="","",VLOOKUP(A203,'Charriage - Geschiebehaushalt'!$A$4:$R$275,8,FALSE))</f>
        <v>non documenté</v>
      </c>
      <c r="R203" s="875">
        <f>IF(VLOOKUP(A203,'Charriage - Geschiebehaushalt'!$A$4:$R$275,9,FALSE)="","",VLOOKUP(A203,'Charriage - Geschiebehaushalt'!$A$4:$R$275,9,FALSE))</f>
        <v>0.19713891514835399</v>
      </c>
      <c r="S203" s="876" t="str">
        <f>IF(VLOOKUP(A203,'Charriage - Geschiebehaushalt'!$A$4:$R$275,10,FALSE)="","",VLOOKUP(A203,'Charriage - Geschiebehaushalt'!$A$4:$R$275,10,FALSE))</f>
        <v>pas ou faiblement entravé</v>
      </c>
      <c r="T203" s="875">
        <f>IF(VLOOKUP(A203,'Charriage - Geschiebehaushalt'!$A$4:$R$275,11,FALSE)="","",VLOOKUP(A203,'Charriage - Geschiebehaushalt'!$A$4:$R$275,11,FALSE))</f>
        <v>0.36678373870999997</v>
      </c>
      <c r="U203" s="876" t="str">
        <f>IF(VLOOKUP(A203,'Charriage - Geschiebehaushalt'!$A$4:$R$275,12,FALSE)="","",VLOOKUP(A203,'Charriage - Geschiebehaushalt'!$A$4:$R$275,12,FALSE))</f>
        <v>déficit non apparent en charriage ou en remobilisation des sédiments</v>
      </c>
      <c r="V203" s="877" t="str">
        <f>IF(VLOOKUP(A203,'Charriage - Geschiebehaushalt'!$A$4:$R$275,13,FALSE)="","",VLOOKUP(A203,'Charriage - Geschiebehaushalt'!$A$4:$R$275,13,FALSE))</f>
        <v/>
      </c>
      <c r="W203" s="877" t="str">
        <f>IF(VLOOKUP(A203,'Charriage - Geschiebehaushalt'!$A$4:$R$275,14,FALSE)="","",VLOOKUP(A203,'Charriage - Geschiebehaushalt'!$A$4:$R$275,14,FALSE))</f>
        <v/>
      </c>
      <c r="X203" s="877" t="str">
        <f>IF(VLOOKUP(A203,'Charriage - Geschiebehaushalt'!$A$4:$R$275,15,FALSE)="","",VLOOKUP(A203,'Charriage - Geschiebehaushalt'!$A$4:$R$275,15,FALSE))</f>
        <v/>
      </c>
      <c r="Y203" s="879" t="str">
        <f>IF(VLOOKUP(A203,'Charriage - Geschiebehaushalt'!$A$4:$R$275,16,FALSE)="","",VLOOKUP(A203,'Charriage - Geschiebehaushalt'!$A$4:$R$275,16,FALSE))</f>
        <v/>
      </c>
      <c r="Z203" s="763" t="str">
        <f>IF(VLOOKUP(A203,'Charriage - Geschiebehaushalt'!$A$4:$R$275,17,FALSE)="","",VLOOKUP(A203,'Charriage - Geschiebehaushalt'!$A$4:$R$275,17,FALSE))</f>
        <v>0-20%</v>
      </c>
      <c r="AA203" s="880" t="str">
        <f>IF(VLOOKUP(A203,'Charriage - Geschiebehaushalt'!$A$4:$R$275,18,FALSE)="","",VLOOKUP(A203,'Charriage - Geschiebehaushalt'!$A$4:$R$275,18,FALSE))</f>
        <v>a</v>
      </c>
      <c r="AB203" s="737" t="str">
        <f>IF(VLOOKUP(A203,'Charriage - Geschiebehaushalt'!$A$4:$AC$275,19,FALSE)="","",VLOOKUP(A203,'Charriage - Geschiebehaushalt'!$A$4:$AC$275,19,FALSE))</f>
        <v>-</v>
      </c>
      <c r="AC203" s="738" t="str">
        <f>IF(VLOOKUP(A203,'Charriage - Geschiebehaushalt'!$A$4:$AC$275,20,FALSE)="","",VLOOKUP(A203,'Charriage - Geschiebehaushalt'!$A$4:$AC$275,20,FALSE))</f>
        <v>-</v>
      </c>
      <c r="AD203" s="764" t="str">
        <f>IF(VLOOKUP(A203,'Charriage - Geschiebehaushalt'!$A$4:$AC$275,21,FALSE)="","",VLOOKUP(A203,'Charriage - Geschiebehaushalt'!$A$4:$AC$275,21,FALSE))</f>
        <v/>
      </c>
      <c r="AE203" s="740" t="str">
        <f>IF(VLOOKUP(A203,'Charriage - Geschiebehaushalt'!$A$4:$AC$275,22,FALSE)="","",VLOOKUP(A203,'Charriage - Geschiebehaushalt'!$A$4:$AC$275,22,FALSE))</f>
        <v>0-20%</v>
      </c>
      <c r="AF203" s="787" t="str">
        <f>IF(VLOOKUP(A203,'Charriage - Geschiebehaushalt'!$A$4:$AC$275,23,FALSE)="","",VLOOKUP(A203,'Charriage - Geschiebehaushalt'!$A$4:$AC$275,23,FALSE))</f>
        <v>a</v>
      </c>
      <c r="AG203" s="765" t="str">
        <f>IF(VLOOKUP(A203,'Charriage - Geschiebehaushalt'!$A$4:$AC$275,24,FALSE)="","",VLOOKUP(A203,'Charriage - Geschiebehaushalt'!$A$4:$AC$275,24,FALSE))</f>
        <v/>
      </c>
      <c r="AH203" s="764" t="str">
        <f>IF(VLOOKUP(A203,'Charriage - Geschiebehaushalt'!$A$4:$AC$275,25,FALSE)="","",VLOOKUP(A203,'Charriage - Geschiebehaushalt'!$A$4:$AC$275,25,FALSE))</f>
        <v/>
      </c>
      <c r="AI203" s="433" t="str">
        <f>IF(VLOOKUP(A203,'Charriage - Geschiebehaushalt'!$A$4:$AC$275,26,FALSE)="","",VLOOKUP(A203,'Charriage - Geschiebehaushalt'!$A$4:$AC$275,26,FALSE))</f>
        <v/>
      </c>
      <c r="AJ203" s="434" t="str">
        <f>IF(VLOOKUP(A203,'Charriage - Geschiebehaushalt'!$A$4:$AC$275,27,FALSE)="","",VLOOKUP(A203,'Charriage - Geschiebehaushalt'!$A$4:$AC$275,27,FALSE))</f>
        <v/>
      </c>
      <c r="AK203" s="801" t="str">
        <f>IF(VLOOKUP(A203,'Charriage - Geschiebehaushalt'!$A$4:$AC$275,28,FALSE)="","",VLOOKUP(A203,'Charriage - Geschiebehaushalt'!$A$4:$AC$275,28,FALSE))</f>
        <v>0-20%</v>
      </c>
      <c r="AL203" s="1285" t="str">
        <f>IF(VLOOKUP(A203,'Charriage - Geschiebehaushalt'!$A$4:$AD$275,30,FALSE)="","",VLOOKUP(A203,'Charriage - Geschiebehaushalt'!$A$4:$AD$275,30,FALSE))</f>
        <v>a</v>
      </c>
      <c r="AM203" s="1279" t="str">
        <f>IF(VLOOKUP(A203,'Débit - Abfluss'!$A$4:$K$275,5,FALSE)="","",VLOOKUP(A203,'Débit - Abfluss'!$A$4:$M$275,5,FALSE))</f>
        <v>100%</v>
      </c>
      <c r="AN203" s="868" t="str">
        <f>IF(VLOOKUP(A203,'Débit - Abfluss'!$A$4:$K$275,6,FALSE)="","",VLOOKUP(A203,'Débit - Abfluss'!$A$4:$M$275,6,FALSE))</f>
        <v>aucune information supplémentaire</v>
      </c>
      <c r="AO203" s="889" t="str">
        <f>IF(VLOOKUP(A203,'Débit - Abfluss'!$A$4:$K$275,7,FALSE)="","",VLOOKUP(A203,'Débit - Abfluss'!$A$4:$M$275,7,FALSE))</f>
        <v xml:space="preserve"> Prélèvement : &lt;50%</v>
      </c>
      <c r="AP203" s="766" t="str">
        <f>IF(VLOOKUP(A203,'Débit - Abfluss'!$A$4:$K$275,8,FALSE)="","",VLOOKUP(A203,'Débit - Abfluss'!$A$4:$M$275,8,FALSE))</f>
        <v>81-100%</v>
      </c>
      <c r="AQ203" s="742" t="str">
        <f>IF(VLOOKUP(A203,'Débit - Abfluss'!$A$4:$K$275,9,FALSE)="","",VLOOKUP(A203,'Débit - Abfluss'!$A$4:$M$275,9,FALSE))</f>
        <v>-</v>
      </c>
      <c r="AR203" s="767" t="str">
        <f>IF(VLOOKUP(A203,'Débit - Abfluss'!$A$4:$K$275,10,FALSE)="","",VLOOKUP(A203,'Débit - Abfluss'!$A$4:$M$275,10,FALSE))</f>
        <v>81-100%</v>
      </c>
      <c r="AS203" s="767" t="str">
        <f>IF(VLOOKUP(A203,'Débit - Abfluss'!$A$4:$K$275,11,FALSE)="","",VLOOKUP(A203,'Débit - Abfluss'!$A$4:$M$275,11,FALSE))</f>
        <v/>
      </c>
      <c r="AT203" s="744" t="str">
        <f>IF(VLOOKUP(A203,'Débit - Abfluss'!$A$4:$Q$275,12,FALSE)="","",VLOOKUP(A203,'Débit - Abfluss'!$A$4:$Q$275,12,FALSE))</f>
        <v/>
      </c>
      <c r="AU203" s="745" t="str">
        <f>IF(VLOOKUP(A203,'Débit - Abfluss'!$A$4:$Q$275,13,FALSE)="","",VLOOKUP(A203,'Débit - Abfluss'!$A$4:$Q$275,13,FALSE))</f>
        <v/>
      </c>
      <c r="AV203" s="746" t="str">
        <f>IF(VLOOKUP(A203,'Débit - Abfluss'!$A$4:$Q$275,14,FALSE)="","",VLOOKUP(A203,'Débit - Abfluss'!$A$4:$Q$275,14,FALSE))</f>
        <v/>
      </c>
      <c r="AW203" s="768" t="str">
        <f>IF(VLOOKUP(A203,'Débit - Abfluss'!$A$4:$Q$275,15,FALSE)="","",VLOOKUP(A203,'Débit - Abfluss'!$A$4:$Q$275,15,FALSE))</f>
        <v/>
      </c>
      <c r="AX203" s="677" t="str">
        <f>IF(VLOOKUP(A203,'Débit - Abfluss'!$A$4:$Q$275,16,FALSE)="","",VLOOKUP(A203,'Débit - Abfluss'!$A$4:$Q$275,16,FALSE))</f>
        <v/>
      </c>
      <c r="AY203" s="769" t="str">
        <f>IF(VLOOKUP(A203,'Débit - Abfluss'!$A$4:$Q$275,17,FALSE)="","",VLOOKUP(A203,'Débit - Abfluss'!$A$4:$Q$275,17,FALSE))</f>
        <v>81-100%</v>
      </c>
      <c r="AZ203" s="749" t="str">
        <f>IF(VLOOKUP(A203,'Eclusée - Schwall-Sunk'!$A$2:$F$273,5,FALSE)="","",VLOOKUP(A203,'Eclusée - Schwall-Sunk'!$A$2:$F$273,5,FALSE))</f>
        <v>autre prélèvement</v>
      </c>
      <c r="BA203" s="750" t="str">
        <f>IF(VLOOKUP(A203,'Eclusée - Schwall-Sunk'!$A$2:$F$273,6,FALSE)="","",VLOOKUP(A203,'Eclusée - Schwall-Sunk'!$A$2:$F$273,6,FALSE))</f>
        <v>Non affecté / nicht betroffen</v>
      </c>
      <c r="BB203" s="751">
        <f>IF(VLOOKUP(A203,'Revitalisation-Revitalisierung'!$A$4:$Z$275,5,FALSE)="","",VLOOKUP(A203,'Revitalisation-Revitalisierung'!$A$4:$Z$275,5,FALSE))</f>
        <v>1.8272727272727263</v>
      </c>
      <c r="BC203" s="752">
        <f>IF(VLOOKUP(A203,'Revitalisation-Revitalisierung'!$A$4:$Z$275,6,FALSE)="","",VLOOKUP(A203,'Revitalisation-Revitalisierung'!$A$4:$Z$275,6,FALSE))</f>
        <v>14.147848864901247</v>
      </c>
      <c r="BD203" s="752">
        <f>IF(VLOOKUP(A203,'Revitalisation-Revitalisierung'!$A$4:$Z$275,7,FALSE)="","",VLOOKUP(A203,'Revitalisation-Revitalisierung'!$A$4:$Z$275,7,FALSE))</f>
        <v>12.272727272727273</v>
      </c>
      <c r="BE203" s="753" t="str">
        <f>IF(VLOOKUP(A203,'Revitalisation-Revitalisierung'!$A$4:$Z$275,8,FALSE)="","",VLOOKUP(A203,'Revitalisation-Revitalisierung'!$A$4:$Z$275,8,FALSE))</f>
        <v>peu nécessaire, facile</v>
      </c>
      <c r="BF203" s="754" t="str">
        <f>IF(VLOOKUP(A203,'Revitalisation-Revitalisierung'!$A$4:$Z$275,9,FALSE)="","",VLOOKUP(A203,'Revitalisation-Revitalisierung'!$A$4:$Z$275,9,FALSE))</f>
        <v>nicht nötig</v>
      </c>
      <c r="BG203" s="754" t="str">
        <f>IF(VLOOKUP(A203,'Revitalisation-Revitalisierung'!$A$4:$Z$275,10,FALSE)="","",VLOOKUP(A203,'Revitalisation-Revitalisierung'!$A$4:$Z$275,10,FALSE))</f>
        <v>K2</v>
      </c>
      <c r="BH203" s="755" t="str">
        <f>IF(VLOOKUP(A203,'Revitalisation-Revitalisierung'!$A$4:$Z$275,11,FALSE)="","",VLOOKUP(A203,'Revitalisation-Revitalisierung'!$A$4:$Z$275,11,FALSE))</f>
        <v/>
      </c>
      <c r="BI203" s="756" t="str">
        <f>IF(VLOOKUP(A203,'Revitalisation-Revitalisierung'!$A$4:$Z$275,12,FALSE)="","",VLOOKUP(A203,'Revitalisation-Revitalisierung'!$A$4:$Z$275,12,FALSE))</f>
        <v/>
      </c>
      <c r="BJ203" s="788" t="str">
        <f>IF(VLOOKUP(A203,'Revitalisation-Revitalisierung'!$A$4:$Z$275,13,FALSE)="","",VLOOKUP(A203,'Revitalisation-Revitalisierung'!$A$4:$Z$275,13,FALSE))</f>
        <v>Non nécessaire / nicht nötig</v>
      </c>
      <c r="BK203" s="870" t="str">
        <f>IF(VLOOKUP(A203,'Revitalisation-Revitalisierung'!$A$4:$Z$275,14,FALSE)="","",VLOOKUP(A203,'Revitalisation-Revitalisierung'!$A$4:$Z$275,14,FALSE))</f>
        <v>b</v>
      </c>
      <c r="BL203" s="758" t="str">
        <f>IF(VLOOKUP(A203,'Revitalisation-Revitalisierung'!$A$4:$Z$275,15,FALSE)="","",VLOOKUP(A203,'Revitalisation-Revitalisierung'!$A$4:$Z$275,15,FALSE))</f>
        <v xml:space="preserve">mittel </v>
      </c>
      <c r="BM203" s="759" t="str">
        <f>IF(VLOOKUP(A203,'Revitalisation-Revitalisierung'!$A$4:$Z$275,16,FALSE)="","",VLOOKUP(A203,'Revitalisation-Revitalisierung'!$A$4:$Z$275,16,FALSE))</f>
        <v>gering</v>
      </c>
      <c r="BN203" s="759" t="str">
        <f>IF(VLOOKUP(A203,'Revitalisation-Revitalisierung'!$A$4:$Z$275,17,FALSE)="","",VLOOKUP(A203,'Revitalisation-Revitalisierung'!$A$4:$Z$275,17,FALSE))</f>
        <v>-</v>
      </c>
      <c r="BO203" s="760" t="str">
        <f>IF(VLOOKUP(A203,'Revitalisation-Revitalisierung'!$A$4:$Z$275,18,FALSE)="","",VLOOKUP(A203,'Revitalisation-Revitalisierung'!$A$4:$Z$275,18,FALSE))</f>
        <v>Non nécessaire / nicht nötig</v>
      </c>
      <c r="BP203" s="761" t="str">
        <f>IF(VLOOKUP(A203,'Revitalisation-Revitalisierung'!$A$4:$Z$275,19,FALSE)="","",VLOOKUP(A203,'Revitalisation-Revitalisierung'!$A$4:$Z$275,19,FALSE))</f>
        <v>Non nécessaire / nicht nötig</v>
      </c>
      <c r="BQ203" s="759" t="str">
        <f>IF(VLOOKUP(A203,'Revitalisation-Revitalisierung'!$A$4:$Z$275,20,FALSE)="","",VLOOKUP(A203,'Revitalisation-Revitalisierung'!$A$4:$Z$275,20,FALSE))</f>
        <v>d</v>
      </c>
      <c r="BR203" s="759" t="str">
        <f>IF(VLOOKUP(A203,'Revitalisation-Revitalisierung'!$A$4:$Z$275,21,FALSE)="","",VLOOKUP(A203,'Revitalisation-Revitalisierung'!$A$4:$Z$275,21,FALSE))</f>
        <v/>
      </c>
      <c r="BS203" s="762" t="str">
        <f>IF(VLOOKUP(A203,'Revitalisation-Revitalisierung'!$A$4:$Z$275,22,FALSE)="","",VLOOKUP(A203,'Revitalisation-Revitalisierung'!$A$4:$Z$275,22,FALSE))</f>
        <v/>
      </c>
      <c r="BT203" s="703" t="str">
        <f>IF(VLOOKUP(A203,'Revitalisation-Revitalisierung'!$A$4:$Z$275,23,FALSE)="","",VLOOKUP(A203,'Revitalisation-Revitalisierung'!$A$4:$Z$275,23,FALSE))</f>
        <v/>
      </c>
      <c r="BU203" s="704" t="str">
        <f>IF(VLOOKUP(A203,'Revitalisation-Revitalisierung'!$A$4:$Z$275,24,FALSE)="","",VLOOKUP(A203,'Revitalisation-Revitalisierung'!$A$4:$Z$275,24,FALSE))</f>
        <v>nicht nötig</v>
      </c>
      <c r="BV203" s="761" t="str">
        <f>IF(VLOOKUP(A203,'Revitalisation-Revitalisierung'!$A$4:$Z$275,25,FALSE)="","",VLOOKUP(A203,'Revitalisation-Revitalisierung'!$A$4:$Z$275,25,FALSE))</f>
        <v>Non nécessaire / nicht nötig</v>
      </c>
      <c r="BW203" s="871" t="str">
        <f>IF(VLOOKUP(A203,'Revitalisation-Revitalisierung'!$A$4:$AA$275,27,FALSE)="","",VLOOKUP(A203,'Revitalisation-Revitalisierung'!$A$4:$AA$275,27,FALSE))</f>
        <v>a</v>
      </c>
    </row>
    <row r="204" spans="1:75" ht="78.599999999999994" customHeight="1" x14ac:dyDescent="0.25">
      <c r="A204" s="936">
        <v>326.10000000000002</v>
      </c>
      <c r="B204" s="856">
        <f>IF(VLOOKUP(A204,'Données de base - Grunddaten'!$A$2:$M$297,2,FALSE)="","",VLOOKUP(A204,'Données de base - Grunddaten'!$A$2:$M$297,2,FALSE))</f>
        <v>1</v>
      </c>
      <c r="C204" s="857" t="str">
        <f>IF(VLOOKUP(A204,'Données de base - Grunddaten'!$A$2:$M$297,3,FALSE)="","",VLOOKUP(A204,'Données de base - Grunddaten'!$A$2:$M$297,3,FALSE))</f>
        <v>Tschingel</v>
      </c>
      <c r="D204" s="857" t="str">
        <f>IF(VLOOKUP(A204,'Données de base - Grunddaten'!$A$2:$M$297,4,FALSE)="","",VLOOKUP(A204,'Données de base - Grunddaten'!$A$2:$M$297,4,FALSE))</f>
        <v>Gamchibach, Gornerewasser, Tschingelsee</v>
      </c>
      <c r="E204" s="857" t="str">
        <f>IF(VLOOKUP(A204,'Données de base - Grunddaten'!$A$2:$M$297,5,FALSE)="","",VLOOKUP(A204,'Données de base - Grunddaten'!$A$2:$M$297,5,FALSE))</f>
        <v>BE</v>
      </c>
      <c r="F204" s="857" t="str">
        <f>IF(VLOOKUP(A204,'Données de base - Grunddaten'!$A$2:$M$297,6,FALSE)="","",VLOOKUP(A204,'Données de base - Grunddaten'!$A$2:$M$297,6,FALSE))</f>
        <v>Alpes septentrionales</v>
      </c>
      <c r="G204" s="857" t="str">
        <f>IF(VLOOKUP(A204,'Données de base - Grunddaten'!$A$2:$M$297,7,FALSE)="","",VLOOKUP(A204,'Données de base - Grunddaten'!$A$2:$M$297,7,FALSE))</f>
        <v>Montagnard sup.</v>
      </c>
      <c r="H204" s="857">
        <f>IF(VLOOKUP(A204,'Données de base - Grunddaten'!$A$2:$M$297,8,FALSE)="","",VLOOKUP(A204,'Données de base - Grunddaten'!$A$2:$M$297,8,FALSE))</f>
        <v>1150</v>
      </c>
      <c r="I204" s="857">
        <f>IF(VLOOKUP(A204,'Données de base - Grunddaten'!$A$2:$M$297,9,FALSE)="","",VLOOKUP(A204,'Données de base - Grunddaten'!$A$2:$M$297,9,FALSE))</f>
        <v>2003</v>
      </c>
      <c r="J204" s="857">
        <f>IF(VLOOKUP(A204,'Données de base - Grunddaten'!$A$2:$M$297,10,FALSE)="","",VLOOKUP(A204,'Données de base - Grunddaten'!$A$2:$M$297,10,FALSE))</f>
        <v>90</v>
      </c>
      <c r="K204" s="857" t="str">
        <f>IF(VLOOKUP(A204,'Données de base - Grunddaten'!$A$2:$M$297,11,FALSE)="","",VLOOKUP(A204,'Données de base - Grunddaten'!$A$2:$M$297,11,FALSE))</f>
        <v>Delta</v>
      </c>
      <c r="L204" s="857" t="str">
        <f>IF(VLOOKUP(A204,'Données de base - Grunddaten'!$A$2:$M$297,12,FALSE)="","",VLOOKUP(A204,'Données de base - Grunddaten'!$A$2:$M$297,12,FALSE))</f>
        <v>en tresses</v>
      </c>
      <c r="M204" s="858" t="str">
        <f>IF(VLOOKUP(A204,'Données de base - Grunddaten'!$A$2:$M$297,13,FALSE)="","",VLOOKUP(A204,'Données de base - Grunddaten'!$A$2:$M$297,13,FALSE))</f>
        <v>en tresses</v>
      </c>
      <c r="N204" s="872" t="str">
        <f>IF(VLOOKUP(A204,'Charriage - Geschiebehaushalt'!$A$4:$R$275,5,FALSE)="","",VLOOKUP(A204,'Charriage - Geschiebehaushalt'!$A$4:$R$275,5,FALSE))</f>
        <v>pertinent</v>
      </c>
      <c r="O204" s="881" t="str">
        <f>IF(VLOOKUP(A204,'Charriage - Geschiebehaushalt'!$A$4:$R$275,6,FALSE)="","",VLOOKUP(A204,'Charriage - Geschiebehaushalt'!$A$4:$R$275,6,FALSE))</f>
        <v>non documenté</v>
      </c>
      <c r="P204" s="874" t="str">
        <f>IF(VLOOKUP(A204,'Charriage - Geschiebehaushalt'!$A$4:$R$275,7,FALSE)="","",VLOOKUP(A204,'Charriage - Geschiebehaushalt'!$A$4:$R$275,7,FALSE))</f>
        <v/>
      </c>
      <c r="Q204" s="874" t="str">
        <f>IF(VLOOKUP(A204,'Charriage - Geschiebehaushalt'!$A$4:$R$275,8,FALSE)="","",VLOOKUP(A204,'Charriage - Geschiebehaushalt'!$A$4:$R$275,8,FALSE))</f>
        <v>non documenté</v>
      </c>
      <c r="R204" s="875">
        <f>IF(VLOOKUP(A204,'Charriage - Geschiebehaushalt'!$A$4:$R$275,9,FALSE)="","",VLOOKUP(A204,'Charriage - Geschiebehaushalt'!$A$4:$R$275,9,FALSE))</f>
        <v>3.2200286123979002E-2</v>
      </c>
      <c r="S204" s="876" t="str">
        <f>IF(VLOOKUP(A204,'Charriage - Geschiebehaushalt'!$A$4:$R$275,10,FALSE)="","",VLOOKUP(A204,'Charriage - Geschiebehaushalt'!$A$4:$R$275,10,FALSE))</f>
        <v>pas ou faiblement entravé</v>
      </c>
      <c r="T204" s="875">
        <f>IF(VLOOKUP(A204,'Charriage - Geschiebehaushalt'!$A$4:$R$275,11,FALSE)="","",VLOOKUP(A204,'Charriage - Geschiebehaushalt'!$A$4:$R$275,11,FALSE))</f>
        <v>0.43304176830000002</v>
      </c>
      <c r="U204" s="895" t="str">
        <f>IF(VLOOKUP(A204,'Charriage - Geschiebehaushalt'!$A$4:$R$275,12,FALSE)="","",VLOOKUP(A204,'Charriage - Geschiebehaushalt'!$A$4:$R$275,12,FALSE))</f>
        <v>déficit non apparent en charriage ou en remobilisation des sédiments</v>
      </c>
      <c r="V204" s="878" t="str">
        <f>IF(VLOOKUP(A204,'Charriage - Geschiebehaushalt'!$A$4:$R$275,13,FALSE)="","",VLOOKUP(A204,'Charriage - Geschiebehaushalt'!$A$4:$R$275,13,FALSE))</f>
        <v/>
      </c>
      <c r="W204" s="878" t="str">
        <f>IF(VLOOKUP(A204,'Charriage - Geschiebehaushalt'!$A$4:$R$275,14,FALSE)="","",VLOOKUP(A204,'Charriage - Geschiebehaushalt'!$A$4:$R$275,14,FALSE))</f>
        <v/>
      </c>
      <c r="X204" s="878" t="str">
        <f>IF(VLOOKUP(A204,'Charriage - Geschiebehaushalt'!$A$4:$R$275,15,FALSE)="","",VLOOKUP(A204,'Charriage - Geschiebehaushalt'!$A$4:$R$275,15,FALSE))</f>
        <v/>
      </c>
      <c r="Y204" s="882" t="str">
        <f>IF(VLOOKUP(A204,'Charriage - Geschiebehaushalt'!$A$4:$R$275,16,FALSE)="","",VLOOKUP(A204,'Charriage - Geschiebehaushalt'!$A$4:$R$275,16,FALSE))</f>
        <v/>
      </c>
      <c r="Z204" s="763" t="str">
        <f>IF(VLOOKUP(A204,'Charriage - Geschiebehaushalt'!$A$4:$R$275,17,FALSE)="","",VLOOKUP(A204,'Charriage - Geschiebehaushalt'!$A$4:$R$275,17,FALSE))</f>
        <v>Charriage présumé naturel / Geschiebehaushalt vermutlich natürlich</v>
      </c>
      <c r="AA204" s="880" t="str">
        <f>IF(VLOOKUP(A204,'Charriage - Geschiebehaushalt'!$A$4:$R$275,18,FALSE)="","",VLOOKUP(A204,'Charriage - Geschiebehaushalt'!$A$4:$R$275,18,FALSE))</f>
        <v>b</v>
      </c>
      <c r="AB204" s="737" t="str">
        <f>IF(VLOOKUP(A204,'Charriage - Geschiebehaushalt'!$A$4:$AC$275,19,FALSE)="","",VLOOKUP(A204,'Charriage - Geschiebehaushalt'!$A$4:$AC$275,19,FALSE))</f>
        <v>-</v>
      </c>
      <c r="AC204" s="738" t="str">
        <f>IF(VLOOKUP(A204,'Charriage - Geschiebehaushalt'!$A$4:$AC$275,20,FALSE)="","",VLOOKUP(A204,'Charriage - Geschiebehaushalt'!$A$4:$AC$275,20,FALSE))</f>
        <v>-</v>
      </c>
      <c r="AD204" s="764" t="str">
        <f>IF(VLOOKUP(A204,'Charriage - Geschiebehaushalt'!$A$4:$AC$275,21,FALSE)="","",VLOOKUP(A204,'Charriage - Geschiebehaushalt'!$A$4:$AC$275,21,FALSE))</f>
        <v/>
      </c>
      <c r="AE204" s="740" t="str">
        <f>IF(VLOOKUP(A204,'Charriage - Geschiebehaushalt'!$A$4:$AC$275,22,FALSE)="","",VLOOKUP(A204,'Charriage - Geschiebehaushalt'!$A$4:$AC$275,22,FALSE))</f>
        <v>0-20%</v>
      </c>
      <c r="AF204" s="787" t="str">
        <f>IF(VLOOKUP(A204,'Charriage - Geschiebehaushalt'!$A$4:$AC$275,23,FALSE)="","",VLOOKUP(A204,'Charriage - Geschiebehaushalt'!$A$4:$AC$275,23,FALSE))</f>
        <v>b</v>
      </c>
      <c r="AG204" s="765" t="str">
        <f>IF(VLOOKUP(A204,'Charriage - Geschiebehaushalt'!$A$4:$AC$275,24,FALSE)="","",VLOOKUP(A204,'Charriage - Geschiebehaushalt'!$A$4:$AC$275,24,FALSE))</f>
        <v/>
      </c>
      <c r="AH204" s="764" t="str">
        <f>IF(VLOOKUP(A204,'Charriage - Geschiebehaushalt'!$A$4:$AC$275,25,FALSE)="","",VLOOKUP(A204,'Charriage - Geschiebehaushalt'!$A$4:$AC$275,25,FALSE))</f>
        <v/>
      </c>
      <c r="AI204" s="433" t="str">
        <f>IF(VLOOKUP(A204,'Charriage - Geschiebehaushalt'!$A$4:$AC$275,26,FALSE)="","",VLOOKUP(A204,'Charriage - Geschiebehaushalt'!$A$4:$AC$275,26,FALSE))</f>
        <v/>
      </c>
      <c r="AJ204" s="434" t="str">
        <f>IF(VLOOKUP(A204,'Charriage - Geschiebehaushalt'!$A$4:$AC$275,27,FALSE)="","",VLOOKUP(A204,'Charriage - Geschiebehaushalt'!$A$4:$AC$275,27,FALSE))</f>
        <v/>
      </c>
      <c r="AK204" s="801" t="str">
        <f>IF(VLOOKUP(A204,'Charriage - Geschiebehaushalt'!$A$4:$AC$275,28,FALSE)="","",VLOOKUP(A204,'Charriage - Geschiebehaushalt'!$A$4:$AC$275,28,FALSE))</f>
        <v>0-20%</v>
      </c>
      <c r="AL204" s="1285" t="str">
        <f>IF(VLOOKUP(A204,'Charriage - Geschiebehaushalt'!$A$4:$AD$275,30,FALSE)="","",VLOOKUP(A204,'Charriage - Geschiebehaushalt'!$A$4:$AD$275,30,FALSE))</f>
        <v>b</v>
      </c>
      <c r="AM204" s="1279" t="str">
        <f>IF(VLOOKUP(A204,'Débit - Abfluss'!$A$4:$K$275,5,FALSE)="","",VLOOKUP(A204,'Débit - Abfluss'!$A$4:$M$275,5,FALSE))</f>
        <v>100%</v>
      </c>
      <c r="AN204" s="868" t="str">
        <f>IF(VLOOKUP(A204,'Débit - Abfluss'!$A$4:$K$275,6,FALSE)="","",VLOOKUP(A204,'Débit - Abfluss'!$A$4:$M$275,6,FALSE))</f>
        <v>aucune information supplémentaire</v>
      </c>
      <c r="AO204" s="906" t="str">
        <f>IF(VLOOKUP(A204,'Débit - Abfluss'!$A$4:$K$275,7,FALSE)="","",VLOOKUP(A204,'Débit - Abfluss'!$A$4:$M$275,7,FALSE))</f>
        <v/>
      </c>
      <c r="AP204" s="766" t="str">
        <f>IF(VLOOKUP(A204,'Débit - Abfluss'!$A$4:$K$275,8,FALSE)="","",VLOOKUP(A204,'Débit - Abfluss'!$A$4:$M$275,8,FALSE))</f>
        <v>100%</v>
      </c>
      <c r="AQ204" s="742" t="str">
        <f>IF(VLOOKUP(A204,'Débit - Abfluss'!$A$4:$K$275,9,FALSE)="","",VLOOKUP(A204,'Débit - Abfluss'!$A$4:$M$275,9,FALSE))</f>
        <v>-</v>
      </c>
      <c r="AR204" s="767" t="str">
        <f>IF(VLOOKUP(A204,'Débit - Abfluss'!$A$4:$K$275,10,FALSE)="","",VLOOKUP(A204,'Débit - Abfluss'!$A$4:$M$275,10,FALSE))</f>
        <v>100%</v>
      </c>
      <c r="AS204" s="767" t="str">
        <f>IF(VLOOKUP(A204,'Débit - Abfluss'!$A$4:$K$275,11,FALSE)="","",VLOOKUP(A204,'Débit - Abfluss'!$A$4:$M$275,11,FALSE))</f>
        <v/>
      </c>
      <c r="AT204" s="744" t="str">
        <f>IF(VLOOKUP(A204,'Débit - Abfluss'!$A$4:$Q$275,12,FALSE)="","",VLOOKUP(A204,'Débit - Abfluss'!$A$4:$Q$275,12,FALSE))</f>
        <v/>
      </c>
      <c r="AU204" s="745" t="str">
        <f>IF(VLOOKUP(A204,'Débit - Abfluss'!$A$4:$Q$275,13,FALSE)="","",VLOOKUP(A204,'Débit - Abfluss'!$A$4:$Q$275,13,FALSE))</f>
        <v/>
      </c>
      <c r="AV204" s="746" t="str">
        <f>IF(VLOOKUP(A204,'Débit - Abfluss'!$A$4:$Q$275,14,FALSE)="","",VLOOKUP(A204,'Débit - Abfluss'!$A$4:$Q$275,14,FALSE))</f>
        <v/>
      </c>
      <c r="AW204" s="768" t="str">
        <f>IF(VLOOKUP(A204,'Débit - Abfluss'!$A$4:$Q$275,15,FALSE)="","",VLOOKUP(A204,'Débit - Abfluss'!$A$4:$Q$275,15,FALSE))</f>
        <v/>
      </c>
      <c r="AX204" s="677" t="str">
        <f>IF(VLOOKUP(A204,'Débit - Abfluss'!$A$4:$Q$275,16,FALSE)="","",VLOOKUP(A204,'Débit - Abfluss'!$A$4:$Q$275,16,FALSE))</f>
        <v/>
      </c>
      <c r="AY204" s="769" t="str">
        <f>IF(VLOOKUP(A204,'Débit - Abfluss'!$A$4:$Q$275,17,FALSE)="","",VLOOKUP(A204,'Débit - Abfluss'!$A$4:$Q$275,17,FALSE))</f>
        <v>100%</v>
      </c>
      <c r="AZ204" s="749" t="str">
        <f>IF(VLOOKUP(A204,'Eclusée - Schwall-Sunk'!$A$2:$F$273,5,FALSE)="","",VLOOKUP(A204,'Eclusée - Schwall-Sunk'!$A$2:$F$273,5,FALSE))</f>
        <v/>
      </c>
      <c r="BA204" s="750" t="str">
        <f>IF(VLOOKUP(A204,'Eclusée - Schwall-Sunk'!$A$2:$F$273,6,FALSE)="","",VLOOKUP(A204,'Eclusée - Schwall-Sunk'!$A$2:$F$273,6,FALSE))</f>
        <v>Non affecté / nicht betroffen</v>
      </c>
      <c r="BB204" s="751" t="str">
        <f>IF(VLOOKUP(A204,'Revitalisation-Revitalisierung'!$A$4:$Z$275,5,FALSE)="","",VLOOKUP(A204,'Revitalisation-Revitalisierung'!$A$4:$Z$275,5,FALSE))</f>
        <v/>
      </c>
      <c r="BC204" s="752" t="str">
        <f>IF(VLOOKUP(A204,'Revitalisation-Revitalisierung'!$A$4:$Z$275,6,FALSE)="","",VLOOKUP(A204,'Revitalisation-Revitalisierung'!$A$4:$Z$275,6,FALSE))</f>
        <v/>
      </c>
      <c r="BD204" s="752" t="str">
        <f>IF(VLOOKUP(A204,'Revitalisation-Revitalisierung'!$A$4:$Z$275,7,FALSE)="","",VLOOKUP(A204,'Revitalisation-Revitalisierung'!$A$4:$Z$275,7,FALSE))</f>
        <v/>
      </c>
      <c r="BE204" s="753" t="str">
        <f>IF(VLOOKUP(A204,'Revitalisation-Revitalisierung'!$A$4:$Z$275,8,FALSE)="","",VLOOKUP(A204,'Revitalisation-Revitalisierung'!$A$4:$Z$275,8,FALSE))</f>
        <v>non nécessaire</v>
      </c>
      <c r="BF204" s="754" t="str">
        <f>IF(VLOOKUP(A204,'Revitalisation-Revitalisierung'!$A$4:$Z$275,9,FALSE)="","",VLOOKUP(A204,'Revitalisation-Revitalisierung'!$A$4:$Z$275,9,FALSE))</f>
        <v>nicht nötig</v>
      </c>
      <c r="BG204" s="754" t="str">
        <f>IF(VLOOKUP(A204,'Revitalisation-Revitalisierung'!$A$4:$Z$275,10,FALSE)="","",VLOOKUP(A204,'Revitalisation-Revitalisierung'!$A$4:$Z$275,10,FALSE))</f>
        <v>K2</v>
      </c>
      <c r="BH204" s="755" t="str">
        <f>IF(VLOOKUP(A204,'Revitalisation-Revitalisierung'!$A$4:$Z$275,11,FALSE)="","",VLOOKUP(A204,'Revitalisation-Revitalisierung'!$A$4:$Z$275,11,FALSE))</f>
        <v/>
      </c>
      <c r="BI204" s="756" t="str">
        <f>IF(VLOOKUP(A204,'Revitalisation-Revitalisierung'!$A$4:$Z$275,12,FALSE)="","",VLOOKUP(A204,'Revitalisation-Revitalisierung'!$A$4:$Z$275,12,FALSE))</f>
        <v/>
      </c>
      <c r="BJ204" s="788" t="str">
        <f>IF(VLOOKUP(A204,'Revitalisation-Revitalisierung'!$A$4:$Z$275,13,FALSE)="","",VLOOKUP(A204,'Revitalisation-Revitalisierung'!$A$4:$Z$275,13,FALSE))</f>
        <v>Non nécessaire / nicht nötig</v>
      </c>
      <c r="BK204" s="870" t="str">
        <f>IF(VLOOKUP(A204,'Revitalisation-Revitalisierung'!$A$4:$Z$275,14,FALSE)="","",VLOOKUP(A204,'Revitalisation-Revitalisierung'!$A$4:$Z$275,14,FALSE))</f>
        <v>b</v>
      </c>
      <c r="BL204" s="758" t="str">
        <f>IF(VLOOKUP(A204,'Revitalisation-Revitalisierung'!$A$4:$Z$275,15,FALSE)="","",VLOOKUP(A204,'Revitalisation-Revitalisierung'!$A$4:$Z$275,15,FALSE))</f>
        <v>gross</v>
      </c>
      <c r="BM204" s="759" t="str">
        <f>IF(VLOOKUP(A204,'Revitalisation-Revitalisierung'!$A$4:$Z$275,16,FALSE)="","",VLOOKUP(A204,'Revitalisation-Revitalisierung'!$A$4:$Z$275,16,FALSE))</f>
        <v>gering</v>
      </c>
      <c r="BN204" s="759" t="str">
        <f>IF(VLOOKUP(A204,'Revitalisation-Revitalisierung'!$A$4:$Z$275,17,FALSE)="","",VLOOKUP(A204,'Revitalisation-Revitalisierung'!$A$4:$Z$275,17,FALSE))</f>
        <v>-</v>
      </c>
      <c r="BO204" s="760" t="str">
        <f>IF(VLOOKUP(A204,'Revitalisation-Revitalisierung'!$A$4:$Z$275,18,FALSE)="","",VLOOKUP(A204,'Revitalisation-Revitalisierung'!$A$4:$Z$275,18,FALSE))</f>
        <v/>
      </c>
      <c r="BP204" s="761" t="str">
        <f>IF(VLOOKUP(A204,'Revitalisation-Revitalisierung'!$A$4:$Z$275,19,FALSE)="","",VLOOKUP(A204,'Revitalisation-Revitalisierung'!$A$4:$Z$275,19,FALSE))</f>
        <v>Non nécessaire / nicht nötig</v>
      </c>
      <c r="BQ204" s="759" t="str">
        <f>IF(VLOOKUP(A204,'Revitalisation-Revitalisierung'!$A$4:$Z$275,20,FALSE)="","",VLOOKUP(A204,'Revitalisation-Revitalisierung'!$A$4:$Z$275,20,FALSE))</f>
        <v>b</v>
      </c>
      <c r="BR204" s="759" t="str">
        <f>IF(VLOOKUP(A204,'Revitalisation-Revitalisierung'!$A$4:$Z$275,21,FALSE)="","",VLOOKUP(A204,'Revitalisation-Revitalisierung'!$A$4:$Z$275,21,FALSE))</f>
        <v/>
      </c>
      <c r="BS204" s="762" t="str">
        <f>IF(VLOOKUP(A204,'Revitalisation-Revitalisierung'!$A$4:$Z$275,22,FALSE)="","",VLOOKUP(A204,'Revitalisation-Revitalisierung'!$A$4:$Z$275,22,FALSE))</f>
        <v/>
      </c>
      <c r="BT204" s="703" t="str">
        <f>IF(VLOOKUP(A204,'Revitalisation-Revitalisierung'!$A$4:$Z$275,23,FALSE)="","",VLOOKUP(A204,'Revitalisation-Revitalisierung'!$A$4:$Z$275,23,FALSE))</f>
        <v/>
      </c>
      <c r="BU204" s="704" t="str">
        <f>IF(VLOOKUP(A204,'Revitalisation-Revitalisierung'!$A$4:$Z$275,24,FALSE)="","",VLOOKUP(A204,'Revitalisation-Revitalisierung'!$A$4:$Z$275,24,FALSE))</f>
        <v>Unterteilung? Kein Handlungsbedarf</v>
      </c>
      <c r="BV204" s="761" t="str">
        <f>IF(VLOOKUP(A204,'Revitalisation-Revitalisierung'!$A$4:$Z$275,25,FALSE)="","",VLOOKUP(A204,'Revitalisation-Revitalisierung'!$A$4:$Z$275,25,FALSE))</f>
        <v>Non nécessaire / nicht nötig</v>
      </c>
      <c r="BW204" s="871" t="str">
        <f>IF(VLOOKUP(A204,'Revitalisation-Revitalisierung'!$A$4:$AA$275,27,FALSE)="","",VLOOKUP(A204,'Revitalisation-Revitalisierung'!$A$4:$AA$275,27,FALSE))</f>
        <v>b</v>
      </c>
    </row>
    <row r="205" spans="1:75" ht="70.900000000000006" customHeight="1" x14ac:dyDescent="0.25">
      <c r="A205" s="936">
        <v>326.2</v>
      </c>
      <c r="B205" s="856">
        <f>IF(VLOOKUP(A205,'Données de base - Grunddaten'!$A$2:$M$297,2,FALSE)="","",VLOOKUP(A205,'Données de base - Grunddaten'!$A$2:$M$297,2,FALSE))</f>
        <v>2</v>
      </c>
      <c r="C205" s="857" t="str">
        <f>IF(VLOOKUP(A205,'Données de base - Grunddaten'!$A$2:$M$297,3,FALSE)="","",VLOOKUP(A205,'Données de base - Grunddaten'!$A$2:$M$297,3,FALSE))</f>
        <v>Tschingel</v>
      </c>
      <c r="D205" s="857" t="str">
        <f>IF(VLOOKUP(A205,'Données de base - Grunddaten'!$A$2:$M$297,4,FALSE)="","",VLOOKUP(A205,'Données de base - Grunddaten'!$A$2:$M$297,4,FALSE))</f>
        <v>Gamchibach, Gornerewasser, Tschingelsee</v>
      </c>
      <c r="E205" s="857" t="str">
        <f>IF(VLOOKUP(A205,'Données de base - Grunddaten'!$A$2:$M$297,5,FALSE)="","",VLOOKUP(A205,'Données de base - Grunddaten'!$A$2:$M$297,5,FALSE))</f>
        <v>BE</v>
      </c>
      <c r="F205" s="857" t="str">
        <f>IF(VLOOKUP(A205,'Données de base - Grunddaten'!$A$2:$M$297,6,FALSE)="","",VLOOKUP(A205,'Données de base - Grunddaten'!$A$2:$M$297,6,FALSE))</f>
        <v>Alpes septentrionales</v>
      </c>
      <c r="G205" s="857" t="str">
        <f>IF(VLOOKUP(A205,'Données de base - Grunddaten'!$A$2:$M$297,7,FALSE)="","",VLOOKUP(A205,'Données de base - Grunddaten'!$A$2:$M$297,7,FALSE))</f>
        <v>Montagnard sup.</v>
      </c>
      <c r="H205" s="857">
        <f>IF(VLOOKUP(A205,'Données de base - Grunddaten'!$A$2:$M$297,8,FALSE)="","",VLOOKUP(A205,'Données de base - Grunddaten'!$A$2:$M$297,8,FALSE))</f>
        <v>1150</v>
      </c>
      <c r="I205" s="857">
        <f>IF(VLOOKUP(A205,'Données de base - Grunddaten'!$A$2:$M$297,9,FALSE)="","",VLOOKUP(A205,'Données de base - Grunddaten'!$A$2:$M$297,9,FALSE))</f>
        <v>2003</v>
      </c>
      <c r="J205" s="857">
        <f>IF(VLOOKUP(A205,'Données de base - Grunddaten'!$A$2:$M$297,10,FALSE)="","",VLOOKUP(A205,'Données de base - Grunddaten'!$A$2:$M$297,10,FALSE))</f>
        <v>41</v>
      </c>
      <c r="K205" s="857" t="str">
        <f>IF(VLOOKUP(A205,'Données de base - Grunddaten'!$A$2:$M$297,11,FALSE)="","",VLOOKUP(A205,'Données de base - Grunddaten'!$A$2:$M$297,11,FALSE))</f>
        <v>Cours d'eau naturels de l'étage montagnard</v>
      </c>
      <c r="L205" s="857" t="str">
        <f>IF(VLOOKUP(A205,'Données de base - Grunddaten'!$A$2:$M$297,12,FALSE)="","",VLOOKUP(A205,'Données de base - Grunddaten'!$A$2:$M$297,12,FALSE))</f>
        <v>en méandres migrants</v>
      </c>
      <c r="M205" s="858" t="str">
        <f>IF(VLOOKUP(A205,'Données de base - Grunddaten'!$A$2:$M$297,13,FALSE)="","",VLOOKUP(A205,'Données de base - Grunddaten'!$A$2:$M$297,13,FALSE))</f>
        <v>en méandres migrants</v>
      </c>
      <c r="N205" s="872" t="str">
        <f>IF(VLOOKUP(A205,'Charriage - Geschiebehaushalt'!$A$4:$R$275,5,FALSE)="","",VLOOKUP(A205,'Charriage - Geschiebehaushalt'!$A$4:$R$275,5,FALSE))</f>
        <v>pertinent</v>
      </c>
      <c r="O205" s="881" t="str">
        <f>IF(VLOOKUP(A205,'Charriage - Geschiebehaushalt'!$A$4:$R$275,6,FALSE)="","",VLOOKUP(A205,'Charriage - Geschiebehaushalt'!$A$4:$R$275,6,FALSE))</f>
        <v>non documenté</v>
      </c>
      <c r="P205" s="874" t="str">
        <f>IF(VLOOKUP(A205,'Charriage - Geschiebehaushalt'!$A$4:$R$275,7,FALSE)="","",VLOOKUP(A205,'Charriage - Geschiebehaushalt'!$A$4:$R$275,7,FALSE))</f>
        <v/>
      </c>
      <c r="Q205" s="874" t="str">
        <f>IF(VLOOKUP(A205,'Charriage - Geschiebehaushalt'!$A$4:$R$275,8,FALSE)="","",VLOOKUP(A205,'Charriage - Geschiebehaushalt'!$A$4:$R$275,8,FALSE))</f>
        <v>non documenté</v>
      </c>
      <c r="R205" s="875">
        <f>IF(VLOOKUP(A205,'Charriage - Geschiebehaushalt'!$A$4:$R$275,9,FALSE)="","",VLOOKUP(A205,'Charriage - Geschiebehaushalt'!$A$4:$R$275,9,FALSE))</f>
        <v>0.361607835756871</v>
      </c>
      <c r="S205" s="895" t="str">
        <f>IF(VLOOKUP(A205,'Charriage - Geschiebehaushalt'!$A$4:$R$275,10,FALSE)="","",VLOOKUP(A205,'Charriage - Geschiebehaushalt'!$A$4:$R$275,10,FALSE))</f>
        <v>la remobilisation des sédiments est perturbée</v>
      </c>
      <c r="T205" s="893">
        <f>IF(VLOOKUP(A205,'Charriage - Geschiebehaushalt'!$A$4:$R$275,11,FALSE)="","",VLOOKUP(A205,'Charriage - Geschiebehaushalt'!$A$4:$R$275,11,FALSE))</f>
        <v>0.18638577363</v>
      </c>
      <c r="U205" s="907" t="str">
        <f>IF(VLOOKUP(A205,'Charriage - Geschiebehaushalt'!$A$4:$R$275,12,FALSE)="","",VLOOKUP(A205,'Charriage - Geschiebehaushalt'!$A$4:$R$275,12,FALSE))</f>
        <v>déficit dans les formations pionnières</v>
      </c>
      <c r="V205" s="877" t="str">
        <f>IF(VLOOKUP(A205,'Charriage - Geschiebehaushalt'!$A$4:$R$275,13,FALSE)="","",VLOOKUP(A205,'Charriage - Geschiebehaushalt'!$A$4:$R$275,13,FALSE))</f>
        <v/>
      </c>
      <c r="W205" s="877" t="str">
        <f>IF(VLOOKUP(A205,'Charriage - Geschiebehaushalt'!$A$4:$R$275,14,FALSE)="","",VLOOKUP(A205,'Charriage - Geschiebehaushalt'!$A$4:$R$275,14,FALSE))</f>
        <v/>
      </c>
      <c r="X205" s="877" t="str">
        <f>IF(VLOOKUP(A205,'Charriage - Geschiebehaushalt'!$A$4:$R$275,15,FALSE)="","",VLOOKUP(A205,'Charriage - Geschiebehaushalt'!$A$4:$R$275,15,FALSE))</f>
        <v/>
      </c>
      <c r="Y205" s="879" t="str">
        <f>IF(VLOOKUP(A205,'Charriage - Geschiebehaushalt'!$A$4:$R$275,16,FALSE)="","",VLOOKUP(A205,'Charriage - Geschiebehaushalt'!$A$4:$R$275,16,FALSE))</f>
        <v/>
      </c>
      <c r="Z205" s="763" t="str">
        <f>IF(VLOOKUP(A205,'Charriage - Geschiebehaushalt'!$A$4:$R$275,17,FALSE)="","",VLOOKUP(A205,'Charriage - Geschiebehaushalt'!$A$4:$R$275,17,FALSE))</f>
        <v>Charriage présumé naturel / Geschiebehaushalt vermutlich natürlich</v>
      </c>
      <c r="AA205" s="880" t="str">
        <f>IF(VLOOKUP(A205,'Charriage - Geschiebehaushalt'!$A$4:$R$275,18,FALSE)="","",VLOOKUP(A205,'Charriage - Geschiebehaushalt'!$A$4:$R$275,18,FALSE))</f>
        <v>b</v>
      </c>
      <c r="AB205" s="737">
        <f>IF(VLOOKUP(A205,'Charriage - Geschiebehaushalt'!$A$4:$AC$275,19,FALSE)="","",VLOOKUP(A205,'Charriage - Geschiebehaushalt'!$A$4:$AC$275,19,FALSE))</f>
        <v>0</v>
      </c>
      <c r="AC205" s="738">
        <f>IF(VLOOKUP(A205,'Charriage - Geschiebehaushalt'!$A$4:$AC$275,20,FALSE)="","",VLOOKUP(A205,'Charriage - Geschiebehaushalt'!$A$4:$AC$275,20,FALSE))</f>
        <v>0</v>
      </c>
      <c r="AD205" s="764" t="str">
        <f>IF(VLOOKUP(A205,'Charriage - Geschiebehaushalt'!$A$4:$AC$275,21,FALSE)="","",VLOOKUP(A205,'Charriage - Geschiebehaushalt'!$A$4:$AC$275,21,FALSE))</f>
        <v/>
      </c>
      <c r="AE205" s="740" t="str">
        <f>IF(VLOOKUP(A205,'Charriage - Geschiebehaushalt'!$A$4:$AC$275,22,FALSE)="","",VLOOKUP(A205,'Charriage - Geschiebehaushalt'!$A$4:$AC$275,22,FALSE))</f>
        <v>0-20%</v>
      </c>
      <c r="AF205" s="787" t="str">
        <f>IF(VLOOKUP(A205,'Charriage - Geschiebehaushalt'!$A$4:$AC$275,23,FALSE)="","",VLOOKUP(A205,'Charriage - Geschiebehaushalt'!$A$4:$AC$275,23,FALSE))</f>
        <v>b</v>
      </c>
      <c r="AG205" s="765" t="str">
        <f>IF(VLOOKUP(A205,'Charriage - Geschiebehaushalt'!$A$4:$AC$275,24,FALSE)="","",VLOOKUP(A205,'Charriage - Geschiebehaushalt'!$A$4:$AC$275,24,FALSE))</f>
        <v/>
      </c>
      <c r="AH205" s="764" t="str">
        <f>IF(VLOOKUP(A205,'Charriage - Geschiebehaushalt'!$A$4:$AC$275,25,FALSE)="","",VLOOKUP(A205,'Charriage - Geschiebehaushalt'!$A$4:$AC$275,25,FALSE))</f>
        <v/>
      </c>
      <c r="AI205" s="433" t="str">
        <f>IF(VLOOKUP(A205,'Charriage - Geschiebehaushalt'!$A$4:$AC$275,26,FALSE)="","",VLOOKUP(A205,'Charriage - Geschiebehaushalt'!$A$4:$AC$275,26,FALSE))</f>
        <v/>
      </c>
      <c r="AJ205" s="434" t="str">
        <f>IF(VLOOKUP(A205,'Charriage - Geschiebehaushalt'!$A$4:$AC$275,27,FALSE)="","",VLOOKUP(A205,'Charriage - Geschiebehaushalt'!$A$4:$AC$275,27,FALSE))</f>
        <v/>
      </c>
      <c r="AK205" s="801" t="str">
        <f>IF(VLOOKUP(A205,'Charriage - Geschiebehaushalt'!$A$4:$AC$275,28,FALSE)="","",VLOOKUP(A205,'Charriage - Geschiebehaushalt'!$A$4:$AC$275,28,FALSE))</f>
        <v>0-20%</v>
      </c>
      <c r="AL205" s="1285" t="str">
        <f>IF(VLOOKUP(A205,'Charriage - Geschiebehaushalt'!$A$4:$AD$275,30,FALSE)="","",VLOOKUP(A205,'Charriage - Geschiebehaushalt'!$A$4:$AD$275,30,FALSE))</f>
        <v>b</v>
      </c>
      <c r="AM205" s="1279" t="str">
        <f>IF(VLOOKUP(A205,'Débit - Abfluss'!$A$4:$K$275,5,FALSE)="","",VLOOKUP(A205,'Débit - Abfluss'!$A$4:$M$275,5,FALSE))</f>
        <v>100%</v>
      </c>
      <c r="AN205" s="868" t="str">
        <f>IF(VLOOKUP(A205,'Débit - Abfluss'!$A$4:$K$275,6,FALSE)="","",VLOOKUP(A205,'Débit - Abfluss'!$A$4:$M$275,6,FALSE))</f>
        <v>aucune information supplémentaire</v>
      </c>
      <c r="AO205" s="869" t="str">
        <f>IF(VLOOKUP(A205,'Débit - Abfluss'!$A$4:$K$275,7,FALSE)="","",VLOOKUP(A205,'Débit - Abfluss'!$A$4:$M$275,7,FALSE))</f>
        <v>aucune information supplémentaire</v>
      </c>
      <c r="AP205" s="766" t="str">
        <f>IF(VLOOKUP(A205,'Débit - Abfluss'!$A$4:$K$275,8,FALSE)="","",VLOOKUP(A205,'Débit - Abfluss'!$A$4:$M$275,8,FALSE))</f>
        <v>100%</v>
      </c>
      <c r="AQ205" s="742" t="str">
        <f>IF(VLOOKUP(A205,'Débit - Abfluss'!$A$4:$K$275,9,FALSE)="","",VLOOKUP(A205,'Débit - Abfluss'!$A$4:$M$275,9,FALSE))</f>
        <v>-</v>
      </c>
      <c r="AR205" s="767" t="str">
        <f>IF(VLOOKUP(A205,'Débit - Abfluss'!$A$4:$K$275,10,FALSE)="","",VLOOKUP(A205,'Débit - Abfluss'!$A$4:$M$275,10,FALSE))</f>
        <v>100%</v>
      </c>
      <c r="AS205" s="767" t="str">
        <f>IF(VLOOKUP(A205,'Débit - Abfluss'!$A$4:$K$275,11,FALSE)="","",VLOOKUP(A205,'Débit - Abfluss'!$A$4:$M$275,11,FALSE))</f>
        <v/>
      </c>
      <c r="AT205" s="744" t="str">
        <f>IF(VLOOKUP(A205,'Débit - Abfluss'!$A$4:$Q$275,12,FALSE)="","",VLOOKUP(A205,'Débit - Abfluss'!$A$4:$Q$275,12,FALSE))</f>
        <v/>
      </c>
      <c r="AU205" s="745" t="str">
        <f>IF(VLOOKUP(A205,'Débit - Abfluss'!$A$4:$Q$275,13,FALSE)="","",VLOOKUP(A205,'Débit - Abfluss'!$A$4:$Q$275,13,FALSE))</f>
        <v/>
      </c>
      <c r="AV205" s="746" t="str">
        <f>IF(VLOOKUP(A205,'Débit - Abfluss'!$A$4:$Q$275,14,FALSE)="","",VLOOKUP(A205,'Débit - Abfluss'!$A$4:$Q$275,14,FALSE))</f>
        <v/>
      </c>
      <c r="AW205" s="768" t="str">
        <f>IF(VLOOKUP(A205,'Débit - Abfluss'!$A$4:$Q$275,15,FALSE)="","",VLOOKUP(A205,'Débit - Abfluss'!$A$4:$Q$275,15,FALSE))</f>
        <v/>
      </c>
      <c r="AX205" s="677" t="str">
        <f>IF(VLOOKUP(A205,'Débit - Abfluss'!$A$4:$Q$275,16,FALSE)="","",VLOOKUP(A205,'Débit - Abfluss'!$A$4:$Q$275,16,FALSE))</f>
        <v/>
      </c>
      <c r="AY205" s="769" t="str">
        <f>IF(VLOOKUP(A205,'Débit - Abfluss'!$A$4:$Q$275,17,FALSE)="","",VLOOKUP(A205,'Débit - Abfluss'!$A$4:$Q$275,17,FALSE))</f>
        <v>100%</v>
      </c>
      <c r="AZ205" s="749" t="str">
        <f>IF(VLOOKUP(A205,'Eclusée - Schwall-Sunk'!$A$2:$F$273,5,FALSE)="","",VLOOKUP(A205,'Eclusée - Schwall-Sunk'!$A$2:$F$273,5,FALSE))</f>
        <v/>
      </c>
      <c r="BA205" s="750" t="str">
        <f>IF(VLOOKUP(A205,'Eclusée - Schwall-Sunk'!$A$2:$F$273,6,FALSE)="","",VLOOKUP(A205,'Eclusée - Schwall-Sunk'!$A$2:$F$273,6,FALSE))</f>
        <v>Non affecté / nicht betroffen</v>
      </c>
      <c r="BB205" s="751">
        <f>IF(VLOOKUP(A205,'Revitalisation-Revitalisierung'!$A$4:$Z$275,5,FALSE)="","",VLOOKUP(A205,'Revitalisation-Revitalisierung'!$A$4:$Z$275,5,FALSE))</f>
        <v>71.981818181818184</v>
      </c>
      <c r="BC205" s="752">
        <f>IF(VLOOKUP(A205,'Revitalisation-Revitalisierung'!$A$4:$Z$275,6,FALSE)="","",VLOOKUP(A205,'Revitalisation-Revitalisierung'!$A$4:$Z$275,6,FALSE))</f>
        <v>0</v>
      </c>
      <c r="BD205" s="752">
        <f>IF(VLOOKUP(A205,'Revitalisation-Revitalisierung'!$A$4:$Z$275,7,FALSE)="","",VLOOKUP(A205,'Revitalisation-Revitalisierung'!$A$4:$Z$275,7,FALSE))</f>
        <v>1.8181818181818181</v>
      </c>
      <c r="BE205" s="753" t="str">
        <f>IF(VLOOKUP(A205,'Revitalisation-Revitalisierung'!$A$4:$Z$275,8,FALSE)="","",VLOOKUP(A205,'Revitalisation-Revitalisierung'!$A$4:$Z$275,8,FALSE))</f>
        <v>non nécessaire</v>
      </c>
      <c r="BF205" s="754" t="str">
        <f>IF(VLOOKUP(A205,'Revitalisation-Revitalisierung'!$A$4:$Z$275,9,FALSE)="","",VLOOKUP(A205,'Revitalisation-Revitalisierung'!$A$4:$Z$275,9,FALSE))</f>
        <v>nicht nötig</v>
      </c>
      <c r="BG205" s="754" t="str">
        <f>IF(VLOOKUP(A205,'Revitalisation-Revitalisierung'!$A$4:$Z$275,10,FALSE)="","",VLOOKUP(A205,'Revitalisation-Revitalisierung'!$A$4:$Z$275,10,FALSE))</f>
        <v>K2</v>
      </c>
      <c r="BH205" s="755" t="str">
        <f>IF(VLOOKUP(A205,'Revitalisation-Revitalisierung'!$A$4:$Z$275,11,FALSE)="","",VLOOKUP(A205,'Revitalisation-Revitalisierung'!$A$4:$Z$275,11,FALSE))</f>
        <v/>
      </c>
      <c r="BI205" s="756" t="str">
        <f>IF(VLOOKUP(A205,'Revitalisation-Revitalisierung'!$A$4:$Z$275,12,FALSE)="","",VLOOKUP(A205,'Revitalisation-Revitalisierung'!$A$4:$Z$275,12,FALSE))</f>
        <v/>
      </c>
      <c r="BJ205" s="788" t="str">
        <f>IF(VLOOKUP(A205,'Revitalisation-Revitalisierung'!$A$4:$Z$275,13,FALSE)="","",VLOOKUP(A205,'Revitalisation-Revitalisierung'!$A$4:$Z$275,13,FALSE))</f>
        <v>Non nécessaire / nicht nötig</v>
      </c>
      <c r="BK205" s="870" t="str">
        <f>IF(VLOOKUP(A205,'Revitalisation-Revitalisierung'!$A$4:$Z$275,14,FALSE)="","",VLOOKUP(A205,'Revitalisation-Revitalisierung'!$A$4:$Z$275,14,FALSE))</f>
        <v>a</v>
      </c>
      <c r="BL205" s="758">
        <f>IF(VLOOKUP(A205,'Revitalisation-Revitalisierung'!$A$4:$Z$275,15,FALSE)="","",VLOOKUP(A205,'Revitalisation-Revitalisierung'!$A$4:$Z$275,15,FALSE))</f>
        <v>0</v>
      </c>
      <c r="BM205" s="759">
        <f>IF(VLOOKUP(A205,'Revitalisation-Revitalisierung'!$A$4:$Z$275,16,FALSE)="","",VLOOKUP(A205,'Revitalisation-Revitalisierung'!$A$4:$Z$275,16,FALSE))</f>
        <v>0</v>
      </c>
      <c r="BN205" s="759">
        <f>IF(VLOOKUP(A205,'Revitalisation-Revitalisierung'!$A$4:$Z$275,17,FALSE)="","",VLOOKUP(A205,'Revitalisation-Revitalisierung'!$A$4:$Z$275,17,FALSE))</f>
        <v>0</v>
      </c>
      <c r="BO205" s="760" t="str">
        <f>IF(VLOOKUP(A205,'Revitalisation-Revitalisierung'!$A$4:$Z$275,18,FALSE)="","",VLOOKUP(A205,'Revitalisation-Revitalisierung'!$A$4:$Z$275,18,FALSE))</f>
        <v>Non nécessaire / nicht nötig</v>
      </c>
      <c r="BP205" s="761" t="str">
        <f>IF(VLOOKUP(A205,'Revitalisation-Revitalisierung'!$A$4:$Z$275,19,FALSE)="","",VLOOKUP(A205,'Revitalisation-Revitalisierung'!$A$4:$Z$275,19,FALSE))</f>
        <v>Non nécessaire / nicht nötig</v>
      </c>
      <c r="BQ205" s="759" t="str">
        <f>IF(VLOOKUP(A205,'Revitalisation-Revitalisierung'!$A$4:$Z$275,20,FALSE)="","",VLOOKUP(A205,'Revitalisation-Revitalisierung'!$A$4:$Z$275,20,FALSE))</f>
        <v>d</v>
      </c>
      <c r="BR205" s="759" t="str">
        <f>IF(VLOOKUP(A205,'Revitalisation-Revitalisierung'!$A$4:$Z$275,21,FALSE)="","",VLOOKUP(A205,'Revitalisation-Revitalisierung'!$A$4:$Z$275,21,FALSE))</f>
        <v/>
      </c>
      <c r="BS205" s="762" t="str">
        <f>IF(VLOOKUP(A205,'Revitalisation-Revitalisierung'!$A$4:$Z$275,22,FALSE)="","",VLOOKUP(A205,'Revitalisation-Revitalisierung'!$A$4:$Z$275,22,FALSE))</f>
        <v/>
      </c>
      <c r="BT205" s="703" t="str">
        <f>IF(VLOOKUP(A205,'Revitalisation-Revitalisierung'!$A$4:$Z$275,23,FALSE)="","",VLOOKUP(A205,'Revitalisation-Revitalisierung'!$A$4:$Z$275,23,FALSE))</f>
        <v/>
      </c>
      <c r="BU205" s="704" t="str">
        <f>IF(VLOOKUP(A205,'Revitalisation-Revitalisierung'!$A$4:$Z$275,24,FALSE)="","",VLOOKUP(A205,'Revitalisation-Revitalisierung'!$A$4:$Z$275,24,FALSE))</f>
        <v>Unterteilung? Kein Handlungsbedarf</v>
      </c>
      <c r="BV205" s="761" t="str">
        <f>IF(VLOOKUP(A205,'Revitalisation-Revitalisierung'!$A$4:$Z$275,25,FALSE)="","",VLOOKUP(A205,'Revitalisation-Revitalisierung'!$A$4:$Z$275,25,FALSE))</f>
        <v>Non nécessaire / nicht nötig</v>
      </c>
      <c r="BW205" s="871" t="str">
        <f>IF(VLOOKUP(A205,'Revitalisation-Revitalisierung'!$A$4:$AA$275,27,FALSE)="","",VLOOKUP(A205,'Revitalisation-Revitalisierung'!$A$4:$AA$275,27,FALSE))</f>
        <v>a</v>
      </c>
    </row>
    <row r="206" spans="1:75" ht="55.15" customHeight="1" x14ac:dyDescent="0.25">
      <c r="A206" s="935">
        <v>327</v>
      </c>
      <c r="B206" s="856">
        <f>IF(VLOOKUP(A206,'Données de base - Grunddaten'!$A$2:$M$297,2,FALSE)="","",VLOOKUP(A206,'Données de base - Grunddaten'!$A$2:$M$297,2,FALSE))</f>
        <v>1</v>
      </c>
      <c r="C206" s="857" t="str">
        <f>IF(VLOOKUP(A206,'Données de base - Grunddaten'!$A$2:$M$297,3,FALSE)="","",VLOOKUP(A206,'Données de base - Grunddaten'!$A$2:$M$297,3,FALSE))</f>
        <v>Ganzenlouwina</v>
      </c>
      <c r="D206" s="857" t="str">
        <f>IF(VLOOKUP(A206,'Données de base - Grunddaten'!$A$2:$M$297,4,FALSE)="","",VLOOKUP(A206,'Données de base - Grunddaten'!$A$2:$M$297,4,FALSE))</f>
        <v>Rychenbach</v>
      </c>
      <c r="E206" s="857" t="str">
        <f>IF(VLOOKUP(A206,'Données de base - Grunddaten'!$A$2:$M$297,5,FALSE)="","",VLOOKUP(A206,'Données de base - Grunddaten'!$A$2:$M$297,5,FALSE))</f>
        <v>BE</v>
      </c>
      <c r="F206" s="857" t="str">
        <f>IF(VLOOKUP(A206,'Données de base - Grunddaten'!$A$2:$M$297,6,FALSE)="","",VLOOKUP(A206,'Données de base - Grunddaten'!$A$2:$M$297,6,FALSE))</f>
        <v>Alpes septentrionales</v>
      </c>
      <c r="G206" s="857" t="str">
        <f>IF(VLOOKUP(A206,'Données de base - Grunddaten'!$A$2:$M$297,7,FALSE)="","",VLOOKUP(A206,'Données de base - Grunddaten'!$A$2:$M$297,7,FALSE))</f>
        <v>Subalpin sup.</v>
      </c>
      <c r="H206" s="857">
        <f>IF(VLOOKUP(A206,'Données de base - Grunddaten'!$A$2:$M$297,8,FALSE)="","",VLOOKUP(A206,'Données de base - Grunddaten'!$A$2:$M$297,8,FALSE))</f>
        <v>1600</v>
      </c>
      <c r="I206" s="857">
        <f>IF(VLOOKUP(A206,'Données de base - Grunddaten'!$A$2:$M$297,9,FALSE)="","",VLOOKUP(A206,'Données de base - Grunddaten'!$A$2:$M$297,9,FALSE))</f>
        <v>2003</v>
      </c>
      <c r="J206" s="857">
        <f>IF(VLOOKUP(A206,'Données de base - Grunddaten'!$A$2:$M$297,10,FALSE)="","",VLOOKUP(A206,'Données de base - Grunddaten'!$A$2:$M$297,10,FALSE))</f>
        <v>31</v>
      </c>
      <c r="K206" s="857" t="str">
        <f>IF(VLOOKUP(A206,'Données de base - Grunddaten'!$A$2:$M$297,11,FALSE)="","",VLOOKUP(A206,'Données de base - Grunddaten'!$A$2:$M$297,11,FALSE))</f>
        <v>Cours d'eau naturels de l'étage subalpin</v>
      </c>
      <c r="L206" s="857" t="str">
        <f>IF(VLOOKUP(A206,'Données de base - Grunddaten'!$A$2:$M$297,12,FALSE)="","",VLOOKUP(A206,'Données de base - Grunddaten'!$A$2:$M$297,12,FALSE))</f>
        <v>cours rectiligne</v>
      </c>
      <c r="M206" s="858" t="str">
        <f>IF(VLOOKUP(A206,'Données de base - Grunddaten'!$A$2:$M$297,13,FALSE)="","",VLOOKUP(A206,'Données de base - Grunddaten'!$A$2:$M$297,13,FALSE))</f>
        <v>cours rectiligne</v>
      </c>
      <c r="N206" s="872" t="str">
        <f>IF(VLOOKUP(A206,'Charriage - Geschiebehaushalt'!$A$4:$R$275,5,FALSE)="","",VLOOKUP(A206,'Charriage - Geschiebehaushalt'!$A$4:$R$275,5,FALSE))</f>
        <v>pertinent</v>
      </c>
      <c r="O206" s="881" t="str">
        <f>IF(VLOOKUP(A206,'Charriage - Geschiebehaushalt'!$A$4:$R$275,6,FALSE)="","",VLOOKUP(A206,'Charriage - Geschiebehaushalt'!$A$4:$R$275,6,FALSE))</f>
        <v>non documenté</v>
      </c>
      <c r="P206" s="874" t="str">
        <f>IF(VLOOKUP(A206,'Charriage - Geschiebehaushalt'!$A$4:$R$275,7,FALSE)="","",VLOOKUP(A206,'Charriage - Geschiebehaushalt'!$A$4:$R$275,7,FALSE))</f>
        <v/>
      </c>
      <c r="Q206" s="874" t="str">
        <f>IF(VLOOKUP(A206,'Charriage - Geschiebehaushalt'!$A$4:$R$275,8,FALSE)="","",VLOOKUP(A206,'Charriage - Geschiebehaushalt'!$A$4:$R$275,8,FALSE))</f>
        <v>non documenté</v>
      </c>
      <c r="R206" s="875">
        <f>IF(VLOOKUP(A206,'Charriage - Geschiebehaushalt'!$A$4:$R$275,9,FALSE)="","",VLOOKUP(A206,'Charriage - Geschiebehaushalt'!$A$4:$R$275,9,FALSE))</f>
        <v>0</v>
      </c>
      <c r="S206" s="876" t="str">
        <f>IF(VLOOKUP(A206,'Charriage - Geschiebehaushalt'!$A$4:$R$275,10,FALSE)="","",VLOOKUP(A206,'Charriage - Geschiebehaushalt'!$A$4:$R$275,10,FALSE))</f>
        <v>pas ou faiblement entravé</v>
      </c>
      <c r="T206" s="875">
        <f>IF(VLOOKUP(A206,'Charriage - Geschiebehaushalt'!$A$4:$R$275,11,FALSE)="","",VLOOKUP(A206,'Charriage - Geschiebehaushalt'!$A$4:$R$275,11,FALSE))</f>
        <v>0.15518483875</v>
      </c>
      <c r="U206" s="876" t="str">
        <f>IF(VLOOKUP(A206,'Charriage - Geschiebehaushalt'!$A$4:$R$275,12,FALSE)="","",VLOOKUP(A206,'Charriage - Geschiebehaushalt'!$A$4:$R$275,12,FALSE))</f>
        <v>déficit dans les formations pionnières</v>
      </c>
      <c r="V206" s="877" t="str">
        <f>IF(VLOOKUP(A206,'Charriage - Geschiebehaushalt'!$A$4:$R$275,13,FALSE)="","",VLOOKUP(A206,'Charriage - Geschiebehaushalt'!$A$4:$R$275,13,FALSE))</f>
        <v>Système de cônes d'alluvions et de cours en tresse semble intact</v>
      </c>
      <c r="W206" s="878" t="str">
        <f>IF(VLOOKUP(A206,'Charriage - Geschiebehaushalt'!$A$4:$R$275,14,FALSE)="","",VLOOKUP(A206,'Charriage - Geschiebehaushalt'!$A$4:$R$275,14,FALSE))</f>
        <v>charriage présumé naturel</v>
      </c>
      <c r="X206" s="878" t="str">
        <f>IF(VLOOKUP(A206,'Charriage - Geschiebehaushalt'!$A$4:$R$275,15,FALSE)="","",VLOOKUP(A206,'Charriage - Geschiebehaushalt'!$A$4:$R$275,15,FALSE))</f>
        <v/>
      </c>
      <c r="Y206" s="882" t="str">
        <f>IF(VLOOKUP(A206,'Charriage - Geschiebehaushalt'!$A$4:$R$275,16,FALSE)="","",VLOOKUP(A206,'Charriage - Geschiebehaushalt'!$A$4:$R$275,16,FALSE))</f>
        <v/>
      </c>
      <c r="Z206" s="763" t="str">
        <f>IF(VLOOKUP(A206,'Charriage - Geschiebehaushalt'!$A$4:$R$275,17,FALSE)="","",VLOOKUP(A206,'Charriage - Geschiebehaushalt'!$A$4:$R$275,17,FALSE))</f>
        <v>Charriage présumé naturel / Geschiebehaushalt vermutlich natürlich</v>
      </c>
      <c r="AA206" s="880" t="str">
        <f>IF(VLOOKUP(A206,'Charriage - Geschiebehaushalt'!$A$4:$R$275,18,FALSE)="","",VLOOKUP(A206,'Charriage - Geschiebehaushalt'!$A$4:$R$275,18,FALSE))</f>
        <v>b</v>
      </c>
      <c r="AB206" s="737" t="str">
        <f>IF(VLOOKUP(A206,'Charriage - Geschiebehaushalt'!$A$4:$AC$275,19,FALSE)="","",VLOOKUP(A206,'Charriage - Geschiebehaushalt'!$A$4:$AC$275,19,FALSE))</f>
        <v>-</v>
      </c>
      <c r="AC206" s="738" t="str">
        <f>IF(VLOOKUP(A206,'Charriage - Geschiebehaushalt'!$A$4:$AC$275,20,FALSE)="","",VLOOKUP(A206,'Charriage - Geschiebehaushalt'!$A$4:$AC$275,20,FALSE))</f>
        <v>-</v>
      </c>
      <c r="AD206" s="764" t="str">
        <f>IF(VLOOKUP(A206,'Charriage - Geschiebehaushalt'!$A$4:$AC$275,21,FALSE)="","",VLOOKUP(A206,'Charriage - Geschiebehaushalt'!$A$4:$AC$275,21,FALSE))</f>
        <v/>
      </c>
      <c r="AE206" s="740" t="str">
        <f>IF(VLOOKUP(A206,'Charriage - Geschiebehaushalt'!$A$4:$AC$275,22,FALSE)="","",VLOOKUP(A206,'Charriage - Geschiebehaushalt'!$A$4:$AC$275,22,FALSE))</f>
        <v>0-20%</v>
      </c>
      <c r="AF206" s="787" t="str">
        <f>IF(VLOOKUP(A206,'Charriage - Geschiebehaushalt'!$A$4:$AC$275,23,FALSE)="","",VLOOKUP(A206,'Charriage - Geschiebehaushalt'!$A$4:$AC$275,23,FALSE))</f>
        <v>b</v>
      </c>
      <c r="AG206" s="765" t="str">
        <f>IF(VLOOKUP(A206,'Charriage - Geschiebehaushalt'!$A$4:$AC$275,24,FALSE)="","",VLOOKUP(A206,'Charriage - Geschiebehaushalt'!$A$4:$AC$275,24,FALSE))</f>
        <v/>
      </c>
      <c r="AH206" s="764" t="str">
        <f>IF(VLOOKUP(A206,'Charriage - Geschiebehaushalt'!$A$4:$AC$275,25,FALSE)="","",VLOOKUP(A206,'Charriage - Geschiebehaushalt'!$A$4:$AC$275,25,FALSE))</f>
        <v/>
      </c>
      <c r="AI206" s="433" t="str">
        <f>IF(VLOOKUP(A206,'Charriage - Geschiebehaushalt'!$A$4:$AC$275,26,FALSE)="","",VLOOKUP(A206,'Charriage - Geschiebehaushalt'!$A$4:$AC$275,26,FALSE))</f>
        <v/>
      </c>
      <c r="AJ206" s="434" t="str">
        <f>IF(VLOOKUP(A206,'Charriage - Geschiebehaushalt'!$A$4:$AC$275,27,FALSE)="","",VLOOKUP(A206,'Charriage - Geschiebehaushalt'!$A$4:$AC$275,27,FALSE))</f>
        <v/>
      </c>
      <c r="AK206" s="801" t="str">
        <f>IF(VLOOKUP(A206,'Charriage - Geschiebehaushalt'!$A$4:$AC$275,28,FALSE)="","",VLOOKUP(A206,'Charriage - Geschiebehaushalt'!$A$4:$AC$275,28,FALSE))</f>
        <v>0-20%</v>
      </c>
      <c r="AL206" s="1285" t="str">
        <f>IF(VLOOKUP(A206,'Charriage - Geschiebehaushalt'!$A$4:$AD$275,30,FALSE)="","",VLOOKUP(A206,'Charriage - Geschiebehaushalt'!$A$4:$AD$275,30,FALSE))</f>
        <v>b</v>
      </c>
      <c r="AM206" s="1279" t="str">
        <f>IF(VLOOKUP(A206,'Débit - Abfluss'!$A$4:$K$275,5,FALSE)="","",VLOOKUP(A206,'Débit - Abfluss'!$A$4:$M$275,5,FALSE))</f>
        <v>100%</v>
      </c>
      <c r="AN206" s="868" t="str">
        <f>IF(VLOOKUP(A206,'Débit - Abfluss'!$A$4:$K$275,6,FALSE)="","",VLOOKUP(A206,'Débit - Abfluss'!$A$4:$M$275,6,FALSE))</f>
        <v>aucune information supplémentaire</v>
      </c>
      <c r="AO206" s="869" t="str">
        <f>IF(VLOOKUP(A206,'Débit - Abfluss'!$A$4:$K$275,7,FALSE)="","",VLOOKUP(A206,'Débit - Abfluss'!$A$4:$M$275,7,FALSE))</f>
        <v>aucune information supplémentaire</v>
      </c>
      <c r="AP206" s="766" t="str">
        <f>IF(VLOOKUP(A206,'Débit - Abfluss'!$A$4:$K$275,8,FALSE)="","",VLOOKUP(A206,'Débit - Abfluss'!$A$4:$M$275,8,FALSE))</f>
        <v>100%</v>
      </c>
      <c r="AQ206" s="742" t="str">
        <f>IF(VLOOKUP(A206,'Débit - Abfluss'!$A$4:$K$275,9,FALSE)="","",VLOOKUP(A206,'Débit - Abfluss'!$A$4:$M$275,9,FALSE))</f>
        <v>-</v>
      </c>
      <c r="AR206" s="767" t="str">
        <f>IF(VLOOKUP(A206,'Débit - Abfluss'!$A$4:$K$275,10,FALSE)="","",VLOOKUP(A206,'Débit - Abfluss'!$A$4:$M$275,10,FALSE))</f>
        <v>100%</v>
      </c>
      <c r="AS206" s="767" t="str">
        <f>IF(VLOOKUP(A206,'Débit - Abfluss'!$A$4:$K$275,11,FALSE)="","",VLOOKUP(A206,'Débit - Abfluss'!$A$4:$M$275,11,FALSE))</f>
        <v/>
      </c>
      <c r="AT206" s="744" t="str">
        <f>IF(VLOOKUP(A206,'Débit - Abfluss'!$A$4:$Q$275,12,FALSE)="","",VLOOKUP(A206,'Débit - Abfluss'!$A$4:$Q$275,12,FALSE))</f>
        <v/>
      </c>
      <c r="AU206" s="745" t="str">
        <f>IF(VLOOKUP(A206,'Débit - Abfluss'!$A$4:$Q$275,13,FALSE)="","",VLOOKUP(A206,'Débit - Abfluss'!$A$4:$Q$275,13,FALSE))</f>
        <v/>
      </c>
      <c r="AV206" s="746" t="str">
        <f>IF(VLOOKUP(A206,'Débit - Abfluss'!$A$4:$Q$275,14,FALSE)="","",VLOOKUP(A206,'Débit - Abfluss'!$A$4:$Q$275,14,FALSE))</f>
        <v/>
      </c>
      <c r="AW206" s="768" t="str">
        <f>IF(VLOOKUP(A206,'Débit - Abfluss'!$A$4:$Q$275,15,FALSE)="","",VLOOKUP(A206,'Débit - Abfluss'!$A$4:$Q$275,15,FALSE))</f>
        <v/>
      </c>
      <c r="AX206" s="677" t="str">
        <f>IF(VLOOKUP(A206,'Débit - Abfluss'!$A$4:$Q$275,16,FALSE)="","",VLOOKUP(A206,'Débit - Abfluss'!$A$4:$Q$275,16,FALSE))</f>
        <v/>
      </c>
      <c r="AY206" s="769" t="str">
        <f>IF(VLOOKUP(A206,'Débit - Abfluss'!$A$4:$Q$275,17,FALSE)="","",VLOOKUP(A206,'Débit - Abfluss'!$A$4:$Q$275,17,FALSE))</f>
        <v>100%</v>
      </c>
      <c r="AZ206" s="749" t="str">
        <f>IF(VLOOKUP(A206,'Eclusée - Schwall-Sunk'!$A$2:$F$273,5,FALSE)="","",VLOOKUP(A206,'Eclusée - Schwall-Sunk'!$A$2:$F$273,5,FALSE))</f>
        <v/>
      </c>
      <c r="BA206" s="750" t="str">
        <f>IF(VLOOKUP(A206,'Eclusée - Schwall-Sunk'!$A$2:$F$273,6,FALSE)="","",VLOOKUP(A206,'Eclusée - Schwall-Sunk'!$A$2:$F$273,6,FALSE))</f>
        <v>Non affecté / nicht betroffen</v>
      </c>
      <c r="BB206" s="751">
        <f>IF(VLOOKUP(A206,'Revitalisation-Revitalisierung'!$A$4:$Z$275,5,FALSE)="","",VLOOKUP(A206,'Revitalisation-Revitalisierung'!$A$4:$Z$275,5,FALSE))</f>
        <v>-7.2727272727272725</v>
      </c>
      <c r="BC206" s="752">
        <f>IF(VLOOKUP(A206,'Revitalisation-Revitalisierung'!$A$4:$Z$275,6,FALSE)="","",VLOOKUP(A206,'Revitalisation-Revitalisierung'!$A$4:$Z$275,6,FALSE))</f>
        <v>0</v>
      </c>
      <c r="BD206" s="752">
        <f>IF(VLOOKUP(A206,'Revitalisation-Revitalisierung'!$A$4:$Z$275,7,FALSE)="","",VLOOKUP(A206,'Revitalisation-Revitalisierung'!$A$4:$Z$275,7,FALSE))</f>
        <v>7.2727272727272725</v>
      </c>
      <c r="BE206" s="753" t="str">
        <f>IF(VLOOKUP(A206,'Revitalisation-Revitalisierung'!$A$4:$Z$275,8,FALSE)="","",VLOOKUP(A206,'Revitalisation-Revitalisierung'!$A$4:$Z$275,8,FALSE))</f>
        <v>non nécessaire</v>
      </c>
      <c r="BF206" s="754" t="str">
        <f>IF(VLOOKUP(A206,'Revitalisation-Revitalisierung'!$A$4:$Z$275,9,FALSE)="","",VLOOKUP(A206,'Revitalisation-Revitalisierung'!$A$4:$Z$275,9,FALSE))</f>
        <v>nicht nötig</v>
      </c>
      <c r="BG206" s="754" t="str">
        <f>IF(VLOOKUP(A206,'Revitalisation-Revitalisierung'!$A$4:$Z$275,10,FALSE)="","",VLOOKUP(A206,'Revitalisation-Revitalisierung'!$A$4:$Z$275,10,FALSE))</f>
        <v>K3</v>
      </c>
      <c r="BH206" s="755" t="str">
        <f>IF(VLOOKUP(A206,'Revitalisation-Revitalisierung'!$A$4:$Z$275,11,FALSE)="","",VLOOKUP(A206,'Revitalisation-Revitalisierung'!$A$4:$Z$275,11,FALSE))</f>
        <v/>
      </c>
      <c r="BI206" s="756" t="str">
        <f>IF(VLOOKUP(A206,'Revitalisation-Revitalisierung'!$A$4:$Z$275,12,FALSE)="","",VLOOKUP(A206,'Revitalisation-Revitalisierung'!$A$4:$Z$275,12,FALSE))</f>
        <v/>
      </c>
      <c r="BJ206" s="788" t="str">
        <f>IF(VLOOKUP(A206,'Revitalisation-Revitalisierung'!$A$4:$Z$275,13,FALSE)="","",VLOOKUP(A206,'Revitalisation-Revitalisierung'!$A$4:$Z$275,13,FALSE))</f>
        <v>Non nécessaire / nicht nötig</v>
      </c>
      <c r="BK206" s="870" t="str">
        <f>IF(VLOOKUP(A206,'Revitalisation-Revitalisierung'!$A$4:$Z$275,14,FALSE)="","",VLOOKUP(A206,'Revitalisation-Revitalisierung'!$A$4:$Z$275,14,FALSE))</f>
        <v>a</v>
      </c>
      <c r="BL206" s="758" t="str">
        <f>IF(VLOOKUP(A206,'Revitalisation-Revitalisierung'!$A$4:$Z$275,15,FALSE)="","",VLOOKUP(A206,'Revitalisation-Revitalisierung'!$A$4:$Z$275,15,FALSE))</f>
        <v>gross</v>
      </c>
      <c r="BM206" s="759" t="str">
        <f>IF(VLOOKUP(A206,'Revitalisation-Revitalisierung'!$A$4:$Z$275,16,FALSE)="","",VLOOKUP(A206,'Revitalisation-Revitalisierung'!$A$4:$Z$275,16,FALSE))</f>
        <v>mittel</v>
      </c>
      <c r="BN206" s="759" t="str">
        <f>IF(VLOOKUP(A206,'Revitalisation-Revitalisierung'!$A$4:$Z$275,17,FALSE)="","",VLOOKUP(A206,'Revitalisation-Revitalisierung'!$A$4:$Z$275,17,FALSE))</f>
        <v>mittel</v>
      </c>
      <c r="BO206" s="760" t="str">
        <f>IF(VLOOKUP(A206,'Revitalisation-Revitalisierung'!$A$4:$Z$275,18,FALSE)="","",VLOOKUP(A206,'Revitalisation-Revitalisierung'!$A$4:$Z$275,18,FALSE))</f>
        <v>Partiellement nécessaire, facile / teilweise nötig, einfach</v>
      </c>
      <c r="BP206" s="761" t="str">
        <f>IF(VLOOKUP(A206,'Revitalisation-Revitalisierung'!$A$4:$Z$275,19,FALSE)="","",VLOOKUP(A206,'Revitalisation-Revitalisierung'!$A$4:$Z$275,19,FALSE))</f>
        <v>Partiellement nécessaire, facile / teilweise nötig, einfach</v>
      </c>
      <c r="BQ206" s="759" t="str">
        <f>IF(VLOOKUP(A206,'Revitalisation-Revitalisierung'!$A$4:$Z$275,20,FALSE)="","",VLOOKUP(A206,'Revitalisation-Revitalisierung'!$A$4:$Z$275,20,FALSE))</f>
        <v>c</v>
      </c>
      <c r="BR206" s="759" t="str">
        <f>IF(VLOOKUP(A206,'Revitalisation-Revitalisierung'!$A$4:$Z$275,21,FALSE)="","",VLOOKUP(A206,'Revitalisation-Revitalisierung'!$A$4:$Z$275,21,FALSE))</f>
        <v/>
      </c>
      <c r="BS206" s="762" t="str">
        <f>IF(VLOOKUP(A206,'Revitalisation-Revitalisierung'!$A$4:$Z$275,22,FALSE)="","",VLOOKUP(A206,'Revitalisation-Revitalisierung'!$A$4:$Z$275,22,FALSE))</f>
        <v/>
      </c>
      <c r="BT206" s="703" t="str">
        <f>IF(VLOOKUP(A206,'Revitalisation-Revitalisierung'!$A$4:$Z$275,23,FALSE)="","",VLOOKUP(A206,'Revitalisation-Revitalisierung'!$A$4:$Z$275,23,FALSE))</f>
        <v/>
      </c>
      <c r="BU206" s="704" t="str">
        <f>IF(VLOOKUP(A206,'Revitalisation-Revitalisierung'!$A$4:$Z$275,24,FALSE)="","",VLOOKUP(A206,'Revitalisation-Revitalisierung'!$A$4:$Z$275,24,FALSE))</f>
        <v>nicht nötig</v>
      </c>
      <c r="BV206" s="761" t="str">
        <f>IF(VLOOKUP(A206,'Revitalisation-Revitalisierung'!$A$4:$Z$275,25,FALSE)="","",VLOOKUP(A206,'Revitalisation-Revitalisierung'!$A$4:$Z$275,25,FALSE))</f>
        <v>Non nécessaire / nicht nötig</v>
      </c>
      <c r="BW206" s="871" t="str">
        <f>IF(VLOOKUP(A206,'Revitalisation-Revitalisierung'!$A$4:$AA$275,27,FALSE)="","",VLOOKUP(A206,'Revitalisation-Revitalisierung'!$A$4:$AA$275,27,FALSE))</f>
        <v>b</v>
      </c>
    </row>
    <row r="207" spans="1:75" ht="98.45" customHeight="1" x14ac:dyDescent="0.25">
      <c r="A207" s="1230">
        <v>328</v>
      </c>
      <c r="B207" s="856">
        <f>IF(VLOOKUP(A207,'Données de base - Grunddaten'!$A$2:$M$297,2,FALSE)="","",VLOOKUP(A207,'Données de base - Grunddaten'!$A$2:$M$297,2,FALSE))</f>
        <v>1</v>
      </c>
      <c r="C207" s="857" t="str">
        <f>IF(VLOOKUP(A207,'Données de base - Grunddaten'!$A$2:$M$297,3,FALSE)="","",VLOOKUP(A207,'Données de base - Grunddaten'!$A$2:$M$297,3,FALSE))</f>
        <v>Engstlenalp</v>
      </c>
      <c r="D207" s="857" t="str">
        <f>IF(VLOOKUP(A207,'Données de base - Grunddaten'!$A$2:$M$297,4,FALSE)="","",VLOOKUP(A207,'Données de base - Grunddaten'!$A$2:$M$297,4,FALSE))</f>
        <v>Gentalwasser, Engstlensee</v>
      </c>
      <c r="E207" s="857" t="str">
        <f>IF(VLOOKUP(A207,'Données de base - Grunddaten'!$A$2:$M$297,5,FALSE)="","",VLOOKUP(A207,'Données de base - Grunddaten'!$A$2:$M$297,5,FALSE))</f>
        <v>BE</v>
      </c>
      <c r="F207" s="857" t="str">
        <f>IF(VLOOKUP(A207,'Données de base - Grunddaten'!$A$2:$M$297,6,FALSE)="","",VLOOKUP(A207,'Données de base - Grunddaten'!$A$2:$M$297,6,FALSE))</f>
        <v>Alpes septentrionales</v>
      </c>
      <c r="G207" s="857" t="str">
        <f>IF(VLOOKUP(A207,'Données de base - Grunddaten'!$A$2:$M$297,7,FALSE)="","",VLOOKUP(A207,'Données de base - Grunddaten'!$A$2:$M$297,7,FALSE))</f>
        <v>Alpin</v>
      </c>
      <c r="H207" s="857" t="str">
        <f>IF(VLOOKUP(A207,'Données de base - Grunddaten'!$A$2:$M$297,8,FALSE)="","",VLOOKUP(A207,'Données de base - Grunddaten'!$A$2:$M$297,8,FALSE))</f>
        <v>1900 m</v>
      </c>
      <c r="I207" s="857" t="str">
        <f>IF(VLOOKUP(A207,'Données de base - Grunddaten'!$A$2:$M$297,9,FALSE)="","",VLOOKUP(A207,'Données de base - Grunddaten'!$A$2:$M$297,9,FALSE))</f>
        <v>candidat</v>
      </c>
      <c r="J207" s="857">
        <f>IF(VLOOKUP(A207,'Données de base - Grunddaten'!$A$2:$M$297,10,FALSE)="","",VLOOKUP(A207,'Données de base - Grunddaten'!$A$2:$M$297,10,FALSE))</f>
        <v>31</v>
      </c>
      <c r="K207" s="857" t="str">
        <f>IF(VLOOKUP(A207,'Données de base - Grunddaten'!$A$2:$M$297,11,FALSE)="","",VLOOKUP(A207,'Données de base - Grunddaten'!$A$2:$M$297,11,FALSE))</f>
        <v>Cours d'eau naturels de l'étage subalpin</v>
      </c>
      <c r="L207" s="857" t="str">
        <f>IF(VLOOKUP(A207,'Données de base - Grunddaten'!$A$2:$M$297,12,FALSE)="","",VLOOKUP(A207,'Données de base - Grunddaten'!$A$2:$M$297,12,FALSE))</f>
        <v>en méandres migrants</v>
      </c>
      <c r="M207" s="858" t="str">
        <f>IF(VLOOKUP(A207,'Données de base - Grunddaten'!$A$2:$M$297,13,FALSE)="","",VLOOKUP(A207,'Données de base - Grunddaten'!$A$2:$M$297,13,FALSE))</f>
        <v>en méandres migrants</v>
      </c>
      <c r="N207" s="872" t="str">
        <f>IF(VLOOKUP(A207,'Charriage - Geschiebehaushalt'!$A$4:$R$275,5,FALSE)="","",VLOOKUP(A207,'Charriage - Geschiebehaushalt'!$A$4:$R$275,5,FALSE))</f>
        <v>pertinent</v>
      </c>
      <c r="O207" s="881" t="str">
        <f>IF(VLOOKUP(A207,'Charriage - Geschiebehaushalt'!$A$4:$R$275,6,FALSE)="","",VLOOKUP(A207,'Charriage - Geschiebehaushalt'!$A$4:$R$275,6,FALSE))</f>
        <v>non documenté</v>
      </c>
      <c r="P207" s="874" t="str">
        <f>IF(VLOOKUP(A207,'Charriage - Geschiebehaushalt'!$A$4:$R$275,7,FALSE)="","",VLOOKUP(A207,'Charriage - Geschiebehaushalt'!$A$4:$R$275,7,FALSE))</f>
        <v/>
      </c>
      <c r="Q207" s="874" t="str">
        <f>IF(VLOOKUP(A207,'Charriage - Geschiebehaushalt'!$A$4:$R$275,8,FALSE)="","",VLOOKUP(A207,'Charriage - Geschiebehaushalt'!$A$4:$R$275,8,FALSE))</f>
        <v>non documenté</v>
      </c>
      <c r="R207" s="895" t="str">
        <f>IF(VLOOKUP(A207,'Charriage - Geschiebehaushalt'!$A$4:$R$275,9,FALSE)="","",VLOOKUP(A207,'Charriage - Geschiebehaushalt'!$A$4:$R$275,9,FALSE))</f>
        <v/>
      </c>
      <c r="S207" s="895" t="str">
        <f>IF(VLOOKUP(A207,'Charriage - Geschiebehaushalt'!$A$4:$R$275,10,FALSE)="","",VLOOKUP(A207,'Charriage - Geschiebehaushalt'!$A$4:$R$275,10,FALSE))</f>
        <v/>
      </c>
      <c r="T207" s="895" t="str">
        <f>IF(VLOOKUP(A207,'Charriage - Geschiebehaushalt'!$A$4:$R$275,11,FALSE)="","",VLOOKUP(A207,'Charriage - Geschiebehaushalt'!$A$4:$R$275,11,FALSE))</f>
        <v/>
      </c>
      <c r="U207" s="895" t="str">
        <f>IF(VLOOKUP(A207,'Charriage - Geschiebehaushalt'!$A$4:$R$275,12,FALSE)="","",VLOOKUP(A207,'Charriage - Geschiebehaushalt'!$A$4:$R$275,12,FALSE))</f>
        <v/>
      </c>
      <c r="V207" s="877" t="str">
        <f>IF(VLOOKUP(A207,'Charriage - Geschiebehaushalt'!$A$4:$R$275,13,FALSE)="","",VLOOKUP(A207,'Charriage - Geschiebehaushalt'!$A$4:$R$275,13,FALSE))</f>
        <v>Google: cônes d'éboulis, cours supérieur naturel</v>
      </c>
      <c r="W207" s="878" t="str">
        <f>IF(VLOOKUP(A207,'Charriage - Geschiebehaushalt'!$A$4:$R$275,14,FALSE)="","",VLOOKUP(A207,'Charriage - Geschiebehaushalt'!$A$4:$R$275,14,FALSE))</f>
        <v>charriage présumé naturel</v>
      </c>
      <c r="X207" s="877" t="str">
        <f>IF(VLOOKUP(A207,'Charriage - Geschiebehaushalt'!$A$4:$R$275,15,FALSE)="","",VLOOKUP(A207,'Charriage - Geschiebehaushalt'!$A$4:$R$275,15,FALSE))</f>
        <v/>
      </c>
      <c r="Y207" s="879" t="str">
        <f>IF(VLOOKUP(A207,'Charriage - Geschiebehaushalt'!$A$4:$R$275,16,FALSE)="","",VLOOKUP(A207,'Charriage - Geschiebehaushalt'!$A$4:$R$275,16,FALSE))</f>
        <v/>
      </c>
      <c r="Z207" s="763" t="str">
        <f>IF(VLOOKUP(A207,'Charriage - Geschiebehaushalt'!$A$4:$R$275,17,FALSE)="","",VLOOKUP(A207,'Charriage - Geschiebehaushalt'!$A$4:$R$275,17,FALSE))</f>
        <v>Charriage présumé naturel / Geschiebehaushalt vermutlich natürlich</v>
      </c>
      <c r="AA207" s="880" t="str">
        <f>IF(VLOOKUP(A207,'Charriage - Geschiebehaushalt'!$A$4:$R$275,18,FALSE)="","",VLOOKUP(A207,'Charriage - Geschiebehaushalt'!$A$4:$R$275,18,FALSE))</f>
        <v>b</v>
      </c>
      <c r="AB207" s="737" t="str">
        <f>IF(VLOOKUP(A207,'Charriage - Geschiebehaushalt'!$A$4:$AC$275,19,FALSE)="","",VLOOKUP(A207,'Charriage - Geschiebehaushalt'!$A$4:$AC$275,19,FALSE))</f>
        <v>-</v>
      </c>
      <c r="AC207" s="738" t="str">
        <f>IF(VLOOKUP(A207,'Charriage - Geschiebehaushalt'!$A$4:$AC$275,20,FALSE)="","",VLOOKUP(A207,'Charriage - Geschiebehaushalt'!$A$4:$AC$275,20,FALSE))</f>
        <v>-</v>
      </c>
      <c r="AD207" s="764" t="str">
        <f>IF(VLOOKUP(A207,'Charriage - Geschiebehaushalt'!$A$4:$AC$275,21,FALSE)="","",VLOOKUP(A207,'Charriage - Geschiebehaushalt'!$A$4:$AC$275,21,FALSE))</f>
        <v/>
      </c>
      <c r="AE207" s="740" t="str">
        <f>IF(VLOOKUP(A207,'Charriage - Geschiebehaushalt'!$A$4:$AC$275,22,FALSE)="","",VLOOKUP(A207,'Charriage - Geschiebehaushalt'!$A$4:$AC$275,22,FALSE))</f>
        <v>0-20%</v>
      </c>
      <c r="AF207" s="787" t="str">
        <f>IF(VLOOKUP(A207,'Charriage - Geschiebehaushalt'!$A$4:$AC$275,23,FALSE)="","",VLOOKUP(A207,'Charriage - Geschiebehaushalt'!$A$4:$AC$275,23,FALSE))</f>
        <v>b</v>
      </c>
      <c r="AG207" s="765" t="str">
        <f>IF(VLOOKUP(A207,'Charriage - Geschiebehaushalt'!$A$4:$AC$275,24,FALSE)="","",VLOOKUP(A207,'Charriage - Geschiebehaushalt'!$A$4:$AC$275,24,FALSE))</f>
        <v/>
      </c>
      <c r="AH207" s="764" t="str">
        <f>IF(VLOOKUP(A207,'Charriage - Geschiebehaushalt'!$A$4:$AC$275,25,FALSE)="","",VLOOKUP(A207,'Charriage - Geschiebehaushalt'!$A$4:$AC$275,25,FALSE))</f>
        <v/>
      </c>
      <c r="AI207" s="433" t="str">
        <f>IF(VLOOKUP(A207,'Charriage - Geschiebehaushalt'!$A$4:$AC$275,26,FALSE)="","",VLOOKUP(A207,'Charriage - Geschiebehaushalt'!$A$4:$AC$275,26,FALSE))</f>
        <v/>
      </c>
      <c r="AJ207" s="434" t="str">
        <f>IF(VLOOKUP(A207,'Charriage - Geschiebehaushalt'!$A$4:$AC$275,27,FALSE)="","",VLOOKUP(A207,'Charriage - Geschiebehaushalt'!$A$4:$AC$275,27,FALSE))</f>
        <v/>
      </c>
      <c r="AK207" s="801" t="str">
        <f>IF(VLOOKUP(A207,'Charriage - Geschiebehaushalt'!$A$4:$AC$275,28,FALSE)="","",VLOOKUP(A207,'Charriage - Geschiebehaushalt'!$A$4:$AC$275,28,FALSE))</f>
        <v>0-20%</v>
      </c>
      <c r="AL207" s="1285" t="str">
        <f>IF(VLOOKUP(A207,'Charriage - Geschiebehaushalt'!$A$4:$AD$275,30,FALSE)="","",VLOOKUP(A207,'Charriage - Geschiebehaushalt'!$A$4:$AD$275,30,FALSE))</f>
        <v>b</v>
      </c>
      <c r="AM207" s="1279" t="str">
        <f>IF(VLOOKUP(A207,'Débit - Abfluss'!$A$4:$K$275,5,FALSE)="","",VLOOKUP(A207,'Débit - Abfluss'!$A$4:$M$275,5,FALSE))</f>
        <v>non documenté</v>
      </c>
      <c r="AN207" s="868" t="str">
        <f>IF(VLOOKUP(A207,'Débit - Abfluss'!$A$4:$K$275,6,FALSE)="","",VLOOKUP(A207,'Débit - Abfluss'!$A$4:$M$275,6,FALSE))</f>
        <v>aucune information supplémentaire</v>
      </c>
      <c r="AO207" s="869" t="str">
        <f>IF(VLOOKUP(A207,'Débit - Abfluss'!$A$4:$K$275,7,FALSE)="","",VLOOKUP(A207,'Débit - Abfluss'!$A$4:$M$275,7,FALSE))</f>
        <v>aucune information supplémentaire</v>
      </c>
      <c r="AP207" s="766" t="str">
        <f>IF(VLOOKUP(A207,'Débit - Abfluss'!$A$4:$K$275,8,FALSE)="","",VLOOKUP(A207,'Débit - Abfluss'!$A$4:$M$275,8,FALSE))</f>
        <v>Régime présumé naturel (100%) / Abfluss vermutlich natürlich</v>
      </c>
      <c r="AQ207" s="742" t="str">
        <f>IF(VLOOKUP(A207,'Débit - Abfluss'!$A$4:$K$275,9,FALSE)="","",VLOOKUP(A207,'Débit - Abfluss'!$A$4:$M$275,9,FALSE))</f>
        <v>-</v>
      </c>
      <c r="AR207" s="767" t="str">
        <f>IF(VLOOKUP(A207,'Débit - Abfluss'!$A$4:$K$275,10,FALSE)="","",VLOOKUP(A207,'Débit - Abfluss'!$A$4:$M$275,10,FALSE))</f>
        <v>Régime présumé naturel (100%) / Abfluss vermutlich natürlich</v>
      </c>
      <c r="AS207" s="767" t="str">
        <f>IF(VLOOKUP(A207,'Débit - Abfluss'!$A$4:$K$275,11,FALSE)="","",VLOOKUP(A207,'Débit - Abfluss'!$A$4:$M$275,11,FALSE))</f>
        <v/>
      </c>
      <c r="AT207" s="744" t="str">
        <f>IF(VLOOKUP(A207,'Débit - Abfluss'!$A$4:$Q$275,12,FALSE)="","",VLOOKUP(A207,'Débit - Abfluss'!$A$4:$Q$275,12,FALSE))</f>
        <v/>
      </c>
      <c r="AU207" s="745" t="str">
        <f>IF(VLOOKUP(A207,'Débit - Abfluss'!$A$4:$Q$275,13,FALSE)="","",VLOOKUP(A207,'Débit - Abfluss'!$A$4:$Q$275,13,FALSE))</f>
        <v/>
      </c>
      <c r="AV207" s="746" t="str">
        <f>IF(VLOOKUP(A207,'Débit - Abfluss'!$A$4:$Q$275,14,FALSE)="","",VLOOKUP(A207,'Débit - Abfluss'!$A$4:$Q$275,14,FALSE))</f>
        <v/>
      </c>
      <c r="AW207" s="768" t="str">
        <f>IF(VLOOKUP(A207,'Débit - Abfluss'!$A$4:$Q$275,15,FALSE)="","",VLOOKUP(A207,'Débit - Abfluss'!$A$4:$Q$275,15,FALSE))</f>
        <v/>
      </c>
      <c r="AX207" s="685" t="str">
        <f>IF(VLOOKUP(A207,'Débit - Abfluss'!$A$4:$Q$275,16,FALSE)="","",VLOOKUP(A207,'Débit - Abfluss'!$A$4:$Q$275,16,FALSE))</f>
        <v/>
      </c>
      <c r="AY207" s="769" t="str">
        <f>IF(VLOOKUP(A207,'Débit - Abfluss'!$A$4:$Q$275,17,FALSE)="","",VLOOKUP(A207,'Débit - Abfluss'!$A$4:$Q$275,17,FALSE))</f>
        <v>Régime présumé naturel (100%) / Abfluss vermutlich natürlich</v>
      </c>
      <c r="AZ207" s="749" t="str">
        <f>IF(VLOOKUP(A207,'Eclusée - Schwall-Sunk'!$A$2:$F$273,5,FALSE)="","",VLOOKUP(A207,'Eclusée - Schwall-Sunk'!$A$2:$F$273,5,FALSE))</f>
        <v/>
      </c>
      <c r="BA207" s="750" t="str">
        <f>IF(VLOOKUP(A207,'Eclusée - Schwall-Sunk'!$A$2:$F$273,6,FALSE)="","",VLOOKUP(A207,'Eclusée - Schwall-Sunk'!$A$2:$F$273,6,FALSE))</f>
        <v>Non affecté / nicht betroffen</v>
      </c>
      <c r="BB207" s="751" t="str">
        <f>IF(VLOOKUP(A207,'Revitalisation-Revitalisierung'!$A$4:$Z$275,5,FALSE)="","",VLOOKUP(A207,'Revitalisation-Revitalisierung'!$A$4:$Z$275,5,FALSE))</f>
        <v/>
      </c>
      <c r="BC207" s="752" t="str">
        <f>IF(VLOOKUP(A207,'Revitalisation-Revitalisierung'!$A$4:$Z$275,6,FALSE)="","",VLOOKUP(A207,'Revitalisation-Revitalisierung'!$A$4:$Z$275,6,FALSE))</f>
        <v/>
      </c>
      <c r="BD207" s="752" t="str">
        <f>IF(VLOOKUP(A207,'Revitalisation-Revitalisierung'!$A$4:$Z$275,7,FALSE)="","",VLOOKUP(A207,'Revitalisation-Revitalisierung'!$A$4:$Z$275,7,FALSE))</f>
        <v/>
      </c>
      <c r="BE207" s="753" t="str">
        <f>IF(VLOOKUP(A207,'Revitalisation-Revitalisierung'!$A$4:$Z$275,8,FALSE)="","",VLOOKUP(A207,'Revitalisation-Revitalisierung'!$A$4:$Z$275,8,FALSE))</f>
        <v>non nécessaire</v>
      </c>
      <c r="BF207" s="754" t="str">
        <f>IF(VLOOKUP(A207,'Revitalisation-Revitalisierung'!$A$4:$Z$275,9,FALSE)="","",VLOOKUP(A207,'Revitalisation-Revitalisierung'!$A$4:$Z$275,9,FALSE))</f>
        <v>nicht nötig</v>
      </c>
      <c r="BG207" s="754" t="str">
        <f>IF(VLOOKUP(A207,'Revitalisation-Revitalisierung'!$A$4:$Z$275,10,FALSE)="","",VLOOKUP(A207,'Revitalisation-Revitalisierung'!$A$4:$Z$275,10,FALSE))</f>
        <v/>
      </c>
      <c r="BH207" s="755" t="str">
        <f>IF(VLOOKUP(A207,'Revitalisation-Revitalisierung'!$A$4:$Z$275,11,FALSE)="","",VLOOKUP(A207,'Revitalisation-Revitalisierung'!$A$4:$Z$275,11,FALSE))</f>
        <v/>
      </c>
      <c r="BI207" s="756" t="str">
        <f>IF(VLOOKUP(A207,'Revitalisation-Revitalisierung'!$A$4:$Z$275,12,FALSE)="","",VLOOKUP(A207,'Revitalisation-Revitalisierung'!$A$4:$Z$275,12,FALSE))</f>
        <v/>
      </c>
      <c r="BJ207" s="788" t="str">
        <f>IF(VLOOKUP(A207,'Revitalisation-Revitalisierung'!$A$4:$Z$275,13,FALSE)="","",VLOOKUP(A207,'Revitalisation-Revitalisierung'!$A$4:$Z$275,13,FALSE))</f>
        <v>Non nécessaire / nicht nötig</v>
      </c>
      <c r="BK207" s="870" t="str">
        <f>IF(VLOOKUP(A207,'Revitalisation-Revitalisierung'!$A$4:$Z$275,14,FALSE)="","",VLOOKUP(A207,'Revitalisation-Revitalisierung'!$A$4:$Z$275,14,FALSE))</f>
        <v>a</v>
      </c>
      <c r="BL207" s="758" t="str">
        <f>IF(VLOOKUP(A207,'Revitalisation-Revitalisierung'!$A$4:$Z$275,15,FALSE)="","",VLOOKUP(A207,'Revitalisation-Revitalisierung'!$A$4:$Z$275,15,FALSE))</f>
        <v xml:space="preserve">mittel </v>
      </c>
      <c r="BM207" s="759" t="str">
        <f>IF(VLOOKUP(A207,'Revitalisation-Revitalisierung'!$A$4:$Z$275,16,FALSE)="","",VLOOKUP(A207,'Revitalisation-Revitalisierung'!$A$4:$Z$275,16,FALSE))</f>
        <v>gering</v>
      </c>
      <c r="BN207" s="759" t="str">
        <f>IF(VLOOKUP(A207,'Revitalisation-Revitalisierung'!$A$4:$Z$275,17,FALSE)="","",VLOOKUP(A207,'Revitalisation-Revitalisierung'!$A$4:$Z$275,17,FALSE))</f>
        <v>-</v>
      </c>
      <c r="BO207" s="760" t="str">
        <f>IF(VLOOKUP(A207,'Revitalisation-Revitalisierung'!$A$4:$Z$275,18,FALSE)="","",VLOOKUP(A207,'Revitalisation-Revitalisierung'!$A$4:$Z$275,18,FALSE))</f>
        <v>Non nécessaire / nicht nötig</v>
      </c>
      <c r="BP207" s="788" t="str">
        <f>IF(VLOOKUP(A207,'Revitalisation-Revitalisierung'!$A$4:$Z$275,19,FALSE)="","",VLOOKUP(A207,'Revitalisation-Revitalisierung'!$A$4:$Z$275,19,FALSE))</f>
        <v>Non nécessaire / nicht nötig</v>
      </c>
      <c r="BQ207" s="759" t="str">
        <f>IF(VLOOKUP(A207,'Revitalisation-Revitalisierung'!$A$4:$Z$275,20,FALSE)="","",VLOOKUP(A207,'Revitalisation-Revitalisierung'!$A$4:$Z$275,20,FALSE))</f>
        <v>d</v>
      </c>
      <c r="BR207" s="759" t="str">
        <f>IF(VLOOKUP(A207,'Revitalisation-Revitalisierung'!$A$4:$Z$275,21,FALSE)="","",VLOOKUP(A207,'Revitalisation-Revitalisierung'!$A$4:$Z$275,21,FALSE))</f>
        <v/>
      </c>
      <c r="BS207" s="762" t="str">
        <f>IF(VLOOKUP(A207,'Revitalisation-Revitalisierung'!$A$4:$Z$275,22,FALSE)="","",VLOOKUP(A207,'Revitalisation-Revitalisierung'!$A$4:$Z$275,22,FALSE))</f>
        <v/>
      </c>
      <c r="BT207" s="760" t="str">
        <f>IF(VLOOKUP(A207,'Revitalisation-Revitalisierung'!$A$4:$Z$275,23,FALSE)="","",VLOOKUP(A207,'Revitalisation-Revitalisierung'!$A$4:$Z$275,23,FALSE))</f>
        <v/>
      </c>
      <c r="BU207" s="711" t="str">
        <f>IF(VLOOKUP(A207,'Revitalisation-Revitalisierung'!$A$4:$Z$275,24,FALSE)="","",VLOOKUP(A207,'Revitalisation-Revitalisierung'!$A$4:$Z$275,24,FALSE))</f>
        <v>nicht nötig</v>
      </c>
      <c r="BV207" s="761" t="str">
        <f>IF(VLOOKUP(A207,'Revitalisation-Revitalisierung'!$A$4:$Z$275,25,FALSE)="","",VLOOKUP(A207,'Revitalisation-Revitalisierung'!$A$4:$Z$275,25,FALSE))</f>
        <v>Non nécessaire / nicht nötig</v>
      </c>
      <c r="BW207" s="871" t="str">
        <f>IF(VLOOKUP(A207,'Revitalisation-Revitalisierung'!$A$4:$AA$275,27,FALSE)="","",VLOOKUP(A207,'Revitalisation-Revitalisierung'!$A$4:$AA$275,27,FALSE))</f>
        <v>a</v>
      </c>
    </row>
    <row r="208" spans="1:75" ht="91.15" customHeight="1" x14ac:dyDescent="0.25">
      <c r="A208" s="938">
        <v>329</v>
      </c>
      <c r="B208" s="856">
        <f>IF(VLOOKUP(A208,'Données de base - Grunddaten'!$A$2:$M$297,2,FALSE)="","",VLOOKUP(A208,'Données de base - Grunddaten'!$A$2:$M$297,2,FALSE))</f>
        <v>1</v>
      </c>
      <c r="C208" s="857" t="str">
        <f>IF(VLOOKUP(A208,'Données de base - Grunddaten'!$A$2:$M$297,3,FALSE)="","",VLOOKUP(A208,'Données de base - Grunddaten'!$A$2:$M$297,3,FALSE))</f>
        <v>Godey-Derborence</v>
      </c>
      <c r="D208" s="857" t="str">
        <f>IF(VLOOKUP(A208,'Données de base - Grunddaten'!$A$2:$M$297,4,FALSE)="","",VLOOKUP(A208,'Données de base - Grunddaten'!$A$2:$M$297,4,FALSE))</f>
        <v>La Lizerne</v>
      </c>
      <c r="E208" s="857" t="str">
        <f>IF(VLOOKUP(A208,'Données de base - Grunddaten'!$A$2:$M$297,5,FALSE)="","",VLOOKUP(A208,'Données de base - Grunddaten'!$A$2:$M$297,5,FALSE))</f>
        <v>VS</v>
      </c>
      <c r="F208" s="857" t="str">
        <f>IF(VLOOKUP(A208,'Données de base - Grunddaten'!$A$2:$M$297,6,FALSE)="","",VLOOKUP(A208,'Données de base - Grunddaten'!$A$2:$M$297,6,FALSE))</f>
        <v>Alpes centrales occidentales</v>
      </c>
      <c r="G208" s="857" t="str">
        <f>IF(VLOOKUP(A208,'Données de base - Grunddaten'!$A$2:$M$297,7,FALSE)="","",VLOOKUP(A208,'Données de base - Grunddaten'!$A$2:$M$297,7,FALSE))</f>
        <v>Subalpin inf.</v>
      </c>
      <c r="H208" s="857" t="str">
        <f>IF(VLOOKUP(A208,'Données de base - Grunddaten'!$A$2:$M$297,8,FALSE)="","",VLOOKUP(A208,'Données de base - Grunddaten'!$A$2:$M$297,8,FALSE))</f>
        <v>1380 m</v>
      </c>
      <c r="I208" s="857" t="str">
        <f>IF(VLOOKUP(A208,'Données de base - Grunddaten'!$A$2:$M$297,9,FALSE)="","",VLOOKUP(A208,'Données de base - Grunddaten'!$A$2:$M$297,9,FALSE))</f>
        <v>candidat</v>
      </c>
      <c r="J208" s="857">
        <f>IF(VLOOKUP(A208,'Données de base - Grunddaten'!$A$2:$M$297,10,FALSE)="","",VLOOKUP(A208,'Données de base - Grunddaten'!$A$2:$M$297,10,FALSE))</f>
        <v>31</v>
      </c>
      <c r="K208" s="857" t="str">
        <f>IF(VLOOKUP(A208,'Données de base - Grunddaten'!$A$2:$M$297,11,FALSE)="","",VLOOKUP(A208,'Données de base - Grunddaten'!$A$2:$M$297,11,FALSE))</f>
        <v>Cours d'eau naturels de l'étage subalpin</v>
      </c>
      <c r="L208" s="857" t="str">
        <f>IF(VLOOKUP(A208,'Données de base - Grunddaten'!$A$2:$M$297,12,FALSE)="","",VLOOKUP(A208,'Données de base - Grunddaten'!$A$2:$M$297,12,FALSE))</f>
        <v>en tresses</v>
      </c>
      <c r="M208" s="858" t="str">
        <f>IF(VLOOKUP(A208,'Données de base - Grunddaten'!$A$2:$M$297,13,FALSE)="","",VLOOKUP(A208,'Données de base - Grunddaten'!$A$2:$M$297,13,FALSE))</f>
        <v>en tresses</v>
      </c>
      <c r="N208" s="872" t="str">
        <f>IF(VLOOKUP(A208,'Charriage - Geschiebehaushalt'!$A$4:$R$275,5,FALSE)="","",VLOOKUP(A208,'Charriage - Geschiebehaushalt'!$A$4:$R$275,5,FALSE))</f>
        <v>pertinent</v>
      </c>
      <c r="O208" s="881" t="str">
        <f>IF(VLOOKUP(A208,'Charriage - Geschiebehaushalt'!$A$4:$R$275,6,FALSE)="","",VLOOKUP(A208,'Charriage - Geschiebehaushalt'!$A$4:$R$275,6,FALSE))</f>
        <v>non documenté</v>
      </c>
      <c r="P208" s="874" t="str">
        <f>IF(VLOOKUP(A208,'Charriage - Geschiebehaushalt'!$A$4:$R$275,7,FALSE)="","",VLOOKUP(A208,'Charriage - Geschiebehaushalt'!$A$4:$R$275,7,FALSE))</f>
        <v/>
      </c>
      <c r="Q208" s="874" t="str">
        <f>IF(VLOOKUP(A208,'Charriage - Geschiebehaushalt'!$A$4:$R$275,8,FALSE)="","",VLOOKUP(A208,'Charriage - Geschiebehaushalt'!$A$4:$R$275,8,FALSE))</f>
        <v>non documenté</v>
      </c>
      <c r="R208" s="895" t="str">
        <f>IF(VLOOKUP(A208,'Charriage - Geschiebehaushalt'!$A$4:$R$275,9,FALSE)="","",VLOOKUP(A208,'Charriage - Geschiebehaushalt'!$A$4:$R$275,9,FALSE))</f>
        <v/>
      </c>
      <c r="S208" s="895" t="str">
        <f>IF(VLOOKUP(A208,'Charriage - Geschiebehaushalt'!$A$4:$R$275,10,FALSE)="","",VLOOKUP(A208,'Charriage - Geschiebehaushalt'!$A$4:$R$275,10,FALSE))</f>
        <v/>
      </c>
      <c r="T208" s="895" t="str">
        <f>IF(VLOOKUP(A208,'Charriage - Geschiebehaushalt'!$A$4:$R$275,11,FALSE)="","",VLOOKUP(A208,'Charriage - Geschiebehaushalt'!$A$4:$R$275,11,FALSE))</f>
        <v/>
      </c>
      <c r="U208" s="895" t="str">
        <f>IF(VLOOKUP(A208,'Charriage - Geschiebehaushalt'!$A$4:$R$275,12,FALSE)="","",VLOOKUP(A208,'Charriage - Geschiebehaushalt'!$A$4:$R$275,12,FALSE))</f>
        <v/>
      </c>
      <c r="V208" s="877" t="str">
        <f>IF(VLOOKUP(A208,'Charriage - Geschiebehaushalt'!$A$4:$R$275,13,FALSE)="","",VLOOKUP(A208,'Charriage - Geschiebehaushalt'!$A$4:$R$275,13,FALSE))</f>
        <v>Google : beau système en tresses</v>
      </c>
      <c r="W208" s="878" t="str">
        <f>IF(VLOOKUP(A208,'Charriage - Geschiebehaushalt'!$A$4:$R$275,14,FALSE)="","",VLOOKUP(A208,'Charriage - Geschiebehaushalt'!$A$4:$R$275,14,FALSE))</f>
        <v>charriage présumé naturel</v>
      </c>
      <c r="X208" s="877" t="str">
        <f>IF(VLOOKUP(A208,'Charriage - Geschiebehaushalt'!$A$4:$R$275,15,FALSE)="","",VLOOKUP(A208,'Charriage - Geschiebehaushalt'!$A$4:$R$275,15,FALSE))</f>
        <v/>
      </c>
      <c r="Y208" s="879" t="str">
        <f>IF(VLOOKUP(A208,'Charriage - Geschiebehaushalt'!$A$4:$R$275,16,FALSE)="","",VLOOKUP(A208,'Charriage - Geschiebehaushalt'!$A$4:$R$275,16,FALSE))</f>
        <v/>
      </c>
      <c r="Z208" s="763" t="str">
        <f>IF(VLOOKUP(A208,'Charriage - Geschiebehaushalt'!$A$4:$R$275,17,FALSE)="","",VLOOKUP(A208,'Charriage - Geschiebehaushalt'!$A$4:$R$275,17,FALSE))</f>
        <v>Charriage présumé naturel / Geschiebehaushalt vermutlich natürlich</v>
      </c>
      <c r="AA208" s="880" t="str">
        <f>IF(VLOOKUP(A208,'Charriage - Geschiebehaushalt'!$A$4:$R$275,18,FALSE)="","",VLOOKUP(A208,'Charriage - Geschiebehaushalt'!$A$4:$R$275,18,FALSE))</f>
        <v>a</v>
      </c>
      <c r="AB208" s="737" t="str">
        <f>IF(VLOOKUP(A208,'Charriage - Geschiebehaushalt'!$A$4:$AC$275,19,FALSE)="","",VLOOKUP(A208,'Charriage - Geschiebehaushalt'!$A$4:$AC$275,19,FALSE))</f>
        <v>atteinte significative</v>
      </c>
      <c r="AC208" s="738" t="str">
        <f>IF(VLOOKUP(A208,'Charriage - Geschiebehaushalt'!$A$4:$AC$275,20,FALSE)="","",VLOOKUP(A208,'Charriage - Geschiebehaushalt'!$A$4:$AC$275,20,FALSE))</f>
        <v>pas de mesure prévue</v>
      </c>
      <c r="AD208" s="764" t="str">
        <f>IF(VLOOKUP(A208,'Charriage - Geschiebehaushalt'!$A$4:$AC$275,21,FALSE)="","",VLOOKUP(A208,'Charriage - Geschiebehaushalt'!$A$4:$AC$275,21,FALSE))</f>
        <v>51-80%</v>
      </c>
      <c r="AE208" s="772" t="str">
        <f>IF(VLOOKUP(A208,'Charriage - Geschiebehaushalt'!$A$4:$AC$275,22,FALSE)="","",VLOOKUP(A208,'Charriage - Geschiebehaushalt'!$A$4:$AC$275,22,FALSE))</f>
        <v>51-80%</v>
      </c>
      <c r="AF208" s="787" t="str">
        <f>IF(VLOOKUP(A208,'Charriage - Geschiebehaushalt'!$A$4:$AC$275,23,FALSE)="","",VLOOKUP(A208,'Charriage - Geschiebehaushalt'!$A$4:$AC$275,23,FALSE))</f>
        <v>c</v>
      </c>
      <c r="AG208" s="765" t="str">
        <f>IF(VLOOKUP(A208,'Charriage - Geschiebehaushalt'!$A$4:$AC$275,24,FALSE)="","",VLOOKUP(A208,'Charriage - Geschiebehaushalt'!$A$4:$AC$275,24,FALSE))</f>
        <v/>
      </c>
      <c r="AH208" s="764" t="str">
        <f>IF(VLOOKUP(A208,'Charriage - Geschiebehaushalt'!$A$4:$AC$275,25,FALSE)="","",VLOOKUP(A208,'Charriage - Geschiebehaushalt'!$A$4:$AC$275,25,FALSE))</f>
        <v/>
      </c>
      <c r="AI208" s="435" t="str">
        <f>IF(VLOOKUP(A208,'Charriage - Geschiebehaushalt'!$A$4:$AC$275,26,FALSE)="","",VLOOKUP(A208,'Charriage - Geschiebehaushalt'!$A$4:$AC$275,26,FALSE))</f>
        <v/>
      </c>
      <c r="AJ208" s="436" t="str">
        <f>IF(VLOOKUP(A208,'Charriage - Geschiebehaushalt'!$A$4:$AC$275,27,FALSE)="","",VLOOKUP(A208,'Charriage - Geschiebehaushalt'!$A$4:$AC$275,27,FALSE))</f>
        <v/>
      </c>
      <c r="AK208" s="814" t="str">
        <f>IF(VLOOKUP(A208,'Charriage - Geschiebehaushalt'!$A$4:$AC$275,28,FALSE)="","",VLOOKUP(A208,'Charriage - Geschiebehaushalt'!$A$4:$AC$275,28,FALSE))</f>
        <v>51-80%</v>
      </c>
      <c r="AL208" s="1285" t="str">
        <f>IF(VLOOKUP(A208,'Charriage - Geschiebehaushalt'!$A$4:$AD$275,30,FALSE)="","",VLOOKUP(A208,'Charriage - Geschiebehaushalt'!$A$4:$AD$275,30,FALSE))</f>
        <v>a</v>
      </c>
      <c r="AM208" s="1279" t="str">
        <f>IF(VLOOKUP(A208,'Débit - Abfluss'!$A$4:$K$275,5,FALSE)="","",VLOOKUP(A208,'Débit - Abfluss'!$A$4:$M$275,5,FALSE))</f>
        <v>non documenté</v>
      </c>
      <c r="AN208" s="868" t="str">
        <f>IF(VLOOKUP(A208,'Débit - Abfluss'!$A$4:$K$275,6,FALSE)="","",VLOOKUP(A208,'Débit - Abfluss'!$A$4:$M$275,6,FALSE))</f>
        <v>aucune information supplémentaire</v>
      </c>
      <c r="AO208" s="869" t="str">
        <f>IF(VLOOKUP(A208,'Débit - Abfluss'!$A$4:$K$275,7,FALSE)="","",VLOOKUP(A208,'Débit - Abfluss'!$A$4:$M$275,7,FALSE))</f>
        <v>aucune information supplémentaire</v>
      </c>
      <c r="AP208" s="766" t="str">
        <f>IF(VLOOKUP(A208,'Débit - Abfluss'!$A$4:$K$275,8,FALSE)="","",VLOOKUP(A208,'Débit - Abfluss'!$A$4:$M$275,8,FALSE))</f>
        <v>Régime présumé naturel (100%) / Abfluss vermutlich natürlich</v>
      </c>
      <c r="AQ208" s="678" t="str">
        <f>IF(VLOOKUP(A208,'Débit - Abfluss'!$A$4:$K$275,9,FALSE)="","",VLOOKUP(A208,'Débit - Abfluss'!$A$4:$M$275,9,FALSE))</f>
        <v>Fehlende Angaben</v>
      </c>
      <c r="AR208" s="770" t="str">
        <f>IF(VLOOKUP(A208,'Débit - Abfluss'!$A$4:$K$275,10,FALSE)="","",VLOOKUP(A208,'Débit - Abfluss'!$A$4:$M$275,10,FALSE))</f>
        <v>Régime présumé naturel (100%) / Abfluss vermutlich natürlich</v>
      </c>
      <c r="AS208" s="773" t="str">
        <f>IF(VLOOKUP(A208,'Débit - Abfluss'!$A$4:$K$275,11,FALSE)="","",VLOOKUP(A208,'Débit - Abfluss'!$A$4:$M$275,11,FALSE))</f>
        <v>X</v>
      </c>
      <c r="AT208" s="778" t="str">
        <f>IF(VLOOKUP(A208,'Débit - Abfluss'!$A$4:$Q$275,12,FALSE)="","",VLOOKUP(A208,'Débit - Abfluss'!$A$4:$Q$275,12,FALSE))</f>
        <v/>
      </c>
      <c r="AU208" s="779" t="str">
        <f>IF(VLOOKUP(A208,'Débit - Abfluss'!$A$4:$Q$275,13,FALSE)="","",VLOOKUP(A208,'Débit - Abfluss'!$A$4:$Q$275,13,FALSE))</f>
        <v/>
      </c>
      <c r="AV208" s="746" t="str">
        <f>IF(VLOOKUP(A208,'Débit - Abfluss'!$A$4:$Q$275,14,FALSE)="","",VLOOKUP(A208,'Débit - Abfluss'!$A$4:$Q$275,14,FALSE))</f>
        <v>VS-725.2</v>
      </c>
      <c r="AW208" s="768" t="str">
        <f>IF(VLOOKUP(A208,'Débit - Abfluss'!$A$4:$Q$275,15,FALSE)="","",VLOOKUP(A208,'Débit - Abfluss'!$A$4:$Q$275,15,FALSE))</f>
        <v>Ardon</v>
      </c>
      <c r="AX208" s="679" t="str">
        <f>IF(VLOOKUP(A208,'Débit - Abfluss'!$A$4:$Q$275,16,FALSE)="","",VLOOKUP(A208,'Débit - Abfluss'!$A$4:$Q$275,16,FALSE))</f>
        <v/>
      </c>
      <c r="AY208" s="776" t="str">
        <f>IF(VLOOKUP(A208,'Débit - Abfluss'!$A$4:$Q$275,17,FALSE)="","",VLOOKUP(A208,'Débit - Abfluss'!$A$4:$Q$275,17,FALSE))</f>
        <v>Régime présumé naturel (100%) / Abfluss vermutlich natürlich</v>
      </c>
      <c r="AZ208" s="749" t="str">
        <f>IF(VLOOKUP(A208,'Eclusée - Schwall-Sunk'!$A$2:$F$273,5,FALSE)="","",VLOOKUP(A208,'Eclusée - Schwall-Sunk'!$A$2:$F$273,5,FALSE))</f>
        <v/>
      </c>
      <c r="BA208" s="750" t="str">
        <f>IF(VLOOKUP(A208,'Eclusée - Schwall-Sunk'!$A$2:$F$273,6,FALSE)="","",VLOOKUP(A208,'Eclusée - Schwall-Sunk'!$A$2:$F$273,6,FALSE))</f>
        <v>Non affecté / nicht betroffen</v>
      </c>
      <c r="BB208" s="751" t="str">
        <f>IF(VLOOKUP(A208,'Revitalisation-Revitalisierung'!$A$4:$Z$275,5,FALSE)="","",VLOOKUP(A208,'Revitalisation-Revitalisierung'!$A$4:$Z$275,5,FALSE))</f>
        <v/>
      </c>
      <c r="BC208" s="752" t="str">
        <f>IF(VLOOKUP(A208,'Revitalisation-Revitalisierung'!$A$4:$Z$275,6,FALSE)="","",VLOOKUP(A208,'Revitalisation-Revitalisierung'!$A$4:$Z$275,6,FALSE))</f>
        <v/>
      </c>
      <c r="BD208" s="752" t="str">
        <f>IF(VLOOKUP(A208,'Revitalisation-Revitalisierung'!$A$4:$Z$275,7,FALSE)="","",VLOOKUP(A208,'Revitalisation-Revitalisierung'!$A$4:$Z$275,7,FALSE))</f>
        <v/>
      </c>
      <c r="BE208" s="753" t="str">
        <f>IF(VLOOKUP(A208,'Revitalisation-Revitalisierung'!$A$4:$Z$275,8,FALSE)="","",VLOOKUP(A208,'Revitalisation-Revitalisierung'!$A$4:$Z$275,8,FALSE))</f>
        <v>non nécessaire</v>
      </c>
      <c r="BF208" s="754" t="str">
        <f>IF(VLOOKUP(A208,'Revitalisation-Revitalisierung'!$A$4:$Z$275,9,FALSE)="","",VLOOKUP(A208,'Revitalisation-Revitalisierung'!$A$4:$Z$275,9,FALSE))</f>
        <v>nicht nötig</v>
      </c>
      <c r="BG208" s="754" t="str">
        <f>IF(VLOOKUP(A208,'Revitalisation-Revitalisierung'!$A$4:$Z$275,10,FALSE)="","",VLOOKUP(A208,'Revitalisation-Revitalisierung'!$A$4:$Z$275,10,FALSE))</f>
        <v/>
      </c>
      <c r="BH208" s="755" t="str">
        <f>IF(VLOOKUP(A208,'Revitalisation-Revitalisierung'!$A$4:$Z$275,11,FALSE)="","",VLOOKUP(A208,'Revitalisation-Revitalisierung'!$A$4:$Z$275,11,FALSE))</f>
        <v/>
      </c>
      <c r="BI208" s="756" t="str">
        <f>IF(VLOOKUP(A208,'Revitalisation-Revitalisierung'!$A$4:$Z$275,12,FALSE)="","",VLOOKUP(A208,'Revitalisation-Revitalisierung'!$A$4:$Z$275,12,FALSE))</f>
        <v/>
      </c>
      <c r="BJ208" s="788" t="str">
        <f>IF(VLOOKUP(A208,'Revitalisation-Revitalisierung'!$A$4:$Z$275,13,FALSE)="","",VLOOKUP(A208,'Revitalisation-Revitalisierung'!$A$4:$Z$275,13,FALSE))</f>
        <v>Non nécessaire / nicht nötig</v>
      </c>
      <c r="BK208" s="870" t="str">
        <f>IF(VLOOKUP(A208,'Revitalisation-Revitalisierung'!$A$4:$Z$275,14,FALSE)="","",VLOOKUP(A208,'Revitalisation-Revitalisierung'!$A$4:$Z$275,14,FALSE))</f>
        <v>a</v>
      </c>
      <c r="BL208" s="758" t="str">
        <f>IF(VLOOKUP(A208,'Revitalisation-Revitalisierung'!$A$4:$Z$275,15,FALSE)="","",VLOOKUP(A208,'Revitalisation-Revitalisierung'!$A$4:$Z$275,15,FALSE))</f>
        <v>faible</v>
      </c>
      <c r="BM208" s="759" t="str">
        <f>IF(VLOOKUP(A208,'Revitalisation-Revitalisierung'!$A$4:$Z$275,16,FALSE)="","",VLOOKUP(A208,'Revitalisation-Revitalisierung'!$A$4:$Z$275,16,FALSE))</f>
        <v>faible</v>
      </c>
      <c r="BN208" s="759" t="str">
        <f>IF(VLOOKUP(A208,'Revitalisation-Revitalisierung'!$A$4:$Z$275,17,FALSE)="","",VLOOKUP(A208,'Revitalisation-Revitalisierung'!$A$4:$Z$275,17,FALSE))</f>
        <v>pas de mesure</v>
      </c>
      <c r="BO208" s="760" t="str">
        <f>IF(VLOOKUP(A208,'Revitalisation-Revitalisierung'!$A$4:$Z$275,18,FALSE)="","",VLOOKUP(A208,'Revitalisation-Revitalisierung'!$A$4:$Z$275,18,FALSE))</f>
        <v>Non nécessaire / nicht nötig</v>
      </c>
      <c r="BP208" s="761" t="str">
        <f>IF(VLOOKUP(A208,'Revitalisation-Revitalisierung'!$A$4:$Z$275,19,FALSE)="","",VLOOKUP(A208,'Revitalisation-Revitalisierung'!$A$4:$Z$275,19,FALSE))</f>
        <v>Non nécessaire / nicht nötig</v>
      </c>
      <c r="BQ208" s="759" t="str">
        <f>IF(VLOOKUP(A208,'Revitalisation-Revitalisierung'!$A$4:$Z$275,20,FALSE)="","",VLOOKUP(A208,'Revitalisation-Revitalisierung'!$A$4:$Z$275,20,FALSE))</f>
        <v>d</v>
      </c>
      <c r="BR208" s="759" t="str">
        <f>IF(VLOOKUP(A208,'Revitalisation-Revitalisierung'!$A$4:$Z$275,21,FALSE)="","",VLOOKUP(A208,'Revitalisation-Revitalisierung'!$A$4:$Z$275,21,FALSE))</f>
        <v/>
      </c>
      <c r="BS208" s="762" t="str">
        <f>IF(VLOOKUP(A208,'Revitalisation-Revitalisierung'!$A$4:$Z$275,22,FALSE)="","",VLOOKUP(A208,'Revitalisation-Revitalisierung'!$A$4:$Z$275,22,FALSE))</f>
        <v/>
      </c>
      <c r="BT208" s="703" t="str">
        <f>IF(VLOOKUP(A208,'Revitalisation-Revitalisierung'!$A$4:$Z$275,23,FALSE)="","",VLOOKUP(A208,'Revitalisation-Revitalisierung'!$A$4:$Z$275,23,FALSE))</f>
        <v/>
      </c>
      <c r="BU208" s="704" t="str">
        <f>IF(VLOOKUP(A208,'Revitalisation-Revitalisierung'!$A$4:$Z$275,24,FALSE)="","",VLOOKUP(A208,'Revitalisation-Revitalisierung'!$A$4:$Z$275,24,FALSE))</f>
        <v/>
      </c>
      <c r="BV208" s="761" t="str">
        <f>IF(VLOOKUP(A208,'Revitalisation-Revitalisierung'!$A$4:$Z$275,25,FALSE)="","",VLOOKUP(A208,'Revitalisation-Revitalisierung'!$A$4:$Z$275,25,FALSE))</f>
        <v>Non nécessaire / nicht nötig</v>
      </c>
      <c r="BW208" s="871" t="str">
        <f>IF(VLOOKUP(A208,'Revitalisation-Revitalisierung'!$A$4:$AA$275,27,FALSE)="","",VLOOKUP(A208,'Revitalisation-Revitalisierung'!$A$4:$AA$275,27,FALSE))</f>
        <v>a</v>
      </c>
    </row>
    <row r="209" spans="1:75" ht="97.15" customHeight="1" x14ac:dyDescent="0.25">
      <c r="A209" s="1230">
        <v>330</v>
      </c>
      <c r="B209" s="856">
        <f>IF(VLOOKUP(A209,'Données de base - Grunddaten'!$A$2:$M$297,2,FALSE)="","",VLOOKUP(A209,'Données de base - Grunddaten'!$A$2:$M$297,2,FALSE))</f>
        <v>1</v>
      </c>
      <c r="C209" s="857" t="str">
        <f>IF(VLOOKUP(A209,'Données de base - Grunddaten'!$A$2:$M$297,3,FALSE)="","",VLOOKUP(A209,'Données de base - Grunddaten'!$A$2:$M$297,3,FALSE))</f>
        <v>Jegisand</v>
      </c>
      <c r="D209" s="857" t="str">
        <f>IF(VLOOKUP(A209,'Données de base - Grunddaten'!$A$2:$M$297,4,FALSE)="","",VLOOKUP(A209,'Données de base - Grunddaten'!$A$2:$M$297,4,FALSE))</f>
        <v>Bietschbach</v>
      </c>
      <c r="E209" s="857" t="str">
        <f>IF(VLOOKUP(A209,'Données de base - Grunddaten'!$A$2:$M$297,5,FALSE)="","",VLOOKUP(A209,'Données de base - Grunddaten'!$A$2:$M$297,5,FALSE))</f>
        <v>VS</v>
      </c>
      <c r="F209" s="857" t="str">
        <f>IF(VLOOKUP(A209,'Données de base - Grunddaten'!$A$2:$M$297,6,FALSE)="","",VLOOKUP(A209,'Données de base - Grunddaten'!$A$2:$M$297,6,FALSE))</f>
        <v>Alpes centrales occidentales</v>
      </c>
      <c r="G209" s="857" t="str">
        <f>IF(VLOOKUP(A209,'Données de base - Grunddaten'!$A$2:$M$297,7,FALSE)="","",VLOOKUP(A209,'Données de base - Grunddaten'!$A$2:$M$297,7,FALSE))</f>
        <v>Subalpin sup.</v>
      </c>
      <c r="H209" s="857" t="str">
        <f>IF(VLOOKUP(A209,'Données de base - Grunddaten'!$A$2:$M$297,8,FALSE)="","",VLOOKUP(A209,'Données de base - Grunddaten'!$A$2:$M$297,8,FALSE))</f>
        <v>1740 m</v>
      </c>
      <c r="I209" s="857" t="str">
        <f>IF(VLOOKUP(A209,'Données de base - Grunddaten'!$A$2:$M$297,9,FALSE)="","",VLOOKUP(A209,'Données de base - Grunddaten'!$A$2:$M$297,9,FALSE))</f>
        <v>candidat</v>
      </c>
      <c r="J209" s="857">
        <f>IF(VLOOKUP(A209,'Données de base - Grunddaten'!$A$2:$M$297,10,FALSE)="","",VLOOKUP(A209,'Données de base - Grunddaten'!$A$2:$M$297,10,FALSE))</f>
        <v>31</v>
      </c>
      <c r="K209" s="857" t="str">
        <f>IF(VLOOKUP(A209,'Données de base - Grunddaten'!$A$2:$M$297,11,FALSE)="","",VLOOKUP(A209,'Données de base - Grunddaten'!$A$2:$M$297,11,FALSE))</f>
        <v>Cours d'eau naturels de l'étage subalpin</v>
      </c>
      <c r="L209" s="857" t="str">
        <f>IF(VLOOKUP(A209,'Données de base - Grunddaten'!$A$2:$M$297,12,FALSE)="","",VLOOKUP(A209,'Données de base - Grunddaten'!$A$2:$M$297,12,FALSE))</f>
        <v>en tresses</v>
      </c>
      <c r="M209" s="858" t="str">
        <f>IF(VLOOKUP(A209,'Données de base - Grunddaten'!$A$2:$M$297,13,FALSE)="","",VLOOKUP(A209,'Données de base - Grunddaten'!$A$2:$M$297,13,FALSE))</f>
        <v>en tresses</v>
      </c>
      <c r="N209" s="872" t="str">
        <f>IF(VLOOKUP(A209,'Charriage - Geschiebehaushalt'!$A$4:$R$275,5,FALSE)="","",VLOOKUP(A209,'Charriage - Geschiebehaushalt'!$A$4:$R$275,5,FALSE))</f>
        <v>pertinent</v>
      </c>
      <c r="O209" s="881" t="str">
        <f>IF(VLOOKUP(A209,'Charriage - Geschiebehaushalt'!$A$4:$R$275,6,FALSE)="","",VLOOKUP(A209,'Charriage - Geschiebehaushalt'!$A$4:$R$275,6,FALSE))</f>
        <v>non documenté</v>
      </c>
      <c r="P209" s="874" t="str">
        <f>IF(VLOOKUP(A209,'Charriage - Geschiebehaushalt'!$A$4:$R$275,7,FALSE)="","",VLOOKUP(A209,'Charriage - Geschiebehaushalt'!$A$4:$R$275,7,FALSE))</f>
        <v/>
      </c>
      <c r="Q209" s="874" t="str">
        <f>IF(VLOOKUP(A209,'Charriage - Geschiebehaushalt'!$A$4:$R$275,8,FALSE)="","",VLOOKUP(A209,'Charriage - Geschiebehaushalt'!$A$4:$R$275,8,FALSE))</f>
        <v>non documenté</v>
      </c>
      <c r="R209" s="895" t="str">
        <f>IF(VLOOKUP(A209,'Charriage - Geschiebehaushalt'!$A$4:$R$275,9,FALSE)="","",VLOOKUP(A209,'Charriage - Geschiebehaushalt'!$A$4:$R$275,9,FALSE))</f>
        <v/>
      </c>
      <c r="S209" s="895" t="str">
        <f>IF(VLOOKUP(A209,'Charriage - Geschiebehaushalt'!$A$4:$R$275,10,FALSE)="","",VLOOKUP(A209,'Charriage - Geschiebehaushalt'!$A$4:$R$275,10,FALSE))</f>
        <v/>
      </c>
      <c r="T209" s="895" t="str">
        <f>IF(VLOOKUP(A209,'Charriage - Geschiebehaushalt'!$A$4:$R$275,11,FALSE)="","",VLOOKUP(A209,'Charriage - Geschiebehaushalt'!$A$4:$R$275,11,FALSE))</f>
        <v/>
      </c>
      <c r="U209" s="895" t="str">
        <f>IF(VLOOKUP(A209,'Charriage - Geschiebehaushalt'!$A$4:$R$275,12,FALSE)="","",VLOOKUP(A209,'Charriage - Geschiebehaushalt'!$A$4:$R$275,12,FALSE))</f>
        <v/>
      </c>
      <c r="V209" s="877" t="str">
        <f>IF(VLOOKUP(A209,'Charriage - Geschiebehaushalt'!$A$4:$R$275,13,FALSE)="","",VLOOKUP(A209,'Charriage - Geschiebehaushalt'!$A$4:$R$275,13,FALSE))</f>
        <v>Google : beau système en tresses à proximité du relief (cours supérieur)</v>
      </c>
      <c r="W209" s="878" t="str">
        <f>IF(VLOOKUP(A209,'Charriage - Geschiebehaushalt'!$A$4:$R$275,14,FALSE)="","",VLOOKUP(A209,'Charriage - Geschiebehaushalt'!$A$4:$R$275,14,FALSE))</f>
        <v>charriage présumé naturel</v>
      </c>
      <c r="X209" s="877" t="str">
        <f>IF(VLOOKUP(A209,'Charriage - Geschiebehaushalt'!$A$4:$R$275,15,FALSE)="","",VLOOKUP(A209,'Charriage - Geschiebehaushalt'!$A$4:$R$275,15,FALSE))</f>
        <v/>
      </c>
      <c r="Y209" s="879" t="str">
        <f>IF(VLOOKUP(A209,'Charriage - Geschiebehaushalt'!$A$4:$R$275,16,FALSE)="","",VLOOKUP(A209,'Charriage - Geschiebehaushalt'!$A$4:$R$275,16,FALSE))</f>
        <v/>
      </c>
      <c r="Z209" s="763" t="str">
        <f>IF(VLOOKUP(A209,'Charriage - Geschiebehaushalt'!$A$4:$R$275,17,FALSE)="","",VLOOKUP(A209,'Charriage - Geschiebehaushalt'!$A$4:$R$275,17,FALSE))</f>
        <v>Charriage présumé naturel / Geschiebehaushalt vermutlich natürlich</v>
      </c>
      <c r="AA209" s="880" t="str">
        <f>IF(VLOOKUP(A209,'Charriage - Geschiebehaushalt'!$A$4:$R$275,18,FALSE)="","",VLOOKUP(A209,'Charriage - Geschiebehaushalt'!$A$4:$R$275,18,FALSE))</f>
        <v>b</v>
      </c>
      <c r="AB209" s="737" t="str">
        <f>IF(VLOOKUP(A209,'Charriage - Geschiebehaushalt'!$A$4:$AC$275,19,FALSE)="","",VLOOKUP(A209,'Charriage - Geschiebehaushalt'!$A$4:$AC$275,19,FALSE))</f>
        <v>non évalué</v>
      </c>
      <c r="AC209" s="738" t="str">
        <f>IF(VLOOKUP(A209,'Charriage - Geschiebehaushalt'!$A$4:$AC$275,20,FALSE)="","",VLOOKUP(A209,'Charriage - Geschiebehaushalt'!$A$4:$AC$275,20,FALSE))</f>
        <v>non évalué</v>
      </c>
      <c r="AD209" s="764" t="str">
        <f>IF(VLOOKUP(A209,'Charriage - Geschiebehaushalt'!$A$4:$AC$275,21,FALSE)="","",VLOOKUP(A209,'Charriage - Geschiebehaushalt'!$A$4:$AC$275,21,FALSE))</f>
        <v/>
      </c>
      <c r="AE209" s="740" t="str">
        <f>IF(VLOOKUP(A209,'Charriage - Geschiebehaushalt'!$A$4:$AC$275,22,FALSE)="","",VLOOKUP(A209,'Charriage - Geschiebehaushalt'!$A$4:$AC$275,22,FALSE))</f>
        <v>0-20%</v>
      </c>
      <c r="AF209" s="787" t="str">
        <f>IF(VLOOKUP(A209,'Charriage - Geschiebehaushalt'!$A$4:$AC$275,23,FALSE)="","",VLOOKUP(A209,'Charriage - Geschiebehaushalt'!$A$4:$AC$275,23,FALSE))</f>
        <v>b</v>
      </c>
      <c r="AG209" s="765" t="str">
        <f>IF(VLOOKUP(A209,'Charriage - Geschiebehaushalt'!$A$4:$AC$275,24,FALSE)="","",VLOOKUP(A209,'Charriage - Geschiebehaushalt'!$A$4:$AC$275,24,FALSE))</f>
        <v/>
      </c>
      <c r="AH209" s="764" t="str">
        <f>IF(VLOOKUP(A209,'Charriage - Geschiebehaushalt'!$A$4:$AC$275,25,FALSE)="","",VLOOKUP(A209,'Charriage - Geschiebehaushalt'!$A$4:$AC$275,25,FALSE))</f>
        <v/>
      </c>
      <c r="AI209" s="435" t="str">
        <f>IF(VLOOKUP(A209,'Charriage - Geschiebehaushalt'!$A$4:$AC$275,26,FALSE)="","",VLOOKUP(A209,'Charriage - Geschiebehaushalt'!$A$4:$AC$275,26,FALSE))</f>
        <v/>
      </c>
      <c r="AJ209" s="436" t="str">
        <f>IF(VLOOKUP(A209,'Charriage - Geschiebehaushalt'!$A$4:$AC$275,27,FALSE)="","",VLOOKUP(A209,'Charriage - Geschiebehaushalt'!$A$4:$AC$275,27,FALSE))</f>
        <v/>
      </c>
      <c r="AK209" s="801" t="str">
        <f>IF(VLOOKUP(A209,'Charriage - Geschiebehaushalt'!$A$4:$AC$275,28,FALSE)="","",VLOOKUP(A209,'Charriage - Geschiebehaushalt'!$A$4:$AC$275,28,FALSE))</f>
        <v>0-20%</v>
      </c>
      <c r="AL209" s="1285" t="str">
        <f>IF(VLOOKUP(A209,'Charriage - Geschiebehaushalt'!$A$4:$AD$275,30,FALSE)="","",VLOOKUP(A209,'Charriage - Geschiebehaushalt'!$A$4:$AD$275,30,FALSE))</f>
        <v>b</v>
      </c>
      <c r="AM209" s="1279" t="str">
        <f>IF(VLOOKUP(A209,'Débit - Abfluss'!$A$4:$K$275,5,FALSE)="","",VLOOKUP(A209,'Débit - Abfluss'!$A$4:$M$275,5,FALSE))</f>
        <v>non documenté</v>
      </c>
      <c r="AN209" s="868" t="str">
        <f>IF(VLOOKUP(A209,'Débit - Abfluss'!$A$4:$K$275,6,FALSE)="","",VLOOKUP(A209,'Débit - Abfluss'!$A$4:$M$275,6,FALSE))</f>
        <v>aucune information supplémentaire</v>
      </c>
      <c r="AO209" s="869" t="str">
        <f>IF(VLOOKUP(A209,'Débit - Abfluss'!$A$4:$K$275,7,FALSE)="","",VLOOKUP(A209,'Débit - Abfluss'!$A$4:$M$275,7,FALSE))</f>
        <v>aucune information supplémentaire</v>
      </c>
      <c r="AP209" s="766" t="str">
        <f>IF(VLOOKUP(A209,'Débit - Abfluss'!$A$4:$K$275,8,FALSE)="","",VLOOKUP(A209,'Débit - Abfluss'!$A$4:$M$275,8,FALSE))</f>
        <v>Régime présumé naturel (100%) / Abfluss vermutlich natürlich</v>
      </c>
      <c r="AQ209" s="742" t="str">
        <f>IF(VLOOKUP(A209,'Débit - Abfluss'!$A$4:$K$275,9,FALSE)="","",VLOOKUP(A209,'Débit - Abfluss'!$A$4:$M$275,9,FALSE))</f>
        <v>-</v>
      </c>
      <c r="AR209" s="770" t="str">
        <f>IF(VLOOKUP(A209,'Débit - Abfluss'!$A$4:$K$275,10,FALSE)="","",VLOOKUP(A209,'Débit - Abfluss'!$A$4:$M$275,10,FALSE))</f>
        <v>Régime présumé naturel (100%) / Abfluss vermutlich natürlich</v>
      </c>
      <c r="AS209" s="767" t="str">
        <f>IF(VLOOKUP(A209,'Débit - Abfluss'!$A$4:$K$275,11,FALSE)="","",VLOOKUP(A209,'Débit - Abfluss'!$A$4:$M$275,11,FALSE))</f>
        <v/>
      </c>
      <c r="AT209" s="778" t="str">
        <f>IF(VLOOKUP(A209,'Débit - Abfluss'!$A$4:$Q$275,12,FALSE)="","",VLOOKUP(A209,'Débit - Abfluss'!$A$4:$Q$275,12,FALSE))</f>
        <v/>
      </c>
      <c r="AU209" s="779" t="str">
        <f>IF(VLOOKUP(A209,'Débit - Abfluss'!$A$4:$Q$275,13,FALSE)="","",VLOOKUP(A209,'Débit - Abfluss'!$A$4:$Q$275,13,FALSE))</f>
        <v/>
      </c>
      <c r="AV209" s="746" t="str">
        <f>IF(VLOOKUP(A209,'Débit - Abfluss'!$A$4:$Q$275,14,FALSE)="","",VLOOKUP(A209,'Débit - Abfluss'!$A$4:$Q$275,14,FALSE))</f>
        <v/>
      </c>
      <c r="AW209" s="768" t="str">
        <f>IF(VLOOKUP(A209,'Débit - Abfluss'!$A$4:$Q$275,15,FALSE)="","",VLOOKUP(A209,'Débit - Abfluss'!$A$4:$Q$275,15,FALSE))</f>
        <v/>
      </c>
      <c r="AX209" s="679" t="str">
        <f>IF(VLOOKUP(A209,'Débit - Abfluss'!$A$4:$Q$275,16,FALSE)="","",VLOOKUP(A209,'Débit - Abfluss'!$A$4:$Q$275,16,FALSE))</f>
        <v/>
      </c>
      <c r="AY209" s="776" t="str">
        <f>IF(VLOOKUP(A209,'Débit - Abfluss'!$A$4:$Q$275,17,FALSE)="","",VLOOKUP(A209,'Débit - Abfluss'!$A$4:$Q$275,17,FALSE))</f>
        <v>Régime présumé naturel (100%) / Abfluss vermutlich natürlich</v>
      </c>
      <c r="AZ209" s="749" t="str">
        <f>IF(VLOOKUP(A209,'Eclusée - Schwall-Sunk'!$A$2:$F$273,5,FALSE)="","",VLOOKUP(A209,'Eclusée - Schwall-Sunk'!$A$2:$F$273,5,FALSE))</f>
        <v/>
      </c>
      <c r="BA209" s="750" t="str">
        <f>IF(VLOOKUP(A209,'Eclusée - Schwall-Sunk'!$A$2:$F$273,6,FALSE)="","",VLOOKUP(A209,'Eclusée - Schwall-Sunk'!$A$2:$F$273,6,FALSE))</f>
        <v>Non affecté / nicht betroffen</v>
      </c>
      <c r="BB209" s="751" t="str">
        <f>IF(VLOOKUP(A209,'Revitalisation-Revitalisierung'!$A$4:$Z$275,5,FALSE)="","",VLOOKUP(A209,'Revitalisation-Revitalisierung'!$A$4:$Z$275,5,FALSE))</f>
        <v/>
      </c>
      <c r="BC209" s="752" t="str">
        <f>IF(VLOOKUP(A209,'Revitalisation-Revitalisierung'!$A$4:$Z$275,6,FALSE)="","",VLOOKUP(A209,'Revitalisation-Revitalisierung'!$A$4:$Z$275,6,FALSE))</f>
        <v/>
      </c>
      <c r="BD209" s="752" t="str">
        <f>IF(VLOOKUP(A209,'Revitalisation-Revitalisierung'!$A$4:$Z$275,7,FALSE)="","",VLOOKUP(A209,'Revitalisation-Revitalisierung'!$A$4:$Z$275,7,FALSE))</f>
        <v/>
      </c>
      <c r="BE209" s="753" t="str">
        <f>IF(VLOOKUP(A209,'Revitalisation-Revitalisierung'!$A$4:$Z$275,8,FALSE)="","",VLOOKUP(A209,'Revitalisation-Revitalisierung'!$A$4:$Z$275,8,FALSE))</f>
        <v>non nécessaire</v>
      </c>
      <c r="BF209" s="754" t="str">
        <f>IF(VLOOKUP(A209,'Revitalisation-Revitalisierung'!$A$4:$Z$275,9,FALSE)="","",VLOOKUP(A209,'Revitalisation-Revitalisierung'!$A$4:$Z$275,9,FALSE))</f>
        <v>nicht nötig</v>
      </c>
      <c r="BG209" s="754" t="str">
        <f>IF(VLOOKUP(A209,'Revitalisation-Revitalisierung'!$A$4:$Z$275,10,FALSE)="","",VLOOKUP(A209,'Revitalisation-Revitalisierung'!$A$4:$Z$275,10,FALSE))</f>
        <v/>
      </c>
      <c r="BH209" s="755" t="str">
        <f>IF(VLOOKUP(A209,'Revitalisation-Revitalisierung'!$A$4:$Z$275,11,FALSE)="","",VLOOKUP(A209,'Revitalisation-Revitalisierung'!$A$4:$Z$275,11,FALSE))</f>
        <v/>
      </c>
      <c r="BI209" s="756" t="str">
        <f>IF(VLOOKUP(A209,'Revitalisation-Revitalisierung'!$A$4:$Z$275,12,FALSE)="","",VLOOKUP(A209,'Revitalisation-Revitalisierung'!$A$4:$Z$275,12,FALSE))</f>
        <v/>
      </c>
      <c r="BJ209" s="788" t="str">
        <f>IF(VLOOKUP(A209,'Revitalisation-Revitalisierung'!$A$4:$Z$275,13,FALSE)="","",VLOOKUP(A209,'Revitalisation-Revitalisierung'!$A$4:$Z$275,13,FALSE))</f>
        <v>Non nécessaire / nicht nötig</v>
      </c>
      <c r="BK209" s="870" t="str">
        <f>IF(VLOOKUP(A209,'Revitalisation-Revitalisierung'!$A$4:$Z$275,14,FALSE)="","",VLOOKUP(A209,'Revitalisation-Revitalisierung'!$A$4:$Z$275,14,FALSE))</f>
        <v>a</v>
      </c>
      <c r="BL209" s="758" t="str">
        <f>IF(VLOOKUP(A209,'Revitalisation-Revitalisierung'!$A$4:$Z$275,15,FALSE)="","",VLOOKUP(A209,'Revitalisation-Revitalisierung'!$A$4:$Z$275,15,FALSE))</f>
        <v>moyen</v>
      </c>
      <c r="BM209" s="759" t="str">
        <f>IF(VLOOKUP(A209,'Revitalisation-Revitalisierung'!$A$4:$Z$275,16,FALSE)="","",VLOOKUP(A209,'Revitalisation-Revitalisierung'!$A$4:$Z$275,16,FALSE))</f>
        <v>faible</v>
      </c>
      <c r="BN209" s="759" t="str">
        <f>IF(VLOOKUP(A209,'Revitalisation-Revitalisierung'!$A$4:$Z$275,17,FALSE)="","",VLOOKUP(A209,'Revitalisation-Revitalisierung'!$A$4:$Z$275,17,FALSE))</f>
        <v>pas de mesure</v>
      </c>
      <c r="BO209" s="760" t="str">
        <f>IF(VLOOKUP(A209,'Revitalisation-Revitalisierung'!$A$4:$Z$275,18,FALSE)="","",VLOOKUP(A209,'Revitalisation-Revitalisierung'!$A$4:$Z$275,18,FALSE))</f>
        <v>Non nécessaire / nicht nötig</v>
      </c>
      <c r="BP209" s="761" t="str">
        <f>IF(VLOOKUP(A209,'Revitalisation-Revitalisierung'!$A$4:$Z$275,19,FALSE)="","",VLOOKUP(A209,'Revitalisation-Revitalisierung'!$A$4:$Z$275,19,FALSE))</f>
        <v>Non nécessaire / nicht nötig</v>
      </c>
      <c r="BQ209" s="759" t="str">
        <f>IF(VLOOKUP(A209,'Revitalisation-Revitalisierung'!$A$4:$Z$275,20,FALSE)="","",VLOOKUP(A209,'Revitalisation-Revitalisierung'!$A$4:$Z$275,20,FALSE))</f>
        <v>d</v>
      </c>
      <c r="BR209" s="759" t="str">
        <f>IF(VLOOKUP(A209,'Revitalisation-Revitalisierung'!$A$4:$Z$275,21,FALSE)="","",VLOOKUP(A209,'Revitalisation-Revitalisierung'!$A$4:$Z$275,21,FALSE))</f>
        <v/>
      </c>
      <c r="BS209" s="762" t="str">
        <f>IF(VLOOKUP(A209,'Revitalisation-Revitalisierung'!$A$4:$Z$275,22,FALSE)="","",VLOOKUP(A209,'Revitalisation-Revitalisierung'!$A$4:$Z$275,22,FALSE))</f>
        <v/>
      </c>
      <c r="BT209" s="703" t="str">
        <f>IF(VLOOKUP(A209,'Revitalisation-Revitalisierung'!$A$4:$Z$275,23,FALSE)="","",VLOOKUP(A209,'Revitalisation-Revitalisierung'!$A$4:$Z$275,23,FALSE))</f>
        <v/>
      </c>
      <c r="BU209" s="704" t="str">
        <f>IF(VLOOKUP(A209,'Revitalisation-Revitalisierung'!$A$4:$Z$275,24,FALSE)="","",VLOOKUP(A209,'Revitalisation-Revitalisierung'!$A$4:$Z$275,24,FALSE))</f>
        <v/>
      </c>
      <c r="BV209" s="761" t="str">
        <f>IF(VLOOKUP(A209,'Revitalisation-Revitalisierung'!$A$4:$Z$275,25,FALSE)="","",VLOOKUP(A209,'Revitalisation-Revitalisierung'!$A$4:$Z$275,25,FALSE))</f>
        <v>Non nécessaire / nicht nötig</v>
      </c>
      <c r="BW209" s="871" t="str">
        <f>IF(VLOOKUP(A209,'Revitalisation-Revitalisierung'!$A$4:$AA$275,27,FALSE)="","",VLOOKUP(A209,'Revitalisation-Revitalisierung'!$A$4:$AA$275,27,FALSE))</f>
        <v>a</v>
      </c>
    </row>
    <row r="210" spans="1:75" ht="105.6" customHeight="1" x14ac:dyDescent="0.25">
      <c r="A210" s="1230">
        <v>331</v>
      </c>
      <c r="B210" s="856">
        <f>IF(VLOOKUP(A210,'Données de base - Grunddaten'!$A$2:$M$297,2,FALSE)="","",VLOOKUP(A210,'Données de base - Grunddaten'!$A$2:$M$297,2,FALSE))</f>
        <v>1</v>
      </c>
      <c r="C210" s="857" t="str">
        <f>IF(VLOOKUP(A210,'Données de base - Grunddaten'!$A$2:$M$297,3,FALSE)="","",VLOOKUP(A210,'Données de base - Grunddaten'!$A$2:$M$297,3,FALSE))</f>
        <v>Schweif</v>
      </c>
      <c r="D210" s="857" t="str">
        <f>IF(VLOOKUP(A210,'Données de base - Grunddaten'!$A$2:$M$297,4,FALSE)="","",VLOOKUP(A210,'Données de base - Grunddaten'!$A$2:$M$297,4,FALSE))</f>
        <v>Gerewasser</v>
      </c>
      <c r="E210" s="857" t="str">
        <f>IF(VLOOKUP(A210,'Données de base - Grunddaten'!$A$2:$M$297,5,FALSE)="","",VLOOKUP(A210,'Données de base - Grunddaten'!$A$2:$M$297,5,FALSE))</f>
        <v>VS</v>
      </c>
      <c r="F210" s="857" t="str">
        <f>IF(VLOOKUP(A210,'Données de base - Grunddaten'!$A$2:$M$297,6,FALSE)="","",VLOOKUP(A210,'Données de base - Grunddaten'!$A$2:$M$297,6,FALSE))</f>
        <v>Alpes centrales occidentales</v>
      </c>
      <c r="G210" s="857" t="str">
        <f>IF(VLOOKUP(A210,'Données de base - Grunddaten'!$A$2:$M$297,7,FALSE)="","",VLOOKUP(A210,'Données de base - Grunddaten'!$A$2:$M$297,7,FALSE))</f>
        <v>Subalpin sup.</v>
      </c>
      <c r="H210" s="857" t="str">
        <f>IF(VLOOKUP(A210,'Données de base - Grunddaten'!$A$2:$M$297,8,FALSE)="","",VLOOKUP(A210,'Données de base - Grunddaten'!$A$2:$M$297,8,FALSE))</f>
        <v>1780 m</v>
      </c>
      <c r="I210" s="857" t="str">
        <f>IF(VLOOKUP(A210,'Données de base - Grunddaten'!$A$2:$M$297,9,FALSE)="","",VLOOKUP(A210,'Données de base - Grunddaten'!$A$2:$M$297,9,FALSE))</f>
        <v>candidat</v>
      </c>
      <c r="J210" s="857">
        <f>IF(VLOOKUP(A210,'Données de base - Grunddaten'!$A$2:$M$297,10,FALSE)="","",VLOOKUP(A210,'Données de base - Grunddaten'!$A$2:$M$297,10,FALSE))</f>
        <v>31</v>
      </c>
      <c r="K210" s="857" t="str">
        <f>IF(VLOOKUP(A210,'Données de base - Grunddaten'!$A$2:$M$297,11,FALSE)="","",VLOOKUP(A210,'Données de base - Grunddaten'!$A$2:$M$297,11,FALSE))</f>
        <v>Cours d'eau naturels de l'étage subalpin</v>
      </c>
      <c r="L210" s="857" t="str">
        <f>IF(VLOOKUP(A210,'Données de base - Grunddaten'!$A$2:$M$297,12,FALSE)="","",VLOOKUP(A210,'Données de base - Grunddaten'!$A$2:$M$297,12,FALSE))</f>
        <v>en tresses</v>
      </c>
      <c r="M210" s="858" t="str">
        <f>IF(VLOOKUP(A210,'Données de base - Grunddaten'!$A$2:$M$297,13,FALSE)="","",VLOOKUP(A210,'Données de base - Grunddaten'!$A$2:$M$297,13,FALSE))</f>
        <v>en tresses</v>
      </c>
      <c r="N210" s="872" t="str">
        <f>IF(VLOOKUP(A210,'Charriage - Geschiebehaushalt'!$A$4:$R$275,5,FALSE)="","",VLOOKUP(A210,'Charriage - Geschiebehaushalt'!$A$4:$R$275,5,FALSE))</f>
        <v>pertinent</v>
      </c>
      <c r="O210" s="881" t="str">
        <f>IF(VLOOKUP(A210,'Charriage - Geschiebehaushalt'!$A$4:$R$275,6,FALSE)="","",VLOOKUP(A210,'Charriage - Geschiebehaushalt'!$A$4:$R$275,6,FALSE))</f>
        <v>non documenté</v>
      </c>
      <c r="P210" s="874" t="str">
        <f>IF(VLOOKUP(A210,'Charriage - Geschiebehaushalt'!$A$4:$R$275,7,FALSE)="","",VLOOKUP(A210,'Charriage - Geschiebehaushalt'!$A$4:$R$275,7,FALSE))</f>
        <v/>
      </c>
      <c r="Q210" s="874" t="str">
        <f>IF(VLOOKUP(A210,'Charriage - Geschiebehaushalt'!$A$4:$R$275,8,FALSE)="","",VLOOKUP(A210,'Charriage - Geschiebehaushalt'!$A$4:$R$275,8,FALSE))</f>
        <v>non documenté</v>
      </c>
      <c r="R210" s="895" t="str">
        <f>IF(VLOOKUP(A210,'Charriage - Geschiebehaushalt'!$A$4:$R$275,9,FALSE)="","",VLOOKUP(A210,'Charriage - Geschiebehaushalt'!$A$4:$R$275,9,FALSE))</f>
        <v/>
      </c>
      <c r="S210" s="895" t="str">
        <f>IF(VLOOKUP(A210,'Charriage - Geschiebehaushalt'!$A$4:$R$275,10,FALSE)="","",VLOOKUP(A210,'Charriage - Geschiebehaushalt'!$A$4:$R$275,10,FALSE))</f>
        <v/>
      </c>
      <c r="T210" s="895" t="str">
        <f>IF(VLOOKUP(A210,'Charriage - Geschiebehaushalt'!$A$4:$R$275,11,FALSE)="","",VLOOKUP(A210,'Charriage - Geschiebehaushalt'!$A$4:$R$275,11,FALSE))</f>
        <v/>
      </c>
      <c r="U210" s="895" t="str">
        <f>IF(VLOOKUP(A210,'Charriage - Geschiebehaushalt'!$A$4:$R$275,12,FALSE)="","",VLOOKUP(A210,'Charriage - Geschiebehaushalt'!$A$4:$R$275,12,FALSE))</f>
        <v/>
      </c>
      <c r="V210" s="877" t="str">
        <f>IF(VLOOKUP(A210,'Charriage - Geschiebehaushalt'!$A$4:$R$275,13,FALSE)="","",VLOOKUP(A210,'Charriage - Geschiebehaushalt'!$A$4:$R$275,13,FALSE))</f>
        <v>Google: cônes d'éboulis, cours supérieur nature</v>
      </c>
      <c r="W210" s="878" t="str">
        <f>IF(VLOOKUP(A210,'Charriage - Geschiebehaushalt'!$A$4:$R$275,14,FALSE)="","",VLOOKUP(A210,'Charriage - Geschiebehaushalt'!$A$4:$R$275,14,FALSE))</f>
        <v>charriage présumé naturel</v>
      </c>
      <c r="X210" s="877" t="str">
        <f>IF(VLOOKUP(A210,'Charriage - Geschiebehaushalt'!$A$4:$R$275,15,FALSE)="","",VLOOKUP(A210,'Charriage - Geschiebehaushalt'!$A$4:$R$275,15,FALSE))</f>
        <v/>
      </c>
      <c r="Y210" s="879" t="str">
        <f>IF(VLOOKUP(A210,'Charriage - Geschiebehaushalt'!$A$4:$R$275,16,FALSE)="","",VLOOKUP(A210,'Charriage - Geschiebehaushalt'!$A$4:$R$275,16,FALSE))</f>
        <v/>
      </c>
      <c r="Z210" s="763" t="str">
        <f>IF(VLOOKUP(A210,'Charriage - Geschiebehaushalt'!$A$4:$R$275,17,FALSE)="","",VLOOKUP(A210,'Charriage - Geschiebehaushalt'!$A$4:$R$275,17,FALSE))</f>
        <v>Charriage présumé naturel / Geschiebehaushalt vermutlich natürlich</v>
      </c>
      <c r="AA210" s="880" t="str">
        <f>IF(VLOOKUP(A210,'Charriage - Geschiebehaushalt'!$A$4:$R$275,18,FALSE)="","",VLOOKUP(A210,'Charriage - Geschiebehaushalt'!$A$4:$R$275,18,FALSE))</f>
        <v>b</v>
      </c>
      <c r="AB210" s="737" t="str">
        <f>IF(VLOOKUP(A210,'Charriage - Geschiebehaushalt'!$A$4:$AC$275,19,FALSE)="","",VLOOKUP(A210,'Charriage - Geschiebehaushalt'!$A$4:$AC$275,19,FALSE))</f>
        <v>non évalué</v>
      </c>
      <c r="AC210" s="738" t="str">
        <f>IF(VLOOKUP(A210,'Charriage - Geschiebehaushalt'!$A$4:$AC$275,20,FALSE)="","",VLOOKUP(A210,'Charriage - Geschiebehaushalt'!$A$4:$AC$275,20,FALSE))</f>
        <v>non évalué</v>
      </c>
      <c r="AD210" s="764" t="str">
        <f>IF(VLOOKUP(A210,'Charriage - Geschiebehaushalt'!$A$4:$AC$275,21,FALSE)="","",VLOOKUP(A210,'Charriage - Geschiebehaushalt'!$A$4:$AC$275,21,FALSE))</f>
        <v/>
      </c>
      <c r="AE210" s="740" t="str">
        <f>IF(VLOOKUP(A210,'Charriage - Geschiebehaushalt'!$A$4:$AC$275,22,FALSE)="","",VLOOKUP(A210,'Charriage - Geschiebehaushalt'!$A$4:$AC$275,22,FALSE))</f>
        <v>0-20%</v>
      </c>
      <c r="AF210" s="787" t="str">
        <f>IF(VLOOKUP(A210,'Charriage - Geschiebehaushalt'!$A$4:$AC$275,23,FALSE)="","",VLOOKUP(A210,'Charriage - Geschiebehaushalt'!$A$4:$AC$275,23,FALSE))</f>
        <v>b</v>
      </c>
      <c r="AG210" s="765" t="str">
        <f>IF(VLOOKUP(A210,'Charriage - Geschiebehaushalt'!$A$4:$AC$275,24,FALSE)="","",VLOOKUP(A210,'Charriage - Geschiebehaushalt'!$A$4:$AC$275,24,FALSE))</f>
        <v/>
      </c>
      <c r="AH210" s="764" t="str">
        <f>IF(VLOOKUP(A210,'Charriage - Geschiebehaushalt'!$A$4:$AC$275,25,FALSE)="","",VLOOKUP(A210,'Charriage - Geschiebehaushalt'!$A$4:$AC$275,25,FALSE))</f>
        <v/>
      </c>
      <c r="AI210" s="435" t="str">
        <f>IF(VLOOKUP(A210,'Charriage - Geschiebehaushalt'!$A$4:$AC$275,26,FALSE)="","",VLOOKUP(A210,'Charriage - Geschiebehaushalt'!$A$4:$AC$275,26,FALSE))</f>
        <v/>
      </c>
      <c r="AJ210" s="436" t="str">
        <f>IF(VLOOKUP(A210,'Charriage - Geschiebehaushalt'!$A$4:$AC$275,27,FALSE)="","",VLOOKUP(A210,'Charriage - Geschiebehaushalt'!$A$4:$AC$275,27,FALSE))</f>
        <v/>
      </c>
      <c r="AK210" s="801" t="str">
        <f>IF(VLOOKUP(A210,'Charriage - Geschiebehaushalt'!$A$4:$AC$275,28,FALSE)="","",VLOOKUP(A210,'Charriage - Geschiebehaushalt'!$A$4:$AC$275,28,FALSE))</f>
        <v>0-20%</v>
      </c>
      <c r="AL210" s="1285" t="str">
        <f>IF(VLOOKUP(A210,'Charriage - Geschiebehaushalt'!$A$4:$AD$275,30,FALSE)="","",VLOOKUP(A210,'Charriage - Geschiebehaushalt'!$A$4:$AD$275,30,FALSE))</f>
        <v>b</v>
      </c>
      <c r="AM210" s="1279" t="str">
        <f>IF(VLOOKUP(A210,'Débit - Abfluss'!$A$4:$K$275,5,FALSE)="","",VLOOKUP(A210,'Débit - Abfluss'!$A$4:$M$275,5,FALSE))</f>
        <v>non documenté</v>
      </c>
      <c r="AN210" s="868" t="str">
        <f>IF(VLOOKUP(A210,'Débit - Abfluss'!$A$4:$K$275,6,FALSE)="","",VLOOKUP(A210,'Débit - Abfluss'!$A$4:$M$275,6,FALSE))</f>
        <v>aucune information supplémentaire</v>
      </c>
      <c r="AO210" s="869" t="str">
        <f>IF(VLOOKUP(A210,'Débit - Abfluss'!$A$4:$K$275,7,FALSE)="","",VLOOKUP(A210,'Débit - Abfluss'!$A$4:$M$275,7,FALSE))</f>
        <v>aucune information supplémentaire</v>
      </c>
      <c r="AP210" s="766" t="str">
        <f>IF(VLOOKUP(A210,'Débit - Abfluss'!$A$4:$K$275,8,FALSE)="","",VLOOKUP(A210,'Débit - Abfluss'!$A$4:$M$275,8,FALSE))</f>
        <v>Régime présumé naturel (100%) / Abfluss vermutlich natürlich</v>
      </c>
      <c r="AQ210" s="742" t="str">
        <f>IF(VLOOKUP(A210,'Débit - Abfluss'!$A$4:$K$275,9,FALSE)="","",VLOOKUP(A210,'Débit - Abfluss'!$A$4:$M$275,9,FALSE))</f>
        <v>-</v>
      </c>
      <c r="AR210" s="767" t="str">
        <f>IF(VLOOKUP(A210,'Débit - Abfluss'!$A$4:$K$275,10,FALSE)="","",VLOOKUP(A210,'Débit - Abfluss'!$A$4:$M$275,10,FALSE))</f>
        <v>Régime présumé naturel (100%) / Abfluss vermutlich natürlich</v>
      </c>
      <c r="AS210" s="767" t="str">
        <f>IF(VLOOKUP(A210,'Débit - Abfluss'!$A$4:$K$275,11,FALSE)="","",VLOOKUP(A210,'Débit - Abfluss'!$A$4:$M$275,11,FALSE))</f>
        <v/>
      </c>
      <c r="AT210" s="778" t="str">
        <f>IF(VLOOKUP(A210,'Débit - Abfluss'!$A$4:$Q$275,12,FALSE)="","",VLOOKUP(A210,'Débit - Abfluss'!$A$4:$Q$275,12,FALSE))</f>
        <v/>
      </c>
      <c r="AU210" s="779" t="str">
        <f>IF(VLOOKUP(A210,'Débit - Abfluss'!$A$4:$Q$275,13,FALSE)="","",VLOOKUP(A210,'Débit - Abfluss'!$A$4:$Q$275,13,FALSE))</f>
        <v/>
      </c>
      <c r="AV210" s="746" t="str">
        <f>IF(VLOOKUP(A210,'Débit - Abfluss'!$A$4:$Q$275,14,FALSE)="","",VLOOKUP(A210,'Débit - Abfluss'!$A$4:$Q$275,14,FALSE))</f>
        <v/>
      </c>
      <c r="AW210" s="768" t="str">
        <f>IF(VLOOKUP(A210,'Débit - Abfluss'!$A$4:$Q$275,15,FALSE)="","",VLOOKUP(A210,'Débit - Abfluss'!$A$4:$Q$275,15,FALSE))</f>
        <v/>
      </c>
      <c r="AX210" s="679" t="str">
        <f>IF(VLOOKUP(A210,'Débit - Abfluss'!$A$4:$Q$275,16,FALSE)="","",VLOOKUP(A210,'Débit - Abfluss'!$A$4:$Q$275,16,FALSE))</f>
        <v/>
      </c>
      <c r="AY210" s="769" t="str">
        <f>IF(VLOOKUP(A210,'Débit - Abfluss'!$A$4:$Q$275,17,FALSE)="","",VLOOKUP(A210,'Débit - Abfluss'!$A$4:$Q$275,17,FALSE))</f>
        <v>Régime présumé naturel (100%) / Abfluss vermutlich natürlich</v>
      </c>
      <c r="AZ210" s="749" t="str">
        <f>IF(VLOOKUP(A210,'Eclusée - Schwall-Sunk'!$A$2:$F$273,5,FALSE)="","",VLOOKUP(A210,'Eclusée - Schwall-Sunk'!$A$2:$F$273,5,FALSE))</f>
        <v/>
      </c>
      <c r="BA210" s="750" t="str">
        <f>IF(VLOOKUP(A210,'Eclusée - Schwall-Sunk'!$A$2:$F$273,6,FALSE)="","",VLOOKUP(A210,'Eclusée - Schwall-Sunk'!$A$2:$F$273,6,FALSE))</f>
        <v>Non affecté / nicht betroffen</v>
      </c>
      <c r="BB210" s="751" t="str">
        <f>IF(VLOOKUP(A210,'Revitalisation-Revitalisierung'!$A$4:$Z$275,5,FALSE)="","",VLOOKUP(A210,'Revitalisation-Revitalisierung'!$A$4:$Z$275,5,FALSE))</f>
        <v/>
      </c>
      <c r="BC210" s="752" t="str">
        <f>IF(VLOOKUP(A210,'Revitalisation-Revitalisierung'!$A$4:$Z$275,6,FALSE)="","",VLOOKUP(A210,'Revitalisation-Revitalisierung'!$A$4:$Z$275,6,FALSE))</f>
        <v/>
      </c>
      <c r="BD210" s="752" t="str">
        <f>IF(VLOOKUP(A210,'Revitalisation-Revitalisierung'!$A$4:$Z$275,7,FALSE)="","",VLOOKUP(A210,'Revitalisation-Revitalisierung'!$A$4:$Z$275,7,FALSE))</f>
        <v/>
      </c>
      <c r="BE210" s="753" t="str">
        <f>IF(VLOOKUP(A210,'Revitalisation-Revitalisierung'!$A$4:$Z$275,8,FALSE)="","",VLOOKUP(A210,'Revitalisation-Revitalisierung'!$A$4:$Z$275,8,FALSE))</f>
        <v>non nécessaire</v>
      </c>
      <c r="BF210" s="754" t="str">
        <f>IF(VLOOKUP(A210,'Revitalisation-Revitalisierung'!$A$4:$Z$275,9,FALSE)="","",VLOOKUP(A210,'Revitalisation-Revitalisierung'!$A$4:$Z$275,9,FALSE))</f>
        <v>nicht nötig</v>
      </c>
      <c r="BG210" s="754" t="str">
        <f>IF(VLOOKUP(A210,'Revitalisation-Revitalisierung'!$A$4:$Z$275,10,FALSE)="","",VLOOKUP(A210,'Revitalisation-Revitalisierung'!$A$4:$Z$275,10,FALSE))</f>
        <v/>
      </c>
      <c r="BH210" s="755" t="str">
        <f>IF(VLOOKUP(A210,'Revitalisation-Revitalisierung'!$A$4:$Z$275,11,FALSE)="","",VLOOKUP(A210,'Revitalisation-Revitalisierung'!$A$4:$Z$275,11,FALSE))</f>
        <v/>
      </c>
      <c r="BI210" s="756" t="str">
        <f>IF(VLOOKUP(A210,'Revitalisation-Revitalisierung'!$A$4:$Z$275,12,FALSE)="","",VLOOKUP(A210,'Revitalisation-Revitalisierung'!$A$4:$Z$275,12,FALSE))</f>
        <v/>
      </c>
      <c r="BJ210" s="788" t="str">
        <f>IF(VLOOKUP(A210,'Revitalisation-Revitalisierung'!$A$4:$Z$275,13,FALSE)="","",VLOOKUP(A210,'Revitalisation-Revitalisierung'!$A$4:$Z$275,13,FALSE))</f>
        <v>Non nécessaire / nicht nötig</v>
      </c>
      <c r="BK210" s="870" t="str">
        <f>IF(VLOOKUP(A210,'Revitalisation-Revitalisierung'!$A$4:$Z$275,14,FALSE)="","",VLOOKUP(A210,'Revitalisation-Revitalisierung'!$A$4:$Z$275,14,FALSE))</f>
        <v>a</v>
      </c>
      <c r="BL210" s="758" t="str">
        <f>IF(VLOOKUP(A210,'Revitalisation-Revitalisierung'!$A$4:$Z$275,15,FALSE)="","",VLOOKUP(A210,'Revitalisation-Revitalisierung'!$A$4:$Z$275,15,FALSE))</f>
        <v>moyen</v>
      </c>
      <c r="BM210" s="759" t="str">
        <f>IF(VLOOKUP(A210,'Revitalisation-Revitalisierung'!$A$4:$Z$275,16,FALSE)="","",VLOOKUP(A210,'Revitalisation-Revitalisierung'!$A$4:$Z$275,16,FALSE))</f>
        <v>faible</v>
      </c>
      <c r="BN210" s="759" t="str">
        <f>IF(VLOOKUP(A210,'Revitalisation-Revitalisierung'!$A$4:$Z$275,17,FALSE)="","",VLOOKUP(A210,'Revitalisation-Revitalisierung'!$A$4:$Z$275,17,FALSE))</f>
        <v>pas de mesure</v>
      </c>
      <c r="BO210" s="760" t="str">
        <f>IF(VLOOKUP(A210,'Revitalisation-Revitalisierung'!$A$4:$Z$275,18,FALSE)="","",VLOOKUP(A210,'Revitalisation-Revitalisierung'!$A$4:$Z$275,18,FALSE))</f>
        <v>Non nécessaire / nicht nötig</v>
      </c>
      <c r="BP210" s="761" t="str">
        <f>IF(VLOOKUP(A210,'Revitalisation-Revitalisierung'!$A$4:$Z$275,19,FALSE)="","",VLOOKUP(A210,'Revitalisation-Revitalisierung'!$A$4:$Z$275,19,FALSE))</f>
        <v>Non nécessaire / nicht nötig</v>
      </c>
      <c r="BQ210" s="759" t="str">
        <f>IF(VLOOKUP(A210,'Revitalisation-Revitalisierung'!$A$4:$Z$275,20,FALSE)="","",VLOOKUP(A210,'Revitalisation-Revitalisierung'!$A$4:$Z$275,20,FALSE))</f>
        <v>d</v>
      </c>
      <c r="BR210" s="759" t="str">
        <f>IF(VLOOKUP(A210,'Revitalisation-Revitalisierung'!$A$4:$Z$275,21,FALSE)="","",VLOOKUP(A210,'Revitalisation-Revitalisierung'!$A$4:$Z$275,21,FALSE))</f>
        <v/>
      </c>
      <c r="BS210" s="762" t="str">
        <f>IF(VLOOKUP(A210,'Revitalisation-Revitalisierung'!$A$4:$Z$275,22,FALSE)="","",VLOOKUP(A210,'Revitalisation-Revitalisierung'!$A$4:$Z$275,22,FALSE))</f>
        <v/>
      </c>
      <c r="BT210" s="703" t="str">
        <f>IF(VLOOKUP(A210,'Revitalisation-Revitalisierung'!$A$4:$Z$275,23,FALSE)="","",VLOOKUP(A210,'Revitalisation-Revitalisierung'!$A$4:$Z$275,23,FALSE))</f>
        <v/>
      </c>
      <c r="BU210" s="704" t="str">
        <f>IF(VLOOKUP(A210,'Revitalisation-Revitalisierung'!$A$4:$Z$275,24,FALSE)="","",VLOOKUP(A210,'Revitalisation-Revitalisierung'!$A$4:$Z$275,24,FALSE))</f>
        <v/>
      </c>
      <c r="BV210" s="761" t="str">
        <f>IF(VLOOKUP(A210,'Revitalisation-Revitalisierung'!$A$4:$Z$275,25,FALSE)="","",VLOOKUP(A210,'Revitalisation-Revitalisierung'!$A$4:$Z$275,25,FALSE))</f>
        <v>Non nécessaire / nicht nötig</v>
      </c>
      <c r="BW210" s="871" t="str">
        <f>IF(VLOOKUP(A210,'Revitalisation-Revitalisierung'!$A$4:$AA$275,27,FALSE)="","",VLOOKUP(A210,'Revitalisation-Revitalisierung'!$A$4:$AA$275,27,FALSE))</f>
        <v>a</v>
      </c>
    </row>
    <row r="211" spans="1:75" ht="121.9" customHeight="1" x14ac:dyDescent="0.25">
      <c r="A211" s="1230">
        <v>332</v>
      </c>
      <c r="B211" s="856">
        <f>IF(VLOOKUP(A211,'Données de base - Grunddaten'!$A$2:$M$297,2,FALSE)="","",VLOOKUP(A211,'Données de base - Grunddaten'!$A$2:$M$297,2,FALSE))</f>
        <v>1</v>
      </c>
      <c r="C211" s="857" t="str">
        <f>IF(VLOOKUP(A211,'Données de base - Grunddaten'!$A$2:$M$297,3,FALSE)="","",VLOOKUP(A211,'Données de base - Grunddaten'!$A$2:$M$297,3,FALSE))</f>
        <v>Prayon</v>
      </c>
      <c r="D211" s="857" t="str">
        <f>IF(VLOOKUP(A211,'Données de base - Grunddaten'!$A$2:$M$297,4,FALSE)="","",VLOOKUP(A211,'Données de base - Grunddaten'!$A$2:$M$297,4,FALSE))</f>
        <v>La Dranse de Ferret</v>
      </c>
      <c r="E211" s="857" t="str">
        <f>IF(VLOOKUP(A211,'Données de base - Grunddaten'!$A$2:$M$297,5,FALSE)="","",VLOOKUP(A211,'Données de base - Grunddaten'!$A$2:$M$297,5,FALSE))</f>
        <v>VS</v>
      </c>
      <c r="F211" s="857" t="str">
        <f>IF(VLOOKUP(A211,'Données de base - Grunddaten'!$A$2:$M$297,6,FALSE)="","",VLOOKUP(A211,'Données de base - Grunddaten'!$A$2:$M$297,6,FALSE))</f>
        <v>Alpes centrales occidentales</v>
      </c>
      <c r="G211" s="857" t="str">
        <f>IF(VLOOKUP(A211,'Données de base - Grunddaten'!$A$2:$M$297,7,FALSE)="","",VLOOKUP(A211,'Données de base - Grunddaten'!$A$2:$M$297,7,FALSE))</f>
        <v>Subalpin inf.</v>
      </c>
      <c r="H211" s="857" t="str">
        <f>IF(VLOOKUP(A211,'Données de base - Grunddaten'!$A$2:$M$297,8,FALSE)="","",VLOOKUP(A211,'Données de base - Grunddaten'!$A$2:$M$297,8,FALSE))</f>
        <v>1480 m</v>
      </c>
      <c r="I211" s="857" t="str">
        <f>IF(VLOOKUP(A211,'Données de base - Grunddaten'!$A$2:$M$297,9,FALSE)="","",VLOOKUP(A211,'Données de base - Grunddaten'!$A$2:$M$297,9,FALSE))</f>
        <v>candidat</v>
      </c>
      <c r="J211" s="857">
        <f>IF(VLOOKUP(A211,'Données de base - Grunddaten'!$A$2:$M$297,10,FALSE)="","",VLOOKUP(A211,'Données de base - Grunddaten'!$A$2:$M$297,10,FALSE))</f>
        <v>31</v>
      </c>
      <c r="K211" s="857" t="str">
        <f>IF(VLOOKUP(A211,'Données de base - Grunddaten'!$A$2:$M$297,11,FALSE)="","",VLOOKUP(A211,'Données de base - Grunddaten'!$A$2:$M$297,11,FALSE))</f>
        <v>Cours d'eau naturels de l'étage subalpin</v>
      </c>
      <c r="L211" s="857" t="str">
        <f>IF(VLOOKUP(A211,'Données de base - Grunddaten'!$A$2:$M$297,12,FALSE)="","",VLOOKUP(A211,'Données de base - Grunddaten'!$A$2:$M$297,12,FALSE))</f>
        <v>en tresses</v>
      </c>
      <c r="M211" s="858" t="str">
        <f>IF(VLOOKUP(A211,'Données de base - Grunddaten'!$A$2:$M$297,13,FALSE)="","",VLOOKUP(A211,'Données de base - Grunddaten'!$A$2:$M$297,13,FALSE))</f>
        <v>en tresses</v>
      </c>
      <c r="N211" s="872" t="str">
        <f>IF(VLOOKUP(A211,'Charriage - Geschiebehaushalt'!$A$4:$R$275,5,FALSE)="","",VLOOKUP(A211,'Charriage - Geschiebehaushalt'!$A$4:$R$275,5,FALSE))</f>
        <v>pertinent</v>
      </c>
      <c r="O211" s="881" t="str">
        <f>IF(VLOOKUP(A211,'Charriage - Geschiebehaushalt'!$A$4:$R$275,6,FALSE)="","",VLOOKUP(A211,'Charriage - Geschiebehaushalt'!$A$4:$R$275,6,FALSE))</f>
        <v>non documenté</v>
      </c>
      <c r="P211" s="874" t="str">
        <f>IF(VLOOKUP(A211,'Charriage - Geschiebehaushalt'!$A$4:$R$275,7,FALSE)="","",VLOOKUP(A211,'Charriage - Geschiebehaushalt'!$A$4:$R$275,7,FALSE))</f>
        <v/>
      </c>
      <c r="Q211" s="874" t="str">
        <f>IF(VLOOKUP(A211,'Charriage - Geschiebehaushalt'!$A$4:$R$275,8,FALSE)="","",VLOOKUP(A211,'Charriage - Geschiebehaushalt'!$A$4:$R$275,8,FALSE))</f>
        <v>non documenté</v>
      </c>
      <c r="R211" s="895" t="str">
        <f>IF(VLOOKUP(A211,'Charriage - Geschiebehaushalt'!$A$4:$R$275,9,FALSE)="","",VLOOKUP(A211,'Charriage - Geschiebehaushalt'!$A$4:$R$275,9,FALSE))</f>
        <v/>
      </c>
      <c r="S211" s="895" t="str">
        <f>IF(VLOOKUP(A211,'Charriage - Geschiebehaushalt'!$A$4:$R$275,10,FALSE)="","",VLOOKUP(A211,'Charriage - Geschiebehaushalt'!$A$4:$R$275,10,FALSE))</f>
        <v/>
      </c>
      <c r="T211" s="895" t="str">
        <f>IF(VLOOKUP(A211,'Charriage - Geschiebehaushalt'!$A$4:$R$275,11,FALSE)="","",VLOOKUP(A211,'Charriage - Geschiebehaushalt'!$A$4:$R$275,11,FALSE))</f>
        <v/>
      </c>
      <c r="U211" s="895" t="str">
        <f>IF(VLOOKUP(A211,'Charriage - Geschiebehaushalt'!$A$4:$R$275,12,FALSE)="","",VLOOKUP(A211,'Charriage - Geschiebehaushalt'!$A$4:$R$275,12,FALSE))</f>
        <v/>
      </c>
      <c r="V211" s="877" t="str">
        <f>IF(VLOOKUP(A211,'Charriage - Geschiebehaushalt'!$A$4:$R$275,13,FALSE)="","",VLOOKUP(A211,'Charriage - Geschiebehaushalt'!$A$4:$R$275,13,FALSE))</f>
        <v>Google: lit large, beau système de tresses à proximité relief (cours supérieur), barrage La Fouly, mais purges fréquentes, bcp apport sédiments par affluents, crues intactes</v>
      </c>
      <c r="W211" s="878" t="str">
        <f>IF(VLOOKUP(A211,'Charriage - Geschiebehaushalt'!$A$4:$R$275,14,FALSE)="","",VLOOKUP(A211,'Charriage - Geschiebehaushalt'!$A$4:$R$275,14,FALSE))</f>
        <v>charriage présumé naturel</v>
      </c>
      <c r="X211" s="877" t="str">
        <f>IF(VLOOKUP(A211,'Charriage - Geschiebehaushalt'!$A$4:$R$275,15,FALSE)="","",VLOOKUP(A211,'Charriage - Geschiebehaushalt'!$A$4:$R$275,15,FALSE))</f>
        <v/>
      </c>
      <c r="Y211" s="879" t="str">
        <f>IF(VLOOKUP(A211,'Charriage - Geschiebehaushalt'!$A$4:$R$275,16,FALSE)="","",VLOOKUP(A211,'Charriage - Geschiebehaushalt'!$A$4:$R$275,16,FALSE))</f>
        <v/>
      </c>
      <c r="Z211" s="763" t="str">
        <f>IF(VLOOKUP(A211,'Charriage - Geschiebehaushalt'!$A$4:$R$275,17,FALSE)="","",VLOOKUP(A211,'Charriage - Geschiebehaushalt'!$A$4:$R$275,17,FALSE))</f>
        <v>Charriage présumé naturel / Geschiebehaushalt vermutlich natürlich</v>
      </c>
      <c r="AA211" s="880" t="str">
        <f>IF(VLOOKUP(A211,'Charriage - Geschiebehaushalt'!$A$4:$R$275,18,FALSE)="","",VLOOKUP(A211,'Charriage - Geschiebehaushalt'!$A$4:$R$275,18,FALSE))</f>
        <v>a</v>
      </c>
      <c r="AB211" s="737" t="str">
        <f>IF(VLOOKUP(A211,'Charriage - Geschiebehaushalt'!$A$4:$AC$275,19,FALSE)="","",VLOOKUP(A211,'Charriage - Geschiebehaushalt'!$A$4:$AC$275,19,FALSE))</f>
        <v>atteinte significative</v>
      </c>
      <c r="AC211" s="738" t="str">
        <f>IF(VLOOKUP(A211,'Charriage - Geschiebehaushalt'!$A$4:$AC$275,20,FALSE)="","",VLOOKUP(A211,'Charriage - Geschiebehaushalt'!$A$4:$AC$275,20,FALSE))</f>
        <v>mesure prévue</v>
      </c>
      <c r="AD211" s="764" t="str">
        <f>IF(VLOOKUP(A211,'Charriage - Geschiebehaushalt'!$A$4:$AC$275,21,FALSE)="","",VLOOKUP(A211,'Charriage - Geschiebehaushalt'!$A$4:$AC$275,21,FALSE))</f>
        <v>21-50%</v>
      </c>
      <c r="AE211" s="772" t="str">
        <f>IF(VLOOKUP(A211,'Charriage - Geschiebehaushalt'!$A$4:$AC$275,22,FALSE)="","",VLOOKUP(A211,'Charriage - Geschiebehaushalt'!$A$4:$AC$275,22,FALSE))</f>
        <v>21-50%</v>
      </c>
      <c r="AF211" s="787" t="str">
        <f>IF(VLOOKUP(A211,'Charriage - Geschiebehaushalt'!$A$4:$AC$275,23,FALSE)="","",VLOOKUP(A211,'Charriage - Geschiebehaushalt'!$A$4:$AC$275,23,FALSE))</f>
        <v>c</v>
      </c>
      <c r="AG211" s="765" t="str">
        <f>IF(VLOOKUP(A211,'Charriage - Geschiebehaushalt'!$A$4:$AC$275,24,FALSE)="","",VLOOKUP(A211,'Charriage - Geschiebehaushalt'!$A$4:$AC$275,24,FALSE))</f>
        <v>Quantité de sédiments adéquate, mais il y a un problème de débit de restitution. Assainissement du captage prévu.</v>
      </c>
      <c r="AH211" s="764" t="str">
        <f>IF(VLOOKUP(A211,'Charriage - Geschiebehaushalt'!$A$4:$AC$275,25,FALSE)="","",VLOOKUP(A211,'Charriage - Geschiebehaushalt'!$A$4:$AC$275,25,FALSE))</f>
        <v/>
      </c>
      <c r="AI211" s="435" t="str">
        <f>IF(VLOOKUP(A211,'Charriage - Geschiebehaushalt'!$A$4:$AC$275,26,FALSE)="","",VLOOKUP(A211,'Charriage - Geschiebehaushalt'!$A$4:$AC$275,26,FALSE))</f>
        <v/>
      </c>
      <c r="AJ211" s="436" t="str">
        <f>IF(VLOOKUP(A211,'Charriage - Geschiebehaushalt'!$A$4:$AC$275,27,FALSE)="","",VLOOKUP(A211,'Charriage - Geschiebehaushalt'!$A$4:$AC$275,27,FALSE))</f>
        <v/>
      </c>
      <c r="AK211" s="814" t="str">
        <f>IF(VLOOKUP(A211,'Charriage - Geschiebehaushalt'!$A$4:$AC$275,28,FALSE)="","",VLOOKUP(A211,'Charriage - Geschiebehaushalt'!$A$4:$AC$275,28,FALSE))</f>
        <v>21-50%</v>
      </c>
      <c r="AL211" s="1285" t="str">
        <f>IF(VLOOKUP(A211,'Charriage - Geschiebehaushalt'!$A$4:$AD$275,30,FALSE)="","",VLOOKUP(A211,'Charriage - Geschiebehaushalt'!$A$4:$AD$275,30,FALSE))</f>
        <v>a</v>
      </c>
      <c r="AM211" s="1279" t="str">
        <f>IF(VLOOKUP(A211,'Débit - Abfluss'!$A$4:$K$275,5,FALSE)="","",VLOOKUP(A211,'Débit - Abfluss'!$A$4:$M$275,5,FALSE))</f>
        <v>0-20%</v>
      </c>
      <c r="AN211" s="868" t="str">
        <f>IF(VLOOKUP(A211,'Débit - Abfluss'!$A$4:$K$275,6,FALSE)="","",VLOOKUP(A211,'Débit - Abfluss'!$A$4:$M$275,6,FALSE))</f>
        <v/>
      </c>
      <c r="AO211" s="869" t="str">
        <f>IF(VLOOKUP(A211,'Débit - Abfluss'!$A$4:$K$275,7,FALSE)="","",VLOOKUP(A211,'Débit - Abfluss'!$A$4:$M$275,7,FALSE))</f>
        <v/>
      </c>
      <c r="AP211" s="766" t="str">
        <f>IF(VLOOKUP(A211,'Débit - Abfluss'!$A$4:$K$275,8,FALSE)="","",VLOOKUP(A211,'Débit - Abfluss'!$A$4:$M$275,8,FALSE))</f>
        <v>0-20%</v>
      </c>
      <c r="AQ211" s="678" t="str">
        <f>IF(VLOOKUP(A211,'Débit - Abfluss'!$A$4:$K$275,9,FALSE)="","",VLOOKUP(A211,'Débit - Abfluss'!$A$4:$M$275,9,FALSE))</f>
        <v>50-90%</v>
      </c>
      <c r="AR211" s="767" t="str">
        <f>IF(VLOOKUP(A211,'Débit - Abfluss'!$A$4:$K$275,10,FALSE)="","",VLOOKUP(A211,'Débit - Abfluss'!$A$4:$M$275,10,FALSE))</f>
        <v>0-20%</v>
      </c>
      <c r="AS211" s="767" t="str">
        <f>IF(VLOOKUP(A211,'Débit - Abfluss'!$A$4:$K$275,11,FALSE)="","",VLOOKUP(A211,'Débit - Abfluss'!$A$4:$M$275,11,FALSE))</f>
        <v/>
      </c>
      <c r="AT211" s="778" t="str">
        <f>IF(VLOOKUP(A211,'Débit - Abfluss'!$A$4:$Q$275,12,FALSE)="","",VLOOKUP(A211,'Débit - Abfluss'!$A$4:$Q$275,12,FALSE))</f>
        <v/>
      </c>
      <c r="AU211" s="779" t="str">
        <f>IF(VLOOKUP(A211,'Débit - Abfluss'!$A$4:$Q$275,13,FALSE)="","",VLOOKUP(A211,'Débit - Abfluss'!$A$4:$Q$275,13,FALSE))</f>
        <v/>
      </c>
      <c r="AV211" s="746" t="str">
        <f>IF(VLOOKUP(A211,'Débit - Abfluss'!$A$4:$Q$275,14,FALSE)="","",VLOOKUP(A211,'Débit - Abfluss'!$A$4:$Q$275,14,FALSE))</f>
        <v>VS-832.3</v>
      </c>
      <c r="AW211" s="768" t="str">
        <f>IF(VLOOKUP(A211,'Débit - Abfluss'!$A$4:$Q$275,15,FALSE)="","",VLOOKUP(A211,'Débit - Abfluss'!$A$4:$Q$275,15,FALSE))</f>
        <v>Chatelard-Vallorcine (Emosson)</v>
      </c>
      <c r="AX211" s="679" t="str">
        <f>IF(VLOOKUP(A211,'Débit - Abfluss'!$A$4:$Q$275,16,FALSE)="","",VLOOKUP(A211,'Débit - Abfluss'!$A$4:$Q$275,16,FALSE))</f>
        <v/>
      </c>
      <c r="AY211" s="769" t="str">
        <f>IF(VLOOKUP(A211,'Débit - Abfluss'!$A$4:$Q$275,17,FALSE)="","",VLOOKUP(A211,'Débit - Abfluss'!$A$4:$Q$275,17,FALSE))</f>
        <v>0-20%</v>
      </c>
      <c r="AZ211" s="749" t="str">
        <f>IF(VLOOKUP(A211,'Eclusée - Schwall-Sunk'!$A$2:$F$273,5,FALSE)="","",VLOOKUP(A211,'Eclusée - Schwall-Sunk'!$A$2:$F$273,5,FALSE))</f>
        <v>force hydraulique</v>
      </c>
      <c r="BA211" s="750" t="str">
        <f>IF(VLOOKUP(A211,'Eclusée - Schwall-Sunk'!$A$2:$F$273,6,FALSE)="","",VLOOKUP(A211,'Eclusée - Schwall-Sunk'!$A$2:$F$273,6,FALSE))</f>
        <v>Non affecté / nicht betroffen</v>
      </c>
      <c r="BB211" s="751" t="str">
        <f>IF(VLOOKUP(A211,'Revitalisation-Revitalisierung'!$A$4:$Z$275,5,FALSE)="","",VLOOKUP(A211,'Revitalisation-Revitalisierung'!$A$4:$Z$275,5,FALSE))</f>
        <v/>
      </c>
      <c r="BC211" s="752" t="str">
        <f>IF(VLOOKUP(A211,'Revitalisation-Revitalisierung'!$A$4:$Z$275,6,FALSE)="","",VLOOKUP(A211,'Revitalisation-Revitalisierung'!$A$4:$Z$275,6,FALSE))</f>
        <v/>
      </c>
      <c r="BD211" s="752" t="str">
        <f>IF(VLOOKUP(A211,'Revitalisation-Revitalisierung'!$A$4:$Z$275,7,FALSE)="","",VLOOKUP(A211,'Revitalisation-Revitalisierung'!$A$4:$Z$275,7,FALSE))</f>
        <v/>
      </c>
      <c r="BE211" s="753" t="str">
        <f>IF(VLOOKUP(A211,'Revitalisation-Revitalisierung'!$A$4:$Z$275,8,FALSE)="","",VLOOKUP(A211,'Revitalisation-Revitalisierung'!$A$4:$Z$275,8,FALSE))</f>
        <v>non nécessaire</v>
      </c>
      <c r="BF211" s="754" t="str">
        <f>IF(VLOOKUP(A211,'Revitalisation-Revitalisierung'!$A$4:$Z$275,9,FALSE)="","",VLOOKUP(A211,'Revitalisation-Revitalisierung'!$A$4:$Z$275,9,FALSE))</f>
        <v>nicht nötig</v>
      </c>
      <c r="BG211" s="754" t="str">
        <f>IF(VLOOKUP(A211,'Revitalisation-Revitalisierung'!$A$4:$Z$275,10,FALSE)="","",VLOOKUP(A211,'Revitalisation-Revitalisierung'!$A$4:$Z$275,10,FALSE))</f>
        <v/>
      </c>
      <c r="BH211" s="755" t="str">
        <f>IF(VLOOKUP(A211,'Revitalisation-Revitalisierung'!$A$4:$Z$275,11,FALSE)="","",VLOOKUP(A211,'Revitalisation-Revitalisierung'!$A$4:$Z$275,11,FALSE))</f>
        <v/>
      </c>
      <c r="BI211" s="756" t="str">
        <f>IF(VLOOKUP(A211,'Revitalisation-Revitalisierung'!$A$4:$Z$275,12,FALSE)="","",VLOOKUP(A211,'Revitalisation-Revitalisierung'!$A$4:$Z$275,12,FALSE))</f>
        <v/>
      </c>
      <c r="BJ211" s="788" t="str">
        <f>IF(VLOOKUP(A211,'Revitalisation-Revitalisierung'!$A$4:$Z$275,13,FALSE)="","",VLOOKUP(A211,'Revitalisation-Revitalisierung'!$A$4:$Z$275,13,FALSE))</f>
        <v>Très nécessaire, facile / unbedingt nötig, einfach</v>
      </c>
      <c r="BK211" s="870" t="str">
        <f>IF(VLOOKUP(A211,'Revitalisation-Revitalisierung'!$A$4:$Z$275,14,FALSE)="","",VLOOKUP(A211,'Revitalisation-Revitalisierung'!$A$4:$Z$275,14,FALSE))</f>
        <v>b</v>
      </c>
      <c r="BL211" s="758" t="str">
        <f>IF(VLOOKUP(A211,'Revitalisation-Revitalisierung'!$A$4:$Z$275,15,FALSE)="","",VLOOKUP(A211,'Revitalisation-Revitalisierung'!$A$4:$Z$275,15,FALSE))</f>
        <v>élevé à moyen</v>
      </c>
      <c r="BM211" s="759" t="str">
        <f>IF(VLOOKUP(A211,'Revitalisation-Revitalisierung'!$A$4:$Z$275,16,FALSE)="","",VLOOKUP(A211,'Revitalisation-Revitalisierung'!$A$4:$Z$275,16,FALSE))</f>
        <v>faible</v>
      </c>
      <c r="BN211" s="759" t="str">
        <f>IF(VLOOKUP(A211,'Revitalisation-Revitalisierung'!$A$4:$Z$275,17,FALSE)="","",VLOOKUP(A211,'Revitalisation-Revitalisierung'!$A$4:$Z$275,17,FALSE))</f>
        <v>mesure (affluent uniquement)</v>
      </c>
      <c r="BO211" s="760" t="str">
        <f>IF(VLOOKUP(A211,'Revitalisation-Revitalisierung'!$A$4:$Z$275,18,FALSE)="","",VLOOKUP(A211,'Revitalisation-Revitalisierung'!$A$4:$Z$275,18,FALSE))</f>
        <v>Non nécessaire / nicht nötig</v>
      </c>
      <c r="BP211" s="761" t="str">
        <f>IF(VLOOKUP(A211,'Revitalisation-Revitalisierung'!$A$4:$Z$275,19,FALSE)="","",VLOOKUP(A211,'Revitalisation-Revitalisierung'!$A$4:$Z$275,19,FALSE))</f>
        <v>Très nécessaire, facile / unbedingt nötig, einfach</v>
      </c>
      <c r="BQ211" s="759" t="str">
        <f>IF(VLOOKUP(A211,'Revitalisation-Revitalisierung'!$A$4:$Z$275,20,FALSE)="","",VLOOKUP(A211,'Revitalisation-Revitalisierung'!$A$4:$Z$275,20,FALSE))</f>
        <v>b</v>
      </c>
      <c r="BR211" s="759" t="str">
        <f>IF(VLOOKUP(A211,'Revitalisation-Revitalisierung'!$A$4:$Z$275,21,FALSE)="","",VLOOKUP(A211,'Revitalisation-Revitalisierung'!$A$4:$Z$275,21,FALSE))</f>
        <v>la nécessité ne concerne que les affluents (le canton prévoit effectivement des mesures sur les affluents)</v>
      </c>
      <c r="BS211" s="762" t="str">
        <f>IF(VLOOKUP(A211,'Revitalisation-Revitalisierung'!$A$4:$Z$275,22,FALSE)="","",VLOOKUP(A211,'Revitalisation-Revitalisierung'!$A$4:$Z$275,22,FALSE))</f>
        <v/>
      </c>
      <c r="BT211" s="703" t="str">
        <f>IF(VLOOKUP(A211,'Revitalisation-Revitalisierung'!$A$4:$Z$275,23,FALSE)="","",VLOOKUP(A211,'Revitalisation-Revitalisierung'!$A$4:$Z$275,23,FALSE))</f>
        <v/>
      </c>
      <c r="BU211" s="704" t="str">
        <f>IF(VLOOKUP(A211,'Revitalisation-Revitalisierung'!$A$4:$Z$275,24,FALSE)="","",VLOOKUP(A211,'Revitalisation-Revitalisierung'!$A$4:$Z$275,24,FALSE))</f>
        <v/>
      </c>
      <c r="BV211" s="761" t="str">
        <f>IF(VLOOKUP(A211,'Revitalisation-Revitalisierung'!$A$4:$Z$275,25,FALSE)="","",VLOOKUP(A211,'Revitalisation-Revitalisierung'!$A$4:$Z$275,25,FALSE))</f>
        <v>Très nécessaire, facile / unbedingt nötig, einfach</v>
      </c>
      <c r="BW211" s="871" t="str">
        <f>IF(VLOOKUP(A211,'Revitalisation-Revitalisierung'!$A$4:$AA$275,27,FALSE)="","",VLOOKUP(A211,'Revitalisation-Revitalisierung'!$A$4:$AA$275,27,FALSE))</f>
        <v>b</v>
      </c>
    </row>
    <row r="212" spans="1:75" ht="85.15" customHeight="1" x14ac:dyDescent="0.25">
      <c r="A212" s="1230">
        <v>333</v>
      </c>
      <c r="B212" s="856">
        <f>IF(VLOOKUP(A212,'Données de base - Grunddaten'!$A$2:$M$297,2,FALSE)="","",VLOOKUP(A212,'Données de base - Grunddaten'!$A$2:$M$297,2,FALSE))</f>
        <v>1</v>
      </c>
      <c r="C212" s="857" t="str">
        <f>IF(VLOOKUP(A212,'Données de base - Grunddaten'!$A$2:$M$297,3,FALSE)="","",VLOOKUP(A212,'Données de base - Grunddaten'!$A$2:$M$297,3,FALSE))</f>
        <v>Praz de Fort</v>
      </c>
      <c r="D212" s="857" t="str">
        <f>IF(VLOOKUP(A212,'Données de base - Grunddaten'!$A$2:$M$297,4,FALSE)="","",VLOOKUP(A212,'Données de base - Grunddaten'!$A$2:$M$297,4,FALSE))</f>
        <v>La Dranse de Ferret</v>
      </c>
      <c r="E212" s="857" t="str">
        <f>IF(VLOOKUP(A212,'Données de base - Grunddaten'!$A$2:$M$297,5,FALSE)="","",VLOOKUP(A212,'Données de base - Grunddaten'!$A$2:$M$297,5,FALSE))</f>
        <v>VS</v>
      </c>
      <c r="F212" s="857" t="str">
        <f>IF(VLOOKUP(A212,'Données de base - Grunddaten'!$A$2:$M$297,6,FALSE)="","",VLOOKUP(A212,'Données de base - Grunddaten'!$A$2:$M$297,6,FALSE))</f>
        <v>Alpes centrales occidentales</v>
      </c>
      <c r="G212" s="857" t="str">
        <f>IF(VLOOKUP(A212,'Données de base - Grunddaten'!$A$2:$M$297,7,FALSE)="","",VLOOKUP(A212,'Données de base - Grunddaten'!$A$2:$M$297,7,FALSE))</f>
        <v>Subalpin inf.</v>
      </c>
      <c r="H212" s="857" t="str">
        <f>IF(VLOOKUP(A212,'Données de base - Grunddaten'!$A$2:$M$297,8,FALSE)="","",VLOOKUP(A212,'Données de base - Grunddaten'!$A$2:$M$297,8,FALSE))</f>
        <v>1240 m</v>
      </c>
      <c r="I212" s="857" t="str">
        <f>IF(VLOOKUP(A212,'Données de base - Grunddaten'!$A$2:$M$297,9,FALSE)="","",VLOOKUP(A212,'Données de base - Grunddaten'!$A$2:$M$297,9,FALSE))</f>
        <v>candidat</v>
      </c>
      <c r="J212" s="857">
        <f>IF(VLOOKUP(A212,'Données de base - Grunddaten'!$A$2:$M$297,10,FALSE)="","",VLOOKUP(A212,'Données de base - Grunddaten'!$A$2:$M$297,10,FALSE))</f>
        <v>31</v>
      </c>
      <c r="K212" s="857" t="str">
        <f>IF(VLOOKUP(A212,'Données de base - Grunddaten'!$A$2:$M$297,11,FALSE)="","",VLOOKUP(A212,'Données de base - Grunddaten'!$A$2:$M$297,11,FALSE))</f>
        <v>Cours d'eau naturels de l'étage subalpin</v>
      </c>
      <c r="L212" s="857" t="str">
        <f>IF(VLOOKUP(A212,'Données de base - Grunddaten'!$A$2:$M$297,12,FALSE)="","",VLOOKUP(A212,'Données de base - Grunddaten'!$A$2:$M$297,12,FALSE))</f>
        <v>en tresses</v>
      </c>
      <c r="M212" s="858" t="str">
        <f>IF(VLOOKUP(A212,'Données de base - Grunddaten'!$A$2:$M$297,13,FALSE)="","",VLOOKUP(A212,'Données de base - Grunddaten'!$A$2:$M$297,13,FALSE))</f>
        <v>en tresses</v>
      </c>
      <c r="N212" s="872" t="str">
        <f>IF(VLOOKUP(A212,'Charriage - Geschiebehaushalt'!$A$4:$R$275,5,FALSE)="","",VLOOKUP(A212,'Charriage - Geschiebehaushalt'!$A$4:$R$275,5,FALSE))</f>
        <v>pertinent</v>
      </c>
      <c r="O212" s="881" t="str">
        <f>IF(VLOOKUP(A212,'Charriage - Geschiebehaushalt'!$A$4:$R$275,6,FALSE)="","",VLOOKUP(A212,'Charriage - Geschiebehaushalt'!$A$4:$R$275,6,FALSE))</f>
        <v>non documenté</v>
      </c>
      <c r="P212" s="874" t="str">
        <f>IF(VLOOKUP(A212,'Charriage - Geschiebehaushalt'!$A$4:$R$275,7,FALSE)="","",VLOOKUP(A212,'Charriage - Geschiebehaushalt'!$A$4:$R$275,7,FALSE))</f>
        <v/>
      </c>
      <c r="Q212" s="874" t="str">
        <f>IF(VLOOKUP(A212,'Charriage - Geschiebehaushalt'!$A$4:$R$275,8,FALSE)="","",VLOOKUP(A212,'Charriage - Geschiebehaushalt'!$A$4:$R$275,8,FALSE))</f>
        <v>non documenté</v>
      </c>
      <c r="R212" s="895" t="str">
        <f>IF(VLOOKUP(A212,'Charriage - Geschiebehaushalt'!$A$4:$R$275,9,FALSE)="","",VLOOKUP(A212,'Charriage - Geschiebehaushalt'!$A$4:$R$275,9,FALSE))</f>
        <v/>
      </c>
      <c r="S212" s="895" t="str">
        <f>IF(VLOOKUP(A212,'Charriage - Geschiebehaushalt'!$A$4:$R$275,10,FALSE)="","",VLOOKUP(A212,'Charriage - Geschiebehaushalt'!$A$4:$R$275,10,FALSE))</f>
        <v/>
      </c>
      <c r="T212" s="895" t="str">
        <f>IF(VLOOKUP(A212,'Charriage - Geschiebehaushalt'!$A$4:$R$275,11,FALSE)="","",VLOOKUP(A212,'Charriage - Geschiebehaushalt'!$A$4:$R$275,11,FALSE))</f>
        <v/>
      </c>
      <c r="U212" s="895" t="str">
        <f>IF(VLOOKUP(A212,'Charriage - Geschiebehaushalt'!$A$4:$R$275,12,FALSE)="","",VLOOKUP(A212,'Charriage - Geschiebehaushalt'!$A$4:$R$275,12,FALSE))</f>
        <v/>
      </c>
      <c r="V212" s="877" t="str">
        <f>IF(VLOOKUP(A212,'Charriage - Geschiebehaushalt'!$A$4:$R$275,13,FALSE)="","",VLOOKUP(A212,'Charriage - Geschiebehaushalt'!$A$4:$R$275,13,FALSE))</f>
        <v>idem 332. Extraction de sédiments et chenal-pilote en aval de l'objet entraine incision sur 500 m en amont</v>
      </c>
      <c r="W212" s="878" t="str">
        <f>IF(VLOOKUP(A212,'Charriage - Geschiebehaushalt'!$A$4:$R$275,14,FALSE)="","",VLOOKUP(A212,'Charriage - Geschiebehaushalt'!$A$4:$R$275,14,FALSE))</f>
        <v>charriage présumé perturbé</v>
      </c>
      <c r="X212" s="877" t="str">
        <f>IF(VLOOKUP(A212,'Charriage - Geschiebehaushalt'!$A$4:$R$275,15,FALSE)="","",VLOOKUP(A212,'Charriage - Geschiebehaushalt'!$A$4:$R$275,15,FALSE))</f>
        <v/>
      </c>
      <c r="Y212" s="879" t="str">
        <f>IF(VLOOKUP(A212,'Charriage - Geschiebehaushalt'!$A$4:$R$275,16,FALSE)="","",VLOOKUP(A212,'Charriage - Geschiebehaushalt'!$A$4:$R$275,16,FALSE))</f>
        <v/>
      </c>
      <c r="Z212" s="763" t="str">
        <f>IF(VLOOKUP(A212,'Charriage - Geschiebehaushalt'!$A$4:$R$275,17,FALSE)="","",VLOOKUP(A212,'Charriage - Geschiebehaushalt'!$A$4:$R$275,17,FALSE))</f>
        <v>Charriage présumé naturel / Geschiebehaushalt vermutlich natürlich</v>
      </c>
      <c r="AA212" s="880" t="str">
        <f>IF(VLOOKUP(A212,'Charriage - Geschiebehaushalt'!$A$4:$R$275,18,FALSE)="","",VLOOKUP(A212,'Charriage - Geschiebehaushalt'!$A$4:$R$275,18,FALSE))</f>
        <v>a</v>
      </c>
      <c r="AB212" s="737" t="str">
        <f>IF(VLOOKUP(A212,'Charriage - Geschiebehaushalt'!$A$4:$AC$275,19,FALSE)="","",VLOOKUP(A212,'Charriage - Geschiebehaushalt'!$A$4:$AC$275,19,FALSE))</f>
        <v>atteinte significative</v>
      </c>
      <c r="AC212" s="738" t="str">
        <f>IF(VLOOKUP(A212,'Charriage - Geschiebehaushalt'!$A$4:$AC$275,20,FALSE)="","",VLOOKUP(A212,'Charriage - Geschiebehaushalt'!$A$4:$AC$275,20,FALSE))</f>
        <v>mesure prévue</v>
      </c>
      <c r="AD212" s="764" t="str">
        <f>IF(VLOOKUP(A212,'Charriage - Geschiebehaushalt'!$A$4:$AC$275,21,FALSE)="","",VLOOKUP(A212,'Charriage - Geschiebehaushalt'!$A$4:$AC$275,21,FALSE))</f>
        <v>21-50%</v>
      </c>
      <c r="AE212" s="772" t="str">
        <f>IF(VLOOKUP(A212,'Charriage - Geschiebehaushalt'!$A$4:$AC$275,22,FALSE)="","",VLOOKUP(A212,'Charriage - Geschiebehaushalt'!$A$4:$AC$275,22,FALSE))</f>
        <v>21-50%</v>
      </c>
      <c r="AF212" s="787" t="str">
        <f>IF(VLOOKUP(A212,'Charriage - Geschiebehaushalt'!$A$4:$AC$275,23,FALSE)="","",VLOOKUP(A212,'Charriage - Geschiebehaushalt'!$A$4:$AC$275,23,FALSE))</f>
        <v>c</v>
      </c>
      <c r="AG212" s="765" t="str">
        <f>IF(VLOOKUP(A212,'Charriage - Geschiebehaushalt'!$A$4:$AC$275,24,FALSE)="","",VLOOKUP(A212,'Charriage - Geschiebehaushalt'!$A$4:$AC$275,24,FALSE))</f>
        <v>Quantité de sédiments adéquate, mais il y a un problème de débit de restitution. Assainissement du captage prévu.</v>
      </c>
      <c r="AH212" s="764" t="str">
        <f>IF(VLOOKUP(A212,'Charriage - Geschiebehaushalt'!$A$4:$AC$275,25,FALSE)="","",VLOOKUP(A212,'Charriage - Geschiebehaushalt'!$A$4:$AC$275,25,FALSE))</f>
        <v/>
      </c>
      <c r="AI212" s="435" t="str">
        <f>IF(VLOOKUP(A212,'Charriage - Geschiebehaushalt'!$A$4:$AC$275,26,FALSE)="","",VLOOKUP(A212,'Charriage - Geschiebehaushalt'!$A$4:$AC$275,26,FALSE))</f>
        <v/>
      </c>
      <c r="AJ212" s="436" t="str">
        <f>IF(VLOOKUP(A212,'Charriage - Geschiebehaushalt'!$A$4:$AC$275,27,FALSE)="","",VLOOKUP(A212,'Charriage - Geschiebehaushalt'!$A$4:$AC$275,27,FALSE))</f>
        <v/>
      </c>
      <c r="AK212" s="814" t="str">
        <f>IF(VLOOKUP(A212,'Charriage - Geschiebehaushalt'!$A$4:$AC$275,28,FALSE)="","",VLOOKUP(A212,'Charriage - Geschiebehaushalt'!$A$4:$AC$275,28,FALSE))</f>
        <v>21-50%</v>
      </c>
      <c r="AL212" s="1285" t="str">
        <f>IF(VLOOKUP(A212,'Charriage - Geschiebehaushalt'!$A$4:$AD$275,30,FALSE)="","",VLOOKUP(A212,'Charriage - Geschiebehaushalt'!$A$4:$AD$275,30,FALSE))</f>
        <v>a</v>
      </c>
      <c r="AM212" s="1279" t="str">
        <f>IF(VLOOKUP(A212,'Débit - Abfluss'!$A$4:$K$275,5,FALSE)="","",VLOOKUP(A212,'Débit - Abfluss'!$A$4:$M$275,5,FALSE))</f>
        <v>0-20%</v>
      </c>
      <c r="AN212" s="868" t="str">
        <f>IF(VLOOKUP(A212,'Débit - Abfluss'!$A$4:$K$275,6,FALSE)="","",VLOOKUP(A212,'Débit - Abfluss'!$A$4:$M$275,6,FALSE))</f>
        <v/>
      </c>
      <c r="AO212" s="869" t="str">
        <f>IF(VLOOKUP(A212,'Débit - Abfluss'!$A$4:$K$275,7,FALSE)="","",VLOOKUP(A212,'Débit - Abfluss'!$A$4:$M$275,7,FALSE))</f>
        <v/>
      </c>
      <c r="AP212" s="766" t="str">
        <f>IF(VLOOKUP(A212,'Débit - Abfluss'!$A$4:$K$275,8,FALSE)="","",VLOOKUP(A212,'Débit - Abfluss'!$A$4:$M$275,8,FALSE))</f>
        <v>0-20%</v>
      </c>
      <c r="AQ212" s="678" t="str">
        <f>IF(VLOOKUP(A212,'Débit - Abfluss'!$A$4:$K$275,9,FALSE)="","",VLOOKUP(A212,'Débit - Abfluss'!$A$4:$M$275,9,FALSE))</f>
        <v>Fehlende Angaben</v>
      </c>
      <c r="AR212" s="767" t="str">
        <f>IF(VLOOKUP(A212,'Débit - Abfluss'!$A$4:$K$275,10,FALSE)="","",VLOOKUP(A212,'Débit - Abfluss'!$A$4:$M$275,10,FALSE))</f>
        <v>0-20%</v>
      </c>
      <c r="AS212" s="773" t="str">
        <f>IF(VLOOKUP(A212,'Débit - Abfluss'!$A$4:$K$275,11,FALSE)="","",VLOOKUP(A212,'Débit - Abfluss'!$A$4:$M$275,11,FALSE))</f>
        <v>X</v>
      </c>
      <c r="AT212" s="778" t="str">
        <f>IF(VLOOKUP(A212,'Débit - Abfluss'!$A$4:$Q$275,12,FALSE)="","",VLOOKUP(A212,'Débit - Abfluss'!$A$4:$Q$275,12,FALSE))</f>
        <v/>
      </c>
      <c r="AU212" s="779" t="str">
        <f>IF(VLOOKUP(A212,'Débit - Abfluss'!$A$4:$Q$275,13,FALSE)="","",VLOOKUP(A212,'Débit - Abfluss'!$A$4:$Q$275,13,FALSE))</f>
        <v/>
      </c>
      <c r="AV212" s="746" t="str">
        <f>IF(VLOOKUP(A212,'Débit - Abfluss'!$A$4:$Q$275,14,FALSE)="","",VLOOKUP(A212,'Débit - Abfluss'!$A$4:$Q$275,14,FALSE))</f>
        <v>VS-832.2
VS-832.1</v>
      </c>
      <c r="AW212" s="768" t="str">
        <f>IF(VLOOKUP(A212,'Débit - Abfluss'!$A$4:$Q$275,15,FALSE)="","",VLOOKUP(A212,'Débit - Abfluss'!$A$4:$Q$275,15,FALSE))</f>
        <v>Orsières</v>
      </c>
      <c r="AX212" s="679" t="str">
        <f>IF(VLOOKUP(A212,'Débit - Abfluss'!$A$4:$Q$275,16,FALSE)="","",VLOOKUP(A212,'Débit - Abfluss'!$A$4:$Q$275,16,FALSE))</f>
        <v/>
      </c>
      <c r="AY212" s="802" t="str">
        <f>IF(VLOOKUP(A212,'Débit - Abfluss'!$A$4:$Q$275,17,FALSE)="","",VLOOKUP(A212,'Débit - Abfluss'!$A$4:$Q$275,17,FALSE))</f>
        <v>0-20%</v>
      </c>
      <c r="AZ212" s="749" t="str">
        <f>IF(VLOOKUP(A212,'Eclusée - Schwall-Sunk'!$A$2:$F$273,5,FALSE)="","",VLOOKUP(A212,'Eclusée - Schwall-Sunk'!$A$2:$F$273,5,FALSE))</f>
        <v>force hydraulique</v>
      </c>
      <c r="BA212" s="750" t="str">
        <f>IF(VLOOKUP(A212,'Eclusée - Schwall-Sunk'!$A$2:$F$273,6,FALSE)="","",VLOOKUP(A212,'Eclusée - Schwall-Sunk'!$A$2:$F$273,6,FALSE))</f>
        <v>Non affecté / nicht betroffen</v>
      </c>
      <c r="BB212" s="751" t="str">
        <f>IF(VLOOKUP(A212,'Revitalisation-Revitalisierung'!$A$4:$Z$275,5,FALSE)="","",VLOOKUP(A212,'Revitalisation-Revitalisierung'!$A$4:$Z$275,5,FALSE))</f>
        <v/>
      </c>
      <c r="BC212" s="752" t="str">
        <f>IF(VLOOKUP(A212,'Revitalisation-Revitalisierung'!$A$4:$Z$275,6,FALSE)="","",VLOOKUP(A212,'Revitalisation-Revitalisierung'!$A$4:$Z$275,6,FALSE))</f>
        <v/>
      </c>
      <c r="BD212" s="752" t="str">
        <f>IF(VLOOKUP(A212,'Revitalisation-Revitalisierung'!$A$4:$Z$275,7,FALSE)="","",VLOOKUP(A212,'Revitalisation-Revitalisierung'!$A$4:$Z$275,7,FALSE))</f>
        <v/>
      </c>
      <c r="BE212" s="753" t="str">
        <f>IF(VLOOKUP(A212,'Revitalisation-Revitalisierung'!$A$4:$Z$275,8,FALSE)="","",VLOOKUP(A212,'Revitalisation-Revitalisierung'!$A$4:$Z$275,8,FALSE))</f>
        <v>non nécessaire</v>
      </c>
      <c r="BF212" s="754" t="str">
        <f>IF(VLOOKUP(A212,'Revitalisation-Revitalisierung'!$A$4:$Z$275,9,FALSE)="","",VLOOKUP(A212,'Revitalisation-Revitalisierung'!$A$4:$Z$275,9,FALSE))</f>
        <v>nicht nötig</v>
      </c>
      <c r="BG212" s="794" t="str">
        <f>IF(VLOOKUP(A212,'Revitalisation-Revitalisierung'!$A$4:$Z$275,10,FALSE)="","",VLOOKUP(A212,'Revitalisation-Revitalisierung'!$A$4:$Z$275,10,FALSE))</f>
        <v/>
      </c>
      <c r="BH212" s="755" t="str">
        <f>IF(VLOOKUP(A212,'Revitalisation-Revitalisierung'!$A$4:$Z$275,11,FALSE)="","",VLOOKUP(A212,'Revitalisation-Revitalisierung'!$A$4:$Z$275,11,FALSE))</f>
        <v/>
      </c>
      <c r="BI212" s="756" t="str">
        <f>IF(VLOOKUP(A212,'Revitalisation-Revitalisierung'!$A$4:$Z$275,12,FALSE)="","",VLOOKUP(A212,'Revitalisation-Revitalisierung'!$A$4:$Z$275,12,FALSE))</f>
        <v/>
      </c>
      <c r="BJ212" s="788" t="str">
        <f>IF(VLOOKUP(A212,'Revitalisation-Revitalisierung'!$A$4:$Z$275,13,FALSE)="","",VLOOKUP(A212,'Revitalisation-Revitalisierung'!$A$4:$Z$275,13,FALSE))</f>
        <v>Très nécessaire, facile / unbedingt nötig, einfach</v>
      </c>
      <c r="BK212" s="870" t="str">
        <f>IF(VLOOKUP(A212,'Revitalisation-Revitalisierung'!$A$4:$Z$275,14,FALSE)="","",VLOOKUP(A212,'Revitalisation-Revitalisierung'!$A$4:$Z$275,14,FALSE))</f>
        <v>b</v>
      </c>
      <c r="BL212" s="758" t="str">
        <f>IF(VLOOKUP(A212,'Revitalisation-Revitalisierung'!$A$4:$Z$275,15,FALSE)="","",VLOOKUP(A212,'Revitalisation-Revitalisierung'!$A$4:$Z$275,15,FALSE))</f>
        <v>élevé</v>
      </c>
      <c r="BM212" s="759" t="str">
        <f>IF(VLOOKUP(A212,'Revitalisation-Revitalisierung'!$A$4:$Z$275,16,FALSE)="","",VLOOKUP(A212,'Revitalisation-Revitalisierung'!$A$4:$Z$275,16,FALSE))</f>
        <v>élevé</v>
      </c>
      <c r="BN212" s="759" t="str">
        <f>IF(VLOOKUP(A212,'Revitalisation-Revitalisierung'!$A$4:$Z$275,17,FALSE)="","",VLOOKUP(A212,'Revitalisation-Revitalisierung'!$A$4:$Z$275,17,FALSE))</f>
        <v>mesure (partie aval uniquement)</v>
      </c>
      <c r="BO212" s="760" t="str">
        <f>IF(VLOOKUP(A212,'Revitalisation-Revitalisierung'!$A$4:$Z$275,18,FALSE)="","",VLOOKUP(A212,'Revitalisation-Revitalisierung'!$A$4:$Z$275,18,FALSE))</f>
        <v>Très nécessaire, facile / unbedingt nötig, einfach</v>
      </c>
      <c r="BP212" s="761" t="str">
        <f>IF(VLOOKUP(A212,'Revitalisation-Revitalisierung'!$A$4:$Z$275,19,FALSE)="","",VLOOKUP(A212,'Revitalisation-Revitalisierung'!$A$4:$Z$275,19,FALSE))</f>
        <v>Très nécessaire, facile / unbedingt nötig, einfach</v>
      </c>
      <c r="BQ212" s="759" t="str">
        <f>IF(VLOOKUP(A212,'Revitalisation-Revitalisierung'!$A$4:$Z$275,20,FALSE)="","",VLOOKUP(A212,'Revitalisation-Revitalisierung'!$A$4:$Z$275,20,FALSE))</f>
        <v>d</v>
      </c>
      <c r="BR212" s="759" t="str">
        <f>IF(VLOOKUP(A212,'Revitalisation-Revitalisierung'!$A$4:$Z$275,21,FALSE)="","",VLOOKUP(A212,'Revitalisation-Revitalisierung'!$A$4:$Z$275,21,FALSE))</f>
        <v/>
      </c>
      <c r="BS212" s="762" t="str">
        <f>IF(VLOOKUP(A212,'Revitalisation-Revitalisierung'!$A$4:$Z$275,22,FALSE)="","",VLOOKUP(A212,'Revitalisation-Revitalisierung'!$A$4:$Z$275,22,FALSE))</f>
        <v/>
      </c>
      <c r="BT212" s="703" t="str">
        <f>IF(VLOOKUP(A212,'Revitalisation-Revitalisierung'!$A$4:$Z$275,23,FALSE)="","",VLOOKUP(A212,'Revitalisation-Revitalisierung'!$A$4:$Z$275,23,FALSE))</f>
        <v/>
      </c>
      <c r="BU212" s="704" t="str">
        <f>IF(VLOOKUP(A212,'Revitalisation-Revitalisierung'!$A$4:$Z$275,24,FALSE)="","",VLOOKUP(A212,'Revitalisation-Revitalisierung'!$A$4:$Z$275,24,FALSE))</f>
        <v/>
      </c>
      <c r="BV212" s="761" t="str">
        <f>IF(VLOOKUP(A212,'Revitalisation-Revitalisierung'!$A$4:$Z$275,25,FALSE)="","",VLOOKUP(A212,'Revitalisation-Revitalisierung'!$A$4:$Z$275,25,FALSE))</f>
        <v>Très nécessaire, facile / unbedingt nötig, einfach</v>
      </c>
      <c r="BW212" s="871" t="str">
        <f>IF(VLOOKUP(A212,'Revitalisation-Revitalisierung'!$A$4:$AA$275,27,FALSE)="","",VLOOKUP(A212,'Revitalisation-Revitalisierung'!$A$4:$AA$275,27,FALSE))</f>
        <v>a</v>
      </c>
    </row>
    <row r="213" spans="1:75" ht="123.6" customHeight="1" x14ac:dyDescent="0.25">
      <c r="A213" s="1230">
        <v>334</v>
      </c>
      <c r="B213" s="856">
        <f>IF(VLOOKUP(A213,'Données de base - Grunddaten'!$A$2:$M$297,2,FALSE)="","",VLOOKUP(A213,'Données de base - Grunddaten'!$A$2:$M$297,2,FALSE))</f>
        <v>1</v>
      </c>
      <c r="C213" s="857" t="str">
        <f>IF(VLOOKUP(A213,'Données de base - Grunddaten'!$A$2:$M$297,3,FALSE)="","",VLOOKUP(A213,'Données de base - Grunddaten'!$A$2:$M$297,3,FALSE))</f>
        <v>Plat de la Lé</v>
      </c>
      <c r="D213" s="857" t="str">
        <f>IF(VLOOKUP(A213,'Données de base - Grunddaten'!$A$2:$M$297,4,FALSE)="","",VLOOKUP(A213,'Données de base - Grunddaten'!$A$2:$M$297,4,FALSE))</f>
        <v>La Navisence</v>
      </c>
      <c r="E213" s="857" t="str">
        <f>IF(VLOOKUP(A213,'Données de base - Grunddaten'!$A$2:$M$297,5,FALSE)="","",VLOOKUP(A213,'Données de base - Grunddaten'!$A$2:$M$297,5,FALSE))</f>
        <v>VS</v>
      </c>
      <c r="F213" s="857" t="str">
        <f>IF(VLOOKUP(A213,'Données de base - Grunddaten'!$A$2:$M$297,6,FALSE)="","",VLOOKUP(A213,'Données de base - Grunddaten'!$A$2:$M$297,6,FALSE))</f>
        <v>Alpes centrales occidentales</v>
      </c>
      <c r="G213" s="857" t="str">
        <f>IF(VLOOKUP(A213,'Données de base - Grunddaten'!$A$2:$M$297,7,FALSE)="","",VLOOKUP(A213,'Données de base - Grunddaten'!$A$2:$M$297,7,FALSE))</f>
        <v>Subalpin sup.</v>
      </c>
      <c r="H213" s="857" t="str">
        <f>IF(VLOOKUP(A213,'Données de base - Grunddaten'!$A$2:$M$297,8,FALSE)="","",VLOOKUP(A213,'Données de base - Grunddaten'!$A$2:$M$297,8,FALSE))</f>
        <v>1700 m</v>
      </c>
      <c r="I213" s="857" t="str">
        <f>IF(VLOOKUP(A213,'Données de base - Grunddaten'!$A$2:$M$297,9,FALSE)="","",VLOOKUP(A213,'Données de base - Grunddaten'!$A$2:$M$297,9,FALSE))</f>
        <v>candidat</v>
      </c>
      <c r="J213" s="857">
        <f>IF(VLOOKUP(A213,'Données de base - Grunddaten'!$A$2:$M$297,10,FALSE)="","",VLOOKUP(A213,'Données de base - Grunddaten'!$A$2:$M$297,10,FALSE))</f>
        <v>31</v>
      </c>
      <c r="K213" s="857" t="str">
        <f>IF(VLOOKUP(A213,'Données de base - Grunddaten'!$A$2:$M$297,11,FALSE)="","",VLOOKUP(A213,'Données de base - Grunddaten'!$A$2:$M$297,11,FALSE))</f>
        <v>Cours d'eau naturels de l'étage subalpin</v>
      </c>
      <c r="L213" s="857" t="str">
        <f>IF(VLOOKUP(A213,'Données de base - Grunddaten'!$A$2:$M$297,12,FALSE)="","",VLOOKUP(A213,'Données de base - Grunddaten'!$A$2:$M$297,12,FALSE))</f>
        <v>en tresses</v>
      </c>
      <c r="M213" s="858" t="str">
        <f>IF(VLOOKUP(A213,'Données de base - Grunddaten'!$A$2:$M$297,13,FALSE)="","",VLOOKUP(A213,'Données de base - Grunddaten'!$A$2:$M$297,13,FALSE))</f>
        <v>en tresses</v>
      </c>
      <c r="N213" s="872" t="str">
        <f>IF(VLOOKUP(A213,'Charriage - Geschiebehaushalt'!$A$4:$R$275,5,FALSE)="","",VLOOKUP(A213,'Charriage - Geschiebehaushalt'!$A$4:$R$275,5,FALSE))</f>
        <v>pertinent</v>
      </c>
      <c r="O213" s="881" t="str">
        <f>IF(VLOOKUP(A213,'Charriage - Geschiebehaushalt'!$A$4:$R$275,6,FALSE)="","",VLOOKUP(A213,'Charriage - Geschiebehaushalt'!$A$4:$R$275,6,FALSE))</f>
        <v>non documenté</v>
      </c>
      <c r="P213" s="874" t="str">
        <f>IF(VLOOKUP(A213,'Charriage - Geschiebehaushalt'!$A$4:$R$275,7,FALSE)="","",VLOOKUP(A213,'Charriage - Geschiebehaushalt'!$A$4:$R$275,7,FALSE))</f>
        <v/>
      </c>
      <c r="Q213" s="874" t="str">
        <f>IF(VLOOKUP(A213,'Charriage - Geschiebehaushalt'!$A$4:$R$275,8,FALSE)="","",VLOOKUP(A213,'Charriage - Geschiebehaushalt'!$A$4:$R$275,8,FALSE))</f>
        <v>non documenté</v>
      </c>
      <c r="R213" s="895" t="str">
        <f>IF(VLOOKUP(A213,'Charriage - Geschiebehaushalt'!$A$4:$R$275,9,FALSE)="","",VLOOKUP(A213,'Charriage - Geschiebehaushalt'!$A$4:$R$275,9,FALSE))</f>
        <v/>
      </c>
      <c r="S213" s="895" t="str">
        <f>IF(VLOOKUP(A213,'Charriage - Geschiebehaushalt'!$A$4:$R$275,10,FALSE)="","",VLOOKUP(A213,'Charriage - Geschiebehaushalt'!$A$4:$R$275,10,FALSE))</f>
        <v/>
      </c>
      <c r="T213" s="895" t="str">
        <f>IF(VLOOKUP(A213,'Charriage - Geschiebehaushalt'!$A$4:$R$275,11,FALSE)="","",VLOOKUP(A213,'Charriage - Geschiebehaushalt'!$A$4:$R$275,11,FALSE))</f>
        <v/>
      </c>
      <c r="U213" s="895" t="str">
        <f>IF(VLOOKUP(A213,'Charriage - Geschiebehaushalt'!$A$4:$R$275,12,FALSE)="","",VLOOKUP(A213,'Charriage - Geschiebehaushalt'!$A$4:$R$275,12,FALSE))</f>
        <v/>
      </c>
      <c r="V213" s="877" t="str">
        <f>IF(VLOOKUP(A213,'Charriage - Geschiebehaushalt'!$A$4:$R$275,13,FALSE)="","",VLOOKUP(A213,'Charriage - Geschiebehaushalt'!$A$4:$R$275,13,FALSE))</f>
        <v>Google: beau système de tresses à proximité relief (cours supérieur). Extraction de sédiments et chenal-pilote en aval de l'objet entraine modification importante de la géomorphologie</v>
      </c>
      <c r="W213" s="878" t="str">
        <f>IF(VLOOKUP(A213,'Charriage - Geschiebehaushalt'!$A$4:$R$275,14,FALSE)="","",VLOOKUP(A213,'Charriage - Geschiebehaushalt'!$A$4:$R$275,14,FALSE))</f>
        <v>charriage présumé perturbé</v>
      </c>
      <c r="X213" s="877" t="str">
        <f>IF(VLOOKUP(A213,'Charriage - Geschiebehaushalt'!$A$4:$R$275,15,FALSE)="","",VLOOKUP(A213,'Charriage - Geschiebehaushalt'!$A$4:$R$275,15,FALSE))</f>
        <v/>
      </c>
      <c r="Y213" s="879" t="str">
        <f>IF(VLOOKUP(A213,'Charriage - Geschiebehaushalt'!$A$4:$R$275,16,FALSE)="","",VLOOKUP(A213,'Charriage - Geschiebehaushalt'!$A$4:$R$275,16,FALSE))</f>
        <v/>
      </c>
      <c r="Z213" s="763" t="str">
        <f>IF(VLOOKUP(A213,'Charriage - Geschiebehaushalt'!$A$4:$R$275,17,FALSE)="","",VLOOKUP(A213,'Charriage - Geschiebehaushalt'!$A$4:$R$275,17,FALSE))</f>
        <v>Charriage présumé naturel / Geschiebehaushalt vermutlich natürlich</v>
      </c>
      <c r="AA213" s="880" t="str">
        <f>IF(VLOOKUP(A213,'Charriage - Geschiebehaushalt'!$A$4:$R$275,18,FALSE)="","",VLOOKUP(A213,'Charriage - Geschiebehaushalt'!$A$4:$R$275,18,FALSE))</f>
        <v>a</v>
      </c>
      <c r="AB213" s="737" t="str">
        <f>IF(VLOOKUP(A213,'Charriage - Geschiebehaushalt'!$A$4:$AC$275,19,FALSE)="","",VLOOKUP(A213,'Charriage - Geschiebehaushalt'!$A$4:$AC$275,19,FALSE))</f>
        <v>atteinte significative</v>
      </c>
      <c r="AC213" s="738" t="str">
        <f>IF(VLOOKUP(A213,'Charriage - Geschiebehaushalt'!$A$4:$AC$275,20,FALSE)="","",VLOOKUP(A213,'Charriage - Geschiebehaushalt'!$A$4:$AC$275,20,FALSE))</f>
        <v>mesure prévue</v>
      </c>
      <c r="AD213" s="764" t="str">
        <f>IF(VLOOKUP(A213,'Charriage - Geschiebehaushalt'!$A$4:$AC$275,21,FALSE)="","",VLOOKUP(A213,'Charriage - Geschiebehaushalt'!$A$4:$AC$275,21,FALSE))</f>
        <v>51-80%</v>
      </c>
      <c r="AE213" s="772" t="str">
        <f>IF(VLOOKUP(A213,'Charriage - Geschiebehaushalt'!$A$4:$AC$275,22,FALSE)="","",VLOOKUP(A213,'Charriage - Geschiebehaushalt'!$A$4:$AC$275,22,FALSE))</f>
        <v>51-80%</v>
      </c>
      <c r="AF213" s="787" t="str">
        <f>IF(VLOOKUP(A213,'Charriage - Geschiebehaushalt'!$A$4:$AC$275,23,FALSE)="","",VLOOKUP(A213,'Charriage - Geschiebehaushalt'!$A$4:$AC$275,23,FALSE))</f>
        <v>c</v>
      </c>
      <c r="AG213" s="765" t="str">
        <f>IF(VLOOKUP(A213,'Charriage - Geschiebehaushalt'!$A$4:$AC$275,24,FALSE)="","",VLOOKUP(A213,'Charriage - Geschiebehaushalt'!$A$4:$AC$275,24,FALSE))</f>
        <v/>
      </c>
      <c r="AH213" s="764" t="str">
        <f>IF(VLOOKUP(A213,'Charriage - Geschiebehaushalt'!$A$4:$AC$275,25,FALSE)="","",VLOOKUP(A213,'Charriage - Geschiebehaushalt'!$A$4:$AC$275,25,FALSE))</f>
        <v/>
      </c>
      <c r="AI213" s="435" t="str">
        <f>IF(VLOOKUP(A213,'Charriage - Geschiebehaushalt'!$A$4:$AC$275,26,FALSE)="","",VLOOKUP(A213,'Charriage - Geschiebehaushalt'!$A$4:$AC$275,26,FALSE))</f>
        <v/>
      </c>
      <c r="AJ213" s="436" t="str">
        <f>IF(VLOOKUP(A213,'Charriage - Geschiebehaushalt'!$A$4:$AC$275,27,FALSE)="","",VLOOKUP(A213,'Charriage - Geschiebehaushalt'!$A$4:$AC$275,27,FALSE))</f>
        <v/>
      </c>
      <c r="AK213" s="814" t="str">
        <f>IF(VLOOKUP(A213,'Charriage - Geschiebehaushalt'!$A$4:$AC$275,28,FALSE)="","",VLOOKUP(A213,'Charriage - Geschiebehaushalt'!$A$4:$AC$275,28,FALSE))</f>
        <v>51-80%</v>
      </c>
      <c r="AL213" s="1285" t="str">
        <f>IF(VLOOKUP(A213,'Charriage - Geschiebehaushalt'!$A$4:$AD$275,30,FALSE)="","",VLOOKUP(A213,'Charriage - Geschiebehaushalt'!$A$4:$AD$275,30,FALSE))</f>
        <v>a</v>
      </c>
      <c r="AM213" s="1279" t="str">
        <f>IF(VLOOKUP(A213,'Débit - Abfluss'!$A$4:$K$275,5,FALSE)="","",VLOOKUP(A213,'Débit - Abfluss'!$A$4:$M$275,5,FALSE))</f>
        <v>non documenté</v>
      </c>
      <c r="AN213" s="868" t="str">
        <f>IF(VLOOKUP(A213,'Débit - Abfluss'!$A$4:$K$275,6,FALSE)="","",VLOOKUP(A213,'Débit - Abfluss'!$A$4:$M$275,6,FALSE))</f>
        <v>aucune information supplémentaire</v>
      </c>
      <c r="AO213" s="869" t="str">
        <f>IF(VLOOKUP(A213,'Débit - Abfluss'!$A$4:$K$275,7,FALSE)="","",VLOOKUP(A213,'Débit - Abfluss'!$A$4:$M$275,7,FALSE))</f>
        <v>aucune information supplémentaire</v>
      </c>
      <c r="AP213" s="766" t="str">
        <f>IF(VLOOKUP(A213,'Débit - Abfluss'!$A$4:$K$275,8,FALSE)="","",VLOOKUP(A213,'Débit - Abfluss'!$A$4:$M$275,8,FALSE))</f>
        <v>Régime présumé naturel (100%) / Abfluss vermutlich natürlich</v>
      </c>
      <c r="AQ213" s="742" t="str">
        <f>IF(VLOOKUP(A213,'Débit - Abfluss'!$A$4:$K$275,9,FALSE)="","",VLOOKUP(A213,'Débit - Abfluss'!$A$4:$M$275,9,FALSE))</f>
        <v>-</v>
      </c>
      <c r="AR213" s="767" t="str">
        <f>IF(VLOOKUP(A213,'Débit - Abfluss'!$A$4:$K$275,10,FALSE)="","",VLOOKUP(A213,'Débit - Abfluss'!$A$4:$M$275,10,FALSE))</f>
        <v>Régime présumé naturel (100%) / Abfluss vermutlich natürlich</v>
      </c>
      <c r="AS213" s="767" t="str">
        <f>IF(VLOOKUP(A213,'Débit - Abfluss'!$A$4:$K$275,11,FALSE)="","",VLOOKUP(A213,'Débit - Abfluss'!$A$4:$M$275,11,FALSE))</f>
        <v/>
      </c>
      <c r="AT213" s="778" t="str">
        <f>IF(VLOOKUP(A213,'Débit - Abfluss'!$A$4:$Q$275,12,FALSE)="","",VLOOKUP(A213,'Débit - Abfluss'!$A$4:$Q$275,12,FALSE))</f>
        <v/>
      </c>
      <c r="AU213" s="779" t="str">
        <f>IF(VLOOKUP(A213,'Débit - Abfluss'!$A$4:$Q$275,13,FALSE)="","",VLOOKUP(A213,'Débit - Abfluss'!$A$4:$Q$275,13,FALSE))</f>
        <v/>
      </c>
      <c r="AV213" s="746" t="str">
        <f>IF(VLOOKUP(A213,'Débit - Abfluss'!$A$4:$Q$275,14,FALSE)="","",VLOOKUP(A213,'Débit - Abfluss'!$A$4:$Q$275,14,FALSE))</f>
        <v/>
      </c>
      <c r="AW213" s="768" t="str">
        <f>IF(VLOOKUP(A213,'Débit - Abfluss'!$A$4:$Q$275,15,FALSE)="","",VLOOKUP(A213,'Débit - Abfluss'!$A$4:$Q$275,15,FALSE))</f>
        <v/>
      </c>
      <c r="AX213" s="679" t="str">
        <f>IF(VLOOKUP(A213,'Débit - Abfluss'!$A$4:$Q$275,16,FALSE)="","",VLOOKUP(A213,'Débit - Abfluss'!$A$4:$Q$275,16,FALSE))</f>
        <v/>
      </c>
      <c r="AY213" s="769" t="str">
        <f>IF(VLOOKUP(A213,'Débit - Abfluss'!$A$4:$Q$275,17,FALSE)="","",VLOOKUP(A213,'Débit - Abfluss'!$A$4:$Q$275,17,FALSE))</f>
        <v>Régime présumé naturel (100%) / Abfluss vermutlich natürlich</v>
      </c>
      <c r="AZ213" s="749" t="str">
        <f>IF(VLOOKUP(A213,'Eclusée - Schwall-Sunk'!$A$2:$F$273,5,FALSE)="","",VLOOKUP(A213,'Eclusée - Schwall-Sunk'!$A$2:$F$273,5,FALSE))</f>
        <v/>
      </c>
      <c r="BA213" s="750" t="str">
        <f>IF(VLOOKUP(A213,'Eclusée - Schwall-Sunk'!$A$2:$F$273,6,FALSE)="","",VLOOKUP(A213,'Eclusée - Schwall-Sunk'!$A$2:$F$273,6,FALSE))</f>
        <v>Non affecté / nicht betroffen</v>
      </c>
      <c r="BB213" s="751" t="str">
        <f>IF(VLOOKUP(A213,'Revitalisation-Revitalisierung'!$A$4:$Z$275,5,FALSE)="","",VLOOKUP(A213,'Revitalisation-Revitalisierung'!$A$4:$Z$275,5,FALSE))</f>
        <v/>
      </c>
      <c r="BC213" s="752" t="str">
        <f>IF(VLOOKUP(A213,'Revitalisation-Revitalisierung'!$A$4:$Z$275,6,FALSE)="","",VLOOKUP(A213,'Revitalisation-Revitalisierung'!$A$4:$Z$275,6,FALSE))</f>
        <v/>
      </c>
      <c r="BD213" s="752" t="str">
        <f>IF(VLOOKUP(A213,'Revitalisation-Revitalisierung'!$A$4:$Z$275,7,FALSE)="","",VLOOKUP(A213,'Revitalisation-Revitalisierung'!$A$4:$Z$275,7,FALSE))</f>
        <v/>
      </c>
      <c r="BE213" s="753" t="str">
        <f>IF(VLOOKUP(A213,'Revitalisation-Revitalisierung'!$A$4:$Z$275,8,FALSE)="","",VLOOKUP(A213,'Revitalisation-Revitalisierung'!$A$4:$Z$275,8,FALSE))</f>
        <v/>
      </c>
      <c r="BF213" s="754" t="str">
        <f>IF(VLOOKUP(A213,'Revitalisation-Revitalisierung'!$A$4:$Z$275,9,FALSE)="","",VLOOKUP(A213,'Revitalisation-Revitalisierung'!$A$4:$Z$275,9,FALSE))</f>
        <v>leicht</v>
      </c>
      <c r="BG213" s="754" t="str">
        <f>IF(VLOOKUP(A213,'Revitalisation-Revitalisierung'!$A$4:$Z$275,10,FALSE)="","",VLOOKUP(A213,'Revitalisation-Revitalisierung'!$A$4:$Z$275,10,FALSE))</f>
        <v/>
      </c>
      <c r="BH213" s="755" t="str">
        <f>IF(VLOOKUP(A213,'Revitalisation-Revitalisierung'!$A$4:$Z$275,11,FALSE)="","",VLOOKUP(A213,'Revitalisation-Revitalisierung'!$A$4:$Z$275,11,FALSE))</f>
        <v>très nécessaire, facile</v>
      </c>
      <c r="BI213" s="756" t="str">
        <f>IF(VLOOKUP(A213,'Revitalisation-Revitalisierung'!$A$4:$Z$275,12,FALSE)="","",VLOOKUP(A213,'Revitalisation-Revitalisierung'!$A$4:$Z$275,12,FALSE))</f>
        <v>situation qui a évalué depuis 2005. Nécessaire selon S. LUSSI (visite du 13.07.2013)</v>
      </c>
      <c r="BJ213" s="788" t="str">
        <f>IF(VLOOKUP(A213,'Revitalisation-Revitalisierung'!$A$4:$Z$275,13,FALSE)="","",VLOOKUP(A213,'Revitalisation-Revitalisierung'!$A$4:$Z$275,13,FALSE))</f>
        <v>Très nécessaire, facile / unbedingt nötig, einfach</v>
      </c>
      <c r="BK213" s="870" t="str">
        <f>IF(VLOOKUP(A213,'Revitalisation-Revitalisierung'!$A$4:$Z$275,14,FALSE)="","",VLOOKUP(A213,'Revitalisation-Revitalisierung'!$A$4:$Z$275,14,FALSE))</f>
        <v>a</v>
      </c>
      <c r="BL213" s="758" t="str">
        <f>IF(VLOOKUP(A213,'Revitalisation-Revitalisierung'!$A$4:$Z$275,15,FALSE)="","",VLOOKUP(A213,'Revitalisation-Revitalisierung'!$A$4:$Z$275,15,FALSE))</f>
        <v>élevé</v>
      </c>
      <c r="BM213" s="759" t="str">
        <f>IF(VLOOKUP(A213,'Revitalisation-Revitalisierung'!$A$4:$Z$275,16,FALSE)="","",VLOOKUP(A213,'Revitalisation-Revitalisierung'!$A$4:$Z$275,16,FALSE))</f>
        <v>élevé</v>
      </c>
      <c r="BN213" s="759" t="str">
        <f>IF(VLOOKUP(A213,'Revitalisation-Revitalisierung'!$A$4:$Z$275,17,FALSE)="","",VLOOKUP(A213,'Revitalisation-Revitalisierung'!$A$4:$Z$275,17,FALSE))</f>
        <v>mesure (partie aval uniquement)</v>
      </c>
      <c r="BO213" s="760" t="str">
        <f>IF(VLOOKUP(A213,'Revitalisation-Revitalisierung'!$A$4:$Z$275,18,FALSE)="","",VLOOKUP(A213,'Revitalisation-Revitalisierung'!$A$4:$Z$275,18,FALSE))</f>
        <v>Très nécessaire, facile / unbedingt nötig, einfach</v>
      </c>
      <c r="BP213" s="761" t="str">
        <f>IF(VLOOKUP(A213,'Revitalisation-Revitalisierung'!$A$4:$Z$275,19,FALSE)="","",VLOOKUP(A213,'Revitalisation-Revitalisierung'!$A$4:$Z$275,19,FALSE))</f>
        <v>Très nécessaire, facile / unbedingt nötig, einfach</v>
      </c>
      <c r="BQ213" s="759" t="str">
        <f>IF(VLOOKUP(A213,'Revitalisation-Revitalisierung'!$A$4:$Z$275,20,FALSE)="","",VLOOKUP(A213,'Revitalisation-Revitalisierung'!$A$4:$Z$275,20,FALSE))</f>
        <v>d</v>
      </c>
      <c r="BR213" s="759" t="str">
        <f>IF(VLOOKUP(A213,'Revitalisation-Revitalisierung'!$A$4:$Z$275,21,FALSE)="","",VLOOKUP(A213,'Revitalisation-Revitalisierung'!$A$4:$Z$275,21,FALSE))</f>
        <v/>
      </c>
      <c r="BS213" s="762" t="str">
        <f>IF(VLOOKUP(A213,'Revitalisation-Revitalisierung'!$A$4:$Z$275,22,FALSE)="","",VLOOKUP(A213,'Revitalisation-Revitalisierung'!$A$4:$Z$275,22,FALSE))</f>
        <v/>
      </c>
      <c r="BT213" s="700" t="str">
        <f>IF(VLOOKUP(A213,'Revitalisation-Revitalisierung'!$A$4:$Z$275,23,FALSE)="","",VLOOKUP(A213,'Revitalisation-Revitalisierung'!$A$4:$Z$275,23,FALSE))</f>
        <v/>
      </c>
      <c r="BU213" s="699" t="str">
        <f>IF(VLOOKUP(A213,'Revitalisation-Revitalisierung'!$A$4:$Z$275,24,FALSE)="","",VLOOKUP(A213,'Revitalisation-Revitalisierung'!$A$4:$Z$275,24,FALSE))</f>
        <v/>
      </c>
      <c r="BV213" s="761" t="str">
        <f>IF(VLOOKUP(A213,'Revitalisation-Revitalisierung'!$A$4:$Z$275,25,FALSE)="","",VLOOKUP(A213,'Revitalisation-Revitalisierung'!$A$4:$Z$275,25,FALSE))</f>
        <v>Très nécessaire, facile / unbedingt nötig, einfach</v>
      </c>
      <c r="BW213" s="871" t="str">
        <f>IF(VLOOKUP(A213,'Revitalisation-Revitalisierung'!$A$4:$AA$275,27,FALSE)="","",VLOOKUP(A213,'Revitalisation-Revitalisierung'!$A$4:$AA$275,27,FALSE))</f>
        <v>a</v>
      </c>
    </row>
    <row r="214" spans="1:75" ht="68.45" customHeight="1" x14ac:dyDescent="0.25">
      <c r="A214" s="1230">
        <v>335</v>
      </c>
      <c r="B214" s="856">
        <f>IF(VLOOKUP(A214,'Données de base - Grunddaten'!$A$2:$M$297,2,FALSE)="","",VLOOKUP(A214,'Données de base - Grunddaten'!$A$2:$M$297,2,FALSE))</f>
        <v>1</v>
      </c>
      <c r="C214" s="857" t="str">
        <f>IF(VLOOKUP(A214,'Données de base - Grunddaten'!$A$2:$M$297,3,FALSE)="","",VLOOKUP(A214,'Données de base - Grunddaten'!$A$2:$M$297,3,FALSE))</f>
        <v>Taschalpen</v>
      </c>
      <c r="D214" s="857" t="str">
        <f>IF(VLOOKUP(A214,'Données de base - Grunddaten'!$A$2:$M$297,4,FALSE)="","",VLOOKUP(A214,'Données de base - Grunddaten'!$A$2:$M$297,4,FALSE))</f>
        <v>Mellichbach, Täschbach</v>
      </c>
      <c r="E214" s="857" t="str">
        <f>IF(VLOOKUP(A214,'Données de base - Grunddaten'!$A$2:$M$297,5,FALSE)="","",VLOOKUP(A214,'Données de base - Grunddaten'!$A$2:$M$297,5,FALSE))</f>
        <v>VS</v>
      </c>
      <c r="F214" s="857" t="str">
        <f>IF(VLOOKUP(A214,'Données de base - Grunddaten'!$A$2:$M$297,6,FALSE)="","",VLOOKUP(A214,'Données de base - Grunddaten'!$A$2:$M$297,6,FALSE))</f>
        <v>Alpes centrales occidentales</v>
      </c>
      <c r="G214" s="857" t="str">
        <f>IF(VLOOKUP(A214,'Données de base - Grunddaten'!$A$2:$M$297,7,FALSE)="","",VLOOKUP(A214,'Données de base - Grunddaten'!$A$2:$M$297,7,FALSE))</f>
        <v>Alpin</v>
      </c>
      <c r="H214" s="857" t="str">
        <f>IF(VLOOKUP(A214,'Données de base - Grunddaten'!$A$2:$M$297,8,FALSE)="","",VLOOKUP(A214,'Données de base - Grunddaten'!$A$2:$M$297,8,FALSE))</f>
        <v>2260 m</v>
      </c>
      <c r="I214" s="857" t="str">
        <f>IF(VLOOKUP(A214,'Données de base - Grunddaten'!$A$2:$M$297,9,FALSE)="","",VLOOKUP(A214,'Données de base - Grunddaten'!$A$2:$M$297,9,FALSE))</f>
        <v>candidat</v>
      </c>
      <c r="J214" s="857">
        <f>IF(VLOOKUP(A214,'Données de base - Grunddaten'!$A$2:$M$297,10,FALSE)="","",VLOOKUP(A214,'Données de base - Grunddaten'!$A$2:$M$297,10,FALSE))</f>
        <v>31</v>
      </c>
      <c r="K214" s="857" t="str">
        <f>IF(VLOOKUP(A214,'Données de base - Grunddaten'!$A$2:$M$297,11,FALSE)="","",VLOOKUP(A214,'Données de base - Grunddaten'!$A$2:$M$297,11,FALSE))</f>
        <v>Cours d'eau naturels de l'étage subalpin</v>
      </c>
      <c r="L214" s="857" t="str">
        <f>IF(VLOOKUP(A214,'Données de base - Grunddaten'!$A$2:$M$297,12,FALSE)="","",VLOOKUP(A214,'Données de base - Grunddaten'!$A$2:$M$297,12,FALSE))</f>
        <v>en méandres migrants</v>
      </c>
      <c r="M214" s="858" t="str">
        <f>IF(VLOOKUP(A214,'Données de base - Grunddaten'!$A$2:$M$297,13,FALSE)="","",VLOOKUP(A214,'Données de base - Grunddaten'!$A$2:$M$297,13,FALSE))</f>
        <v>en méandres migrants</v>
      </c>
      <c r="N214" s="872" t="str">
        <f>IF(VLOOKUP(A214,'Charriage - Geschiebehaushalt'!$A$4:$R$275,5,FALSE)="","",VLOOKUP(A214,'Charriage - Geschiebehaushalt'!$A$4:$R$275,5,FALSE))</f>
        <v>pertinent</v>
      </c>
      <c r="O214" s="881" t="str">
        <f>IF(VLOOKUP(A214,'Charriage - Geschiebehaushalt'!$A$4:$R$275,6,FALSE)="","",VLOOKUP(A214,'Charriage - Geschiebehaushalt'!$A$4:$R$275,6,FALSE))</f>
        <v>non documenté</v>
      </c>
      <c r="P214" s="874" t="str">
        <f>IF(VLOOKUP(A214,'Charriage - Geschiebehaushalt'!$A$4:$R$275,7,FALSE)="","",VLOOKUP(A214,'Charriage - Geschiebehaushalt'!$A$4:$R$275,7,FALSE))</f>
        <v/>
      </c>
      <c r="Q214" s="874" t="str">
        <f>IF(VLOOKUP(A214,'Charriage - Geschiebehaushalt'!$A$4:$R$275,8,FALSE)="","",VLOOKUP(A214,'Charriage - Geschiebehaushalt'!$A$4:$R$275,8,FALSE))</f>
        <v>non documenté</v>
      </c>
      <c r="R214" s="895" t="str">
        <f>IF(VLOOKUP(A214,'Charriage - Geschiebehaushalt'!$A$4:$R$275,9,FALSE)="","",VLOOKUP(A214,'Charriage - Geschiebehaushalt'!$A$4:$R$275,9,FALSE))</f>
        <v/>
      </c>
      <c r="S214" s="895" t="str">
        <f>IF(VLOOKUP(A214,'Charriage - Geschiebehaushalt'!$A$4:$R$275,10,FALSE)="","",VLOOKUP(A214,'Charriage - Geschiebehaushalt'!$A$4:$R$275,10,FALSE))</f>
        <v/>
      </c>
      <c r="T214" s="895" t="str">
        <f>IF(VLOOKUP(A214,'Charriage - Geschiebehaushalt'!$A$4:$R$275,11,FALSE)="","",VLOOKUP(A214,'Charriage - Geschiebehaushalt'!$A$4:$R$275,11,FALSE))</f>
        <v/>
      </c>
      <c r="U214" s="895" t="str">
        <f>IF(VLOOKUP(A214,'Charriage - Geschiebehaushalt'!$A$4:$R$275,12,FALSE)="","",VLOOKUP(A214,'Charriage - Geschiebehaushalt'!$A$4:$R$275,12,FALSE))</f>
        <v/>
      </c>
      <c r="V214" s="877" t="str">
        <f>IF(VLOOKUP(A214,'Charriage - Geschiebehaushalt'!$A$4:$R$275,13,FALSE)="","",VLOOKUP(A214,'Charriage - Geschiebehaushalt'!$A$4:$R$275,13,FALSE))</f>
        <v>Cours supérieur, naturel sinueux, tendance tresses, apparemment pas d'ouvrage en amont</v>
      </c>
      <c r="W214" s="878" t="str">
        <f>IF(VLOOKUP(A214,'Charriage - Geschiebehaushalt'!$A$4:$R$275,14,FALSE)="","",VLOOKUP(A214,'Charriage - Geschiebehaushalt'!$A$4:$R$275,14,FALSE))</f>
        <v>charriage présumé naturel</v>
      </c>
      <c r="X214" s="877" t="str">
        <f>IF(VLOOKUP(A214,'Charriage - Geschiebehaushalt'!$A$4:$R$275,15,FALSE)="","",VLOOKUP(A214,'Charriage - Geschiebehaushalt'!$A$4:$R$275,15,FALSE))</f>
        <v/>
      </c>
      <c r="Y214" s="879" t="str">
        <f>IF(VLOOKUP(A214,'Charriage - Geschiebehaushalt'!$A$4:$R$275,16,FALSE)="","",VLOOKUP(A214,'Charriage - Geschiebehaushalt'!$A$4:$R$275,16,FALSE))</f>
        <v/>
      </c>
      <c r="Z214" s="763" t="str">
        <f>IF(VLOOKUP(A214,'Charriage - Geschiebehaushalt'!$A$4:$R$275,17,FALSE)="","",VLOOKUP(A214,'Charriage - Geschiebehaushalt'!$A$4:$R$275,17,FALSE))</f>
        <v>Charriage présumé naturel / Geschiebehaushalt vermutlich natürlich</v>
      </c>
      <c r="AA214" s="880" t="str">
        <f>IF(VLOOKUP(A214,'Charriage - Geschiebehaushalt'!$A$4:$R$275,18,FALSE)="","",VLOOKUP(A214,'Charriage - Geschiebehaushalt'!$A$4:$R$275,18,FALSE))</f>
        <v>b</v>
      </c>
      <c r="AB214" s="737" t="str">
        <f>IF(VLOOKUP(A214,'Charriage - Geschiebehaushalt'!$A$4:$AC$275,19,FALSE)="","",VLOOKUP(A214,'Charriage - Geschiebehaushalt'!$A$4:$AC$275,19,FALSE))</f>
        <v>pas atteinte significative</v>
      </c>
      <c r="AC214" s="738" t="str">
        <f>IF(VLOOKUP(A214,'Charriage - Geschiebehaushalt'!$A$4:$AC$275,20,FALSE)="","",VLOOKUP(A214,'Charriage - Geschiebehaushalt'!$A$4:$AC$275,20,FALSE))</f>
        <v>pas de mesure prévue</v>
      </c>
      <c r="AD214" s="789" t="str">
        <f>IF(VLOOKUP(A214,'Charriage - Geschiebehaushalt'!$A$4:$AC$275,21,FALSE)="","",VLOOKUP(A214,'Charriage - Geschiebehaushalt'!$A$4:$AC$275,21,FALSE))</f>
        <v>0-20%</v>
      </c>
      <c r="AE214" s="740" t="str">
        <f>IF(VLOOKUP(A214,'Charriage - Geschiebehaushalt'!$A$4:$AC$275,22,FALSE)="","",VLOOKUP(A214,'Charriage - Geschiebehaushalt'!$A$4:$AC$275,22,FALSE))</f>
        <v>0-20%</v>
      </c>
      <c r="AF214" s="787" t="str">
        <f>IF(VLOOKUP(A214,'Charriage - Geschiebehaushalt'!$A$4:$AC$275,23,FALSE)="","",VLOOKUP(A214,'Charriage - Geschiebehaushalt'!$A$4:$AC$275,23,FALSE))</f>
        <v>c</v>
      </c>
      <c r="AG214" s="765" t="str">
        <f>IF(VLOOKUP(A214,'Charriage - Geschiebehaushalt'!$A$4:$AC$275,24,FALSE)="","",VLOOKUP(A214,'Charriage - Geschiebehaushalt'!$A$4:$AC$275,24,FALSE))</f>
        <v/>
      </c>
      <c r="AH214" s="764" t="str">
        <f>IF(VLOOKUP(A214,'Charriage - Geschiebehaushalt'!$A$4:$AC$275,25,FALSE)="","",VLOOKUP(A214,'Charriage - Geschiebehaushalt'!$A$4:$AC$275,25,FALSE))</f>
        <v/>
      </c>
      <c r="AI214" s="435" t="str">
        <f>IF(VLOOKUP(A214,'Charriage - Geschiebehaushalt'!$A$4:$AC$275,26,FALSE)="","",VLOOKUP(A214,'Charriage - Geschiebehaushalt'!$A$4:$AC$275,26,FALSE))</f>
        <v/>
      </c>
      <c r="AJ214" s="436" t="str">
        <f>IF(VLOOKUP(A214,'Charriage - Geschiebehaushalt'!$A$4:$AC$275,27,FALSE)="","",VLOOKUP(A214,'Charriage - Geschiebehaushalt'!$A$4:$AC$275,27,FALSE))</f>
        <v/>
      </c>
      <c r="AK214" s="801" t="str">
        <f>IF(VLOOKUP(A214,'Charriage - Geschiebehaushalt'!$A$4:$AC$275,28,FALSE)="","",VLOOKUP(A214,'Charriage - Geschiebehaushalt'!$A$4:$AC$275,28,FALSE))</f>
        <v>0-20%</v>
      </c>
      <c r="AL214" s="1285" t="str">
        <f>IF(VLOOKUP(A214,'Charriage - Geschiebehaushalt'!$A$4:$AD$275,30,FALSE)="","",VLOOKUP(A214,'Charriage - Geschiebehaushalt'!$A$4:$AD$275,30,FALSE))</f>
        <v>a</v>
      </c>
      <c r="AM214" s="1279" t="str">
        <f>IF(VLOOKUP(A214,'Débit - Abfluss'!$A$4:$K$275,5,FALSE)="","",VLOOKUP(A214,'Débit - Abfluss'!$A$4:$M$275,5,FALSE))</f>
        <v>0-20%</v>
      </c>
      <c r="AN214" s="868" t="str">
        <f>IF(VLOOKUP(A214,'Débit - Abfluss'!$A$4:$K$275,6,FALSE)="","",VLOOKUP(A214,'Débit - Abfluss'!$A$4:$M$275,6,FALSE))</f>
        <v/>
      </c>
      <c r="AO214" s="869" t="str">
        <f>IF(VLOOKUP(A214,'Débit - Abfluss'!$A$4:$K$275,7,FALSE)="","",VLOOKUP(A214,'Débit - Abfluss'!$A$4:$M$275,7,FALSE))</f>
        <v/>
      </c>
      <c r="AP214" s="766" t="str">
        <f>IF(VLOOKUP(A214,'Débit - Abfluss'!$A$4:$K$275,8,FALSE)="","",VLOOKUP(A214,'Débit - Abfluss'!$A$4:$M$275,8,FALSE))</f>
        <v>0-20%</v>
      </c>
      <c r="AQ214" s="678" t="str">
        <f>IF(VLOOKUP(A214,'Débit - Abfluss'!$A$4:$K$275,9,FALSE)="","",VLOOKUP(A214,'Débit - Abfluss'!$A$4:$M$275,9,FALSE))</f>
        <v>Fehlende Angaben</v>
      </c>
      <c r="AR214" s="767" t="str">
        <f>IF(VLOOKUP(A214,'Débit - Abfluss'!$A$4:$K$275,10,FALSE)="","",VLOOKUP(A214,'Débit - Abfluss'!$A$4:$M$275,10,FALSE))</f>
        <v>0-20%</v>
      </c>
      <c r="AS214" s="767" t="str">
        <f>IF(VLOOKUP(A214,'Débit - Abfluss'!$A$4:$K$275,11,FALSE)="","",VLOOKUP(A214,'Débit - Abfluss'!$A$4:$M$275,11,FALSE))</f>
        <v/>
      </c>
      <c r="AT214" s="778" t="str">
        <f>IF(VLOOKUP(A214,'Débit - Abfluss'!$A$4:$Q$275,12,FALSE)="","",VLOOKUP(A214,'Débit - Abfluss'!$A$4:$Q$275,12,FALSE))</f>
        <v/>
      </c>
      <c r="AU214" s="779" t="str">
        <f>IF(VLOOKUP(A214,'Débit - Abfluss'!$A$4:$Q$275,13,FALSE)="","",VLOOKUP(A214,'Débit - Abfluss'!$A$4:$Q$275,13,FALSE))</f>
        <v/>
      </c>
      <c r="AV214" s="746" t="str">
        <f>IF(VLOOKUP(A214,'Débit - Abfluss'!$A$4:$Q$275,14,FALSE)="","",VLOOKUP(A214,'Débit - Abfluss'!$A$4:$Q$275,14,FALSE))</f>
        <v>VS-424.2</v>
      </c>
      <c r="AW214" s="768" t="str">
        <f>IF(VLOOKUP(A214,'Débit - Abfluss'!$A$4:$Q$275,15,FALSE)="","",VLOOKUP(A214,'Débit - Abfluss'!$A$4:$Q$275,15,FALSE))</f>
        <v>Fionnay (Dixence)</v>
      </c>
      <c r="AX214" s="679" t="str">
        <f>IF(VLOOKUP(A214,'Débit - Abfluss'!$A$4:$Q$275,16,FALSE)="","",VLOOKUP(A214,'Débit - Abfluss'!$A$4:$Q$275,16,FALSE))</f>
        <v/>
      </c>
      <c r="AY214" s="769" t="str">
        <f>IF(VLOOKUP(A214,'Débit - Abfluss'!$A$4:$Q$275,17,FALSE)="","",VLOOKUP(A214,'Débit - Abfluss'!$A$4:$Q$275,17,FALSE))</f>
        <v>0-20%</v>
      </c>
      <c r="AZ214" s="749" t="str">
        <f>IF(VLOOKUP(A214,'Eclusée - Schwall-Sunk'!$A$2:$F$273,5,FALSE)="","",VLOOKUP(A214,'Eclusée - Schwall-Sunk'!$A$2:$F$273,5,FALSE))</f>
        <v>force hydraulique</v>
      </c>
      <c r="BA214" s="750" t="str">
        <f>IF(VLOOKUP(A214,'Eclusée - Schwall-Sunk'!$A$2:$F$273,6,FALSE)="","",VLOOKUP(A214,'Eclusée - Schwall-Sunk'!$A$2:$F$273,6,FALSE))</f>
        <v>Non affecté / nicht betroffen</v>
      </c>
      <c r="BB214" s="751" t="str">
        <f>IF(VLOOKUP(A214,'Revitalisation-Revitalisierung'!$A$4:$Z$275,5,FALSE)="","",VLOOKUP(A214,'Revitalisation-Revitalisierung'!$A$4:$Z$275,5,FALSE))</f>
        <v/>
      </c>
      <c r="BC214" s="752" t="str">
        <f>IF(VLOOKUP(A214,'Revitalisation-Revitalisierung'!$A$4:$Z$275,6,FALSE)="","",VLOOKUP(A214,'Revitalisation-Revitalisierung'!$A$4:$Z$275,6,FALSE))</f>
        <v/>
      </c>
      <c r="BD214" s="752" t="str">
        <f>IF(VLOOKUP(A214,'Revitalisation-Revitalisierung'!$A$4:$Z$275,7,FALSE)="","",VLOOKUP(A214,'Revitalisation-Revitalisierung'!$A$4:$Z$275,7,FALSE))</f>
        <v/>
      </c>
      <c r="BE214" s="753" t="str">
        <f>IF(VLOOKUP(A214,'Revitalisation-Revitalisierung'!$A$4:$Z$275,8,FALSE)="","",VLOOKUP(A214,'Revitalisation-Revitalisierung'!$A$4:$Z$275,8,FALSE))</f>
        <v/>
      </c>
      <c r="BF214" s="754" t="str">
        <f>IF(VLOOKUP(A214,'Revitalisation-Revitalisierung'!$A$4:$Z$275,9,FALSE)="","",VLOOKUP(A214,'Revitalisation-Revitalisierung'!$A$4:$Z$275,9,FALSE))</f>
        <v>nicht nötig</v>
      </c>
      <c r="BG214" s="754" t="str">
        <f>IF(VLOOKUP(A214,'Revitalisation-Revitalisierung'!$A$4:$Z$275,10,FALSE)="","",VLOOKUP(A214,'Revitalisation-Revitalisierung'!$A$4:$Z$275,10,FALSE))</f>
        <v/>
      </c>
      <c r="BH214" s="755" t="str">
        <f>IF(VLOOKUP(A214,'Revitalisation-Revitalisierung'!$A$4:$Z$275,11,FALSE)="","",VLOOKUP(A214,'Revitalisation-Revitalisierung'!$A$4:$Z$275,11,FALSE))</f>
        <v>non nécessaire</v>
      </c>
      <c r="BI214" s="756" t="str">
        <f>IF(VLOOKUP(A214,'Revitalisation-Revitalisierung'!$A$4:$Z$275,12,FALSE)="","",VLOOKUP(A214,'Revitalisation-Revitalisierung'!$A$4:$Z$275,12,FALSE))</f>
        <v/>
      </c>
      <c r="BJ214" s="788" t="str">
        <f>IF(VLOOKUP(A214,'Revitalisation-Revitalisierung'!$A$4:$Z$275,13,FALSE)="","",VLOOKUP(A214,'Revitalisation-Revitalisierung'!$A$4:$Z$275,13,FALSE))</f>
        <v>Non nécessaire / nicht nötig</v>
      </c>
      <c r="BK214" s="870" t="str">
        <f>IF(VLOOKUP(A214,'Revitalisation-Revitalisierung'!$A$4:$Z$275,14,FALSE)="","",VLOOKUP(A214,'Revitalisation-Revitalisierung'!$A$4:$Z$275,14,FALSE))</f>
        <v>a</v>
      </c>
      <c r="BL214" s="758" t="str">
        <f>IF(VLOOKUP(A214,'Revitalisation-Revitalisierung'!$A$4:$Z$275,15,FALSE)="","",VLOOKUP(A214,'Revitalisation-Revitalisierung'!$A$4:$Z$275,15,FALSE))</f>
        <v>élevé</v>
      </c>
      <c r="BM214" s="759" t="str">
        <f>IF(VLOOKUP(A214,'Revitalisation-Revitalisierung'!$A$4:$Z$275,16,FALSE)="","",VLOOKUP(A214,'Revitalisation-Revitalisierung'!$A$4:$Z$275,16,FALSE))</f>
        <v>moyen</v>
      </c>
      <c r="BN214" s="759" t="str">
        <f>IF(VLOOKUP(A214,'Revitalisation-Revitalisierung'!$A$4:$Z$275,17,FALSE)="","",VLOOKUP(A214,'Revitalisation-Revitalisierung'!$A$4:$Z$275,17,FALSE))</f>
        <v>pas de mesure</v>
      </c>
      <c r="BO214" s="760" t="str">
        <f>IF(VLOOKUP(A214,'Revitalisation-Revitalisierung'!$A$4:$Z$275,18,FALSE)="","",VLOOKUP(A214,'Revitalisation-Revitalisierung'!$A$4:$Z$275,18,FALSE))</f>
        <v>Partiellement nécessaire, facile / teilweise nötig, einfach</v>
      </c>
      <c r="BP214" s="761" t="str">
        <f>IF(VLOOKUP(A214,'Revitalisation-Revitalisierung'!$A$4:$Z$275,19,FALSE)="","",VLOOKUP(A214,'Revitalisation-Revitalisierung'!$A$4:$Z$275,19,FALSE))</f>
        <v>Partiellement nécessaire, facile / teilweise nötig, einfach</v>
      </c>
      <c r="BQ214" s="759" t="str">
        <f>IF(VLOOKUP(A214,'Revitalisation-Revitalisierung'!$A$4:$Z$275,20,FALSE)="","",VLOOKUP(A214,'Revitalisation-Revitalisierung'!$A$4:$Z$275,20,FALSE))</f>
        <v>c</v>
      </c>
      <c r="BR214" s="759" t="str">
        <f>IF(VLOOKUP(A214,'Revitalisation-Revitalisierung'!$A$4:$Z$275,21,FALSE)="","",VLOOKUP(A214,'Revitalisation-Revitalisierung'!$A$4:$Z$275,21,FALSE))</f>
        <v/>
      </c>
      <c r="BS214" s="762" t="str">
        <f>IF(VLOOKUP(A214,'Revitalisation-Revitalisierung'!$A$4:$Z$275,22,FALSE)="","",VLOOKUP(A214,'Revitalisation-Revitalisierung'!$A$4:$Z$275,22,FALSE))</f>
        <v/>
      </c>
      <c r="BT214" s="700" t="str">
        <f>IF(VLOOKUP(A214,'Revitalisation-Revitalisierung'!$A$4:$Z$275,23,FALSE)="","",VLOOKUP(A214,'Revitalisation-Revitalisierung'!$A$4:$Z$275,23,FALSE))</f>
        <v/>
      </c>
      <c r="BU214" s="699" t="str">
        <f>IF(VLOOKUP(A214,'Revitalisation-Revitalisierung'!$A$4:$Z$275,24,FALSE)="","",VLOOKUP(A214,'Revitalisation-Revitalisierung'!$A$4:$Z$275,24,FALSE))</f>
        <v/>
      </c>
      <c r="BV214" s="761" t="str">
        <f>IF(VLOOKUP(A214,'Revitalisation-Revitalisierung'!$A$4:$Z$275,25,FALSE)="","",VLOOKUP(A214,'Revitalisation-Revitalisierung'!$A$4:$Z$275,25,FALSE))</f>
        <v>Partiellement nécessaire, facile / teilweise nötig, einfach</v>
      </c>
      <c r="BW214" s="871" t="str">
        <f>IF(VLOOKUP(A214,'Revitalisation-Revitalisierung'!$A$4:$AA$275,27,FALSE)="","",VLOOKUP(A214,'Revitalisation-Revitalisierung'!$A$4:$AA$275,27,FALSE))</f>
        <v>a</v>
      </c>
    </row>
    <row r="215" spans="1:75" ht="91.15" customHeight="1" x14ac:dyDescent="0.25">
      <c r="A215" s="938">
        <v>336</v>
      </c>
      <c r="B215" s="856">
        <f>IF(VLOOKUP(A215,'Données de base - Grunddaten'!$A$2:$M$297,2,FALSE)="","",VLOOKUP(A215,'Données de base - Grunddaten'!$A$2:$M$297,2,FALSE))</f>
        <v>1</v>
      </c>
      <c r="C215" s="857" t="str">
        <f>IF(VLOOKUP(A215,'Données de base - Grunddaten'!$A$2:$M$297,3,FALSE)="","",VLOOKUP(A215,'Données de base - Grunddaten'!$A$2:$M$297,3,FALSE))</f>
        <v>Zwischenberg</v>
      </c>
      <c r="D215" s="857" t="str">
        <f>IF(VLOOKUP(A215,'Données de base - Grunddaten'!$A$2:$M$297,4,FALSE)="","",VLOOKUP(A215,'Données de base - Grunddaten'!$A$2:$M$297,4,FALSE))</f>
        <v>Zwischbergenbach</v>
      </c>
      <c r="E215" s="857" t="str">
        <f>IF(VLOOKUP(A215,'Données de base - Grunddaten'!$A$2:$M$297,5,FALSE)="","",VLOOKUP(A215,'Données de base - Grunddaten'!$A$2:$M$297,5,FALSE))</f>
        <v>VS</v>
      </c>
      <c r="F215" s="857" t="str">
        <f>IF(VLOOKUP(A215,'Données de base - Grunddaten'!$A$2:$M$297,6,FALSE)="","",VLOOKUP(A215,'Données de base - Grunddaten'!$A$2:$M$297,6,FALSE))</f>
        <v>Alpes centrales occidentales</v>
      </c>
      <c r="G215" s="857" t="str">
        <f>IF(VLOOKUP(A215,'Données de base - Grunddaten'!$A$2:$M$297,7,FALSE)="","",VLOOKUP(A215,'Données de base - Grunddaten'!$A$2:$M$297,7,FALSE))</f>
        <v>Alpin</v>
      </c>
      <c r="H215" s="857" t="str">
        <f>IF(VLOOKUP(A215,'Données de base - Grunddaten'!$A$2:$M$297,8,FALSE)="","",VLOOKUP(A215,'Données de base - Grunddaten'!$A$2:$M$297,8,FALSE))</f>
        <v>1800 m</v>
      </c>
      <c r="I215" s="857" t="str">
        <f>IF(VLOOKUP(A215,'Données de base - Grunddaten'!$A$2:$M$297,9,FALSE)="","",VLOOKUP(A215,'Données de base - Grunddaten'!$A$2:$M$297,9,FALSE))</f>
        <v>candidat</v>
      </c>
      <c r="J215" s="857">
        <f>IF(VLOOKUP(A215,'Données de base - Grunddaten'!$A$2:$M$297,10,FALSE)="","",VLOOKUP(A215,'Données de base - Grunddaten'!$A$2:$M$297,10,FALSE))</f>
        <v>31</v>
      </c>
      <c r="K215" s="857" t="str">
        <f>IF(VLOOKUP(A215,'Données de base - Grunddaten'!$A$2:$M$297,11,FALSE)="","",VLOOKUP(A215,'Données de base - Grunddaten'!$A$2:$M$297,11,FALSE))</f>
        <v>Cours d'eau naturels de l'étage subalpin</v>
      </c>
      <c r="L215" s="857" t="str">
        <f>IF(VLOOKUP(A215,'Données de base - Grunddaten'!$A$2:$M$297,12,FALSE)="","",VLOOKUP(A215,'Données de base - Grunddaten'!$A$2:$M$297,12,FALSE))</f>
        <v>en tresses</v>
      </c>
      <c r="M215" s="858" t="str">
        <f>IF(VLOOKUP(A215,'Données de base - Grunddaten'!$A$2:$M$297,13,FALSE)="","",VLOOKUP(A215,'Données de base - Grunddaten'!$A$2:$M$297,13,FALSE))</f>
        <v>en tresses</v>
      </c>
      <c r="N215" s="872" t="str">
        <f>IF(VLOOKUP(A215,'Charriage - Geschiebehaushalt'!$A$4:$R$275,5,FALSE)="","",VLOOKUP(A215,'Charriage - Geschiebehaushalt'!$A$4:$R$275,5,FALSE))</f>
        <v>pertinent</v>
      </c>
      <c r="O215" s="881" t="str">
        <f>IF(VLOOKUP(A215,'Charriage - Geschiebehaushalt'!$A$4:$R$275,6,FALSE)="","",VLOOKUP(A215,'Charriage - Geschiebehaushalt'!$A$4:$R$275,6,FALSE))</f>
        <v>non documenté</v>
      </c>
      <c r="P215" s="874" t="str">
        <f>IF(VLOOKUP(A215,'Charriage - Geschiebehaushalt'!$A$4:$R$275,7,FALSE)="","",VLOOKUP(A215,'Charriage - Geschiebehaushalt'!$A$4:$R$275,7,FALSE))</f>
        <v/>
      </c>
      <c r="Q215" s="874" t="str">
        <f>IF(VLOOKUP(A215,'Charriage - Geschiebehaushalt'!$A$4:$R$275,8,FALSE)="","",VLOOKUP(A215,'Charriage - Geschiebehaushalt'!$A$4:$R$275,8,FALSE))</f>
        <v>non documenté</v>
      </c>
      <c r="R215" s="895" t="str">
        <f>IF(VLOOKUP(A215,'Charriage - Geschiebehaushalt'!$A$4:$R$275,9,FALSE)="","",VLOOKUP(A215,'Charriage - Geschiebehaushalt'!$A$4:$R$275,9,FALSE))</f>
        <v/>
      </c>
      <c r="S215" s="895" t="str">
        <f>IF(VLOOKUP(A215,'Charriage - Geschiebehaushalt'!$A$4:$R$275,10,FALSE)="","",VLOOKUP(A215,'Charriage - Geschiebehaushalt'!$A$4:$R$275,10,FALSE))</f>
        <v/>
      </c>
      <c r="T215" s="895" t="str">
        <f>IF(VLOOKUP(A215,'Charriage - Geschiebehaushalt'!$A$4:$R$275,11,FALSE)="","",VLOOKUP(A215,'Charriage - Geschiebehaushalt'!$A$4:$R$275,11,FALSE))</f>
        <v/>
      </c>
      <c r="U215" s="895" t="str">
        <f>IF(VLOOKUP(A215,'Charriage - Geschiebehaushalt'!$A$4:$R$275,12,FALSE)="","",VLOOKUP(A215,'Charriage - Geschiebehaushalt'!$A$4:$R$275,12,FALSE))</f>
        <v/>
      </c>
      <c r="V215" s="877" t="str">
        <f>IF(VLOOKUP(A215,'Charriage - Geschiebehaushalt'!$A$4:$R$275,13,FALSE)="","",VLOOKUP(A215,'Charriage - Geschiebehaushalt'!$A$4:$R$275,13,FALSE))</f>
        <v>Cours supérieur, naturel sinueux, tendance tresses, apparemment pas d'ouvrage en amont</v>
      </c>
      <c r="W215" s="878" t="str">
        <f>IF(VLOOKUP(A215,'Charriage - Geschiebehaushalt'!$A$4:$R$275,14,FALSE)="","",VLOOKUP(A215,'Charriage - Geschiebehaushalt'!$A$4:$R$275,14,FALSE))</f>
        <v>charriage présumé naturel</v>
      </c>
      <c r="X215" s="877" t="str">
        <f>IF(VLOOKUP(A215,'Charriage - Geschiebehaushalt'!$A$4:$R$275,15,FALSE)="","",VLOOKUP(A215,'Charriage - Geschiebehaushalt'!$A$4:$R$275,15,FALSE))</f>
        <v/>
      </c>
      <c r="Y215" s="879" t="str">
        <f>IF(VLOOKUP(A215,'Charriage - Geschiebehaushalt'!$A$4:$R$275,16,FALSE)="","",VLOOKUP(A215,'Charriage - Geschiebehaushalt'!$A$4:$R$275,16,FALSE))</f>
        <v/>
      </c>
      <c r="Z215" s="763" t="str">
        <f>IF(VLOOKUP(A215,'Charriage - Geschiebehaushalt'!$A$4:$R$275,17,FALSE)="","",VLOOKUP(A215,'Charriage - Geschiebehaushalt'!$A$4:$R$275,17,FALSE))</f>
        <v>Charriage présumé naturel / Geschiebehaushalt vermutlich natürlich</v>
      </c>
      <c r="AA215" s="880" t="str">
        <f>IF(VLOOKUP(A215,'Charriage - Geschiebehaushalt'!$A$4:$R$275,18,FALSE)="","",VLOOKUP(A215,'Charriage - Geschiebehaushalt'!$A$4:$R$275,18,FALSE))</f>
        <v>b</v>
      </c>
      <c r="AB215" s="737" t="str">
        <f>IF(VLOOKUP(A215,'Charriage - Geschiebehaushalt'!$A$4:$AC$275,19,FALSE)="","",VLOOKUP(A215,'Charriage - Geschiebehaushalt'!$A$4:$AC$275,19,FALSE))</f>
        <v>non évalué</v>
      </c>
      <c r="AC215" s="738" t="str">
        <f>IF(VLOOKUP(A215,'Charriage - Geschiebehaushalt'!$A$4:$AC$275,20,FALSE)="","",VLOOKUP(A215,'Charriage - Geschiebehaushalt'!$A$4:$AC$275,20,FALSE))</f>
        <v>non évalué</v>
      </c>
      <c r="AD215" s="764" t="str">
        <f>IF(VLOOKUP(A215,'Charriage - Geschiebehaushalt'!$A$4:$AC$275,21,FALSE)="","",VLOOKUP(A215,'Charriage - Geschiebehaushalt'!$A$4:$AC$275,21,FALSE))</f>
        <v/>
      </c>
      <c r="AE215" s="740" t="str">
        <f>IF(VLOOKUP(A215,'Charriage - Geschiebehaushalt'!$A$4:$AC$275,22,FALSE)="","",VLOOKUP(A215,'Charriage - Geschiebehaushalt'!$A$4:$AC$275,22,FALSE))</f>
        <v>0-20%</v>
      </c>
      <c r="AF215" s="787" t="str">
        <f>IF(VLOOKUP(A215,'Charriage - Geschiebehaushalt'!$A$4:$AC$275,23,FALSE)="","",VLOOKUP(A215,'Charriage - Geschiebehaushalt'!$A$4:$AC$275,23,FALSE))</f>
        <v>b</v>
      </c>
      <c r="AG215" s="765" t="str">
        <f>IF(VLOOKUP(A215,'Charriage - Geschiebehaushalt'!$A$4:$AC$275,24,FALSE)="","",VLOOKUP(A215,'Charriage - Geschiebehaushalt'!$A$4:$AC$275,24,FALSE))</f>
        <v/>
      </c>
      <c r="AH215" s="764" t="str">
        <f>IF(VLOOKUP(A215,'Charriage - Geschiebehaushalt'!$A$4:$AC$275,25,FALSE)="","",VLOOKUP(A215,'Charriage - Geschiebehaushalt'!$A$4:$AC$275,25,FALSE))</f>
        <v/>
      </c>
      <c r="AI215" s="435" t="str">
        <f>IF(VLOOKUP(A215,'Charriage - Geschiebehaushalt'!$A$4:$AC$275,26,FALSE)="","",VLOOKUP(A215,'Charriage - Geschiebehaushalt'!$A$4:$AC$275,26,FALSE))</f>
        <v/>
      </c>
      <c r="AJ215" s="436" t="str">
        <f>IF(VLOOKUP(A215,'Charriage - Geschiebehaushalt'!$A$4:$AC$275,27,FALSE)="","",VLOOKUP(A215,'Charriage - Geschiebehaushalt'!$A$4:$AC$275,27,FALSE))</f>
        <v/>
      </c>
      <c r="AK215" s="801" t="str">
        <f>IF(VLOOKUP(A215,'Charriage - Geschiebehaushalt'!$A$4:$AC$275,28,FALSE)="","",VLOOKUP(A215,'Charriage - Geschiebehaushalt'!$A$4:$AC$275,28,FALSE))</f>
        <v>0-20%</v>
      </c>
      <c r="AL215" s="1285" t="str">
        <f>IF(VLOOKUP(A215,'Charriage - Geschiebehaushalt'!$A$4:$AD$275,30,FALSE)="","",VLOOKUP(A215,'Charriage - Geschiebehaushalt'!$A$4:$AD$275,30,FALSE))</f>
        <v>b</v>
      </c>
      <c r="AM215" s="1279" t="str">
        <f>IF(VLOOKUP(A215,'Débit - Abfluss'!$A$4:$K$275,5,FALSE)="","",VLOOKUP(A215,'Débit - Abfluss'!$A$4:$M$275,5,FALSE))</f>
        <v>non documenté</v>
      </c>
      <c r="AN215" s="868" t="str">
        <f>IF(VLOOKUP(A215,'Débit - Abfluss'!$A$4:$K$275,6,FALSE)="","",VLOOKUP(A215,'Débit - Abfluss'!$A$4:$M$275,6,FALSE))</f>
        <v>aucune information supplémentaire</v>
      </c>
      <c r="AO215" s="869" t="str">
        <f>IF(VLOOKUP(A215,'Débit - Abfluss'!$A$4:$K$275,7,FALSE)="","",VLOOKUP(A215,'Débit - Abfluss'!$A$4:$M$275,7,FALSE))</f>
        <v>aucune information supplémentaire</v>
      </c>
      <c r="AP215" s="766" t="str">
        <f>IF(VLOOKUP(A215,'Débit - Abfluss'!$A$4:$K$275,8,FALSE)="","",VLOOKUP(A215,'Débit - Abfluss'!$A$4:$M$275,8,FALSE))</f>
        <v>Régime présumé naturel (100%) / Abfluss vermutlich natürlich</v>
      </c>
      <c r="AQ215" s="678" t="str">
        <f>IF(VLOOKUP(A215,'Débit - Abfluss'!$A$4:$K$275,9,FALSE)="","",VLOOKUP(A215,'Débit - Abfluss'!$A$4:$M$275,9,FALSE))</f>
        <v>&lt;10%</v>
      </c>
      <c r="AR215" s="770" t="str">
        <f>IF(VLOOKUP(A215,'Débit - Abfluss'!$A$4:$K$275,10,FALSE)="","",VLOOKUP(A215,'Débit - Abfluss'!$A$4:$M$275,10,FALSE))</f>
        <v>Régime présumé naturel (100%) / Abfluss vermutlich natürlich</v>
      </c>
      <c r="AS215" s="773" t="str">
        <f>IF(VLOOKUP(A215,'Débit - Abfluss'!$A$4:$K$275,11,FALSE)="","",VLOOKUP(A215,'Débit - Abfluss'!$A$4:$M$275,11,FALSE))</f>
        <v>X</v>
      </c>
      <c r="AT215" s="778" t="str">
        <f>IF(VLOOKUP(A215,'Débit - Abfluss'!$A$4:$Q$275,12,FALSE)="","",VLOOKUP(A215,'Débit - Abfluss'!$A$4:$Q$275,12,FALSE))</f>
        <v/>
      </c>
      <c r="AU215" s="779" t="str">
        <f>IF(VLOOKUP(A215,'Débit - Abfluss'!$A$4:$Q$275,13,FALSE)="","",VLOOKUP(A215,'Débit - Abfluss'!$A$4:$Q$275,13,FALSE))</f>
        <v/>
      </c>
      <c r="AV215" s="746" t="str">
        <f>IF(VLOOKUP(A215,'Débit - Abfluss'!$A$4:$Q$275,14,FALSE)="","",VLOOKUP(A215,'Débit - Abfluss'!$A$4:$Q$275,14,FALSE))</f>
        <v>VS-315.2</v>
      </c>
      <c r="AW215" s="768" t="str">
        <f>IF(VLOOKUP(A215,'Débit - Abfluss'!$A$4:$Q$275,15,FALSE)="","",VLOOKUP(A215,'Débit - Abfluss'!$A$4:$Q$275,15,FALSE))</f>
        <v>Tannuwald</v>
      </c>
      <c r="AX215" s="679" t="str">
        <f>IF(VLOOKUP(A215,'Débit - Abfluss'!$A$4:$Q$275,16,FALSE)="","",VLOOKUP(A215,'Débit - Abfluss'!$A$4:$Q$275,16,FALSE))</f>
        <v/>
      </c>
      <c r="AY215" s="786" t="str">
        <f>IF(VLOOKUP(A215,'Débit - Abfluss'!$A$4:$Q$275,17,FALSE)="","",VLOOKUP(A215,'Débit - Abfluss'!$A$4:$Q$275,17,FALSE))</f>
        <v>Régime présumé naturel (100%) / Abfluss vermutlich natürlich</v>
      </c>
      <c r="AZ215" s="749" t="str">
        <f>IF(VLOOKUP(A215,'Eclusée - Schwall-Sunk'!$A$2:$F$273,5,FALSE)="","",VLOOKUP(A215,'Eclusée - Schwall-Sunk'!$A$2:$F$273,5,FALSE))</f>
        <v/>
      </c>
      <c r="BA215" s="750" t="str">
        <f>IF(VLOOKUP(A215,'Eclusée - Schwall-Sunk'!$A$2:$F$273,6,FALSE)="","",VLOOKUP(A215,'Eclusée - Schwall-Sunk'!$A$2:$F$273,6,FALSE))</f>
        <v>Non affecté / nicht betroffen</v>
      </c>
      <c r="BB215" s="751" t="str">
        <f>IF(VLOOKUP(A215,'Revitalisation-Revitalisierung'!$A$4:$Z$275,5,FALSE)="","",VLOOKUP(A215,'Revitalisation-Revitalisierung'!$A$4:$Z$275,5,FALSE))</f>
        <v/>
      </c>
      <c r="BC215" s="752" t="str">
        <f>IF(VLOOKUP(A215,'Revitalisation-Revitalisierung'!$A$4:$Z$275,6,FALSE)="","",VLOOKUP(A215,'Revitalisation-Revitalisierung'!$A$4:$Z$275,6,FALSE))</f>
        <v/>
      </c>
      <c r="BD215" s="752" t="str">
        <f>IF(VLOOKUP(A215,'Revitalisation-Revitalisierung'!$A$4:$Z$275,7,FALSE)="","",VLOOKUP(A215,'Revitalisation-Revitalisierung'!$A$4:$Z$275,7,FALSE))</f>
        <v/>
      </c>
      <c r="BE215" s="753" t="str">
        <f>IF(VLOOKUP(A215,'Revitalisation-Revitalisierung'!$A$4:$Z$275,8,FALSE)="","",VLOOKUP(A215,'Revitalisation-Revitalisierung'!$A$4:$Z$275,8,FALSE))</f>
        <v/>
      </c>
      <c r="BF215" s="754" t="str">
        <f>IF(VLOOKUP(A215,'Revitalisation-Revitalisierung'!$A$4:$Z$275,9,FALSE)="","",VLOOKUP(A215,'Revitalisation-Revitalisierung'!$A$4:$Z$275,9,FALSE))</f>
        <v>nicht nötig</v>
      </c>
      <c r="BG215" s="754" t="str">
        <f>IF(VLOOKUP(A215,'Revitalisation-Revitalisierung'!$A$4:$Z$275,10,FALSE)="","",VLOOKUP(A215,'Revitalisation-Revitalisierung'!$A$4:$Z$275,10,FALSE))</f>
        <v/>
      </c>
      <c r="BH215" s="755" t="str">
        <f>IF(VLOOKUP(A215,'Revitalisation-Revitalisierung'!$A$4:$Z$275,11,FALSE)="","",VLOOKUP(A215,'Revitalisation-Revitalisierung'!$A$4:$Z$275,11,FALSE))</f>
        <v>non nécessaire</v>
      </c>
      <c r="BI215" s="756" t="str">
        <f>IF(VLOOKUP(A215,'Revitalisation-Revitalisierung'!$A$4:$Z$275,12,FALSE)="","",VLOOKUP(A215,'Revitalisation-Revitalisierung'!$A$4:$Z$275,12,FALSE))</f>
        <v/>
      </c>
      <c r="BJ215" s="788" t="str">
        <f>IF(VLOOKUP(A215,'Revitalisation-Revitalisierung'!$A$4:$Z$275,13,FALSE)="","",VLOOKUP(A215,'Revitalisation-Revitalisierung'!$A$4:$Z$275,13,FALSE))</f>
        <v>Partiellement nécessaire, facile / teilweise nötig, einfach</v>
      </c>
      <c r="BK215" s="870" t="str">
        <f>IF(VLOOKUP(A215,'Revitalisation-Revitalisierung'!$A$4:$Z$275,14,FALSE)="","",VLOOKUP(A215,'Revitalisation-Revitalisierung'!$A$4:$Z$275,14,FALSE))</f>
        <v>b</v>
      </c>
      <c r="BL215" s="758" t="str">
        <f>IF(VLOOKUP(A215,'Revitalisation-Revitalisierung'!$A$4:$Z$275,15,FALSE)="","",VLOOKUP(A215,'Revitalisation-Revitalisierung'!$A$4:$Z$275,15,FALSE))</f>
        <v>élevé</v>
      </c>
      <c r="BM215" s="759" t="str">
        <f>IF(VLOOKUP(A215,'Revitalisation-Revitalisierung'!$A$4:$Z$275,16,FALSE)="","",VLOOKUP(A215,'Revitalisation-Revitalisierung'!$A$4:$Z$275,16,FALSE))</f>
        <v>élevé</v>
      </c>
      <c r="BN215" s="759" t="str">
        <f>IF(VLOOKUP(A215,'Revitalisation-Revitalisierung'!$A$4:$Z$275,17,FALSE)="","",VLOOKUP(A215,'Revitalisation-Revitalisierung'!$A$4:$Z$275,17,FALSE))</f>
        <v>pas de mesure</v>
      </c>
      <c r="BO215" s="760" t="str">
        <f>IF(VLOOKUP(A215,'Revitalisation-Revitalisierung'!$A$4:$Z$275,18,FALSE)="","",VLOOKUP(A215,'Revitalisation-Revitalisierung'!$A$4:$Z$275,18,FALSE))</f>
        <v>Très nécessaire, facile / unbedingt nötig, einfach</v>
      </c>
      <c r="BP215" s="761" t="str">
        <f>IF(VLOOKUP(A215,'Revitalisation-Revitalisierung'!$A$4:$Z$275,19,FALSE)="","",VLOOKUP(A215,'Revitalisation-Revitalisierung'!$A$4:$Z$275,19,FALSE))</f>
        <v>Partiellement nécessaire, facile / teilweise nötig, einfach</v>
      </c>
      <c r="BQ215" s="759" t="str">
        <f>IF(VLOOKUP(A215,'Revitalisation-Revitalisierung'!$A$4:$Z$275,20,FALSE)="","",VLOOKUP(A215,'Revitalisation-Revitalisierung'!$A$4:$Z$275,20,FALSE))</f>
        <v>c</v>
      </c>
      <c r="BR215" s="759" t="str">
        <f>IF(VLOOKUP(A215,'Revitalisation-Revitalisierung'!$A$4:$Z$275,21,FALSE)="","",VLOOKUP(A215,'Revitalisation-Revitalisierung'!$A$4:$Z$275,21,FALSE))</f>
        <v/>
      </c>
      <c r="BS215" s="762" t="str">
        <f>IF(VLOOKUP(A215,'Revitalisation-Revitalisierung'!$A$4:$Z$275,22,FALSE)="","",VLOOKUP(A215,'Revitalisation-Revitalisierung'!$A$4:$Z$275,22,FALSE))</f>
        <v/>
      </c>
      <c r="BT215" s="700" t="str">
        <f>IF(VLOOKUP(A215,'Revitalisation-Revitalisierung'!$A$4:$Z$275,23,FALSE)="","",VLOOKUP(A215,'Revitalisation-Revitalisierung'!$A$4:$Z$275,23,FALSE))</f>
        <v/>
      </c>
      <c r="BU215" s="699" t="str">
        <f>IF(VLOOKUP(A215,'Revitalisation-Revitalisierung'!$A$4:$Z$275,24,FALSE)="","",VLOOKUP(A215,'Revitalisation-Revitalisierung'!$A$4:$Z$275,24,FALSE))</f>
        <v/>
      </c>
      <c r="BV215" s="761" t="str">
        <f>IF(VLOOKUP(A215,'Revitalisation-Revitalisierung'!$A$4:$Z$275,25,FALSE)="","",VLOOKUP(A215,'Revitalisation-Revitalisierung'!$A$4:$Z$275,25,FALSE))</f>
        <v>Partiellement nécessaire, facile / teilweise nötig, einfach</v>
      </c>
      <c r="BW215" s="871" t="str">
        <f>IF(VLOOKUP(A215,'Revitalisation-Revitalisierung'!$A$4:$AA$275,27,FALSE)="","",VLOOKUP(A215,'Revitalisation-Revitalisierung'!$A$4:$AA$275,27,FALSE))</f>
        <v>a</v>
      </c>
    </row>
    <row r="216" spans="1:75" ht="69.599999999999994" customHeight="1" x14ac:dyDescent="0.25">
      <c r="A216" s="935">
        <v>337</v>
      </c>
      <c r="B216" s="856">
        <f>IF(VLOOKUP(A216,'Données de base - Grunddaten'!$A$2:$M$297,2,FALSE)="","",VLOOKUP(A216,'Données de base - Grunddaten'!$A$2:$M$297,2,FALSE))</f>
        <v>1</v>
      </c>
      <c r="C216" s="857" t="str">
        <f>IF(VLOOKUP(A216,'Données de base - Grunddaten'!$A$2:$M$297,3,FALSE)="","",VLOOKUP(A216,'Données de base - Grunddaten'!$A$2:$M$297,3,FALSE))</f>
        <v>Möriken–Wildegg</v>
      </c>
      <c r="D216" s="857" t="str">
        <f>IF(VLOOKUP(A216,'Données de base - Grunddaten'!$A$2:$M$297,4,FALSE)="","",VLOOKUP(A216,'Données de base - Grunddaten'!$A$2:$M$297,4,FALSE))</f>
        <v>Bünz</v>
      </c>
      <c r="E216" s="857" t="str">
        <f>IF(VLOOKUP(A216,'Données de base - Grunddaten'!$A$2:$M$297,5,FALSE)="","",VLOOKUP(A216,'Données de base - Grunddaten'!$A$2:$M$297,5,FALSE))</f>
        <v>AG</v>
      </c>
      <c r="F216" s="857" t="str">
        <f>IF(VLOOKUP(A216,'Données de base - Grunddaten'!$A$2:$M$297,6,FALSE)="","",VLOOKUP(A216,'Données de base - Grunddaten'!$A$2:$M$297,6,FALSE))</f>
        <v>Plateau oriental, Bassins lémanique et rhénan</v>
      </c>
      <c r="G216" s="857" t="str">
        <f>IF(VLOOKUP(A216,'Données de base - Grunddaten'!$A$2:$M$297,7,FALSE)="","",VLOOKUP(A216,'Données de base - Grunddaten'!$A$2:$M$297,7,FALSE))</f>
        <v>Collinéen</v>
      </c>
      <c r="H216" s="857">
        <f>IF(VLOOKUP(A216,'Données de base - Grunddaten'!$A$2:$M$297,8,FALSE)="","",VLOOKUP(A216,'Données de base - Grunddaten'!$A$2:$M$297,8,FALSE))</f>
        <v>380</v>
      </c>
      <c r="I216" s="857">
        <f>IF(VLOOKUP(A216,'Données de base - Grunddaten'!$A$2:$M$297,9,FALSE)="","",VLOOKUP(A216,'Données de base - Grunddaten'!$A$2:$M$297,9,FALSE))</f>
        <v>2003</v>
      </c>
      <c r="J216" s="857">
        <f>IF(VLOOKUP(A216,'Données de base - Grunddaten'!$A$2:$M$297,10,FALSE)="","",VLOOKUP(A216,'Données de base - Grunddaten'!$A$2:$M$297,10,FALSE))</f>
        <v>51</v>
      </c>
      <c r="K216" s="857" t="str">
        <f>IF(VLOOKUP(A216,'Données de base - Grunddaten'!$A$2:$M$297,11,FALSE)="","",VLOOKUP(A216,'Données de base - Grunddaten'!$A$2:$M$297,11,FALSE))</f>
        <v>Cours d'eau naturels de l'étage collinéen du Moyen-Pays</v>
      </c>
      <c r="L216" s="857" t="str">
        <f>IF(VLOOKUP(A216,'Données de base - Grunddaten'!$A$2:$M$297,12,FALSE)="","",VLOOKUP(A216,'Données de base - Grunddaten'!$A$2:$M$297,12,FALSE))</f>
        <v>en méandres migrants</v>
      </c>
      <c r="M216" s="858" t="str">
        <f>IF(VLOOKUP(A216,'Données de base - Grunddaten'!$A$2:$M$297,13,FALSE)="","",VLOOKUP(A216,'Données de base - Grunddaten'!$A$2:$M$297,13,FALSE))</f>
        <v>en méandres migrants</v>
      </c>
      <c r="N216" s="872" t="str">
        <f>IF(VLOOKUP(A216,'Charriage - Geschiebehaushalt'!$A$4:$R$275,5,FALSE)="","",VLOOKUP(A216,'Charriage - Geschiebehaushalt'!$A$4:$R$275,5,FALSE))</f>
        <v>pertinent</v>
      </c>
      <c r="O216" s="881" t="str">
        <f>IF(VLOOKUP(A216,'Charriage - Geschiebehaushalt'!$A$4:$R$275,6,FALSE)="","",VLOOKUP(A216,'Charriage - Geschiebehaushalt'!$A$4:$R$275,6,FALSE))</f>
        <v>non documenté</v>
      </c>
      <c r="P216" s="874" t="str">
        <f>IF(VLOOKUP(A216,'Charriage - Geschiebehaushalt'!$A$4:$R$275,7,FALSE)="","",VLOOKUP(A216,'Charriage - Geschiebehaushalt'!$A$4:$R$275,7,FALSE))</f>
        <v/>
      </c>
      <c r="Q216" s="874" t="str">
        <f>IF(VLOOKUP(A216,'Charriage - Geschiebehaushalt'!$A$4:$R$275,8,FALSE)="","",VLOOKUP(A216,'Charriage - Geschiebehaushalt'!$A$4:$R$275,8,FALSE))</f>
        <v>non documenté</v>
      </c>
      <c r="R216" s="875">
        <f>IF(VLOOKUP(A216,'Charriage - Geschiebehaushalt'!$A$4:$R$275,9,FALSE)="","",VLOOKUP(A216,'Charriage - Geschiebehaushalt'!$A$4:$R$275,9,FALSE))</f>
        <v>0.410656262709853</v>
      </c>
      <c r="S216" s="895" t="str">
        <f>IF(VLOOKUP(A216,'Charriage - Geschiebehaushalt'!$A$4:$R$275,10,FALSE)="","",VLOOKUP(A216,'Charriage - Geschiebehaushalt'!$A$4:$R$275,10,FALSE))</f>
        <v>la remobilisation des sédiments est perturbée</v>
      </c>
      <c r="T216" s="875">
        <f>IF(VLOOKUP(A216,'Charriage - Geschiebehaushalt'!$A$4:$R$275,11,FALSE)="","",VLOOKUP(A216,'Charriage - Geschiebehaushalt'!$A$4:$R$275,11,FALSE))</f>
        <v>4.5517790896999998E-2</v>
      </c>
      <c r="U216" s="876" t="str">
        <f>IF(VLOOKUP(A216,'Charriage - Geschiebehaushalt'!$A$4:$R$275,12,FALSE)="","",VLOOKUP(A216,'Charriage - Geschiebehaushalt'!$A$4:$R$275,12,FALSE))</f>
        <v>déficit dans les formations pionnières</v>
      </c>
      <c r="V216" s="877" t="str">
        <f>IF(VLOOKUP(A216,'Charriage - Geschiebehaushalt'!$A$4:$R$275,13,FALSE)="","",VLOOKUP(A216,'Charriage - Geschiebehaushalt'!$A$4:$R$275,13,FALSE))</f>
        <v/>
      </c>
      <c r="W216" s="877" t="str">
        <f>IF(VLOOKUP(A216,'Charriage - Geschiebehaushalt'!$A$4:$R$275,14,FALSE)="","",VLOOKUP(A216,'Charriage - Geschiebehaushalt'!$A$4:$R$275,14,FALSE))</f>
        <v/>
      </c>
      <c r="X216" s="877" t="str">
        <f>IF(VLOOKUP(A216,'Charriage - Geschiebehaushalt'!$A$4:$R$275,15,FALSE)="","",VLOOKUP(A216,'Charriage - Geschiebehaushalt'!$A$4:$R$275,15,FALSE))</f>
        <v/>
      </c>
      <c r="Y216" s="879" t="str">
        <f>IF(VLOOKUP(A216,'Charriage - Geschiebehaushalt'!$A$4:$R$275,16,FALSE)="","",VLOOKUP(A216,'Charriage - Geschiebehaushalt'!$A$4:$R$275,16,FALSE))</f>
        <v/>
      </c>
      <c r="Z216" s="763" t="str">
        <f>IF(VLOOKUP(A216,'Charriage - Geschiebehaushalt'!$A$4:$R$275,17,FALSE)="","",VLOOKUP(A216,'Charriage - Geschiebehaushalt'!$A$4:$R$275,17,FALSE))</f>
        <v>La remobilisation des sédiments est perturbée / Mobilisierung von Geschiebe beeinträchtigt</v>
      </c>
      <c r="AA216" s="880" t="str">
        <f>IF(VLOOKUP(A216,'Charriage - Geschiebehaushalt'!$A$4:$R$275,18,FALSE)="","",VLOOKUP(A216,'Charriage - Geschiebehaushalt'!$A$4:$R$275,18,FALSE))</f>
        <v>b</v>
      </c>
      <c r="AB216" s="737" t="str">
        <f>IF(VLOOKUP(A216,'Charriage - Geschiebehaushalt'!$A$4:$AC$275,19,FALSE)="","",VLOOKUP(A216,'Charriage - Geschiebehaushalt'!$A$4:$AC$275,19,FALSE))</f>
        <v>-</v>
      </c>
      <c r="AC216" s="738" t="str">
        <f>IF(VLOOKUP(A216,'Charriage - Geschiebehaushalt'!$A$4:$AC$275,20,FALSE)="","",VLOOKUP(A216,'Charriage - Geschiebehaushalt'!$A$4:$AC$275,20,FALSE))</f>
        <v>-</v>
      </c>
      <c r="AD216" s="764" t="str">
        <f>IF(VLOOKUP(A216,'Charriage - Geschiebehaushalt'!$A$4:$AC$275,21,FALSE)="","",VLOOKUP(A216,'Charriage - Geschiebehaushalt'!$A$4:$AC$275,21,FALSE))</f>
        <v/>
      </c>
      <c r="AE216" s="740" t="str">
        <f>IF(VLOOKUP(A216,'Charriage - Geschiebehaushalt'!$A$4:$AC$275,22,FALSE)="","",VLOOKUP(A216,'Charriage - Geschiebehaushalt'!$A$4:$AC$275,22,FALSE))</f>
        <v>21-50%</v>
      </c>
      <c r="AF216" s="787" t="str">
        <f>IF(VLOOKUP(A216,'Charriage - Geschiebehaushalt'!$A$4:$AC$275,23,FALSE)="","",VLOOKUP(A216,'Charriage - Geschiebehaushalt'!$A$4:$AC$275,23,FALSE))</f>
        <v>b</v>
      </c>
      <c r="AG216" s="765" t="str">
        <f>IF(VLOOKUP(A216,'Charriage - Geschiebehaushalt'!$A$4:$AC$275,24,FALSE)="","",VLOOKUP(A216,'Charriage - Geschiebehaushalt'!$A$4:$AC$275,24,FALSE))</f>
        <v/>
      </c>
      <c r="AH216" s="764" t="str">
        <f>IF(VLOOKUP(A216,'Charriage - Geschiebehaushalt'!$A$4:$AC$275,25,FALSE)="","",VLOOKUP(A216,'Charriage - Geschiebehaushalt'!$A$4:$AC$275,25,FALSE))</f>
        <v/>
      </c>
      <c r="AI216" s="433" t="str">
        <f>IF(VLOOKUP(A216,'Charriage - Geschiebehaushalt'!$A$4:$AC$275,26,FALSE)="","",VLOOKUP(A216,'Charriage - Geschiebehaushalt'!$A$4:$AC$275,26,FALSE))</f>
        <v/>
      </c>
      <c r="AJ216" s="434" t="str">
        <f>IF(VLOOKUP(A216,'Charriage - Geschiebehaushalt'!$A$4:$AC$275,27,FALSE)="","",VLOOKUP(A216,'Charriage - Geschiebehaushalt'!$A$4:$AC$275,27,FALSE))</f>
        <v/>
      </c>
      <c r="AK216" s="801" t="str">
        <f>IF(VLOOKUP(A216,'Charriage - Geschiebehaushalt'!$A$4:$AC$275,28,FALSE)="","",VLOOKUP(A216,'Charriage - Geschiebehaushalt'!$A$4:$AC$275,28,FALSE))</f>
        <v>21-50%</v>
      </c>
      <c r="AL216" s="1285" t="str">
        <f>IF(VLOOKUP(A216,'Charriage - Geschiebehaushalt'!$A$4:$AD$275,30,FALSE)="","",VLOOKUP(A216,'Charriage - Geschiebehaushalt'!$A$4:$AD$275,30,FALSE))</f>
        <v>b</v>
      </c>
      <c r="AM216" s="1279" t="str">
        <f>IF(VLOOKUP(A216,'Débit - Abfluss'!$A$4:$K$275,5,FALSE)="","",VLOOKUP(A216,'Débit - Abfluss'!$A$4:$M$275,5,FALSE))</f>
        <v>100%</v>
      </c>
      <c r="AN216" s="868" t="str">
        <f>IF(VLOOKUP(A216,'Débit - Abfluss'!$A$4:$K$275,6,FALSE)="","",VLOOKUP(A216,'Débit - Abfluss'!$A$4:$M$275,6,FALSE))</f>
        <v>aucune information supplémentaire</v>
      </c>
      <c r="AO216" s="869" t="str">
        <f>IF(VLOOKUP(A216,'Débit - Abfluss'!$A$4:$K$275,7,FALSE)="","",VLOOKUP(A216,'Débit - Abfluss'!$A$4:$M$275,7,FALSE))</f>
        <v>aucune information supplémentaire</v>
      </c>
      <c r="AP216" s="766" t="str">
        <f>IF(VLOOKUP(A216,'Débit - Abfluss'!$A$4:$K$275,8,FALSE)="","",VLOOKUP(A216,'Débit - Abfluss'!$A$4:$M$275,8,FALSE))</f>
        <v>100%</v>
      </c>
      <c r="AQ216" s="742" t="str">
        <f>IF(VLOOKUP(A216,'Débit - Abfluss'!$A$4:$K$275,9,FALSE)="","",VLOOKUP(A216,'Débit - Abfluss'!$A$4:$M$275,9,FALSE))</f>
        <v>-</v>
      </c>
      <c r="AR216" s="767" t="str">
        <f>IF(VLOOKUP(A216,'Débit - Abfluss'!$A$4:$K$275,10,FALSE)="","",VLOOKUP(A216,'Débit - Abfluss'!$A$4:$M$275,10,FALSE))</f>
        <v>100%</v>
      </c>
      <c r="AS216" s="767" t="str">
        <f>IF(VLOOKUP(A216,'Débit - Abfluss'!$A$4:$K$275,11,FALSE)="","",VLOOKUP(A216,'Débit - Abfluss'!$A$4:$M$275,11,FALSE))</f>
        <v/>
      </c>
      <c r="AT216" s="744" t="str">
        <f>IF(VLOOKUP(A216,'Débit - Abfluss'!$A$4:$Q$275,12,FALSE)="","",VLOOKUP(A216,'Débit - Abfluss'!$A$4:$Q$275,12,FALSE))</f>
        <v/>
      </c>
      <c r="AU216" s="745" t="str">
        <f>IF(VLOOKUP(A216,'Débit - Abfluss'!$A$4:$Q$275,13,FALSE)="","",VLOOKUP(A216,'Débit - Abfluss'!$A$4:$Q$275,13,FALSE))</f>
        <v/>
      </c>
      <c r="AV216" s="746" t="str">
        <f>IF(VLOOKUP(A216,'Débit - Abfluss'!$A$4:$Q$275,14,FALSE)="","",VLOOKUP(A216,'Débit - Abfluss'!$A$4:$Q$275,14,FALSE))</f>
        <v/>
      </c>
      <c r="AW216" s="768" t="str">
        <f>IF(VLOOKUP(A216,'Débit - Abfluss'!$A$4:$Q$275,15,FALSE)="","",VLOOKUP(A216,'Débit - Abfluss'!$A$4:$Q$275,15,FALSE))</f>
        <v/>
      </c>
      <c r="AX216" s="677" t="str">
        <f>IF(VLOOKUP(A216,'Débit - Abfluss'!$A$4:$Q$275,16,FALSE)="","",VLOOKUP(A216,'Débit - Abfluss'!$A$4:$Q$275,16,FALSE))</f>
        <v/>
      </c>
      <c r="AY216" s="769" t="str">
        <f>IF(VLOOKUP(A216,'Débit - Abfluss'!$A$4:$Q$275,17,FALSE)="","",VLOOKUP(A216,'Débit - Abfluss'!$A$4:$Q$275,17,FALSE))</f>
        <v>100%</v>
      </c>
      <c r="AZ216" s="749" t="str">
        <f>IF(VLOOKUP(A216,'Eclusée - Schwall-Sunk'!$A$2:$F$273,5,FALSE)="","",VLOOKUP(A216,'Eclusée - Schwall-Sunk'!$A$2:$F$273,5,FALSE))</f>
        <v/>
      </c>
      <c r="BA216" s="750" t="str">
        <f>IF(VLOOKUP(A216,'Eclusée - Schwall-Sunk'!$A$2:$F$273,6,FALSE)="","",VLOOKUP(A216,'Eclusée - Schwall-Sunk'!$A$2:$F$273,6,FALSE))</f>
        <v>Non affecté / nicht betroffen</v>
      </c>
      <c r="BB216" s="751">
        <f>IF(VLOOKUP(A216,'Revitalisation-Revitalisierung'!$A$4:$Z$275,5,FALSE)="","",VLOOKUP(A216,'Revitalisation-Revitalisierung'!$A$4:$Z$275,5,FALSE))</f>
        <v>21.890909090909091</v>
      </c>
      <c r="BC216" s="752">
        <f>IF(VLOOKUP(A216,'Revitalisation-Revitalisierung'!$A$4:$Z$275,6,FALSE)="","",VLOOKUP(A216,'Revitalisation-Revitalisierung'!$A$4:$Z$275,6,FALSE))</f>
        <v>72.768903914006444</v>
      </c>
      <c r="BD216" s="752">
        <f>IF(VLOOKUP(A216,'Revitalisation-Revitalisierung'!$A$4:$Z$275,7,FALSE)="","",VLOOKUP(A216,'Revitalisation-Revitalisierung'!$A$4:$Z$275,7,FALSE))</f>
        <v>50.909090909090907</v>
      </c>
      <c r="BE216" s="753" t="str">
        <f>IF(VLOOKUP(A216,'Revitalisation-Revitalisierung'!$A$4:$Z$275,8,FALSE)="","",VLOOKUP(A216,'Revitalisation-Revitalisierung'!$A$4:$Z$275,8,FALSE))</f>
        <v>très nécessaire, difficile</v>
      </c>
      <c r="BF216" s="754" t="str">
        <f>IF(VLOOKUP(A216,'Revitalisation-Revitalisierung'!$A$4:$Z$275,9,FALSE)="","",VLOOKUP(A216,'Revitalisation-Revitalisierung'!$A$4:$Z$275,9,FALSE))</f>
        <v>nicht nötig</v>
      </c>
      <c r="BG216" s="754" t="str">
        <f>IF(VLOOKUP(A216,'Revitalisation-Revitalisierung'!$A$4:$Z$275,10,FALSE)="","",VLOOKUP(A216,'Revitalisation-Revitalisierung'!$A$4:$Z$275,10,FALSE))</f>
        <v>K2</v>
      </c>
      <c r="BH216" s="755" t="str">
        <f>IF(VLOOKUP(A216,'Revitalisation-Revitalisierung'!$A$4:$Z$275,11,FALSE)="","",VLOOKUP(A216,'Revitalisation-Revitalisierung'!$A$4:$Z$275,11,FALSE))</f>
        <v/>
      </c>
      <c r="BI216" s="756" t="str">
        <f>IF(VLOOKUP(A216,'Revitalisation-Revitalisierung'!$A$4:$Z$275,12,FALSE)="","",VLOOKUP(A216,'Revitalisation-Revitalisierung'!$A$4:$Z$275,12,FALSE))</f>
        <v/>
      </c>
      <c r="BJ216" s="788" t="str">
        <f>IF(VLOOKUP(A216,'Revitalisation-Revitalisierung'!$A$4:$Z$275,13,FALSE)="","",VLOOKUP(A216,'Revitalisation-Revitalisierung'!$A$4:$Z$275,13,FALSE))</f>
        <v>Très nécessaire, difficile / unbedingt nötig, schwierig</v>
      </c>
      <c r="BK216" s="870" t="str">
        <f>IF(VLOOKUP(A216,'Revitalisation-Revitalisierung'!$A$4:$Z$275,14,FALSE)="","",VLOOKUP(A216,'Revitalisation-Revitalisierung'!$A$4:$Z$275,14,FALSE))</f>
        <v>a</v>
      </c>
      <c r="BL216" s="758" t="str">
        <f>IF(VLOOKUP(A216,'Revitalisation-Revitalisierung'!$A$4:$Z$275,15,FALSE)="","",VLOOKUP(A216,'Revitalisation-Revitalisierung'!$A$4:$Z$275,15,FALSE))</f>
        <v>gross / mittel</v>
      </c>
      <c r="BM216" s="759" t="str">
        <f>IF(VLOOKUP(A216,'Revitalisation-Revitalisierung'!$A$4:$Z$275,16,FALSE)="","",VLOOKUP(A216,'Revitalisation-Revitalisierung'!$A$4:$Z$275,16,FALSE))</f>
        <v>gross / gering</v>
      </c>
      <c r="BN216" s="759" t="str">
        <f>IF(VLOOKUP(A216,'Revitalisation-Revitalisierung'!$A$4:$Z$275,17,FALSE)="","",VLOOKUP(A216,'Revitalisation-Revitalisierung'!$A$4:$Z$275,17,FALSE))</f>
        <v>20 Jahre: 1. Drittel</v>
      </c>
      <c r="BO216" s="760" t="str">
        <f>IF(VLOOKUP(A216,'Revitalisation-Revitalisierung'!$A$4:$Z$275,18,FALSE)="","",VLOOKUP(A216,'Revitalisation-Revitalisierung'!$A$4:$Z$275,18,FALSE))</f>
        <v>Très nécessaire, difficile / unbedingt nötig, schwierig</v>
      </c>
      <c r="BP216" s="761" t="str">
        <f>IF(VLOOKUP(A216,'Revitalisation-Revitalisierung'!$A$4:$Z$275,19,FALSE)="","",VLOOKUP(A216,'Revitalisation-Revitalisierung'!$A$4:$Z$275,19,FALSE))</f>
        <v>Très nécessaire, difficile / unbedingt nötig, schwierig</v>
      </c>
      <c r="BQ216" s="759" t="str">
        <f>IF(VLOOKUP(A216,'Revitalisation-Revitalisierung'!$A$4:$Z$275,20,FALSE)="","",VLOOKUP(A216,'Revitalisation-Revitalisierung'!$A$4:$Z$275,20,FALSE))</f>
        <v>d</v>
      </c>
      <c r="BR216" s="759" t="str">
        <f>IF(VLOOKUP(A216,'Revitalisation-Revitalisierung'!$A$4:$Z$275,21,FALSE)="","",VLOOKUP(A216,'Revitalisation-Revitalisierung'!$A$4:$Z$275,21,FALSE))</f>
        <v/>
      </c>
      <c r="BS216" s="762" t="str">
        <f>IF(VLOOKUP(A216,'Revitalisation-Revitalisierung'!$A$4:$Z$275,22,FALSE)="","",VLOOKUP(A216,'Revitalisation-Revitalisierung'!$A$4:$Z$275,22,FALSE))</f>
        <v/>
      </c>
      <c r="BT216" s="700" t="str">
        <f>IF(VLOOKUP(A216,'Revitalisation-Revitalisierung'!$A$4:$Z$275,23,FALSE)="","",VLOOKUP(A216,'Revitalisation-Revitalisierung'!$A$4:$Z$275,23,FALSE))</f>
        <v/>
      </c>
      <c r="BU216" s="699" t="str">
        <f>IF(VLOOKUP(A216,'Revitalisation-Revitalisierung'!$A$4:$Z$275,24,FALSE)="","",VLOOKUP(A216,'Revitalisation-Revitalisierung'!$A$4:$Z$275,24,FALSE))</f>
        <v>Für die Revitalisierung des kanalisierten Bünzlaufs in Othmarsingen besteht ein Vorprojekt, welches in den kommenden Jahren zur Baureife gebracht werden soll. Der Teil  Möriken ist grösstenteils beendet. Weitere Revitalisierungen sind erst möglich, wenn bestehnde Infrastrukturanlagen verlegt werden können.</v>
      </c>
      <c r="BV216" s="761" t="str">
        <f>IF(VLOOKUP(A216,'Revitalisation-Revitalisierung'!$A$4:$Z$275,25,FALSE)="","",VLOOKUP(A216,'Revitalisation-Revitalisierung'!$A$4:$Z$275,25,FALSE))</f>
        <v>Partiellement nécessaire, facile / teilweise nötig, einfach</v>
      </c>
      <c r="BW216" s="871" t="str">
        <f>IF(VLOOKUP(A216,'Revitalisation-Revitalisierung'!$A$4:$AA$275,27,FALSE)="","",VLOOKUP(A216,'Revitalisation-Revitalisierung'!$A$4:$AA$275,27,FALSE))</f>
        <v>b</v>
      </c>
    </row>
    <row r="217" spans="1:75" ht="79.900000000000006" customHeight="1" x14ac:dyDescent="0.25">
      <c r="A217" s="935">
        <v>338</v>
      </c>
      <c r="B217" s="856">
        <f>IF(VLOOKUP(A217,'Données de base - Grunddaten'!$A$2:$M$297,2,FALSE)="","",VLOOKUP(A217,'Données de base - Grunddaten'!$A$2:$M$297,2,FALSE))</f>
        <v>1</v>
      </c>
      <c r="C217" s="857" t="str">
        <f>IF(VLOOKUP(A217,'Données de base - Grunddaten'!$A$2:$M$297,3,FALSE)="","",VLOOKUP(A217,'Données de base - Grunddaten'!$A$2:$M$297,3,FALSE))</f>
        <v>Unterer Schiltwald</v>
      </c>
      <c r="D217" s="857" t="str">
        <f>IF(VLOOKUP(A217,'Données de base - Grunddaten'!$A$2:$M$297,4,FALSE)="","",VLOOKUP(A217,'Données de base - Grunddaten'!$A$2:$M$297,4,FALSE))</f>
        <v>Rotbach</v>
      </c>
      <c r="E217" s="857" t="str">
        <f>IF(VLOOKUP(A217,'Données de base - Grunddaten'!$A$2:$M$297,5,FALSE)="","",VLOOKUP(A217,'Données de base - Grunddaten'!$A$2:$M$297,5,FALSE))</f>
        <v>LU</v>
      </c>
      <c r="F217" s="857" t="str">
        <f>IF(VLOOKUP(A217,'Données de base - Grunddaten'!$A$2:$M$297,6,FALSE)="","",VLOOKUP(A217,'Données de base - Grunddaten'!$A$2:$M$297,6,FALSE))</f>
        <v>Plateau oriental</v>
      </c>
      <c r="G217" s="857" t="str">
        <f>IF(VLOOKUP(A217,'Données de base - Grunddaten'!$A$2:$M$297,7,FALSE)="","",VLOOKUP(A217,'Données de base - Grunddaten'!$A$2:$M$297,7,FALSE))</f>
        <v>Collinéen</v>
      </c>
      <c r="H217" s="857">
        <f>IF(VLOOKUP(A217,'Données de base - Grunddaten'!$A$2:$M$297,8,FALSE)="","",VLOOKUP(A217,'Données de base - Grunddaten'!$A$2:$M$297,8,FALSE))</f>
        <v>420</v>
      </c>
      <c r="I217" s="857">
        <f>IF(VLOOKUP(A217,'Données de base - Grunddaten'!$A$2:$M$297,9,FALSE)="","",VLOOKUP(A217,'Données de base - Grunddaten'!$A$2:$M$297,9,FALSE))</f>
        <v>2003</v>
      </c>
      <c r="J217" s="857">
        <f>IF(VLOOKUP(A217,'Données de base - Grunddaten'!$A$2:$M$297,10,FALSE)="","",VLOOKUP(A217,'Données de base - Grunddaten'!$A$2:$M$297,10,FALSE))</f>
        <v>51</v>
      </c>
      <c r="K217" s="857" t="str">
        <f>IF(VLOOKUP(A217,'Données de base - Grunddaten'!$A$2:$M$297,11,FALSE)="","",VLOOKUP(A217,'Données de base - Grunddaten'!$A$2:$M$297,11,FALSE))</f>
        <v>Cours d'eau naturels de l'étage collinéen du Moyen-Pays</v>
      </c>
      <c r="L217" s="857" t="str">
        <f>IF(VLOOKUP(A217,'Données de base - Grunddaten'!$A$2:$M$297,12,FALSE)="","",VLOOKUP(A217,'Données de base - Grunddaten'!$A$2:$M$297,12,FALSE))</f>
        <v>en méandres migrants</v>
      </c>
      <c r="M217" s="858" t="str">
        <f>IF(VLOOKUP(A217,'Données de base - Grunddaten'!$A$2:$M$297,13,FALSE)="","",VLOOKUP(A217,'Données de base - Grunddaten'!$A$2:$M$297,13,FALSE))</f>
        <v>en méandres migrants</v>
      </c>
      <c r="N217" s="872" t="str">
        <f>IF(VLOOKUP(A217,'Charriage - Geschiebehaushalt'!$A$4:$R$275,5,FALSE)="","",VLOOKUP(A217,'Charriage - Geschiebehaushalt'!$A$4:$R$275,5,FALSE))</f>
        <v>pertinent</v>
      </c>
      <c r="O217" s="881" t="str">
        <f>IF(VLOOKUP(A217,'Charriage - Geschiebehaushalt'!$A$4:$R$275,6,FALSE)="","",VLOOKUP(A217,'Charriage - Geschiebehaushalt'!$A$4:$R$275,6,FALSE))</f>
        <v>non documenté</v>
      </c>
      <c r="P217" s="874" t="str">
        <f>IF(VLOOKUP(A217,'Charriage - Geschiebehaushalt'!$A$4:$R$275,7,FALSE)="","",VLOOKUP(A217,'Charriage - Geschiebehaushalt'!$A$4:$R$275,7,FALSE))</f>
        <v/>
      </c>
      <c r="Q217" s="874" t="str">
        <f>IF(VLOOKUP(A217,'Charriage - Geschiebehaushalt'!$A$4:$R$275,8,FALSE)="","",VLOOKUP(A217,'Charriage - Geschiebehaushalt'!$A$4:$R$275,8,FALSE))</f>
        <v>non documenté</v>
      </c>
      <c r="R217" s="875">
        <f>IF(VLOOKUP(A217,'Charriage - Geschiebehaushalt'!$A$4:$R$275,9,FALSE)="","",VLOOKUP(A217,'Charriage - Geschiebehaushalt'!$A$4:$R$275,9,FALSE))</f>
        <v>2.2338872682109399E-2</v>
      </c>
      <c r="S217" s="876" t="str">
        <f>IF(VLOOKUP(A217,'Charriage - Geschiebehaushalt'!$A$4:$R$275,10,FALSE)="","",VLOOKUP(A217,'Charriage - Geschiebehaushalt'!$A$4:$R$275,10,FALSE))</f>
        <v>pas ou faiblement entravé</v>
      </c>
      <c r="T217" s="875">
        <f>IF(VLOOKUP(A217,'Charriage - Geschiebehaushalt'!$A$4:$R$275,11,FALSE)="","",VLOOKUP(A217,'Charriage - Geschiebehaushalt'!$A$4:$R$275,11,FALSE))</f>
        <v>2.4928735870999998E-2</v>
      </c>
      <c r="U217" s="876" t="str">
        <f>IF(VLOOKUP(A217,'Charriage - Geschiebehaushalt'!$A$4:$R$275,12,FALSE)="","",VLOOKUP(A217,'Charriage - Geschiebehaushalt'!$A$4:$R$275,12,FALSE))</f>
        <v>déficit dans les formations pionnières</v>
      </c>
      <c r="V217" s="877" t="str">
        <f>IF(VLOOKUP(A217,'Charriage - Geschiebehaushalt'!$A$4:$R$275,13,FALSE)="","",VLOOKUP(A217,'Charriage - Geschiebehaushalt'!$A$4:$R$275,13,FALSE))</f>
        <v>Très petit cours d'eau. Charriage probablement naturellement faible. Système plus marécageux qu'alluvial</v>
      </c>
      <c r="W217" s="877" t="str">
        <f>IF(VLOOKUP(A217,'Charriage - Geschiebehaushalt'!$A$4:$R$275,14,FALSE)="","",VLOOKUP(A217,'Charriage - Geschiebehaushalt'!$A$4:$R$275,14,FALSE))</f>
        <v>A vérifier</v>
      </c>
      <c r="X217" s="877" t="str">
        <f>IF(VLOOKUP(A217,'Charriage - Geschiebehaushalt'!$A$4:$R$275,15,FALSE)="","",VLOOKUP(A217,'Charriage - Geschiebehaushalt'!$A$4:$R$275,15,FALSE))</f>
        <v>pas d'ouvrage dans le bassin versant</v>
      </c>
      <c r="Y217" s="882" t="str">
        <f>IF(VLOOKUP(A217,'Charriage - Geschiebehaushalt'!$A$4:$R$275,16,FALSE)="","",VLOOKUP(A217,'Charriage - Geschiebehaushalt'!$A$4:$R$275,16,FALSE))</f>
        <v>charriage présumé naturel</v>
      </c>
      <c r="Z217" s="763" t="str">
        <f>IF(VLOOKUP(A217,'Charriage - Geschiebehaushalt'!$A$4:$R$275,17,FALSE)="","",VLOOKUP(A217,'Charriage - Geschiebehaushalt'!$A$4:$R$275,17,FALSE))</f>
        <v>Charriage présumé naturel / Geschiebehaushalt vermutlich natürlich</v>
      </c>
      <c r="AA217" s="880" t="str">
        <f>IF(VLOOKUP(A217,'Charriage - Geschiebehaushalt'!$A$4:$R$275,18,FALSE)="","",VLOOKUP(A217,'Charriage - Geschiebehaushalt'!$A$4:$R$275,18,FALSE))</f>
        <v>b</v>
      </c>
      <c r="AB217" s="737" t="str">
        <f>IF(VLOOKUP(A217,'Charriage - Geschiebehaushalt'!$A$4:$AC$275,19,FALSE)="","",VLOOKUP(A217,'Charriage - Geschiebehaushalt'!$A$4:$AC$275,19,FALSE))</f>
        <v>stark</v>
      </c>
      <c r="AC217" s="738" t="str">
        <f>IF(VLOOKUP(A217,'Charriage - Geschiebehaushalt'!$A$4:$AC$275,20,FALSE)="","",VLOOKUP(A217,'Charriage - Geschiebehaushalt'!$A$4:$AC$275,20,FALSE))</f>
        <v>Ja</v>
      </c>
      <c r="AD217" s="764" t="str">
        <f>IF(VLOOKUP(A217,'Charriage - Geschiebehaushalt'!$A$4:$AC$275,21,FALSE)="","",VLOOKUP(A217,'Charriage - Geschiebehaushalt'!$A$4:$AC$275,21,FALSE))</f>
        <v>51-80%</v>
      </c>
      <c r="AE217" s="772" t="str">
        <f>IF(VLOOKUP(A217,'Charriage - Geschiebehaushalt'!$A$4:$AC$275,22,FALSE)="","",VLOOKUP(A217,'Charriage - Geschiebehaushalt'!$A$4:$AC$275,22,FALSE))</f>
        <v>51-80%</v>
      </c>
      <c r="AF217" s="787" t="str">
        <f>IF(VLOOKUP(A217,'Charriage - Geschiebehaushalt'!$A$4:$AC$275,23,FALSE)="","",VLOOKUP(A217,'Charriage - Geschiebehaushalt'!$A$4:$AC$275,23,FALSE))</f>
        <v>c</v>
      </c>
      <c r="AG217" s="765" t="str">
        <f>IF(VLOOKUP(A217,'Charriage - Geschiebehaushalt'!$A$4:$AC$275,24,FALSE)="","",VLOOKUP(A217,'Charriage - Geschiebehaushalt'!$A$4:$AC$275,24,FALSE))</f>
        <v/>
      </c>
      <c r="AH217" s="764" t="str">
        <f>IF(VLOOKUP(A217,'Charriage - Geschiebehaushalt'!$A$4:$AC$275,25,FALSE)="","",VLOOKUP(A217,'Charriage - Geschiebehaushalt'!$A$4:$AC$275,25,FALSE))</f>
        <v/>
      </c>
      <c r="AI217" s="771" t="str">
        <f>IF(VLOOKUP(A217,'Charriage - Geschiebehaushalt'!$A$4:$AC$275,26,FALSE)="","",VLOOKUP(A217,'Charriage - Geschiebehaushalt'!$A$4:$AC$275,26,FALSE))</f>
        <v>51-80%</v>
      </c>
      <c r="AJ217" s="434" t="str">
        <f>IF(VLOOKUP(A217,'Charriage - Geschiebehaushalt'!$A$4:$AC$275,27,FALSE)="","",VLOOKUP(A217,'Charriage - Geschiebehaushalt'!$A$4:$AC$275,27,FALSE))</f>
        <v/>
      </c>
      <c r="AK217" s="814" t="str">
        <f>IF(VLOOKUP(A217,'Charriage - Geschiebehaushalt'!$A$4:$AC$275,28,FALSE)="","",VLOOKUP(A217,'Charriage - Geschiebehaushalt'!$A$4:$AC$275,28,FALSE))</f>
        <v>51-80%</v>
      </c>
      <c r="AL217" s="1285" t="str">
        <f>IF(VLOOKUP(A217,'Charriage - Geschiebehaushalt'!$A$4:$AD$275,30,FALSE)="","",VLOOKUP(A217,'Charriage - Geschiebehaushalt'!$A$4:$AD$275,30,FALSE))</f>
        <v>a</v>
      </c>
      <c r="AM217" s="1279" t="str">
        <f>IF(VLOOKUP(A217,'Débit - Abfluss'!$A$4:$K$275,5,FALSE)="","",VLOOKUP(A217,'Débit - Abfluss'!$A$4:$M$275,5,FALSE))</f>
        <v>100%</v>
      </c>
      <c r="AN217" s="868" t="str">
        <f>IF(VLOOKUP(A217,'Débit - Abfluss'!$A$4:$K$275,6,FALSE)="","",VLOOKUP(A217,'Débit - Abfluss'!$A$4:$M$275,6,FALSE))</f>
        <v>aucune information supplémentaire</v>
      </c>
      <c r="AO217" s="869" t="str">
        <f>IF(VLOOKUP(A217,'Débit - Abfluss'!$A$4:$K$275,7,FALSE)="","",VLOOKUP(A217,'Débit - Abfluss'!$A$4:$M$275,7,FALSE))</f>
        <v>aucune information supplémentaire</v>
      </c>
      <c r="AP217" s="766" t="str">
        <f>IF(VLOOKUP(A217,'Débit - Abfluss'!$A$4:$K$275,8,FALSE)="","",VLOOKUP(A217,'Débit - Abfluss'!$A$4:$M$275,8,FALSE))</f>
        <v>100%</v>
      </c>
      <c r="AQ217" s="742" t="str">
        <f>IF(VLOOKUP(A217,'Débit - Abfluss'!$A$4:$K$275,9,FALSE)="","",VLOOKUP(A217,'Débit - Abfluss'!$A$4:$M$275,9,FALSE))</f>
        <v>-</v>
      </c>
      <c r="AR217" s="767" t="str">
        <f>IF(VLOOKUP(A217,'Débit - Abfluss'!$A$4:$K$275,10,FALSE)="","",VLOOKUP(A217,'Débit - Abfluss'!$A$4:$M$275,10,FALSE))</f>
        <v>100%</v>
      </c>
      <c r="AS217" s="767" t="str">
        <f>IF(VLOOKUP(A217,'Débit - Abfluss'!$A$4:$K$275,11,FALSE)="","",VLOOKUP(A217,'Débit - Abfluss'!$A$4:$M$275,11,FALSE))</f>
        <v/>
      </c>
      <c r="AT217" s="742" t="str">
        <f>IF(VLOOKUP(A217,'Débit - Abfluss'!$A$4:$Q$275,12,FALSE)="","",VLOOKUP(A217,'Débit - Abfluss'!$A$4:$Q$275,12,FALSE))</f>
        <v>100%</v>
      </c>
      <c r="AU217" s="745" t="str">
        <f>IF(VLOOKUP(A217,'Débit - Abfluss'!$A$4:$Q$275,13,FALSE)="","",VLOOKUP(A217,'Débit - Abfluss'!$A$4:$Q$275,13,FALSE))</f>
        <v/>
      </c>
      <c r="AV217" s="746" t="str">
        <f>IF(VLOOKUP(A217,'Débit - Abfluss'!$A$4:$Q$275,14,FALSE)="","",VLOOKUP(A217,'Débit - Abfluss'!$A$4:$Q$275,14,FALSE))</f>
        <v/>
      </c>
      <c r="AW217" s="768" t="str">
        <f>IF(VLOOKUP(A217,'Débit - Abfluss'!$A$4:$Q$275,15,FALSE)="","",VLOOKUP(A217,'Débit - Abfluss'!$A$4:$Q$275,15,FALSE))</f>
        <v/>
      </c>
      <c r="AX217" s="677" t="str">
        <f>IF(VLOOKUP(A217,'Débit - Abfluss'!$A$4:$Q$275,16,FALSE)="","",VLOOKUP(A217,'Débit - Abfluss'!$A$4:$Q$275,16,FALSE))</f>
        <v/>
      </c>
      <c r="AY217" s="769" t="str">
        <f>IF(VLOOKUP(A217,'Débit - Abfluss'!$A$4:$Q$275,17,FALSE)="","",VLOOKUP(A217,'Débit - Abfluss'!$A$4:$Q$275,17,FALSE))</f>
        <v>100%</v>
      </c>
      <c r="AZ217" s="749" t="str">
        <f>IF(VLOOKUP(A217,'Eclusée - Schwall-Sunk'!$A$2:$F$273,5,FALSE)="","",VLOOKUP(A217,'Eclusée - Schwall-Sunk'!$A$2:$F$273,5,FALSE))</f>
        <v/>
      </c>
      <c r="BA217" s="750" t="str">
        <f>IF(VLOOKUP(A217,'Eclusée - Schwall-Sunk'!$A$2:$F$273,6,FALSE)="","",VLOOKUP(A217,'Eclusée - Schwall-Sunk'!$A$2:$F$273,6,FALSE))</f>
        <v>Non affecté / nicht betroffen</v>
      </c>
      <c r="BB217" s="751">
        <f>IF(VLOOKUP(A217,'Revitalisation-Revitalisierung'!$A$4:$Z$275,5,FALSE)="","",VLOOKUP(A217,'Revitalisation-Revitalisierung'!$A$4:$Z$275,5,FALSE))</f>
        <v>-3.6363636363636362</v>
      </c>
      <c r="BC217" s="752">
        <f>IF(VLOOKUP(A217,'Revitalisation-Revitalisierung'!$A$4:$Z$275,6,FALSE)="","",VLOOKUP(A217,'Revitalisation-Revitalisierung'!$A$4:$Z$275,6,FALSE))</f>
        <v>0</v>
      </c>
      <c r="BD217" s="752">
        <f>IF(VLOOKUP(A217,'Revitalisation-Revitalisierung'!$A$4:$Z$275,7,FALSE)="","",VLOOKUP(A217,'Revitalisation-Revitalisierung'!$A$4:$Z$275,7,FALSE))</f>
        <v>3.6363636363636362</v>
      </c>
      <c r="BE217" s="753" t="str">
        <f>IF(VLOOKUP(A217,'Revitalisation-Revitalisierung'!$A$4:$Z$275,8,FALSE)="","",VLOOKUP(A217,'Revitalisation-Revitalisierung'!$A$4:$Z$275,8,FALSE))</f>
        <v>non nécessaire</v>
      </c>
      <c r="BF217" s="754" t="str">
        <f>IF(VLOOKUP(A217,'Revitalisation-Revitalisierung'!$A$4:$Z$275,9,FALSE)="","",VLOOKUP(A217,'Revitalisation-Revitalisierung'!$A$4:$Z$275,9,FALSE))</f>
        <v>schwierig</v>
      </c>
      <c r="BG217" s="754" t="str">
        <f>IF(VLOOKUP(A217,'Revitalisation-Revitalisierung'!$A$4:$Z$275,10,FALSE)="","",VLOOKUP(A217,'Revitalisation-Revitalisierung'!$A$4:$Z$275,10,FALSE))</f>
        <v>K3</v>
      </c>
      <c r="BH217" s="755" t="str">
        <f>IF(VLOOKUP(A217,'Revitalisation-Revitalisierung'!$A$4:$Z$275,11,FALSE)="","",VLOOKUP(A217,'Revitalisation-Revitalisierung'!$A$4:$Z$275,11,FALSE))</f>
        <v/>
      </c>
      <c r="BI217" s="811" t="str">
        <f>IF(VLOOKUP(A217,'Revitalisation-Revitalisierung'!$A$4:$Z$275,12,FALSE)="","",VLOOKUP(A217,'Revitalisation-Revitalisierung'!$A$4:$Z$275,12,FALSE))</f>
        <v/>
      </c>
      <c r="BJ217" s="788" t="str">
        <f>IF(VLOOKUP(A217,'Revitalisation-Revitalisierung'!$A$4:$Z$275,13,FALSE)="","",VLOOKUP(A217,'Revitalisation-Revitalisierung'!$A$4:$Z$275,13,FALSE))</f>
        <v>Très nécessaire, facile / unbedingt nötig, einfach</v>
      </c>
      <c r="BK217" s="870" t="str">
        <f>IF(VLOOKUP(A217,'Revitalisation-Revitalisierung'!$A$4:$Z$275,14,FALSE)="","",VLOOKUP(A217,'Revitalisation-Revitalisierung'!$A$4:$Z$275,14,FALSE))</f>
        <v>b</v>
      </c>
      <c r="BL217" s="758" t="str">
        <f>IF(VLOOKUP(A217,'Revitalisation-Revitalisierung'!$A$4:$Z$275,15,FALSE)="","",VLOOKUP(A217,'Revitalisation-Revitalisierung'!$A$4:$Z$275,15,FALSE))</f>
        <v>gross</v>
      </c>
      <c r="BM217" s="759" t="str">
        <f>IF(VLOOKUP(A217,'Revitalisation-Revitalisierung'!$A$4:$Z$275,16,FALSE)="","",VLOOKUP(A217,'Revitalisation-Revitalisierung'!$A$4:$Z$275,16,FALSE))</f>
        <v>gross/gering</v>
      </c>
      <c r="BN217" s="759" t="str">
        <f>IF(VLOOKUP(A217,'Revitalisation-Revitalisierung'!$A$4:$Z$275,17,FALSE)="","",VLOOKUP(A217,'Revitalisation-Revitalisierung'!$A$4:$Z$275,17,FALSE))</f>
        <v>1. Priorität</v>
      </c>
      <c r="BO217" s="760" t="str">
        <f>IF(VLOOKUP(A217,'Revitalisation-Revitalisierung'!$A$4:$Z$275,18,FALSE)="","",VLOOKUP(A217,'Revitalisation-Revitalisierung'!$A$4:$Z$275,18,FALSE))</f>
        <v>Très nécessaire, facile / unbedingt nötig, einfach</v>
      </c>
      <c r="BP217" s="761" t="str">
        <f>IF(VLOOKUP(A217,'Revitalisation-Revitalisierung'!$A$4:$Z$275,19,FALSE)="","",VLOOKUP(A217,'Revitalisation-Revitalisierung'!$A$4:$Z$275,19,FALSE))</f>
        <v>Très nécessaire, facile / unbedingt nötig, einfach</v>
      </c>
      <c r="BQ217" s="759" t="str">
        <f>IF(VLOOKUP(A217,'Revitalisation-Revitalisierung'!$A$4:$Z$275,20,FALSE)="","",VLOOKUP(A217,'Revitalisation-Revitalisierung'!$A$4:$Z$275,20,FALSE))</f>
        <v>d</v>
      </c>
      <c r="BR217" s="759" t="str">
        <f>IF(VLOOKUP(A217,'Revitalisation-Revitalisierung'!$A$4:$Z$275,21,FALSE)="","",VLOOKUP(A217,'Revitalisation-Revitalisierung'!$A$4:$Z$275,21,FALSE))</f>
        <v/>
      </c>
      <c r="BS217" s="762" t="str">
        <f>IF(VLOOKUP(A217,'Revitalisation-Revitalisierung'!$A$4:$Z$275,22,FALSE)="","",VLOOKUP(A217,'Revitalisation-Revitalisierung'!$A$4:$Z$275,22,FALSE))</f>
        <v/>
      </c>
      <c r="BT217" s="700" t="str">
        <f>IF(VLOOKUP(A217,'Revitalisation-Revitalisierung'!$A$4:$Z$275,23,FALSE)="","",VLOOKUP(A217,'Revitalisation-Revitalisierung'!$A$4:$Z$275,23,FALSE))</f>
        <v>Très nécessaire, facile / unbedingt nötig, einfach</v>
      </c>
      <c r="BU217" s="699" t="str">
        <f>IF(VLOOKUP(A217,'Revitalisation-Revitalisierung'!$A$4:$Z$275,24,FALSE)="","",VLOOKUP(A217,'Revitalisation-Revitalisierung'!$A$4:$Z$275,24,FALSE))</f>
        <v/>
      </c>
      <c r="BV217" s="761" t="str">
        <f>IF(VLOOKUP(A217,'Revitalisation-Revitalisierung'!$A$4:$Z$275,25,FALSE)="","",VLOOKUP(A217,'Revitalisation-Revitalisierung'!$A$4:$Z$275,25,FALSE))</f>
        <v>Très nécessaire, facile / unbedingt nötig, einfach</v>
      </c>
      <c r="BW217" s="871" t="str">
        <f>IF(VLOOKUP(A217,'Revitalisation-Revitalisierung'!$A$4:$AA$275,27,FALSE)="","",VLOOKUP(A217,'Revitalisation-Revitalisierung'!$A$4:$AA$275,27,FALSE))</f>
        <v>a</v>
      </c>
    </row>
    <row r="218" spans="1:75" ht="63.6" customHeight="1" x14ac:dyDescent="0.25">
      <c r="A218" s="935">
        <v>339</v>
      </c>
      <c r="B218" s="856">
        <f>IF(VLOOKUP(A218,'Données de base - Grunddaten'!$A$2:$M$297,2,FALSE)="","",VLOOKUP(A218,'Données de base - Grunddaten'!$A$2:$M$297,2,FALSE))</f>
        <v>1</v>
      </c>
      <c r="C218" s="857" t="str">
        <f>IF(VLOOKUP(A218,'Données de base - Grunddaten'!$A$2:$M$297,3,FALSE)="","",VLOOKUP(A218,'Données de base - Grunddaten'!$A$2:$M$297,3,FALSE))</f>
        <v>Badhus–Graben</v>
      </c>
      <c r="D218" s="857" t="str">
        <f>IF(VLOOKUP(A218,'Données de base - Grunddaten'!$A$2:$M$297,4,FALSE)="","",VLOOKUP(A218,'Données de base - Grunddaten'!$A$2:$M$297,4,FALSE))</f>
        <v>Grosse Fontannen</v>
      </c>
      <c r="E218" s="857" t="str">
        <f>IF(VLOOKUP(A218,'Données de base - Grunddaten'!$A$2:$M$297,5,FALSE)="","",VLOOKUP(A218,'Données de base - Grunddaten'!$A$2:$M$297,5,FALSE))</f>
        <v>LU</v>
      </c>
      <c r="F218" s="857" t="str">
        <f>IF(VLOOKUP(A218,'Données de base - Grunddaten'!$A$2:$M$297,6,FALSE)="","",VLOOKUP(A218,'Données de base - Grunddaten'!$A$2:$M$297,6,FALSE))</f>
        <v>Préalpes</v>
      </c>
      <c r="G218" s="857" t="str">
        <f>IF(VLOOKUP(A218,'Données de base - Grunddaten'!$A$2:$M$297,7,FALSE)="","",VLOOKUP(A218,'Données de base - Grunddaten'!$A$2:$M$297,7,FALSE))</f>
        <v>Montagnard inf.</v>
      </c>
      <c r="H218" s="857">
        <f>IF(VLOOKUP(A218,'Données de base - Grunddaten'!$A$2:$M$297,8,FALSE)="","",VLOOKUP(A218,'Données de base - Grunddaten'!$A$2:$M$297,8,FALSE))</f>
        <v>640</v>
      </c>
      <c r="I218" s="857">
        <f>IF(VLOOKUP(A218,'Données de base - Grunddaten'!$A$2:$M$297,9,FALSE)="","",VLOOKUP(A218,'Données de base - Grunddaten'!$A$2:$M$297,9,FALSE))</f>
        <v>2003</v>
      </c>
      <c r="J218" s="857">
        <f>IF(VLOOKUP(A218,'Données de base - Grunddaten'!$A$2:$M$297,10,FALSE)="","",VLOOKUP(A218,'Données de base - Grunddaten'!$A$2:$M$297,10,FALSE))</f>
        <v>41</v>
      </c>
      <c r="K218" s="857" t="str">
        <f>IF(VLOOKUP(A218,'Données de base - Grunddaten'!$A$2:$M$297,11,FALSE)="","",VLOOKUP(A218,'Données de base - Grunddaten'!$A$2:$M$297,11,FALSE))</f>
        <v>Cours d'eau naturels de l'étage montagnard</v>
      </c>
      <c r="L218" s="857" t="str">
        <f>IF(VLOOKUP(A218,'Données de base - Grunddaten'!$A$2:$M$297,12,FALSE)="","",VLOOKUP(A218,'Données de base - Grunddaten'!$A$2:$M$297,12,FALSE))</f>
        <v>en méandres migrants</v>
      </c>
      <c r="M218" s="858" t="str">
        <f>IF(VLOOKUP(A218,'Données de base - Grunddaten'!$A$2:$M$297,13,FALSE)="","",VLOOKUP(A218,'Données de base - Grunddaten'!$A$2:$M$297,13,FALSE))</f>
        <v>en méandres migrants</v>
      </c>
      <c r="N218" s="872" t="str">
        <f>IF(VLOOKUP(A218,'Charriage - Geschiebehaushalt'!$A$4:$R$275,5,FALSE)="","",VLOOKUP(A218,'Charriage - Geschiebehaushalt'!$A$4:$R$275,5,FALSE))</f>
        <v>pertinent</v>
      </c>
      <c r="O218" s="881" t="str">
        <f>IF(VLOOKUP(A218,'Charriage - Geschiebehaushalt'!$A$4:$R$275,6,FALSE)="","",VLOOKUP(A218,'Charriage - Geschiebehaushalt'!$A$4:$R$275,6,FALSE))</f>
        <v>non documenté</v>
      </c>
      <c r="P218" s="874" t="str">
        <f>IF(VLOOKUP(A218,'Charriage - Geschiebehaushalt'!$A$4:$R$275,7,FALSE)="","",VLOOKUP(A218,'Charriage - Geschiebehaushalt'!$A$4:$R$275,7,FALSE))</f>
        <v/>
      </c>
      <c r="Q218" s="874" t="str">
        <f>IF(VLOOKUP(A218,'Charriage - Geschiebehaushalt'!$A$4:$R$275,8,FALSE)="","",VLOOKUP(A218,'Charriage - Geschiebehaushalt'!$A$4:$R$275,8,FALSE))</f>
        <v>non documenté</v>
      </c>
      <c r="R218" s="875">
        <f>IF(VLOOKUP(A218,'Charriage - Geschiebehaushalt'!$A$4:$R$275,9,FALSE)="","",VLOOKUP(A218,'Charriage - Geschiebehaushalt'!$A$4:$R$275,9,FALSE))</f>
        <v>4.0774039537228003E-2</v>
      </c>
      <c r="S218" s="876" t="str">
        <f>IF(VLOOKUP(A218,'Charriage - Geschiebehaushalt'!$A$4:$R$275,10,FALSE)="","",VLOOKUP(A218,'Charriage - Geschiebehaushalt'!$A$4:$R$275,10,FALSE))</f>
        <v>pas ou faiblement entravé</v>
      </c>
      <c r="T218" s="875">
        <f>IF(VLOOKUP(A218,'Charriage - Geschiebehaushalt'!$A$4:$R$275,11,FALSE)="","",VLOOKUP(A218,'Charriage - Geschiebehaushalt'!$A$4:$R$275,11,FALSE))</f>
        <v>0.2630234347</v>
      </c>
      <c r="U218" s="876" t="str">
        <f>IF(VLOOKUP(A218,'Charriage - Geschiebehaushalt'!$A$4:$R$275,12,FALSE)="","",VLOOKUP(A218,'Charriage - Geschiebehaushalt'!$A$4:$R$275,12,FALSE))</f>
        <v>déficit dans les formations pionnières</v>
      </c>
      <c r="V218" s="877" t="str">
        <f>IF(VLOOKUP(A218,'Charriage - Geschiebehaushalt'!$A$4:$R$275,13,FALSE)="","",VLOOKUP(A218,'Charriage - Geschiebehaushalt'!$A$4:$R$275,13,FALSE))</f>
        <v xml:space="preserve">Rivière naturelle dans gorge. </v>
      </c>
      <c r="W218" s="877" t="str">
        <f>IF(VLOOKUP(A218,'Charriage - Geschiebehaushalt'!$A$4:$R$275,14,FALSE)="","",VLOOKUP(A218,'Charriage - Geschiebehaushalt'!$A$4:$R$275,14,FALSE))</f>
        <v>A vérifier</v>
      </c>
      <c r="X218" s="877" t="str">
        <f>IF(VLOOKUP(A218,'Charriage - Geschiebehaushalt'!$A$4:$R$275,15,FALSE)="","",VLOOKUP(A218,'Charriage - Geschiebehaushalt'!$A$4:$R$275,15,FALSE))</f>
        <v>pas d'ouvrage dans le bassin versant</v>
      </c>
      <c r="Y218" s="882" t="str">
        <f>IF(VLOOKUP(A218,'Charriage - Geschiebehaushalt'!$A$4:$R$275,16,FALSE)="","",VLOOKUP(A218,'Charriage - Geschiebehaushalt'!$A$4:$R$275,16,FALSE))</f>
        <v>charriage présumé naturel</v>
      </c>
      <c r="Z218" s="763" t="str">
        <f>IF(VLOOKUP(A218,'Charriage - Geschiebehaushalt'!$A$4:$R$275,17,FALSE)="","",VLOOKUP(A218,'Charriage - Geschiebehaushalt'!$A$4:$R$275,17,FALSE))</f>
        <v>Charriage présumé naturel / Geschiebehaushalt vermutlich natürlich</v>
      </c>
      <c r="AA218" s="880" t="str">
        <f>IF(VLOOKUP(A218,'Charriage - Geschiebehaushalt'!$A$4:$R$275,18,FALSE)="","",VLOOKUP(A218,'Charriage - Geschiebehaushalt'!$A$4:$R$275,18,FALSE))</f>
        <v>b</v>
      </c>
      <c r="AB218" s="737" t="str">
        <f>IF(VLOOKUP(A218,'Charriage - Geschiebehaushalt'!$A$4:$AC$275,19,FALSE)="","",VLOOKUP(A218,'Charriage - Geschiebehaushalt'!$A$4:$AC$275,19,FALSE))</f>
        <v>-</v>
      </c>
      <c r="AC218" s="738" t="str">
        <f>IF(VLOOKUP(A218,'Charriage - Geschiebehaushalt'!$A$4:$AC$275,20,FALSE)="","",VLOOKUP(A218,'Charriage - Geschiebehaushalt'!$A$4:$AC$275,20,FALSE))</f>
        <v>-</v>
      </c>
      <c r="AD218" s="764" t="str">
        <f>IF(VLOOKUP(A218,'Charriage - Geschiebehaushalt'!$A$4:$AC$275,21,FALSE)="","",VLOOKUP(A218,'Charriage - Geschiebehaushalt'!$A$4:$AC$275,21,FALSE))</f>
        <v/>
      </c>
      <c r="AE218" s="772" t="str">
        <f>IF(VLOOKUP(A218,'Charriage - Geschiebehaushalt'!$A$4:$AC$275,22,FALSE)="","",VLOOKUP(A218,'Charriage - Geschiebehaushalt'!$A$4:$AC$275,22,FALSE))</f>
        <v>0-20%</v>
      </c>
      <c r="AF218" s="787" t="str">
        <f>IF(VLOOKUP(A218,'Charriage - Geschiebehaushalt'!$A$4:$AC$275,23,FALSE)="","",VLOOKUP(A218,'Charriage - Geschiebehaushalt'!$A$4:$AC$275,23,FALSE))</f>
        <v>b</v>
      </c>
      <c r="AG218" s="765" t="str">
        <f>IF(VLOOKUP(A218,'Charriage - Geschiebehaushalt'!$A$4:$AC$275,24,FALSE)="","",VLOOKUP(A218,'Charriage - Geschiebehaushalt'!$A$4:$AC$275,24,FALSE))</f>
        <v/>
      </c>
      <c r="AH218" s="764" t="str">
        <f>IF(VLOOKUP(A218,'Charriage - Geschiebehaushalt'!$A$4:$AC$275,25,FALSE)="","",VLOOKUP(A218,'Charriage - Geschiebehaushalt'!$A$4:$AC$275,25,FALSE))</f>
        <v/>
      </c>
      <c r="AI218" s="771" t="str">
        <f>IF(VLOOKUP(A218,'Charriage - Geschiebehaushalt'!$A$4:$AC$275,26,FALSE)="","",VLOOKUP(A218,'Charriage - Geschiebehaushalt'!$A$4:$AC$275,26,FALSE))</f>
        <v>0-20%</v>
      </c>
      <c r="AJ218" s="434" t="str">
        <f>IF(VLOOKUP(A218,'Charriage - Geschiebehaushalt'!$A$4:$AC$275,27,FALSE)="","",VLOOKUP(A218,'Charriage - Geschiebehaushalt'!$A$4:$AC$275,27,FALSE))</f>
        <v/>
      </c>
      <c r="AK218" s="814" t="str">
        <f>IF(VLOOKUP(A218,'Charriage - Geschiebehaushalt'!$A$4:$AC$275,28,FALSE)="","",VLOOKUP(A218,'Charriage - Geschiebehaushalt'!$A$4:$AC$275,28,FALSE))</f>
        <v>0-20%</v>
      </c>
      <c r="AL218" s="1285" t="str">
        <f>IF(VLOOKUP(A218,'Charriage - Geschiebehaushalt'!$A$4:$AD$275,30,FALSE)="","",VLOOKUP(A218,'Charriage - Geschiebehaushalt'!$A$4:$AD$275,30,FALSE))</f>
        <v>b</v>
      </c>
      <c r="AM218" s="1279" t="str">
        <f>IF(VLOOKUP(A218,'Débit - Abfluss'!$A$4:$K$275,5,FALSE)="","",VLOOKUP(A218,'Débit - Abfluss'!$A$4:$M$275,5,FALSE))</f>
        <v>100%</v>
      </c>
      <c r="AN218" s="868" t="str">
        <f>IF(VLOOKUP(A218,'Débit - Abfluss'!$A$4:$K$275,6,FALSE)="","",VLOOKUP(A218,'Débit - Abfluss'!$A$4:$M$275,6,FALSE))</f>
        <v>aucune information supplémentaire</v>
      </c>
      <c r="AO218" s="869" t="str">
        <f>IF(VLOOKUP(A218,'Débit - Abfluss'!$A$4:$K$275,7,FALSE)="","",VLOOKUP(A218,'Débit - Abfluss'!$A$4:$M$275,7,FALSE))</f>
        <v>aucune information supplémentaire</v>
      </c>
      <c r="AP218" s="766" t="str">
        <f>IF(VLOOKUP(A218,'Débit - Abfluss'!$A$4:$K$275,8,FALSE)="","",VLOOKUP(A218,'Débit - Abfluss'!$A$4:$M$275,8,FALSE))</f>
        <v>100%</v>
      </c>
      <c r="AQ218" s="742" t="str">
        <f>IF(VLOOKUP(A218,'Débit - Abfluss'!$A$4:$K$275,9,FALSE)="","",VLOOKUP(A218,'Débit - Abfluss'!$A$4:$M$275,9,FALSE))</f>
        <v>-</v>
      </c>
      <c r="AR218" s="767" t="str">
        <f>IF(VLOOKUP(A218,'Débit - Abfluss'!$A$4:$K$275,10,FALSE)="","",VLOOKUP(A218,'Débit - Abfluss'!$A$4:$M$275,10,FALSE))</f>
        <v>100%</v>
      </c>
      <c r="AS218" s="767" t="str">
        <f>IF(VLOOKUP(A218,'Débit - Abfluss'!$A$4:$K$275,11,FALSE)="","",VLOOKUP(A218,'Débit - Abfluss'!$A$4:$M$275,11,FALSE))</f>
        <v/>
      </c>
      <c r="AT218" s="742" t="str">
        <f>IF(VLOOKUP(A218,'Débit - Abfluss'!$A$4:$Q$275,12,FALSE)="","",VLOOKUP(A218,'Débit - Abfluss'!$A$4:$Q$275,12,FALSE))</f>
        <v>100%</v>
      </c>
      <c r="AU218" s="745" t="str">
        <f>IF(VLOOKUP(A218,'Débit - Abfluss'!$A$4:$Q$275,13,FALSE)="","",VLOOKUP(A218,'Débit - Abfluss'!$A$4:$Q$275,13,FALSE))</f>
        <v/>
      </c>
      <c r="AV218" s="746" t="str">
        <f>IF(VLOOKUP(A218,'Débit - Abfluss'!$A$4:$Q$275,14,FALSE)="","",VLOOKUP(A218,'Débit - Abfluss'!$A$4:$Q$275,14,FALSE))</f>
        <v/>
      </c>
      <c r="AW218" s="768" t="str">
        <f>IF(VLOOKUP(A218,'Débit - Abfluss'!$A$4:$Q$275,15,FALSE)="","",VLOOKUP(A218,'Débit - Abfluss'!$A$4:$Q$275,15,FALSE))</f>
        <v/>
      </c>
      <c r="AX218" s="677" t="str">
        <f>IF(VLOOKUP(A218,'Débit - Abfluss'!$A$4:$Q$275,16,FALSE)="","",VLOOKUP(A218,'Débit - Abfluss'!$A$4:$Q$275,16,FALSE))</f>
        <v/>
      </c>
      <c r="AY218" s="769" t="str">
        <f>IF(VLOOKUP(A218,'Débit - Abfluss'!$A$4:$Q$275,17,FALSE)="","",VLOOKUP(A218,'Débit - Abfluss'!$A$4:$Q$275,17,FALSE))</f>
        <v>100%</v>
      </c>
      <c r="AZ218" s="749" t="str">
        <f>IF(VLOOKUP(A218,'Eclusée - Schwall-Sunk'!$A$2:$F$273,5,FALSE)="","",VLOOKUP(A218,'Eclusée - Schwall-Sunk'!$A$2:$F$273,5,FALSE))</f>
        <v/>
      </c>
      <c r="BA218" s="750" t="str">
        <f>IF(VLOOKUP(A218,'Eclusée - Schwall-Sunk'!$A$2:$F$273,6,FALSE)="","",VLOOKUP(A218,'Eclusée - Schwall-Sunk'!$A$2:$F$273,6,FALSE))</f>
        <v>Non affecté / nicht betroffen</v>
      </c>
      <c r="BB218" s="751">
        <f>IF(VLOOKUP(A218,'Revitalisation-Revitalisierung'!$A$4:$Z$275,5,FALSE)="","",VLOOKUP(A218,'Revitalisation-Revitalisierung'!$A$4:$Z$275,5,FALSE))</f>
        <v>-14.545454545454545</v>
      </c>
      <c r="BC218" s="752">
        <f>IF(VLOOKUP(A218,'Revitalisation-Revitalisierung'!$A$4:$Z$275,6,FALSE)="","",VLOOKUP(A218,'Revitalisation-Revitalisierung'!$A$4:$Z$275,6,FALSE))</f>
        <v>0</v>
      </c>
      <c r="BD218" s="752">
        <f>IF(VLOOKUP(A218,'Revitalisation-Revitalisierung'!$A$4:$Z$275,7,FALSE)="","",VLOOKUP(A218,'Revitalisation-Revitalisierung'!$A$4:$Z$275,7,FALSE))</f>
        <v>14.545454545454545</v>
      </c>
      <c r="BE218" s="753" t="str">
        <f>IF(VLOOKUP(A218,'Revitalisation-Revitalisierung'!$A$4:$Z$275,8,FALSE)="","",VLOOKUP(A218,'Revitalisation-Revitalisierung'!$A$4:$Z$275,8,FALSE))</f>
        <v>non nécessaire</v>
      </c>
      <c r="BF218" s="754" t="str">
        <f>IF(VLOOKUP(A218,'Revitalisation-Revitalisierung'!$A$4:$Z$275,9,FALSE)="","",VLOOKUP(A218,'Revitalisation-Revitalisierung'!$A$4:$Z$275,9,FALSE))</f>
        <v>nicht nötig</v>
      </c>
      <c r="BG218" s="754" t="str">
        <f>IF(VLOOKUP(A218,'Revitalisation-Revitalisierung'!$A$4:$Z$275,10,FALSE)="","",VLOOKUP(A218,'Revitalisation-Revitalisierung'!$A$4:$Z$275,10,FALSE))</f>
        <v>K3</v>
      </c>
      <c r="BH218" s="755" t="str">
        <f>IF(VLOOKUP(A218,'Revitalisation-Revitalisierung'!$A$4:$Z$275,11,FALSE)="","",VLOOKUP(A218,'Revitalisation-Revitalisierung'!$A$4:$Z$275,11,FALSE))</f>
        <v/>
      </c>
      <c r="BI218" s="756" t="str">
        <f>IF(VLOOKUP(A218,'Revitalisation-Revitalisierung'!$A$4:$Z$275,12,FALSE)="","",VLOOKUP(A218,'Revitalisation-Revitalisierung'!$A$4:$Z$275,12,FALSE))</f>
        <v/>
      </c>
      <c r="BJ218" s="788" t="str">
        <f>IF(VLOOKUP(A218,'Revitalisation-Revitalisierung'!$A$4:$Z$275,13,FALSE)="","",VLOOKUP(A218,'Revitalisation-Revitalisierung'!$A$4:$Z$275,13,FALSE))</f>
        <v>Partiellement nécessaire, facile / teilweise nötig, einfach</v>
      </c>
      <c r="BK218" s="870" t="str">
        <f>IF(VLOOKUP(A218,'Revitalisation-Revitalisierung'!$A$4:$Z$275,14,FALSE)="","",VLOOKUP(A218,'Revitalisation-Revitalisierung'!$A$4:$Z$275,14,FALSE))</f>
        <v>b</v>
      </c>
      <c r="BL218" s="758" t="str">
        <f>IF(VLOOKUP(A218,'Revitalisation-Revitalisierung'!$A$4:$Z$275,15,FALSE)="","",VLOOKUP(A218,'Revitalisation-Revitalisierung'!$A$4:$Z$275,15,FALSE))</f>
        <v>gross</v>
      </c>
      <c r="BM218" s="759" t="str">
        <f>IF(VLOOKUP(A218,'Revitalisation-Revitalisierung'!$A$4:$Z$275,16,FALSE)="","",VLOOKUP(A218,'Revitalisation-Revitalisierung'!$A$4:$Z$275,16,FALSE))</f>
        <v>gering</v>
      </c>
      <c r="BN218" s="759" t="str">
        <f>IF(VLOOKUP(A218,'Revitalisation-Revitalisierung'!$A$4:$Z$275,17,FALSE)="","",VLOOKUP(A218,'Revitalisation-Revitalisierung'!$A$4:$Z$275,17,FALSE))</f>
        <v>keine</v>
      </c>
      <c r="BO218" s="760" t="str">
        <f>IF(VLOOKUP(A218,'Revitalisation-Revitalisierung'!$A$4:$Z$275,18,FALSE)="","",VLOOKUP(A218,'Revitalisation-Revitalisierung'!$A$4:$Z$275,18,FALSE))</f>
        <v>Non nécessaire / nicht nötig</v>
      </c>
      <c r="BP218" s="761" t="str">
        <f>IF(VLOOKUP(A218,'Revitalisation-Revitalisierung'!$A$4:$Z$275,19,FALSE)="","",VLOOKUP(A218,'Revitalisation-Revitalisierung'!$A$4:$Z$275,19,FALSE))</f>
        <v>Non nécessaire / nicht nötig</v>
      </c>
      <c r="BQ218" s="759" t="str">
        <f>IF(VLOOKUP(A218,'Revitalisation-Revitalisierung'!$A$4:$Z$275,20,FALSE)="","",VLOOKUP(A218,'Revitalisation-Revitalisierung'!$A$4:$Z$275,20,FALSE))</f>
        <v>c</v>
      </c>
      <c r="BR218" s="759" t="str">
        <f>IF(VLOOKUP(A218,'Revitalisation-Revitalisierung'!$A$4:$Z$275,21,FALSE)="","",VLOOKUP(A218,'Revitalisation-Revitalisierung'!$A$4:$Z$275,21,FALSE))</f>
        <v/>
      </c>
      <c r="BS218" s="762" t="str">
        <f>IF(VLOOKUP(A218,'Revitalisation-Revitalisierung'!$A$4:$Z$275,22,FALSE)="","",VLOOKUP(A218,'Revitalisation-Revitalisierung'!$A$4:$Z$275,22,FALSE))</f>
        <v/>
      </c>
      <c r="BT218" s="700" t="str">
        <f>IF(VLOOKUP(A218,'Revitalisation-Revitalisierung'!$A$4:$Z$275,23,FALSE)="","",VLOOKUP(A218,'Revitalisation-Revitalisierung'!$A$4:$Z$275,23,FALSE))</f>
        <v>Non nécessaire / nicht nötig</v>
      </c>
      <c r="BU218" s="699" t="str">
        <f>IF(VLOOKUP(A218,'Revitalisation-Revitalisierung'!$A$4:$Z$275,24,FALSE)="","",VLOOKUP(A218,'Revitalisation-Revitalisierung'!$A$4:$Z$275,24,FALSE))</f>
        <v/>
      </c>
      <c r="BV218" s="761" t="str">
        <f>IF(VLOOKUP(A218,'Revitalisation-Revitalisierung'!$A$4:$Z$275,25,FALSE)="","",VLOOKUP(A218,'Revitalisation-Revitalisierung'!$A$4:$Z$275,25,FALSE))</f>
        <v>Non nécessaire / nicht nötig</v>
      </c>
      <c r="BW218" s="871" t="str">
        <f>IF(VLOOKUP(A218,'Revitalisation-Revitalisierung'!$A$4:$AA$275,27,FALSE)="","",VLOOKUP(A218,'Revitalisation-Revitalisierung'!$A$4:$AA$275,27,FALSE))</f>
        <v>a</v>
      </c>
    </row>
    <row r="219" spans="1:75" ht="60.6" customHeight="1" x14ac:dyDescent="0.25">
      <c r="A219" s="935">
        <v>340</v>
      </c>
      <c r="B219" s="856">
        <f>IF(VLOOKUP(A219,'Données de base - Grunddaten'!$A$2:$M$297,2,FALSE)="","",VLOOKUP(A219,'Données de base - Grunddaten'!$A$2:$M$297,2,FALSE))</f>
        <v>1</v>
      </c>
      <c r="C219" s="857" t="str">
        <f>IF(VLOOKUP(A219,'Données de base - Grunddaten'!$A$2:$M$297,3,FALSE)="","",VLOOKUP(A219,'Données de base - Grunddaten'!$A$2:$M$297,3,FALSE))</f>
        <v>Entlental</v>
      </c>
      <c r="D219" s="857" t="str">
        <f>IF(VLOOKUP(A219,'Données de base - Grunddaten'!$A$2:$M$297,4,FALSE)="","",VLOOKUP(A219,'Données de base - Grunddaten'!$A$2:$M$297,4,FALSE))</f>
        <v>Entlen</v>
      </c>
      <c r="E219" s="857" t="str">
        <f>IF(VLOOKUP(A219,'Données de base - Grunddaten'!$A$2:$M$297,5,FALSE)="","",VLOOKUP(A219,'Données de base - Grunddaten'!$A$2:$M$297,5,FALSE))</f>
        <v>LU</v>
      </c>
      <c r="F219" s="857" t="str">
        <f>IF(VLOOKUP(A219,'Données de base - Grunddaten'!$A$2:$M$297,6,FALSE)="","",VLOOKUP(A219,'Données de base - Grunddaten'!$A$2:$M$297,6,FALSE))</f>
        <v>Alpes septentrionales</v>
      </c>
      <c r="G219" s="857" t="str">
        <f>IF(VLOOKUP(A219,'Données de base - Grunddaten'!$A$2:$M$297,7,FALSE)="","",VLOOKUP(A219,'Données de base - Grunddaten'!$A$2:$M$297,7,FALSE))</f>
        <v>Montagnard inf.</v>
      </c>
      <c r="H219" s="857">
        <f>IF(VLOOKUP(A219,'Données de base - Grunddaten'!$A$2:$M$297,8,FALSE)="","",VLOOKUP(A219,'Données de base - Grunddaten'!$A$2:$M$297,8,FALSE))</f>
        <v>840</v>
      </c>
      <c r="I219" s="857">
        <f>IF(VLOOKUP(A219,'Données de base - Grunddaten'!$A$2:$M$297,9,FALSE)="","",VLOOKUP(A219,'Données de base - Grunddaten'!$A$2:$M$297,9,FALSE))</f>
        <v>2003</v>
      </c>
      <c r="J219" s="857">
        <f>IF(VLOOKUP(A219,'Données de base - Grunddaten'!$A$2:$M$297,10,FALSE)="","",VLOOKUP(A219,'Données de base - Grunddaten'!$A$2:$M$297,10,FALSE))</f>
        <v>41</v>
      </c>
      <c r="K219" s="857" t="str">
        <f>IF(VLOOKUP(A219,'Données de base - Grunddaten'!$A$2:$M$297,11,FALSE)="","",VLOOKUP(A219,'Données de base - Grunddaten'!$A$2:$M$297,11,FALSE))</f>
        <v>Cours d'eau naturels de l'étage montagnard</v>
      </c>
      <c r="L219" s="857" t="str">
        <f>IF(VLOOKUP(A219,'Données de base - Grunddaten'!$A$2:$M$297,12,FALSE)="","",VLOOKUP(A219,'Données de base - Grunddaten'!$A$2:$M$297,12,FALSE))</f>
        <v>en méandres migrants</v>
      </c>
      <c r="M219" s="858" t="str">
        <f>IF(VLOOKUP(A219,'Données de base - Grunddaten'!$A$2:$M$297,13,FALSE)="","",VLOOKUP(A219,'Données de base - Grunddaten'!$A$2:$M$297,13,FALSE))</f>
        <v>en méandres migrants</v>
      </c>
      <c r="N219" s="872" t="str">
        <f>IF(VLOOKUP(A219,'Charriage - Geschiebehaushalt'!$A$4:$R$275,5,FALSE)="","",VLOOKUP(A219,'Charriage - Geschiebehaushalt'!$A$4:$R$275,5,FALSE))</f>
        <v>pertinent</v>
      </c>
      <c r="O219" s="881" t="str">
        <f>IF(VLOOKUP(A219,'Charriage - Geschiebehaushalt'!$A$4:$R$275,6,FALSE)="","",VLOOKUP(A219,'Charriage - Geschiebehaushalt'!$A$4:$R$275,6,FALSE))</f>
        <v>non documenté</v>
      </c>
      <c r="P219" s="874" t="str">
        <f>IF(VLOOKUP(A219,'Charriage - Geschiebehaushalt'!$A$4:$R$275,7,FALSE)="","",VLOOKUP(A219,'Charriage - Geschiebehaushalt'!$A$4:$R$275,7,FALSE))</f>
        <v/>
      </c>
      <c r="Q219" s="874" t="str">
        <f>IF(VLOOKUP(A219,'Charriage - Geschiebehaushalt'!$A$4:$R$275,8,FALSE)="","",VLOOKUP(A219,'Charriage - Geschiebehaushalt'!$A$4:$R$275,8,FALSE))</f>
        <v>non documenté</v>
      </c>
      <c r="R219" s="875">
        <f>IF(VLOOKUP(A219,'Charriage - Geschiebehaushalt'!$A$4:$R$275,9,FALSE)="","",VLOOKUP(A219,'Charriage - Geschiebehaushalt'!$A$4:$R$275,9,FALSE))</f>
        <v>3.5156170918385903E-2</v>
      </c>
      <c r="S219" s="876" t="str">
        <f>IF(VLOOKUP(A219,'Charriage - Geschiebehaushalt'!$A$4:$R$275,10,FALSE)="","",VLOOKUP(A219,'Charriage - Geschiebehaushalt'!$A$4:$R$275,10,FALSE))</f>
        <v>pas ou faiblement entravé</v>
      </c>
      <c r="T219" s="875">
        <f>IF(VLOOKUP(A219,'Charriage - Geschiebehaushalt'!$A$4:$R$275,11,FALSE)="","",VLOOKUP(A219,'Charriage - Geschiebehaushalt'!$A$4:$R$275,11,FALSE))</f>
        <v>5.6542866480000002E-2</v>
      </c>
      <c r="U219" s="876" t="str">
        <f>IF(VLOOKUP(A219,'Charriage - Geschiebehaushalt'!$A$4:$R$275,12,FALSE)="","",VLOOKUP(A219,'Charriage - Geschiebehaushalt'!$A$4:$R$275,12,FALSE))</f>
        <v>déficit dans les formations pionnières</v>
      </c>
      <c r="V219" s="877" t="str">
        <f>IF(VLOOKUP(A219,'Charriage - Geschiebehaushalt'!$A$4:$R$275,13,FALSE)="","",VLOOKUP(A219,'Charriage - Geschiebehaushalt'!$A$4:$R$275,13,FALSE))</f>
        <v>Système alluvial naturel. Débit et charriage naturels</v>
      </c>
      <c r="W219" s="878" t="str">
        <f>IF(VLOOKUP(A219,'Charriage - Geschiebehaushalt'!$A$4:$R$275,14,FALSE)="","",VLOOKUP(A219,'Charriage - Geschiebehaushalt'!$A$4:$R$275,14,FALSE))</f>
        <v>charriage présumé naturel</v>
      </c>
      <c r="X219" s="878" t="str">
        <f>IF(VLOOKUP(A219,'Charriage - Geschiebehaushalt'!$A$4:$R$275,15,FALSE)="","",VLOOKUP(A219,'Charriage - Geschiebehaushalt'!$A$4:$R$275,15,FALSE))</f>
        <v/>
      </c>
      <c r="Y219" s="882" t="str">
        <f>IF(VLOOKUP(A219,'Charriage - Geschiebehaushalt'!$A$4:$R$275,16,FALSE)="","",VLOOKUP(A219,'Charriage - Geschiebehaushalt'!$A$4:$R$275,16,FALSE))</f>
        <v/>
      </c>
      <c r="Z219" s="763" t="str">
        <f>IF(VLOOKUP(A219,'Charriage - Geschiebehaushalt'!$A$4:$R$275,17,FALSE)="","",VLOOKUP(A219,'Charriage - Geschiebehaushalt'!$A$4:$R$275,17,FALSE))</f>
        <v>Charriage présumé naturel / Geschiebehaushalt vermutlich natürlich</v>
      </c>
      <c r="AA219" s="880" t="str">
        <f>IF(VLOOKUP(A219,'Charriage - Geschiebehaushalt'!$A$4:$R$275,18,FALSE)="","",VLOOKUP(A219,'Charriage - Geschiebehaushalt'!$A$4:$R$275,18,FALSE))</f>
        <v>b</v>
      </c>
      <c r="AB219" s="737" t="str">
        <f>IF(VLOOKUP(A219,'Charriage - Geschiebehaushalt'!$A$4:$AC$275,19,FALSE)="","",VLOOKUP(A219,'Charriage - Geschiebehaushalt'!$A$4:$AC$275,19,FALSE))</f>
        <v>-</v>
      </c>
      <c r="AC219" s="738" t="str">
        <f>IF(VLOOKUP(A219,'Charriage - Geschiebehaushalt'!$A$4:$AC$275,20,FALSE)="","",VLOOKUP(A219,'Charriage - Geschiebehaushalt'!$A$4:$AC$275,20,FALSE))</f>
        <v>-</v>
      </c>
      <c r="AD219" s="764" t="str">
        <f>IF(VLOOKUP(A219,'Charriage - Geschiebehaushalt'!$A$4:$AC$275,21,FALSE)="","",VLOOKUP(A219,'Charriage - Geschiebehaushalt'!$A$4:$AC$275,21,FALSE))</f>
        <v/>
      </c>
      <c r="AE219" s="772" t="str">
        <f>IF(VLOOKUP(A219,'Charriage - Geschiebehaushalt'!$A$4:$AC$275,22,FALSE)="","",VLOOKUP(A219,'Charriage - Geschiebehaushalt'!$A$4:$AC$275,22,FALSE))</f>
        <v>0-20%</v>
      </c>
      <c r="AF219" s="787" t="str">
        <f>IF(VLOOKUP(A219,'Charriage - Geschiebehaushalt'!$A$4:$AC$275,23,FALSE)="","",VLOOKUP(A219,'Charriage - Geschiebehaushalt'!$A$4:$AC$275,23,FALSE))</f>
        <v>b</v>
      </c>
      <c r="AG219" s="765" t="str">
        <f>IF(VLOOKUP(A219,'Charriage - Geschiebehaushalt'!$A$4:$AC$275,24,FALSE)="","",VLOOKUP(A219,'Charriage - Geschiebehaushalt'!$A$4:$AC$275,24,FALSE))</f>
        <v/>
      </c>
      <c r="AH219" s="764" t="str">
        <f>IF(VLOOKUP(A219,'Charriage - Geschiebehaushalt'!$A$4:$AC$275,25,FALSE)="","",VLOOKUP(A219,'Charriage - Geschiebehaushalt'!$A$4:$AC$275,25,FALSE))</f>
        <v/>
      </c>
      <c r="AI219" s="771" t="str">
        <f>IF(VLOOKUP(A219,'Charriage - Geschiebehaushalt'!$A$4:$AC$275,26,FALSE)="","",VLOOKUP(A219,'Charriage - Geschiebehaushalt'!$A$4:$AC$275,26,FALSE))</f>
        <v>0-20%</v>
      </c>
      <c r="AJ219" s="434" t="str">
        <f>IF(VLOOKUP(A219,'Charriage - Geschiebehaushalt'!$A$4:$AC$275,27,FALSE)="","",VLOOKUP(A219,'Charriage - Geschiebehaushalt'!$A$4:$AC$275,27,FALSE))</f>
        <v/>
      </c>
      <c r="AK219" s="814" t="str">
        <f>IF(VLOOKUP(A219,'Charriage - Geschiebehaushalt'!$A$4:$AC$275,28,FALSE)="","",VLOOKUP(A219,'Charriage - Geschiebehaushalt'!$A$4:$AC$275,28,FALSE))</f>
        <v>0-20%</v>
      </c>
      <c r="AL219" s="1285" t="str">
        <f>IF(VLOOKUP(A219,'Charriage - Geschiebehaushalt'!$A$4:$AD$275,30,FALSE)="","",VLOOKUP(A219,'Charriage - Geschiebehaushalt'!$A$4:$AD$275,30,FALSE))</f>
        <v>b</v>
      </c>
      <c r="AM219" s="1279" t="str">
        <f>IF(VLOOKUP(A219,'Débit - Abfluss'!$A$4:$K$275,5,FALSE)="","",VLOOKUP(A219,'Débit - Abfluss'!$A$4:$M$275,5,FALSE))</f>
        <v>100%</v>
      </c>
      <c r="AN219" s="868" t="str">
        <f>IF(VLOOKUP(A219,'Débit - Abfluss'!$A$4:$K$275,6,FALSE)="","",VLOOKUP(A219,'Débit - Abfluss'!$A$4:$M$275,6,FALSE))</f>
        <v>aucune information supplémentaire</v>
      </c>
      <c r="AO219" s="869" t="str">
        <f>IF(VLOOKUP(A219,'Débit - Abfluss'!$A$4:$K$275,7,FALSE)="","",VLOOKUP(A219,'Débit - Abfluss'!$A$4:$M$275,7,FALSE))</f>
        <v>aucune information supplémentaire</v>
      </c>
      <c r="AP219" s="766" t="str">
        <f>IF(VLOOKUP(A219,'Débit - Abfluss'!$A$4:$K$275,8,FALSE)="","",VLOOKUP(A219,'Débit - Abfluss'!$A$4:$M$275,8,FALSE))</f>
        <v>100%</v>
      </c>
      <c r="AQ219" s="678" t="str">
        <f>IF(VLOOKUP(A219,'Débit - Abfluss'!$A$4:$K$275,9,FALSE)="","",VLOOKUP(A219,'Débit - Abfluss'!$A$4:$M$275,9,FALSE))</f>
        <v>Fehlende Angaben</v>
      </c>
      <c r="AR219" s="767" t="str">
        <f>IF(VLOOKUP(A219,'Débit - Abfluss'!$A$4:$K$275,10,FALSE)="","",VLOOKUP(A219,'Débit - Abfluss'!$A$4:$M$275,10,FALSE))</f>
        <v>100%</v>
      </c>
      <c r="AS219" s="773" t="str">
        <f>IF(VLOOKUP(A219,'Débit - Abfluss'!$A$4:$K$275,11,FALSE)="","",VLOOKUP(A219,'Débit - Abfluss'!$A$4:$M$275,11,FALSE))</f>
        <v>X</v>
      </c>
      <c r="AT219" s="812">
        <f>IF(VLOOKUP(A219,'Débit - Abfluss'!$A$4:$Q$275,12,FALSE)="","",VLOOKUP(A219,'Débit - Abfluss'!$A$4:$Q$275,12,FALSE))</f>
        <v>0.8</v>
      </c>
      <c r="AU219" s="768" t="str">
        <f>IF(VLOOKUP(A219,'Débit - Abfluss'!$A$4:$Q$275,13,FALSE)="","",VLOOKUP(A219,'Débit - Abfluss'!$A$4:$Q$275,13,FALSE))</f>
        <v>Wasserentnahme am untersten  Ende des Auengebiets</v>
      </c>
      <c r="AV219" s="746" t="str">
        <f>IF(VLOOKUP(A219,'Débit - Abfluss'!$A$4:$Q$275,14,FALSE)="","",VLOOKUP(A219,'Débit - Abfluss'!$A$4:$Q$275,14,FALSE))</f>
        <v>LU-W 10</v>
      </c>
      <c r="AW219" s="768" t="str">
        <f>IF(VLOOKUP(A219,'Débit - Abfluss'!$A$4:$Q$275,15,FALSE)="","",VLOOKUP(A219,'Débit - Abfluss'!$A$4:$Q$275,15,FALSE))</f>
        <v/>
      </c>
      <c r="AX219" s="679" t="str">
        <f>IF(VLOOKUP(A219,'Débit - Abfluss'!$A$4:$Q$275,16,FALSE)="","",VLOOKUP(A219,'Débit - Abfluss'!$A$4:$Q$275,16,FALSE))</f>
        <v>Konzession läuft 2021 aus. Vgl. Ergänzungen im Begleitschreiben.</v>
      </c>
      <c r="AY219" s="769" t="str">
        <f>IF(VLOOKUP(A219,'Débit - Abfluss'!$A$4:$Q$275,17,FALSE)="","",VLOOKUP(A219,'Débit - Abfluss'!$A$4:$Q$275,17,FALSE))</f>
        <v>61-80%</v>
      </c>
      <c r="AZ219" s="749" t="str">
        <f>IF(VLOOKUP(A219,'Eclusée - Schwall-Sunk'!$A$2:$F$273,5,FALSE)="","",VLOOKUP(A219,'Eclusée - Schwall-Sunk'!$A$2:$F$273,5,FALSE))</f>
        <v/>
      </c>
      <c r="BA219" s="750" t="str">
        <f>IF(VLOOKUP(A219,'Eclusée - Schwall-Sunk'!$A$2:$F$273,6,FALSE)="","",VLOOKUP(A219,'Eclusée - Schwall-Sunk'!$A$2:$F$273,6,FALSE))</f>
        <v>Non affecté / nicht betroffen</v>
      </c>
      <c r="BB219" s="751">
        <f>IF(VLOOKUP(A219,'Revitalisation-Revitalisierung'!$A$4:$Z$275,5,FALSE)="","",VLOOKUP(A219,'Revitalisation-Revitalisierung'!$A$4:$Z$275,5,FALSE))</f>
        <v>-47.272727272727273</v>
      </c>
      <c r="BC219" s="752">
        <f>IF(VLOOKUP(A219,'Revitalisation-Revitalisierung'!$A$4:$Z$275,6,FALSE)="","",VLOOKUP(A219,'Revitalisation-Revitalisierung'!$A$4:$Z$275,6,FALSE))</f>
        <v>0</v>
      </c>
      <c r="BD219" s="752">
        <f>IF(VLOOKUP(A219,'Revitalisation-Revitalisierung'!$A$4:$Z$275,7,FALSE)="","",VLOOKUP(A219,'Revitalisation-Revitalisierung'!$A$4:$Z$275,7,FALSE))</f>
        <v>47.272727272727273</v>
      </c>
      <c r="BE219" s="753" t="str">
        <f>IF(VLOOKUP(A219,'Revitalisation-Revitalisierung'!$A$4:$Z$275,8,FALSE)="","",VLOOKUP(A219,'Revitalisation-Revitalisierung'!$A$4:$Z$275,8,FALSE))</f>
        <v>non nécessaire</v>
      </c>
      <c r="BF219" s="754" t="str">
        <f>IF(VLOOKUP(A219,'Revitalisation-Revitalisierung'!$A$4:$Z$275,9,FALSE)="","",VLOOKUP(A219,'Revitalisation-Revitalisierung'!$A$4:$Z$275,9,FALSE))</f>
        <v>nicht nötig</v>
      </c>
      <c r="BG219" s="754" t="str">
        <f>IF(VLOOKUP(A219,'Revitalisation-Revitalisierung'!$A$4:$Z$275,10,FALSE)="","",VLOOKUP(A219,'Revitalisation-Revitalisierung'!$A$4:$Z$275,10,FALSE))</f>
        <v>K3</v>
      </c>
      <c r="BH219" s="755" t="str">
        <f>IF(VLOOKUP(A219,'Revitalisation-Revitalisierung'!$A$4:$Z$275,11,FALSE)="","",VLOOKUP(A219,'Revitalisation-Revitalisierung'!$A$4:$Z$275,11,FALSE))</f>
        <v/>
      </c>
      <c r="BI219" s="756" t="str">
        <f>IF(VLOOKUP(A219,'Revitalisation-Revitalisierung'!$A$4:$Z$275,12,FALSE)="","",VLOOKUP(A219,'Revitalisation-Revitalisierung'!$A$4:$Z$275,12,FALSE))</f>
        <v/>
      </c>
      <c r="BJ219" s="788" t="str">
        <f>IF(VLOOKUP(A219,'Revitalisation-Revitalisierung'!$A$4:$Z$275,13,FALSE)="","",VLOOKUP(A219,'Revitalisation-Revitalisierung'!$A$4:$Z$275,13,FALSE))</f>
        <v>Non nécessaire / nicht nötig</v>
      </c>
      <c r="BK219" s="870" t="str">
        <f>IF(VLOOKUP(A219,'Revitalisation-Revitalisierung'!$A$4:$Z$275,14,FALSE)="","",VLOOKUP(A219,'Revitalisation-Revitalisierung'!$A$4:$Z$275,14,FALSE))</f>
        <v>a</v>
      </c>
      <c r="BL219" s="758" t="str">
        <f>IF(VLOOKUP(A219,'Revitalisation-Revitalisierung'!$A$4:$Z$275,15,FALSE)="","",VLOOKUP(A219,'Revitalisation-Revitalisierung'!$A$4:$Z$275,15,FALSE))</f>
        <v>gross</v>
      </c>
      <c r="BM219" s="759" t="str">
        <f>IF(VLOOKUP(A219,'Revitalisation-Revitalisierung'!$A$4:$Z$275,16,FALSE)="","",VLOOKUP(A219,'Revitalisation-Revitalisierung'!$A$4:$Z$275,16,FALSE))</f>
        <v>gering</v>
      </c>
      <c r="BN219" s="759" t="str">
        <f>IF(VLOOKUP(A219,'Revitalisation-Revitalisierung'!$A$4:$Z$275,17,FALSE)="","",VLOOKUP(A219,'Revitalisation-Revitalisierung'!$A$4:$Z$275,17,FALSE))</f>
        <v>keine</v>
      </c>
      <c r="BO219" s="760" t="str">
        <f>IF(VLOOKUP(A219,'Revitalisation-Revitalisierung'!$A$4:$Z$275,18,FALSE)="","",VLOOKUP(A219,'Revitalisation-Revitalisierung'!$A$4:$Z$275,18,FALSE))</f>
        <v>Non nécessaire / nicht nötig</v>
      </c>
      <c r="BP219" s="761" t="str">
        <f>IF(VLOOKUP(A219,'Revitalisation-Revitalisierung'!$A$4:$Z$275,19,FALSE)="","",VLOOKUP(A219,'Revitalisation-Revitalisierung'!$A$4:$Z$275,19,FALSE))</f>
        <v>Non nécessaire / nicht nötig</v>
      </c>
      <c r="BQ219" s="759" t="str">
        <f>IF(VLOOKUP(A219,'Revitalisation-Revitalisierung'!$A$4:$Z$275,20,FALSE)="","",VLOOKUP(A219,'Revitalisation-Revitalisierung'!$A$4:$Z$275,20,FALSE))</f>
        <v>d</v>
      </c>
      <c r="BR219" s="759" t="str">
        <f>IF(VLOOKUP(A219,'Revitalisation-Revitalisierung'!$A$4:$Z$275,21,FALSE)="","",VLOOKUP(A219,'Revitalisation-Revitalisierung'!$A$4:$Z$275,21,FALSE))</f>
        <v/>
      </c>
      <c r="BS219" s="762" t="str">
        <f>IF(VLOOKUP(A219,'Revitalisation-Revitalisierung'!$A$4:$Z$275,22,FALSE)="","",VLOOKUP(A219,'Revitalisation-Revitalisierung'!$A$4:$Z$275,22,FALSE))</f>
        <v/>
      </c>
      <c r="BT219" s="700" t="str">
        <f>IF(VLOOKUP(A219,'Revitalisation-Revitalisierung'!$A$4:$Z$275,23,FALSE)="","",VLOOKUP(A219,'Revitalisation-Revitalisierung'!$A$4:$Z$275,23,FALSE))</f>
        <v>Non nécessaire / nicht nötig</v>
      </c>
      <c r="BU219" s="699" t="str">
        <f>IF(VLOOKUP(A219,'Revitalisation-Revitalisierung'!$A$4:$Z$275,24,FALSE)="","",VLOOKUP(A219,'Revitalisation-Revitalisierung'!$A$4:$Z$275,24,FALSE))</f>
        <v/>
      </c>
      <c r="BV219" s="761" t="str">
        <f>IF(VLOOKUP(A219,'Revitalisation-Revitalisierung'!$A$4:$Z$275,25,FALSE)="","",VLOOKUP(A219,'Revitalisation-Revitalisierung'!$A$4:$Z$275,25,FALSE))</f>
        <v>Non nécessaire / nicht nötig</v>
      </c>
      <c r="BW219" s="871" t="str">
        <f>IF(VLOOKUP(A219,'Revitalisation-Revitalisierung'!$A$4:$AA$275,27,FALSE)="","",VLOOKUP(A219,'Revitalisation-Revitalisierung'!$A$4:$AA$275,27,FALSE))</f>
        <v>a</v>
      </c>
    </row>
    <row r="220" spans="1:75" ht="59.45" customHeight="1" x14ac:dyDescent="0.25">
      <c r="A220" s="935">
        <v>341</v>
      </c>
      <c r="B220" s="856">
        <f>IF(VLOOKUP(A220,'Données de base - Grunddaten'!$A$2:$M$297,2,FALSE)="","",VLOOKUP(A220,'Données de base - Grunddaten'!$A$2:$M$297,2,FALSE))</f>
        <v>1</v>
      </c>
      <c r="C220" s="857" t="str">
        <f>IF(VLOOKUP(A220,'Données de base - Grunddaten'!$A$2:$M$297,3,FALSE)="","",VLOOKUP(A220,'Données de base - Grunddaten'!$A$2:$M$297,3,FALSE))</f>
        <v>Flühli</v>
      </c>
      <c r="D220" s="857" t="str">
        <f>IF(VLOOKUP(A220,'Données de base - Grunddaten'!$A$2:$M$297,4,FALSE)="","",VLOOKUP(A220,'Données de base - Grunddaten'!$A$2:$M$297,4,FALSE))</f>
        <v>Hohwäldlibach, Rotbach, Waldemme</v>
      </c>
      <c r="E220" s="857" t="str">
        <f>IF(VLOOKUP(A220,'Données de base - Grunddaten'!$A$2:$M$297,5,FALSE)="","",VLOOKUP(A220,'Données de base - Grunddaten'!$A$2:$M$297,5,FALSE))</f>
        <v>LU</v>
      </c>
      <c r="F220" s="857" t="str">
        <f>IF(VLOOKUP(A220,'Données de base - Grunddaten'!$A$2:$M$297,6,FALSE)="","",VLOOKUP(A220,'Données de base - Grunddaten'!$A$2:$M$297,6,FALSE))</f>
        <v>Alpes septentrionales</v>
      </c>
      <c r="G220" s="857" t="str">
        <f>IF(VLOOKUP(A220,'Données de base - Grunddaten'!$A$2:$M$297,7,FALSE)="","",VLOOKUP(A220,'Données de base - Grunddaten'!$A$2:$M$297,7,FALSE))</f>
        <v>Montagnard sup.</v>
      </c>
      <c r="H220" s="857">
        <f>IF(VLOOKUP(A220,'Données de base - Grunddaten'!$A$2:$M$297,8,FALSE)="","",VLOOKUP(A220,'Données de base - Grunddaten'!$A$2:$M$297,8,FALSE))</f>
        <v>940</v>
      </c>
      <c r="I220" s="857">
        <f>IF(VLOOKUP(A220,'Données de base - Grunddaten'!$A$2:$M$297,9,FALSE)="","",VLOOKUP(A220,'Données de base - Grunddaten'!$A$2:$M$297,9,FALSE))</f>
        <v>2003</v>
      </c>
      <c r="J220" s="857">
        <f>IF(VLOOKUP(A220,'Données de base - Grunddaten'!$A$2:$M$297,10,FALSE)="","",VLOOKUP(A220,'Données de base - Grunddaten'!$A$2:$M$297,10,FALSE))</f>
        <v>41</v>
      </c>
      <c r="K220" s="857" t="str">
        <f>IF(VLOOKUP(A220,'Données de base - Grunddaten'!$A$2:$M$297,11,FALSE)="","",VLOOKUP(A220,'Données de base - Grunddaten'!$A$2:$M$297,11,FALSE))</f>
        <v>Cours d'eau naturels de l'étage montagnard</v>
      </c>
      <c r="L220" s="857" t="str">
        <f>IF(VLOOKUP(A220,'Données de base - Grunddaten'!$A$2:$M$297,12,FALSE)="","",VLOOKUP(A220,'Données de base - Grunddaten'!$A$2:$M$297,12,FALSE))</f>
        <v>en méandres migrants</v>
      </c>
      <c r="M220" s="858" t="str">
        <f>IF(VLOOKUP(A220,'Données de base - Grunddaten'!$A$2:$M$297,13,FALSE)="","",VLOOKUP(A220,'Données de base - Grunddaten'!$A$2:$M$297,13,FALSE))</f>
        <v>en méandres migrants</v>
      </c>
      <c r="N220" s="872" t="str">
        <f>IF(VLOOKUP(A220,'Charriage - Geschiebehaushalt'!$A$4:$R$275,5,FALSE)="","",VLOOKUP(A220,'Charriage - Geschiebehaushalt'!$A$4:$R$275,5,FALSE))</f>
        <v>pertinent</v>
      </c>
      <c r="O220" s="881" t="str">
        <f>IF(VLOOKUP(A220,'Charriage - Geschiebehaushalt'!$A$4:$R$275,6,FALSE)="","",VLOOKUP(A220,'Charriage - Geschiebehaushalt'!$A$4:$R$275,6,FALSE))</f>
        <v>non documenté</v>
      </c>
      <c r="P220" s="874" t="str">
        <f>IF(VLOOKUP(A220,'Charriage - Geschiebehaushalt'!$A$4:$R$275,7,FALSE)="","",VLOOKUP(A220,'Charriage - Geschiebehaushalt'!$A$4:$R$275,7,FALSE))</f>
        <v/>
      </c>
      <c r="Q220" s="874" t="str">
        <f>IF(VLOOKUP(A220,'Charriage - Geschiebehaushalt'!$A$4:$R$275,8,FALSE)="","",VLOOKUP(A220,'Charriage - Geschiebehaushalt'!$A$4:$R$275,8,FALSE))</f>
        <v>non documenté</v>
      </c>
      <c r="R220" s="875">
        <f>IF(VLOOKUP(A220,'Charriage - Geschiebehaushalt'!$A$4:$R$275,9,FALSE)="","",VLOOKUP(A220,'Charriage - Geschiebehaushalt'!$A$4:$R$275,9,FALSE))</f>
        <v>0.26775928744056698</v>
      </c>
      <c r="S220" s="895" t="str">
        <f>IF(VLOOKUP(A220,'Charriage - Geschiebehaushalt'!$A$4:$R$275,10,FALSE)="","",VLOOKUP(A220,'Charriage - Geschiebehaushalt'!$A$4:$R$275,10,FALSE))</f>
        <v>la remobilisation des sédiments est perturbée</v>
      </c>
      <c r="T220" s="875">
        <f>IF(VLOOKUP(A220,'Charriage - Geschiebehaushalt'!$A$4:$R$275,11,FALSE)="","",VLOOKUP(A220,'Charriage - Geschiebehaushalt'!$A$4:$R$275,11,FALSE))</f>
        <v>5.9210562080000001E-2</v>
      </c>
      <c r="U220" s="876" t="str">
        <f>IF(VLOOKUP(A220,'Charriage - Geschiebehaushalt'!$A$4:$R$275,12,FALSE)="","",VLOOKUP(A220,'Charriage - Geschiebehaushalt'!$A$4:$R$275,12,FALSE))</f>
        <v>déficit dans les formations pionnières</v>
      </c>
      <c r="V220" s="877" t="str">
        <f>IF(VLOOKUP(A220,'Charriage - Geschiebehaushalt'!$A$4:$R$275,13,FALSE)="","",VLOOKUP(A220,'Charriage - Geschiebehaushalt'!$A$4:$R$275,13,FALSE))</f>
        <v/>
      </c>
      <c r="W220" s="877" t="str">
        <f>IF(VLOOKUP(A220,'Charriage - Geschiebehaushalt'!$A$4:$R$275,14,FALSE)="","",VLOOKUP(A220,'Charriage - Geschiebehaushalt'!$A$4:$R$275,14,FALSE))</f>
        <v/>
      </c>
      <c r="X220" s="877" t="str">
        <f>IF(VLOOKUP(A220,'Charriage - Geschiebehaushalt'!$A$4:$R$275,15,FALSE)="","",VLOOKUP(A220,'Charriage - Geschiebehaushalt'!$A$4:$R$275,15,FALSE))</f>
        <v/>
      </c>
      <c r="Y220" s="879" t="str">
        <f>IF(VLOOKUP(A220,'Charriage - Geschiebehaushalt'!$A$4:$R$275,16,FALSE)="","",VLOOKUP(A220,'Charriage - Geschiebehaushalt'!$A$4:$R$275,16,FALSE))</f>
        <v/>
      </c>
      <c r="Z220" s="763" t="str">
        <f>IF(VLOOKUP(A220,'Charriage - Geschiebehaushalt'!$A$4:$R$275,17,FALSE)="","",VLOOKUP(A220,'Charriage - Geschiebehaushalt'!$A$4:$R$275,17,FALSE))</f>
        <v>La remobilisation des sédiments est perturbée / Mobilisierung von Geschiebe beeinträchtigt</v>
      </c>
      <c r="AA220" s="880" t="str">
        <f>IF(VLOOKUP(A220,'Charriage - Geschiebehaushalt'!$A$4:$R$275,18,FALSE)="","",VLOOKUP(A220,'Charriage - Geschiebehaushalt'!$A$4:$R$275,18,FALSE))</f>
        <v>b</v>
      </c>
      <c r="AB220" s="737" t="str">
        <f>IF(VLOOKUP(A220,'Charriage - Geschiebehaushalt'!$A$4:$AC$275,19,FALSE)="","",VLOOKUP(A220,'Charriage - Geschiebehaushalt'!$A$4:$AC$275,19,FALSE))</f>
        <v>stark/mittel/gering</v>
      </c>
      <c r="AC220" s="738" t="str">
        <f>IF(VLOOKUP(A220,'Charriage - Geschiebehaushalt'!$A$4:$AC$275,20,FALSE)="","",VLOOKUP(A220,'Charriage - Geschiebehaushalt'!$A$4:$AC$275,20,FALSE))</f>
        <v>Ja</v>
      </c>
      <c r="AD220" s="764" t="str">
        <f>IF(VLOOKUP(A220,'Charriage - Geschiebehaushalt'!$A$4:$AC$275,21,FALSE)="","",VLOOKUP(A220,'Charriage - Geschiebehaushalt'!$A$4:$AC$275,21,FALSE))</f>
        <v>21-50%</v>
      </c>
      <c r="AE220" s="772" t="str">
        <f>IF(VLOOKUP(A220,'Charriage - Geschiebehaushalt'!$A$4:$AC$275,22,FALSE)="","",VLOOKUP(A220,'Charriage - Geschiebehaushalt'!$A$4:$AC$275,22,FALSE))</f>
        <v>21-50%</v>
      </c>
      <c r="AF220" s="787" t="str">
        <f>IF(VLOOKUP(A220,'Charriage - Geschiebehaushalt'!$A$4:$AC$275,23,FALSE)="","",VLOOKUP(A220,'Charriage - Geschiebehaushalt'!$A$4:$AC$275,23,FALSE))</f>
        <v>d</v>
      </c>
      <c r="AG220" s="765" t="str">
        <f>IF(VLOOKUP(A220,'Charriage - Geschiebehaushalt'!$A$4:$AC$275,24,FALSE)="","",VLOOKUP(A220,'Charriage - Geschiebehaushalt'!$A$4:$AC$275,24,FALSE))</f>
        <v>Attention: stark:60-80%; mittel=40-60% et gering=20-40%. J'ai repris la même catégorie que Hanus et al., vu que l'évaluation du canton couvre également cette catégorie</v>
      </c>
      <c r="AH220" s="764" t="str">
        <f>IF(VLOOKUP(A220,'Charriage - Geschiebehaushalt'!$A$4:$AC$275,25,FALSE)="","",VLOOKUP(A220,'Charriage - Geschiebehaushalt'!$A$4:$AC$275,25,FALSE))</f>
        <v/>
      </c>
      <c r="AI220" s="771" t="str">
        <f>IF(VLOOKUP(A220,'Charriage - Geschiebehaushalt'!$A$4:$AC$275,26,FALSE)="","",VLOOKUP(A220,'Charriage - Geschiebehaushalt'!$A$4:$AC$275,26,FALSE))</f>
        <v>21-50%</v>
      </c>
      <c r="AJ220" s="434" t="str">
        <f>IF(VLOOKUP(A220,'Charriage - Geschiebehaushalt'!$A$4:$AC$275,27,FALSE)="","",VLOOKUP(A220,'Charriage - Geschiebehaushalt'!$A$4:$AC$275,27,FALSE))</f>
        <v/>
      </c>
      <c r="AK220" s="814" t="str">
        <f>IF(VLOOKUP(A220,'Charriage - Geschiebehaushalt'!$A$4:$AC$275,28,FALSE)="","",VLOOKUP(A220,'Charriage - Geschiebehaushalt'!$A$4:$AC$275,28,FALSE))</f>
        <v>21-50%</v>
      </c>
      <c r="AL220" s="1285" t="str">
        <f>IF(VLOOKUP(A220,'Charriage - Geschiebehaushalt'!$A$4:$AD$275,30,FALSE)="","",VLOOKUP(A220,'Charriage - Geschiebehaushalt'!$A$4:$AD$275,30,FALSE))</f>
        <v>a</v>
      </c>
      <c r="AM220" s="1279" t="str">
        <f>IF(VLOOKUP(A220,'Débit - Abfluss'!$A$4:$K$275,5,FALSE)="","",VLOOKUP(A220,'Débit - Abfluss'!$A$4:$M$275,5,FALSE))</f>
        <v>100%</v>
      </c>
      <c r="AN220" s="868" t="str">
        <f>IF(VLOOKUP(A220,'Débit - Abfluss'!$A$4:$K$275,6,FALSE)="","",VLOOKUP(A220,'Débit - Abfluss'!$A$4:$M$275,6,FALSE))</f>
        <v>aucune information supplémentaire</v>
      </c>
      <c r="AO220" s="869" t="str">
        <f>IF(VLOOKUP(A220,'Débit - Abfluss'!$A$4:$K$275,7,FALSE)="","",VLOOKUP(A220,'Débit - Abfluss'!$A$4:$M$275,7,FALSE))</f>
        <v>aucune information supplémentaire</v>
      </c>
      <c r="AP220" s="766" t="str">
        <f>IF(VLOOKUP(A220,'Débit - Abfluss'!$A$4:$K$275,8,FALSE)="","",VLOOKUP(A220,'Débit - Abfluss'!$A$4:$M$275,8,FALSE))</f>
        <v>100%</v>
      </c>
      <c r="AQ220" s="742" t="str">
        <f>IF(VLOOKUP(A220,'Débit - Abfluss'!$A$4:$K$275,9,FALSE)="","",VLOOKUP(A220,'Débit - Abfluss'!$A$4:$M$275,9,FALSE))</f>
        <v>-</v>
      </c>
      <c r="AR220" s="767" t="str">
        <f>IF(VLOOKUP(A220,'Débit - Abfluss'!$A$4:$K$275,10,FALSE)="","",VLOOKUP(A220,'Débit - Abfluss'!$A$4:$M$275,10,FALSE))</f>
        <v>100%</v>
      </c>
      <c r="AS220" s="767" t="str">
        <f>IF(VLOOKUP(A220,'Débit - Abfluss'!$A$4:$K$275,11,FALSE)="","",VLOOKUP(A220,'Débit - Abfluss'!$A$4:$M$275,11,FALSE))</f>
        <v/>
      </c>
      <c r="AT220" s="742" t="str">
        <f>IF(VLOOKUP(A220,'Débit - Abfluss'!$A$4:$Q$275,12,FALSE)="","",VLOOKUP(A220,'Débit - Abfluss'!$A$4:$Q$275,12,FALSE))</f>
        <v>100%</v>
      </c>
      <c r="AU220" s="745" t="str">
        <f>IF(VLOOKUP(A220,'Débit - Abfluss'!$A$4:$Q$275,13,FALSE)="","",VLOOKUP(A220,'Débit - Abfluss'!$A$4:$Q$275,13,FALSE))</f>
        <v/>
      </c>
      <c r="AV220" s="746" t="str">
        <f>IF(VLOOKUP(A220,'Débit - Abfluss'!$A$4:$Q$275,14,FALSE)="","",VLOOKUP(A220,'Débit - Abfluss'!$A$4:$Q$275,14,FALSE))</f>
        <v/>
      </c>
      <c r="AW220" s="768" t="str">
        <f>IF(VLOOKUP(A220,'Débit - Abfluss'!$A$4:$Q$275,15,FALSE)="","",VLOOKUP(A220,'Débit - Abfluss'!$A$4:$Q$275,15,FALSE))</f>
        <v/>
      </c>
      <c r="AX220" s="677" t="str">
        <f>IF(VLOOKUP(A220,'Débit - Abfluss'!$A$4:$Q$275,16,FALSE)="","",VLOOKUP(A220,'Débit - Abfluss'!$A$4:$Q$275,16,FALSE))</f>
        <v/>
      </c>
      <c r="AY220" s="769" t="str">
        <f>IF(VLOOKUP(A220,'Débit - Abfluss'!$A$4:$Q$275,17,FALSE)="","",VLOOKUP(A220,'Débit - Abfluss'!$A$4:$Q$275,17,FALSE))</f>
        <v>100%</v>
      </c>
      <c r="AZ220" s="749" t="str">
        <f>IF(VLOOKUP(A220,'Eclusée - Schwall-Sunk'!$A$2:$F$273,5,FALSE)="","",VLOOKUP(A220,'Eclusée - Schwall-Sunk'!$A$2:$F$273,5,FALSE))</f>
        <v/>
      </c>
      <c r="BA220" s="750" t="str">
        <f>IF(VLOOKUP(A220,'Eclusée - Schwall-Sunk'!$A$2:$F$273,6,FALSE)="","",VLOOKUP(A220,'Eclusée - Schwall-Sunk'!$A$2:$F$273,6,FALSE))</f>
        <v>Non affecté / nicht betroffen</v>
      </c>
      <c r="BB220" s="751">
        <f>IF(VLOOKUP(A220,'Revitalisation-Revitalisierung'!$A$4:$Z$275,5,FALSE)="","",VLOOKUP(A220,'Revitalisation-Revitalisierung'!$A$4:$Z$275,5,FALSE))</f>
        <v>-20.863636363636367</v>
      </c>
      <c r="BC220" s="752">
        <f>IF(VLOOKUP(A220,'Revitalisation-Revitalisierung'!$A$4:$Z$275,6,FALSE)="","",VLOOKUP(A220,'Revitalisation-Revitalisierung'!$A$4:$Z$275,6,FALSE))</f>
        <v>40.455035412396953</v>
      </c>
      <c r="BD220" s="752">
        <f>IF(VLOOKUP(A220,'Revitalisation-Revitalisierung'!$A$4:$Z$275,7,FALSE)="","",VLOOKUP(A220,'Revitalisation-Revitalisierung'!$A$4:$Z$275,7,FALSE))</f>
        <v>61.363636363636367</v>
      </c>
      <c r="BE220" s="753" t="str">
        <f>IF(VLOOKUP(A220,'Revitalisation-Revitalisierung'!$A$4:$Z$275,8,FALSE)="","",VLOOKUP(A220,'Revitalisation-Revitalisierung'!$A$4:$Z$275,8,FALSE))</f>
        <v>très nécessaire, difficile</v>
      </c>
      <c r="BF220" s="754" t="str">
        <f>IF(VLOOKUP(A220,'Revitalisation-Revitalisierung'!$A$4:$Z$275,9,FALSE)="","",VLOOKUP(A220,'Revitalisation-Revitalisierung'!$A$4:$Z$275,9,FALSE))</f>
        <v>schwierig</v>
      </c>
      <c r="BG220" s="754" t="str">
        <f>IF(VLOOKUP(A220,'Revitalisation-Revitalisierung'!$A$4:$Z$275,10,FALSE)="","",VLOOKUP(A220,'Revitalisation-Revitalisierung'!$A$4:$Z$275,10,FALSE))</f>
        <v>K3</v>
      </c>
      <c r="BH220" s="755" t="str">
        <f>IF(VLOOKUP(A220,'Revitalisation-Revitalisierung'!$A$4:$Z$275,11,FALSE)="","",VLOOKUP(A220,'Revitalisation-Revitalisierung'!$A$4:$Z$275,11,FALSE))</f>
        <v/>
      </c>
      <c r="BI220" s="756" t="str">
        <f>IF(VLOOKUP(A220,'Revitalisation-Revitalisierung'!$A$4:$Z$275,12,FALSE)="","",VLOOKUP(A220,'Revitalisation-Revitalisierung'!$A$4:$Z$275,12,FALSE))</f>
        <v/>
      </c>
      <c r="BJ220" s="788" t="str">
        <f>IF(VLOOKUP(A220,'Revitalisation-Revitalisierung'!$A$4:$Z$275,13,FALSE)="","",VLOOKUP(A220,'Revitalisation-Revitalisierung'!$A$4:$Z$275,13,FALSE))</f>
        <v>Très nécessaire, difficile / unbedingt nötig, schwierig</v>
      </c>
      <c r="BK220" s="870" t="str">
        <f>IF(VLOOKUP(A220,'Revitalisation-Revitalisierung'!$A$4:$Z$275,14,FALSE)="","",VLOOKUP(A220,'Revitalisation-Revitalisierung'!$A$4:$Z$275,14,FALSE))</f>
        <v>a</v>
      </c>
      <c r="BL220" s="758" t="str">
        <f>IF(VLOOKUP(A220,'Revitalisation-Revitalisierung'!$A$4:$Z$275,15,FALSE)="","",VLOOKUP(A220,'Revitalisation-Revitalisierung'!$A$4:$Z$275,15,FALSE))</f>
        <v>gross</v>
      </c>
      <c r="BM220" s="759" t="str">
        <f>IF(VLOOKUP(A220,'Revitalisation-Revitalisierung'!$A$4:$Z$275,16,FALSE)="","",VLOOKUP(A220,'Revitalisation-Revitalisierung'!$A$4:$Z$275,16,FALSE))</f>
        <v>mittel/gering</v>
      </c>
      <c r="BN220" s="759" t="str">
        <f>IF(VLOOKUP(A220,'Revitalisation-Revitalisierung'!$A$4:$Z$275,17,FALSE)="","",VLOOKUP(A220,'Revitalisation-Revitalisierung'!$A$4:$Z$275,17,FALSE))</f>
        <v>keine</v>
      </c>
      <c r="BO220" s="760" t="str">
        <f>IF(VLOOKUP(A220,'Revitalisation-Revitalisierung'!$A$4:$Z$275,18,FALSE)="","",VLOOKUP(A220,'Revitalisation-Revitalisierung'!$A$4:$Z$275,18,FALSE))</f>
        <v>Partiellement nécessaire, difficile / teilweise nötig, schwierig</v>
      </c>
      <c r="BP220" s="761" t="str">
        <f>IF(VLOOKUP(A220,'Revitalisation-Revitalisierung'!$A$4:$Z$275,19,FALSE)="","",VLOOKUP(A220,'Revitalisation-Revitalisierung'!$A$4:$Z$275,19,FALSE))</f>
        <v>Partiellement nécessaire, difficile / teilweise nötig, schwierig</v>
      </c>
      <c r="BQ220" s="759" t="str">
        <f>IF(VLOOKUP(A220,'Revitalisation-Revitalisierung'!$A$4:$Z$275,20,FALSE)="","",VLOOKUP(A220,'Revitalisation-Revitalisierung'!$A$4:$Z$275,20,FALSE))</f>
        <v>c</v>
      </c>
      <c r="BR220" s="759" t="str">
        <f>IF(VLOOKUP(A220,'Revitalisation-Revitalisierung'!$A$4:$Z$275,21,FALSE)="","",VLOOKUP(A220,'Revitalisation-Revitalisierung'!$A$4:$Z$275,21,FALSE))</f>
        <v/>
      </c>
      <c r="BS220" s="762" t="str">
        <f>IF(VLOOKUP(A220,'Revitalisation-Revitalisierung'!$A$4:$Z$275,22,FALSE)="","",VLOOKUP(A220,'Revitalisation-Revitalisierung'!$A$4:$Z$275,22,FALSE))</f>
        <v/>
      </c>
      <c r="BT220" s="700" t="str">
        <f>IF(VLOOKUP(A220,'Revitalisation-Revitalisierung'!$A$4:$Z$275,23,FALSE)="","",VLOOKUP(A220,'Revitalisation-Revitalisierung'!$A$4:$Z$275,23,FALSE))</f>
        <v>Partiellement nécessaire, difficile / teilweise nötig, schwierig</v>
      </c>
      <c r="BU220" s="699" t="str">
        <f>IF(VLOOKUP(A220,'Revitalisation-Revitalisierung'!$A$4:$Z$275,24,FALSE)="","",VLOOKUP(A220,'Revitalisation-Revitalisierung'!$A$4:$Z$275,24,FALSE))</f>
        <v/>
      </c>
      <c r="BV220" s="761" t="str">
        <f>IF(VLOOKUP(A220,'Revitalisation-Revitalisierung'!$A$4:$Z$275,25,FALSE)="","",VLOOKUP(A220,'Revitalisation-Revitalisierung'!$A$4:$Z$275,25,FALSE))</f>
        <v>Partiellement nécessaire, difficile / teilweise nötig, schwierig</v>
      </c>
      <c r="BW220" s="871" t="str">
        <f>IF(VLOOKUP(A220,'Revitalisation-Revitalisierung'!$A$4:$AA$275,27,FALSE)="","",VLOOKUP(A220,'Revitalisation-Revitalisierung'!$A$4:$AA$275,27,FALSE))</f>
        <v>a</v>
      </c>
    </row>
    <row r="221" spans="1:75" ht="94.15" customHeight="1" x14ac:dyDescent="0.25">
      <c r="A221" s="935">
        <v>342</v>
      </c>
      <c r="B221" s="856">
        <f>IF(VLOOKUP(A221,'Données de base - Grunddaten'!$A$2:$M$297,2,FALSE)="","",VLOOKUP(A221,'Données de base - Grunddaten'!$A$2:$M$297,2,FALSE))</f>
        <v>1</v>
      </c>
      <c r="C221" s="857" t="str">
        <f>IF(VLOOKUP(A221,'Données de base - Grunddaten'!$A$2:$M$297,3,FALSE)="","",VLOOKUP(A221,'Données de base - Grunddaten'!$A$2:$M$297,3,FALSE))</f>
        <v>Bibermüli</v>
      </c>
      <c r="D221" s="857" t="str">
        <f>IF(VLOOKUP(A221,'Données de base - Grunddaten'!$A$2:$M$297,4,FALSE)="","",VLOOKUP(A221,'Données de base - Grunddaten'!$A$2:$M$297,4,FALSE))</f>
        <v>Biber</v>
      </c>
      <c r="E221" s="857" t="str">
        <f>IF(VLOOKUP(A221,'Données de base - Grunddaten'!$A$2:$M$297,5,FALSE)="","",VLOOKUP(A221,'Données de base - Grunddaten'!$A$2:$M$297,5,FALSE))</f>
        <v>SH</v>
      </c>
      <c r="F221" s="857" t="str">
        <f>IF(VLOOKUP(A221,'Données de base - Grunddaten'!$A$2:$M$297,6,FALSE)="","",VLOOKUP(A221,'Données de base - Grunddaten'!$A$2:$M$297,6,FALSE))</f>
        <v>Bassins lémanique et rhénan</v>
      </c>
      <c r="G221" s="857" t="str">
        <f>IF(VLOOKUP(A221,'Données de base - Grunddaten'!$A$2:$M$297,7,FALSE)="","",VLOOKUP(A221,'Données de base - Grunddaten'!$A$2:$M$297,7,FALSE))</f>
        <v>Collinéen</v>
      </c>
      <c r="H221" s="857">
        <f>IF(VLOOKUP(A221,'Données de base - Grunddaten'!$A$2:$M$297,8,FALSE)="","",VLOOKUP(A221,'Données de base - Grunddaten'!$A$2:$M$297,8,FALSE))</f>
        <v>400</v>
      </c>
      <c r="I221" s="857">
        <f>IF(VLOOKUP(A221,'Données de base - Grunddaten'!$A$2:$M$297,9,FALSE)="","",VLOOKUP(A221,'Données de base - Grunddaten'!$A$2:$M$297,9,FALSE))</f>
        <v>2003</v>
      </c>
      <c r="J221" s="857">
        <f>IF(VLOOKUP(A221,'Données de base - Grunddaten'!$A$2:$M$297,10,FALSE)="","",VLOOKUP(A221,'Données de base - Grunddaten'!$A$2:$M$297,10,FALSE))</f>
        <v>51</v>
      </c>
      <c r="K221" s="857" t="str">
        <f>IF(VLOOKUP(A221,'Données de base - Grunddaten'!$A$2:$M$297,11,FALSE)="","",VLOOKUP(A221,'Données de base - Grunddaten'!$A$2:$M$297,11,FALSE))</f>
        <v>Cours d'eau naturels de l'étage collinéen du Moyen-Pays</v>
      </c>
      <c r="L221" s="857" t="str">
        <f>IF(VLOOKUP(A221,'Données de base - Grunddaten'!$A$2:$M$297,12,FALSE)="","",VLOOKUP(A221,'Données de base - Grunddaten'!$A$2:$M$297,12,FALSE))</f>
        <v>en méandres migrants</v>
      </c>
      <c r="M221" s="858" t="str">
        <f>IF(VLOOKUP(A221,'Données de base - Grunddaten'!$A$2:$M$297,13,FALSE)="","",VLOOKUP(A221,'Données de base - Grunddaten'!$A$2:$M$297,13,FALSE))</f>
        <v>en méandres migrants</v>
      </c>
      <c r="N221" s="872" t="str">
        <f>IF(VLOOKUP(A221,'Charriage - Geschiebehaushalt'!$A$4:$R$275,5,FALSE)="","",VLOOKUP(A221,'Charriage - Geschiebehaushalt'!$A$4:$R$275,5,FALSE))</f>
        <v>pertinent</v>
      </c>
      <c r="O221" s="881" t="str">
        <f>IF(VLOOKUP(A221,'Charriage - Geschiebehaushalt'!$A$4:$R$275,6,FALSE)="","",VLOOKUP(A221,'Charriage - Geschiebehaushalt'!$A$4:$R$275,6,FALSE))</f>
        <v>non documenté</v>
      </c>
      <c r="P221" s="874" t="str">
        <f>IF(VLOOKUP(A221,'Charriage - Geschiebehaushalt'!$A$4:$R$275,7,FALSE)="","",VLOOKUP(A221,'Charriage - Geschiebehaushalt'!$A$4:$R$275,7,FALSE))</f>
        <v/>
      </c>
      <c r="Q221" s="874" t="str">
        <f>IF(VLOOKUP(A221,'Charriage - Geschiebehaushalt'!$A$4:$R$275,8,FALSE)="","",VLOOKUP(A221,'Charriage - Geschiebehaushalt'!$A$4:$R$275,8,FALSE))</f>
        <v>non documenté</v>
      </c>
      <c r="R221" s="875">
        <f>IF(VLOOKUP(A221,'Charriage - Geschiebehaushalt'!$A$4:$R$275,9,FALSE)="","",VLOOKUP(A221,'Charriage - Geschiebehaushalt'!$A$4:$R$275,9,FALSE))</f>
        <v>0.150101006749148</v>
      </c>
      <c r="S221" s="876" t="str">
        <f>IF(VLOOKUP(A221,'Charriage - Geschiebehaushalt'!$A$4:$R$275,10,FALSE)="","",VLOOKUP(A221,'Charriage - Geschiebehaushalt'!$A$4:$R$275,10,FALSE))</f>
        <v>pas ou faiblement entravé</v>
      </c>
      <c r="T221" s="875">
        <f>IF(VLOOKUP(A221,'Charriage - Geschiebehaushalt'!$A$4:$R$275,11,FALSE)="","",VLOOKUP(A221,'Charriage - Geschiebehaushalt'!$A$4:$R$275,11,FALSE))</f>
        <v>0.51312966904000001</v>
      </c>
      <c r="U221" s="895" t="str">
        <f>IF(VLOOKUP(A221,'Charriage - Geschiebehaushalt'!$A$4:$R$275,12,FALSE)="","",VLOOKUP(A221,'Charriage - Geschiebehaushalt'!$A$4:$R$275,12,FALSE))</f>
        <v>déficit non apparent en charriage ou en remobilisation des sédiments</v>
      </c>
      <c r="V221" s="877" t="str">
        <f>IF(VLOOKUP(A221,'Charriage - Geschiebehaushalt'!$A$4:$R$275,13,FALSE)="","",VLOOKUP(A221,'Charriage - Geschiebehaushalt'!$A$4:$R$275,13,FALSE))</f>
        <v/>
      </c>
      <c r="W221" s="877" t="str">
        <f>IF(VLOOKUP(A221,'Charriage - Geschiebehaushalt'!$A$4:$R$275,14,FALSE)="","",VLOOKUP(A221,'Charriage - Geschiebehaushalt'!$A$4:$R$275,14,FALSE))</f>
        <v/>
      </c>
      <c r="X221" s="877" t="str">
        <f>IF(VLOOKUP(A221,'Charriage - Geschiebehaushalt'!$A$4:$R$275,15,FALSE)="","",VLOOKUP(A221,'Charriage - Geschiebehaushalt'!$A$4:$R$275,15,FALSE))</f>
        <v/>
      </c>
      <c r="Y221" s="879" t="str">
        <f>IF(VLOOKUP(A221,'Charriage - Geschiebehaushalt'!$A$4:$R$275,16,FALSE)="","",VLOOKUP(A221,'Charriage - Geschiebehaushalt'!$A$4:$R$275,16,FALSE))</f>
        <v/>
      </c>
      <c r="Z221" s="763" t="str">
        <f>IF(VLOOKUP(A221,'Charriage - Geschiebehaushalt'!$A$4:$R$275,17,FALSE)="","",VLOOKUP(A221,'Charriage - Geschiebehaushalt'!$A$4:$R$275,17,FALSE))</f>
        <v>Déficit non apparent en charriage ou en remobilisation des sédiments / kein sichtbares Defizit beim Geschiebehaushalt bzw. bei der Mobilisierung von Geschiebe</v>
      </c>
      <c r="AA221" s="880" t="str">
        <f>IF(VLOOKUP(A221,'Charriage - Geschiebehaushalt'!$A$4:$R$275,18,FALSE)="","",VLOOKUP(A221,'Charriage - Geschiebehaushalt'!$A$4:$R$275,18,FALSE))</f>
        <v>b</v>
      </c>
      <c r="AB221" s="737" t="str">
        <f>IF(VLOOKUP(A221,'Charriage - Geschiebehaushalt'!$A$4:$AC$275,19,FALSE)="","",VLOOKUP(A221,'Charriage - Geschiebehaushalt'!$A$4:$AC$275,19,FALSE))</f>
        <v>nicht wesentlich</v>
      </c>
      <c r="AC221" s="738" t="str">
        <f>IF(VLOOKUP(A221,'Charriage - Geschiebehaushalt'!$A$4:$AC$275,20,FALSE)="","",VLOOKUP(A221,'Charriage - Geschiebehaushalt'!$A$4:$AC$275,20,FALSE))</f>
        <v>-</v>
      </c>
      <c r="AD221" s="764" t="str">
        <f>IF(VLOOKUP(A221,'Charriage - Geschiebehaushalt'!$A$4:$AC$275,21,FALSE)="","",VLOOKUP(A221,'Charriage - Geschiebehaushalt'!$A$4:$AC$275,21,FALSE))</f>
        <v>0-20%</v>
      </c>
      <c r="AE221" s="740" t="str">
        <f>IF(VLOOKUP(A221,'Charriage - Geschiebehaushalt'!$A$4:$AC$275,22,FALSE)="","",VLOOKUP(A221,'Charriage - Geschiebehaushalt'!$A$4:$AC$275,22,FALSE))</f>
        <v>0-20%</v>
      </c>
      <c r="AF221" s="787" t="str">
        <f>IF(VLOOKUP(A221,'Charriage - Geschiebehaushalt'!$A$4:$AC$275,23,FALSE)="","",VLOOKUP(A221,'Charriage - Geschiebehaushalt'!$A$4:$AC$275,23,FALSE))</f>
        <v>d</v>
      </c>
      <c r="AG221" s="765" t="str">
        <f>IF(VLOOKUP(A221,'Charriage - Geschiebehaushalt'!$A$4:$AC$275,24,FALSE)="","",VLOOKUP(A221,'Charriage - Geschiebehaushalt'!$A$4:$AC$275,24,FALSE))</f>
        <v/>
      </c>
      <c r="AH221" s="764" t="str">
        <f>IF(VLOOKUP(A221,'Charriage - Geschiebehaushalt'!$A$4:$AC$275,25,FALSE)="","",VLOOKUP(A221,'Charriage - Geschiebehaushalt'!$A$4:$AC$275,25,FALSE))</f>
        <v/>
      </c>
      <c r="AI221" s="433" t="str">
        <f>IF(VLOOKUP(A221,'Charriage - Geschiebehaushalt'!$A$4:$AC$275,26,FALSE)="","",VLOOKUP(A221,'Charriage - Geschiebehaushalt'!$A$4:$AC$275,26,FALSE))</f>
        <v/>
      </c>
      <c r="AJ221" s="436" t="str">
        <f>IF(VLOOKUP(A221,'Charriage - Geschiebehaushalt'!$A$4:$AC$275,27,FALSE)="","",VLOOKUP(A221,'Charriage - Geschiebehaushalt'!$A$4:$AC$275,27,FALSE))</f>
        <v>Das Objekt Nr. 342 „Bibermüli“ ist schmal und grenzt an intensiv genutzte Landwirtschaftsflächen. Der Kanton hat ein grosses Grundstück in der angrenzenden Landwirtschaftszone erworben. Die Äcker wurden stillgelegt und es ist vorgesehen, zwei Flachweiher anzulegen. Im Mündungsbereich der biber in den Rhein wurde bereits vor ein paar Jahren eine grosse Flutmulde auf Ackerland angelegt.</v>
      </c>
      <c r="AK221" s="801" t="str">
        <f>IF(VLOOKUP(A221,'Charriage - Geschiebehaushalt'!$A$4:$AC$275,28,FALSE)="","",VLOOKUP(A221,'Charriage - Geschiebehaushalt'!$A$4:$AC$275,28,FALSE))</f>
        <v>0-20%</v>
      </c>
      <c r="AL221" s="1285" t="str">
        <f>IF(VLOOKUP(A221,'Charriage - Geschiebehaushalt'!$A$4:$AD$275,30,FALSE)="","",VLOOKUP(A221,'Charriage - Geschiebehaushalt'!$A$4:$AD$275,30,FALSE))</f>
        <v>a</v>
      </c>
      <c r="AM221" s="1279" t="str">
        <f>IF(VLOOKUP(A221,'Débit - Abfluss'!$A$4:$K$275,5,FALSE)="","",VLOOKUP(A221,'Débit - Abfluss'!$A$4:$M$275,5,FALSE))</f>
        <v>100%</v>
      </c>
      <c r="AN221" s="868" t="str">
        <f>IF(VLOOKUP(A221,'Débit - Abfluss'!$A$4:$K$275,6,FALSE)="","",VLOOKUP(A221,'Débit - Abfluss'!$A$4:$M$275,6,FALSE))</f>
        <v>aucune information supplémentaire</v>
      </c>
      <c r="AO221" s="869" t="str">
        <f>IF(VLOOKUP(A221,'Débit - Abfluss'!$A$4:$K$275,7,FALSE)="","",VLOOKUP(A221,'Débit - Abfluss'!$A$4:$M$275,7,FALSE))</f>
        <v>aucune information supplémentaire</v>
      </c>
      <c r="AP221" s="766" t="str">
        <f>IF(VLOOKUP(A221,'Débit - Abfluss'!$A$4:$K$275,8,FALSE)="","",VLOOKUP(A221,'Débit - Abfluss'!$A$4:$M$275,8,FALSE))</f>
        <v>100%</v>
      </c>
      <c r="AQ221" s="742" t="str">
        <f>IF(VLOOKUP(A221,'Débit - Abfluss'!$A$4:$K$275,9,FALSE)="","",VLOOKUP(A221,'Débit - Abfluss'!$A$4:$M$275,9,FALSE))</f>
        <v>-</v>
      </c>
      <c r="AR221" s="767" t="str">
        <f>IF(VLOOKUP(A221,'Débit - Abfluss'!$A$4:$K$275,10,FALSE)="","",VLOOKUP(A221,'Débit - Abfluss'!$A$4:$M$275,10,FALSE))</f>
        <v>100%</v>
      </c>
      <c r="AS221" s="767" t="str">
        <f>IF(VLOOKUP(A221,'Débit - Abfluss'!$A$4:$K$275,11,FALSE)="","",VLOOKUP(A221,'Débit - Abfluss'!$A$4:$M$275,11,FALSE))</f>
        <v/>
      </c>
      <c r="AT221" s="744" t="str">
        <f>IF(VLOOKUP(A221,'Débit - Abfluss'!$A$4:$Q$275,12,FALSE)="","",VLOOKUP(A221,'Débit - Abfluss'!$A$4:$Q$275,12,FALSE))</f>
        <v/>
      </c>
      <c r="AU221" s="745" t="str">
        <f>IF(VLOOKUP(A221,'Débit - Abfluss'!$A$4:$Q$275,13,FALSE)="","",VLOOKUP(A221,'Débit - Abfluss'!$A$4:$Q$275,13,FALSE))</f>
        <v/>
      </c>
      <c r="AV221" s="746" t="str">
        <f>IF(VLOOKUP(A221,'Débit - Abfluss'!$A$4:$Q$275,14,FALSE)="","",VLOOKUP(A221,'Débit - Abfluss'!$A$4:$Q$275,14,FALSE))</f>
        <v/>
      </c>
      <c r="AW221" s="768" t="str">
        <f>IF(VLOOKUP(A221,'Débit - Abfluss'!$A$4:$Q$275,15,FALSE)="","",VLOOKUP(A221,'Débit - Abfluss'!$A$4:$Q$275,15,FALSE))</f>
        <v/>
      </c>
      <c r="AX221" s="677" t="str">
        <f>IF(VLOOKUP(A221,'Débit - Abfluss'!$A$4:$Q$275,16,FALSE)="","",VLOOKUP(A221,'Débit - Abfluss'!$A$4:$Q$275,16,FALSE))</f>
        <v/>
      </c>
      <c r="AY221" s="769" t="str">
        <f>IF(VLOOKUP(A221,'Débit - Abfluss'!$A$4:$Q$275,17,FALSE)="","",VLOOKUP(A221,'Débit - Abfluss'!$A$4:$Q$275,17,FALSE))</f>
        <v>81-100%</v>
      </c>
      <c r="AZ221" s="749" t="str">
        <f>IF(VLOOKUP(A221,'Eclusée - Schwall-Sunk'!$A$2:$F$273,5,FALSE)="","",VLOOKUP(A221,'Eclusée - Schwall-Sunk'!$A$2:$F$273,5,FALSE))</f>
        <v/>
      </c>
      <c r="BA221" s="750" t="str">
        <f>IF(VLOOKUP(A221,'Eclusée - Schwall-Sunk'!$A$2:$F$273,6,FALSE)="","",VLOOKUP(A221,'Eclusée - Schwall-Sunk'!$A$2:$F$273,6,FALSE))</f>
        <v>Non affecté / nicht betroffen</v>
      </c>
      <c r="BB221" s="751">
        <f>IF(VLOOKUP(A221,'Revitalisation-Revitalisierung'!$A$4:$Z$275,5,FALSE)="","",VLOOKUP(A221,'Revitalisation-Revitalisierung'!$A$4:$Z$275,5,FALSE))</f>
        <v>-1.9454545454545453</v>
      </c>
      <c r="BC221" s="752">
        <f>IF(VLOOKUP(A221,'Revitalisation-Revitalisierung'!$A$4:$Z$275,6,FALSE)="","",VLOOKUP(A221,'Revitalisation-Revitalisierung'!$A$4:$Z$275,6,FALSE))</f>
        <v>7.568457653392735</v>
      </c>
      <c r="BD221" s="752">
        <f>IF(VLOOKUP(A221,'Revitalisation-Revitalisierung'!$A$4:$Z$275,7,FALSE)="","",VLOOKUP(A221,'Revitalisation-Revitalisierung'!$A$4:$Z$275,7,FALSE))</f>
        <v>9.545454545454545</v>
      </c>
      <c r="BE221" s="753" t="str">
        <f>IF(VLOOKUP(A221,'Revitalisation-Revitalisierung'!$A$4:$Z$275,8,FALSE)="","",VLOOKUP(A221,'Revitalisation-Revitalisierung'!$A$4:$Z$275,8,FALSE))</f>
        <v>peu nécessaire, facile</v>
      </c>
      <c r="BF221" s="754" t="str">
        <f>IF(VLOOKUP(A221,'Revitalisation-Revitalisierung'!$A$4:$Z$275,9,FALSE)="","",VLOOKUP(A221,'Revitalisation-Revitalisierung'!$A$4:$Z$275,9,FALSE))</f>
        <v>nicht nötig</v>
      </c>
      <c r="BG221" s="754" t="str">
        <f>IF(VLOOKUP(A221,'Revitalisation-Revitalisierung'!$A$4:$Z$275,10,FALSE)="","",VLOOKUP(A221,'Revitalisation-Revitalisierung'!$A$4:$Z$275,10,FALSE))</f>
        <v>K1</v>
      </c>
      <c r="BH221" s="755" t="str">
        <f>IF(VLOOKUP(A221,'Revitalisation-Revitalisierung'!$A$4:$Z$275,11,FALSE)="","",VLOOKUP(A221,'Revitalisation-Revitalisierung'!$A$4:$Z$275,11,FALSE))</f>
        <v/>
      </c>
      <c r="BI221" s="756" t="str">
        <f>IF(VLOOKUP(A221,'Revitalisation-Revitalisierung'!$A$4:$Z$275,12,FALSE)="","",VLOOKUP(A221,'Revitalisation-Revitalisierung'!$A$4:$Z$275,12,FALSE))</f>
        <v/>
      </c>
      <c r="BJ221" s="788" t="str">
        <f>IF(VLOOKUP(A221,'Revitalisation-Revitalisierung'!$A$4:$Z$275,13,FALSE)="","",VLOOKUP(A221,'Revitalisation-Revitalisierung'!$A$4:$Z$275,13,FALSE))</f>
        <v>Partiellement nécessaire, facile / teilweise nötig, einfach</v>
      </c>
      <c r="BK221" s="870" t="str">
        <f>IF(VLOOKUP(A221,'Revitalisation-Revitalisierung'!$A$4:$Z$275,14,FALSE)="","",VLOOKUP(A221,'Revitalisation-Revitalisierung'!$A$4:$Z$275,14,FALSE))</f>
        <v>a</v>
      </c>
      <c r="BL221" s="758" t="str">
        <f>IF(VLOOKUP(A221,'Revitalisation-Revitalisierung'!$A$4:$Z$275,15,FALSE)="","",VLOOKUP(A221,'Revitalisation-Revitalisierung'!$A$4:$Z$275,15,FALSE))</f>
        <v>gross</v>
      </c>
      <c r="BM221" s="759" t="str">
        <f>IF(VLOOKUP(A221,'Revitalisation-Revitalisierung'!$A$4:$Z$275,16,FALSE)="","",VLOOKUP(A221,'Revitalisation-Revitalisierung'!$A$4:$Z$275,16,FALSE))</f>
        <v>gross</v>
      </c>
      <c r="BN221" s="759" t="str">
        <f>IF(VLOOKUP(A221,'Revitalisation-Revitalisierung'!$A$4:$Z$275,17,FALSE)="","",VLOOKUP(A221,'Revitalisation-Revitalisierung'!$A$4:$Z$275,17,FALSE))</f>
        <v>Priorität 1 (2018)</v>
      </c>
      <c r="BO221" s="760" t="str">
        <f>IF(VLOOKUP(A221,'Revitalisation-Revitalisierung'!$A$4:$Z$275,18,FALSE)="","",VLOOKUP(A221,'Revitalisation-Revitalisierung'!$A$4:$Z$275,18,FALSE))</f>
        <v>Très nécessaire, facile / unbedingt nötig, einfach</v>
      </c>
      <c r="BP221" s="761" t="str">
        <f>IF(VLOOKUP(A221,'Revitalisation-Revitalisierung'!$A$4:$Z$275,19,FALSE)="","",VLOOKUP(A221,'Revitalisation-Revitalisierung'!$A$4:$Z$275,19,FALSE))</f>
        <v>Très nécessaire, facile / unbedingt nötig, einfach</v>
      </c>
      <c r="BQ221" s="759" t="str">
        <f>IF(VLOOKUP(A221,'Revitalisation-Revitalisierung'!$A$4:$Z$275,20,FALSE)="","",VLOOKUP(A221,'Revitalisation-Revitalisierung'!$A$4:$Z$275,20,FALSE))</f>
        <v>c</v>
      </c>
      <c r="BR221" s="759" t="str">
        <f>IF(VLOOKUP(A221,'Revitalisation-Revitalisierung'!$A$4:$Z$275,21,FALSE)="","",VLOOKUP(A221,'Revitalisation-Revitalisierung'!$A$4:$Z$275,21,FALSE))</f>
        <v/>
      </c>
      <c r="BS221" s="762" t="str">
        <f>IF(VLOOKUP(A221,'Revitalisation-Revitalisierung'!$A$4:$Z$275,22,FALSE)="","",VLOOKUP(A221,'Revitalisation-Revitalisierung'!$A$4:$Z$275,22,FALSE))</f>
        <v/>
      </c>
      <c r="BT221" s="700" t="str">
        <f>IF(VLOOKUP(A221,'Revitalisation-Revitalisierung'!$A$4:$Z$275,23,FALSE)="","",VLOOKUP(A221,'Revitalisation-Revitalisierung'!$A$4:$Z$275,23,FALSE))</f>
        <v/>
      </c>
      <c r="BU221" s="699" t="str">
        <f>IF(VLOOKUP(A221,'Revitalisation-Revitalisierung'!$A$4:$Z$275,24,FALSE)="","",VLOOKUP(A221,'Revitalisation-Revitalisierung'!$A$4:$Z$275,24,FALSE))</f>
        <v>Das Objekt Nr. 342 „Bibermüli“ ist schmal und grenzt an intensiv genutzte Landwirtschaftsflächen. Der Kanton hat ein grosses Grundstück in der angrenzenden Landwirtschaftszone erworben. Die Äcker wurden stillgelegt und es ist vorgesehen, zwei Flachweiher anzulegen. Im Mündungsbereich der biber in den Rhein wurde bereits vor ein paar Jahren eine grosse Flutmulde auf Ackerland angelegt.</v>
      </c>
      <c r="BV221" s="761" t="str">
        <f>IF(VLOOKUP(A221,'Revitalisation-Revitalisierung'!$A$4:$Z$275,25,FALSE)="","",VLOOKUP(A221,'Revitalisation-Revitalisierung'!$A$4:$Z$275,25,FALSE))</f>
        <v>Très nécessaire, facile / unbedingt nötig, einfach</v>
      </c>
      <c r="BW221" s="871" t="str">
        <f>IF(VLOOKUP(A221,'Revitalisation-Revitalisierung'!$A$4:$AA$275,27,FALSE)="","",VLOOKUP(A221,'Revitalisation-Revitalisierung'!$A$4:$AA$275,27,FALSE))</f>
        <v>a</v>
      </c>
    </row>
    <row r="222" spans="1:75" ht="76.900000000000006" customHeight="1" x14ac:dyDescent="0.25">
      <c r="A222" s="935">
        <v>343</v>
      </c>
      <c r="B222" s="856">
        <f>IF(VLOOKUP(A222,'Données de base - Grunddaten'!$A$2:$M$297,2,FALSE)="","",VLOOKUP(A222,'Données de base - Grunddaten'!$A$2:$M$297,2,FALSE))</f>
        <v>1</v>
      </c>
      <c r="C222" s="857" t="str">
        <f>IF(VLOOKUP(A222,'Données de base - Grunddaten'!$A$2:$M$297,3,FALSE)="","",VLOOKUP(A222,'Données de base - Grunddaten'!$A$2:$M$297,3,FALSE))</f>
        <v>Freienstein–Tössegg</v>
      </c>
      <c r="D222" s="857" t="str">
        <f>IF(VLOOKUP(A222,'Données de base - Grunddaten'!$A$2:$M$297,4,FALSE)="","",VLOOKUP(A222,'Données de base - Grunddaten'!$A$2:$M$297,4,FALSE))</f>
        <v>Töss</v>
      </c>
      <c r="E222" s="857" t="str">
        <f>IF(VLOOKUP(A222,'Données de base - Grunddaten'!$A$2:$M$297,5,FALSE)="","",VLOOKUP(A222,'Données de base - Grunddaten'!$A$2:$M$297,5,FALSE))</f>
        <v>ZH</v>
      </c>
      <c r="F222" s="857" t="str">
        <f>IF(VLOOKUP(A222,'Données de base - Grunddaten'!$A$2:$M$297,6,FALSE)="","",VLOOKUP(A222,'Données de base - Grunddaten'!$A$2:$M$297,6,FALSE))</f>
        <v>Bassins lémanique et rhénan, Plateau oriental</v>
      </c>
      <c r="G222" s="857" t="str">
        <f>IF(VLOOKUP(A222,'Données de base - Grunddaten'!$A$2:$M$297,7,FALSE)="","",VLOOKUP(A222,'Données de base - Grunddaten'!$A$2:$M$297,7,FALSE))</f>
        <v>Collinéen</v>
      </c>
      <c r="H222" s="857">
        <f>IF(VLOOKUP(A222,'Données de base - Grunddaten'!$A$2:$M$297,8,FALSE)="","",VLOOKUP(A222,'Données de base - Grunddaten'!$A$2:$M$297,8,FALSE))</f>
        <v>340</v>
      </c>
      <c r="I222" s="857">
        <f>IF(VLOOKUP(A222,'Données de base - Grunddaten'!$A$2:$M$297,9,FALSE)="","",VLOOKUP(A222,'Données de base - Grunddaten'!$A$2:$M$297,9,FALSE))</f>
        <v>2003</v>
      </c>
      <c r="J222" s="857">
        <f>IF(VLOOKUP(A222,'Données de base - Grunddaten'!$A$2:$M$297,10,FALSE)="","",VLOOKUP(A222,'Données de base - Grunddaten'!$A$2:$M$297,10,FALSE))</f>
        <v>51</v>
      </c>
      <c r="K222" s="857" t="str">
        <f>IF(VLOOKUP(A222,'Données de base - Grunddaten'!$A$2:$M$297,11,FALSE)="","",VLOOKUP(A222,'Données de base - Grunddaten'!$A$2:$M$297,11,FALSE))</f>
        <v>Cours d'eau naturels de l'étage collinéen du Moyen-Pays</v>
      </c>
      <c r="L222" s="857" t="str">
        <f>IF(VLOOKUP(A222,'Données de base - Grunddaten'!$A$2:$M$297,12,FALSE)="","",VLOOKUP(A222,'Données de base - Grunddaten'!$A$2:$M$297,12,FALSE))</f>
        <v>en méandres migrants</v>
      </c>
      <c r="M222" s="858" t="str">
        <f>IF(VLOOKUP(A222,'Données de base - Grunddaten'!$A$2:$M$297,13,FALSE)="","",VLOOKUP(A222,'Données de base - Grunddaten'!$A$2:$M$297,13,FALSE))</f>
        <v>en méandres migrants</v>
      </c>
      <c r="N222" s="872" t="str">
        <f>IF(VLOOKUP(A222,'Charriage - Geschiebehaushalt'!$A$4:$R$275,5,FALSE)="","",VLOOKUP(A222,'Charriage - Geschiebehaushalt'!$A$4:$R$275,5,FALSE))</f>
        <v>pertinent</v>
      </c>
      <c r="O222" s="881" t="str">
        <f>IF(VLOOKUP(A222,'Charriage - Geschiebehaushalt'!$A$4:$R$275,6,FALSE)="","",VLOOKUP(A222,'Charriage - Geschiebehaushalt'!$A$4:$R$275,6,FALSE))</f>
        <v>non documenté</v>
      </c>
      <c r="P222" s="874" t="str">
        <f>IF(VLOOKUP(A222,'Charriage - Geschiebehaushalt'!$A$4:$R$275,7,FALSE)="","",VLOOKUP(A222,'Charriage - Geschiebehaushalt'!$A$4:$R$275,7,FALSE))</f>
        <v/>
      </c>
      <c r="Q222" s="874" t="str">
        <f>IF(VLOOKUP(A222,'Charriage - Geschiebehaushalt'!$A$4:$R$275,8,FALSE)="","",VLOOKUP(A222,'Charriage - Geschiebehaushalt'!$A$4:$R$275,8,FALSE))</f>
        <v>non documenté</v>
      </c>
      <c r="R222" s="875">
        <f>IF(VLOOKUP(A222,'Charriage - Geschiebehaushalt'!$A$4:$R$275,9,FALSE)="","",VLOOKUP(A222,'Charriage - Geschiebehaushalt'!$A$4:$R$275,9,FALSE))</f>
        <v>9.8222462375855704E-2</v>
      </c>
      <c r="S222" s="876" t="str">
        <f>IF(VLOOKUP(A222,'Charriage - Geschiebehaushalt'!$A$4:$R$275,10,FALSE)="","",VLOOKUP(A222,'Charriage - Geschiebehaushalt'!$A$4:$R$275,10,FALSE))</f>
        <v>pas ou faiblement entravé</v>
      </c>
      <c r="T222" s="875">
        <f>IF(VLOOKUP(A222,'Charriage - Geschiebehaushalt'!$A$4:$R$275,11,FALSE)="","",VLOOKUP(A222,'Charriage - Geschiebehaushalt'!$A$4:$R$275,11,FALSE))</f>
        <v>0.12830680959999999</v>
      </c>
      <c r="U222" s="876" t="str">
        <f>IF(VLOOKUP(A222,'Charriage - Geschiebehaushalt'!$A$4:$R$275,12,FALSE)="","",VLOOKUP(A222,'Charriage - Geschiebehaushalt'!$A$4:$R$275,12,FALSE))</f>
        <v>déficit dans les formations pionnières</v>
      </c>
      <c r="V222" s="877" t="str">
        <f>IF(VLOOKUP(A222,'Charriage - Geschiebehaushalt'!$A$4:$R$275,13,FALSE)="","",VLOOKUP(A222,'Charriage - Geschiebehaushalt'!$A$4:$R$275,13,FALSE))</f>
        <v>Rivière sur molase. Naturellement peu de charriage</v>
      </c>
      <c r="W222" s="877" t="str">
        <f>IF(VLOOKUP(A222,'Charriage - Geschiebehaushalt'!$A$4:$R$275,14,FALSE)="","",VLOOKUP(A222,'Charriage - Geschiebehaushalt'!$A$4:$R$275,14,FALSE))</f>
        <v>A vérifier</v>
      </c>
      <c r="X222" s="877" t="str">
        <f>IF(VLOOKUP(A222,'Charriage - Geschiebehaushalt'!$A$4:$R$275,15,FALSE)="","",VLOOKUP(A222,'Charriage - Geschiebehaushalt'!$A$4:$R$275,15,FALSE))</f>
        <v xml:space="preserve">cours complétement endigué en amont avec de nombreux seuils </v>
      </c>
      <c r="Y222" s="882" t="str">
        <f>IF(VLOOKUP(A222,'Charriage - Geschiebehaushalt'!$A$4:$R$275,16,FALSE)="","",VLOOKUP(A222,'Charriage - Geschiebehaushalt'!$A$4:$R$275,16,FALSE))</f>
        <v>charriage présumé faiblement perturbé</v>
      </c>
      <c r="Z222" s="763" t="str">
        <f>IF(VLOOKUP(A222,'Charriage - Geschiebehaushalt'!$A$4:$R$275,17,FALSE)="","",VLOOKUP(A222,'Charriage - Geschiebehaushalt'!$A$4:$R$275,17,FALSE))</f>
        <v>Charriage présumé faiblement perturbé / Geschiebe vermutlich leicht beeinträchtigt</v>
      </c>
      <c r="AA222" s="880" t="str">
        <f>IF(VLOOKUP(A222,'Charriage - Geschiebehaushalt'!$A$4:$R$275,18,FALSE)="","",VLOOKUP(A222,'Charriage - Geschiebehaushalt'!$A$4:$R$275,18,FALSE))</f>
        <v>b</v>
      </c>
      <c r="AB222" s="737" t="str">
        <f>IF(VLOOKUP(A222,'Charriage - Geschiebehaushalt'!$A$4:$AC$275,19,FALSE)="","",VLOOKUP(A222,'Charriage - Geschiebehaushalt'!$A$4:$AC$275,19,FALSE))</f>
        <v>moyen</v>
      </c>
      <c r="AC222" s="738" t="str">
        <f>IF(VLOOKUP(A222,'Charriage - Geschiebehaushalt'!$A$4:$AC$275,20,FALSE)="","",VLOOKUP(A222,'Charriage - Geschiebehaushalt'!$A$4:$AC$275,20,FALSE))</f>
        <v>moyen</v>
      </c>
      <c r="AD222" s="764" t="str">
        <f>IF(VLOOKUP(A222,'Charriage - Geschiebehaushalt'!$A$4:$AC$275,21,FALSE)="","",VLOOKUP(A222,'Charriage - Geschiebehaushalt'!$A$4:$AC$275,21,FALSE))</f>
        <v>21-50%</v>
      </c>
      <c r="AE222" s="772" t="str">
        <f>IF(VLOOKUP(A222,'Charriage - Geschiebehaushalt'!$A$4:$AC$275,22,FALSE)="","",VLOOKUP(A222,'Charriage - Geschiebehaushalt'!$A$4:$AC$275,22,FALSE))</f>
        <v>21-50%</v>
      </c>
      <c r="AF222" s="787" t="str">
        <f>IF(VLOOKUP(A222,'Charriage - Geschiebehaushalt'!$A$4:$AC$275,23,FALSE)="","",VLOOKUP(A222,'Charriage - Geschiebehaushalt'!$A$4:$AC$275,23,FALSE))</f>
        <v>d</v>
      </c>
      <c r="AG222" s="765" t="str">
        <f>IF(VLOOKUP(A222,'Charriage - Geschiebehaushalt'!$A$4:$AC$275,24,FALSE)="","",VLOOKUP(A222,'Charriage - Geschiebehaushalt'!$A$4:$AC$275,24,FALSE))</f>
        <v/>
      </c>
      <c r="AH222" s="764" t="str">
        <f>IF(VLOOKUP(A222,'Charriage - Geschiebehaushalt'!$A$4:$AC$275,25,FALSE)="","",VLOOKUP(A222,'Charriage - Geschiebehaushalt'!$A$4:$AC$275,25,FALSE))</f>
        <v/>
      </c>
      <c r="AI222" s="433" t="str">
        <f>IF(VLOOKUP(A222,'Charriage - Geschiebehaushalt'!$A$4:$AC$275,26,FALSE)="","",VLOOKUP(A222,'Charriage - Geschiebehaushalt'!$A$4:$AC$275,26,FALSE))</f>
        <v/>
      </c>
      <c r="AJ222" s="436" t="str">
        <f>IF(VLOOKUP(A222,'Charriage - Geschiebehaushalt'!$A$4:$AC$275,27,FALSE)="","",VLOOKUP(A222,'Charriage - Geschiebehaushalt'!$A$4:$AC$275,27,FALSE))</f>
        <v>Die Beurteilungen erscheinen uns nachvollziehbar und stimmen mit den kantonalen Einschätzungen</v>
      </c>
      <c r="AK222" s="814" t="str">
        <f>IF(VLOOKUP(A222,'Charriage - Geschiebehaushalt'!$A$4:$AC$275,28,FALSE)="","",VLOOKUP(A222,'Charriage - Geschiebehaushalt'!$A$4:$AC$275,28,FALSE))</f>
        <v>21-50%</v>
      </c>
      <c r="AL222" s="1285" t="str">
        <f>IF(VLOOKUP(A222,'Charriage - Geschiebehaushalt'!$A$4:$AD$275,30,FALSE)="","",VLOOKUP(A222,'Charriage - Geschiebehaushalt'!$A$4:$AD$275,30,FALSE))</f>
        <v>a</v>
      </c>
      <c r="AM222" s="1279" t="str">
        <f>IF(VLOOKUP(A222,'Débit - Abfluss'!$A$4:$K$275,5,FALSE)="","",VLOOKUP(A222,'Débit - Abfluss'!$A$4:$M$275,5,FALSE))</f>
        <v>100%</v>
      </c>
      <c r="AN222" s="868" t="str">
        <f>IF(VLOOKUP(A222,'Débit - Abfluss'!$A$4:$K$275,6,FALSE)="","",VLOOKUP(A222,'Débit - Abfluss'!$A$4:$M$275,6,FALSE))</f>
        <v>aucune information supplémentaire</v>
      </c>
      <c r="AO222" s="869" t="str">
        <f>IF(VLOOKUP(A222,'Débit - Abfluss'!$A$4:$K$275,7,FALSE)="","",VLOOKUP(A222,'Débit - Abfluss'!$A$4:$M$275,7,FALSE))</f>
        <v>aucune information supplémentaire</v>
      </c>
      <c r="AP222" s="766" t="str">
        <f>IF(VLOOKUP(A222,'Débit - Abfluss'!$A$4:$K$275,8,FALSE)="","",VLOOKUP(A222,'Débit - Abfluss'!$A$4:$M$275,8,FALSE))</f>
        <v>100%</v>
      </c>
      <c r="AQ222" s="742" t="str">
        <f>IF(VLOOKUP(A222,'Débit - Abfluss'!$A$4:$K$275,9,FALSE)="","",VLOOKUP(A222,'Débit - Abfluss'!$A$4:$M$275,9,FALSE))</f>
        <v>-</v>
      </c>
      <c r="AR222" s="767" t="str">
        <f>IF(VLOOKUP(A222,'Débit - Abfluss'!$A$4:$K$275,10,FALSE)="","",VLOOKUP(A222,'Débit - Abfluss'!$A$4:$M$275,10,FALSE))</f>
        <v>100%</v>
      </c>
      <c r="AS222" s="767" t="str">
        <f>IF(VLOOKUP(A222,'Débit - Abfluss'!$A$4:$K$275,11,FALSE)="","",VLOOKUP(A222,'Débit - Abfluss'!$A$4:$M$275,11,FALSE))</f>
        <v/>
      </c>
      <c r="AT222" s="744" t="str">
        <f>IF(VLOOKUP(A222,'Débit - Abfluss'!$A$4:$Q$275,12,FALSE)="","",VLOOKUP(A222,'Débit - Abfluss'!$A$4:$Q$275,12,FALSE))</f>
        <v/>
      </c>
      <c r="AU222" s="686" t="str">
        <f>IF(VLOOKUP(A222,'Débit - Abfluss'!$A$4:$Q$275,13,FALSE)="","",VLOOKUP(A222,'Débit - Abfluss'!$A$4:$Q$275,13,FALSE))</f>
        <v>Die Beurteilungen erscheinen uns nachvollziehbar und stimmen mit den kantonalen Einschätzungen</v>
      </c>
      <c r="AV222" s="746" t="str">
        <f>IF(VLOOKUP(A222,'Débit - Abfluss'!$A$4:$Q$275,14,FALSE)="","",VLOOKUP(A222,'Débit - Abfluss'!$A$4:$Q$275,14,FALSE))</f>
        <v/>
      </c>
      <c r="AW222" s="768" t="str">
        <f>IF(VLOOKUP(A222,'Débit - Abfluss'!$A$4:$Q$275,15,FALSE)="","",VLOOKUP(A222,'Débit - Abfluss'!$A$4:$Q$275,15,FALSE))</f>
        <v/>
      </c>
      <c r="AX222" s="677" t="str">
        <f>IF(VLOOKUP(A222,'Débit - Abfluss'!$A$4:$Q$275,16,FALSE)="","",VLOOKUP(A222,'Débit - Abfluss'!$A$4:$Q$275,16,FALSE))</f>
        <v/>
      </c>
      <c r="AY222" s="769" t="str">
        <f>IF(VLOOKUP(A222,'Débit - Abfluss'!$A$4:$Q$275,17,FALSE)="","",VLOOKUP(A222,'Débit - Abfluss'!$A$4:$Q$275,17,FALSE))</f>
        <v>100%</v>
      </c>
      <c r="AZ222" s="749" t="str">
        <f>IF(VLOOKUP(A222,'Eclusée - Schwall-Sunk'!$A$2:$F$273,5,FALSE)="","",VLOOKUP(A222,'Eclusée - Schwall-Sunk'!$A$2:$F$273,5,FALSE))</f>
        <v/>
      </c>
      <c r="BA222" s="750" t="str">
        <f>IF(VLOOKUP(A222,'Eclusée - Schwall-Sunk'!$A$2:$F$273,6,FALSE)="","",VLOOKUP(A222,'Eclusée - Schwall-Sunk'!$A$2:$F$273,6,FALSE))</f>
        <v>Non affecté / nicht betroffen</v>
      </c>
      <c r="BB222" s="751">
        <f>IF(VLOOKUP(A222,'Revitalisation-Revitalisierung'!$A$4:$Z$275,5,FALSE)="","",VLOOKUP(A222,'Revitalisation-Revitalisierung'!$A$4:$Z$275,5,FALSE))</f>
        <v>-4.0636363636363635</v>
      </c>
      <c r="BC222" s="752">
        <f>IF(VLOOKUP(A222,'Revitalisation-Revitalisierung'!$A$4:$Z$275,6,FALSE)="","",VLOOKUP(A222,'Revitalisation-Revitalisierung'!$A$4:$Z$275,6,FALSE))</f>
        <v>7.3329410523176879</v>
      </c>
      <c r="BD222" s="752">
        <f>IF(VLOOKUP(A222,'Revitalisation-Revitalisierung'!$A$4:$Z$275,7,FALSE)="","",VLOOKUP(A222,'Revitalisation-Revitalisierung'!$A$4:$Z$275,7,FALSE))</f>
        <v>11.363636363636363</v>
      </c>
      <c r="BE222" s="753" t="str">
        <f>IF(VLOOKUP(A222,'Revitalisation-Revitalisierung'!$A$4:$Z$275,8,FALSE)="","",VLOOKUP(A222,'Revitalisation-Revitalisierung'!$A$4:$Z$275,8,FALSE))</f>
        <v>peu nécessaire, facile</v>
      </c>
      <c r="BF222" s="754" t="str">
        <f>IF(VLOOKUP(A222,'Revitalisation-Revitalisierung'!$A$4:$Z$275,9,FALSE)="","",VLOOKUP(A222,'Revitalisation-Revitalisierung'!$A$4:$Z$275,9,FALSE))</f>
        <v>nicht nötig</v>
      </c>
      <c r="BG222" s="754" t="str">
        <f>IF(VLOOKUP(A222,'Revitalisation-Revitalisierung'!$A$4:$Z$275,10,FALSE)="","",VLOOKUP(A222,'Revitalisation-Revitalisierung'!$A$4:$Z$275,10,FALSE))</f>
        <v>K2</v>
      </c>
      <c r="BH222" s="755" t="str">
        <f>IF(VLOOKUP(A222,'Revitalisation-Revitalisierung'!$A$4:$Z$275,11,FALSE)="","",VLOOKUP(A222,'Revitalisation-Revitalisierung'!$A$4:$Z$275,11,FALSE))</f>
        <v/>
      </c>
      <c r="BI222" s="756" t="str">
        <f>IF(VLOOKUP(A222,'Revitalisation-Revitalisierung'!$A$4:$Z$275,12,FALSE)="","",VLOOKUP(A222,'Revitalisation-Revitalisierung'!$A$4:$Z$275,12,FALSE))</f>
        <v/>
      </c>
      <c r="BJ222" s="788" t="str">
        <f>IF(VLOOKUP(A222,'Revitalisation-Revitalisierung'!$A$4:$Z$275,13,FALSE)="","",VLOOKUP(A222,'Revitalisation-Revitalisierung'!$A$4:$Z$275,13,FALSE))</f>
        <v>Partiellement nécessaire, facile / teilweise nötig, einfach</v>
      </c>
      <c r="BK222" s="870" t="str">
        <f>IF(VLOOKUP(A222,'Revitalisation-Revitalisierung'!$A$4:$Z$275,14,FALSE)="","",VLOOKUP(A222,'Revitalisation-Revitalisierung'!$A$4:$Z$275,14,FALSE))</f>
        <v>a</v>
      </c>
      <c r="BL222" s="758" t="str">
        <f>IF(VLOOKUP(A222,'Revitalisation-Revitalisierung'!$A$4:$Z$275,15,FALSE)="","",VLOOKUP(A222,'Revitalisation-Revitalisierung'!$A$4:$Z$275,15,FALSE))</f>
        <v>gross/mittel</v>
      </c>
      <c r="BM222" s="759" t="str">
        <f>IF(VLOOKUP(A222,'Revitalisation-Revitalisierung'!$A$4:$Z$275,16,FALSE)="","",VLOOKUP(A222,'Revitalisation-Revitalisierung'!$A$4:$Z$275,16,FALSE))</f>
        <v>gering</v>
      </c>
      <c r="BN222" s="759">
        <f>IF(VLOOKUP(A222,'Revitalisation-Revitalisierung'!$A$4:$Z$275,17,FALSE)="","",VLOOKUP(A222,'Revitalisation-Revitalisierung'!$A$4:$Z$275,17,FALSE))</f>
        <v>3</v>
      </c>
      <c r="BO222" s="760" t="str">
        <f>IF(VLOOKUP(A222,'Revitalisation-Revitalisierung'!$A$4:$Z$275,18,FALSE)="","",VLOOKUP(A222,'Revitalisation-Revitalisierung'!$A$4:$Z$275,18,FALSE))</f>
        <v>Non nécessaire / nicht nötig</v>
      </c>
      <c r="BP222" s="761" t="str">
        <f>IF(VLOOKUP(A222,'Revitalisation-Revitalisierung'!$A$4:$Z$275,19,FALSE)="","",VLOOKUP(A222,'Revitalisation-Revitalisierung'!$A$4:$Z$275,19,FALSE))</f>
        <v>Non nécessaire / nicht nötig</v>
      </c>
      <c r="BQ222" s="759" t="str">
        <f>IF(VLOOKUP(A222,'Revitalisation-Revitalisierung'!$A$4:$Z$275,20,FALSE)="","",VLOOKUP(A222,'Revitalisation-Revitalisierung'!$A$4:$Z$275,20,FALSE))</f>
        <v>c</v>
      </c>
      <c r="BR222" s="759" t="str">
        <f>IF(VLOOKUP(A222,'Revitalisation-Revitalisierung'!$A$4:$Z$275,21,FALSE)="","",VLOOKUP(A222,'Revitalisation-Revitalisierung'!$A$4:$Z$275,21,FALSE))</f>
        <v/>
      </c>
      <c r="BS222" s="762" t="str">
        <f>IF(VLOOKUP(A222,'Revitalisation-Revitalisierung'!$A$4:$Z$275,22,FALSE)="","",VLOOKUP(A222,'Revitalisation-Revitalisierung'!$A$4:$Z$275,22,FALSE))</f>
        <v/>
      </c>
      <c r="BT222" s="700" t="str">
        <f>IF(VLOOKUP(A222,'Revitalisation-Revitalisierung'!$A$4:$Z$275,23,FALSE)="","",VLOOKUP(A222,'Revitalisation-Revitalisierung'!$A$4:$Z$275,23,FALSE))</f>
        <v>LIRE EMAIL</v>
      </c>
      <c r="BU222" s="699" t="str">
        <f>IF(VLOOKUP(A222,'Revitalisation-Revitalisierung'!$A$4:$Z$275,24,FALSE)="","",VLOOKUP(A222,'Revitalisation-Revitalisierung'!$A$4:$Z$275,24,FALSE))</f>
        <v>Revitalisierungen, die die Auenlebensräume tatsächlich in grösserem Umfeld wieder in einen funktionierenden, dynamischen Zustand bringen, sind im dicht bebauten Kanton Zürich kaum mehr umsetzbar.</v>
      </c>
      <c r="BV222" s="761" t="str">
        <f>IF(VLOOKUP(A222,'Revitalisation-Revitalisierung'!$A$4:$Z$275,25,FALSE)="","",VLOOKUP(A222,'Revitalisation-Revitalisierung'!$A$4:$Z$275,25,FALSE))</f>
        <v>Non nécessaire / nicht nötig</v>
      </c>
      <c r="BW222" s="871" t="str">
        <f>IF(VLOOKUP(A222,'Revitalisation-Revitalisierung'!$A$4:$AA$275,27,FALSE)="","",VLOOKUP(A222,'Revitalisation-Revitalisierung'!$A$4:$AA$275,27,FALSE))</f>
        <v>a</v>
      </c>
    </row>
    <row r="223" spans="1:75" ht="72.599999999999994" customHeight="1" x14ac:dyDescent="0.25">
      <c r="A223" s="935">
        <v>344</v>
      </c>
      <c r="B223" s="856">
        <f>IF(VLOOKUP(A223,'Données de base - Grunddaten'!$A$2:$M$297,2,FALSE)="","",VLOOKUP(A223,'Données de base - Grunddaten'!$A$2:$M$297,2,FALSE))</f>
        <v>1</v>
      </c>
      <c r="C223" s="857" t="str">
        <f>IF(VLOOKUP(A223,'Données de base - Grunddaten'!$A$2:$M$297,3,FALSE)="","",VLOOKUP(A223,'Données de base - Grunddaten'!$A$2:$M$297,3,FALSE))</f>
        <v>Dättlikon–Freienstein</v>
      </c>
      <c r="D223" s="857" t="str">
        <f>IF(VLOOKUP(A223,'Données de base - Grunddaten'!$A$2:$M$297,4,FALSE)="","",VLOOKUP(A223,'Données de base - Grunddaten'!$A$2:$M$297,4,FALSE))</f>
        <v>Töss</v>
      </c>
      <c r="E223" s="857" t="str">
        <f>IF(VLOOKUP(A223,'Données de base - Grunddaten'!$A$2:$M$297,5,FALSE)="","",VLOOKUP(A223,'Données de base - Grunddaten'!$A$2:$M$297,5,FALSE))</f>
        <v>ZH</v>
      </c>
      <c r="F223" s="857" t="str">
        <f>IF(VLOOKUP(A223,'Données de base - Grunddaten'!$A$2:$M$297,6,FALSE)="","",VLOOKUP(A223,'Données de base - Grunddaten'!$A$2:$M$297,6,FALSE))</f>
        <v>Plateau oriental</v>
      </c>
      <c r="G223" s="857" t="str">
        <f>IF(VLOOKUP(A223,'Données de base - Grunddaten'!$A$2:$M$297,7,FALSE)="","",VLOOKUP(A223,'Données de base - Grunddaten'!$A$2:$M$297,7,FALSE))</f>
        <v>Collinéen</v>
      </c>
      <c r="H223" s="857">
        <f>IF(VLOOKUP(A223,'Données de base - Grunddaten'!$A$2:$M$297,8,FALSE)="","",VLOOKUP(A223,'Données de base - Grunddaten'!$A$2:$M$297,8,FALSE))</f>
        <v>370</v>
      </c>
      <c r="I223" s="857">
        <f>IF(VLOOKUP(A223,'Données de base - Grunddaten'!$A$2:$M$297,9,FALSE)="","",VLOOKUP(A223,'Données de base - Grunddaten'!$A$2:$M$297,9,FALSE))</f>
        <v>2003</v>
      </c>
      <c r="J223" s="857">
        <f>IF(VLOOKUP(A223,'Données de base - Grunddaten'!$A$2:$M$297,10,FALSE)="","",VLOOKUP(A223,'Données de base - Grunddaten'!$A$2:$M$297,10,FALSE))</f>
        <v>51</v>
      </c>
      <c r="K223" s="857" t="str">
        <f>IF(VLOOKUP(A223,'Données de base - Grunddaten'!$A$2:$M$297,11,FALSE)="","",VLOOKUP(A223,'Données de base - Grunddaten'!$A$2:$M$297,11,FALSE))</f>
        <v>Cours d'eau naturels de l'étage collinéen du Moyen-Pays</v>
      </c>
      <c r="L223" s="857" t="str">
        <f>IF(VLOOKUP(A223,'Données de base - Grunddaten'!$A$2:$M$297,12,FALSE)="","",VLOOKUP(A223,'Données de base - Grunddaten'!$A$2:$M$297,12,FALSE))</f>
        <v>en méandres migrants</v>
      </c>
      <c r="M223" s="858" t="str">
        <f>IF(VLOOKUP(A223,'Données de base - Grunddaten'!$A$2:$M$297,13,FALSE)="","",VLOOKUP(A223,'Données de base - Grunddaten'!$A$2:$M$297,13,FALSE))</f>
        <v>en méandres migrants</v>
      </c>
      <c r="N223" s="872" t="str">
        <f>IF(VLOOKUP(A223,'Charriage - Geschiebehaushalt'!$A$4:$R$275,5,FALSE)="","",VLOOKUP(A223,'Charriage - Geschiebehaushalt'!$A$4:$R$275,5,FALSE))</f>
        <v>pertinent</v>
      </c>
      <c r="O223" s="881" t="str">
        <f>IF(VLOOKUP(A223,'Charriage - Geschiebehaushalt'!$A$4:$R$275,6,FALSE)="","",VLOOKUP(A223,'Charriage - Geschiebehaushalt'!$A$4:$R$275,6,FALSE))</f>
        <v>non documenté</v>
      </c>
      <c r="P223" s="874" t="str">
        <f>IF(VLOOKUP(A223,'Charriage - Geschiebehaushalt'!$A$4:$R$275,7,FALSE)="","",VLOOKUP(A223,'Charriage - Geschiebehaushalt'!$A$4:$R$275,7,FALSE))</f>
        <v/>
      </c>
      <c r="Q223" s="874" t="str">
        <f>IF(VLOOKUP(A223,'Charriage - Geschiebehaushalt'!$A$4:$R$275,8,FALSE)="","",VLOOKUP(A223,'Charriage - Geschiebehaushalt'!$A$4:$R$275,8,FALSE))</f>
        <v>non documenté</v>
      </c>
      <c r="R223" s="875">
        <f>IF(VLOOKUP(A223,'Charriage - Geschiebehaushalt'!$A$4:$R$275,9,FALSE)="","",VLOOKUP(A223,'Charriage - Geschiebehaushalt'!$A$4:$R$275,9,FALSE))</f>
        <v>9.55523030051195E-3</v>
      </c>
      <c r="S223" s="876" t="str">
        <f>IF(VLOOKUP(A223,'Charriage - Geschiebehaushalt'!$A$4:$R$275,10,FALSE)="","",VLOOKUP(A223,'Charriage - Geschiebehaushalt'!$A$4:$R$275,10,FALSE))</f>
        <v>pas ou faiblement entravé</v>
      </c>
      <c r="T223" s="875">
        <f>IF(VLOOKUP(A223,'Charriage - Geschiebehaushalt'!$A$4:$R$275,11,FALSE)="","",VLOOKUP(A223,'Charriage - Geschiebehaushalt'!$A$4:$R$275,11,FALSE))</f>
        <v>0.24403141048999999</v>
      </c>
      <c r="U223" s="876" t="str">
        <f>IF(VLOOKUP(A223,'Charriage - Geschiebehaushalt'!$A$4:$R$275,12,FALSE)="","",VLOOKUP(A223,'Charriage - Geschiebehaushalt'!$A$4:$R$275,12,FALSE))</f>
        <v>déficit dans les formations pionnières</v>
      </c>
      <c r="V223" s="877" t="str">
        <f>IF(VLOOKUP(A223,'Charriage - Geschiebehaushalt'!$A$4:$R$275,13,FALSE)="","",VLOOKUP(A223,'Charriage - Geschiebehaushalt'!$A$4:$R$275,13,FALSE))</f>
        <v>Rivière sur molase. Naturellement peu de charriage</v>
      </c>
      <c r="W223" s="877" t="str">
        <f>IF(VLOOKUP(A223,'Charriage - Geschiebehaushalt'!$A$4:$R$275,14,FALSE)="","",VLOOKUP(A223,'Charriage - Geschiebehaushalt'!$A$4:$R$275,14,FALSE))</f>
        <v>A vérifier</v>
      </c>
      <c r="X223" s="877" t="str">
        <f>IF(VLOOKUP(A223,'Charriage - Geschiebehaushalt'!$A$4:$R$275,15,FALSE)="","",VLOOKUP(A223,'Charriage - Geschiebehaushalt'!$A$4:$R$275,15,FALSE))</f>
        <v>cours complètement endigué abec de nombreux seuils à l'amont</v>
      </c>
      <c r="Y223" s="882" t="str">
        <f>IF(VLOOKUP(A223,'Charriage - Geschiebehaushalt'!$A$4:$R$275,16,FALSE)="","",VLOOKUP(A223,'Charriage - Geschiebehaushalt'!$A$4:$R$275,16,FALSE))</f>
        <v>charriage présumé faiblement perturbé</v>
      </c>
      <c r="Z223" s="763" t="str">
        <f>IF(VLOOKUP(A223,'Charriage - Geschiebehaushalt'!$A$4:$R$275,17,FALSE)="","",VLOOKUP(A223,'Charriage - Geschiebehaushalt'!$A$4:$R$275,17,FALSE))</f>
        <v>Charriage présumé faiblement perturbé / Geschiebe vermutlich leicht beeinträchtigt</v>
      </c>
      <c r="AA223" s="880" t="str">
        <f>IF(VLOOKUP(A223,'Charriage - Geschiebehaushalt'!$A$4:$R$275,18,FALSE)="","",VLOOKUP(A223,'Charriage - Geschiebehaushalt'!$A$4:$R$275,18,FALSE))</f>
        <v>b</v>
      </c>
      <c r="AB223" s="737" t="str">
        <f>IF(VLOOKUP(A223,'Charriage - Geschiebehaushalt'!$A$4:$AC$275,19,FALSE)="","",VLOOKUP(A223,'Charriage - Geschiebehaushalt'!$A$4:$AC$275,19,FALSE))</f>
        <v>moyen</v>
      </c>
      <c r="AC223" s="738" t="str">
        <f>IF(VLOOKUP(A223,'Charriage - Geschiebehaushalt'!$A$4:$AC$275,20,FALSE)="","",VLOOKUP(A223,'Charriage - Geschiebehaushalt'!$A$4:$AC$275,20,FALSE))</f>
        <v>moyen</v>
      </c>
      <c r="AD223" s="764" t="str">
        <f>IF(VLOOKUP(A223,'Charriage - Geschiebehaushalt'!$A$4:$AC$275,21,FALSE)="","",VLOOKUP(A223,'Charriage - Geschiebehaushalt'!$A$4:$AC$275,21,FALSE))</f>
        <v>21-50%</v>
      </c>
      <c r="AE223" s="772" t="str">
        <f>IF(VLOOKUP(A223,'Charriage - Geschiebehaushalt'!$A$4:$AC$275,22,FALSE)="","",VLOOKUP(A223,'Charriage - Geschiebehaushalt'!$A$4:$AC$275,22,FALSE))</f>
        <v>21-50%</v>
      </c>
      <c r="AF223" s="787" t="str">
        <f>IF(VLOOKUP(A223,'Charriage - Geschiebehaushalt'!$A$4:$AC$275,23,FALSE)="","",VLOOKUP(A223,'Charriage - Geschiebehaushalt'!$A$4:$AC$275,23,FALSE))</f>
        <v>d</v>
      </c>
      <c r="AG223" s="765" t="str">
        <f>IF(VLOOKUP(A223,'Charriage - Geschiebehaushalt'!$A$4:$AC$275,24,FALSE)="","",VLOOKUP(A223,'Charriage - Geschiebehaushalt'!$A$4:$AC$275,24,FALSE))</f>
        <v/>
      </c>
      <c r="AH223" s="764" t="str">
        <f>IF(VLOOKUP(A223,'Charriage - Geschiebehaushalt'!$A$4:$AC$275,25,FALSE)="","",VLOOKUP(A223,'Charriage - Geschiebehaushalt'!$A$4:$AC$275,25,FALSE))</f>
        <v/>
      </c>
      <c r="AI223" s="433" t="str">
        <f>IF(VLOOKUP(A223,'Charriage - Geschiebehaushalt'!$A$4:$AC$275,26,FALSE)="","",VLOOKUP(A223,'Charriage - Geschiebehaushalt'!$A$4:$AC$275,26,FALSE))</f>
        <v/>
      </c>
      <c r="AJ223" s="436" t="str">
        <f>IF(VLOOKUP(A223,'Charriage - Geschiebehaushalt'!$A$4:$AC$275,27,FALSE)="","",VLOOKUP(A223,'Charriage - Geschiebehaushalt'!$A$4:$AC$275,27,FALSE))</f>
        <v>Die Beurteilungen erscheinen uns nachvollziehbar und stimmen mit den kantonalen Einschätzungen</v>
      </c>
      <c r="AK223" s="814" t="str">
        <f>IF(VLOOKUP(A223,'Charriage - Geschiebehaushalt'!$A$4:$AC$275,28,FALSE)="","",VLOOKUP(A223,'Charriage - Geschiebehaushalt'!$A$4:$AC$275,28,FALSE))</f>
        <v>21-50%</v>
      </c>
      <c r="AL223" s="1285" t="str">
        <f>IF(VLOOKUP(A223,'Charriage - Geschiebehaushalt'!$A$4:$AD$275,30,FALSE)="","",VLOOKUP(A223,'Charriage - Geschiebehaushalt'!$A$4:$AD$275,30,FALSE))</f>
        <v>a</v>
      </c>
      <c r="AM223" s="1279" t="str">
        <f>IF(VLOOKUP(A223,'Débit - Abfluss'!$A$4:$K$275,5,FALSE)="","",VLOOKUP(A223,'Débit - Abfluss'!$A$4:$M$275,5,FALSE))</f>
        <v>100%</v>
      </c>
      <c r="AN223" s="868" t="str">
        <f>IF(VLOOKUP(A223,'Débit - Abfluss'!$A$4:$K$275,6,FALSE)="","",VLOOKUP(A223,'Débit - Abfluss'!$A$4:$M$275,6,FALSE))</f>
        <v>aucune information supplémentaire</v>
      </c>
      <c r="AO223" s="869" t="str">
        <f>IF(VLOOKUP(A223,'Débit - Abfluss'!$A$4:$K$275,7,FALSE)="","",VLOOKUP(A223,'Débit - Abfluss'!$A$4:$M$275,7,FALSE))</f>
        <v>aucune information supplémentaire</v>
      </c>
      <c r="AP223" s="766" t="str">
        <f>IF(VLOOKUP(A223,'Débit - Abfluss'!$A$4:$K$275,8,FALSE)="","",VLOOKUP(A223,'Débit - Abfluss'!$A$4:$M$275,8,FALSE))</f>
        <v>100%</v>
      </c>
      <c r="AQ223" s="742" t="str">
        <f>IF(VLOOKUP(A223,'Débit - Abfluss'!$A$4:$K$275,9,FALSE)="","",VLOOKUP(A223,'Débit - Abfluss'!$A$4:$M$275,9,FALSE))</f>
        <v>-</v>
      </c>
      <c r="AR223" s="767" t="str">
        <f>IF(VLOOKUP(A223,'Débit - Abfluss'!$A$4:$K$275,10,FALSE)="","",VLOOKUP(A223,'Débit - Abfluss'!$A$4:$M$275,10,FALSE))</f>
        <v>100%</v>
      </c>
      <c r="AS223" s="767" t="str">
        <f>IF(VLOOKUP(A223,'Débit - Abfluss'!$A$4:$K$275,11,FALSE)="","",VLOOKUP(A223,'Débit - Abfluss'!$A$4:$M$275,11,FALSE))</f>
        <v/>
      </c>
      <c r="AT223" s="744" t="str">
        <f>IF(VLOOKUP(A223,'Débit - Abfluss'!$A$4:$Q$275,12,FALSE)="","",VLOOKUP(A223,'Débit - Abfluss'!$A$4:$Q$275,12,FALSE))</f>
        <v/>
      </c>
      <c r="AU223" s="686" t="str">
        <f>IF(VLOOKUP(A223,'Débit - Abfluss'!$A$4:$Q$275,13,FALSE)="","",VLOOKUP(A223,'Débit - Abfluss'!$A$4:$Q$275,13,FALSE))</f>
        <v>Die Beurteilungen erscheinen uns nachvollziehbar und stimmen mit den kantonalen Einschätzungen</v>
      </c>
      <c r="AV223" s="746" t="str">
        <f>IF(VLOOKUP(A223,'Débit - Abfluss'!$A$4:$Q$275,14,FALSE)="","",VLOOKUP(A223,'Débit - Abfluss'!$A$4:$Q$275,14,FALSE))</f>
        <v/>
      </c>
      <c r="AW223" s="768" t="str">
        <f>IF(VLOOKUP(A223,'Débit - Abfluss'!$A$4:$Q$275,15,FALSE)="","",VLOOKUP(A223,'Débit - Abfluss'!$A$4:$Q$275,15,FALSE))</f>
        <v/>
      </c>
      <c r="AX223" s="677" t="str">
        <f>IF(VLOOKUP(A223,'Débit - Abfluss'!$A$4:$Q$275,16,FALSE)="","",VLOOKUP(A223,'Débit - Abfluss'!$A$4:$Q$275,16,FALSE))</f>
        <v/>
      </c>
      <c r="AY223" s="769" t="str">
        <f>IF(VLOOKUP(A223,'Débit - Abfluss'!$A$4:$Q$275,17,FALSE)="","",VLOOKUP(A223,'Débit - Abfluss'!$A$4:$Q$275,17,FALSE))</f>
        <v>100%</v>
      </c>
      <c r="AZ223" s="749" t="str">
        <f>IF(VLOOKUP(A223,'Eclusée - Schwall-Sunk'!$A$2:$F$273,5,FALSE)="","",VLOOKUP(A223,'Eclusée - Schwall-Sunk'!$A$2:$F$273,5,FALSE))</f>
        <v/>
      </c>
      <c r="BA223" s="750" t="str">
        <f>IF(VLOOKUP(A223,'Eclusée - Schwall-Sunk'!$A$2:$F$273,6,FALSE)="","",VLOOKUP(A223,'Eclusée - Schwall-Sunk'!$A$2:$F$273,6,FALSE))</f>
        <v>Non affecté / nicht betroffen</v>
      </c>
      <c r="BB223" s="751">
        <f>IF(VLOOKUP(A223,'Revitalisation-Revitalisierung'!$A$4:$Z$275,5,FALSE)="","",VLOOKUP(A223,'Revitalisation-Revitalisierung'!$A$4:$Z$275,5,FALSE))</f>
        <v>-17.272727272727273</v>
      </c>
      <c r="BC223" s="752">
        <f>IF(VLOOKUP(A223,'Revitalisation-Revitalisierung'!$A$4:$Z$275,6,FALSE)="","",VLOOKUP(A223,'Revitalisation-Revitalisierung'!$A$4:$Z$275,6,FALSE))</f>
        <v>0</v>
      </c>
      <c r="BD223" s="752">
        <f>IF(VLOOKUP(A223,'Revitalisation-Revitalisierung'!$A$4:$Z$275,7,FALSE)="","",VLOOKUP(A223,'Revitalisation-Revitalisierung'!$A$4:$Z$275,7,FALSE))</f>
        <v>17.272727272727273</v>
      </c>
      <c r="BE223" s="753" t="str">
        <f>IF(VLOOKUP(A223,'Revitalisation-Revitalisierung'!$A$4:$Z$275,8,FALSE)="","",VLOOKUP(A223,'Revitalisation-Revitalisierung'!$A$4:$Z$275,8,FALSE))</f>
        <v>non nécessaire</v>
      </c>
      <c r="BF223" s="754" t="str">
        <f>IF(VLOOKUP(A223,'Revitalisation-Revitalisierung'!$A$4:$Z$275,9,FALSE)="","",VLOOKUP(A223,'Revitalisation-Revitalisierung'!$A$4:$Z$275,9,FALSE))</f>
        <v>nicht nötig</v>
      </c>
      <c r="BG223" s="754" t="str">
        <f>IF(VLOOKUP(A223,'Revitalisation-Revitalisierung'!$A$4:$Z$275,10,FALSE)="","",VLOOKUP(A223,'Revitalisation-Revitalisierung'!$A$4:$Z$275,10,FALSE))</f>
        <v>K3</v>
      </c>
      <c r="BH223" s="755" t="str">
        <f>IF(VLOOKUP(A223,'Revitalisation-Revitalisierung'!$A$4:$Z$275,11,FALSE)="","",VLOOKUP(A223,'Revitalisation-Revitalisierung'!$A$4:$Z$275,11,FALSE))</f>
        <v/>
      </c>
      <c r="BI223" s="756" t="str">
        <f>IF(VLOOKUP(A223,'Revitalisation-Revitalisierung'!$A$4:$Z$275,12,FALSE)="","",VLOOKUP(A223,'Revitalisation-Revitalisierung'!$A$4:$Z$275,12,FALSE))</f>
        <v/>
      </c>
      <c r="BJ223" s="788" t="str">
        <f>IF(VLOOKUP(A223,'Revitalisation-Revitalisierung'!$A$4:$Z$275,13,FALSE)="","",VLOOKUP(A223,'Revitalisation-Revitalisierung'!$A$4:$Z$275,13,FALSE))</f>
        <v>Non nécessaire / nicht nötig</v>
      </c>
      <c r="BK223" s="870" t="str">
        <f>IF(VLOOKUP(A223,'Revitalisation-Revitalisierung'!$A$4:$Z$275,14,FALSE)="","",VLOOKUP(A223,'Revitalisation-Revitalisierung'!$A$4:$Z$275,14,FALSE))</f>
        <v>a</v>
      </c>
      <c r="BL223" s="758" t="str">
        <f>IF(VLOOKUP(A223,'Revitalisation-Revitalisierung'!$A$4:$Z$275,15,FALSE)="","",VLOOKUP(A223,'Revitalisation-Revitalisierung'!$A$4:$Z$275,15,FALSE))</f>
        <v>gross</v>
      </c>
      <c r="BM223" s="759" t="str">
        <f>IF(VLOOKUP(A223,'Revitalisation-Revitalisierung'!$A$4:$Z$275,16,FALSE)="","",VLOOKUP(A223,'Revitalisation-Revitalisierung'!$A$4:$Z$275,16,FALSE))</f>
        <v>mittel/gering</v>
      </c>
      <c r="BN223" s="759">
        <f>IF(VLOOKUP(A223,'Revitalisation-Revitalisierung'!$A$4:$Z$275,17,FALSE)="","",VLOOKUP(A223,'Revitalisation-Revitalisierung'!$A$4:$Z$275,17,FALSE))</f>
        <v>3</v>
      </c>
      <c r="BO223" s="760" t="str">
        <f>IF(VLOOKUP(A223,'Revitalisation-Revitalisierung'!$A$4:$Z$275,18,FALSE)="","",VLOOKUP(A223,'Revitalisation-Revitalisierung'!$A$4:$Z$275,18,FALSE))</f>
        <v>Non nécessaire / nicht nötig</v>
      </c>
      <c r="BP223" s="761" t="str">
        <f>IF(VLOOKUP(A223,'Revitalisation-Revitalisierung'!$A$4:$Z$275,19,FALSE)="","",VLOOKUP(A223,'Revitalisation-Revitalisierung'!$A$4:$Z$275,19,FALSE))</f>
        <v>Non nécessaire / nicht nötig</v>
      </c>
      <c r="BQ223" s="759" t="str">
        <f>IF(VLOOKUP(A223,'Revitalisation-Revitalisierung'!$A$4:$Z$275,20,FALSE)="","",VLOOKUP(A223,'Revitalisation-Revitalisierung'!$A$4:$Z$275,20,FALSE))</f>
        <v>d</v>
      </c>
      <c r="BR223" s="759" t="str">
        <f>IF(VLOOKUP(A223,'Revitalisation-Revitalisierung'!$A$4:$Z$275,21,FALSE)="","",VLOOKUP(A223,'Revitalisation-Revitalisierung'!$A$4:$Z$275,21,FALSE))</f>
        <v/>
      </c>
      <c r="BS223" s="762" t="str">
        <f>IF(VLOOKUP(A223,'Revitalisation-Revitalisierung'!$A$4:$Z$275,22,FALSE)="","",VLOOKUP(A223,'Revitalisation-Revitalisierung'!$A$4:$Z$275,22,FALSE))</f>
        <v/>
      </c>
      <c r="BT223" s="700" t="str">
        <f>IF(VLOOKUP(A223,'Revitalisation-Revitalisierung'!$A$4:$Z$275,23,FALSE)="","",VLOOKUP(A223,'Revitalisation-Revitalisierung'!$A$4:$Z$275,23,FALSE))</f>
        <v>LIRE EMAIL</v>
      </c>
      <c r="BU223" s="699" t="str">
        <f>IF(VLOOKUP(A223,'Revitalisation-Revitalisierung'!$A$4:$Z$275,24,FALSE)="","",VLOOKUP(A223,'Revitalisation-Revitalisierung'!$A$4:$Z$275,24,FALSE))</f>
        <v>Revitalisierungen, die die Auenlebensräume tatsächlich in grösserem Umfeld wieder in einen funktionierenden, dynamischen Zustand bringen, sind im dicht bebauten Kanton Zürich kaum mehr umsetzbar.</v>
      </c>
      <c r="BV223" s="761" t="str">
        <f>IF(VLOOKUP(A223,'Revitalisation-Revitalisierung'!$A$4:$Z$275,25,FALSE)="","",VLOOKUP(A223,'Revitalisation-Revitalisierung'!$A$4:$Z$275,25,FALSE))</f>
        <v>Non nécessaire / nicht nötig</v>
      </c>
      <c r="BW223" s="871" t="str">
        <f>IF(VLOOKUP(A223,'Revitalisation-Revitalisierung'!$A$4:$AA$275,27,FALSE)="","",VLOOKUP(A223,'Revitalisation-Revitalisierung'!$A$4:$AA$275,27,FALSE))</f>
        <v>a</v>
      </c>
    </row>
    <row r="224" spans="1:75" ht="56.45" customHeight="1" x14ac:dyDescent="0.25">
      <c r="A224" s="935">
        <v>345</v>
      </c>
      <c r="B224" s="856">
        <f>IF(VLOOKUP(A224,'Données de base - Grunddaten'!$A$2:$M$297,2,FALSE)="","",VLOOKUP(A224,'Données de base - Grunddaten'!$A$2:$M$297,2,FALSE))</f>
        <v>1</v>
      </c>
      <c r="C224" s="857" t="str">
        <f>IF(VLOOKUP(A224,'Données de base - Grunddaten'!$A$2:$M$297,3,FALSE)="","",VLOOKUP(A224,'Données de base - Grunddaten'!$A$2:$M$297,3,FALSE))</f>
        <v>Oberglatt</v>
      </c>
      <c r="D224" s="857" t="str">
        <f>IF(VLOOKUP(A224,'Données de base - Grunddaten'!$A$2:$M$297,4,FALSE)="","",VLOOKUP(A224,'Données de base - Grunddaten'!$A$2:$M$297,4,FALSE))</f>
        <v>Glatt</v>
      </c>
      <c r="E224" s="857" t="str">
        <f>IF(VLOOKUP(A224,'Données de base - Grunddaten'!$A$2:$M$297,5,FALSE)="","",VLOOKUP(A224,'Données de base - Grunddaten'!$A$2:$M$297,5,FALSE))</f>
        <v>ZH</v>
      </c>
      <c r="F224" s="857" t="str">
        <f>IF(VLOOKUP(A224,'Données de base - Grunddaten'!$A$2:$M$297,6,FALSE)="","",VLOOKUP(A224,'Données de base - Grunddaten'!$A$2:$M$297,6,FALSE))</f>
        <v>Plateau oriental</v>
      </c>
      <c r="G224" s="857" t="str">
        <f>IF(VLOOKUP(A224,'Données de base - Grunddaten'!$A$2:$M$297,7,FALSE)="","",VLOOKUP(A224,'Données de base - Grunddaten'!$A$2:$M$297,7,FALSE))</f>
        <v>Collinéen</v>
      </c>
      <c r="H224" s="857">
        <f>IF(VLOOKUP(A224,'Données de base - Grunddaten'!$A$2:$M$297,8,FALSE)="","",VLOOKUP(A224,'Données de base - Grunddaten'!$A$2:$M$297,8,FALSE))</f>
        <v>420</v>
      </c>
      <c r="I224" s="857">
        <f>IF(VLOOKUP(A224,'Données de base - Grunddaten'!$A$2:$M$297,9,FALSE)="","",VLOOKUP(A224,'Données de base - Grunddaten'!$A$2:$M$297,9,FALSE))</f>
        <v>2003</v>
      </c>
      <c r="J224" s="857">
        <f>IF(VLOOKUP(A224,'Données de base - Grunddaten'!$A$2:$M$297,10,FALSE)="","",VLOOKUP(A224,'Données de base - Grunddaten'!$A$2:$M$297,10,FALSE))</f>
        <v>51</v>
      </c>
      <c r="K224" s="857" t="str">
        <f>IF(VLOOKUP(A224,'Données de base - Grunddaten'!$A$2:$M$297,11,FALSE)="","",VLOOKUP(A224,'Données de base - Grunddaten'!$A$2:$M$297,11,FALSE))</f>
        <v>Cours d'eau naturels de l'étage collinéen du Moyen-Pays</v>
      </c>
      <c r="L224" s="857" t="str">
        <f>IF(VLOOKUP(A224,'Données de base - Grunddaten'!$A$2:$M$297,12,FALSE)="","",VLOOKUP(A224,'Données de base - Grunddaten'!$A$2:$M$297,12,FALSE))</f>
        <v>en méandres migrants</v>
      </c>
      <c r="M224" s="858" t="str">
        <f>IF(VLOOKUP(A224,'Données de base - Grunddaten'!$A$2:$M$297,13,FALSE)="","",VLOOKUP(A224,'Données de base - Grunddaten'!$A$2:$M$297,13,FALSE))</f>
        <v>en méandres migrants</v>
      </c>
      <c r="N224" s="872" t="str">
        <f>IF(VLOOKUP(A224,'Charriage - Geschiebehaushalt'!$A$4:$R$275,5,FALSE)="","",VLOOKUP(A224,'Charriage - Geschiebehaushalt'!$A$4:$R$275,5,FALSE))</f>
        <v>pertinent</v>
      </c>
      <c r="O224" s="881" t="str">
        <f>IF(VLOOKUP(A224,'Charriage - Geschiebehaushalt'!$A$4:$R$275,6,FALSE)="","",VLOOKUP(A224,'Charriage - Geschiebehaushalt'!$A$4:$R$275,6,FALSE))</f>
        <v>non documenté</v>
      </c>
      <c r="P224" s="874" t="str">
        <f>IF(VLOOKUP(A224,'Charriage - Geschiebehaushalt'!$A$4:$R$275,7,FALSE)="","",VLOOKUP(A224,'Charriage - Geschiebehaushalt'!$A$4:$R$275,7,FALSE))</f>
        <v/>
      </c>
      <c r="Q224" s="874" t="str">
        <f>IF(VLOOKUP(A224,'Charriage - Geschiebehaushalt'!$A$4:$R$275,8,FALSE)="","",VLOOKUP(A224,'Charriage - Geschiebehaushalt'!$A$4:$R$275,8,FALSE))</f>
        <v>non documenté</v>
      </c>
      <c r="R224" s="875">
        <f>IF(VLOOKUP(A224,'Charriage - Geschiebehaushalt'!$A$4:$R$275,9,FALSE)="","",VLOOKUP(A224,'Charriage - Geschiebehaushalt'!$A$4:$R$275,9,FALSE))</f>
        <v>0.99789466699326301</v>
      </c>
      <c r="S224" s="895" t="str">
        <f>IF(VLOOKUP(A224,'Charriage - Geschiebehaushalt'!$A$4:$R$275,10,FALSE)="","",VLOOKUP(A224,'Charriage - Geschiebehaushalt'!$A$4:$R$275,10,FALSE))</f>
        <v>la remobilisation des sédiments est perturbée</v>
      </c>
      <c r="T224" s="875">
        <f>IF(VLOOKUP(A224,'Charriage - Geschiebehaushalt'!$A$4:$R$275,11,FALSE)="","",VLOOKUP(A224,'Charriage - Geschiebehaushalt'!$A$4:$R$275,11,FALSE))</f>
        <v>0.22947775378999999</v>
      </c>
      <c r="U224" s="876" t="str">
        <f>IF(VLOOKUP(A224,'Charriage - Geschiebehaushalt'!$A$4:$R$275,12,FALSE)="","",VLOOKUP(A224,'Charriage - Geschiebehaushalt'!$A$4:$R$275,12,FALSE))</f>
        <v>déficit dans les formations pionnières</v>
      </c>
      <c r="V224" s="877" t="str">
        <f>IF(VLOOKUP(A224,'Charriage - Geschiebehaushalt'!$A$4:$R$275,13,FALSE)="","",VLOOKUP(A224,'Charriage - Geschiebehaushalt'!$A$4:$R$275,13,FALSE))</f>
        <v/>
      </c>
      <c r="W224" s="877" t="str">
        <f>IF(VLOOKUP(A224,'Charriage - Geschiebehaushalt'!$A$4:$R$275,14,FALSE)="","",VLOOKUP(A224,'Charriage - Geschiebehaushalt'!$A$4:$R$275,14,FALSE))</f>
        <v/>
      </c>
      <c r="X224" s="877" t="str">
        <f>IF(VLOOKUP(A224,'Charriage - Geschiebehaushalt'!$A$4:$R$275,15,FALSE)="","",VLOOKUP(A224,'Charriage - Geschiebehaushalt'!$A$4:$R$275,15,FALSE))</f>
        <v/>
      </c>
      <c r="Y224" s="879" t="str">
        <f>IF(VLOOKUP(A224,'Charriage - Geschiebehaushalt'!$A$4:$R$275,16,FALSE)="","",VLOOKUP(A224,'Charriage - Geschiebehaushalt'!$A$4:$R$275,16,FALSE))</f>
        <v/>
      </c>
      <c r="Z224" s="763" t="str">
        <f>IF(VLOOKUP(A224,'Charriage - Geschiebehaushalt'!$A$4:$R$275,17,FALSE)="","",VLOOKUP(A224,'Charriage - Geschiebehaushalt'!$A$4:$R$275,17,FALSE))</f>
        <v>La remobilisation des sédiments est perturbée / Mobilisierung von Geschiebe beeinträchtigt</v>
      </c>
      <c r="AA224" s="880" t="str">
        <f>IF(VLOOKUP(A224,'Charriage - Geschiebehaushalt'!$A$4:$R$275,18,FALSE)="","",VLOOKUP(A224,'Charriage - Geschiebehaushalt'!$A$4:$R$275,18,FALSE))</f>
        <v>b</v>
      </c>
      <c r="AB224" s="737" t="str">
        <f>IF(VLOOKUP(A224,'Charriage - Geschiebehaushalt'!$A$4:$AC$275,19,FALSE)="","",VLOOKUP(A224,'Charriage - Geschiebehaushalt'!$A$4:$AC$275,19,FALSE))</f>
        <v>moyen</v>
      </c>
      <c r="AC224" s="738" t="str">
        <f>IF(VLOOKUP(A224,'Charriage - Geschiebehaushalt'!$A$4:$AC$275,20,FALSE)="","",VLOOKUP(A224,'Charriage - Geschiebehaushalt'!$A$4:$AC$275,20,FALSE))</f>
        <v>moyen</v>
      </c>
      <c r="AD224" s="764" t="str">
        <f>IF(VLOOKUP(A224,'Charriage - Geschiebehaushalt'!$A$4:$AC$275,21,FALSE)="","",VLOOKUP(A224,'Charriage - Geschiebehaushalt'!$A$4:$AC$275,21,FALSE))</f>
        <v>21-50%</v>
      </c>
      <c r="AE224" s="772" t="str">
        <f>IF(VLOOKUP(A224,'Charriage - Geschiebehaushalt'!$A$4:$AC$275,22,FALSE)="","",VLOOKUP(A224,'Charriage - Geschiebehaushalt'!$A$4:$AC$275,22,FALSE))</f>
        <v>21-50%</v>
      </c>
      <c r="AF224" s="787" t="str">
        <f>IF(VLOOKUP(A224,'Charriage - Geschiebehaushalt'!$A$4:$AC$275,23,FALSE)="","",VLOOKUP(A224,'Charriage - Geschiebehaushalt'!$A$4:$AC$275,23,FALSE))</f>
        <v>d</v>
      </c>
      <c r="AG224" s="765" t="str">
        <f>IF(VLOOKUP(A224,'Charriage - Geschiebehaushalt'!$A$4:$AC$275,24,FALSE)="","",VLOOKUP(A224,'Charriage - Geschiebehaushalt'!$A$4:$AC$275,24,FALSE))</f>
        <v/>
      </c>
      <c r="AH224" s="764" t="str">
        <f>IF(VLOOKUP(A224,'Charriage - Geschiebehaushalt'!$A$4:$AC$275,25,FALSE)="","",VLOOKUP(A224,'Charriage - Geschiebehaushalt'!$A$4:$AC$275,25,FALSE))</f>
        <v/>
      </c>
      <c r="AI224" s="441" t="str">
        <f>IF(VLOOKUP(A224,'Charriage - Geschiebehaushalt'!$A$4:$AC$275,26,FALSE)="","",VLOOKUP(A224,'Charriage - Geschiebehaushalt'!$A$4:$AC$275,26,FALSE))</f>
        <v/>
      </c>
      <c r="AJ224" s="436" t="str">
        <f>IF(VLOOKUP(A224,'Charriage - Geschiebehaushalt'!$A$4:$AC$275,27,FALSE)="","",VLOOKUP(A224,'Charriage - Geschiebehaushalt'!$A$4:$AC$275,27,FALSE))</f>
        <v>Die Beurteilungen erscheinen uns nachvollziehbar und stimmen mit den kantonalen Einschätzungen</v>
      </c>
      <c r="AK224" s="814" t="str">
        <f>IF(VLOOKUP(A224,'Charriage - Geschiebehaushalt'!$A$4:$AC$275,28,FALSE)="","",VLOOKUP(A224,'Charriage - Geschiebehaushalt'!$A$4:$AC$275,28,FALSE))</f>
        <v>21-50%</v>
      </c>
      <c r="AL224" s="1285" t="str">
        <f>IF(VLOOKUP(A224,'Charriage - Geschiebehaushalt'!$A$4:$AD$275,30,FALSE)="","",VLOOKUP(A224,'Charriage - Geschiebehaushalt'!$A$4:$AD$275,30,FALSE))</f>
        <v>a</v>
      </c>
      <c r="AM224" s="1279" t="str">
        <f>IF(VLOOKUP(A224,'Débit - Abfluss'!$A$4:$K$275,5,FALSE)="","",VLOOKUP(A224,'Débit - Abfluss'!$A$4:$M$275,5,FALSE))</f>
        <v>100%</v>
      </c>
      <c r="AN224" s="868" t="str">
        <f>IF(VLOOKUP(A224,'Débit - Abfluss'!$A$4:$K$275,6,FALSE)="","",VLOOKUP(A224,'Débit - Abfluss'!$A$4:$M$275,6,FALSE))</f>
        <v>aucune information supplémentaire</v>
      </c>
      <c r="AO224" s="869" t="str">
        <f>IF(VLOOKUP(A224,'Débit - Abfluss'!$A$4:$K$275,7,FALSE)="","",VLOOKUP(A224,'Débit - Abfluss'!$A$4:$M$275,7,FALSE))</f>
        <v>aucune information supplémentaire</v>
      </c>
      <c r="AP224" s="766" t="str">
        <f>IF(VLOOKUP(A224,'Débit - Abfluss'!$A$4:$K$275,8,FALSE)="","",VLOOKUP(A224,'Débit - Abfluss'!$A$4:$M$275,8,FALSE))</f>
        <v>100%</v>
      </c>
      <c r="AQ224" s="742" t="str">
        <f>IF(VLOOKUP(A224,'Débit - Abfluss'!$A$4:$K$275,9,FALSE)="","",VLOOKUP(A224,'Débit - Abfluss'!$A$4:$M$275,9,FALSE))</f>
        <v>-</v>
      </c>
      <c r="AR224" s="767" t="str">
        <f>IF(VLOOKUP(A224,'Débit - Abfluss'!$A$4:$K$275,10,FALSE)="","",VLOOKUP(A224,'Débit - Abfluss'!$A$4:$M$275,10,FALSE))</f>
        <v>100%</v>
      </c>
      <c r="AS224" s="767" t="str">
        <f>IF(VLOOKUP(A224,'Débit - Abfluss'!$A$4:$K$275,11,FALSE)="","",VLOOKUP(A224,'Débit - Abfluss'!$A$4:$M$275,11,FALSE))</f>
        <v/>
      </c>
      <c r="AT224" s="744" t="str">
        <f>IF(VLOOKUP(A224,'Débit - Abfluss'!$A$4:$Q$275,12,FALSE)="","",VLOOKUP(A224,'Débit - Abfluss'!$A$4:$Q$275,12,FALSE))</f>
        <v/>
      </c>
      <c r="AU224" s="686" t="str">
        <f>IF(VLOOKUP(A224,'Débit - Abfluss'!$A$4:$Q$275,13,FALSE)="","",VLOOKUP(A224,'Débit - Abfluss'!$A$4:$Q$275,13,FALSE))</f>
        <v>Die Beurteilungen erscheinen uns nachvollziehbar und stimmen mit den kantonalen Einschätzungen</v>
      </c>
      <c r="AV224" s="746" t="str">
        <f>IF(VLOOKUP(A224,'Débit - Abfluss'!$A$4:$Q$275,14,FALSE)="","",VLOOKUP(A224,'Débit - Abfluss'!$A$4:$Q$275,14,FALSE))</f>
        <v/>
      </c>
      <c r="AW224" s="768" t="str">
        <f>IF(VLOOKUP(A224,'Débit - Abfluss'!$A$4:$Q$275,15,FALSE)="","",VLOOKUP(A224,'Débit - Abfluss'!$A$4:$Q$275,15,FALSE))</f>
        <v/>
      </c>
      <c r="AX224" s="677" t="str">
        <f>IF(VLOOKUP(A224,'Débit - Abfluss'!$A$4:$Q$275,16,FALSE)="","",VLOOKUP(A224,'Débit - Abfluss'!$A$4:$Q$275,16,FALSE))</f>
        <v/>
      </c>
      <c r="AY224" s="769" t="str">
        <f>IF(VLOOKUP(A224,'Débit - Abfluss'!$A$4:$Q$275,17,FALSE)="","",VLOOKUP(A224,'Débit - Abfluss'!$A$4:$Q$275,17,FALSE))</f>
        <v>100%</v>
      </c>
      <c r="AZ224" s="749" t="str">
        <f>IF(VLOOKUP(A224,'Eclusée - Schwall-Sunk'!$A$2:$F$273,5,FALSE)="","",VLOOKUP(A224,'Eclusée - Schwall-Sunk'!$A$2:$F$273,5,FALSE))</f>
        <v/>
      </c>
      <c r="BA224" s="750" t="str">
        <f>IF(VLOOKUP(A224,'Eclusée - Schwall-Sunk'!$A$2:$F$273,6,FALSE)="","",VLOOKUP(A224,'Eclusée - Schwall-Sunk'!$A$2:$F$273,6,FALSE))</f>
        <v>Non affecté / nicht betroffen</v>
      </c>
      <c r="BB224" s="751">
        <f>IF(VLOOKUP(A224,'Revitalisation-Revitalisierung'!$A$4:$Z$275,5,FALSE)="","",VLOOKUP(A224,'Revitalisation-Revitalisierung'!$A$4:$Z$275,5,FALSE))</f>
        <v>59.727272727272727</v>
      </c>
      <c r="BC224" s="752">
        <f>IF(VLOOKUP(A224,'Revitalisation-Revitalisierung'!$A$4:$Z$275,6,FALSE)="","",VLOOKUP(A224,'Revitalisation-Revitalisierung'!$A$4:$Z$275,6,FALSE))</f>
        <v>77.038106275097633</v>
      </c>
      <c r="BD224" s="752">
        <f>IF(VLOOKUP(A224,'Revitalisation-Revitalisierung'!$A$4:$Z$275,7,FALSE)="","",VLOOKUP(A224,'Revitalisation-Revitalisierung'!$A$4:$Z$275,7,FALSE))</f>
        <v>17.272727272727273</v>
      </c>
      <c r="BE224" s="753" t="str">
        <f>IF(VLOOKUP(A224,'Revitalisation-Revitalisierung'!$A$4:$Z$275,8,FALSE)="","",VLOOKUP(A224,'Revitalisation-Revitalisierung'!$A$4:$Z$275,8,FALSE))</f>
        <v>très nécessaire, facile</v>
      </c>
      <c r="BF224" s="754" t="str">
        <f>IF(VLOOKUP(A224,'Revitalisation-Revitalisierung'!$A$4:$Z$275,9,FALSE)="","",VLOOKUP(A224,'Revitalisation-Revitalisierung'!$A$4:$Z$275,9,FALSE))</f>
        <v>unmöglich</v>
      </c>
      <c r="BG224" s="754" t="str">
        <f>IF(VLOOKUP(A224,'Revitalisation-Revitalisierung'!$A$4:$Z$275,10,FALSE)="","",VLOOKUP(A224,'Revitalisation-Revitalisierung'!$A$4:$Z$275,10,FALSE))</f>
        <v>K1</v>
      </c>
      <c r="BH224" s="755" t="str">
        <f>IF(VLOOKUP(A224,'Revitalisation-Revitalisierung'!$A$4:$Z$275,11,FALSE)="","",VLOOKUP(A224,'Revitalisation-Revitalisierung'!$A$4:$Z$275,11,FALSE))</f>
        <v/>
      </c>
      <c r="BI224" s="756" t="str">
        <f>IF(VLOOKUP(A224,'Revitalisation-Revitalisierung'!$A$4:$Z$275,12,FALSE)="","",VLOOKUP(A224,'Revitalisation-Revitalisierung'!$A$4:$Z$275,12,FALSE))</f>
        <v/>
      </c>
      <c r="BJ224" s="788" t="str">
        <f>IF(VLOOKUP(A224,'Revitalisation-Revitalisierung'!$A$4:$Z$275,13,FALSE)="","",VLOOKUP(A224,'Revitalisation-Revitalisierung'!$A$4:$Z$275,13,FALSE))</f>
        <v>Très nécessaire, difficile / unbedingt nötig, schwierig</v>
      </c>
      <c r="BK224" s="870" t="str">
        <f>IF(VLOOKUP(A224,'Revitalisation-Revitalisierung'!$A$4:$Z$275,14,FALSE)="","",VLOOKUP(A224,'Revitalisation-Revitalisierung'!$A$4:$Z$275,14,FALSE))</f>
        <v>b</v>
      </c>
      <c r="BL224" s="758" t="str">
        <f>IF(VLOOKUP(A224,'Revitalisation-Revitalisierung'!$A$4:$Z$275,15,FALSE)="","",VLOOKUP(A224,'Revitalisation-Revitalisierung'!$A$4:$Z$275,15,FALSE))</f>
        <v>gross</v>
      </c>
      <c r="BM224" s="759" t="str">
        <f>IF(VLOOKUP(A224,'Revitalisation-Revitalisierung'!$A$4:$Z$275,16,FALSE)="","",VLOOKUP(A224,'Revitalisation-Revitalisierung'!$A$4:$Z$275,16,FALSE))</f>
        <v>gross</v>
      </c>
      <c r="BN224" s="759">
        <f>IF(VLOOKUP(A224,'Revitalisation-Revitalisierung'!$A$4:$Z$275,17,FALSE)="","",VLOOKUP(A224,'Revitalisation-Revitalisierung'!$A$4:$Z$275,17,FALSE))</f>
        <v>1</v>
      </c>
      <c r="BO224" s="760" t="str">
        <f>IF(VLOOKUP(A224,'Revitalisation-Revitalisierung'!$A$4:$Z$275,18,FALSE)="","",VLOOKUP(A224,'Revitalisation-Revitalisierung'!$A$4:$Z$275,18,FALSE))</f>
        <v>Très nécessaire, difficile / unbedingt nötig, schwierig</v>
      </c>
      <c r="BP224" s="761" t="str">
        <f>IF(VLOOKUP(A224,'Revitalisation-Revitalisierung'!$A$4:$Z$275,19,FALSE)="","",VLOOKUP(A224,'Revitalisation-Revitalisierung'!$A$4:$Z$275,19,FALSE))</f>
        <v>Très nécessaire, difficile / unbedingt nötig, schwierig</v>
      </c>
      <c r="BQ224" s="759" t="str">
        <f>IF(VLOOKUP(A224,'Revitalisation-Revitalisierung'!$A$4:$Z$275,20,FALSE)="","",VLOOKUP(A224,'Revitalisation-Revitalisierung'!$A$4:$Z$275,20,FALSE))</f>
        <v>d</v>
      </c>
      <c r="BR224" s="759" t="str">
        <f>IF(VLOOKUP(A224,'Revitalisation-Revitalisierung'!$A$4:$Z$275,21,FALSE)="","",VLOOKUP(A224,'Revitalisation-Revitalisierung'!$A$4:$Z$275,21,FALSE))</f>
        <v/>
      </c>
      <c r="BS224" s="762" t="str">
        <f>IF(VLOOKUP(A224,'Revitalisation-Revitalisierung'!$A$4:$Z$275,22,FALSE)="","",VLOOKUP(A224,'Revitalisation-Revitalisierung'!$A$4:$Z$275,22,FALSE))</f>
        <v/>
      </c>
      <c r="BT224" s="700" t="str">
        <f>IF(VLOOKUP(A224,'Revitalisation-Revitalisierung'!$A$4:$Z$275,23,FALSE)="","",VLOOKUP(A224,'Revitalisation-Revitalisierung'!$A$4:$Z$275,23,FALSE))</f>
        <v>LIRE EMAIL</v>
      </c>
      <c r="BU224" s="699" t="str">
        <f>IF(VLOOKUP(A224,'Revitalisation-Revitalisierung'!$A$4:$Z$275,24,FALSE)="","",VLOOKUP(A224,'Revitalisation-Revitalisierung'!$A$4:$Z$275,24,FALSE))</f>
        <v>Revitalisierungen, die die Auenlebensräume tatsächlich in grösserem Umfeld wieder in einen funktionierenden, dynamischen Zustand bringen, sind im dicht bebauten Kanton Zürich kaum mehr umsetzbar.</v>
      </c>
      <c r="BV224" s="761" t="str">
        <f>IF(VLOOKUP(A224,'Revitalisation-Revitalisierung'!$A$4:$Z$275,25,FALSE)="","",VLOOKUP(A224,'Revitalisation-Revitalisierung'!$A$4:$Z$275,25,FALSE))</f>
        <v>Très nécessaire, difficile / unbedingt nötig, schwierig</v>
      </c>
      <c r="BW224" s="871" t="str">
        <f>IF(VLOOKUP(A224,'Revitalisation-Revitalisierung'!$A$4:$AA$275,27,FALSE)="","",VLOOKUP(A224,'Revitalisation-Revitalisierung'!$A$4:$AA$275,27,FALSE))</f>
        <v>a</v>
      </c>
    </row>
    <row r="225" spans="1:75" ht="68.45" customHeight="1" x14ac:dyDescent="0.25">
      <c r="A225" s="939">
        <v>346</v>
      </c>
      <c r="B225" s="856">
        <f>IF(VLOOKUP(A225,'Données de base - Grunddaten'!$A$2:$M$297,2,FALSE)="","",VLOOKUP(A225,'Données de base - Grunddaten'!$A$2:$M$297,2,FALSE))</f>
        <v>1</v>
      </c>
      <c r="C225" s="857" t="str">
        <f>IF(VLOOKUP(A225,'Données de base - Grunddaten'!$A$2:$M$297,3,FALSE)="","",VLOOKUP(A225,'Données de base - Grunddaten'!$A$2:$M$297,3,FALSE))</f>
        <v>Muotathal</v>
      </c>
      <c r="D225" s="857" t="str">
        <f>IF(VLOOKUP(A225,'Données de base - Grunddaten'!$A$2:$M$297,4,FALSE)="","",VLOOKUP(A225,'Données de base - Grunddaten'!$A$2:$M$297,4,FALSE))</f>
        <v>Muota</v>
      </c>
      <c r="E225" s="857" t="str">
        <f>IF(VLOOKUP(A225,'Données de base - Grunddaten'!$A$2:$M$297,5,FALSE)="","",VLOOKUP(A225,'Données de base - Grunddaten'!$A$2:$M$297,5,FALSE))</f>
        <v>SZ</v>
      </c>
      <c r="F225" s="857" t="str">
        <f>IF(VLOOKUP(A225,'Données de base - Grunddaten'!$A$2:$M$297,6,FALSE)="","",VLOOKUP(A225,'Données de base - Grunddaten'!$A$2:$M$297,6,FALSE))</f>
        <v>Alpes septentrionales</v>
      </c>
      <c r="G225" s="857" t="str">
        <f>IF(VLOOKUP(A225,'Données de base - Grunddaten'!$A$2:$M$297,7,FALSE)="","",VLOOKUP(A225,'Données de base - Grunddaten'!$A$2:$M$297,7,FALSE))</f>
        <v>Montagnard inf.</v>
      </c>
      <c r="H225" s="857" t="str">
        <f>IF(VLOOKUP(A225,'Données de base - Grunddaten'!$A$2:$M$297,8,FALSE)="","",VLOOKUP(A225,'Données de base - Grunddaten'!$A$2:$M$297,8,FALSE))</f>
        <v>660 m</v>
      </c>
      <c r="I225" s="857" t="str">
        <f>IF(VLOOKUP(A225,'Données de base - Grunddaten'!$A$2:$M$297,9,FALSE)="","",VLOOKUP(A225,'Données de base - Grunddaten'!$A$2:$M$297,9,FALSE))</f>
        <v>candidat</v>
      </c>
      <c r="J225" s="857">
        <f>IF(VLOOKUP(A225,'Données de base - Grunddaten'!$A$2:$M$297,10,FALSE)="","",VLOOKUP(A225,'Données de base - Grunddaten'!$A$2:$M$297,10,FALSE))</f>
        <v>42</v>
      </c>
      <c r="K225" s="857" t="str">
        <f>IF(VLOOKUP(A225,'Données de base - Grunddaten'!$A$2:$M$297,11,FALSE)="","",VLOOKUP(A225,'Données de base - Grunddaten'!$A$2:$M$297,11,FALSE))</f>
        <v>Cours d'eau naturels de l'étage montagnard</v>
      </c>
      <c r="L225" s="857" t="str">
        <f>IF(VLOOKUP(A225,'Données de base - Grunddaten'!$A$2:$M$297,12,FALSE)="","",VLOOKUP(A225,'Données de base - Grunddaten'!$A$2:$M$297,12,FALSE))</f>
        <v>cours encaissé</v>
      </c>
      <c r="M225" s="858" t="str">
        <f>IF(VLOOKUP(A225,'Données de base - Grunddaten'!$A$2:$M$297,13,FALSE)="","",VLOOKUP(A225,'Données de base - Grunddaten'!$A$2:$M$297,13,FALSE))</f>
        <v>pseudo tresse formée à l'amont d'un dépotoire</v>
      </c>
      <c r="N225" s="872" t="str">
        <f>IF(VLOOKUP(A225,'Charriage - Geschiebehaushalt'!$A$4:$R$275,5,FALSE)="","",VLOOKUP(A225,'Charriage - Geschiebehaushalt'!$A$4:$R$275,5,FALSE))</f>
        <v>pertinent</v>
      </c>
      <c r="O225" s="881" t="str">
        <f>IF(VLOOKUP(A225,'Charriage - Geschiebehaushalt'!$A$4:$R$275,6,FALSE)="","",VLOOKUP(A225,'Charriage - Geschiebehaushalt'!$A$4:$R$275,6,FALSE))</f>
        <v>non documenté</v>
      </c>
      <c r="P225" s="874" t="str">
        <f>IF(VLOOKUP(A225,'Charriage - Geschiebehaushalt'!$A$4:$R$275,7,FALSE)="","",VLOOKUP(A225,'Charriage - Geschiebehaushalt'!$A$4:$R$275,7,FALSE))</f>
        <v/>
      </c>
      <c r="Q225" s="874" t="str">
        <f>IF(VLOOKUP(A225,'Charriage - Geschiebehaushalt'!$A$4:$R$275,8,FALSE)="","",VLOOKUP(A225,'Charriage - Geschiebehaushalt'!$A$4:$R$275,8,FALSE))</f>
        <v>non documenté</v>
      </c>
      <c r="R225" s="875" t="str">
        <f>IF(VLOOKUP(A225,'Charriage - Geschiebehaushalt'!$A$4:$R$275,9,FALSE)="","",VLOOKUP(A225,'Charriage - Geschiebehaushalt'!$A$4:$R$275,9,FALSE))</f>
        <v/>
      </c>
      <c r="S225" s="895" t="str">
        <f>IF(VLOOKUP(A225,'Charriage - Geschiebehaushalt'!$A$4:$R$275,10,FALSE)="","",VLOOKUP(A225,'Charriage - Geschiebehaushalt'!$A$4:$R$275,10,FALSE))</f>
        <v/>
      </c>
      <c r="T225" s="895" t="str">
        <f>IF(VLOOKUP(A225,'Charriage - Geschiebehaushalt'!$A$4:$R$275,11,FALSE)="","",VLOOKUP(A225,'Charriage - Geschiebehaushalt'!$A$4:$R$275,11,FALSE))</f>
        <v/>
      </c>
      <c r="U225" s="895" t="str">
        <f>IF(VLOOKUP(A225,'Charriage - Geschiebehaushalt'!$A$4:$R$275,12,FALSE)="","",VLOOKUP(A225,'Charriage - Geschiebehaushalt'!$A$4:$R$275,12,FALSE))</f>
        <v/>
      </c>
      <c r="V225" s="877" t="str">
        <f>IF(VLOOKUP(A225,'Charriage - Geschiebehaushalt'!$A$4:$R$275,13,FALSE)="","",VLOOKUP(A225,'Charriage - Geschiebehaushalt'!$A$4:$R$275,13,FALSE))</f>
        <v>dépotoir</v>
      </c>
      <c r="W225" s="878" t="str">
        <f>IF(VLOOKUP(A225,'Charriage - Geschiebehaushalt'!$A$4:$R$275,14,FALSE)="","",VLOOKUP(A225,'Charriage - Geschiebehaushalt'!$A$4:$R$275,14,FALSE))</f>
        <v>charriage présumé perturbé</v>
      </c>
      <c r="X225" s="877" t="str">
        <f>IF(VLOOKUP(A225,'Charriage - Geschiebehaushalt'!$A$4:$R$275,15,FALSE)="","",VLOOKUP(A225,'Charriage - Geschiebehaushalt'!$A$4:$R$275,15,FALSE))</f>
        <v/>
      </c>
      <c r="Y225" s="879" t="str">
        <f>IF(VLOOKUP(A225,'Charriage - Geschiebehaushalt'!$A$4:$R$275,16,FALSE)="","",VLOOKUP(A225,'Charriage - Geschiebehaushalt'!$A$4:$R$275,16,FALSE))</f>
        <v/>
      </c>
      <c r="Z225" s="763" t="str">
        <f>IF(VLOOKUP(A225,'Charriage - Geschiebehaushalt'!$A$4:$R$275,17,FALSE)="","",VLOOKUP(A225,'Charriage - Geschiebehaushalt'!$A$4:$R$275,17,FALSE))</f>
        <v>Charriage présumé perturbé / Geschiebehaushalt vermutlich beeinträchtigt</v>
      </c>
      <c r="AA225" s="880" t="str">
        <f>IF(VLOOKUP(A225,'Charriage - Geschiebehaushalt'!$A$4:$R$275,18,FALSE)="","",VLOOKUP(A225,'Charriage - Geschiebehaushalt'!$A$4:$R$275,18,FALSE))</f>
        <v>b</v>
      </c>
      <c r="AB225" s="737" t="str">
        <f>IF(VLOOKUP(A225,'Charriage - Geschiebehaushalt'!$A$4:$AC$275,19,FALSE)="","",VLOOKUP(A225,'Charriage - Geschiebehaushalt'!$A$4:$AC$275,19,FALSE))</f>
        <v>nicht wesentlich</v>
      </c>
      <c r="AC225" s="738" t="str">
        <f>IF(VLOOKUP(A225,'Charriage - Geschiebehaushalt'!$A$4:$AC$275,20,FALSE)="","",VLOOKUP(A225,'Charriage - Geschiebehaushalt'!$A$4:$AC$275,20,FALSE))</f>
        <v>Ja</v>
      </c>
      <c r="AD225" s="764" t="str">
        <f>IF(VLOOKUP(A225,'Charriage - Geschiebehaushalt'!$A$4:$AC$275,21,FALSE)="","",VLOOKUP(A225,'Charriage - Geschiebehaushalt'!$A$4:$AC$275,21,FALSE))</f>
        <v>0-20%</v>
      </c>
      <c r="AE225" s="772" t="str">
        <f>IF(VLOOKUP(A225,'Charriage - Geschiebehaushalt'!$A$4:$AC$275,22,FALSE)="","",VLOOKUP(A225,'Charriage - Geschiebehaushalt'!$A$4:$AC$275,22,FALSE))</f>
        <v>0-20%</v>
      </c>
      <c r="AF225" s="787" t="str">
        <f>IF(VLOOKUP(A225,'Charriage - Geschiebehaushalt'!$A$4:$AC$275,23,FALSE)="","",VLOOKUP(A225,'Charriage - Geschiebehaushalt'!$A$4:$AC$275,23,FALSE))</f>
        <v>c</v>
      </c>
      <c r="AG225" s="765" t="str">
        <f>IF(VLOOKUP(A225,'Charriage - Geschiebehaushalt'!$A$4:$AC$275,24,FALSE)="","",VLOOKUP(A225,'Charriage - Geschiebehaushalt'!$A$4:$AC$275,24,FALSE))</f>
        <v/>
      </c>
      <c r="AH225" s="764" t="str">
        <f>IF(VLOOKUP(A225,'Charriage - Geschiebehaushalt'!$A$4:$AC$275,25,FALSE)="","",VLOOKUP(A225,'Charriage - Geschiebehaushalt'!$A$4:$AC$275,25,FALSE))</f>
        <v/>
      </c>
      <c r="AI225" s="441" t="str">
        <f>IF(VLOOKUP(A225,'Charriage - Geschiebehaushalt'!$A$4:$AC$275,26,FALSE)="","",VLOOKUP(A225,'Charriage - Geschiebehaushalt'!$A$4:$AC$275,26,FALSE))</f>
        <v/>
      </c>
      <c r="AJ225" s="436" t="str">
        <f>IF(VLOOKUP(A225,'Charriage - Geschiebehaushalt'!$A$4:$AC$275,27,FALSE)="","",VLOOKUP(A225,'Charriage - Geschiebehaushalt'!$A$4:$AC$275,27,FALSE))</f>
        <v>Objekt wurde nicht ins nationale Inventar aufgenommen (es handelt sich um einen Geschiebesammler) - streichen</v>
      </c>
      <c r="AK225" s="814" t="str">
        <f>IF(VLOOKUP(A225,'Charriage - Geschiebehaushalt'!$A$4:$AC$275,28,FALSE)="","",VLOOKUP(A225,'Charriage - Geschiebehaushalt'!$A$4:$AC$275,28,FALSE))</f>
        <v>0-20%</v>
      </c>
      <c r="AL225" s="1285" t="str">
        <f>IF(VLOOKUP(A225,'Charriage - Geschiebehaushalt'!$A$4:$AD$275,30,FALSE)="","",VLOOKUP(A225,'Charriage - Geschiebehaushalt'!$A$4:$AD$275,30,FALSE))</f>
        <v>a</v>
      </c>
      <c r="AM225" s="1279" t="str">
        <f>IF(VLOOKUP(A225,'Débit - Abfluss'!$A$4:$K$275,5,FALSE)="","",VLOOKUP(A225,'Débit - Abfluss'!$A$4:$M$275,5,FALSE))</f>
        <v>21-40%</v>
      </c>
      <c r="AN225" s="868" t="str">
        <f>IF(VLOOKUP(A225,'Débit - Abfluss'!$A$4:$K$275,6,FALSE)="","",VLOOKUP(A225,'Débit - Abfluss'!$A$4:$M$275,6,FALSE))</f>
        <v/>
      </c>
      <c r="AO225" s="869" t="str">
        <f>IF(VLOOKUP(A225,'Débit - Abfluss'!$A$4:$K$275,7,FALSE)="","",VLOOKUP(A225,'Débit - Abfluss'!$A$4:$M$275,7,FALSE))</f>
        <v/>
      </c>
      <c r="AP225" s="766" t="str">
        <f>IF(VLOOKUP(A225,'Débit - Abfluss'!$A$4:$K$275,8,FALSE)="","",VLOOKUP(A225,'Débit - Abfluss'!$A$4:$M$275,8,FALSE))</f>
        <v>21-40%</v>
      </c>
      <c r="AQ225" s="678" t="str">
        <f>IF(VLOOKUP(A225,'Débit - Abfluss'!$A$4:$K$275,9,FALSE)="","",VLOOKUP(A225,'Débit - Abfluss'!$A$4:$M$275,9,FALSE))</f>
        <v>&lt;10%</v>
      </c>
      <c r="AR225" s="767" t="str">
        <f>IF(VLOOKUP(A225,'Débit - Abfluss'!$A$4:$K$275,10,FALSE)="","",VLOOKUP(A225,'Débit - Abfluss'!$A$4:$M$275,10,FALSE))</f>
        <v>21-40%</v>
      </c>
      <c r="AS225" s="767" t="str">
        <f>IF(VLOOKUP(A225,'Débit - Abfluss'!$A$4:$K$275,11,FALSE)="","",VLOOKUP(A225,'Débit - Abfluss'!$A$4:$M$275,11,FALSE))</f>
        <v/>
      </c>
      <c r="AT225" s="744" t="str">
        <f>IF(VLOOKUP(A225,'Débit - Abfluss'!$A$4:$Q$275,12,FALSE)="","",VLOOKUP(A225,'Débit - Abfluss'!$A$4:$Q$275,12,FALSE))</f>
        <v/>
      </c>
      <c r="AU225" s="813" t="str">
        <f>IF(VLOOKUP(A225,'Débit - Abfluss'!$A$4:$Q$275,13,FALSE)="","",VLOOKUP(A225,'Débit - Abfluss'!$A$4:$Q$275,13,FALSE))</f>
        <v>Objekt wurde nicht ins nationale Inventar aufgenommen (es handelt sich um einen Geschiebesammler) - streichen</v>
      </c>
      <c r="AV225" s="746" t="str">
        <f>IF(VLOOKUP(A225,'Débit - Abfluss'!$A$4:$Q$275,14,FALSE)="","",VLOOKUP(A225,'Débit - Abfluss'!$A$4:$Q$275,14,FALSE))</f>
        <v>SZ-W4</v>
      </c>
      <c r="AW225" s="768" t="str">
        <f>IF(VLOOKUP(A225,'Débit - Abfluss'!$A$4:$Q$275,15,FALSE)="","",VLOOKUP(A225,'Débit - Abfluss'!$A$4:$Q$275,15,FALSE))</f>
        <v>Balm (Muota)</v>
      </c>
      <c r="AX225" s="679" t="str">
        <f>IF(VLOOKUP(A225,'Débit - Abfluss'!$A$4:$Q$275,16,FALSE)="","",VLOOKUP(A225,'Débit - Abfluss'!$A$4:$Q$275,16,FALSE))</f>
        <v>Neukonzessionierung 2030 (UVB 2017)</v>
      </c>
      <c r="AY225" s="769" t="str">
        <f>IF(VLOOKUP(A225,'Débit - Abfluss'!$A$4:$Q$275,17,FALSE)="","",VLOOKUP(A225,'Débit - Abfluss'!$A$4:$Q$275,17,FALSE))</f>
        <v>21-40%</v>
      </c>
      <c r="AZ225" s="749" t="str">
        <f>IF(VLOOKUP(A225,'Eclusée - Schwall-Sunk'!$A$2:$F$273,5,FALSE)="","",VLOOKUP(A225,'Eclusée - Schwall-Sunk'!$A$2:$F$273,5,FALSE))</f>
        <v>force hydraulique</v>
      </c>
      <c r="BA225" s="750" t="str">
        <f>IF(VLOOKUP(A225,'Eclusée - Schwall-Sunk'!$A$2:$F$273,6,FALSE)="","",VLOOKUP(A225,'Eclusée - Schwall-Sunk'!$A$2:$F$273,6,FALSE))</f>
        <v>Potentiellement affecté / möglicherweise betroffen</v>
      </c>
      <c r="BB225" s="751" t="str">
        <f>IF(VLOOKUP(A225,'Revitalisation-Revitalisierung'!$A$4:$Z$275,5,FALSE)="","",VLOOKUP(A225,'Revitalisation-Revitalisierung'!$A$4:$Z$275,5,FALSE))</f>
        <v/>
      </c>
      <c r="BC225" s="752" t="str">
        <f>IF(VLOOKUP(A225,'Revitalisation-Revitalisierung'!$A$4:$Z$275,6,FALSE)="","",VLOOKUP(A225,'Revitalisation-Revitalisierung'!$A$4:$Z$275,6,FALSE))</f>
        <v/>
      </c>
      <c r="BD225" s="752" t="str">
        <f>IF(VLOOKUP(A225,'Revitalisation-Revitalisierung'!$A$4:$Z$275,7,FALSE)="","",VLOOKUP(A225,'Revitalisation-Revitalisierung'!$A$4:$Z$275,7,FALSE))</f>
        <v/>
      </c>
      <c r="BE225" s="753" t="str">
        <f>IF(VLOOKUP(A225,'Revitalisation-Revitalisierung'!$A$4:$Z$275,8,FALSE)="","",VLOOKUP(A225,'Revitalisation-Revitalisierung'!$A$4:$Z$275,8,FALSE))</f>
        <v/>
      </c>
      <c r="BF225" s="754" t="str">
        <f>IF(VLOOKUP(A225,'Revitalisation-Revitalisierung'!$A$4:$Z$275,9,FALSE)="","",VLOOKUP(A225,'Revitalisation-Revitalisierung'!$A$4:$Z$275,9,FALSE))</f>
        <v>nicht nötig</v>
      </c>
      <c r="BG225" s="754" t="str">
        <f>IF(VLOOKUP(A225,'Revitalisation-Revitalisierung'!$A$4:$Z$275,10,FALSE)="","",VLOOKUP(A225,'Revitalisation-Revitalisierung'!$A$4:$Z$275,10,FALSE))</f>
        <v/>
      </c>
      <c r="BH225" s="755" t="str">
        <f>IF(VLOOKUP(A225,'Revitalisation-Revitalisierung'!$A$4:$Z$275,11,FALSE)="","",VLOOKUP(A225,'Revitalisation-Revitalisierung'!$A$4:$Z$275,11,FALSE))</f>
        <v>non nécessaire</v>
      </c>
      <c r="BI225" s="756" t="str">
        <f>IF(VLOOKUP(A225,'Revitalisation-Revitalisierung'!$A$4:$Z$275,12,FALSE)="","",VLOOKUP(A225,'Revitalisation-Revitalisierung'!$A$4:$Z$275,12,FALSE))</f>
        <v/>
      </c>
      <c r="BJ225" s="788" t="str">
        <f>IF(VLOOKUP(A225,'Revitalisation-Revitalisierung'!$A$4:$Z$275,13,FALSE)="","",VLOOKUP(A225,'Revitalisation-Revitalisierung'!$A$4:$Z$275,13,FALSE))</f>
        <v>Très nécessaire, difficile / unbedingt nötig, schwierig</v>
      </c>
      <c r="BK225" s="870" t="str">
        <f>IF(VLOOKUP(A225,'Revitalisation-Revitalisierung'!$A$4:$Z$275,14,FALSE)="","",VLOOKUP(A225,'Revitalisation-Revitalisierung'!$A$4:$Z$275,14,FALSE))</f>
        <v>b</v>
      </c>
      <c r="BL225" s="758" t="str">
        <f>IF(VLOOKUP(A225,'Revitalisation-Revitalisierung'!$A$4:$Z$275,15,FALSE)="","",VLOOKUP(A225,'Revitalisation-Revitalisierung'!$A$4:$Z$275,15,FALSE))</f>
        <v>gross</v>
      </c>
      <c r="BM225" s="759" t="str">
        <f>IF(VLOOKUP(A225,'Revitalisation-Revitalisierung'!$A$4:$Z$275,16,FALSE)="","",VLOOKUP(A225,'Revitalisation-Revitalisierung'!$A$4:$Z$275,16,FALSE))</f>
        <v>mittel/gering</v>
      </c>
      <c r="BN225" s="759" t="str">
        <f>IF(VLOOKUP(A225,'Revitalisation-Revitalisierung'!$A$4:$Z$275,17,FALSE)="","",VLOOKUP(A225,'Revitalisation-Revitalisierung'!$A$4:$Z$275,17,FALSE))</f>
        <v>-</v>
      </c>
      <c r="BO225" s="760" t="str">
        <f>IF(VLOOKUP(A225,'Revitalisation-Revitalisierung'!$A$4:$Z$275,18,FALSE)="","",VLOOKUP(A225,'Revitalisation-Revitalisierung'!$A$4:$Z$275,18,FALSE))</f>
        <v>Partiellement nécessaire, difficile / teilweise nötig, schwierig</v>
      </c>
      <c r="BP225" s="761" t="str">
        <f>IF(VLOOKUP(A225,'Revitalisation-Revitalisierung'!$A$4:$Z$275,19,FALSE)="","",VLOOKUP(A225,'Revitalisation-Revitalisierung'!$A$4:$Z$275,19,FALSE))</f>
        <v>Partiellement nécessaire, difficile / teilweise nötig, schwierig</v>
      </c>
      <c r="BQ225" s="759" t="str">
        <f>IF(VLOOKUP(A225,'Revitalisation-Revitalisierung'!$A$4:$Z$275,20,FALSE)="","",VLOOKUP(A225,'Revitalisation-Revitalisierung'!$A$4:$Z$275,20,FALSE))</f>
        <v>c</v>
      </c>
      <c r="BR225" s="759" t="str">
        <f>IF(VLOOKUP(A225,'Revitalisation-Revitalisierung'!$A$4:$Z$275,21,FALSE)="","",VLOOKUP(A225,'Revitalisation-Revitalisierung'!$A$4:$Z$275,21,FALSE))</f>
        <v/>
      </c>
      <c r="BS225" s="762" t="str">
        <f>IF(VLOOKUP(A225,'Revitalisation-Revitalisierung'!$A$4:$Z$275,22,FALSE)="","",VLOOKUP(A225,'Revitalisation-Revitalisierung'!$A$4:$Z$275,22,FALSE))</f>
        <v/>
      </c>
      <c r="BT225" s="700" t="str">
        <f>IF(VLOOKUP(A225,'Revitalisation-Revitalisierung'!$A$4:$Z$275,23,FALSE)="","",VLOOKUP(A225,'Revitalisation-Revitalisierung'!$A$4:$Z$275,23,FALSE))</f>
        <v/>
      </c>
      <c r="BU225" s="699" t="str">
        <f>IF(VLOOKUP(A225,'Revitalisation-Revitalisierung'!$A$4:$Z$275,24,FALSE)="","",VLOOKUP(A225,'Revitalisation-Revitalisierung'!$A$4:$Z$275,24,FALSE))</f>
        <v>Objekt wurde nicht ins nationale Inventar aufgenommen (es handelt sich um einen Geschiebesammler) - streichen</v>
      </c>
      <c r="BV225" s="761" t="str">
        <f>IF(VLOOKUP(A225,'Revitalisation-Revitalisierung'!$A$4:$Z$275,25,FALSE)="","",VLOOKUP(A225,'Revitalisation-Revitalisierung'!$A$4:$Z$275,25,FALSE))</f>
        <v>Partiellement nécessaire, difficile / teilweise nötig, schwierig</v>
      </c>
      <c r="BW225" s="871" t="str">
        <f>IF(VLOOKUP(A225,'Revitalisation-Revitalisierung'!$A$4:$AA$275,27,FALSE)="","",VLOOKUP(A225,'Revitalisation-Revitalisierung'!$A$4:$AA$275,27,FALSE))</f>
        <v>a</v>
      </c>
    </row>
    <row r="226" spans="1:75" ht="93" customHeight="1" x14ac:dyDescent="0.25">
      <c r="A226" s="940">
        <v>347</v>
      </c>
      <c r="B226" s="856">
        <f>IF(VLOOKUP(A226,'Données de base - Grunddaten'!$A$2:$M$297,2,FALSE)="","",VLOOKUP(A226,'Données de base - Grunddaten'!$A$2:$M$297,2,FALSE))</f>
        <v>1</v>
      </c>
      <c r="C226" s="857" t="str">
        <f>IF(VLOOKUP(A226,'Données de base - Grunddaten'!$A$2:$M$297,3,FALSE)="","",VLOOKUP(A226,'Données de base - Grunddaten'!$A$2:$M$297,3,FALSE))</f>
        <v>Gampeleggen–Richisau</v>
      </c>
      <c r="D226" s="857" t="str">
        <f>IF(VLOOKUP(A226,'Données de base - Grunddaten'!$A$2:$M$297,4,FALSE)="","",VLOOKUP(A226,'Données de base - Grunddaten'!$A$2:$M$297,4,FALSE))</f>
        <v>Chlü, Chlön</v>
      </c>
      <c r="E226" s="857" t="str">
        <f>IF(VLOOKUP(A226,'Données de base - Grunddaten'!$A$2:$M$297,5,FALSE)="","",VLOOKUP(A226,'Données de base - Grunddaten'!$A$2:$M$297,5,FALSE))</f>
        <v>GL/SZ</v>
      </c>
      <c r="F226" s="857" t="str">
        <f>IF(VLOOKUP(A226,'Données de base - Grunddaten'!$A$2:$M$297,6,FALSE)="","",VLOOKUP(A226,'Données de base - Grunddaten'!$A$2:$M$297,6,FALSE))</f>
        <v>Alpes septentrionales</v>
      </c>
      <c r="G226" s="857" t="str">
        <f>IF(VLOOKUP(A226,'Données de base - Grunddaten'!$A$2:$M$297,7,FALSE)="","",VLOOKUP(A226,'Données de base - Grunddaten'!$A$2:$M$297,7,FALSE))</f>
        <v>Montagnard sup.</v>
      </c>
      <c r="H226" s="857">
        <f>IF(VLOOKUP(A226,'Données de base - Grunddaten'!$A$2:$M$297,8,FALSE)="","",VLOOKUP(A226,'Données de base - Grunddaten'!$A$2:$M$297,8,FALSE))</f>
        <v>1120</v>
      </c>
      <c r="I226" s="857" t="str">
        <f>IF(VLOOKUP(A226,'Données de base - Grunddaten'!$A$2:$M$297,9,FALSE)="","",VLOOKUP(A226,'Données de base - Grunddaten'!$A$2:$M$297,9,FALSE))</f>
        <v>candidat</v>
      </c>
      <c r="J226" s="857">
        <f>IF(VLOOKUP(A226,'Données de base - Grunddaten'!$A$2:$M$297,10,FALSE)="","",VLOOKUP(A226,'Données de base - Grunddaten'!$A$2:$M$297,10,FALSE))</f>
        <v>42</v>
      </c>
      <c r="K226" s="857" t="str">
        <f>IF(VLOOKUP(A226,'Données de base - Grunddaten'!$A$2:$M$297,11,FALSE)="","",VLOOKUP(A226,'Données de base - Grunddaten'!$A$2:$M$297,11,FALSE))</f>
        <v>Cours d'eau naturels de l'étage montagnard</v>
      </c>
      <c r="L226" s="857" t="str">
        <f>IF(VLOOKUP(A226,'Données de base - Grunddaten'!$A$2:$M$297,12,FALSE)="","",VLOOKUP(A226,'Données de base - Grunddaten'!$A$2:$M$297,12,FALSE))</f>
        <v>méandres migrants</v>
      </c>
      <c r="M226" s="858" t="str">
        <f>IF(VLOOKUP(A226,'Données de base - Grunddaten'!$A$2:$M$297,13,FALSE)="","",VLOOKUP(A226,'Données de base - Grunddaten'!$A$2:$M$297,13,FALSE))</f>
        <v>méandres migrants</v>
      </c>
      <c r="N226" s="872" t="str">
        <f>IF(VLOOKUP(A226,'Charriage - Geschiebehaushalt'!$A$4:$R$275,5,FALSE)="","",VLOOKUP(A226,'Charriage - Geschiebehaushalt'!$A$4:$R$275,5,FALSE))</f>
        <v>pertinent</v>
      </c>
      <c r="O226" s="881" t="str">
        <f>IF(VLOOKUP(A226,'Charriage - Geschiebehaushalt'!$A$4:$R$275,6,FALSE)="","",VLOOKUP(A226,'Charriage - Geschiebehaushalt'!$A$4:$R$275,6,FALSE))</f>
        <v>non documenté</v>
      </c>
      <c r="P226" s="874" t="str">
        <f>IF(VLOOKUP(A226,'Charriage - Geschiebehaushalt'!$A$4:$R$275,7,FALSE)="","",VLOOKUP(A226,'Charriage - Geschiebehaushalt'!$A$4:$R$275,7,FALSE))</f>
        <v/>
      </c>
      <c r="Q226" s="874" t="str">
        <f>IF(VLOOKUP(A226,'Charriage - Geschiebehaushalt'!$A$4:$R$275,8,FALSE)="","",VLOOKUP(A226,'Charriage - Geschiebehaushalt'!$A$4:$R$275,8,FALSE))</f>
        <v>non documenté</v>
      </c>
      <c r="R226" s="875">
        <f>IF(VLOOKUP(A226,'Charriage - Geschiebehaushalt'!$A$4:$R$275,9,FALSE)="","",VLOOKUP(A226,'Charriage - Geschiebehaushalt'!$A$4:$R$275,9,FALSE))</f>
        <v>1.2E-2</v>
      </c>
      <c r="S226" s="876" t="str">
        <f>IF(VLOOKUP(A226,'Charriage - Geschiebehaushalt'!$A$4:$R$275,10,FALSE)="","",VLOOKUP(A226,'Charriage - Geschiebehaushalt'!$A$4:$R$275,10,FALSE))</f>
        <v>pas ou faiblement entravé</v>
      </c>
      <c r="T226" s="908">
        <f>IF(VLOOKUP(A226,'Charriage - Geschiebehaushalt'!$A$4:$R$275,11,FALSE)="","",VLOOKUP(A226,'Charriage - Geschiebehaushalt'!$A$4:$R$275,11,FALSE))</f>
        <v>0.152</v>
      </c>
      <c r="U226" s="876" t="str">
        <f>IF(VLOOKUP(A226,'Charriage - Geschiebehaushalt'!$A$4:$R$275,12,FALSE)="","",VLOOKUP(A226,'Charriage - Geschiebehaushalt'!$A$4:$R$275,12,FALSE))</f>
        <v>déficit dans les formations pionnières</v>
      </c>
      <c r="V226" s="877" t="str">
        <f>IF(VLOOKUP(A226,'Charriage - Geschiebehaushalt'!$A$4:$R$275,13,FALSE)="","",VLOOKUP(A226,'Charriage - Geschiebehaushalt'!$A$4:$R$275,13,FALSE))</f>
        <v>Système alluvial du cours principal et des affluents paraissent naturel, mais cous d'eau encaissé</v>
      </c>
      <c r="W226" s="877" t="str">
        <f>IF(VLOOKUP(A226,'Charriage - Geschiebehaushalt'!$A$4:$R$275,14,FALSE)="","",VLOOKUP(A226,'Charriage - Geschiebehaushalt'!$A$4:$R$275,14,FALSE))</f>
        <v>A vérifier</v>
      </c>
      <c r="X226" s="877" t="str">
        <f>IF(VLOOKUP(A226,'Charriage - Geschiebehaushalt'!$A$4:$R$275,15,FALSE)="","",VLOOKUP(A226,'Charriage - Geschiebehaushalt'!$A$4:$R$275,15,FALSE))</f>
        <v>pas d'ouvrage dans le bassin versant</v>
      </c>
      <c r="Y226" s="882" t="str">
        <f>IF(VLOOKUP(A226,'Charriage - Geschiebehaushalt'!$A$4:$R$275,16,FALSE)="","",VLOOKUP(A226,'Charriage - Geschiebehaushalt'!$A$4:$R$275,16,FALSE))</f>
        <v>charriage présumé naturel</v>
      </c>
      <c r="Z226" s="763" t="str">
        <f>IF(VLOOKUP(A226,'Charriage - Geschiebehaushalt'!$A$4:$R$275,17,FALSE)="","",VLOOKUP(A226,'Charriage - Geschiebehaushalt'!$A$4:$R$275,17,FALSE))</f>
        <v>Charriage présumé naturel / Geschiebehaushalt vermutlich natürlich</v>
      </c>
      <c r="AA226" s="880" t="str">
        <f>IF(VLOOKUP(A226,'Charriage - Geschiebehaushalt'!$A$4:$R$275,18,FALSE)="","",VLOOKUP(A226,'Charriage - Geschiebehaushalt'!$A$4:$R$275,18,FALSE))</f>
        <v>b</v>
      </c>
      <c r="AB226" s="737" t="str">
        <f>IF(VLOOKUP(A226,'Charriage - Geschiebehaushalt'!$A$4:$AC$275,19,FALSE)="","",VLOOKUP(A226,'Charriage - Geschiebehaushalt'!$A$4:$AC$275,19,FALSE))</f>
        <v>- /
-</v>
      </c>
      <c r="AC226" s="738" t="str">
        <f>IF(VLOOKUP(A226,'Charriage - Geschiebehaushalt'!$A$4:$AC$275,20,FALSE)="","",VLOOKUP(A226,'Charriage - Geschiebehaushalt'!$A$4:$AC$275,20,FALSE))</f>
        <v>keine Anlagen /
-</v>
      </c>
      <c r="AD226" s="764" t="str">
        <f>IF(VLOOKUP(A226,'Charriage - Geschiebehaushalt'!$A$4:$AC$275,21,FALSE)="","",VLOOKUP(A226,'Charriage - Geschiebehaushalt'!$A$4:$AC$275,21,FALSE))</f>
        <v/>
      </c>
      <c r="AE226" s="740" t="str">
        <f>IF(VLOOKUP(A226,'Charriage - Geschiebehaushalt'!$A$4:$AC$275,22,FALSE)="","",VLOOKUP(A226,'Charriage - Geschiebehaushalt'!$A$4:$AC$275,22,FALSE))</f>
        <v>0-20%</v>
      </c>
      <c r="AF226" s="787" t="str">
        <f>IF(VLOOKUP(A226,'Charriage - Geschiebehaushalt'!$A$4:$AC$275,23,FALSE)="","",VLOOKUP(A226,'Charriage - Geschiebehaushalt'!$A$4:$AC$275,23,FALSE))</f>
        <v>b</v>
      </c>
      <c r="AG226" s="765" t="str">
        <f>IF(VLOOKUP(A226,'Charriage - Geschiebehaushalt'!$A$4:$AC$275,24,FALSE)="","",VLOOKUP(A226,'Charriage - Geschiebehaushalt'!$A$4:$AC$275,24,FALSE))</f>
        <v/>
      </c>
      <c r="AH226" s="764" t="str">
        <f>IF(VLOOKUP(A226,'Charriage - Geschiebehaushalt'!$A$4:$AC$275,25,FALSE)="","",VLOOKUP(A226,'Charriage - Geschiebehaushalt'!$A$4:$AC$275,25,FALSE))</f>
        <v/>
      </c>
      <c r="AI226" s="438" t="str">
        <f>IF(VLOOKUP(A226,'Charriage - Geschiebehaushalt'!$A$4:$AC$275,26,FALSE)="","",VLOOKUP(A226,'Charriage - Geschiebehaushalt'!$A$4:$AC$275,26,FALSE))</f>
        <v/>
      </c>
      <c r="AJ226" s="436" t="str">
        <f>IF(VLOOKUP(A226,'Charriage - Geschiebehaushalt'!$A$4:$AC$275,27,FALSE)="","",VLOOKUP(A226,'Charriage - Geschiebehaushalt'!$A$4:$AC$275,27,FALSE))</f>
        <v/>
      </c>
      <c r="AK226" s="801" t="str">
        <f>IF(VLOOKUP(A226,'Charriage - Geschiebehaushalt'!$A$4:$AC$275,28,FALSE)="","",VLOOKUP(A226,'Charriage - Geschiebehaushalt'!$A$4:$AC$275,28,FALSE))</f>
        <v>0-20%</v>
      </c>
      <c r="AL226" s="1285" t="str">
        <f>IF(VLOOKUP(A226,'Charriage - Geschiebehaushalt'!$A$4:$AD$275,30,FALSE)="","",VLOOKUP(A226,'Charriage - Geschiebehaushalt'!$A$4:$AD$275,30,FALSE))</f>
        <v>b</v>
      </c>
      <c r="AM226" s="1279" t="str">
        <f>IF(VLOOKUP(A226,'Débit - Abfluss'!$A$4:$K$275,5,FALSE)="","",VLOOKUP(A226,'Débit - Abfluss'!$A$4:$M$275,5,FALSE))</f>
        <v>non documenté</v>
      </c>
      <c r="AN226" s="868" t="str">
        <f>IF(VLOOKUP(A226,'Débit - Abfluss'!$A$4:$K$275,6,FALSE)="","",VLOOKUP(A226,'Débit - Abfluss'!$A$4:$M$275,6,FALSE))</f>
        <v>aucune information supplémentaire</v>
      </c>
      <c r="AO226" s="869" t="str">
        <f>IF(VLOOKUP(A226,'Débit - Abfluss'!$A$4:$K$275,7,FALSE)="","",VLOOKUP(A226,'Débit - Abfluss'!$A$4:$M$275,7,FALSE))</f>
        <v>aucune information supplémentaire</v>
      </c>
      <c r="AP226" s="766" t="str">
        <f>IF(VLOOKUP(A226,'Débit - Abfluss'!$A$4:$K$275,8,FALSE)="","",VLOOKUP(A226,'Débit - Abfluss'!$A$4:$M$275,8,FALSE))</f>
        <v>Régime présumé naturel (100%) / Abfluss vermutlich natürlich</v>
      </c>
      <c r="AQ226" s="742" t="str">
        <f>IF(VLOOKUP(A226,'Débit - Abfluss'!$A$4:$K$275,9,FALSE)="","",VLOOKUP(A226,'Débit - Abfluss'!$A$4:$M$275,9,FALSE))</f>
        <v>-</v>
      </c>
      <c r="AR226" s="767" t="str">
        <f>IF(VLOOKUP(A226,'Débit - Abfluss'!$A$4:$K$275,10,FALSE)="","",VLOOKUP(A226,'Débit - Abfluss'!$A$4:$M$275,10,FALSE))</f>
        <v>Régime présumé naturel (100%) / Abfluss vermutlich natürlich</v>
      </c>
      <c r="AS226" s="767" t="str">
        <f>IF(VLOOKUP(A226,'Débit - Abfluss'!$A$4:$K$275,11,FALSE)="","",VLOOKUP(A226,'Débit - Abfluss'!$A$4:$M$275,11,FALSE))</f>
        <v/>
      </c>
      <c r="AT226" s="778" t="str">
        <f>IF(VLOOKUP(A226,'Débit - Abfluss'!$A$4:$Q$275,12,FALSE)="","",VLOOKUP(A226,'Débit - Abfluss'!$A$4:$Q$275,12,FALSE))</f>
        <v/>
      </c>
      <c r="AU226" s="779" t="str">
        <f>IF(VLOOKUP(A226,'Débit - Abfluss'!$A$4:$Q$275,13,FALSE)="","",VLOOKUP(A226,'Débit - Abfluss'!$A$4:$Q$275,13,FALSE))</f>
        <v/>
      </c>
      <c r="AV226" s="746" t="str">
        <f>IF(VLOOKUP(A226,'Débit - Abfluss'!$A$4:$Q$275,14,FALSE)="","",VLOOKUP(A226,'Débit - Abfluss'!$A$4:$Q$275,14,FALSE))</f>
        <v/>
      </c>
      <c r="AW226" s="768" t="str">
        <f>IF(VLOOKUP(A226,'Débit - Abfluss'!$A$4:$Q$275,15,FALSE)="","",VLOOKUP(A226,'Débit - Abfluss'!$A$4:$Q$275,15,FALSE))</f>
        <v/>
      </c>
      <c r="AX226" s="679" t="str">
        <f>IF(VLOOKUP(A226,'Débit - Abfluss'!$A$4:$Q$275,16,FALSE)="","",VLOOKUP(A226,'Débit - Abfluss'!$A$4:$Q$275,16,FALSE))</f>
        <v/>
      </c>
      <c r="AY226" s="802" t="str">
        <f>IF(VLOOKUP(A226,'Débit - Abfluss'!$A$4:$Q$275,17,FALSE)="","",VLOOKUP(A226,'Débit - Abfluss'!$A$4:$Q$275,17,FALSE))</f>
        <v>Régime présumé naturel (100%) / Abfluss vermutlich natürlich</v>
      </c>
      <c r="AZ226" s="749" t="str">
        <f>IF(VLOOKUP(A226,'Eclusée - Schwall-Sunk'!$A$2:$F$273,5,FALSE)="","",VLOOKUP(A226,'Eclusée - Schwall-Sunk'!$A$2:$F$273,5,FALSE))</f>
        <v/>
      </c>
      <c r="BA226" s="750" t="str">
        <f>IF(VLOOKUP(A226,'Eclusée - Schwall-Sunk'!$A$2:$F$273,6,FALSE)="","",VLOOKUP(A226,'Eclusée - Schwall-Sunk'!$A$2:$F$273,6,FALSE))</f>
        <v>Non affecté / nicht betroffen</v>
      </c>
      <c r="BB226" s="751" t="str">
        <f>IF(VLOOKUP(A226,'Revitalisation-Revitalisierung'!$A$4:$Z$275,5,FALSE)="","",VLOOKUP(A226,'Revitalisation-Revitalisierung'!$A$4:$Z$275,5,FALSE))</f>
        <v/>
      </c>
      <c r="BC226" s="752" t="str">
        <f>IF(VLOOKUP(A226,'Revitalisation-Revitalisierung'!$A$4:$Z$275,6,FALSE)="","",VLOOKUP(A226,'Revitalisation-Revitalisierung'!$A$4:$Z$275,6,FALSE))</f>
        <v/>
      </c>
      <c r="BD226" s="752" t="str">
        <f>IF(VLOOKUP(A226,'Revitalisation-Revitalisierung'!$A$4:$Z$275,7,FALSE)="","",VLOOKUP(A226,'Revitalisation-Revitalisierung'!$A$4:$Z$275,7,FALSE))</f>
        <v/>
      </c>
      <c r="BE226" s="753" t="str">
        <f>IF(VLOOKUP(A226,'Revitalisation-Revitalisierung'!$A$4:$Z$275,8,FALSE)="","",VLOOKUP(A226,'Revitalisation-Revitalisierung'!$A$4:$Z$275,8,FALSE))</f>
        <v/>
      </c>
      <c r="BF226" s="754" t="str">
        <f>IF(VLOOKUP(A226,'Revitalisation-Revitalisierung'!$A$4:$Z$275,9,FALSE)="","",VLOOKUP(A226,'Revitalisation-Revitalisierung'!$A$4:$Z$275,9,FALSE))</f>
        <v>leicht</v>
      </c>
      <c r="BG226" s="754" t="str">
        <f>IF(VLOOKUP(A226,'Revitalisation-Revitalisierung'!$A$4:$Z$275,10,FALSE)="","",VLOOKUP(A226,'Revitalisation-Revitalisierung'!$A$4:$Z$275,10,FALSE))</f>
        <v/>
      </c>
      <c r="BH226" s="755" t="str">
        <f>IF(VLOOKUP(A226,'Revitalisation-Revitalisierung'!$A$4:$Z$275,11,FALSE)="","",VLOOKUP(A226,'Revitalisation-Revitalisierung'!$A$4:$Z$275,11,FALSE))</f>
        <v>peu  nécessaire, facile</v>
      </c>
      <c r="BI226" s="756" t="str">
        <f>IF(VLOOKUP(A226,'Revitalisation-Revitalisierung'!$A$4:$Z$275,12,FALSE)="","",VLOOKUP(A226,'Revitalisation-Revitalisierung'!$A$4:$Z$275,12,FALSE))</f>
        <v/>
      </c>
      <c r="BJ226" s="788" t="str">
        <f>IF(VLOOKUP(A226,'Revitalisation-Revitalisierung'!$A$4:$Z$275,13,FALSE)="","",VLOOKUP(A226,'Revitalisation-Revitalisierung'!$A$4:$Z$275,13,FALSE))</f>
        <v>Non nécessaire / nicht nötig</v>
      </c>
      <c r="BK226" s="870" t="str">
        <f>IF(VLOOKUP(A226,'Revitalisation-Revitalisierung'!$A$4:$Z$275,14,FALSE)="","",VLOOKUP(A226,'Revitalisation-Revitalisierung'!$A$4:$Z$275,14,FALSE))</f>
        <v>b</v>
      </c>
      <c r="BL226" s="758" t="str">
        <f>IF(VLOOKUP(A226,'Revitalisation-Revitalisierung'!$A$4:$Z$275,15,FALSE)="","",VLOOKUP(A226,'Revitalisation-Revitalisierung'!$A$4:$Z$275,15,FALSE))</f>
        <v>- /
gross</v>
      </c>
      <c r="BM226" s="759" t="str">
        <f>IF(VLOOKUP(A226,'Revitalisation-Revitalisierung'!$A$4:$Z$275,16,FALSE)="","",VLOOKUP(A226,'Revitalisation-Revitalisierung'!$A$4:$Z$275,16,FALSE))</f>
        <v>- /
gross</v>
      </c>
      <c r="BN226" s="759" t="str">
        <f>IF(VLOOKUP(A226,'Revitalisation-Revitalisierung'!$A$4:$Z$275,17,FALSE)="","",VLOOKUP(A226,'Revitalisation-Revitalisierung'!$A$4:$Z$275,17,FALSE))</f>
        <v>- /
-</v>
      </c>
      <c r="BO226" s="760" t="str">
        <f>IF(VLOOKUP(A226,'Revitalisation-Revitalisierung'!$A$4:$Z$275,18,FALSE)="","",VLOOKUP(A226,'Revitalisation-Revitalisierung'!$A$4:$Z$275,18,FALSE))</f>
        <v/>
      </c>
      <c r="BP226" s="761" t="str">
        <f>IF(VLOOKUP(A226,'Revitalisation-Revitalisierung'!$A$4:$Z$275,19,FALSE)="","",VLOOKUP(A226,'Revitalisation-Revitalisierung'!$A$4:$Z$275,19,FALSE))</f>
        <v>Non nécessaire / nicht nötig</v>
      </c>
      <c r="BQ226" s="759" t="str">
        <f>IF(VLOOKUP(A226,'Revitalisation-Revitalisierung'!$A$4:$Z$275,20,FALSE)="","",VLOOKUP(A226,'Revitalisation-Revitalisierung'!$A$4:$Z$275,20,FALSE))</f>
        <v>b</v>
      </c>
      <c r="BR226" s="759" t="str">
        <f>IF(VLOOKUP(A226,'Revitalisation-Revitalisierung'!$A$4:$Z$275,21,FALSE)="","",VLOOKUP(A226,'Revitalisation-Revitalisierung'!$A$4:$Z$275,21,FALSE))</f>
        <v>hors périmètre revit.</v>
      </c>
      <c r="BS226" s="762" t="str">
        <f>IF(VLOOKUP(A226,'Revitalisation-Revitalisierung'!$A$4:$Z$275,22,FALSE)="","",VLOOKUP(A226,'Revitalisation-Revitalisierung'!$A$4:$Z$275,22,FALSE))</f>
        <v/>
      </c>
      <c r="BT226" s="700" t="str">
        <f>IF(VLOOKUP(A226,'Revitalisation-Revitalisierung'!$A$4:$Z$275,23,FALSE)="","",VLOOKUP(A226,'Revitalisation-Revitalisierung'!$A$4:$Z$275,23,FALSE))</f>
        <v/>
      </c>
      <c r="BU226" s="699" t="str">
        <f>IF(VLOOKUP(A226,'Revitalisation-Revitalisierung'!$A$4:$Z$275,24,FALSE)="","",VLOOKUP(A226,'Revitalisation-Revitalisierung'!$A$4:$Z$275,24,FALSE))</f>
        <v/>
      </c>
      <c r="BV226" s="761" t="str">
        <f>IF(VLOOKUP(A226,'Revitalisation-Revitalisierung'!$A$4:$Z$275,25,FALSE)="","",VLOOKUP(A226,'Revitalisation-Revitalisierung'!$A$4:$Z$275,25,FALSE))</f>
        <v>Non nécessaire / nicht nötig</v>
      </c>
      <c r="BW226" s="871" t="str">
        <f>IF(VLOOKUP(A226,'Revitalisation-Revitalisierung'!$A$4:$AA$275,27,FALSE)="","",VLOOKUP(A226,'Revitalisation-Revitalisierung'!$A$4:$AA$275,27,FALSE))</f>
        <v>b</v>
      </c>
    </row>
    <row r="227" spans="1:75" ht="53.45" customHeight="1" x14ac:dyDescent="0.25">
      <c r="A227" s="1230">
        <v>348</v>
      </c>
      <c r="B227" s="856">
        <f>IF(VLOOKUP(A227,'Données de base - Grunddaten'!$A$2:$M$297,2,FALSE)="","",VLOOKUP(A227,'Données de base - Grunddaten'!$A$2:$M$297,2,FALSE))</f>
        <v>1</v>
      </c>
      <c r="C227" s="857" t="str">
        <f>IF(VLOOKUP(A227,'Données de base - Grunddaten'!$A$2:$M$297,3,FALSE)="","",VLOOKUP(A227,'Données de base - Grunddaten'!$A$2:$M$297,3,FALSE))</f>
        <v>Linth Delta</v>
      </c>
      <c r="D227" s="857" t="str">
        <f>IF(VLOOKUP(A227,'Données de base - Grunddaten'!$A$2:$M$297,4,FALSE)="","",VLOOKUP(A227,'Données de base - Grunddaten'!$A$2:$M$297,4,FALSE))</f>
        <v>Linth, Walensee</v>
      </c>
      <c r="E227" s="857" t="str">
        <f>IF(VLOOKUP(A227,'Données de base - Grunddaten'!$A$2:$M$297,5,FALSE)="","",VLOOKUP(A227,'Données de base - Grunddaten'!$A$2:$M$297,5,FALSE))</f>
        <v>GL</v>
      </c>
      <c r="F227" s="857" t="str">
        <f>IF(VLOOKUP(A227,'Données de base - Grunddaten'!$A$2:$M$297,6,FALSE)="","",VLOOKUP(A227,'Données de base - Grunddaten'!$A$2:$M$297,6,FALSE))</f>
        <v>Alpes septentrionales</v>
      </c>
      <c r="G227" s="857" t="str">
        <f>IF(VLOOKUP(A227,'Données de base - Grunddaten'!$A$2:$M$297,7,FALSE)="","",VLOOKUP(A227,'Données de base - Grunddaten'!$A$2:$M$297,7,FALSE))</f>
        <v>Collinéen</v>
      </c>
      <c r="H227" s="857" t="str">
        <f>IF(VLOOKUP(A227,'Données de base - Grunddaten'!$A$2:$M$297,8,FALSE)="","",VLOOKUP(A227,'Données de base - Grunddaten'!$A$2:$M$297,8,FALSE))</f>
        <v>420 m</v>
      </c>
      <c r="I227" s="857" t="str">
        <f>IF(VLOOKUP(A227,'Données de base - Grunddaten'!$A$2:$M$297,9,FALSE)="","",VLOOKUP(A227,'Données de base - Grunddaten'!$A$2:$M$297,9,FALSE))</f>
        <v>candidat</v>
      </c>
      <c r="J227" s="857">
        <f>IF(VLOOKUP(A227,'Données de base - Grunddaten'!$A$2:$M$297,10,FALSE)="","",VLOOKUP(A227,'Données de base - Grunddaten'!$A$2:$M$297,10,FALSE))</f>
        <v>90</v>
      </c>
      <c r="K227" s="857" t="str">
        <f>IF(VLOOKUP(A227,'Données de base - Grunddaten'!$A$2:$M$297,11,FALSE)="","",VLOOKUP(A227,'Données de base - Grunddaten'!$A$2:$M$297,11,FALSE))</f>
        <v>Delta</v>
      </c>
      <c r="L227" s="857" t="str">
        <f>IF(VLOOKUP(A227,'Données de base - Grunddaten'!$A$2:$M$297,12,FALSE)="","",VLOOKUP(A227,'Données de base - Grunddaten'!$A$2:$M$297,12,FALSE))</f>
        <v>cours rectiligne</v>
      </c>
      <c r="M227" s="858" t="str">
        <f>IF(VLOOKUP(A227,'Données de base - Grunddaten'!$A$2:$M$297,13,FALSE)="","",VLOOKUP(A227,'Données de base - Grunddaten'!$A$2:$M$297,13,FALSE))</f>
        <v>cours rectiligne</v>
      </c>
      <c r="N227" s="872" t="str">
        <f>IF(VLOOKUP(A227,'Charriage - Geschiebehaushalt'!$A$4:$R$275,5,FALSE)="","",VLOOKUP(A227,'Charriage - Geschiebehaushalt'!$A$4:$R$275,5,FALSE))</f>
        <v>pertinent</v>
      </c>
      <c r="O227" s="873" t="str">
        <f>IF(VLOOKUP(A227,'Charriage - Geschiebehaushalt'!$A$4:$R$275,6,FALSE)="","",VLOOKUP(A227,'Charriage - Geschiebehaushalt'!$A$4:$R$275,6,FALSE))</f>
        <v>21-50%</v>
      </c>
      <c r="P227" s="874" t="str">
        <f>IF(VLOOKUP(A227,'Charriage - Geschiebehaushalt'!$A$4:$R$275,7,FALSE)="","",VLOOKUP(A227,'Charriage - Geschiebehaushalt'!$A$4:$R$275,7,FALSE))</f>
        <v/>
      </c>
      <c r="Q227" s="874" t="str">
        <f>IF(VLOOKUP(A227,'Charriage - Geschiebehaushalt'!$A$4:$R$275,8,FALSE)="","",VLOOKUP(A227,'Charriage - Geschiebehaushalt'!$A$4:$R$275,8,FALSE))</f>
        <v>non documenté</v>
      </c>
      <c r="R227" s="876">
        <f>IF(VLOOKUP(A227,'Charriage - Geschiebehaushalt'!$A$4:$R$275,9,FALSE)="","",VLOOKUP(A227,'Charriage - Geschiebehaushalt'!$A$4:$R$275,9,FALSE))</f>
        <v>0.48299999999999998</v>
      </c>
      <c r="S227" s="876" t="str">
        <f>IF(VLOOKUP(A227,'Charriage - Geschiebehaushalt'!$A$4:$R$275,10,FALSE)="","",VLOOKUP(A227,'Charriage - Geschiebehaushalt'!$A$4:$R$275,10,FALSE))</f>
        <v>la remobilisation des sédiments est perturbée</v>
      </c>
      <c r="T227" s="876" t="str">
        <f>IF(VLOOKUP(A227,'Charriage - Geschiebehaushalt'!$A$4:$R$275,11,FALSE)="","",VLOOKUP(A227,'Charriage - Geschiebehaushalt'!$A$4:$R$275,11,FALSE))</f>
        <v/>
      </c>
      <c r="U227" s="876" t="str">
        <f>IF(VLOOKUP(A227,'Charriage - Geschiebehaushalt'!$A$4:$R$275,12,FALSE)="","",VLOOKUP(A227,'Charriage - Geschiebehaushalt'!$A$4:$R$275,12,FALSE))</f>
        <v/>
      </c>
      <c r="V227" s="877" t="str">
        <f>IF(VLOOKUP(A227,'Charriage - Geschiebehaushalt'!$A$4:$R$275,13,FALSE)="","",VLOOKUP(A227,'Charriage - Geschiebehaushalt'!$A$4:$R$275,13,FALSE))</f>
        <v/>
      </c>
      <c r="W227" s="877" t="str">
        <f>IF(VLOOKUP(A227,'Charriage - Geschiebehaushalt'!$A$4:$R$275,14,FALSE)="","",VLOOKUP(A227,'Charriage - Geschiebehaushalt'!$A$4:$R$275,14,FALSE))</f>
        <v/>
      </c>
      <c r="X227" s="877" t="str">
        <f>IF(VLOOKUP(A227,'Charriage - Geschiebehaushalt'!$A$4:$R$275,15,FALSE)="","",VLOOKUP(A227,'Charriage - Geschiebehaushalt'!$A$4:$R$275,15,FALSE))</f>
        <v/>
      </c>
      <c r="Y227" s="879" t="str">
        <f>IF(VLOOKUP(A227,'Charriage - Geschiebehaushalt'!$A$4:$R$275,16,FALSE)="","",VLOOKUP(A227,'Charriage - Geschiebehaushalt'!$A$4:$R$275,16,FALSE))</f>
        <v/>
      </c>
      <c r="Z227" s="763" t="str">
        <f>IF(VLOOKUP(A227,'Charriage - Geschiebehaushalt'!$A$4:$R$275,17,FALSE)="","",VLOOKUP(A227,'Charriage - Geschiebehaushalt'!$A$4:$R$275,17,FALSE))</f>
        <v>21-50%</v>
      </c>
      <c r="AA227" s="880" t="str">
        <f>IF(VLOOKUP(A227,'Charriage - Geschiebehaushalt'!$A$4:$R$275,18,FALSE)="","",VLOOKUP(A227,'Charriage - Geschiebehaushalt'!$A$4:$R$275,18,FALSE))</f>
        <v>a</v>
      </c>
      <c r="AB227" s="737">
        <f>IF(VLOOKUP(A227,'Charriage - Geschiebehaushalt'!$A$4:$AC$275,19,FALSE)="","",VLOOKUP(A227,'Charriage - Geschiebehaushalt'!$A$4:$AC$275,19,FALSE))</f>
        <v>0</v>
      </c>
      <c r="AC227" s="738">
        <f>IF(VLOOKUP(A227,'Charriage - Geschiebehaushalt'!$A$4:$AC$275,20,FALSE)="","",VLOOKUP(A227,'Charriage - Geschiebehaushalt'!$A$4:$AC$275,20,FALSE))</f>
        <v>0</v>
      </c>
      <c r="AD227" s="764" t="str">
        <f>IF(VLOOKUP(A227,'Charriage - Geschiebehaushalt'!$A$4:$AC$275,21,FALSE)="","",VLOOKUP(A227,'Charriage - Geschiebehaushalt'!$A$4:$AC$275,21,FALSE))</f>
        <v/>
      </c>
      <c r="AE227" s="740" t="str">
        <f>IF(VLOOKUP(A227,'Charriage - Geschiebehaushalt'!$A$4:$AC$275,22,FALSE)="","",VLOOKUP(A227,'Charriage - Geschiebehaushalt'!$A$4:$AC$275,22,FALSE))</f>
        <v>21-50%</v>
      </c>
      <c r="AF227" s="787" t="str">
        <f>IF(VLOOKUP(A227,'Charriage - Geschiebehaushalt'!$A$4:$AC$275,23,FALSE)="","",VLOOKUP(A227,'Charriage - Geschiebehaushalt'!$A$4:$AC$275,23,FALSE))</f>
        <v>a</v>
      </c>
      <c r="AG227" s="765" t="str">
        <f>IF(VLOOKUP(A227,'Charriage - Geschiebehaushalt'!$A$4:$AC$275,24,FALSE)="","",VLOOKUP(A227,'Charriage - Geschiebehaushalt'!$A$4:$AC$275,24,FALSE))</f>
        <v/>
      </c>
      <c r="AH227" s="764" t="str">
        <f>IF(VLOOKUP(A227,'Charriage - Geschiebehaushalt'!$A$4:$AC$275,25,FALSE)="","",VLOOKUP(A227,'Charriage - Geschiebehaushalt'!$A$4:$AC$275,25,FALSE))</f>
        <v/>
      </c>
      <c r="AI227" s="438" t="str">
        <f>IF(VLOOKUP(A227,'Charriage - Geschiebehaushalt'!$A$4:$AC$275,26,FALSE)="","",VLOOKUP(A227,'Charriage - Geschiebehaushalt'!$A$4:$AC$275,26,FALSE))</f>
        <v/>
      </c>
      <c r="AJ227" s="436" t="str">
        <f>IF(VLOOKUP(A227,'Charriage - Geschiebehaushalt'!$A$4:$AC$275,27,FALSE)="","",VLOOKUP(A227,'Charriage - Geschiebehaushalt'!$A$4:$AC$275,27,FALSE))</f>
        <v/>
      </c>
      <c r="AK227" s="801" t="str">
        <f>IF(VLOOKUP(A227,'Charriage - Geschiebehaushalt'!$A$4:$AC$275,28,FALSE)="","",VLOOKUP(A227,'Charriage - Geschiebehaushalt'!$A$4:$AC$275,28,FALSE))</f>
        <v>21-50%</v>
      </c>
      <c r="AL227" s="1285" t="str">
        <f>IF(VLOOKUP(A227,'Charriage - Geschiebehaushalt'!$A$4:$AD$275,30,FALSE)="","",VLOOKUP(A227,'Charriage - Geschiebehaushalt'!$A$4:$AD$275,30,FALSE))</f>
        <v>a</v>
      </c>
      <c r="AM227" s="1279" t="str">
        <f>IF(VLOOKUP(A227,'Débit - Abfluss'!$A$4:$K$275,5,FALSE)="","",VLOOKUP(A227,'Débit - Abfluss'!$A$4:$M$275,5,FALSE))</f>
        <v>81-100%</v>
      </c>
      <c r="AN227" s="868" t="str">
        <f>IF(VLOOKUP(A227,'Débit - Abfluss'!$A$4:$K$275,6,FALSE)="","",VLOOKUP(A227,'Débit - Abfluss'!$A$4:$M$275,6,FALSE))</f>
        <v/>
      </c>
      <c r="AO227" s="869" t="str">
        <f>IF(VLOOKUP(A227,'Débit - Abfluss'!$A$4:$K$275,7,FALSE)="","",VLOOKUP(A227,'Débit - Abfluss'!$A$4:$M$275,7,FALSE))</f>
        <v/>
      </c>
      <c r="AP227" s="766" t="str">
        <f>IF(VLOOKUP(A227,'Débit - Abfluss'!$A$4:$K$275,8,FALSE)="","",VLOOKUP(A227,'Débit - Abfluss'!$A$4:$M$275,8,FALSE))</f>
        <v>81-100%</v>
      </c>
      <c r="AQ227" s="742" t="str">
        <f>IF(VLOOKUP(A227,'Débit - Abfluss'!$A$4:$K$275,9,FALSE)="","",VLOOKUP(A227,'Débit - Abfluss'!$A$4:$M$275,9,FALSE))</f>
        <v>-</v>
      </c>
      <c r="AR227" s="767" t="str">
        <f>IF(VLOOKUP(A227,'Débit - Abfluss'!$A$4:$K$275,10,FALSE)="","",VLOOKUP(A227,'Débit - Abfluss'!$A$4:$M$275,10,FALSE))</f>
        <v>81-100%</v>
      </c>
      <c r="AS227" s="767" t="str">
        <f>IF(VLOOKUP(A227,'Débit - Abfluss'!$A$4:$K$275,11,FALSE)="","",VLOOKUP(A227,'Débit - Abfluss'!$A$4:$M$275,11,FALSE))</f>
        <v/>
      </c>
      <c r="AT227" s="778" t="str">
        <f>IF(VLOOKUP(A227,'Débit - Abfluss'!$A$4:$Q$275,12,FALSE)="","",VLOOKUP(A227,'Débit - Abfluss'!$A$4:$Q$275,12,FALSE))</f>
        <v/>
      </c>
      <c r="AU227" s="779" t="str">
        <f>IF(VLOOKUP(A227,'Débit - Abfluss'!$A$4:$Q$275,13,FALSE)="","",VLOOKUP(A227,'Débit - Abfluss'!$A$4:$Q$275,13,FALSE))</f>
        <v/>
      </c>
      <c r="AV227" s="746" t="str">
        <f>IF(VLOOKUP(A227,'Débit - Abfluss'!$A$4:$Q$275,14,FALSE)="","",VLOOKUP(A227,'Débit - Abfluss'!$A$4:$Q$275,14,FALSE))</f>
        <v/>
      </c>
      <c r="AW227" s="768" t="str">
        <f>IF(VLOOKUP(A227,'Débit - Abfluss'!$A$4:$Q$275,15,FALSE)="","",VLOOKUP(A227,'Débit - Abfluss'!$A$4:$Q$275,15,FALSE))</f>
        <v/>
      </c>
      <c r="AX227" s="679" t="str">
        <f>IF(VLOOKUP(A227,'Débit - Abfluss'!$A$4:$Q$275,16,FALSE)="","",VLOOKUP(A227,'Débit - Abfluss'!$A$4:$Q$275,16,FALSE))</f>
        <v/>
      </c>
      <c r="AY227" s="769" t="str">
        <f>IF(VLOOKUP(A227,'Débit - Abfluss'!$A$4:$Q$275,17,FALSE)="","",VLOOKUP(A227,'Débit - Abfluss'!$A$4:$Q$275,17,FALSE))</f>
        <v>81-100%</v>
      </c>
      <c r="AZ227" s="749" t="str">
        <f>IF(VLOOKUP(A227,'Eclusée - Schwall-Sunk'!$A$2:$F$273,5,FALSE)="","",VLOOKUP(A227,'Eclusée - Schwall-Sunk'!$A$2:$F$273,5,FALSE))</f>
        <v>force hydraulique</v>
      </c>
      <c r="BA227" s="750" t="str">
        <f>IF(VLOOKUP(A227,'Eclusée - Schwall-Sunk'!$A$2:$F$273,6,FALSE)="","",VLOOKUP(A227,'Eclusée - Schwall-Sunk'!$A$2:$F$273,6,FALSE))</f>
        <v>Potentiellement affecté / möglicherweise betroffen</v>
      </c>
      <c r="BB227" s="751" t="str">
        <f>IF(VLOOKUP(A227,'Revitalisation-Revitalisierung'!$A$4:$Z$275,5,FALSE)="","",VLOOKUP(A227,'Revitalisation-Revitalisierung'!$A$4:$Z$275,5,FALSE))</f>
        <v/>
      </c>
      <c r="BC227" s="752" t="str">
        <f>IF(VLOOKUP(A227,'Revitalisation-Revitalisierung'!$A$4:$Z$275,6,FALSE)="","",VLOOKUP(A227,'Revitalisation-Revitalisierung'!$A$4:$Z$275,6,FALSE))</f>
        <v/>
      </c>
      <c r="BD227" s="752" t="str">
        <f>IF(VLOOKUP(A227,'Revitalisation-Revitalisierung'!$A$4:$Z$275,7,FALSE)="","",VLOOKUP(A227,'Revitalisation-Revitalisierung'!$A$4:$Z$275,7,FALSE))</f>
        <v/>
      </c>
      <c r="BE227" s="753" t="str">
        <f>IF(VLOOKUP(A227,'Revitalisation-Revitalisierung'!$A$4:$Z$275,8,FALSE)="","",VLOOKUP(A227,'Revitalisation-Revitalisierung'!$A$4:$Z$275,8,FALSE))</f>
        <v/>
      </c>
      <c r="BF227" s="754" t="str">
        <f>IF(VLOOKUP(A227,'Revitalisation-Revitalisierung'!$A$4:$Z$275,9,FALSE)="","",VLOOKUP(A227,'Revitalisation-Revitalisierung'!$A$4:$Z$275,9,FALSE))</f>
        <v>unmöglich</v>
      </c>
      <c r="BG227" s="754" t="str">
        <f>IF(VLOOKUP(A227,'Revitalisation-Revitalisierung'!$A$4:$Z$275,10,FALSE)="","",VLOOKUP(A227,'Revitalisation-Revitalisierung'!$A$4:$Z$275,10,FALSE))</f>
        <v/>
      </c>
      <c r="BH227" s="755" t="str">
        <f>IF(VLOOKUP(A227,'Revitalisation-Revitalisierung'!$A$4:$Z$275,11,FALSE)="","",VLOOKUP(A227,'Revitalisation-Revitalisierung'!$A$4:$Z$275,11,FALSE))</f>
        <v>très nécessaire, difficile</v>
      </c>
      <c r="BI227" s="756" t="str">
        <f>IF(VLOOKUP(A227,'Revitalisation-Revitalisierung'!$A$4:$Z$275,12,FALSE)="","",VLOOKUP(A227,'Revitalisation-Revitalisierung'!$A$4:$Z$275,12,FALSE))</f>
        <v>très entravé mais potentiel dans le lac</v>
      </c>
      <c r="BJ227" s="788" t="str">
        <f>IF(VLOOKUP(A227,'Revitalisation-Revitalisierung'!$A$4:$Z$275,13,FALSE)="","",VLOOKUP(A227,'Revitalisation-Revitalisierung'!$A$4:$Z$275,13,FALSE))</f>
        <v>Très nécessaire, difficile / unbedingt nötig, schwierig</v>
      </c>
      <c r="BK227" s="870" t="str">
        <f>IF(VLOOKUP(A227,'Revitalisation-Revitalisierung'!$A$4:$Z$275,14,FALSE)="","",VLOOKUP(A227,'Revitalisation-Revitalisierung'!$A$4:$Z$275,14,FALSE))</f>
        <v>a</v>
      </c>
      <c r="BL227" s="758" t="str">
        <f>IF(VLOOKUP(A227,'Revitalisation-Revitalisierung'!$A$4:$Z$275,15,FALSE)="","",VLOOKUP(A227,'Revitalisation-Revitalisierung'!$A$4:$Z$275,15,FALSE))</f>
        <v>-</v>
      </c>
      <c r="BM227" s="759" t="str">
        <f>IF(VLOOKUP(A227,'Revitalisation-Revitalisierung'!$A$4:$Z$275,16,FALSE)="","",VLOOKUP(A227,'Revitalisation-Revitalisierung'!$A$4:$Z$275,16,FALSE))</f>
        <v>-</v>
      </c>
      <c r="BN227" s="759" t="str">
        <f>IF(VLOOKUP(A227,'Revitalisation-Revitalisierung'!$A$4:$Z$275,17,FALSE)="","",VLOOKUP(A227,'Revitalisation-Revitalisierung'!$A$4:$Z$275,17,FALSE))</f>
        <v>-</v>
      </c>
      <c r="BO227" s="760" t="str">
        <f>IF(VLOOKUP(A227,'Revitalisation-Revitalisierung'!$A$4:$Z$275,18,FALSE)="","",VLOOKUP(A227,'Revitalisation-Revitalisierung'!$A$4:$Z$275,18,FALSE))</f>
        <v/>
      </c>
      <c r="BP227" s="761" t="str">
        <f>IF(VLOOKUP(A227,'Revitalisation-Revitalisierung'!$A$4:$Z$275,19,FALSE)="","",VLOOKUP(A227,'Revitalisation-Revitalisierung'!$A$4:$Z$275,19,FALSE))</f>
        <v>Très nécessaire, difficile / unbedingt nötig, schwierig</v>
      </c>
      <c r="BQ227" s="759" t="str">
        <f>IF(VLOOKUP(A227,'Revitalisation-Revitalisierung'!$A$4:$Z$275,20,FALSE)="","",VLOOKUP(A227,'Revitalisation-Revitalisierung'!$A$4:$Z$275,20,FALSE))</f>
        <v>a</v>
      </c>
      <c r="BR227" s="759" t="str">
        <f>IF(VLOOKUP(A227,'Revitalisation-Revitalisierung'!$A$4:$Z$275,21,FALSE)="","",VLOOKUP(A227,'Revitalisation-Revitalisierung'!$A$4:$Z$275,21,FALSE))</f>
        <v>hors périmètre revit.</v>
      </c>
      <c r="BS227" s="762" t="str">
        <f>IF(VLOOKUP(A227,'Revitalisation-Revitalisierung'!$A$4:$Z$275,22,FALSE)="","",VLOOKUP(A227,'Revitalisation-Revitalisierung'!$A$4:$Z$275,22,FALSE))</f>
        <v/>
      </c>
      <c r="BT227" s="700" t="str">
        <f>IF(VLOOKUP(A227,'Revitalisation-Revitalisierung'!$A$4:$Z$275,23,FALSE)="","",VLOOKUP(A227,'Revitalisation-Revitalisierung'!$A$4:$Z$275,23,FALSE))</f>
        <v/>
      </c>
      <c r="BU227" s="699" t="str">
        <f>IF(VLOOKUP(A227,'Revitalisation-Revitalisierung'!$A$4:$Z$275,24,FALSE)="","",VLOOKUP(A227,'Revitalisation-Revitalisierung'!$A$4:$Z$275,24,FALSE))</f>
        <v/>
      </c>
      <c r="BV227" s="761" t="str">
        <f>IF(VLOOKUP(A227,'Revitalisation-Revitalisierung'!$A$4:$Z$275,25,FALSE)="","",VLOOKUP(A227,'Revitalisation-Revitalisierung'!$A$4:$Z$275,25,FALSE))</f>
        <v>Très nécessaire, difficile / unbedingt nötig, schwierig</v>
      </c>
      <c r="BW227" s="871" t="str">
        <f>IF(VLOOKUP(A227,'Revitalisation-Revitalisierung'!$A$4:$AA$275,27,FALSE)="","",VLOOKUP(A227,'Revitalisation-Revitalisierung'!$A$4:$AA$275,27,FALSE))</f>
        <v>a</v>
      </c>
    </row>
    <row r="228" spans="1:75" ht="59.45" customHeight="1" x14ac:dyDescent="0.25">
      <c r="A228" s="935">
        <v>349</v>
      </c>
      <c r="B228" s="856">
        <f>IF(VLOOKUP(A228,'Données de base - Grunddaten'!$A$2:$M$297,2,FALSE)="","",VLOOKUP(A228,'Données de base - Grunddaten'!$A$2:$M$297,2,FALSE))</f>
        <v>1</v>
      </c>
      <c r="C228" s="857" t="str">
        <f>IF(VLOOKUP(A228,'Données de base - Grunddaten'!$A$2:$M$297,3,FALSE)="","",VLOOKUP(A228,'Données de base - Grunddaten'!$A$2:$M$297,3,FALSE))</f>
        <v>Grosstal</v>
      </c>
      <c r="D228" s="857" t="str">
        <f>IF(VLOOKUP(A228,'Données de base - Grunddaten'!$A$2:$M$297,4,FALSE)="","",VLOOKUP(A228,'Données de base - Grunddaten'!$A$2:$M$297,4,FALSE))</f>
        <v>Isitaler Bach</v>
      </c>
      <c r="E228" s="857" t="str">
        <f>IF(VLOOKUP(A228,'Données de base - Grunddaten'!$A$2:$M$297,5,FALSE)="","",VLOOKUP(A228,'Données de base - Grunddaten'!$A$2:$M$297,5,FALSE))</f>
        <v>UR</v>
      </c>
      <c r="F228" s="857" t="str">
        <f>IF(VLOOKUP(A228,'Données de base - Grunddaten'!$A$2:$M$297,6,FALSE)="","",VLOOKUP(A228,'Données de base - Grunddaten'!$A$2:$M$297,6,FALSE))</f>
        <v>Alpes septentrionales</v>
      </c>
      <c r="G228" s="857" t="str">
        <f>IF(VLOOKUP(A228,'Données de base - Grunddaten'!$A$2:$M$297,7,FALSE)="","",VLOOKUP(A228,'Données de base - Grunddaten'!$A$2:$M$297,7,FALSE))</f>
        <v>Subalpin inf.</v>
      </c>
      <c r="H228" s="857">
        <f>IF(VLOOKUP(A228,'Données de base - Grunddaten'!$A$2:$M$297,8,FALSE)="","",VLOOKUP(A228,'Données de base - Grunddaten'!$A$2:$M$297,8,FALSE))</f>
        <v>1270</v>
      </c>
      <c r="I228" s="857">
        <f>IF(VLOOKUP(A228,'Données de base - Grunddaten'!$A$2:$M$297,9,FALSE)="","",VLOOKUP(A228,'Données de base - Grunddaten'!$A$2:$M$297,9,FALSE))</f>
        <v>2003</v>
      </c>
      <c r="J228" s="857">
        <f>IF(VLOOKUP(A228,'Données de base - Grunddaten'!$A$2:$M$297,10,FALSE)="","",VLOOKUP(A228,'Données de base - Grunddaten'!$A$2:$M$297,10,FALSE))</f>
        <v>41</v>
      </c>
      <c r="K228" s="857" t="str">
        <f>IF(VLOOKUP(A228,'Données de base - Grunddaten'!$A$2:$M$297,11,FALSE)="","",VLOOKUP(A228,'Données de base - Grunddaten'!$A$2:$M$297,11,FALSE))</f>
        <v>Cours d'eau naturels de l'étage montagnard</v>
      </c>
      <c r="L228" s="857" t="str">
        <f>IF(VLOOKUP(A228,'Données de base - Grunddaten'!$A$2:$M$297,12,FALSE)="","",VLOOKUP(A228,'Données de base - Grunddaten'!$A$2:$M$297,12,FALSE))</f>
        <v>en tresses</v>
      </c>
      <c r="M228" s="858" t="str">
        <f>IF(VLOOKUP(A228,'Données de base - Grunddaten'!$A$2:$M$297,13,FALSE)="","",VLOOKUP(A228,'Données de base - Grunddaten'!$A$2:$M$297,13,FALSE))</f>
        <v>en tresses</v>
      </c>
      <c r="N228" s="872" t="str">
        <f>IF(VLOOKUP(A228,'Charriage - Geschiebehaushalt'!$A$4:$R$275,5,FALSE)="","",VLOOKUP(A228,'Charriage - Geschiebehaushalt'!$A$4:$R$275,5,FALSE))</f>
        <v>pertinent</v>
      </c>
      <c r="O228" s="881" t="str">
        <f>IF(VLOOKUP(A228,'Charriage - Geschiebehaushalt'!$A$4:$R$275,6,FALSE)="","",VLOOKUP(A228,'Charriage - Geschiebehaushalt'!$A$4:$R$275,6,FALSE))</f>
        <v>non documenté</v>
      </c>
      <c r="P228" s="874" t="str">
        <f>IF(VLOOKUP(A228,'Charriage - Geschiebehaushalt'!$A$4:$R$275,7,FALSE)="","",VLOOKUP(A228,'Charriage - Geschiebehaushalt'!$A$4:$R$275,7,FALSE))</f>
        <v/>
      </c>
      <c r="Q228" s="874" t="str">
        <f>IF(VLOOKUP(A228,'Charriage - Geschiebehaushalt'!$A$4:$R$275,8,FALSE)="","",VLOOKUP(A228,'Charriage - Geschiebehaushalt'!$A$4:$R$275,8,FALSE))</f>
        <v>non documenté</v>
      </c>
      <c r="R228" s="875">
        <f>IF(VLOOKUP(A228,'Charriage - Geschiebehaushalt'!$A$4:$R$275,9,FALSE)="","",VLOOKUP(A228,'Charriage - Geschiebehaushalt'!$A$4:$R$275,9,FALSE))</f>
        <v>6.2208010836966303E-2</v>
      </c>
      <c r="S228" s="876" t="str">
        <f>IF(VLOOKUP(A228,'Charriage - Geschiebehaushalt'!$A$4:$R$275,10,FALSE)="","",VLOOKUP(A228,'Charriage - Geschiebehaushalt'!$A$4:$R$275,10,FALSE))</f>
        <v>pas ou faiblement entravé</v>
      </c>
      <c r="T228" s="875">
        <f>IF(VLOOKUP(A228,'Charriage - Geschiebehaushalt'!$A$4:$R$275,11,FALSE)="","",VLOOKUP(A228,'Charriage - Geschiebehaushalt'!$A$4:$R$275,11,FALSE))</f>
        <v>0.15050688355</v>
      </c>
      <c r="U228" s="876" t="str">
        <f>IF(VLOOKUP(A228,'Charriage - Geschiebehaushalt'!$A$4:$R$275,12,FALSE)="","",VLOOKUP(A228,'Charriage - Geschiebehaushalt'!$A$4:$R$275,12,FALSE))</f>
        <v>déficit dans les formations pionnières</v>
      </c>
      <c r="V228" s="877" t="str">
        <f>IF(VLOOKUP(A228,'Charriage - Geschiebehaushalt'!$A$4:$R$275,13,FALSE)="","",VLOOKUP(A228,'Charriage - Geschiebehaushalt'!$A$4:$R$275,13,FALSE))</f>
        <v>Système naturel, pas de perturbation en amont</v>
      </c>
      <c r="W228" s="878" t="str">
        <f>IF(VLOOKUP(A228,'Charriage - Geschiebehaushalt'!$A$4:$R$275,14,FALSE)="","",VLOOKUP(A228,'Charriage - Geschiebehaushalt'!$A$4:$R$275,14,FALSE))</f>
        <v>charriage présumé naturel</v>
      </c>
      <c r="X228" s="878" t="str">
        <f>IF(VLOOKUP(A228,'Charriage - Geschiebehaushalt'!$A$4:$R$275,15,FALSE)="","",VLOOKUP(A228,'Charriage - Geschiebehaushalt'!$A$4:$R$275,15,FALSE))</f>
        <v/>
      </c>
      <c r="Y228" s="882" t="str">
        <f>IF(VLOOKUP(A228,'Charriage - Geschiebehaushalt'!$A$4:$R$275,16,FALSE)="","",VLOOKUP(A228,'Charriage - Geschiebehaushalt'!$A$4:$R$275,16,FALSE))</f>
        <v/>
      </c>
      <c r="Z228" s="763" t="str">
        <f>IF(VLOOKUP(A228,'Charriage - Geschiebehaushalt'!$A$4:$R$275,17,FALSE)="","",VLOOKUP(A228,'Charriage - Geschiebehaushalt'!$A$4:$R$275,17,FALSE))</f>
        <v>Charriage présumé naturel / Geschiebehaushalt vermutlich natürlich</v>
      </c>
      <c r="AA228" s="880" t="str">
        <f>IF(VLOOKUP(A228,'Charriage - Geschiebehaushalt'!$A$4:$R$275,18,FALSE)="","",VLOOKUP(A228,'Charriage - Geschiebehaushalt'!$A$4:$R$275,18,FALSE))</f>
        <v>b</v>
      </c>
      <c r="AB228" s="737">
        <f>IF(VLOOKUP(A228,'Charriage - Geschiebehaushalt'!$A$4:$AC$275,19,FALSE)="","",VLOOKUP(A228,'Charriage - Geschiebehaushalt'!$A$4:$AC$275,19,FALSE))</f>
        <v>0</v>
      </c>
      <c r="AC228" s="738">
        <f>IF(VLOOKUP(A228,'Charriage - Geschiebehaushalt'!$A$4:$AC$275,20,FALSE)="","",VLOOKUP(A228,'Charriage - Geschiebehaushalt'!$A$4:$AC$275,20,FALSE))</f>
        <v>0</v>
      </c>
      <c r="AD228" s="764" t="str">
        <f>IF(VLOOKUP(A228,'Charriage - Geschiebehaushalt'!$A$4:$AC$275,21,FALSE)="","",VLOOKUP(A228,'Charriage - Geschiebehaushalt'!$A$4:$AC$275,21,FALSE))</f>
        <v/>
      </c>
      <c r="AE228" s="740" t="str">
        <f>IF(VLOOKUP(A228,'Charriage - Geschiebehaushalt'!$A$4:$AC$275,22,FALSE)="","",VLOOKUP(A228,'Charriage - Geschiebehaushalt'!$A$4:$AC$275,22,FALSE))</f>
        <v>0-20%</v>
      </c>
      <c r="AF228" s="787" t="str">
        <f>IF(VLOOKUP(A228,'Charriage - Geschiebehaushalt'!$A$4:$AC$275,23,FALSE)="","",VLOOKUP(A228,'Charriage - Geschiebehaushalt'!$A$4:$AC$275,23,FALSE))</f>
        <v>b</v>
      </c>
      <c r="AG228" s="765" t="str">
        <f>IF(VLOOKUP(A228,'Charriage - Geschiebehaushalt'!$A$4:$AC$275,24,FALSE)="","",VLOOKUP(A228,'Charriage - Geschiebehaushalt'!$A$4:$AC$275,24,FALSE))</f>
        <v/>
      </c>
      <c r="AH228" s="764" t="str">
        <f>IF(VLOOKUP(A228,'Charriage - Geschiebehaushalt'!$A$4:$AC$275,25,FALSE)="","",VLOOKUP(A228,'Charriage - Geschiebehaushalt'!$A$4:$AC$275,25,FALSE))</f>
        <v/>
      </c>
      <c r="AI228" s="438" t="str">
        <f>IF(VLOOKUP(A228,'Charriage - Geschiebehaushalt'!$A$4:$AC$275,26,FALSE)="","",VLOOKUP(A228,'Charriage - Geschiebehaushalt'!$A$4:$AC$275,26,FALSE))</f>
        <v/>
      </c>
      <c r="AJ228" s="436" t="str">
        <f>IF(VLOOKUP(A228,'Charriage - Geschiebehaushalt'!$A$4:$AC$275,27,FALSE)="","",VLOOKUP(A228,'Charriage - Geschiebehaushalt'!$A$4:$AC$275,27,FALSE))</f>
        <v/>
      </c>
      <c r="AK228" s="814" t="str">
        <f>IF(VLOOKUP(A228,'Charriage - Geschiebehaushalt'!$A$4:$AC$275,28,FALSE)="","",VLOOKUP(A228,'Charriage - Geschiebehaushalt'!$A$4:$AC$275,28,FALSE))</f>
        <v>0-20%</v>
      </c>
      <c r="AL228" s="1285" t="str">
        <f>IF(VLOOKUP(A228,'Charriage - Geschiebehaushalt'!$A$4:$AD$275,30,FALSE)="","",VLOOKUP(A228,'Charriage - Geschiebehaushalt'!$A$4:$AD$275,30,FALSE))</f>
        <v>b</v>
      </c>
      <c r="AM228" s="1279" t="str">
        <f>IF(VLOOKUP(A228,'Débit - Abfluss'!$A$4:$K$275,5,FALSE)="","",VLOOKUP(A228,'Débit - Abfluss'!$A$4:$M$275,5,FALSE))</f>
        <v>100%</v>
      </c>
      <c r="AN228" s="868" t="str">
        <f>IF(VLOOKUP(A228,'Débit - Abfluss'!$A$4:$K$275,6,FALSE)="","",VLOOKUP(A228,'Débit - Abfluss'!$A$4:$M$275,6,FALSE))</f>
        <v>aucune information supplémentaire</v>
      </c>
      <c r="AO228" s="869" t="str">
        <f>IF(VLOOKUP(A228,'Débit - Abfluss'!$A$4:$K$275,7,FALSE)="","",VLOOKUP(A228,'Débit - Abfluss'!$A$4:$M$275,7,FALSE))</f>
        <v>aucune information supplémentaire</v>
      </c>
      <c r="AP228" s="766" t="str">
        <f>IF(VLOOKUP(A228,'Débit - Abfluss'!$A$4:$K$275,8,FALSE)="","",VLOOKUP(A228,'Débit - Abfluss'!$A$4:$M$275,8,FALSE))</f>
        <v>100%</v>
      </c>
      <c r="AQ228" s="742" t="str">
        <f>IF(VLOOKUP(A228,'Débit - Abfluss'!$A$4:$K$275,9,FALSE)="","",VLOOKUP(A228,'Débit - Abfluss'!$A$4:$M$275,9,FALSE))</f>
        <v>-</v>
      </c>
      <c r="AR228" s="767" t="str">
        <f>IF(VLOOKUP(A228,'Débit - Abfluss'!$A$4:$K$275,10,FALSE)="","",VLOOKUP(A228,'Débit - Abfluss'!$A$4:$M$275,10,FALSE))</f>
        <v>100%</v>
      </c>
      <c r="AS228" s="767" t="str">
        <f>IF(VLOOKUP(A228,'Débit - Abfluss'!$A$4:$K$275,11,FALSE)="","",VLOOKUP(A228,'Débit - Abfluss'!$A$4:$M$275,11,FALSE))</f>
        <v/>
      </c>
      <c r="AT228" s="778" t="str">
        <f>IF(VLOOKUP(A228,'Débit - Abfluss'!$A$4:$Q$275,12,FALSE)="","",VLOOKUP(A228,'Débit - Abfluss'!$A$4:$Q$275,12,FALSE))</f>
        <v/>
      </c>
      <c r="AU228" s="779" t="str">
        <f>IF(VLOOKUP(A228,'Débit - Abfluss'!$A$4:$Q$275,13,FALSE)="","",VLOOKUP(A228,'Débit - Abfluss'!$A$4:$Q$275,13,FALSE))</f>
        <v/>
      </c>
      <c r="AV228" s="746" t="str">
        <f>IF(VLOOKUP(A228,'Débit - Abfluss'!$A$4:$Q$275,14,FALSE)="","",VLOOKUP(A228,'Débit - Abfluss'!$A$4:$Q$275,14,FALSE))</f>
        <v/>
      </c>
      <c r="AW228" s="768" t="str">
        <f>IF(VLOOKUP(A228,'Débit - Abfluss'!$A$4:$Q$275,15,FALSE)="","",VLOOKUP(A228,'Débit - Abfluss'!$A$4:$Q$275,15,FALSE))</f>
        <v/>
      </c>
      <c r="AX228" s="679" t="str">
        <f>IF(VLOOKUP(A228,'Débit - Abfluss'!$A$4:$Q$275,16,FALSE)="","",VLOOKUP(A228,'Débit - Abfluss'!$A$4:$Q$275,16,FALSE))</f>
        <v/>
      </c>
      <c r="AY228" s="769" t="str">
        <f>IF(VLOOKUP(A228,'Débit - Abfluss'!$A$4:$Q$275,17,FALSE)="","",VLOOKUP(A228,'Débit - Abfluss'!$A$4:$Q$275,17,FALSE))</f>
        <v>100%</v>
      </c>
      <c r="AZ228" s="749" t="str">
        <f>IF(VLOOKUP(A228,'Eclusée - Schwall-Sunk'!$A$2:$F$273,5,FALSE)="","",VLOOKUP(A228,'Eclusée - Schwall-Sunk'!$A$2:$F$273,5,FALSE))</f>
        <v/>
      </c>
      <c r="BA228" s="750" t="str">
        <f>IF(VLOOKUP(A228,'Eclusée - Schwall-Sunk'!$A$2:$F$273,6,FALSE)="","",VLOOKUP(A228,'Eclusée - Schwall-Sunk'!$A$2:$F$273,6,FALSE))</f>
        <v>Non affecté / nicht betroffen</v>
      </c>
      <c r="BB228" s="751">
        <f>IF(VLOOKUP(A228,'Revitalisation-Revitalisierung'!$A$4:$Z$275,5,FALSE)="","",VLOOKUP(A228,'Revitalisation-Revitalisierung'!$A$4:$Z$275,5,FALSE))</f>
        <v>-13.1</v>
      </c>
      <c r="BC228" s="752">
        <f>IF(VLOOKUP(A228,'Revitalisation-Revitalisierung'!$A$4:$Z$275,6,FALSE)="","",VLOOKUP(A228,'Revitalisation-Revitalisierung'!$A$4:$Z$275,6,FALSE))</f>
        <v>1.9158168122952595</v>
      </c>
      <c r="BD228" s="752">
        <f>IF(VLOOKUP(A228,'Revitalisation-Revitalisierung'!$A$4:$Z$275,7,FALSE)="","",VLOOKUP(A228,'Revitalisation-Revitalisierung'!$A$4:$Z$275,7,FALSE))</f>
        <v>15</v>
      </c>
      <c r="BE228" s="753" t="str">
        <f>IF(VLOOKUP(A228,'Revitalisation-Revitalisierung'!$A$4:$Z$275,8,FALSE)="","",VLOOKUP(A228,'Revitalisation-Revitalisierung'!$A$4:$Z$275,8,FALSE))</f>
        <v>peu nécessaire, facile</v>
      </c>
      <c r="BF228" s="754" t="str">
        <f>IF(VLOOKUP(A228,'Revitalisation-Revitalisierung'!$A$4:$Z$275,9,FALSE)="","",VLOOKUP(A228,'Revitalisation-Revitalisierung'!$A$4:$Z$275,9,FALSE))</f>
        <v>leicht</v>
      </c>
      <c r="BG228" s="754" t="str">
        <f>IF(VLOOKUP(A228,'Revitalisation-Revitalisierung'!$A$4:$Z$275,10,FALSE)="","",VLOOKUP(A228,'Revitalisation-Revitalisierung'!$A$4:$Z$275,10,FALSE))</f>
        <v>K3</v>
      </c>
      <c r="BH228" s="755" t="str">
        <f>IF(VLOOKUP(A228,'Revitalisation-Revitalisierung'!$A$4:$Z$275,11,FALSE)="","",VLOOKUP(A228,'Revitalisation-Revitalisierung'!$A$4:$Z$275,11,FALSE))</f>
        <v/>
      </c>
      <c r="BI228" s="756" t="str">
        <f>IF(VLOOKUP(A228,'Revitalisation-Revitalisierung'!$A$4:$Z$275,12,FALSE)="","",VLOOKUP(A228,'Revitalisation-Revitalisierung'!$A$4:$Z$275,12,FALSE))</f>
        <v/>
      </c>
      <c r="BJ228" s="788" t="str">
        <f>IF(VLOOKUP(A228,'Revitalisation-Revitalisierung'!$A$4:$Z$275,13,FALSE)="","",VLOOKUP(A228,'Revitalisation-Revitalisierung'!$A$4:$Z$275,13,FALSE))</f>
        <v>Partiellement nécessaire, facile / teilweise nötig, einfach</v>
      </c>
      <c r="BK228" s="870" t="str">
        <f>IF(VLOOKUP(A228,'Revitalisation-Revitalisierung'!$A$4:$Z$275,14,FALSE)="","",VLOOKUP(A228,'Revitalisation-Revitalisierung'!$A$4:$Z$275,14,FALSE))</f>
        <v>a</v>
      </c>
      <c r="BL228" s="758" t="str">
        <f>IF(VLOOKUP(A228,'Revitalisation-Revitalisierung'!$A$4:$Z$275,15,FALSE)="","",VLOOKUP(A228,'Revitalisation-Revitalisierung'!$A$4:$Z$275,15,FALSE))</f>
        <v>keine Angaben</v>
      </c>
      <c r="BM228" s="759" t="str">
        <f>IF(VLOOKUP(A228,'Revitalisation-Revitalisierung'!$A$4:$Z$275,16,FALSE)="","",VLOOKUP(A228,'Revitalisation-Revitalisierung'!$A$4:$Z$275,16,FALSE))</f>
        <v>keine Angaben</v>
      </c>
      <c r="BN228" s="759" t="str">
        <f>IF(VLOOKUP(A228,'Revitalisation-Revitalisierung'!$A$4:$Z$275,17,FALSE)="","",VLOOKUP(A228,'Revitalisation-Revitalisierung'!$A$4:$Z$275,17,FALSE))</f>
        <v>-</v>
      </c>
      <c r="BO228" s="760" t="str">
        <f>IF(VLOOKUP(A228,'Revitalisation-Revitalisierung'!$A$4:$Z$275,18,FALSE)="","",VLOOKUP(A228,'Revitalisation-Revitalisierung'!$A$4:$Z$275,18,FALSE))</f>
        <v/>
      </c>
      <c r="BP228" s="761" t="str">
        <f>IF(VLOOKUP(A228,'Revitalisation-Revitalisierung'!$A$4:$Z$275,19,FALSE)="","",VLOOKUP(A228,'Revitalisation-Revitalisierung'!$A$4:$Z$275,19,FALSE))</f>
        <v>Partiellement nécessaire, facile / teilweise nötig, einfach</v>
      </c>
      <c r="BQ228" s="759" t="str">
        <f>IF(VLOOKUP(A228,'Revitalisation-Revitalisierung'!$A$4:$Z$275,20,FALSE)="","",VLOOKUP(A228,'Revitalisation-Revitalisierung'!$A$4:$Z$275,20,FALSE))</f>
        <v>a</v>
      </c>
      <c r="BR228" s="759" t="str">
        <f>IF(VLOOKUP(A228,'Revitalisation-Revitalisierung'!$A$4:$Z$275,21,FALSE)="","",VLOOKUP(A228,'Revitalisation-Revitalisierung'!$A$4:$Z$275,21,FALSE))</f>
        <v/>
      </c>
      <c r="BS228" s="762" t="str">
        <f>IF(VLOOKUP(A228,'Revitalisation-Revitalisierung'!$A$4:$Z$275,22,FALSE)="","",VLOOKUP(A228,'Revitalisation-Revitalisierung'!$A$4:$Z$275,22,FALSE))</f>
        <v/>
      </c>
      <c r="BT228" s="700" t="str">
        <f>IF(VLOOKUP(A228,'Revitalisation-Revitalisierung'!$A$4:$Z$275,23,FALSE)="","",VLOOKUP(A228,'Revitalisation-Revitalisierung'!$A$4:$Z$275,23,FALSE))</f>
        <v/>
      </c>
      <c r="BU228" s="699" t="str">
        <f>IF(VLOOKUP(A228,'Revitalisation-Revitalisierung'!$A$4:$Z$275,24,FALSE)="","",VLOOKUP(A228,'Revitalisation-Revitalisierung'!$A$4:$Z$275,24,FALSE))</f>
        <v/>
      </c>
      <c r="BV228" s="761" t="str">
        <f>IF(VLOOKUP(A228,'Revitalisation-Revitalisierung'!$A$4:$Z$275,25,FALSE)="","",VLOOKUP(A228,'Revitalisation-Revitalisierung'!$A$4:$Z$275,25,FALSE))</f>
        <v>Partiellement nécessaire, facile / teilweise nötig, einfach</v>
      </c>
      <c r="BW228" s="871" t="str">
        <f>IF(VLOOKUP(A228,'Revitalisation-Revitalisierung'!$A$4:$AA$275,27,FALSE)="","",VLOOKUP(A228,'Revitalisation-Revitalisierung'!$A$4:$AA$275,27,FALSE))</f>
        <v>a</v>
      </c>
    </row>
    <row r="229" spans="1:75" ht="88.9" customHeight="1" x14ac:dyDescent="0.25">
      <c r="A229" s="938">
        <v>350</v>
      </c>
      <c r="B229" s="856">
        <f>IF(VLOOKUP(A229,'Données de base - Grunddaten'!$A$2:$M$297,2,FALSE)="","",VLOOKUP(A229,'Données de base - Grunddaten'!$A$2:$M$297,2,FALSE))</f>
        <v>1</v>
      </c>
      <c r="C229" s="857" t="str">
        <f>IF(VLOOKUP(A229,'Données de base - Grunddaten'!$A$2:$M$297,3,FALSE)="","",VLOOKUP(A229,'Données de base - Grunddaten'!$A$2:$M$297,3,FALSE))</f>
        <v>LangHütte</v>
      </c>
      <c r="D229" s="857" t="str">
        <f>IF(VLOOKUP(A229,'Données de base - Grunddaten'!$A$2:$M$297,4,FALSE)="","",VLOOKUP(A229,'Données de base - Grunddaten'!$A$2:$M$297,4,FALSE))</f>
        <v>Bocki Bach</v>
      </c>
      <c r="E229" s="857" t="str">
        <f>IF(VLOOKUP(A229,'Données de base - Grunddaten'!$A$2:$M$297,5,FALSE)="","",VLOOKUP(A229,'Données de base - Grunddaten'!$A$2:$M$297,5,FALSE))</f>
        <v>UR</v>
      </c>
      <c r="F229" s="857" t="str">
        <f>IF(VLOOKUP(A229,'Données de base - Grunddaten'!$A$2:$M$297,6,FALSE)="","",VLOOKUP(A229,'Données de base - Grunddaten'!$A$2:$M$297,6,FALSE))</f>
        <v>Alpes septentrionales</v>
      </c>
      <c r="G229" s="857" t="str">
        <f>IF(VLOOKUP(A229,'Données de base - Grunddaten'!$A$2:$M$297,7,FALSE)="","",VLOOKUP(A229,'Données de base - Grunddaten'!$A$2:$M$297,7,FALSE))</f>
        <v>Subalpin inf.</v>
      </c>
      <c r="H229" s="857" t="str">
        <f>IF(VLOOKUP(A229,'Données de base - Grunddaten'!$A$2:$M$297,8,FALSE)="","",VLOOKUP(A229,'Données de base - Grunddaten'!$A$2:$M$297,8,FALSE))</f>
        <v>1420 m</v>
      </c>
      <c r="I229" s="857" t="str">
        <f>IF(VLOOKUP(A229,'Données de base - Grunddaten'!$A$2:$M$297,9,FALSE)="","",VLOOKUP(A229,'Données de base - Grunddaten'!$A$2:$M$297,9,FALSE))</f>
        <v>candidat</v>
      </c>
      <c r="J229" s="857">
        <f>IF(VLOOKUP(A229,'Données de base - Grunddaten'!$A$2:$M$297,10,FALSE)="","",VLOOKUP(A229,'Données de base - Grunddaten'!$A$2:$M$297,10,FALSE))</f>
        <v>31</v>
      </c>
      <c r="K229" s="857" t="str">
        <f>IF(VLOOKUP(A229,'Données de base - Grunddaten'!$A$2:$M$297,11,FALSE)="","",VLOOKUP(A229,'Données de base - Grunddaten'!$A$2:$M$297,11,FALSE))</f>
        <v>Cours d'eau naturels de l'étage subalpin</v>
      </c>
      <c r="L229" s="857" t="str">
        <f>IF(VLOOKUP(A229,'Données de base - Grunddaten'!$A$2:$M$297,12,FALSE)="","",VLOOKUP(A229,'Données de base - Grunddaten'!$A$2:$M$297,12,FALSE))</f>
        <v>en méandres migrants</v>
      </c>
      <c r="M229" s="858" t="str">
        <f>IF(VLOOKUP(A229,'Données de base - Grunddaten'!$A$2:$M$297,13,FALSE)="","",VLOOKUP(A229,'Données de base - Grunddaten'!$A$2:$M$297,13,FALSE))</f>
        <v>en méandres migrants</v>
      </c>
      <c r="N229" s="872" t="str">
        <f>IF(VLOOKUP(A229,'Charriage - Geschiebehaushalt'!$A$4:$R$275,5,FALSE)="","",VLOOKUP(A229,'Charriage - Geschiebehaushalt'!$A$4:$R$275,5,FALSE))</f>
        <v>pertinent</v>
      </c>
      <c r="O229" s="881" t="str">
        <f>IF(VLOOKUP(A229,'Charriage - Geschiebehaushalt'!$A$4:$R$275,6,FALSE)="","",VLOOKUP(A229,'Charriage - Geschiebehaushalt'!$A$4:$R$275,6,FALSE))</f>
        <v>non documenté</v>
      </c>
      <c r="P229" s="874" t="str">
        <f>IF(VLOOKUP(A229,'Charriage - Geschiebehaushalt'!$A$4:$R$275,7,FALSE)="","",VLOOKUP(A229,'Charriage - Geschiebehaushalt'!$A$4:$R$275,7,FALSE))</f>
        <v/>
      </c>
      <c r="Q229" s="874" t="str">
        <f>IF(VLOOKUP(A229,'Charriage - Geschiebehaushalt'!$A$4:$R$275,8,FALSE)="","",VLOOKUP(A229,'Charriage - Geschiebehaushalt'!$A$4:$R$275,8,FALSE))</f>
        <v>non documenté</v>
      </c>
      <c r="R229" s="875">
        <f>IF(VLOOKUP(A229,'Charriage - Geschiebehaushalt'!$A$4:$R$275,9,FALSE)="","",VLOOKUP(A229,'Charriage - Geschiebehaushalt'!$A$4:$R$275,9,FALSE))</f>
        <v>0.55700000000000005</v>
      </c>
      <c r="S229" s="895" t="str">
        <f>IF(VLOOKUP(A229,'Charriage - Geschiebehaushalt'!$A$4:$R$275,10,FALSE)="","",VLOOKUP(A229,'Charriage - Geschiebehaushalt'!$A$4:$R$275,10,FALSE))</f>
        <v>la remobilisation des sédiments est perturbée</v>
      </c>
      <c r="T229" s="875">
        <f>IF(VLOOKUP(A229,'Charriage - Geschiebehaushalt'!$A$4:$R$275,11,FALSE)="","",VLOOKUP(A229,'Charriage - Geschiebehaushalt'!$A$4:$R$275,11,FALSE))</f>
        <v>0.14000000000000001</v>
      </c>
      <c r="U229" s="876" t="str">
        <f>IF(VLOOKUP(A229,'Charriage - Geschiebehaushalt'!$A$4:$R$275,12,FALSE)="","",VLOOKUP(A229,'Charriage - Geschiebehaushalt'!$A$4:$R$275,12,FALSE))</f>
        <v>déficit dans les formations pionnières</v>
      </c>
      <c r="V229" s="877" t="str">
        <f>IF(VLOOKUP(A229,'Charriage - Geschiebehaushalt'!$A$4:$R$275,13,FALSE)="","",VLOOKUP(A229,'Charriage - Geschiebehaushalt'!$A$4:$R$275,13,FALSE))</f>
        <v/>
      </c>
      <c r="W229" s="877" t="str">
        <f>IF(VLOOKUP(A229,'Charriage - Geschiebehaushalt'!$A$4:$R$275,14,FALSE)="","",VLOOKUP(A229,'Charriage - Geschiebehaushalt'!$A$4:$R$275,14,FALSE))</f>
        <v/>
      </c>
      <c r="X229" s="877" t="str">
        <f>IF(VLOOKUP(A229,'Charriage - Geschiebehaushalt'!$A$4:$R$275,15,FALSE)="","",VLOOKUP(A229,'Charriage - Geschiebehaushalt'!$A$4:$R$275,15,FALSE))</f>
        <v/>
      </c>
      <c r="Y229" s="879" t="str">
        <f>IF(VLOOKUP(A229,'Charriage - Geschiebehaushalt'!$A$4:$R$275,16,FALSE)="","",VLOOKUP(A229,'Charriage - Geschiebehaushalt'!$A$4:$R$275,16,FALSE))</f>
        <v/>
      </c>
      <c r="Z229" s="763" t="str">
        <f>IF(VLOOKUP(A229,'Charriage - Geschiebehaushalt'!$A$4:$R$275,17,FALSE)="","",VLOOKUP(A229,'Charriage - Geschiebehaushalt'!$A$4:$R$275,17,FALSE))</f>
        <v>La remobilisation des sédiments est perturbée / Mobilisierung von Geschiebe beeinträchtigt</v>
      </c>
      <c r="AA229" s="880" t="str">
        <f>IF(VLOOKUP(A229,'Charriage - Geschiebehaushalt'!$A$4:$R$275,18,FALSE)="","",VLOOKUP(A229,'Charriage - Geschiebehaushalt'!$A$4:$R$275,18,FALSE))</f>
        <v>b</v>
      </c>
      <c r="AB229" s="737">
        <f>IF(VLOOKUP(A229,'Charriage - Geschiebehaushalt'!$A$4:$AC$275,19,FALSE)="","",VLOOKUP(A229,'Charriage - Geschiebehaushalt'!$A$4:$AC$275,19,FALSE))</f>
        <v>0</v>
      </c>
      <c r="AC229" s="738">
        <f>IF(VLOOKUP(A229,'Charriage - Geschiebehaushalt'!$A$4:$AC$275,20,FALSE)="","",VLOOKUP(A229,'Charriage - Geschiebehaushalt'!$A$4:$AC$275,20,FALSE))</f>
        <v>0</v>
      </c>
      <c r="AD229" s="764" t="str">
        <f>IF(VLOOKUP(A229,'Charriage - Geschiebehaushalt'!$A$4:$AC$275,21,FALSE)="","",VLOOKUP(A229,'Charriage - Geschiebehaushalt'!$A$4:$AC$275,21,FALSE))</f>
        <v/>
      </c>
      <c r="AE229" s="740" t="str">
        <f>IF(VLOOKUP(A229,'Charriage - Geschiebehaushalt'!$A$4:$AC$275,22,FALSE)="","",VLOOKUP(A229,'Charriage - Geschiebehaushalt'!$A$4:$AC$275,22,FALSE))</f>
        <v>0-20%</v>
      </c>
      <c r="AF229" s="787" t="str">
        <f>IF(VLOOKUP(A229,'Charriage - Geschiebehaushalt'!$A$4:$AC$275,23,FALSE)="","",VLOOKUP(A229,'Charriage - Geschiebehaushalt'!$A$4:$AC$275,23,FALSE))</f>
        <v>b</v>
      </c>
      <c r="AG229" s="765" t="str">
        <f>IF(VLOOKUP(A229,'Charriage - Geschiebehaushalt'!$A$4:$AC$275,24,FALSE)="","",VLOOKUP(A229,'Charriage - Geschiebehaushalt'!$A$4:$AC$275,24,FALSE))</f>
        <v/>
      </c>
      <c r="AH229" s="764" t="str">
        <f>IF(VLOOKUP(A229,'Charriage - Geschiebehaushalt'!$A$4:$AC$275,25,FALSE)="","",VLOOKUP(A229,'Charriage - Geschiebehaushalt'!$A$4:$AC$275,25,FALSE))</f>
        <v/>
      </c>
      <c r="AI229" s="438" t="str">
        <f>IF(VLOOKUP(A229,'Charriage - Geschiebehaushalt'!$A$4:$AC$275,26,FALSE)="","",VLOOKUP(A229,'Charriage - Geschiebehaushalt'!$A$4:$AC$275,26,FALSE))</f>
        <v/>
      </c>
      <c r="AJ229" s="436" t="str">
        <f>IF(VLOOKUP(A229,'Charriage - Geschiebehaushalt'!$A$4:$AC$275,27,FALSE)="","",VLOOKUP(A229,'Charriage - Geschiebehaushalt'!$A$4:$AC$275,27,FALSE))</f>
        <v/>
      </c>
      <c r="AK229" s="814" t="str">
        <f>IF(VLOOKUP(A229,'Charriage - Geschiebehaushalt'!$A$4:$AC$275,28,FALSE)="","",VLOOKUP(A229,'Charriage - Geschiebehaushalt'!$A$4:$AC$275,28,FALSE))</f>
        <v>0-20%</v>
      </c>
      <c r="AL229" s="1285" t="str">
        <f>IF(VLOOKUP(A229,'Charriage - Geschiebehaushalt'!$A$4:$AD$275,30,FALSE)="","",VLOOKUP(A229,'Charriage - Geschiebehaushalt'!$A$4:$AD$275,30,FALSE))</f>
        <v>b</v>
      </c>
      <c r="AM229" s="1279" t="str">
        <f>IF(VLOOKUP(A229,'Débit - Abfluss'!$A$4:$K$275,5,FALSE)="","",VLOOKUP(A229,'Débit - Abfluss'!$A$4:$M$275,5,FALSE))</f>
        <v>non documenté</v>
      </c>
      <c r="AN229" s="868" t="str">
        <f>IF(VLOOKUP(A229,'Débit - Abfluss'!$A$4:$K$275,6,FALSE)="","",VLOOKUP(A229,'Débit - Abfluss'!$A$4:$M$275,6,FALSE))</f>
        <v>aucune information supplémentaire</v>
      </c>
      <c r="AO229" s="869" t="str">
        <f>IF(VLOOKUP(A229,'Débit - Abfluss'!$A$4:$K$275,7,FALSE)="","",VLOOKUP(A229,'Débit - Abfluss'!$A$4:$M$275,7,FALSE))</f>
        <v>aucune information supplémentaire</v>
      </c>
      <c r="AP229" s="766" t="str">
        <f>IF(VLOOKUP(A229,'Débit - Abfluss'!$A$4:$K$275,8,FALSE)="","",VLOOKUP(A229,'Débit - Abfluss'!$A$4:$M$275,8,FALSE))</f>
        <v>Régime présumé naturel (100%) / Abfluss vermutlich natürlich</v>
      </c>
      <c r="AQ229" s="742" t="str">
        <f>IF(VLOOKUP(A229,'Débit - Abfluss'!$A$4:$K$275,9,FALSE)="","",VLOOKUP(A229,'Débit - Abfluss'!$A$4:$M$275,9,FALSE))</f>
        <v>-</v>
      </c>
      <c r="AR229" s="770" t="str">
        <f>IF(VLOOKUP(A229,'Débit - Abfluss'!$A$4:$K$275,10,FALSE)="","",VLOOKUP(A229,'Débit - Abfluss'!$A$4:$M$275,10,FALSE))</f>
        <v>Régime présumé naturel (100%) / Abfluss vermutlich natürlich</v>
      </c>
      <c r="AS229" s="767" t="str">
        <f>IF(VLOOKUP(A229,'Débit - Abfluss'!$A$4:$K$275,11,FALSE)="","",VLOOKUP(A229,'Débit - Abfluss'!$A$4:$M$275,11,FALSE))</f>
        <v/>
      </c>
      <c r="AT229" s="778" t="str">
        <f>IF(VLOOKUP(A229,'Débit - Abfluss'!$A$4:$Q$275,12,FALSE)="","",VLOOKUP(A229,'Débit - Abfluss'!$A$4:$Q$275,12,FALSE))</f>
        <v/>
      </c>
      <c r="AU229" s="779" t="str">
        <f>IF(VLOOKUP(A229,'Débit - Abfluss'!$A$4:$Q$275,13,FALSE)="","",VLOOKUP(A229,'Débit - Abfluss'!$A$4:$Q$275,13,FALSE))</f>
        <v/>
      </c>
      <c r="AV229" s="746" t="str">
        <f>IF(VLOOKUP(A229,'Débit - Abfluss'!$A$4:$Q$275,14,FALSE)="","",VLOOKUP(A229,'Débit - Abfluss'!$A$4:$Q$275,14,FALSE))</f>
        <v/>
      </c>
      <c r="AW229" s="768" t="str">
        <f>IF(VLOOKUP(A229,'Débit - Abfluss'!$A$4:$Q$275,15,FALSE)="","",VLOOKUP(A229,'Débit - Abfluss'!$A$4:$Q$275,15,FALSE))</f>
        <v/>
      </c>
      <c r="AX229" s="679" t="str">
        <f>IF(VLOOKUP(A229,'Débit - Abfluss'!$A$4:$Q$275,16,FALSE)="","",VLOOKUP(A229,'Débit - Abfluss'!$A$4:$Q$275,16,FALSE))</f>
        <v/>
      </c>
      <c r="AY229" s="776" t="str">
        <f>IF(VLOOKUP(A229,'Débit - Abfluss'!$A$4:$Q$275,17,FALSE)="","",VLOOKUP(A229,'Débit - Abfluss'!$A$4:$Q$275,17,FALSE))</f>
        <v>Régime présumé naturel (100%) / Abfluss vermutlich natürlich</v>
      </c>
      <c r="AZ229" s="749" t="str">
        <f>IF(VLOOKUP(A229,'Eclusée - Schwall-Sunk'!$A$2:$F$273,5,FALSE)="","",VLOOKUP(A229,'Eclusée - Schwall-Sunk'!$A$2:$F$273,5,FALSE))</f>
        <v/>
      </c>
      <c r="BA229" s="750" t="str">
        <f>IF(VLOOKUP(A229,'Eclusée - Schwall-Sunk'!$A$2:$F$273,6,FALSE)="","",VLOOKUP(A229,'Eclusée - Schwall-Sunk'!$A$2:$F$273,6,FALSE))</f>
        <v>Non affecté / nicht betroffen</v>
      </c>
      <c r="BB229" s="751" t="str">
        <f>IF(VLOOKUP(A229,'Revitalisation-Revitalisierung'!$A$4:$Z$275,5,FALSE)="","",VLOOKUP(A229,'Revitalisation-Revitalisierung'!$A$4:$Z$275,5,FALSE))</f>
        <v/>
      </c>
      <c r="BC229" s="752" t="str">
        <f>IF(VLOOKUP(A229,'Revitalisation-Revitalisierung'!$A$4:$Z$275,6,FALSE)="","",VLOOKUP(A229,'Revitalisation-Revitalisierung'!$A$4:$Z$275,6,FALSE))</f>
        <v/>
      </c>
      <c r="BD229" s="752" t="str">
        <f>IF(VLOOKUP(A229,'Revitalisation-Revitalisierung'!$A$4:$Z$275,7,FALSE)="","",VLOOKUP(A229,'Revitalisation-Revitalisierung'!$A$4:$Z$275,7,FALSE))</f>
        <v/>
      </c>
      <c r="BE229" s="753" t="str">
        <f>IF(VLOOKUP(A229,'Revitalisation-Revitalisierung'!$A$4:$Z$275,8,FALSE)="","",VLOOKUP(A229,'Revitalisation-Revitalisierung'!$A$4:$Z$275,8,FALSE))</f>
        <v>très nécessaire, facile</v>
      </c>
      <c r="BF229" s="754" t="str">
        <f>IF(VLOOKUP(A229,'Revitalisation-Revitalisierung'!$A$4:$Z$275,9,FALSE)="","",VLOOKUP(A229,'Revitalisation-Revitalisierung'!$A$4:$Z$275,9,FALSE))</f>
        <v>leicht</v>
      </c>
      <c r="BG229" s="754" t="str">
        <f>IF(VLOOKUP(A229,'Revitalisation-Revitalisierung'!$A$4:$Z$275,10,FALSE)="","",VLOOKUP(A229,'Revitalisation-Revitalisierung'!$A$4:$Z$275,10,FALSE))</f>
        <v/>
      </c>
      <c r="BH229" s="755" t="str">
        <f>IF(VLOOKUP(A229,'Revitalisation-Revitalisierung'!$A$4:$Z$275,11,FALSE)="","",VLOOKUP(A229,'Revitalisation-Revitalisierung'!$A$4:$Z$275,11,FALSE))</f>
        <v/>
      </c>
      <c r="BI229" s="756" t="str">
        <f>IF(VLOOKUP(A229,'Revitalisation-Revitalisierung'!$A$4:$Z$275,12,FALSE)="","",VLOOKUP(A229,'Revitalisation-Revitalisierung'!$A$4:$Z$275,12,FALSE))</f>
        <v>objet très entravé et impact sur la végétation (pas de bois tendre)</v>
      </c>
      <c r="BJ229" s="788" t="str">
        <f>IF(VLOOKUP(A229,'Revitalisation-Revitalisierung'!$A$4:$Z$275,13,FALSE)="","",VLOOKUP(A229,'Revitalisation-Revitalisierung'!$A$4:$Z$275,13,FALSE))</f>
        <v>Très nécessaire, facile / unbedingt nötig, einfach</v>
      </c>
      <c r="BK229" s="870" t="str">
        <f>IF(VLOOKUP(A229,'Revitalisation-Revitalisierung'!$A$4:$Z$275,14,FALSE)="","",VLOOKUP(A229,'Revitalisation-Revitalisierung'!$A$4:$Z$275,14,FALSE))</f>
        <v>a</v>
      </c>
      <c r="BL229" s="758" t="str">
        <f>IF(VLOOKUP(A229,'Revitalisation-Revitalisierung'!$A$4:$Z$275,15,FALSE)="","",VLOOKUP(A229,'Revitalisation-Revitalisierung'!$A$4:$Z$275,15,FALSE))</f>
        <v>mittel</v>
      </c>
      <c r="BM229" s="759" t="str">
        <f>IF(VLOOKUP(A229,'Revitalisation-Revitalisierung'!$A$4:$Z$275,16,FALSE)="","",VLOOKUP(A229,'Revitalisation-Revitalisierung'!$A$4:$Z$275,16,FALSE))</f>
        <v>gross</v>
      </c>
      <c r="BN229" s="759" t="str">
        <f>IF(VLOOKUP(A229,'Revitalisation-Revitalisierung'!$A$4:$Z$275,17,FALSE)="","",VLOOKUP(A229,'Revitalisation-Revitalisierung'!$A$4:$Z$275,17,FALSE))</f>
        <v>mittel</v>
      </c>
      <c r="BO229" s="760" t="str">
        <f>IF(VLOOKUP(A229,'Revitalisation-Revitalisierung'!$A$4:$Z$275,18,FALSE)="","",VLOOKUP(A229,'Revitalisation-Revitalisierung'!$A$4:$Z$275,18,FALSE))</f>
        <v>Très nécessaire, facile / unbedingt nötig, einfach</v>
      </c>
      <c r="BP229" s="761" t="str">
        <f>IF(VLOOKUP(A229,'Revitalisation-Revitalisierung'!$A$4:$Z$275,19,FALSE)="","",VLOOKUP(A229,'Revitalisation-Revitalisierung'!$A$4:$Z$275,19,FALSE))</f>
        <v>Très nécessaire, facile / unbedingt nötig, einfach</v>
      </c>
      <c r="BQ229" s="759" t="str">
        <f>IF(VLOOKUP(A229,'Revitalisation-Revitalisierung'!$A$4:$Z$275,20,FALSE)="","",VLOOKUP(A229,'Revitalisation-Revitalisierung'!$A$4:$Z$275,20,FALSE))</f>
        <v>d</v>
      </c>
      <c r="BR229" s="759" t="str">
        <f>IF(VLOOKUP(A229,'Revitalisation-Revitalisierung'!$A$4:$Z$275,21,FALSE)="","",VLOOKUP(A229,'Revitalisation-Revitalisierung'!$A$4:$Z$275,21,FALSE))</f>
        <v/>
      </c>
      <c r="BS229" s="762" t="str">
        <f>IF(VLOOKUP(A229,'Revitalisation-Revitalisierung'!$A$4:$Z$275,22,FALSE)="","",VLOOKUP(A229,'Revitalisation-Revitalisierung'!$A$4:$Z$275,22,FALSE))</f>
        <v/>
      </c>
      <c r="BT229" s="700" t="str">
        <f>IF(VLOOKUP(A229,'Revitalisation-Revitalisierung'!$A$4:$Z$275,23,FALSE)="","",VLOOKUP(A229,'Revitalisation-Revitalisierung'!$A$4:$Z$275,23,FALSE))</f>
        <v/>
      </c>
      <c r="BU229" s="699" t="str">
        <f>IF(VLOOKUP(A229,'Revitalisation-Revitalisierung'!$A$4:$Z$275,24,FALSE)="","",VLOOKUP(A229,'Revitalisation-Revitalisierung'!$A$4:$Z$275,24,FALSE))</f>
        <v/>
      </c>
      <c r="BV229" s="761" t="str">
        <f>IF(VLOOKUP(A229,'Revitalisation-Revitalisierung'!$A$4:$Z$275,25,FALSE)="","",VLOOKUP(A229,'Revitalisation-Revitalisierung'!$A$4:$Z$275,25,FALSE))</f>
        <v>Très nécessaire, facile / unbedingt nötig, einfach</v>
      </c>
      <c r="BW229" s="871" t="str">
        <f>IF(VLOOKUP(A229,'Revitalisation-Revitalisierung'!$A$4:$AA$275,27,FALSE)="","",VLOOKUP(A229,'Revitalisation-Revitalisierung'!$A$4:$AA$275,27,FALSE))</f>
        <v>a</v>
      </c>
    </row>
    <row r="230" spans="1:75" ht="52.15" customHeight="1" x14ac:dyDescent="0.25">
      <c r="A230" s="935">
        <v>351</v>
      </c>
      <c r="B230" s="856">
        <f>IF(VLOOKUP(A230,'Données de base - Grunddaten'!$A$2:$M$297,2,FALSE)="","",VLOOKUP(A230,'Données de base - Grunddaten'!$A$2:$M$297,2,FALSE))</f>
        <v>1</v>
      </c>
      <c r="C230" s="857" t="str">
        <f>IF(VLOOKUP(A230,'Données de base - Grunddaten'!$A$2:$M$297,3,FALSE)="","",VLOOKUP(A230,'Données de base - Grunddaten'!$A$2:$M$297,3,FALSE))</f>
        <v>Unterschächen–Spiringen</v>
      </c>
      <c r="D230" s="857" t="str">
        <f>IF(VLOOKUP(A230,'Données de base - Grunddaten'!$A$2:$M$297,4,FALSE)="","",VLOOKUP(A230,'Données de base - Grunddaten'!$A$2:$M$297,4,FALSE))</f>
        <v>Schächen</v>
      </c>
      <c r="E230" s="857" t="str">
        <f>IF(VLOOKUP(A230,'Données de base - Grunddaten'!$A$2:$M$297,5,FALSE)="","",VLOOKUP(A230,'Données de base - Grunddaten'!$A$2:$M$297,5,FALSE))</f>
        <v>UR</v>
      </c>
      <c r="F230" s="857" t="str">
        <f>IF(VLOOKUP(A230,'Données de base - Grunddaten'!$A$2:$M$297,6,FALSE)="","",VLOOKUP(A230,'Données de base - Grunddaten'!$A$2:$M$297,6,FALSE))</f>
        <v>Alpes septentrionales</v>
      </c>
      <c r="G230" s="857" t="str">
        <f>IF(VLOOKUP(A230,'Données de base - Grunddaten'!$A$2:$M$297,7,FALSE)="","",VLOOKUP(A230,'Données de base - Grunddaten'!$A$2:$M$297,7,FALSE))</f>
        <v>Montagnard sup.</v>
      </c>
      <c r="H230" s="857">
        <f>IF(VLOOKUP(A230,'Données de base - Grunddaten'!$A$2:$M$297,8,FALSE)="","",VLOOKUP(A230,'Données de base - Grunddaten'!$A$2:$M$297,8,FALSE))</f>
        <v>950</v>
      </c>
      <c r="I230" s="857">
        <f>IF(VLOOKUP(A230,'Données de base - Grunddaten'!$A$2:$M$297,9,FALSE)="","",VLOOKUP(A230,'Données de base - Grunddaten'!$A$2:$M$297,9,FALSE))</f>
        <v>2003</v>
      </c>
      <c r="J230" s="857">
        <f>IF(VLOOKUP(A230,'Données de base - Grunddaten'!$A$2:$M$297,10,FALSE)="","",VLOOKUP(A230,'Données de base - Grunddaten'!$A$2:$M$297,10,FALSE))</f>
        <v>41</v>
      </c>
      <c r="K230" s="857" t="str">
        <f>IF(VLOOKUP(A230,'Données de base - Grunddaten'!$A$2:$M$297,11,FALSE)="","",VLOOKUP(A230,'Données de base - Grunddaten'!$A$2:$M$297,11,FALSE))</f>
        <v>Cours d'eau naturels de l'étage montagnard</v>
      </c>
      <c r="L230" s="857" t="str">
        <f>IF(VLOOKUP(A230,'Données de base - Grunddaten'!$A$2:$M$297,12,FALSE)="","",VLOOKUP(A230,'Données de base - Grunddaten'!$A$2:$M$297,12,FALSE))</f>
        <v>en méandres migrants</v>
      </c>
      <c r="M230" s="858" t="str">
        <f>IF(VLOOKUP(A230,'Données de base - Grunddaten'!$A$2:$M$297,13,FALSE)="","",VLOOKUP(A230,'Données de base - Grunddaten'!$A$2:$M$297,13,FALSE))</f>
        <v>en méandres migrants</v>
      </c>
      <c r="N230" s="872" t="str">
        <f>IF(VLOOKUP(A230,'Charriage - Geschiebehaushalt'!$A$4:$R$275,5,FALSE)="","",VLOOKUP(A230,'Charriage - Geschiebehaushalt'!$A$4:$R$275,5,FALSE))</f>
        <v>pertinent</v>
      </c>
      <c r="O230" s="873" t="str">
        <f>IF(VLOOKUP(A230,'Charriage - Geschiebehaushalt'!$A$4:$R$275,6,FALSE)="","",VLOOKUP(A230,'Charriage - Geschiebehaushalt'!$A$4:$R$275,6,FALSE))</f>
        <v>21-50%</v>
      </c>
      <c r="P230" s="874" t="str">
        <f>IF(VLOOKUP(A230,'Charriage - Geschiebehaushalt'!$A$4:$R$275,7,FALSE)="","",VLOOKUP(A230,'Charriage - Geschiebehaushalt'!$A$4:$R$275,7,FALSE))</f>
        <v/>
      </c>
      <c r="Q230" s="874" t="str">
        <f>IF(VLOOKUP(A230,'Charriage - Geschiebehaushalt'!$A$4:$R$275,8,FALSE)="","",VLOOKUP(A230,'Charriage - Geschiebehaushalt'!$A$4:$R$275,8,FALSE))</f>
        <v>non documenté</v>
      </c>
      <c r="R230" s="875">
        <f>IF(VLOOKUP(A230,'Charriage - Geschiebehaushalt'!$A$4:$R$275,9,FALSE)="","",VLOOKUP(A230,'Charriage - Geschiebehaushalt'!$A$4:$R$275,9,FALSE))</f>
        <v>0.117224847964189</v>
      </c>
      <c r="S230" s="876" t="str">
        <f>IF(VLOOKUP(A230,'Charriage - Geschiebehaushalt'!$A$4:$R$275,10,FALSE)="","",VLOOKUP(A230,'Charriage - Geschiebehaushalt'!$A$4:$R$275,10,FALSE))</f>
        <v>pas ou faiblement entravé</v>
      </c>
      <c r="T230" s="875">
        <f>IF(VLOOKUP(A230,'Charriage - Geschiebehaushalt'!$A$4:$R$275,11,FALSE)="","",VLOOKUP(A230,'Charriage - Geschiebehaushalt'!$A$4:$R$275,11,FALSE))</f>
        <v>0.21610821984</v>
      </c>
      <c r="U230" s="876" t="str">
        <f>IF(VLOOKUP(A230,'Charriage - Geschiebehaushalt'!$A$4:$R$275,12,FALSE)="","",VLOOKUP(A230,'Charriage - Geschiebehaushalt'!$A$4:$R$275,12,FALSE))</f>
        <v>déficit dans les formations pionnières</v>
      </c>
      <c r="V230" s="877" t="str">
        <f>IF(VLOOKUP(A230,'Charriage - Geschiebehaushalt'!$A$4:$R$275,13,FALSE)="","",VLOOKUP(A230,'Charriage - Geschiebehaushalt'!$A$4:$R$275,13,FALSE))</f>
        <v/>
      </c>
      <c r="W230" s="877" t="str">
        <f>IF(VLOOKUP(A230,'Charriage - Geschiebehaushalt'!$A$4:$R$275,14,FALSE)="","",VLOOKUP(A230,'Charriage - Geschiebehaushalt'!$A$4:$R$275,14,FALSE))</f>
        <v/>
      </c>
      <c r="X230" s="877" t="str">
        <f>IF(VLOOKUP(A230,'Charriage - Geschiebehaushalt'!$A$4:$R$275,15,FALSE)="","",VLOOKUP(A230,'Charriage - Geschiebehaushalt'!$A$4:$R$275,15,FALSE))</f>
        <v/>
      </c>
      <c r="Y230" s="879" t="str">
        <f>IF(VLOOKUP(A230,'Charriage - Geschiebehaushalt'!$A$4:$R$275,16,FALSE)="","",VLOOKUP(A230,'Charriage - Geschiebehaushalt'!$A$4:$R$275,16,FALSE))</f>
        <v/>
      </c>
      <c r="Z230" s="763" t="str">
        <f>IF(VLOOKUP(A230,'Charriage - Geschiebehaushalt'!$A$4:$R$275,17,FALSE)="","",VLOOKUP(A230,'Charriage - Geschiebehaushalt'!$A$4:$R$275,17,FALSE))</f>
        <v>21-50%</v>
      </c>
      <c r="AA230" s="880" t="str">
        <f>IF(VLOOKUP(A230,'Charriage - Geschiebehaushalt'!$A$4:$R$275,18,FALSE)="","",VLOOKUP(A230,'Charriage - Geschiebehaushalt'!$A$4:$R$275,18,FALSE))</f>
        <v>a</v>
      </c>
      <c r="AB230" s="737">
        <f>IF(VLOOKUP(A230,'Charriage - Geschiebehaushalt'!$A$4:$AC$275,19,FALSE)="","",VLOOKUP(A230,'Charriage - Geschiebehaushalt'!$A$4:$AC$275,19,FALSE))</f>
        <v>0</v>
      </c>
      <c r="AC230" s="738">
        <f>IF(VLOOKUP(A230,'Charriage - Geschiebehaushalt'!$A$4:$AC$275,20,FALSE)="","",VLOOKUP(A230,'Charriage - Geschiebehaushalt'!$A$4:$AC$275,20,FALSE))</f>
        <v>0</v>
      </c>
      <c r="AD230" s="764" t="str">
        <f>IF(VLOOKUP(A230,'Charriage - Geschiebehaushalt'!$A$4:$AC$275,21,FALSE)="","",VLOOKUP(A230,'Charriage - Geschiebehaushalt'!$A$4:$AC$275,21,FALSE))</f>
        <v/>
      </c>
      <c r="AE230" s="740" t="str">
        <f>IF(VLOOKUP(A230,'Charriage - Geschiebehaushalt'!$A$4:$AC$275,22,FALSE)="","",VLOOKUP(A230,'Charriage - Geschiebehaushalt'!$A$4:$AC$275,22,FALSE))</f>
        <v>21-50%</v>
      </c>
      <c r="AF230" s="787" t="str">
        <f>IF(VLOOKUP(A230,'Charriage - Geschiebehaushalt'!$A$4:$AC$275,23,FALSE)="","",VLOOKUP(A230,'Charriage - Geschiebehaushalt'!$A$4:$AC$275,23,FALSE))</f>
        <v>a</v>
      </c>
      <c r="AG230" s="765" t="str">
        <f>IF(VLOOKUP(A230,'Charriage - Geschiebehaushalt'!$A$4:$AC$275,24,FALSE)="","",VLOOKUP(A230,'Charriage - Geschiebehaushalt'!$A$4:$AC$275,24,FALSE))</f>
        <v/>
      </c>
      <c r="AH230" s="764" t="str">
        <f>IF(VLOOKUP(A230,'Charriage - Geschiebehaushalt'!$A$4:$AC$275,25,FALSE)="","",VLOOKUP(A230,'Charriage - Geschiebehaushalt'!$A$4:$AC$275,25,FALSE))</f>
        <v/>
      </c>
      <c r="AI230" s="438" t="str">
        <f>IF(VLOOKUP(A230,'Charriage - Geschiebehaushalt'!$A$4:$AC$275,26,FALSE)="","",VLOOKUP(A230,'Charriage - Geschiebehaushalt'!$A$4:$AC$275,26,FALSE))</f>
        <v/>
      </c>
      <c r="AJ230" s="436" t="str">
        <f>IF(VLOOKUP(A230,'Charriage - Geschiebehaushalt'!$A$4:$AC$275,27,FALSE)="","",VLOOKUP(A230,'Charriage - Geschiebehaushalt'!$A$4:$AC$275,27,FALSE))</f>
        <v/>
      </c>
      <c r="AK230" s="801" t="str">
        <f>IF(VLOOKUP(A230,'Charriage - Geschiebehaushalt'!$A$4:$AC$275,28,FALSE)="","",VLOOKUP(A230,'Charriage - Geschiebehaushalt'!$A$4:$AC$275,28,FALSE))</f>
        <v>21-50%</v>
      </c>
      <c r="AL230" s="1285" t="str">
        <f>IF(VLOOKUP(A230,'Charriage - Geschiebehaushalt'!$A$4:$AD$275,30,FALSE)="","",VLOOKUP(A230,'Charriage - Geschiebehaushalt'!$A$4:$AD$275,30,FALSE))</f>
        <v>a</v>
      </c>
      <c r="AM230" s="1279" t="str">
        <f>IF(VLOOKUP(A230,'Débit - Abfluss'!$A$4:$K$275,5,FALSE)="","",VLOOKUP(A230,'Débit - Abfluss'!$A$4:$M$275,5,FALSE))</f>
        <v>21-40%</v>
      </c>
      <c r="AN230" s="868" t="str">
        <f>IF(VLOOKUP(A230,'Débit - Abfluss'!$A$4:$K$275,6,FALSE)="","",VLOOKUP(A230,'Débit - Abfluss'!$A$4:$M$275,6,FALSE))</f>
        <v/>
      </c>
      <c r="AO230" s="869" t="str">
        <f>IF(VLOOKUP(A230,'Débit - Abfluss'!$A$4:$K$275,7,FALSE)="","",VLOOKUP(A230,'Débit - Abfluss'!$A$4:$M$275,7,FALSE))</f>
        <v/>
      </c>
      <c r="AP230" s="766" t="str">
        <f>IF(VLOOKUP(A230,'Débit - Abfluss'!$A$4:$K$275,8,FALSE)="","",VLOOKUP(A230,'Débit - Abfluss'!$A$4:$M$275,8,FALSE))</f>
        <v>21-40%</v>
      </c>
      <c r="AQ230" s="678" t="str">
        <f>IF(VLOOKUP(A230,'Débit - Abfluss'!$A$4:$K$275,9,FALSE)="","",VLOOKUP(A230,'Débit - Abfluss'!$A$4:$M$275,9,FALSE))</f>
        <v>10-50%</v>
      </c>
      <c r="AR230" s="773" t="str">
        <f>IF(VLOOKUP(A230,'Débit - Abfluss'!$A$4:$K$275,10,FALSE)="","",VLOOKUP(A230,'Débit - Abfluss'!$A$4:$M$275,10,FALSE))</f>
        <v>21-40%</v>
      </c>
      <c r="AS230" s="773" t="str">
        <f>IF(VLOOKUP(A230,'Débit - Abfluss'!$A$4:$K$275,11,FALSE)="","",VLOOKUP(A230,'Débit - Abfluss'!$A$4:$M$275,11,FALSE))</f>
        <v>X</v>
      </c>
      <c r="AT230" s="778" t="str">
        <f>IF(VLOOKUP(A230,'Débit - Abfluss'!$A$4:$Q$275,12,FALSE)="","",VLOOKUP(A230,'Débit - Abfluss'!$A$4:$Q$275,12,FALSE))</f>
        <v/>
      </c>
      <c r="AU230" s="779" t="str">
        <f>IF(VLOOKUP(A230,'Débit - Abfluss'!$A$4:$Q$275,13,FALSE)="","",VLOOKUP(A230,'Débit - Abfluss'!$A$4:$Q$275,13,FALSE))</f>
        <v/>
      </c>
      <c r="AV230" s="746" t="str">
        <f>IF(VLOOKUP(A230,'Débit - Abfluss'!$A$4:$Q$275,14,FALSE)="","",VLOOKUP(A230,'Débit - Abfluss'!$A$4:$Q$275,14,FALSE))</f>
        <v>UR-W .5.1</v>
      </c>
      <c r="AW230" s="768" t="str">
        <f>IF(VLOOKUP(A230,'Débit - Abfluss'!$A$4:$Q$275,15,FALSE)="","",VLOOKUP(A230,'Débit - Abfluss'!$A$4:$Q$275,15,FALSE))</f>
        <v>Bürglen</v>
      </c>
      <c r="AX230" s="679" t="str">
        <f>IF(VLOOKUP(A230,'Débit - Abfluss'!$A$4:$Q$275,16,FALSE)="","",VLOOKUP(A230,'Débit - Abfluss'!$A$4:$Q$275,16,FALSE))</f>
        <v/>
      </c>
      <c r="AY230" s="775" t="str">
        <f>IF(VLOOKUP(A230,'Débit - Abfluss'!$A$4:$Q$275,17,FALSE)="","",VLOOKUP(A230,'Débit - Abfluss'!$A$4:$Q$275,17,FALSE))</f>
        <v>21-40%</v>
      </c>
      <c r="AZ230" s="749" t="str">
        <f>IF(VLOOKUP(A230,'Eclusée - Schwall-Sunk'!$A$2:$F$273,5,FALSE)="","",VLOOKUP(A230,'Eclusée - Schwall-Sunk'!$A$2:$F$273,5,FALSE))</f>
        <v>force hydraulique</v>
      </c>
      <c r="BA230" s="750" t="str">
        <f>IF(VLOOKUP(A230,'Eclusée - Schwall-Sunk'!$A$2:$F$273,6,FALSE)="","",VLOOKUP(A230,'Eclusée - Schwall-Sunk'!$A$2:$F$273,6,FALSE))</f>
        <v>Non affecté / nicht betroffen</v>
      </c>
      <c r="BB230" s="751">
        <f>IF(VLOOKUP(A230,'Revitalisation-Revitalisierung'!$A$4:$Z$275,5,FALSE)="","",VLOOKUP(A230,'Revitalisation-Revitalisierung'!$A$4:$Z$275,5,FALSE))</f>
        <v>8.5454545454545467</v>
      </c>
      <c r="BC230" s="752">
        <f>IF(VLOOKUP(A230,'Revitalisation-Revitalisierung'!$A$4:$Z$275,6,FALSE)="","",VLOOKUP(A230,'Revitalisation-Revitalisierung'!$A$4:$Z$275,6,FALSE))</f>
        <v>13.979447087152334</v>
      </c>
      <c r="BD230" s="752">
        <f>IF(VLOOKUP(A230,'Revitalisation-Revitalisierung'!$A$4:$Z$275,7,FALSE)="","",VLOOKUP(A230,'Revitalisation-Revitalisierung'!$A$4:$Z$275,7,FALSE))</f>
        <v>5.4545454545454541</v>
      </c>
      <c r="BE230" s="753" t="str">
        <f>IF(VLOOKUP(A230,'Revitalisation-Revitalisierung'!$A$4:$Z$275,8,FALSE)="","",VLOOKUP(A230,'Revitalisation-Revitalisierung'!$A$4:$Z$275,8,FALSE))</f>
        <v>peu nécessaire, facile</v>
      </c>
      <c r="BF230" s="754" t="str">
        <f>IF(VLOOKUP(A230,'Revitalisation-Revitalisierung'!$A$4:$Z$275,9,FALSE)="","",VLOOKUP(A230,'Revitalisation-Revitalisierung'!$A$4:$Z$275,9,FALSE))</f>
        <v>nicht nötig</v>
      </c>
      <c r="BG230" s="754" t="str">
        <f>IF(VLOOKUP(A230,'Revitalisation-Revitalisierung'!$A$4:$Z$275,10,FALSE)="","",VLOOKUP(A230,'Revitalisation-Revitalisierung'!$A$4:$Z$275,10,FALSE))</f>
        <v>K2</v>
      </c>
      <c r="BH230" s="755" t="str">
        <f>IF(VLOOKUP(A230,'Revitalisation-Revitalisierung'!$A$4:$Z$275,11,FALSE)="","",VLOOKUP(A230,'Revitalisation-Revitalisierung'!$A$4:$Z$275,11,FALSE))</f>
        <v/>
      </c>
      <c r="BI230" s="756" t="str">
        <f>IF(VLOOKUP(A230,'Revitalisation-Revitalisierung'!$A$4:$Z$275,12,FALSE)="","",VLOOKUP(A230,'Revitalisation-Revitalisierung'!$A$4:$Z$275,12,FALSE))</f>
        <v/>
      </c>
      <c r="BJ230" s="788" t="str">
        <f>IF(VLOOKUP(A230,'Revitalisation-Revitalisierung'!$A$4:$Z$275,13,FALSE)="","",VLOOKUP(A230,'Revitalisation-Revitalisierung'!$A$4:$Z$275,13,FALSE))</f>
        <v>Partiellement nécessaire, facile / teilweise nötig, einfach</v>
      </c>
      <c r="BK230" s="870" t="str">
        <f>IF(VLOOKUP(A230,'Revitalisation-Revitalisierung'!$A$4:$Z$275,14,FALSE)="","",VLOOKUP(A230,'Revitalisation-Revitalisierung'!$A$4:$Z$275,14,FALSE))</f>
        <v>a</v>
      </c>
      <c r="BL230" s="758" t="str">
        <f>IF(VLOOKUP(A230,'Revitalisation-Revitalisierung'!$A$4:$Z$275,15,FALSE)="","",VLOOKUP(A230,'Revitalisation-Revitalisierung'!$A$4:$Z$275,15,FALSE))</f>
        <v>keine Angaben</v>
      </c>
      <c r="BM230" s="759" t="str">
        <f>IF(VLOOKUP(A230,'Revitalisation-Revitalisierung'!$A$4:$Z$275,16,FALSE)="","",VLOOKUP(A230,'Revitalisation-Revitalisierung'!$A$4:$Z$275,16,FALSE))</f>
        <v>keine Angaben</v>
      </c>
      <c r="BN230" s="759" t="str">
        <f>IF(VLOOKUP(A230,'Revitalisation-Revitalisierung'!$A$4:$Z$275,17,FALSE)="","",VLOOKUP(A230,'Revitalisation-Revitalisierung'!$A$4:$Z$275,17,FALSE))</f>
        <v>-</v>
      </c>
      <c r="BO230" s="760" t="str">
        <f>IF(VLOOKUP(A230,'Revitalisation-Revitalisierung'!$A$4:$Z$275,18,FALSE)="","",VLOOKUP(A230,'Revitalisation-Revitalisierung'!$A$4:$Z$275,18,FALSE))</f>
        <v/>
      </c>
      <c r="BP230" s="761" t="str">
        <f>IF(VLOOKUP(A230,'Revitalisation-Revitalisierung'!$A$4:$Z$275,19,FALSE)="","",VLOOKUP(A230,'Revitalisation-Revitalisierung'!$A$4:$Z$275,19,FALSE))</f>
        <v>Partiellement nécessaire, facile / teilweise nötig, einfach</v>
      </c>
      <c r="BQ230" s="759" t="str">
        <f>IF(VLOOKUP(A230,'Revitalisation-Revitalisierung'!$A$4:$Z$275,20,FALSE)="","",VLOOKUP(A230,'Revitalisation-Revitalisierung'!$A$4:$Z$275,20,FALSE))</f>
        <v>a</v>
      </c>
      <c r="BR230" s="759" t="str">
        <f>IF(VLOOKUP(A230,'Revitalisation-Revitalisierung'!$A$4:$Z$275,21,FALSE)="","",VLOOKUP(A230,'Revitalisation-Revitalisierung'!$A$4:$Z$275,21,FALSE))</f>
        <v/>
      </c>
      <c r="BS230" s="762" t="str">
        <f>IF(VLOOKUP(A230,'Revitalisation-Revitalisierung'!$A$4:$Z$275,22,FALSE)="","",VLOOKUP(A230,'Revitalisation-Revitalisierung'!$A$4:$Z$275,22,FALSE))</f>
        <v/>
      </c>
      <c r="BT230" s="700" t="str">
        <f>IF(VLOOKUP(A230,'Revitalisation-Revitalisierung'!$A$4:$Z$275,23,FALSE)="","",VLOOKUP(A230,'Revitalisation-Revitalisierung'!$A$4:$Z$275,23,FALSE))</f>
        <v/>
      </c>
      <c r="BU230" s="699" t="str">
        <f>IF(VLOOKUP(A230,'Revitalisation-Revitalisierung'!$A$4:$Z$275,24,FALSE)="","",VLOOKUP(A230,'Revitalisation-Revitalisierung'!$A$4:$Z$275,24,FALSE))</f>
        <v/>
      </c>
      <c r="BV230" s="761" t="str">
        <f>IF(VLOOKUP(A230,'Revitalisation-Revitalisierung'!$A$4:$Z$275,25,FALSE)="","",VLOOKUP(A230,'Revitalisation-Revitalisierung'!$A$4:$Z$275,25,FALSE))</f>
        <v>Partiellement nécessaire, facile / teilweise nötig, einfach</v>
      </c>
      <c r="BW230" s="871" t="str">
        <f>IF(VLOOKUP(A230,'Revitalisation-Revitalisierung'!$A$4:$AA$275,27,FALSE)="","",VLOOKUP(A230,'Revitalisation-Revitalisierung'!$A$4:$AA$275,27,FALSE))</f>
        <v>a</v>
      </c>
    </row>
    <row r="231" spans="1:75" ht="102" customHeight="1" x14ac:dyDescent="0.25">
      <c r="A231" s="935">
        <v>352</v>
      </c>
      <c r="B231" s="856">
        <f>IF(VLOOKUP(A231,'Données de base - Grunddaten'!$A$2:$M$297,2,FALSE)="","",VLOOKUP(A231,'Données de base - Grunddaten'!$A$2:$M$297,2,FALSE))</f>
        <v>1</v>
      </c>
      <c r="C231" s="857" t="str">
        <f>IF(VLOOKUP(A231,'Données de base - Grunddaten'!$A$2:$M$297,3,FALSE)="","",VLOOKUP(A231,'Données de base - Grunddaten'!$A$2:$M$297,3,FALSE))</f>
        <v>Alpenrösli–Herrenrüti</v>
      </c>
      <c r="D231" s="857" t="str">
        <f>IF(VLOOKUP(A231,'Données de base - Grunddaten'!$A$2:$M$297,4,FALSE)="","",VLOOKUP(A231,'Données de base - Grunddaten'!$A$2:$M$297,4,FALSE))</f>
        <v>Engelberger Aa</v>
      </c>
      <c r="E231" s="857" t="str">
        <f>IF(VLOOKUP(A231,'Données de base - Grunddaten'!$A$2:$M$297,5,FALSE)="","",VLOOKUP(A231,'Données de base - Grunddaten'!$A$2:$M$297,5,FALSE))</f>
        <v>OW/UR</v>
      </c>
      <c r="F231" s="857" t="str">
        <f>IF(VLOOKUP(A231,'Données de base - Grunddaten'!$A$2:$M$297,6,FALSE)="","",VLOOKUP(A231,'Données de base - Grunddaten'!$A$2:$M$297,6,FALSE))</f>
        <v>Alpes septentrionales</v>
      </c>
      <c r="G231" s="857" t="str">
        <f>IF(VLOOKUP(A231,'Données de base - Grunddaten'!$A$2:$M$297,7,FALSE)="","",VLOOKUP(A231,'Données de base - Grunddaten'!$A$2:$M$297,7,FALSE))</f>
        <v>Subalpin inf.</v>
      </c>
      <c r="H231" s="857">
        <f>IF(VLOOKUP(A231,'Données de base - Grunddaten'!$A$2:$M$297,8,FALSE)="","",VLOOKUP(A231,'Données de base - Grunddaten'!$A$2:$M$297,8,FALSE))</f>
        <v>1200</v>
      </c>
      <c r="I231" s="857">
        <f>IF(VLOOKUP(A231,'Données de base - Grunddaten'!$A$2:$M$297,9,FALSE)="","",VLOOKUP(A231,'Données de base - Grunddaten'!$A$2:$M$297,9,FALSE))</f>
        <v>2003</v>
      </c>
      <c r="J231" s="857">
        <f>IF(VLOOKUP(A231,'Données de base - Grunddaten'!$A$2:$M$297,10,FALSE)="","",VLOOKUP(A231,'Données de base - Grunddaten'!$A$2:$M$297,10,FALSE))</f>
        <v>41</v>
      </c>
      <c r="K231" s="857" t="str">
        <f>IF(VLOOKUP(A231,'Données de base - Grunddaten'!$A$2:$M$297,11,FALSE)="","",VLOOKUP(A231,'Données de base - Grunddaten'!$A$2:$M$297,11,FALSE))</f>
        <v>Cours d'eau naturels de l'étage montagnard</v>
      </c>
      <c r="L231" s="857" t="str">
        <f>IF(VLOOKUP(A231,'Données de base - Grunddaten'!$A$2:$M$297,12,FALSE)="","",VLOOKUP(A231,'Données de base - Grunddaten'!$A$2:$M$297,12,FALSE))</f>
        <v>en tresses</v>
      </c>
      <c r="M231" s="858" t="str">
        <f>IF(VLOOKUP(A231,'Données de base - Grunddaten'!$A$2:$M$297,13,FALSE)="","",VLOOKUP(A231,'Données de base - Grunddaten'!$A$2:$M$297,13,FALSE))</f>
        <v>en tresses</v>
      </c>
      <c r="N231" s="872" t="str">
        <f>IF(VLOOKUP(A231,'Charriage - Geschiebehaushalt'!$A$4:$R$275,5,FALSE)="","",VLOOKUP(A231,'Charriage - Geschiebehaushalt'!$A$4:$R$275,5,FALSE))</f>
        <v>pertinent</v>
      </c>
      <c r="O231" s="881" t="str">
        <f>IF(VLOOKUP(A231,'Charriage - Geschiebehaushalt'!$A$4:$R$275,6,FALSE)="","",VLOOKUP(A231,'Charriage - Geschiebehaushalt'!$A$4:$R$275,6,FALSE))</f>
        <v>non documenté</v>
      </c>
      <c r="P231" s="874" t="str">
        <f>IF(VLOOKUP(A231,'Charriage - Geschiebehaushalt'!$A$4:$R$275,7,FALSE)="","",VLOOKUP(A231,'Charriage - Geschiebehaushalt'!$A$4:$R$275,7,FALSE))</f>
        <v/>
      </c>
      <c r="Q231" s="874" t="str">
        <f>IF(VLOOKUP(A231,'Charriage - Geschiebehaushalt'!$A$4:$R$275,8,FALSE)="","",VLOOKUP(A231,'Charriage - Geschiebehaushalt'!$A$4:$R$275,8,FALSE))</f>
        <v>non documenté</v>
      </c>
      <c r="R231" s="875">
        <f>IF(VLOOKUP(A231,'Charriage - Geschiebehaushalt'!$A$4:$R$275,9,FALSE)="","",VLOOKUP(A231,'Charriage - Geschiebehaushalt'!$A$4:$R$275,9,FALSE))</f>
        <v>6.8012562932429702E-2</v>
      </c>
      <c r="S231" s="876" t="str">
        <f>IF(VLOOKUP(A231,'Charriage - Geschiebehaushalt'!$A$4:$R$275,10,FALSE)="","",VLOOKUP(A231,'Charriage - Geschiebehaushalt'!$A$4:$R$275,10,FALSE))</f>
        <v>pas ou faiblement entravé</v>
      </c>
      <c r="T231" s="875">
        <f>IF(VLOOKUP(A231,'Charriage - Geschiebehaushalt'!$A$4:$R$275,11,FALSE)="","",VLOOKUP(A231,'Charriage - Geschiebehaushalt'!$A$4:$R$275,11,FALSE))</f>
        <v>0.36403608649000002</v>
      </c>
      <c r="U231" s="895" t="str">
        <f>IF(VLOOKUP(A231,'Charriage - Geschiebehaushalt'!$A$4:$R$275,12,FALSE)="","",VLOOKUP(A231,'Charriage - Geschiebehaushalt'!$A$4:$R$275,12,FALSE))</f>
        <v>déficit non apparent en charriage ou en remobilisation des sédiments</v>
      </c>
      <c r="V231" s="877" t="str">
        <f>IF(VLOOKUP(A231,'Charriage - Geschiebehaushalt'!$A$4:$R$275,13,FALSE)="","",VLOOKUP(A231,'Charriage - Geschiebehaushalt'!$A$4:$R$275,13,FALSE))</f>
        <v/>
      </c>
      <c r="W231" s="877" t="str">
        <f>IF(VLOOKUP(A231,'Charriage - Geschiebehaushalt'!$A$4:$R$275,14,FALSE)="","",VLOOKUP(A231,'Charriage - Geschiebehaushalt'!$A$4:$R$275,14,FALSE))</f>
        <v/>
      </c>
      <c r="X231" s="877" t="str">
        <f>IF(VLOOKUP(A231,'Charriage - Geschiebehaushalt'!$A$4:$R$275,15,FALSE)="","",VLOOKUP(A231,'Charriage - Geschiebehaushalt'!$A$4:$R$275,15,FALSE))</f>
        <v/>
      </c>
      <c r="Y231" s="879" t="str">
        <f>IF(VLOOKUP(A231,'Charriage - Geschiebehaushalt'!$A$4:$R$275,16,FALSE)="","",VLOOKUP(A231,'Charriage - Geschiebehaushalt'!$A$4:$R$275,16,FALSE))</f>
        <v/>
      </c>
      <c r="Z231" s="763" t="str">
        <f>IF(VLOOKUP(A231,'Charriage - Geschiebehaushalt'!$A$4:$R$275,17,FALSE)="","",VLOOKUP(A231,'Charriage - Geschiebehaushalt'!$A$4:$R$275,17,FALSE))</f>
        <v>Déficit non apparent en charriage ou en remobilisation des sédiments / kein sichtbares Defizit beim Geschiebehaushalt bzw. bei der Mobilisierung von Geschiebe</v>
      </c>
      <c r="AA231" s="880" t="str">
        <f>IF(VLOOKUP(A231,'Charriage - Geschiebehaushalt'!$A$4:$R$275,18,FALSE)="","",VLOOKUP(A231,'Charriage - Geschiebehaushalt'!$A$4:$R$275,18,FALSE))</f>
        <v>b</v>
      </c>
      <c r="AB231" s="737" t="str">
        <f>IF(VLOOKUP(A231,'Charriage - Geschiebehaushalt'!$A$4:$AC$275,19,FALSE)="","",VLOOKUP(A231,'Charriage - Geschiebehaushalt'!$A$4:$AC$275,19,FALSE))</f>
        <v>keine /
-</v>
      </c>
      <c r="AC231" s="738" t="str">
        <f>IF(VLOOKUP(A231,'Charriage - Geschiebehaushalt'!$A$4:$AC$275,20,FALSE)="","",VLOOKUP(A231,'Charriage - Geschiebehaushalt'!$A$4:$AC$275,20,FALSE))</f>
        <v>- /
-</v>
      </c>
      <c r="AD231" s="789" t="str">
        <f>IF(VLOOKUP(A231,'Charriage - Geschiebehaushalt'!$A$4:$AC$275,21,FALSE)="","",VLOOKUP(A231,'Charriage - Geschiebehaushalt'!$A$4:$AC$275,21,FALSE))</f>
        <v>0-20%</v>
      </c>
      <c r="AE231" s="740" t="str">
        <f>IF(VLOOKUP(A231,'Charriage - Geschiebehaushalt'!$A$4:$AC$275,22,FALSE)="","",VLOOKUP(A231,'Charriage - Geschiebehaushalt'!$A$4:$AC$275,22,FALSE))</f>
        <v>0-20%</v>
      </c>
      <c r="AF231" s="787" t="str">
        <f>IF(VLOOKUP(A231,'Charriage - Geschiebehaushalt'!$A$4:$AC$275,23,FALSE)="","",VLOOKUP(A231,'Charriage - Geschiebehaushalt'!$A$4:$AC$275,23,FALSE))</f>
        <v>d</v>
      </c>
      <c r="AG231" s="765" t="str">
        <f>IF(VLOOKUP(A231,'Charriage - Geschiebehaushalt'!$A$4:$AC$275,24,FALSE)="","",VLOOKUP(A231,'Charriage - Geschiebehaushalt'!$A$4:$AC$275,24,FALSE))</f>
        <v/>
      </c>
      <c r="AH231" s="764" t="str">
        <f>IF(VLOOKUP(A231,'Charriage - Geschiebehaushalt'!$A$4:$AC$275,25,FALSE)="","",VLOOKUP(A231,'Charriage - Geschiebehaushalt'!$A$4:$AC$275,25,FALSE))</f>
        <v/>
      </c>
      <c r="AI231" s="814" t="str">
        <f>IF(VLOOKUP(A231,'Charriage - Geschiebehaushalt'!$A$4:$AC$275,26,FALSE)="","",VLOOKUP(A231,'Charriage - Geschiebehaushalt'!$A$4:$AC$275,26,FALSE))</f>
        <v>0-20%</v>
      </c>
      <c r="AJ231" s="434" t="str">
        <f>IF(VLOOKUP(A231,'Charriage - Geschiebehaushalt'!$A$4:$AC$275,27,FALSE)="","",VLOOKUP(A231,'Charriage - Geschiebehaushalt'!$A$4:$AC$275,27,FALSE))</f>
        <v/>
      </c>
      <c r="AK231" s="814" t="str">
        <f>IF(VLOOKUP(A231,'Charriage - Geschiebehaushalt'!$A$4:$AC$275,28,FALSE)="","",VLOOKUP(A231,'Charriage - Geschiebehaushalt'!$A$4:$AC$275,28,FALSE))</f>
        <v>0-20%</v>
      </c>
      <c r="AL231" s="1285" t="str">
        <f>IF(VLOOKUP(A231,'Charriage - Geschiebehaushalt'!$A$4:$AD$275,30,FALSE)="","",VLOOKUP(A231,'Charriage - Geschiebehaushalt'!$A$4:$AD$275,30,FALSE))</f>
        <v>a</v>
      </c>
      <c r="AM231" s="1279" t="str">
        <f>IF(VLOOKUP(A231,'Débit - Abfluss'!$A$4:$K$275,5,FALSE)="","",VLOOKUP(A231,'Débit - Abfluss'!$A$4:$M$275,5,FALSE))</f>
        <v>100%</v>
      </c>
      <c r="AN231" s="868" t="str">
        <f>IF(VLOOKUP(A231,'Débit - Abfluss'!$A$4:$K$275,6,FALSE)="","",VLOOKUP(A231,'Débit - Abfluss'!$A$4:$M$275,6,FALSE))</f>
        <v>aucune information supplémentaire</v>
      </c>
      <c r="AO231" s="889" t="str">
        <f>IF(VLOOKUP(A231,'Débit - Abfluss'!$A$4:$K$275,7,FALSE)="","",VLOOKUP(A231,'Débit - Abfluss'!$A$4:$M$275,7,FALSE))</f>
        <v>ne tient pas compte du prélévement de quantité inconnue sur affluent en amont</v>
      </c>
      <c r="AP231" s="766" t="str">
        <f>IF(VLOOKUP(A231,'Débit - Abfluss'!$A$4:$K$275,8,FALSE)="","",VLOOKUP(A231,'Débit - Abfluss'!$A$4:$M$275,8,FALSE))</f>
        <v>100%</v>
      </c>
      <c r="AQ231" s="742" t="str">
        <f>IF(VLOOKUP(A231,'Débit - Abfluss'!$A$4:$K$275,9,FALSE)="","",VLOOKUP(A231,'Débit - Abfluss'!$A$4:$M$275,9,FALSE))</f>
        <v>-</v>
      </c>
      <c r="AR231" s="767" t="str">
        <f>IF(VLOOKUP(A231,'Débit - Abfluss'!$A$4:$K$275,10,FALSE)="","",VLOOKUP(A231,'Débit - Abfluss'!$A$4:$M$275,10,FALSE))</f>
        <v>100%</v>
      </c>
      <c r="AS231" s="767" t="str">
        <f>IF(VLOOKUP(A231,'Débit - Abfluss'!$A$4:$K$275,11,FALSE)="","",VLOOKUP(A231,'Débit - Abfluss'!$A$4:$M$275,11,FALSE))</f>
        <v/>
      </c>
      <c r="AT231" s="767" t="str">
        <f>IF(VLOOKUP(A231,'Débit - Abfluss'!$A$4:$Q$275,12,FALSE)="","",VLOOKUP(A231,'Débit - Abfluss'!$A$4:$Q$275,12,FALSE))</f>
        <v>100%</v>
      </c>
      <c r="AU231" s="745" t="str">
        <f>IF(VLOOKUP(A231,'Débit - Abfluss'!$A$4:$Q$275,13,FALSE)="","",VLOOKUP(A231,'Débit - Abfluss'!$A$4:$Q$275,13,FALSE))</f>
        <v/>
      </c>
      <c r="AV231" s="746" t="str">
        <f>IF(VLOOKUP(A231,'Débit - Abfluss'!$A$4:$Q$275,14,FALSE)="","",VLOOKUP(A231,'Débit - Abfluss'!$A$4:$Q$275,14,FALSE))</f>
        <v/>
      </c>
      <c r="AW231" s="768" t="str">
        <f>IF(VLOOKUP(A231,'Débit - Abfluss'!$A$4:$Q$275,15,FALSE)="","",VLOOKUP(A231,'Débit - Abfluss'!$A$4:$Q$275,15,FALSE))</f>
        <v/>
      </c>
      <c r="AX231" s="677" t="str">
        <f>IF(VLOOKUP(A231,'Débit - Abfluss'!$A$4:$Q$275,16,FALSE)="","",VLOOKUP(A231,'Débit - Abfluss'!$A$4:$Q$275,16,FALSE))</f>
        <v/>
      </c>
      <c r="AY231" s="769" t="str">
        <f>IF(VLOOKUP(A231,'Débit - Abfluss'!$A$4:$Q$275,17,FALSE)="","",VLOOKUP(A231,'Débit - Abfluss'!$A$4:$Q$275,17,FALSE))</f>
        <v>100%</v>
      </c>
      <c r="AZ231" s="749" t="str">
        <f>IF(VLOOKUP(A231,'Eclusée - Schwall-Sunk'!$A$2:$F$273,5,FALSE)="","",VLOOKUP(A231,'Eclusée - Schwall-Sunk'!$A$2:$F$273,5,FALSE))</f>
        <v>autre prélèvement</v>
      </c>
      <c r="BA231" s="750" t="str">
        <f>IF(VLOOKUP(A231,'Eclusée - Schwall-Sunk'!$A$2:$F$273,6,FALSE)="","",VLOOKUP(A231,'Eclusée - Schwall-Sunk'!$A$2:$F$273,6,FALSE))</f>
        <v>Non affecté / nicht betroffen</v>
      </c>
      <c r="BB231" s="751">
        <f>IF(VLOOKUP(A231,'Revitalisation-Revitalisierung'!$A$4:$Z$275,5,FALSE)="","",VLOOKUP(A231,'Revitalisation-Revitalisierung'!$A$4:$Z$275,5,FALSE))</f>
        <v>-22.754545454545454</v>
      </c>
      <c r="BC231" s="752">
        <f>IF(VLOOKUP(A231,'Revitalisation-Revitalisierung'!$A$4:$Z$275,6,FALSE)="","",VLOOKUP(A231,'Revitalisation-Revitalisierung'!$A$4:$Z$275,6,FALSE))</f>
        <v>2.6530382540396404</v>
      </c>
      <c r="BD231" s="752">
        <f>IF(VLOOKUP(A231,'Revitalisation-Revitalisierung'!$A$4:$Z$275,7,FALSE)="","",VLOOKUP(A231,'Revitalisation-Revitalisierung'!$A$4:$Z$275,7,FALSE))</f>
        <v>25.454545454545453</v>
      </c>
      <c r="BE231" s="753" t="str">
        <f>IF(VLOOKUP(A231,'Revitalisation-Revitalisierung'!$A$4:$Z$275,8,FALSE)="","",VLOOKUP(A231,'Revitalisation-Revitalisierung'!$A$4:$Z$275,8,FALSE))</f>
        <v>peu nécessaire, difficile</v>
      </c>
      <c r="BF231" s="754" t="str">
        <f>IF(VLOOKUP(A231,'Revitalisation-Revitalisierung'!$A$4:$Z$275,9,FALSE)="","",VLOOKUP(A231,'Revitalisation-Revitalisierung'!$A$4:$Z$275,9,FALSE))</f>
        <v/>
      </c>
      <c r="BG231" s="754" t="str">
        <f>IF(VLOOKUP(A231,'Revitalisation-Revitalisierung'!$A$4:$Z$275,10,FALSE)="","",VLOOKUP(A231,'Revitalisation-Revitalisierung'!$A$4:$Z$275,10,FALSE))</f>
        <v>K3</v>
      </c>
      <c r="BH231" s="755" t="str">
        <f>IF(VLOOKUP(A231,'Revitalisation-Revitalisierung'!$A$4:$Z$275,11,FALSE)="","",VLOOKUP(A231,'Revitalisation-Revitalisierung'!$A$4:$Z$275,11,FALSE))</f>
        <v/>
      </c>
      <c r="BI231" s="756" t="str">
        <f>IF(VLOOKUP(A231,'Revitalisation-Revitalisierung'!$A$4:$Z$275,12,FALSE)="","",VLOOKUP(A231,'Revitalisation-Revitalisierung'!$A$4:$Z$275,12,FALSE))</f>
        <v/>
      </c>
      <c r="BJ231" s="788" t="str">
        <f>IF(VLOOKUP(A231,'Revitalisation-Revitalisierung'!$A$4:$Z$275,13,FALSE)="","",VLOOKUP(A231,'Revitalisation-Revitalisierung'!$A$4:$Z$275,13,FALSE))</f>
        <v>Partiellement nécessaire, facile / teilweise nötig, einfach</v>
      </c>
      <c r="BK231" s="870" t="str">
        <f>IF(VLOOKUP(A231,'Revitalisation-Revitalisierung'!$A$4:$Z$275,14,FALSE)="","",VLOOKUP(A231,'Revitalisation-Revitalisierung'!$A$4:$Z$275,14,FALSE))</f>
        <v>b</v>
      </c>
      <c r="BL231" s="758" t="str">
        <f>IF(VLOOKUP(A231,'Revitalisation-Revitalisierung'!$A$4:$Z$275,15,FALSE)="","",VLOOKUP(A231,'Revitalisation-Revitalisierung'!$A$4:$Z$275,15,FALSE))</f>
        <v>gross /
keing Angaben</v>
      </c>
      <c r="BM231" s="759" t="str">
        <f>IF(VLOOKUP(A231,'Revitalisation-Revitalisierung'!$A$4:$Z$275,16,FALSE)="","",VLOOKUP(A231,'Revitalisation-Revitalisierung'!$A$4:$Z$275,16,FALSE))</f>
        <v>gerig /
keing Angaben</v>
      </c>
      <c r="BN231" s="759" t="str">
        <f>IF(VLOOKUP(A231,'Revitalisation-Revitalisierung'!$A$4:$Z$275,17,FALSE)="","",VLOOKUP(A231,'Revitalisation-Revitalisierung'!$A$4:$Z$275,17,FALSE))</f>
        <v>keine /
-</v>
      </c>
      <c r="BO231" s="760" t="str">
        <f>IF(VLOOKUP(A231,'Revitalisation-Revitalisierung'!$A$4:$Z$275,18,FALSE)="","",VLOOKUP(A231,'Revitalisation-Revitalisierung'!$A$4:$Z$275,18,FALSE))</f>
        <v>Non nécessaire / nicht nötig</v>
      </c>
      <c r="BP231" s="761" t="str">
        <f>IF(VLOOKUP(A231,'Revitalisation-Revitalisierung'!$A$4:$Z$275,19,FALSE)="","",VLOOKUP(A231,'Revitalisation-Revitalisierung'!$A$4:$Z$275,19,FALSE))</f>
        <v>Partiellement nécessaire, facile / teilweise nötig, einfach</v>
      </c>
      <c r="BQ231" s="759" t="str">
        <f>IF(VLOOKUP(A231,'Revitalisation-Revitalisierung'!$A$4:$Z$275,20,FALSE)="","",VLOOKUP(A231,'Revitalisation-Revitalisierung'!$A$4:$Z$275,20,FALSE))</f>
        <v>e</v>
      </c>
      <c r="BR231" s="759" t="str">
        <f>IF(VLOOKUP(A231,'Revitalisation-Revitalisierung'!$A$4:$Z$275,21,FALSE)="","",VLOOKUP(A231,'Revitalisation-Revitalisierung'!$A$4:$Z$275,21,FALSE))</f>
        <v>Uri non nécessaire; OW partiellement nécessaire car il y a des stabilisations.</v>
      </c>
      <c r="BS231" s="762" t="str">
        <f>IF(VLOOKUP(A231,'Revitalisation-Revitalisierung'!$A$4:$Z$275,22,FALSE)="","",VLOOKUP(A231,'Revitalisation-Revitalisierung'!$A$4:$Z$275,22,FALSE))</f>
        <v>X</v>
      </c>
      <c r="BT231" s="700" t="str">
        <f>IF(VLOOKUP(A231,'Revitalisation-Revitalisierung'!$A$4:$Z$275,23,FALSE)="","",VLOOKUP(A231,'Revitalisation-Revitalisierung'!$A$4:$Z$275,23,FALSE))</f>
        <v>Non nécessaire / nicht nötig</v>
      </c>
      <c r="BU231" s="699" t="str">
        <f>IF(VLOOKUP(A231,'Revitalisation-Revitalisierung'!$A$4:$Z$275,24,FALSE)="","",VLOOKUP(A231,'Revitalisation-Revitalisierung'!$A$4:$Z$275,24,FALSE))</f>
        <v>réponse OW</v>
      </c>
      <c r="BV231" s="761" t="str">
        <f>IF(VLOOKUP(A231,'Revitalisation-Revitalisierung'!$A$4:$Z$275,25,FALSE)="","",VLOOKUP(A231,'Revitalisation-Revitalisierung'!$A$4:$Z$275,25,FALSE))</f>
        <v>Non nécessaire / nicht nötig</v>
      </c>
      <c r="BW231" s="871" t="str">
        <f>IF(VLOOKUP(A231,'Revitalisation-Revitalisierung'!$A$4:$AA$275,27,FALSE)="","",VLOOKUP(A231,'Revitalisation-Revitalisierung'!$A$4:$AA$275,27,FALSE))</f>
        <v>b</v>
      </c>
    </row>
    <row r="232" spans="1:75" ht="93" customHeight="1" x14ac:dyDescent="0.25">
      <c r="A232" s="935">
        <v>353</v>
      </c>
      <c r="B232" s="856">
        <f>IF(VLOOKUP(A232,'Données de base - Grunddaten'!$A$2:$M$297,2,FALSE)="","",VLOOKUP(A232,'Données de base - Grunddaten'!$A$2:$M$297,2,FALSE))</f>
        <v>1</v>
      </c>
      <c r="C232" s="857" t="str">
        <f>IF(VLOOKUP(A232,'Données de base - Grunddaten'!$A$2:$M$297,3,FALSE)="","",VLOOKUP(A232,'Données de base - Grunddaten'!$A$2:$M$297,3,FALSE))</f>
        <v>Altboden</v>
      </c>
      <c r="D232" s="857" t="str">
        <f>IF(VLOOKUP(A232,'Données de base - Grunddaten'!$A$2:$M$297,4,FALSE)="","",VLOOKUP(A232,'Données de base - Grunddaten'!$A$2:$M$297,4,FALSE))</f>
        <v>Gorenzmettlenbach</v>
      </c>
      <c r="E232" s="857" t="str">
        <f>IF(VLOOKUP(A232,'Données de base - Grunddaten'!$A$2:$M$297,5,FALSE)="","",VLOOKUP(A232,'Données de base - Grunddaten'!$A$2:$M$297,5,FALSE))</f>
        <v>UR</v>
      </c>
      <c r="F232" s="857" t="str">
        <f>IF(VLOOKUP(A232,'Données de base - Grunddaten'!$A$2:$M$297,6,FALSE)="","",VLOOKUP(A232,'Données de base - Grunddaten'!$A$2:$M$297,6,FALSE))</f>
        <v>Alpes septentrionales</v>
      </c>
      <c r="G232" s="857" t="str">
        <f>IF(VLOOKUP(A232,'Données de base - Grunddaten'!$A$2:$M$297,7,FALSE)="","",VLOOKUP(A232,'Données de base - Grunddaten'!$A$2:$M$297,7,FALSE))</f>
        <v>Subalpin sup.</v>
      </c>
      <c r="H232" s="857">
        <f>IF(VLOOKUP(A232,'Données de base - Grunddaten'!$A$2:$M$297,8,FALSE)="","",VLOOKUP(A232,'Données de base - Grunddaten'!$A$2:$M$297,8,FALSE))</f>
        <v>1660</v>
      </c>
      <c r="I232" s="857">
        <f>IF(VLOOKUP(A232,'Données de base - Grunddaten'!$A$2:$M$297,9,FALSE)="","",VLOOKUP(A232,'Données de base - Grunddaten'!$A$2:$M$297,9,FALSE))</f>
        <v>2003</v>
      </c>
      <c r="J232" s="857">
        <f>IF(VLOOKUP(A232,'Données de base - Grunddaten'!$A$2:$M$297,10,FALSE)="","",VLOOKUP(A232,'Données de base - Grunddaten'!$A$2:$M$297,10,FALSE))</f>
        <v>31</v>
      </c>
      <c r="K232" s="857" t="str">
        <f>IF(VLOOKUP(A232,'Données de base - Grunddaten'!$A$2:$M$297,11,FALSE)="","",VLOOKUP(A232,'Données de base - Grunddaten'!$A$2:$M$297,11,FALSE))</f>
        <v>Cours d'eau naturels de l'étage subalpin</v>
      </c>
      <c r="L232" s="857" t="str">
        <f>IF(VLOOKUP(A232,'Données de base - Grunddaten'!$A$2:$M$297,12,FALSE)="","",VLOOKUP(A232,'Données de base - Grunddaten'!$A$2:$M$297,12,FALSE))</f>
        <v>en tresses</v>
      </c>
      <c r="M232" s="858" t="str">
        <f>IF(VLOOKUP(A232,'Données de base - Grunddaten'!$A$2:$M$297,13,FALSE)="","",VLOOKUP(A232,'Données de base - Grunddaten'!$A$2:$M$297,13,FALSE))</f>
        <v>en tresses</v>
      </c>
      <c r="N232" s="872" t="str">
        <f>IF(VLOOKUP(A232,'Charriage - Geschiebehaushalt'!$A$4:$R$275,5,FALSE)="","",VLOOKUP(A232,'Charriage - Geschiebehaushalt'!$A$4:$R$275,5,FALSE))</f>
        <v>pertinent</v>
      </c>
      <c r="O232" s="881" t="str">
        <f>IF(VLOOKUP(A232,'Charriage - Geschiebehaushalt'!$A$4:$R$275,6,FALSE)="","",VLOOKUP(A232,'Charriage - Geschiebehaushalt'!$A$4:$R$275,6,FALSE))</f>
        <v>non documenté</v>
      </c>
      <c r="P232" s="874" t="str">
        <f>IF(VLOOKUP(A232,'Charriage - Geschiebehaushalt'!$A$4:$R$275,7,FALSE)="","",VLOOKUP(A232,'Charriage - Geschiebehaushalt'!$A$4:$R$275,7,FALSE))</f>
        <v/>
      </c>
      <c r="Q232" s="874" t="str">
        <f>IF(VLOOKUP(A232,'Charriage - Geschiebehaushalt'!$A$4:$R$275,8,FALSE)="","",VLOOKUP(A232,'Charriage - Geschiebehaushalt'!$A$4:$R$275,8,FALSE))</f>
        <v>non documenté</v>
      </c>
      <c r="R232" s="875">
        <f>IF(VLOOKUP(A232,'Charriage - Geschiebehaushalt'!$A$4:$R$275,9,FALSE)="","",VLOOKUP(A232,'Charriage - Geschiebehaushalt'!$A$4:$R$275,9,FALSE))</f>
        <v>1.8933422556575E-2</v>
      </c>
      <c r="S232" s="876" t="str">
        <f>IF(VLOOKUP(A232,'Charriage - Geschiebehaushalt'!$A$4:$R$275,10,FALSE)="","",VLOOKUP(A232,'Charriage - Geschiebehaushalt'!$A$4:$R$275,10,FALSE))</f>
        <v>pas ou faiblement entravé</v>
      </c>
      <c r="T232" s="875">
        <f>IF(VLOOKUP(A232,'Charriage - Geschiebehaushalt'!$A$4:$R$275,11,FALSE)="","",VLOOKUP(A232,'Charriage - Geschiebehaushalt'!$A$4:$R$275,11,FALSE))</f>
        <v>0</v>
      </c>
      <c r="U232" s="876" t="str">
        <f>IF(VLOOKUP(A232,'Charriage - Geschiebehaushalt'!$A$4:$R$275,12,FALSE)="","",VLOOKUP(A232,'Charriage - Geschiebehaushalt'!$A$4:$R$275,12,FALSE))</f>
        <v>déficit dans les formations pionnières</v>
      </c>
      <c r="V232" s="877" t="str">
        <f>IF(VLOOKUP(A232,'Charriage - Geschiebehaushalt'!$A$4:$R$275,13,FALSE)="","",VLOOKUP(A232,'Charriage - Geschiebehaushalt'!$A$4:$R$275,13,FALSE))</f>
        <v xml:space="preserve">Zone alluviale des vallées lattérales de la Reuss. Beaucoup de sédiments, mais creusage mécanique régulier du cours d'eau </v>
      </c>
      <c r="W232" s="878" t="str">
        <f>IF(VLOOKUP(A232,'Charriage - Geschiebehaushalt'!$A$4:$R$275,14,FALSE)="","",VLOOKUP(A232,'Charriage - Geschiebehaushalt'!$A$4:$R$275,14,FALSE))</f>
        <v>charriage présumé naturel</v>
      </c>
      <c r="X232" s="878" t="str">
        <f>IF(VLOOKUP(A232,'Charriage - Geschiebehaushalt'!$A$4:$R$275,15,FALSE)="","",VLOOKUP(A232,'Charriage - Geschiebehaushalt'!$A$4:$R$275,15,FALSE))</f>
        <v/>
      </c>
      <c r="Y232" s="882" t="str">
        <f>IF(VLOOKUP(A232,'Charriage - Geschiebehaushalt'!$A$4:$R$275,16,FALSE)="","",VLOOKUP(A232,'Charriage - Geschiebehaushalt'!$A$4:$R$275,16,FALSE))</f>
        <v/>
      </c>
      <c r="Z232" s="763" t="str">
        <f>IF(VLOOKUP(A232,'Charriage - Geschiebehaushalt'!$A$4:$R$275,17,FALSE)="","",VLOOKUP(A232,'Charriage - Geschiebehaushalt'!$A$4:$R$275,17,FALSE))</f>
        <v>Charriage présumé naturel / Geschiebehaushalt vermutlich natürlich</v>
      </c>
      <c r="AA232" s="880" t="str">
        <f>IF(VLOOKUP(A232,'Charriage - Geschiebehaushalt'!$A$4:$R$275,18,FALSE)="","",VLOOKUP(A232,'Charriage - Geschiebehaushalt'!$A$4:$R$275,18,FALSE))</f>
        <v>b</v>
      </c>
      <c r="AB232" s="737">
        <f>IF(VLOOKUP(A232,'Charriage - Geschiebehaushalt'!$A$4:$AC$275,19,FALSE)="","",VLOOKUP(A232,'Charriage - Geschiebehaushalt'!$A$4:$AC$275,19,FALSE))</f>
        <v>0</v>
      </c>
      <c r="AC232" s="738">
        <f>IF(VLOOKUP(A232,'Charriage - Geschiebehaushalt'!$A$4:$AC$275,20,FALSE)="","",VLOOKUP(A232,'Charriage - Geschiebehaushalt'!$A$4:$AC$275,20,FALSE))</f>
        <v>0</v>
      </c>
      <c r="AD232" s="764" t="str">
        <f>IF(VLOOKUP(A232,'Charriage - Geschiebehaushalt'!$A$4:$AC$275,21,FALSE)="","",VLOOKUP(A232,'Charriage - Geschiebehaushalt'!$A$4:$AC$275,21,FALSE))</f>
        <v/>
      </c>
      <c r="AE232" s="740" t="str">
        <f>IF(VLOOKUP(A232,'Charriage - Geschiebehaushalt'!$A$4:$AC$275,22,FALSE)="","",VLOOKUP(A232,'Charriage - Geschiebehaushalt'!$A$4:$AC$275,22,FALSE))</f>
        <v>0-20%</v>
      </c>
      <c r="AF232" s="787" t="str">
        <f>IF(VLOOKUP(A232,'Charriage - Geschiebehaushalt'!$A$4:$AC$275,23,FALSE)="","",VLOOKUP(A232,'Charriage - Geschiebehaushalt'!$A$4:$AC$275,23,FALSE))</f>
        <v>b</v>
      </c>
      <c r="AG232" s="765" t="str">
        <f>IF(VLOOKUP(A232,'Charriage - Geschiebehaushalt'!$A$4:$AC$275,24,FALSE)="","",VLOOKUP(A232,'Charriage - Geschiebehaushalt'!$A$4:$AC$275,24,FALSE))</f>
        <v/>
      </c>
      <c r="AH232" s="764" t="str">
        <f>IF(VLOOKUP(A232,'Charriage - Geschiebehaushalt'!$A$4:$AC$275,25,FALSE)="","",VLOOKUP(A232,'Charriage - Geschiebehaushalt'!$A$4:$AC$275,25,FALSE))</f>
        <v/>
      </c>
      <c r="AI232" s="438" t="str">
        <f>IF(VLOOKUP(A232,'Charriage - Geschiebehaushalt'!$A$4:$AC$275,26,FALSE)="","",VLOOKUP(A232,'Charriage - Geschiebehaushalt'!$A$4:$AC$275,26,FALSE))</f>
        <v/>
      </c>
      <c r="AJ232" s="436" t="str">
        <f>IF(VLOOKUP(A232,'Charriage - Geschiebehaushalt'!$A$4:$AC$275,27,FALSE)="","",VLOOKUP(A232,'Charriage - Geschiebehaushalt'!$A$4:$AC$275,27,FALSE))</f>
        <v/>
      </c>
      <c r="AK232" s="814" t="str">
        <f>IF(VLOOKUP(A232,'Charriage - Geschiebehaushalt'!$A$4:$AC$275,28,FALSE)="","",VLOOKUP(A232,'Charriage - Geschiebehaushalt'!$A$4:$AC$275,28,FALSE))</f>
        <v>0-20%</v>
      </c>
      <c r="AL232" s="1285" t="str">
        <f>IF(VLOOKUP(A232,'Charriage - Geschiebehaushalt'!$A$4:$AD$275,30,FALSE)="","",VLOOKUP(A232,'Charriage - Geschiebehaushalt'!$A$4:$AD$275,30,FALSE))</f>
        <v>b</v>
      </c>
      <c r="AM232" s="1279" t="str">
        <f>IF(VLOOKUP(A232,'Débit - Abfluss'!$A$4:$K$275,5,FALSE)="","",VLOOKUP(A232,'Débit - Abfluss'!$A$4:$M$275,5,FALSE))</f>
        <v>100%</v>
      </c>
      <c r="AN232" s="868" t="str">
        <f>IF(VLOOKUP(A232,'Débit - Abfluss'!$A$4:$K$275,6,FALSE)="","",VLOOKUP(A232,'Débit - Abfluss'!$A$4:$M$275,6,FALSE))</f>
        <v>aucune information supplémentaire</v>
      </c>
      <c r="AO232" s="869" t="str">
        <f>IF(VLOOKUP(A232,'Débit - Abfluss'!$A$4:$K$275,7,FALSE)="","",VLOOKUP(A232,'Débit - Abfluss'!$A$4:$M$275,7,FALSE))</f>
        <v>aucune information supplémentaire</v>
      </c>
      <c r="AP232" s="766" t="str">
        <f>IF(VLOOKUP(A232,'Débit - Abfluss'!$A$4:$K$275,8,FALSE)="","",VLOOKUP(A232,'Débit - Abfluss'!$A$4:$M$275,8,FALSE))</f>
        <v>100%</v>
      </c>
      <c r="AQ232" s="742" t="str">
        <f>IF(VLOOKUP(A232,'Débit - Abfluss'!$A$4:$K$275,9,FALSE)="","",VLOOKUP(A232,'Débit - Abfluss'!$A$4:$M$275,9,FALSE))</f>
        <v>-</v>
      </c>
      <c r="AR232" s="767" t="str">
        <f>IF(VLOOKUP(A232,'Débit - Abfluss'!$A$4:$K$275,10,FALSE)="","",VLOOKUP(A232,'Débit - Abfluss'!$A$4:$M$275,10,FALSE))</f>
        <v>100%</v>
      </c>
      <c r="AS232" s="767" t="str">
        <f>IF(VLOOKUP(A232,'Débit - Abfluss'!$A$4:$K$275,11,FALSE)="","",VLOOKUP(A232,'Débit - Abfluss'!$A$4:$M$275,11,FALSE))</f>
        <v/>
      </c>
      <c r="AT232" s="778" t="str">
        <f>IF(VLOOKUP(A232,'Débit - Abfluss'!$A$4:$Q$275,12,FALSE)="","",VLOOKUP(A232,'Débit - Abfluss'!$A$4:$Q$275,12,FALSE))</f>
        <v/>
      </c>
      <c r="AU232" s="779" t="str">
        <f>IF(VLOOKUP(A232,'Débit - Abfluss'!$A$4:$Q$275,13,FALSE)="","",VLOOKUP(A232,'Débit - Abfluss'!$A$4:$Q$275,13,FALSE))</f>
        <v/>
      </c>
      <c r="AV232" s="746" t="str">
        <f>IF(VLOOKUP(A232,'Débit - Abfluss'!$A$4:$Q$275,14,FALSE)="","",VLOOKUP(A232,'Débit - Abfluss'!$A$4:$Q$275,14,FALSE))</f>
        <v/>
      </c>
      <c r="AW232" s="768" t="str">
        <f>IF(VLOOKUP(A232,'Débit - Abfluss'!$A$4:$Q$275,15,FALSE)="","",VLOOKUP(A232,'Débit - Abfluss'!$A$4:$Q$275,15,FALSE))</f>
        <v/>
      </c>
      <c r="AX232" s="679" t="str">
        <f>IF(VLOOKUP(A232,'Débit - Abfluss'!$A$4:$Q$275,16,FALSE)="","",VLOOKUP(A232,'Débit - Abfluss'!$A$4:$Q$275,16,FALSE))</f>
        <v/>
      </c>
      <c r="AY232" s="769" t="str">
        <f>IF(VLOOKUP(A232,'Débit - Abfluss'!$A$4:$Q$275,17,FALSE)="","",VLOOKUP(A232,'Débit - Abfluss'!$A$4:$Q$275,17,FALSE))</f>
        <v>100%</v>
      </c>
      <c r="AZ232" s="749" t="str">
        <f>IF(VLOOKUP(A232,'Eclusée - Schwall-Sunk'!$A$2:$F$273,5,FALSE)="","",VLOOKUP(A232,'Eclusée - Schwall-Sunk'!$A$2:$F$273,5,FALSE))</f>
        <v/>
      </c>
      <c r="BA232" s="750" t="str">
        <f>IF(VLOOKUP(A232,'Eclusée - Schwall-Sunk'!$A$2:$F$273,6,FALSE)="","",VLOOKUP(A232,'Eclusée - Schwall-Sunk'!$A$2:$F$273,6,FALSE))</f>
        <v>Non affecté / nicht betroffen</v>
      </c>
      <c r="BB232" s="751">
        <f>IF(VLOOKUP(A232,'Revitalisation-Revitalisierung'!$A$4:$Z$275,5,FALSE)="","",VLOOKUP(A232,'Revitalisation-Revitalisierung'!$A$4:$Z$275,5,FALSE))</f>
        <v>-5</v>
      </c>
      <c r="BC232" s="752">
        <f>IF(VLOOKUP(A232,'Revitalisation-Revitalisierung'!$A$4:$Z$275,6,FALSE)="","",VLOOKUP(A232,'Revitalisation-Revitalisierung'!$A$4:$Z$275,6,FALSE))</f>
        <v>0</v>
      </c>
      <c r="BD232" s="752">
        <f>IF(VLOOKUP(A232,'Revitalisation-Revitalisierung'!$A$4:$Z$275,7,FALSE)="","",VLOOKUP(A232,'Revitalisation-Revitalisierung'!$A$4:$Z$275,7,FALSE))</f>
        <v>5</v>
      </c>
      <c r="BE232" s="753" t="str">
        <f>IF(VLOOKUP(A232,'Revitalisation-Revitalisierung'!$A$4:$Z$275,8,FALSE)="","",VLOOKUP(A232,'Revitalisation-Revitalisierung'!$A$4:$Z$275,8,FALSE))</f>
        <v>non nécessaire</v>
      </c>
      <c r="BF232" s="754" t="str">
        <f>IF(VLOOKUP(A232,'Revitalisation-Revitalisierung'!$A$4:$Z$275,9,FALSE)="","",VLOOKUP(A232,'Revitalisation-Revitalisierung'!$A$4:$Z$275,9,FALSE))</f>
        <v>nicht nötig</v>
      </c>
      <c r="BG232" s="754" t="str">
        <f>IF(VLOOKUP(A232,'Revitalisation-Revitalisierung'!$A$4:$Z$275,10,FALSE)="","",VLOOKUP(A232,'Revitalisation-Revitalisierung'!$A$4:$Z$275,10,FALSE))</f>
        <v>K3</v>
      </c>
      <c r="BH232" s="755" t="str">
        <f>IF(VLOOKUP(A232,'Revitalisation-Revitalisierung'!$A$4:$Z$275,11,FALSE)="","",VLOOKUP(A232,'Revitalisation-Revitalisierung'!$A$4:$Z$275,11,FALSE))</f>
        <v/>
      </c>
      <c r="BI232" s="756" t="str">
        <f>IF(VLOOKUP(A232,'Revitalisation-Revitalisierung'!$A$4:$Z$275,12,FALSE)="","",VLOOKUP(A232,'Revitalisation-Revitalisierung'!$A$4:$Z$275,12,FALSE))</f>
        <v/>
      </c>
      <c r="BJ232" s="788" t="str">
        <f>IF(VLOOKUP(A232,'Revitalisation-Revitalisierung'!$A$4:$Z$275,13,FALSE)="","",VLOOKUP(A232,'Revitalisation-Revitalisierung'!$A$4:$Z$275,13,FALSE))</f>
        <v>Non nécessaire / nicht nötig</v>
      </c>
      <c r="BK232" s="870" t="str">
        <f>IF(VLOOKUP(A232,'Revitalisation-Revitalisierung'!$A$4:$Z$275,14,FALSE)="","",VLOOKUP(A232,'Revitalisation-Revitalisierung'!$A$4:$Z$275,14,FALSE))</f>
        <v>a</v>
      </c>
      <c r="BL232" s="758" t="str">
        <f>IF(VLOOKUP(A232,'Revitalisation-Revitalisierung'!$A$4:$Z$275,15,FALSE)="","",VLOOKUP(A232,'Revitalisation-Revitalisierung'!$A$4:$Z$275,15,FALSE))</f>
        <v>keine Angaben</v>
      </c>
      <c r="BM232" s="759" t="str">
        <f>IF(VLOOKUP(A232,'Revitalisation-Revitalisierung'!$A$4:$Z$275,16,FALSE)="","",VLOOKUP(A232,'Revitalisation-Revitalisierung'!$A$4:$Z$275,16,FALSE))</f>
        <v>keine Angaben</v>
      </c>
      <c r="BN232" s="759" t="str">
        <f>IF(VLOOKUP(A232,'Revitalisation-Revitalisierung'!$A$4:$Z$275,17,FALSE)="","",VLOOKUP(A232,'Revitalisation-Revitalisierung'!$A$4:$Z$275,17,FALSE))</f>
        <v>-</v>
      </c>
      <c r="BO232" s="760" t="str">
        <f>IF(VLOOKUP(A232,'Revitalisation-Revitalisierung'!$A$4:$Z$275,18,FALSE)="","",VLOOKUP(A232,'Revitalisation-Revitalisierung'!$A$4:$Z$275,18,FALSE))</f>
        <v/>
      </c>
      <c r="BP232" s="761" t="str">
        <f>IF(VLOOKUP(A232,'Revitalisation-Revitalisierung'!$A$4:$Z$275,19,FALSE)="","",VLOOKUP(A232,'Revitalisation-Revitalisierung'!$A$4:$Z$275,19,FALSE))</f>
        <v>Non nécessaire / nicht nötig</v>
      </c>
      <c r="BQ232" s="759" t="str">
        <f>IF(VLOOKUP(A232,'Revitalisation-Revitalisierung'!$A$4:$Z$275,20,FALSE)="","",VLOOKUP(A232,'Revitalisation-Revitalisierung'!$A$4:$Z$275,20,FALSE))</f>
        <v>a</v>
      </c>
      <c r="BR232" s="759" t="str">
        <f>IF(VLOOKUP(A232,'Revitalisation-Revitalisierung'!$A$4:$Z$275,21,FALSE)="","",VLOOKUP(A232,'Revitalisation-Revitalisierung'!$A$4:$Z$275,21,FALSE))</f>
        <v/>
      </c>
      <c r="BS232" s="762" t="str">
        <f>IF(VLOOKUP(A232,'Revitalisation-Revitalisierung'!$A$4:$Z$275,22,FALSE)="","",VLOOKUP(A232,'Revitalisation-Revitalisierung'!$A$4:$Z$275,22,FALSE))</f>
        <v/>
      </c>
      <c r="BT232" s="700" t="str">
        <f>IF(VLOOKUP(A232,'Revitalisation-Revitalisierung'!$A$4:$Z$275,23,FALSE)="","",VLOOKUP(A232,'Revitalisation-Revitalisierung'!$A$4:$Z$275,23,FALSE))</f>
        <v/>
      </c>
      <c r="BU232" s="699" t="str">
        <f>IF(VLOOKUP(A232,'Revitalisation-Revitalisierung'!$A$4:$Z$275,24,FALSE)="","",VLOOKUP(A232,'Revitalisation-Revitalisierung'!$A$4:$Z$275,24,FALSE))</f>
        <v/>
      </c>
      <c r="BV232" s="761" t="str">
        <f>IF(VLOOKUP(A232,'Revitalisation-Revitalisierung'!$A$4:$Z$275,25,FALSE)="","",VLOOKUP(A232,'Revitalisation-Revitalisierung'!$A$4:$Z$275,25,FALSE))</f>
        <v>Non nécessaire / nicht nötig</v>
      </c>
      <c r="BW232" s="871" t="str">
        <f>IF(VLOOKUP(A232,'Revitalisation-Revitalisierung'!$A$4:$AA$275,27,FALSE)="","",VLOOKUP(A232,'Revitalisation-Revitalisierung'!$A$4:$AA$275,27,FALSE))</f>
        <v>a</v>
      </c>
    </row>
    <row r="233" spans="1:75" ht="84" customHeight="1" x14ac:dyDescent="0.25">
      <c r="A233" s="935">
        <v>354</v>
      </c>
      <c r="B233" s="856">
        <f>IF(VLOOKUP(A233,'Données de base - Grunddaten'!$A$2:$M$297,2,FALSE)="","",VLOOKUP(A233,'Données de base - Grunddaten'!$A$2:$M$297,2,FALSE))</f>
        <v>1</v>
      </c>
      <c r="C233" s="857" t="str">
        <f>IF(VLOOKUP(A233,'Données de base - Grunddaten'!$A$2:$M$297,3,FALSE)="","",VLOOKUP(A233,'Données de base - Grunddaten'!$A$2:$M$297,3,FALSE))</f>
        <v>Gorneren</v>
      </c>
      <c r="D233" s="857" t="str">
        <f>IF(VLOOKUP(A233,'Données de base - Grunddaten'!$A$2:$M$297,4,FALSE)="","",VLOOKUP(A233,'Données de base - Grunddaten'!$A$2:$M$297,4,FALSE))</f>
        <v>Gornerbach</v>
      </c>
      <c r="E233" s="857" t="str">
        <f>IF(VLOOKUP(A233,'Données de base - Grunddaten'!$A$2:$M$297,5,FALSE)="","",VLOOKUP(A233,'Données de base - Grunddaten'!$A$2:$M$297,5,FALSE))</f>
        <v>UR</v>
      </c>
      <c r="F233" s="857" t="str">
        <f>IF(VLOOKUP(A233,'Données de base - Grunddaten'!$A$2:$M$297,6,FALSE)="","",VLOOKUP(A233,'Données de base - Grunddaten'!$A$2:$M$297,6,FALSE))</f>
        <v>Alpes septentrionales</v>
      </c>
      <c r="G233" s="857" t="str">
        <f>IF(VLOOKUP(A233,'Données de base - Grunddaten'!$A$2:$M$297,7,FALSE)="","",VLOOKUP(A233,'Données de base - Grunddaten'!$A$2:$M$297,7,FALSE))</f>
        <v>Subalpin sup.</v>
      </c>
      <c r="H233" s="857">
        <f>IF(VLOOKUP(A233,'Données de base - Grunddaten'!$A$2:$M$297,8,FALSE)="","",VLOOKUP(A233,'Données de base - Grunddaten'!$A$2:$M$297,8,FALSE))</f>
        <v>1600</v>
      </c>
      <c r="I233" s="857">
        <f>IF(VLOOKUP(A233,'Données de base - Grunddaten'!$A$2:$M$297,9,FALSE)="","",VLOOKUP(A233,'Données de base - Grunddaten'!$A$2:$M$297,9,FALSE))</f>
        <v>2003</v>
      </c>
      <c r="J233" s="857">
        <f>IF(VLOOKUP(A233,'Données de base - Grunddaten'!$A$2:$M$297,10,FALSE)="","",VLOOKUP(A233,'Données de base - Grunddaten'!$A$2:$M$297,10,FALSE))</f>
        <v>31</v>
      </c>
      <c r="K233" s="857" t="str">
        <f>IF(VLOOKUP(A233,'Données de base - Grunddaten'!$A$2:$M$297,11,FALSE)="","",VLOOKUP(A233,'Données de base - Grunddaten'!$A$2:$M$297,11,FALSE))</f>
        <v>Cours d'eau naturels de l'étage subalpin</v>
      </c>
      <c r="L233" s="857" t="str">
        <f>IF(VLOOKUP(A233,'Données de base - Grunddaten'!$A$2:$M$297,12,FALSE)="","",VLOOKUP(A233,'Données de base - Grunddaten'!$A$2:$M$297,12,FALSE))</f>
        <v>en tresses</v>
      </c>
      <c r="M233" s="858" t="str">
        <f>IF(VLOOKUP(A233,'Données de base - Grunddaten'!$A$2:$M$297,13,FALSE)="","",VLOOKUP(A233,'Données de base - Grunddaten'!$A$2:$M$297,13,FALSE))</f>
        <v>en tresses</v>
      </c>
      <c r="N233" s="872" t="str">
        <f>IF(VLOOKUP(A233,'Charriage - Geschiebehaushalt'!$A$4:$R$275,5,FALSE)="","",VLOOKUP(A233,'Charriage - Geschiebehaushalt'!$A$4:$R$275,5,FALSE))</f>
        <v>pertinent</v>
      </c>
      <c r="O233" s="881" t="str">
        <f>IF(VLOOKUP(A233,'Charriage - Geschiebehaushalt'!$A$4:$R$275,6,FALSE)="","",VLOOKUP(A233,'Charriage - Geschiebehaushalt'!$A$4:$R$275,6,FALSE))</f>
        <v>non documenté</v>
      </c>
      <c r="P233" s="874" t="str">
        <f>IF(VLOOKUP(A233,'Charriage - Geschiebehaushalt'!$A$4:$R$275,7,FALSE)="","",VLOOKUP(A233,'Charriage - Geschiebehaushalt'!$A$4:$R$275,7,FALSE))</f>
        <v/>
      </c>
      <c r="Q233" s="874" t="str">
        <f>IF(VLOOKUP(A233,'Charriage - Geschiebehaushalt'!$A$4:$R$275,8,FALSE)="","",VLOOKUP(A233,'Charriage - Geschiebehaushalt'!$A$4:$R$275,8,FALSE))</f>
        <v>non documenté</v>
      </c>
      <c r="R233" s="875">
        <f>IF(VLOOKUP(A233,'Charriage - Geschiebehaushalt'!$A$4:$R$275,9,FALSE)="","",VLOOKUP(A233,'Charriage - Geschiebehaushalt'!$A$4:$R$275,9,FALSE))</f>
        <v>0.195439639521165</v>
      </c>
      <c r="S233" s="876" t="str">
        <f>IF(VLOOKUP(A233,'Charriage - Geschiebehaushalt'!$A$4:$R$275,10,FALSE)="","",VLOOKUP(A233,'Charriage - Geschiebehaushalt'!$A$4:$R$275,10,FALSE))</f>
        <v>pas ou faiblement entravé</v>
      </c>
      <c r="T233" s="875">
        <f>IF(VLOOKUP(A233,'Charriage - Geschiebehaushalt'!$A$4:$R$275,11,FALSE)="","",VLOOKUP(A233,'Charriage - Geschiebehaushalt'!$A$4:$R$275,11,FALSE))</f>
        <v>0.24187770453999999</v>
      </c>
      <c r="U233" s="876" t="str">
        <f>IF(VLOOKUP(A233,'Charriage - Geschiebehaushalt'!$A$4:$R$275,12,FALSE)="","",VLOOKUP(A233,'Charriage - Geschiebehaushalt'!$A$4:$R$275,12,FALSE))</f>
        <v>déficit dans les formations pionnières</v>
      </c>
      <c r="V233" s="877" t="str">
        <f>IF(VLOOKUP(A233,'Charriage - Geschiebehaushalt'!$A$4:$R$275,13,FALSE)="","",VLOOKUP(A233,'Charriage - Geschiebehaushalt'!$A$4:$R$275,13,FALSE))</f>
        <v xml:space="preserve">Zone alluviale des vallées lattérales de la Reuss. Beaucoup de sédiments, mais creusage mécanique régulier du cours d'eau </v>
      </c>
      <c r="W233" s="878" t="str">
        <f>IF(VLOOKUP(A233,'Charriage - Geschiebehaushalt'!$A$4:$R$275,14,FALSE)="","",VLOOKUP(A233,'Charriage - Geschiebehaushalt'!$A$4:$R$275,14,FALSE))</f>
        <v>charriage présumé naturel</v>
      </c>
      <c r="X233" s="878" t="str">
        <f>IF(VLOOKUP(A233,'Charriage - Geschiebehaushalt'!$A$4:$R$275,15,FALSE)="","",VLOOKUP(A233,'Charriage - Geschiebehaushalt'!$A$4:$R$275,15,FALSE))</f>
        <v/>
      </c>
      <c r="Y233" s="882" t="str">
        <f>IF(VLOOKUP(A233,'Charriage - Geschiebehaushalt'!$A$4:$R$275,16,FALSE)="","",VLOOKUP(A233,'Charriage - Geschiebehaushalt'!$A$4:$R$275,16,FALSE))</f>
        <v/>
      </c>
      <c r="Z233" s="763" t="str">
        <f>IF(VLOOKUP(A233,'Charriage - Geschiebehaushalt'!$A$4:$R$275,17,FALSE)="","",VLOOKUP(A233,'Charriage - Geschiebehaushalt'!$A$4:$R$275,17,FALSE))</f>
        <v>Charriage présumé naturel / Geschiebehaushalt vermutlich natürlich</v>
      </c>
      <c r="AA233" s="880" t="str">
        <f>IF(VLOOKUP(A233,'Charriage - Geschiebehaushalt'!$A$4:$R$275,18,FALSE)="","",VLOOKUP(A233,'Charriage - Geschiebehaushalt'!$A$4:$R$275,18,FALSE))</f>
        <v>b</v>
      </c>
      <c r="AB233" s="737">
        <f>IF(VLOOKUP(A233,'Charriage - Geschiebehaushalt'!$A$4:$AC$275,19,FALSE)="","",VLOOKUP(A233,'Charriage - Geschiebehaushalt'!$A$4:$AC$275,19,FALSE))</f>
        <v>0</v>
      </c>
      <c r="AC233" s="738">
        <f>IF(VLOOKUP(A233,'Charriage - Geschiebehaushalt'!$A$4:$AC$275,20,FALSE)="","",VLOOKUP(A233,'Charriage - Geschiebehaushalt'!$A$4:$AC$275,20,FALSE))</f>
        <v>0</v>
      </c>
      <c r="AD233" s="764" t="str">
        <f>IF(VLOOKUP(A233,'Charriage - Geschiebehaushalt'!$A$4:$AC$275,21,FALSE)="","",VLOOKUP(A233,'Charriage - Geschiebehaushalt'!$A$4:$AC$275,21,FALSE))</f>
        <v/>
      </c>
      <c r="AE233" s="740" t="str">
        <f>IF(VLOOKUP(A233,'Charriage - Geschiebehaushalt'!$A$4:$AC$275,22,FALSE)="","",VLOOKUP(A233,'Charriage - Geschiebehaushalt'!$A$4:$AC$275,22,FALSE))</f>
        <v>0-20%</v>
      </c>
      <c r="AF233" s="787" t="str">
        <f>IF(VLOOKUP(A233,'Charriage - Geschiebehaushalt'!$A$4:$AC$275,23,FALSE)="","",VLOOKUP(A233,'Charriage - Geschiebehaushalt'!$A$4:$AC$275,23,FALSE))</f>
        <v>b</v>
      </c>
      <c r="AG233" s="765" t="str">
        <f>IF(VLOOKUP(A233,'Charriage - Geschiebehaushalt'!$A$4:$AC$275,24,FALSE)="","",VLOOKUP(A233,'Charriage - Geschiebehaushalt'!$A$4:$AC$275,24,FALSE))</f>
        <v/>
      </c>
      <c r="AH233" s="764" t="str">
        <f>IF(VLOOKUP(A233,'Charriage - Geschiebehaushalt'!$A$4:$AC$275,25,FALSE)="","",VLOOKUP(A233,'Charriage - Geschiebehaushalt'!$A$4:$AC$275,25,FALSE))</f>
        <v/>
      </c>
      <c r="AI233" s="438" t="str">
        <f>IF(VLOOKUP(A233,'Charriage - Geschiebehaushalt'!$A$4:$AC$275,26,FALSE)="","",VLOOKUP(A233,'Charriage - Geschiebehaushalt'!$A$4:$AC$275,26,FALSE))</f>
        <v/>
      </c>
      <c r="AJ233" s="436" t="str">
        <f>IF(VLOOKUP(A233,'Charriage - Geschiebehaushalt'!$A$4:$AC$275,27,FALSE)="","",VLOOKUP(A233,'Charriage - Geschiebehaushalt'!$A$4:$AC$275,27,FALSE))</f>
        <v/>
      </c>
      <c r="AK233" s="814" t="str">
        <f>IF(VLOOKUP(A233,'Charriage - Geschiebehaushalt'!$A$4:$AC$275,28,FALSE)="","",VLOOKUP(A233,'Charriage - Geschiebehaushalt'!$A$4:$AC$275,28,FALSE))</f>
        <v>0-20%</v>
      </c>
      <c r="AL233" s="1285" t="str">
        <f>IF(VLOOKUP(A233,'Charriage - Geschiebehaushalt'!$A$4:$AD$275,30,FALSE)="","",VLOOKUP(A233,'Charriage - Geschiebehaushalt'!$A$4:$AD$275,30,FALSE))</f>
        <v>b</v>
      </c>
      <c r="AM233" s="1279" t="str">
        <f>IF(VLOOKUP(A233,'Débit - Abfluss'!$A$4:$K$275,5,FALSE)="","",VLOOKUP(A233,'Débit - Abfluss'!$A$4:$M$275,5,FALSE))</f>
        <v>100%</v>
      </c>
      <c r="AN233" s="868" t="str">
        <f>IF(VLOOKUP(A233,'Débit - Abfluss'!$A$4:$K$275,6,FALSE)="","",VLOOKUP(A233,'Débit - Abfluss'!$A$4:$M$275,6,FALSE))</f>
        <v>aucune information supplémentaire</v>
      </c>
      <c r="AO233" s="869" t="str">
        <f>IF(VLOOKUP(A233,'Débit - Abfluss'!$A$4:$K$275,7,FALSE)="","",VLOOKUP(A233,'Débit - Abfluss'!$A$4:$M$275,7,FALSE))</f>
        <v>aucune information supplémentaire</v>
      </c>
      <c r="AP233" s="766" t="str">
        <f>IF(VLOOKUP(A233,'Débit - Abfluss'!$A$4:$K$275,8,FALSE)="","",VLOOKUP(A233,'Débit - Abfluss'!$A$4:$M$275,8,FALSE))</f>
        <v>100%</v>
      </c>
      <c r="AQ233" s="742" t="str">
        <f>IF(VLOOKUP(A233,'Débit - Abfluss'!$A$4:$K$275,9,FALSE)="","",VLOOKUP(A233,'Débit - Abfluss'!$A$4:$M$275,9,FALSE))</f>
        <v>-</v>
      </c>
      <c r="AR233" s="767" t="str">
        <f>IF(VLOOKUP(A233,'Débit - Abfluss'!$A$4:$K$275,10,FALSE)="","",VLOOKUP(A233,'Débit - Abfluss'!$A$4:$M$275,10,FALSE))</f>
        <v>100%</v>
      </c>
      <c r="AS233" s="767" t="str">
        <f>IF(VLOOKUP(A233,'Débit - Abfluss'!$A$4:$K$275,11,FALSE)="","",VLOOKUP(A233,'Débit - Abfluss'!$A$4:$M$275,11,FALSE))</f>
        <v/>
      </c>
      <c r="AT233" s="778" t="str">
        <f>IF(VLOOKUP(A233,'Débit - Abfluss'!$A$4:$Q$275,12,FALSE)="","",VLOOKUP(A233,'Débit - Abfluss'!$A$4:$Q$275,12,FALSE))</f>
        <v/>
      </c>
      <c r="AU233" s="779" t="str">
        <f>IF(VLOOKUP(A233,'Débit - Abfluss'!$A$4:$Q$275,13,FALSE)="","",VLOOKUP(A233,'Débit - Abfluss'!$A$4:$Q$275,13,FALSE))</f>
        <v/>
      </c>
      <c r="AV233" s="746" t="str">
        <f>IF(VLOOKUP(A233,'Débit - Abfluss'!$A$4:$Q$275,14,FALSE)="","",VLOOKUP(A233,'Débit - Abfluss'!$A$4:$Q$275,14,FALSE))</f>
        <v/>
      </c>
      <c r="AW233" s="768" t="str">
        <f>IF(VLOOKUP(A233,'Débit - Abfluss'!$A$4:$Q$275,15,FALSE)="","",VLOOKUP(A233,'Débit - Abfluss'!$A$4:$Q$275,15,FALSE))</f>
        <v/>
      </c>
      <c r="AX233" s="679" t="str">
        <f>IF(VLOOKUP(A233,'Débit - Abfluss'!$A$4:$Q$275,16,FALSE)="","",VLOOKUP(A233,'Débit - Abfluss'!$A$4:$Q$275,16,FALSE))</f>
        <v/>
      </c>
      <c r="AY233" s="769" t="str">
        <f>IF(VLOOKUP(A233,'Débit - Abfluss'!$A$4:$Q$275,17,FALSE)="","",VLOOKUP(A233,'Débit - Abfluss'!$A$4:$Q$275,17,FALSE))</f>
        <v>100%</v>
      </c>
      <c r="AZ233" s="749" t="str">
        <f>IF(VLOOKUP(A233,'Eclusée - Schwall-Sunk'!$A$2:$F$273,5,FALSE)="","",VLOOKUP(A233,'Eclusée - Schwall-Sunk'!$A$2:$F$273,5,FALSE))</f>
        <v/>
      </c>
      <c r="BA233" s="750" t="str">
        <f>IF(VLOOKUP(A233,'Eclusée - Schwall-Sunk'!$A$2:$F$273,6,FALSE)="","",VLOOKUP(A233,'Eclusée - Schwall-Sunk'!$A$2:$F$273,6,FALSE))</f>
        <v>Non affecté / nicht betroffen</v>
      </c>
      <c r="BB233" s="751">
        <f>IF(VLOOKUP(A233,'Revitalisation-Revitalisierung'!$A$4:$Z$275,5,FALSE)="","",VLOOKUP(A233,'Revitalisation-Revitalisierung'!$A$4:$Z$275,5,FALSE))</f>
        <v>20.363636363636363</v>
      </c>
      <c r="BC233" s="752">
        <f>IF(VLOOKUP(A233,'Revitalisation-Revitalisierung'!$A$4:$Z$275,6,FALSE)="","",VLOOKUP(A233,'Revitalisation-Revitalisierung'!$A$4:$Z$275,6,FALSE))</f>
        <v>24.008531893885095</v>
      </c>
      <c r="BD233" s="752">
        <f>IF(VLOOKUP(A233,'Revitalisation-Revitalisierung'!$A$4:$Z$275,7,FALSE)="","",VLOOKUP(A233,'Revitalisation-Revitalisierung'!$A$4:$Z$275,7,FALSE))</f>
        <v>3.6363636363636362</v>
      </c>
      <c r="BE233" s="753" t="str">
        <f>IF(VLOOKUP(A233,'Revitalisation-Revitalisierung'!$A$4:$Z$275,8,FALSE)="","",VLOOKUP(A233,'Revitalisation-Revitalisierung'!$A$4:$Z$275,8,FALSE))</f>
        <v>peu nécessaire, facile</v>
      </c>
      <c r="BF233" s="754" t="str">
        <f>IF(VLOOKUP(A233,'Revitalisation-Revitalisierung'!$A$4:$Z$275,9,FALSE)="","",VLOOKUP(A233,'Revitalisation-Revitalisierung'!$A$4:$Z$275,9,FALSE))</f>
        <v>nicht nötig</v>
      </c>
      <c r="BG233" s="794" t="str">
        <f>IF(VLOOKUP(A233,'Revitalisation-Revitalisierung'!$A$4:$Z$275,10,FALSE)="","",VLOOKUP(A233,'Revitalisation-Revitalisierung'!$A$4:$Z$275,10,FALSE))</f>
        <v>K3</v>
      </c>
      <c r="BH233" s="755" t="str">
        <f>IF(VLOOKUP(A233,'Revitalisation-Revitalisierung'!$A$4:$Z$275,11,FALSE)="","",VLOOKUP(A233,'Revitalisation-Revitalisierung'!$A$4:$Z$275,11,FALSE))</f>
        <v/>
      </c>
      <c r="BI233" s="756" t="str">
        <f>IF(VLOOKUP(A233,'Revitalisation-Revitalisierung'!$A$4:$Z$275,12,FALSE)="","",VLOOKUP(A233,'Revitalisation-Revitalisierung'!$A$4:$Z$275,12,FALSE))</f>
        <v/>
      </c>
      <c r="BJ233" s="788" t="str">
        <f>IF(VLOOKUP(A233,'Revitalisation-Revitalisierung'!$A$4:$Z$275,13,FALSE)="","",VLOOKUP(A233,'Revitalisation-Revitalisierung'!$A$4:$Z$275,13,FALSE))</f>
        <v>Partiellement nécessaire, facile / teilweise nötig, einfach</v>
      </c>
      <c r="BK233" s="870" t="str">
        <f>IF(VLOOKUP(A233,'Revitalisation-Revitalisierung'!$A$4:$Z$275,14,FALSE)="","",VLOOKUP(A233,'Revitalisation-Revitalisierung'!$A$4:$Z$275,14,FALSE))</f>
        <v>a</v>
      </c>
      <c r="BL233" s="758" t="str">
        <f>IF(VLOOKUP(A233,'Revitalisation-Revitalisierung'!$A$4:$Z$275,15,FALSE)="","",VLOOKUP(A233,'Revitalisation-Revitalisierung'!$A$4:$Z$275,15,FALSE))</f>
        <v>keine Angaben</v>
      </c>
      <c r="BM233" s="759" t="str">
        <f>IF(VLOOKUP(A233,'Revitalisation-Revitalisierung'!$A$4:$Z$275,16,FALSE)="","",VLOOKUP(A233,'Revitalisation-Revitalisierung'!$A$4:$Z$275,16,FALSE))</f>
        <v>keine Angaben</v>
      </c>
      <c r="BN233" s="759" t="str">
        <f>IF(VLOOKUP(A233,'Revitalisation-Revitalisierung'!$A$4:$Z$275,17,FALSE)="","",VLOOKUP(A233,'Revitalisation-Revitalisierung'!$A$4:$Z$275,17,FALSE))</f>
        <v>-</v>
      </c>
      <c r="BO233" s="760" t="str">
        <f>IF(VLOOKUP(A233,'Revitalisation-Revitalisierung'!$A$4:$Z$275,18,FALSE)="","",VLOOKUP(A233,'Revitalisation-Revitalisierung'!$A$4:$Z$275,18,FALSE))</f>
        <v/>
      </c>
      <c r="BP233" s="761" t="str">
        <f>IF(VLOOKUP(A233,'Revitalisation-Revitalisierung'!$A$4:$Z$275,19,FALSE)="","",VLOOKUP(A233,'Revitalisation-Revitalisierung'!$A$4:$Z$275,19,FALSE))</f>
        <v>Partiellement nécessaire, facile / teilweise nötig, einfach</v>
      </c>
      <c r="BQ233" s="759" t="str">
        <f>IF(VLOOKUP(A233,'Revitalisation-Revitalisierung'!$A$4:$Z$275,20,FALSE)="","",VLOOKUP(A233,'Revitalisation-Revitalisierung'!$A$4:$Z$275,20,FALSE))</f>
        <v>a</v>
      </c>
      <c r="BR233" s="759" t="str">
        <f>IF(VLOOKUP(A233,'Revitalisation-Revitalisierung'!$A$4:$Z$275,21,FALSE)="","",VLOOKUP(A233,'Revitalisation-Revitalisierung'!$A$4:$Z$275,21,FALSE))</f>
        <v/>
      </c>
      <c r="BS233" s="762" t="str">
        <f>IF(VLOOKUP(A233,'Revitalisation-Revitalisierung'!$A$4:$Z$275,22,FALSE)="","",VLOOKUP(A233,'Revitalisation-Revitalisierung'!$A$4:$Z$275,22,FALSE))</f>
        <v/>
      </c>
      <c r="BT233" s="700" t="str">
        <f>IF(VLOOKUP(A233,'Revitalisation-Revitalisierung'!$A$4:$Z$275,23,FALSE)="","",VLOOKUP(A233,'Revitalisation-Revitalisierung'!$A$4:$Z$275,23,FALSE))</f>
        <v/>
      </c>
      <c r="BU233" s="699" t="str">
        <f>IF(VLOOKUP(A233,'Revitalisation-Revitalisierung'!$A$4:$Z$275,24,FALSE)="","",VLOOKUP(A233,'Revitalisation-Revitalisierung'!$A$4:$Z$275,24,FALSE))</f>
        <v/>
      </c>
      <c r="BV233" s="761" t="str">
        <f>IF(VLOOKUP(A233,'Revitalisation-Revitalisierung'!$A$4:$Z$275,25,FALSE)="","",VLOOKUP(A233,'Revitalisation-Revitalisierung'!$A$4:$Z$275,25,FALSE))</f>
        <v>Partiellement nécessaire, facile / teilweise nötig, einfach</v>
      </c>
      <c r="BW233" s="871" t="str">
        <f>IF(VLOOKUP(A233,'Revitalisation-Revitalisierung'!$A$4:$AA$275,27,FALSE)="","",VLOOKUP(A233,'Revitalisation-Revitalisierung'!$A$4:$AA$275,27,FALSE))</f>
        <v>a</v>
      </c>
    </row>
    <row r="234" spans="1:75" ht="69.599999999999994" customHeight="1" x14ac:dyDescent="0.25">
      <c r="A234" s="935">
        <v>355</v>
      </c>
      <c r="B234" s="856">
        <f>IF(VLOOKUP(A234,'Données de base - Grunddaten'!$A$2:$M$297,2,FALSE)="","",VLOOKUP(A234,'Données de base - Grunddaten'!$A$2:$M$297,2,FALSE))</f>
        <v>1</v>
      </c>
      <c r="C234" s="857" t="str">
        <f>IF(VLOOKUP(A234,'Données de base - Grunddaten'!$A$2:$M$297,3,FALSE)="","",VLOOKUP(A234,'Données de base - Grunddaten'!$A$2:$M$297,3,FALSE))</f>
        <v>Stäuberboden</v>
      </c>
      <c r="D234" s="857" t="str">
        <f>IF(VLOOKUP(A234,'Données de base - Grunddaten'!$A$2:$M$297,4,FALSE)="","",VLOOKUP(A234,'Données de base - Grunddaten'!$A$2:$M$297,4,FALSE))</f>
        <v>Chärstelenbach</v>
      </c>
      <c r="E234" s="857" t="str">
        <f>IF(VLOOKUP(A234,'Données de base - Grunddaten'!$A$2:$M$297,5,FALSE)="","",VLOOKUP(A234,'Données de base - Grunddaten'!$A$2:$M$297,5,FALSE))</f>
        <v>UR</v>
      </c>
      <c r="F234" s="857" t="str">
        <f>IF(VLOOKUP(A234,'Données de base - Grunddaten'!$A$2:$M$297,6,FALSE)="","",VLOOKUP(A234,'Données de base - Grunddaten'!$A$2:$M$297,6,FALSE))</f>
        <v>Alpes septentrionales</v>
      </c>
      <c r="G234" s="857" t="str">
        <f>IF(VLOOKUP(A234,'Données de base - Grunddaten'!$A$2:$M$297,7,FALSE)="","",VLOOKUP(A234,'Données de base - Grunddaten'!$A$2:$M$297,7,FALSE))</f>
        <v>Subalpin inf.</v>
      </c>
      <c r="H234" s="857">
        <f>IF(VLOOKUP(A234,'Données de base - Grunddaten'!$A$2:$M$297,8,FALSE)="","",VLOOKUP(A234,'Données de base - Grunddaten'!$A$2:$M$297,8,FALSE))</f>
        <v>1280</v>
      </c>
      <c r="I234" s="857">
        <f>IF(VLOOKUP(A234,'Données de base - Grunddaten'!$A$2:$M$297,9,FALSE)="","",VLOOKUP(A234,'Données de base - Grunddaten'!$A$2:$M$297,9,FALSE))</f>
        <v>2003</v>
      </c>
      <c r="J234" s="857">
        <f>IF(VLOOKUP(A234,'Données de base - Grunddaten'!$A$2:$M$297,10,FALSE)="","",VLOOKUP(A234,'Données de base - Grunddaten'!$A$2:$M$297,10,FALSE))</f>
        <v>41</v>
      </c>
      <c r="K234" s="857" t="str">
        <f>IF(VLOOKUP(A234,'Données de base - Grunddaten'!$A$2:$M$297,11,FALSE)="","",VLOOKUP(A234,'Données de base - Grunddaten'!$A$2:$M$297,11,FALSE))</f>
        <v>Cours d'eau naturels de l'étage montagnard</v>
      </c>
      <c r="L234" s="857" t="str">
        <f>IF(VLOOKUP(A234,'Données de base - Grunddaten'!$A$2:$M$297,12,FALSE)="","",VLOOKUP(A234,'Données de base - Grunddaten'!$A$2:$M$297,12,FALSE))</f>
        <v>en tresses</v>
      </c>
      <c r="M234" s="858" t="str">
        <f>IF(VLOOKUP(A234,'Données de base - Grunddaten'!$A$2:$M$297,13,FALSE)="","",VLOOKUP(A234,'Données de base - Grunddaten'!$A$2:$M$297,13,FALSE))</f>
        <v>en tresses</v>
      </c>
      <c r="N234" s="872" t="str">
        <f>IF(VLOOKUP(A234,'Charriage - Geschiebehaushalt'!$A$4:$R$275,5,FALSE)="","",VLOOKUP(A234,'Charriage - Geschiebehaushalt'!$A$4:$R$275,5,FALSE))</f>
        <v>pertinent</v>
      </c>
      <c r="O234" s="873" t="str">
        <f>IF(VLOOKUP(A234,'Charriage - Geschiebehaushalt'!$A$4:$R$275,6,FALSE)="","",VLOOKUP(A234,'Charriage - Geschiebehaushalt'!$A$4:$R$275,6,FALSE))</f>
        <v>0-20%</v>
      </c>
      <c r="P234" s="874" t="str">
        <f>IF(VLOOKUP(A234,'Charriage - Geschiebehaushalt'!$A$4:$R$275,7,FALSE)="","",VLOOKUP(A234,'Charriage - Geschiebehaushalt'!$A$4:$R$275,7,FALSE))</f>
        <v/>
      </c>
      <c r="Q234" s="874" t="str">
        <f>IF(VLOOKUP(A234,'Charriage - Geschiebehaushalt'!$A$4:$R$275,8,FALSE)="","",VLOOKUP(A234,'Charriage - Geschiebehaushalt'!$A$4:$R$275,8,FALSE))</f>
        <v>non documenté</v>
      </c>
      <c r="R234" s="875">
        <f>IF(VLOOKUP(A234,'Charriage - Geschiebehaushalt'!$A$4:$R$275,9,FALSE)="","",VLOOKUP(A234,'Charriage - Geschiebehaushalt'!$A$4:$R$275,9,FALSE))</f>
        <v>3.0357827835276002E-2</v>
      </c>
      <c r="S234" s="876" t="str">
        <f>IF(VLOOKUP(A234,'Charriage - Geschiebehaushalt'!$A$4:$R$275,10,FALSE)="","",VLOOKUP(A234,'Charriage - Geschiebehaushalt'!$A$4:$R$275,10,FALSE))</f>
        <v>pas ou faiblement entravé</v>
      </c>
      <c r="T234" s="875">
        <f>IF(VLOOKUP(A234,'Charriage - Geschiebehaushalt'!$A$4:$R$275,11,FALSE)="","",VLOOKUP(A234,'Charriage - Geschiebehaushalt'!$A$4:$R$275,11,FALSE))</f>
        <v>0.33689385054999998</v>
      </c>
      <c r="U234" s="876" t="str">
        <f>IF(VLOOKUP(A234,'Charriage - Geschiebehaushalt'!$A$4:$R$275,12,FALSE)="","",VLOOKUP(A234,'Charriage - Geschiebehaushalt'!$A$4:$R$275,12,FALSE))</f>
        <v>déficit dans les formations pionnières</v>
      </c>
      <c r="V234" s="877" t="str">
        <f>IF(VLOOKUP(A234,'Charriage - Geschiebehaushalt'!$A$4:$R$275,13,FALSE)="","",VLOOKUP(A234,'Charriage - Geschiebehaushalt'!$A$4:$R$275,13,FALSE))</f>
        <v/>
      </c>
      <c r="W234" s="877" t="str">
        <f>IF(VLOOKUP(A234,'Charriage - Geschiebehaushalt'!$A$4:$R$275,14,FALSE)="","",VLOOKUP(A234,'Charriage - Geschiebehaushalt'!$A$4:$R$275,14,FALSE))</f>
        <v/>
      </c>
      <c r="X234" s="877" t="str">
        <f>IF(VLOOKUP(A234,'Charriage - Geschiebehaushalt'!$A$4:$R$275,15,FALSE)="","",VLOOKUP(A234,'Charriage - Geschiebehaushalt'!$A$4:$R$275,15,FALSE))</f>
        <v/>
      </c>
      <c r="Y234" s="879" t="str">
        <f>IF(VLOOKUP(A234,'Charriage - Geschiebehaushalt'!$A$4:$R$275,16,FALSE)="","",VLOOKUP(A234,'Charriage - Geschiebehaushalt'!$A$4:$R$275,16,FALSE))</f>
        <v/>
      </c>
      <c r="Z234" s="763" t="str">
        <f>IF(VLOOKUP(A234,'Charriage - Geschiebehaushalt'!$A$4:$R$275,17,FALSE)="","",VLOOKUP(A234,'Charriage - Geschiebehaushalt'!$A$4:$R$275,17,FALSE))</f>
        <v>0-20%</v>
      </c>
      <c r="AA234" s="880" t="str">
        <f>IF(VLOOKUP(A234,'Charriage - Geschiebehaushalt'!$A$4:$R$275,18,FALSE)="","",VLOOKUP(A234,'Charriage - Geschiebehaushalt'!$A$4:$R$275,18,FALSE))</f>
        <v>a</v>
      </c>
      <c r="AB234" s="737">
        <f>IF(VLOOKUP(A234,'Charriage - Geschiebehaushalt'!$A$4:$AC$275,19,FALSE)="","",VLOOKUP(A234,'Charriage - Geschiebehaushalt'!$A$4:$AC$275,19,FALSE))</f>
        <v>0</v>
      </c>
      <c r="AC234" s="738">
        <f>IF(VLOOKUP(A234,'Charriage - Geschiebehaushalt'!$A$4:$AC$275,20,FALSE)="","",VLOOKUP(A234,'Charriage - Geschiebehaushalt'!$A$4:$AC$275,20,FALSE))</f>
        <v>0</v>
      </c>
      <c r="AD234" s="764" t="str">
        <f>IF(VLOOKUP(A234,'Charriage - Geschiebehaushalt'!$A$4:$AC$275,21,FALSE)="","",VLOOKUP(A234,'Charriage - Geschiebehaushalt'!$A$4:$AC$275,21,FALSE))</f>
        <v/>
      </c>
      <c r="AE234" s="740" t="str">
        <f>IF(VLOOKUP(A234,'Charriage - Geschiebehaushalt'!$A$4:$AC$275,22,FALSE)="","",VLOOKUP(A234,'Charriage - Geschiebehaushalt'!$A$4:$AC$275,22,FALSE))</f>
        <v>0-20%</v>
      </c>
      <c r="AF234" s="787" t="str">
        <f>IF(VLOOKUP(A234,'Charriage - Geschiebehaushalt'!$A$4:$AC$275,23,FALSE)="","",VLOOKUP(A234,'Charriage - Geschiebehaushalt'!$A$4:$AC$275,23,FALSE))</f>
        <v>a</v>
      </c>
      <c r="AG234" s="765" t="str">
        <f>IF(VLOOKUP(A234,'Charriage - Geschiebehaushalt'!$A$4:$AC$275,24,FALSE)="","",VLOOKUP(A234,'Charriage - Geschiebehaushalt'!$A$4:$AC$275,24,FALSE))</f>
        <v/>
      </c>
      <c r="AH234" s="764" t="str">
        <f>IF(VLOOKUP(A234,'Charriage - Geschiebehaushalt'!$A$4:$AC$275,25,FALSE)="","",VLOOKUP(A234,'Charriage - Geschiebehaushalt'!$A$4:$AC$275,25,FALSE))</f>
        <v/>
      </c>
      <c r="AI234" s="438" t="str">
        <f>IF(VLOOKUP(A234,'Charriage - Geschiebehaushalt'!$A$4:$AC$275,26,FALSE)="","",VLOOKUP(A234,'Charriage - Geschiebehaushalt'!$A$4:$AC$275,26,FALSE))</f>
        <v/>
      </c>
      <c r="AJ234" s="436" t="str">
        <f>IF(VLOOKUP(A234,'Charriage - Geschiebehaushalt'!$A$4:$AC$275,27,FALSE)="","",VLOOKUP(A234,'Charriage - Geschiebehaushalt'!$A$4:$AC$275,27,FALSE))</f>
        <v/>
      </c>
      <c r="AK234" s="814" t="str">
        <f>IF(VLOOKUP(A234,'Charriage - Geschiebehaushalt'!$A$4:$AC$275,28,FALSE)="","",VLOOKUP(A234,'Charriage - Geschiebehaushalt'!$A$4:$AC$275,28,FALSE))</f>
        <v>0-20%</v>
      </c>
      <c r="AL234" s="1285" t="str">
        <f>IF(VLOOKUP(A234,'Charriage - Geschiebehaushalt'!$A$4:$AD$275,30,FALSE)="","",VLOOKUP(A234,'Charriage - Geschiebehaushalt'!$A$4:$AD$275,30,FALSE))</f>
        <v>a</v>
      </c>
      <c r="AM234" s="1279" t="str">
        <f>IF(VLOOKUP(A234,'Débit - Abfluss'!$A$4:$K$275,5,FALSE)="","",VLOOKUP(A234,'Débit - Abfluss'!$A$4:$M$275,5,FALSE))</f>
        <v>100%</v>
      </c>
      <c r="AN234" s="868" t="str">
        <f>IF(VLOOKUP(A234,'Débit - Abfluss'!$A$4:$K$275,6,FALSE)="","",VLOOKUP(A234,'Débit - Abfluss'!$A$4:$M$275,6,FALSE))</f>
        <v>aucune information supplémentaire</v>
      </c>
      <c r="AO234" s="869" t="str">
        <f>IF(VLOOKUP(A234,'Débit - Abfluss'!$A$4:$K$275,7,FALSE)="","",VLOOKUP(A234,'Débit - Abfluss'!$A$4:$M$275,7,FALSE))</f>
        <v>aucune information supplémentaire</v>
      </c>
      <c r="AP234" s="766" t="str">
        <f>IF(VLOOKUP(A234,'Débit - Abfluss'!$A$4:$K$275,8,FALSE)="","",VLOOKUP(A234,'Débit - Abfluss'!$A$4:$M$275,8,FALSE))</f>
        <v>100%</v>
      </c>
      <c r="AQ234" s="742" t="str">
        <f>IF(VLOOKUP(A234,'Débit - Abfluss'!$A$4:$K$275,9,FALSE)="","",VLOOKUP(A234,'Débit - Abfluss'!$A$4:$M$275,9,FALSE))</f>
        <v>-</v>
      </c>
      <c r="AR234" s="767" t="str">
        <f>IF(VLOOKUP(A234,'Débit - Abfluss'!$A$4:$K$275,10,FALSE)="","",VLOOKUP(A234,'Débit - Abfluss'!$A$4:$M$275,10,FALSE))</f>
        <v>100%</v>
      </c>
      <c r="AS234" s="767" t="str">
        <f>IF(VLOOKUP(A234,'Débit - Abfluss'!$A$4:$K$275,11,FALSE)="","",VLOOKUP(A234,'Débit - Abfluss'!$A$4:$M$275,11,FALSE))</f>
        <v/>
      </c>
      <c r="AT234" s="778" t="str">
        <f>IF(VLOOKUP(A234,'Débit - Abfluss'!$A$4:$Q$275,12,FALSE)="","",VLOOKUP(A234,'Débit - Abfluss'!$A$4:$Q$275,12,FALSE))</f>
        <v/>
      </c>
      <c r="AU234" s="779" t="str">
        <f>IF(VLOOKUP(A234,'Débit - Abfluss'!$A$4:$Q$275,13,FALSE)="","",VLOOKUP(A234,'Débit - Abfluss'!$A$4:$Q$275,13,FALSE))</f>
        <v/>
      </c>
      <c r="AV234" s="746" t="str">
        <f>IF(VLOOKUP(A234,'Débit - Abfluss'!$A$4:$Q$275,14,FALSE)="","",VLOOKUP(A234,'Débit - Abfluss'!$A$4:$Q$275,14,FALSE))</f>
        <v/>
      </c>
      <c r="AW234" s="768" t="str">
        <f>IF(VLOOKUP(A234,'Débit - Abfluss'!$A$4:$Q$275,15,FALSE)="","",VLOOKUP(A234,'Débit - Abfluss'!$A$4:$Q$275,15,FALSE))</f>
        <v/>
      </c>
      <c r="AX234" s="679" t="str">
        <f>IF(VLOOKUP(A234,'Débit - Abfluss'!$A$4:$Q$275,16,FALSE)="","",VLOOKUP(A234,'Débit - Abfluss'!$A$4:$Q$275,16,FALSE))</f>
        <v/>
      </c>
      <c r="AY234" s="769" t="str">
        <f>IF(VLOOKUP(A234,'Débit - Abfluss'!$A$4:$Q$275,17,FALSE)="","",VLOOKUP(A234,'Débit - Abfluss'!$A$4:$Q$275,17,FALSE))</f>
        <v>100%</v>
      </c>
      <c r="AZ234" s="749" t="str">
        <f>IF(VLOOKUP(A234,'Eclusée - Schwall-Sunk'!$A$2:$F$273,5,FALSE)="","",VLOOKUP(A234,'Eclusée - Schwall-Sunk'!$A$2:$F$273,5,FALSE))</f>
        <v/>
      </c>
      <c r="BA234" s="750" t="str">
        <f>IF(VLOOKUP(A234,'Eclusée - Schwall-Sunk'!$A$2:$F$273,6,FALSE)="","",VLOOKUP(A234,'Eclusée - Schwall-Sunk'!$A$2:$F$273,6,FALSE))</f>
        <v>Non affecté / nicht betroffen</v>
      </c>
      <c r="BB234" s="751">
        <f>IF(VLOOKUP(A234,'Revitalisation-Revitalisierung'!$A$4:$Z$275,5,FALSE)="","",VLOOKUP(A234,'Revitalisation-Revitalisierung'!$A$4:$Z$275,5,FALSE))</f>
        <v>-10.909090909090908</v>
      </c>
      <c r="BC234" s="752">
        <f>IF(VLOOKUP(A234,'Revitalisation-Revitalisierung'!$A$4:$Z$275,6,FALSE)="","",VLOOKUP(A234,'Revitalisation-Revitalisierung'!$A$4:$Z$275,6,FALSE))</f>
        <v>0</v>
      </c>
      <c r="BD234" s="752">
        <f>IF(VLOOKUP(A234,'Revitalisation-Revitalisierung'!$A$4:$Z$275,7,FALSE)="","",VLOOKUP(A234,'Revitalisation-Revitalisierung'!$A$4:$Z$275,7,FALSE))</f>
        <v>10.909090909090908</v>
      </c>
      <c r="BE234" s="753" t="str">
        <f>IF(VLOOKUP(A234,'Revitalisation-Revitalisierung'!$A$4:$Z$275,8,FALSE)="","",VLOOKUP(A234,'Revitalisation-Revitalisierung'!$A$4:$Z$275,8,FALSE))</f>
        <v>non nécessaire</v>
      </c>
      <c r="BF234" s="754" t="str">
        <f>IF(VLOOKUP(A234,'Revitalisation-Revitalisierung'!$A$4:$Z$275,9,FALSE)="","",VLOOKUP(A234,'Revitalisation-Revitalisierung'!$A$4:$Z$275,9,FALSE))</f>
        <v/>
      </c>
      <c r="BG234" s="754" t="str">
        <f>IF(VLOOKUP(A234,'Revitalisation-Revitalisierung'!$A$4:$Z$275,10,FALSE)="","",VLOOKUP(A234,'Revitalisation-Revitalisierung'!$A$4:$Z$275,10,FALSE))</f>
        <v>K3</v>
      </c>
      <c r="BH234" s="755" t="str">
        <f>IF(VLOOKUP(A234,'Revitalisation-Revitalisierung'!$A$4:$Z$275,11,FALSE)="","",VLOOKUP(A234,'Revitalisation-Revitalisierung'!$A$4:$Z$275,11,FALSE))</f>
        <v/>
      </c>
      <c r="BI234" s="756" t="str">
        <f>IF(VLOOKUP(A234,'Revitalisation-Revitalisierung'!$A$4:$Z$275,12,FALSE)="","",VLOOKUP(A234,'Revitalisation-Revitalisierung'!$A$4:$Z$275,12,FALSE))</f>
        <v/>
      </c>
      <c r="BJ234" s="788" t="str">
        <f>IF(VLOOKUP(A234,'Revitalisation-Revitalisierung'!$A$4:$Z$275,13,FALSE)="","",VLOOKUP(A234,'Revitalisation-Revitalisierung'!$A$4:$Z$275,13,FALSE))</f>
        <v>Non nécessaire / nicht nötig</v>
      </c>
      <c r="BK234" s="870" t="str">
        <f>IF(VLOOKUP(A234,'Revitalisation-Revitalisierung'!$A$4:$Z$275,14,FALSE)="","",VLOOKUP(A234,'Revitalisation-Revitalisierung'!$A$4:$Z$275,14,FALSE))</f>
        <v>a</v>
      </c>
      <c r="BL234" s="758" t="str">
        <f>IF(VLOOKUP(A234,'Revitalisation-Revitalisierung'!$A$4:$Z$275,15,FALSE)="","",VLOOKUP(A234,'Revitalisation-Revitalisierung'!$A$4:$Z$275,15,FALSE))</f>
        <v>keine Angaben</v>
      </c>
      <c r="BM234" s="759" t="str">
        <f>IF(VLOOKUP(A234,'Revitalisation-Revitalisierung'!$A$4:$Z$275,16,FALSE)="","",VLOOKUP(A234,'Revitalisation-Revitalisierung'!$A$4:$Z$275,16,FALSE))</f>
        <v>keine Angaben</v>
      </c>
      <c r="BN234" s="759" t="str">
        <f>IF(VLOOKUP(A234,'Revitalisation-Revitalisierung'!$A$4:$Z$275,17,FALSE)="","",VLOOKUP(A234,'Revitalisation-Revitalisierung'!$A$4:$Z$275,17,FALSE))</f>
        <v>-</v>
      </c>
      <c r="BO234" s="760" t="str">
        <f>IF(VLOOKUP(A234,'Revitalisation-Revitalisierung'!$A$4:$Z$275,18,FALSE)="","",VLOOKUP(A234,'Revitalisation-Revitalisierung'!$A$4:$Z$275,18,FALSE))</f>
        <v/>
      </c>
      <c r="BP234" s="761" t="str">
        <f>IF(VLOOKUP(A234,'Revitalisation-Revitalisierung'!$A$4:$Z$275,19,FALSE)="","",VLOOKUP(A234,'Revitalisation-Revitalisierung'!$A$4:$Z$275,19,FALSE))</f>
        <v>Non nécessaire / nicht nötig</v>
      </c>
      <c r="BQ234" s="759" t="str">
        <f>IF(VLOOKUP(A234,'Revitalisation-Revitalisierung'!$A$4:$Z$275,20,FALSE)="","",VLOOKUP(A234,'Revitalisation-Revitalisierung'!$A$4:$Z$275,20,FALSE))</f>
        <v>a</v>
      </c>
      <c r="BR234" s="759" t="str">
        <f>IF(VLOOKUP(A234,'Revitalisation-Revitalisierung'!$A$4:$Z$275,21,FALSE)="","",VLOOKUP(A234,'Revitalisation-Revitalisierung'!$A$4:$Z$275,21,FALSE))</f>
        <v/>
      </c>
      <c r="BS234" s="762" t="str">
        <f>IF(VLOOKUP(A234,'Revitalisation-Revitalisierung'!$A$4:$Z$275,22,FALSE)="","",VLOOKUP(A234,'Revitalisation-Revitalisierung'!$A$4:$Z$275,22,FALSE))</f>
        <v/>
      </c>
      <c r="BT234" s="700" t="str">
        <f>IF(VLOOKUP(A234,'Revitalisation-Revitalisierung'!$A$4:$Z$275,23,FALSE)="","",VLOOKUP(A234,'Revitalisation-Revitalisierung'!$A$4:$Z$275,23,FALSE))</f>
        <v/>
      </c>
      <c r="BU234" s="699" t="str">
        <f>IF(VLOOKUP(A234,'Revitalisation-Revitalisierung'!$A$4:$Z$275,24,FALSE)="","",VLOOKUP(A234,'Revitalisation-Revitalisierung'!$A$4:$Z$275,24,FALSE))</f>
        <v/>
      </c>
      <c r="BV234" s="761" t="str">
        <f>IF(VLOOKUP(A234,'Revitalisation-Revitalisierung'!$A$4:$Z$275,25,FALSE)="","",VLOOKUP(A234,'Revitalisation-Revitalisierung'!$A$4:$Z$275,25,FALSE))</f>
        <v>Non nécessaire / nicht nötig</v>
      </c>
      <c r="BW234" s="871" t="str">
        <f>IF(VLOOKUP(A234,'Revitalisation-Revitalisierung'!$A$4:$AA$275,27,FALSE)="","",VLOOKUP(A234,'Revitalisation-Revitalisierung'!$A$4:$AA$275,27,FALSE))</f>
        <v>a</v>
      </c>
    </row>
    <row r="235" spans="1:75" ht="68.45" customHeight="1" x14ac:dyDescent="0.25">
      <c r="A235" s="935">
        <v>356</v>
      </c>
      <c r="B235" s="856">
        <f>IF(VLOOKUP(A235,'Données de base - Grunddaten'!$A$2:$M$297,2,FALSE)="","",VLOOKUP(A235,'Données de base - Grunddaten'!$A$2:$M$297,2,FALSE))</f>
        <v>1</v>
      </c>
      <c r="C235" s="857" t="str">
        <f>IF(VLOOKUP(A235,'Données de base - Grunddaten'!$A$2:$M$297,3,FALSE)="","",VLOOKUP(A235,'Données de base - Grunddaten'!$A$2:$M$297,3,FALSE))</f>
        <v>Unteralp</v>
      </c>
      <c r="D235" s="857" t="str">
        <f>IF(VLOOKUP(A235,'Données de base - Grunddaten'!$A$2:$M$297,4,FALSE)="","",VLOOKUP(A235,'Données de base - Grunddaten'!$A$2:$M$297,4,FALSE))</f>
        <v>Unteralpreuss</v>
      </c>
      <c r="E235" s="857" t="str">
        <f>IF(VLOOKUP(A235,'Données de base - Grunddaten'!$A$2:$M$297,5,FALSE)="","",VLOOKUP(A235,'Données de base - Grunddaten'!$A$2:$M$297,5,FALSE))</f>
        <v>UR</v>
      </c>
      <c r="F235" s="857" t="str">
        <f>IF(VLOOKUP(A235,'Données de base - Grunddaten'!$A$2:$M$297,6,FALSE)="","",VLOOKUP(A235,'Données de base - Grunddaten'!$A$2:$M$297,6,FALSE))</f>
        <v>Alpes centrales orientales</v>
      </c>
      <c r="G235" s="857" t="str">
        <f>IF(VLOOKUP(A235,'Données de base - Grunddaten'!$A$2:$M$297,7,FALSE)="","",VLOOKUP(A235,'Données de base - Grunddaten'!$A$2:$M$297,7,FALSE))</f>
        <v>Subalpin sup.</v>
      </c>
      <c r="H235" s="857">
        <f>IF(VLOOKUP(A235,'Données de base - Grunddaten'!$A$2:$M$297,8,FALSE)="","",VLOOKUP(A235,'Données de base - Grunddaten'!$A$2:$M$297,8,FALSE))</f>
        <v>1580</v>
      </c>
      <c r="I235" s="857">
        <f>IF(VLOOKUP(A235,'Données de base - Grunddaten'!$A$2:$M$297,9,FALSE)="","",VLOOKUP(A235,'Données de base - Grunddaten'!$A$2:$M$297,9,FALSE))</f>
        <v>2003</v>
      </c>
      <c r="J235" s="857">
        <f>IF(VLOOKUP(A235,'Données de base - Grunddaten'!$A$2:$M$297,10,FALSE)="","",VLOOKUP(A235,'Données de base - Grunddaten'!$A$2:$M$297,10,FALSE))</f>
        <v>31</v>
      </c>
      <c r="K235" s="857" t="str">
        <f>IF(VLOOKUP(A235,'Données de base - Grunddaten'!$A$2:$M$297,11,FALSE)="","",VLOOKUP(A235,'Données de base - Grunddaten'!$A$2:$M$297,11,FALSE))</f>
        <v>Cours d'eau naturels de l'étage subalpin</v>
      </c>
      <c r="L235" s="857" t="str">
        <f>IF(VLOOKUP(A235,'Données de base - Grunddaten'!$A$2:$M$297,12,FALSE)="","",VLOOKUP(A235,'Données de base - Grunddaten'!$A$2:$M$297,12,FALSE))</f>
        <v>en tresses</v>
      </c>
      <c r="M235" s="858" t="str">
        <f>IF(VLOOKUP(A235,'Données de base - Grunddaten'!$A$2:$M$297,13,FALSE)="","",VLOOKUP(A235,'Données de base - Grunddaten'!$A$2:$M$297,13,FALSE))</f>
        <v>en tresses</v>
      </c>
      <c r="N235" s="872" t="str">
        <f>IF(VLOOKUP(A235,'Charriage - Geschiebehaushalt'!$A$4:$R$275,5,FALSE)="","",VLOOKUP(A235,'Charriage - Geschiebehaushalt'!$A$4:$R$275,5,FALSE))</f>
        <v>pertinent</v>
      </c>
      <c r="O235" s="881" t="str">
        <f>IF(VLOOKUP(A235,'Charriage - Geschiebehaushalt'!$A$4:$R$275,6,FALSE)="","",VLOOKUP(A235,'Charriage - Geschiebehaushalt'!$A$4:$R$275,6,FALSE))</f>
        <v>non documenté</v>
      </c>
      <c r="P235" s="874" t="str">
        <f>IF(VLOOKUP(A235,'Charriage - Geschiebehaushalt'!$A$4:$R$275,7,FALSE)="","",VLOOKUP(A235,'Charriage - Geschiebehaushalt'!$A$4:$R$275,7,FALSE))</f>
        <v/>
      </c>
      <c r="Q235" s="874" t="str">
        <f>IF(VLOOKUP(A235,'Charriage - Geschiebehaushalt'!$A$4:$R$275,8,FALSE)="","",VLOOKUP(A235,'Charriage - Geschiebehaushalt'!$A$4:$R$275,8,FALSE))</f>
        <v>non documenté</v>
      </c>
      <c r="R235" s="875">
        <f>IF(VLOOKUP(A235,'Charriage - Geschiebehaushalt'!$A$4:$R$275,9,FALSE)="","",VLOOKUP(A235,'Charriage - Geschiebehaushalt'!$A$4:$R$275,9,FALSE))</f>
        <v>0.43627546356086</v>
      </c>
      <c r="S235" s="895" t="str">
        <f>IF(VLOOKUP(A235,'Charriage - Geschiebehaushalt'!$A$4:$R$275,10,FALSE)="","",VLOOKUP(A235,'Charriage - Geschiebehaushalt'!$A$4:$R$275,10,FALSE))</f>
        <v>la remobilisation des sédiments est perturbée</v>
      </c>
      <c r="T235" s="875">
        <f>IF(VLOOKUP(A235,'Charriage - Geschiebehaushalt'!$A$4:$R$275,11,FALSE)="","",VLOOKUP(A235,'Charriage - Geschiebehaushalt'!$A$4:$R$275,11,FALSE))</f>
        <v>0.37379190273000001</v>
      </c>
      <c r="U235" s="876" t="str">
        <f>IF(VLOOKUP(A235,'Charriage - Geschiebehaushalt'!$A$4:$R$275,12,FALSE)="","",VLOOKUP(A235,'Charriage - Geschiebehaushalt'!$A$4:$R$275,12,FALSE))</f>
        <v>déficit non apparent en charriage ou en remobilisation des sédiments</v>
      </c>
      <c r="V235" s="877" t="str">
        <f>IF(VLOOKUP(A235,'Charriage - Geschiebehaushalt'!$A$4:$R$275,13,FALSE)="","",VLOOKUP(A235,'Charriage - Geschiebehaushalt'!$A$4:$R$275,13,FALSE))</f>
        <v/>
      </c>
      <c r="W235" s="877" t="str">
        <f>IF(VLOOKUP(A235,'Charriage - Geschiebehaushalt'!$A$4:$R$275,14,FALSE)="","",VLOOKUP(A235,'Charriage - Geschiebehaushalt'!$A$4:$R$275,14,FALSE))</f>
        <v/>
      </c>
      <c r="X235" s="877" t="str">
        <f>IF(VLOOKUP(A235,'Charriage - Geschiebehaushalt'!$A$4:$R$275,15,FALSE)="","",VLOOKUP(A235,'Charriage - Geschiebehaushalt'!$A$4:$R$275,15,FALSE))</f>
        <v/>
      </c>
      <c r="Y235" s="879" t="str">
        <f>IF(VLOOKUP(A235,'Charriage - Geschiebehaushalt'!$A$4:$R$275,16,FALSE)="","",VLOOKUP(A235,'Charriage - Geschiebehaushalt'!$A$4:$R$275,16,FALSE))</f>
        <v/>
      </c>
      <c r="Z235" s="763" t="str">
        <f>IF(VLOOKUP(A235,'Charriage - Geschiebehaushalt'!$A$4:$R$275,17,FALSE)="","",VLOOKUP(A235,'Charriage - Geschiebehaushalt'!$A$4:$R$275,17,FALSE))</f>
        <v>La remobilisation des sédiments est perturbée / Mobilisierung von Geschiebe beeinträchtigt</v>
      </c>
      <c r="AA235" s="880" t="str">
        <f>IF(VLOOKUP(A235,'Charriage - Geschiebehaushalt'!$A$4:$R$275,18,FALSE)="","",VLOOKUP(A235,'Charriage - Geschiebehaushalt'!$A$4:$R$275,18,FALSE))</f>
        <v>b</v>
      </c>
      <c r="AB235" s="737">
        <f>IF(VLOOKUP(A235,'Charriage - Geschiebehaushalt'!$A$4:$AC$275,19,FALSE)="","",VLOOKUP(A235,'Charriage - Geschiebehaushalt'!$A$4:$AC$275,19,FALSE))</f>
        <v>0</v>
      </c>
      <c r="AC235" s="738">
        <f>IF(VLOOKUP(A235,'Charriage - Geschiebehaushalt'!$A$4:$AC$275,20,FALSE)="","",VLOOKUP(A235,'Charriage - Geschiebehaushalt'!$A$4:$AC$275,20,FALSE))</f>
        <v>0</v>
      </c>
      <c r="AD235" s="764" t="str">
        <f>IF(VLOOKUP(A235,'Charriage - Geschiebehaushalt'!$A$4:$AC$275,21,FALSE)="","",VLOOKUP(A235,'Charriage - Geschiebehaushalt'!$A$4:$AC$275,21,FALSE))</f>
        <v/>
      </c>
      <c r="AE235" s="740" t="str">
        <f>IF(VLOOKUP(A235,'Charriage - Geschiebehaushalt'!$A$4:$AC$275,22,FALSE)="","",VLOOKUP(A235,'Charriage - Geschiebehaushalt'!$A$4:$AC$275,22,FALSE))</f>
        <v>21-50%</v>
      </c>
      <c r="AF235" s="787" t="str">
        <f>IF(VLOOKUP(A235,'Charriage - Geschiebehaushalt'!$A$4:$AC$275,23,FALSE)="","",VLOOKUP(A235,'Charriage - Geschiebehaushalt'!$A$4:$AC$275,23,FALSE))</f>
        <v>b</v>
      </c>
      <c r="AG235" s="765" t="str">
        <f>IF(VLOOKUP(A235,'Charriage - Geschiebehaushalt'!$A$4:$AC$275,24,FALSE)="","",VLOOKUP(A235,'Charriage - Geschiebehaushalt'!$A$4:$AC$275,24,FALSE))</f>
        <v/>
      </c>
      <c r="AH235" s="764" t="str">
        <f>IF(VLOOKUP(A235,'Charriage - Geschiebehaushalt'!$A$4:$AC$275,25,FALSE)="","",VLOOKUP(A235,'Charriage - Geschiebehaushalt'!$A$4:$AC$275,25,FALSE))</f>
        <v/>
      </c>
      <c r="AI235" s="438" t="str">
        <f>IF(VLOOKUP(A235,'Charriage - Geschiebehaushalt'!$A$4:$AC$275,26,FALSE)="","",VLOOKUP(A235,'Charriage - Geschiebehaushalt'!$A$4:$AC$275,26,FALSE))</f>
        <v/>
      </c>
      <c r="AJ235" s="436" t="str">
        <f>IF(VLOOKUP(A235,'Charriage - Geschiebehaushalt'!$A$4:$AC$275,27,FALSE)="","",VLOOKUP(A235,'Charriage - Geschiebehaushalt'!$A$4:$AC$275,27,FALSE))</f>
        <v/>
      </c>
      <c r="AK235" s="801" t="str">
        <f>IF(VLOOKUP(A235,'Charriage - Geschiebehaushalt'!$A$4:$AC$275,28,FALSE)="","",VLOOKUP(A235,'Charriage - Geschiebehaushalt'!$A$4:$AC$275,28,FALSE))</f>
        <v>21-50%</v>
      </c>
      <c r="AL235" s="1285" t="str">
        <f>IF(VLOOKUP(A235,'Charriage - Geschiebehaushalt'!$A$4:$AD$275,30,FALSE)="","",VLOOKUP(A235,'Charriage - Geschiebehaushalt'!$A$4:$AD$275,30,FALSE))</f>
        <v>b</v>
      </c>
      <c r="AM235" s="1279" t="str">
        <f>IF(VLOOKUP(A235,'Débit - Abfluss'!$A$4:$K$275,5,FALSE)="","",VLOOKUP(A235,'Débit - Abfluss'!$A$4:$M$275,5,FALSE))</f>
        <v>41-60%</v>
      </c>
      <c r="AN235" s="868" t="str">
        <f>IF(VLOOKUP(A235,'Débit - Abfluss'!$A$4:$K$275,6,FALSE)="","",VLOOKUP(A235,'Débit - Abfluss'!$A$4:$M$275,6,FALSE))</f>
        <v/>
      </c>
      <c r="AO235" s="869" t="str">
        <f>IF(VLOOKUP(A235,'Débit - Abfluss'!$A$4:$K$275,7,FALSE)="","",VLOOKUP(A235,'Débit - Abfluss'!$A$4:$M$275,7,FALSE))</f>
        <v/>
      </c>
      <c r="AP235" s="766" t="str">
        <f>IF(VLOOKUP(A235,'Débit - Abfluss'!$A$4:$K$275,8,FALSE)="","",VLOOKUP(A235,'Débit - Abfluss'!$A$4:$M$275,8,FALSE))</f>
        <v>41-60%</v>
      </c>
      <c r="AQ235" s="742" t="str">
        <f>IF(VLOOKUP(A235,'Débit - Abfluss'!$A$4:$K$275,9,FALSE)="","",VLOOKUP(A235,'Débit - Abfluss'!$A$4:$M$275,9,FALSE))</f>
        <v>-</v>
      </c>
      <c r="AR235" s="770" t="str">
        <f>IF(VLOOKUP(A235,'Débit - Abfluss'!$A$4:$K$275,10,FALSE)="","",VLOOKUP(A235,'Débit - Abfluss'!$A$4:$M$275,10,FALSE))</f>
        <v>41-60%</v>
      </c>
      <c r="AS235" s="767" t="str">
        <f>IF(VLOOKUP(A235,'Débit - Abfluss'!$A$4:$K$275,11,FALSE)="","",VLOOKUP(A235,'Débit - Abfluss'!$A$4:$M$275,11,FALSE))</f>
        <v/>
      </c>
      <c r="AT235" s="778" t="str">
        <f>IF(VLOOKUP(A235,'Débit - Abfluss'!$A$4:$Q$275,12,FALSE)="","",VLOOKUP(A235,'Débit - Abfluss'!$A$4:$Q$275,12,FALSE))</f>
        <v/>
      </c>
      <c r="AU235" s="779" t="str">
        <f>IF(VLOOKUP(A235,'Débit - Abfluss'!$A$4:$Q$275,13,FALSE)="","",VLOOKUP(A235,'Débit - Abfluss'!$A$4:$Q$275,13,FALSE))</f>
        <v/>
      </c>
      <c r="AV235" s="746" t="str">
        <f>IF(VLOOKUP(A235,'Débit - Abfluss'!$A$4:$Q$275,14,FALSE)="","",VLOOKUP(A235,'Débit - Abfluss'!$A$4:$Q$275,14,FALSE))</f>
        <v>UR-W .9.1</v>
      </c>
      <c r="AW235" s="768" t="str">
        <f>IF(VLOOKUP(A235,'Débit - Abfluss'!$A$4:$Q$275,15,FALSE)="","",VLOOKUP(A235,'Débit - Abfluss'!$A$4:$Q$275,15,FALSE))</f>
        <v>Ritom</v>
      </c>
      <c r="AX235" s="679" t="str">
        <f>IF(VLOOKUP(A235,'Débit - Abfluss'!$A$4:$Q$275,16,FALSE)="","",VLOOKUP(A235,'Débit - Abfluss'!$A$4:$Q$275,16,FALSE))</f>
        <v/>
      </c>
      <c r="AY235" s="786" t="str">
        <f>IF(VLOOKUP(A235,'Débit - Abfluss'!$A$4:$Q$275,17,FALSE)="","",VLOOKUP(A235,'Débit - Abfluss'!$A$4:$Q$275,17,FALSE))</f>
        <v>41-60%</v>
      </c>
      <c r="AZ235" s="749" t="str">
        <f>IF(VLOOKUP(A235,'Eclusée - Schwall-Sunk'!$A$2:$F$273,5,FALSE)="","",VLOOKUP(A235,'Eclusée - Schwall-Sunk'!$A$2:$F$273,5,FALSE))</f>
        <v>force hydraulique</v>
      </c>
      <c r="BA235" s="750" t="str">
        <f>IF(VLOOKUP(A235,'Eclusée - Schwall-Sunk'!$A$2:$F$273,6,FALSE)="","",VLOOKUP(A235,'Eclusée - Schwall-Sunk'!$A$2:$F$273,6,FALSE))</f>
        <v>Potentiellement affecté / möglicherweise betroffen</v>
      </c>
      <c r="BB235" s="751">
        <f>IF(VLOOKUP(A235,'Revitalisation-Revitalisierung'!$A$4:$Z$275,5,FALSE)="","",VLOOKUP(A235,'Revitalisation-Revitalisierung'!$A$4:$Z$275,5,FALSE))</f>
        <v>57.927272727272729</v>
      </c>
      <c r="BC235" s="752">
        <f>IF(VLOOKUP(A235,'Revitalisation-Revitalisierung'!$A$4:$Z$275,6,FALSE)="","",VLOOKUP(A235,'Revitalisation-Revitalisierung'!$A$4:$Z$275,6,FALSE))</f>
        <v>65.230296159995731</v>
      </c>
      <c r="BD235" s="752">
        <f>IF(VLOOKUP(A235,'Revitalisation-Revitalisierung'!$A$4:$Z$275,7,FALSE)="","",VLOOKUP(A235,'Revitalisation-Revitalisierung'!$A$4:$Z$275,7,FALSE))</f>
        <v>7.2727272727272725</v>
      </c>
      <c r="BE235" s="753" t="str">
        <f>IF(VLOOKUP(A235,'Revitalisation-Revitalisierung'!$A$4:$Z$275,8,FALSE)="","",VLOOKUP(A235,'Revitalisation-Revitalisierung'!$A$4:$Z$275,8,FALSE))</f>
        <v>très nécessaire, facile</v>
      </c>
      <c r="BF235" s="754" t="str">
        <f>IF(VLOOKUP(A235,'Revitalisation-Revitalisierung'!$A$4:$Z$275,9,FALSE)="","",VLOOKUP(A235,'Revitalisation-Revitalisierung'!$A$4:$Z$275,9,FALSE))</f>
        <v>leicht</v>
      </c>
      <c r="BG235" s="754" t="str">
        <f>IF(VLOOKUP(A235,'Revitalisation-Revitalisierung'!$A$4:$Z$275,10,FALSE)="","",VLOOKUP(A235,'Revitalisation-Revitalisierung'!$A$4:$Z$275,10,FALSE))</f>
        <v>K1</v>
      </c>
      <c r="BH235" s="755" t="str">
        <f>IF(VLOOKUP(A235,'Revitalisation-Revitalisierung'!$A$4:$Z$275,11,FALSE)="","",VLOOKUP(A235,'Revitalisation-Revitalisierung'!$A$4:$Z$275,11,FALSE))</f>
        <v/>
      </c>
      <c r="BI235" s="756" t="str">
        <f>IF(VLOOKUP(A235,'Revitalisation-Revitalisierung'!$A$4:$Z$275,12,FALSE)="","",VLOOKUP(A235,'Revitalisation-Revitalisierung'!$A$4:$Z$275,12,FALSE))</f>
        <v/>
      </c>
      <c r="BJ235" s="788" t="str">
        <f>IF(VLOOKUP(A235,'Revitalisation-Revitalisierung'!$A$4:$Z$275,13,FALSE)="","",VLOOKUP(A235,'Revitalisation-Revitalisierung'!$A$4:$Z$275,13,FALSE))</f>
        <v>Très nécessaire, facile / unbedingt nötig, einfach</v>
      </c>
      <c r="BK235" s="870" t="str">
        <f>IF(VLOOKUP(A235,'Revitalisation-Revitalisierung'!$A$4:$Z$275,14,FALSE)="","",VLOOKUP(A235,'Revitalisation-Revitalisierung'!$A$4:$Z$275,14,FALSE))</f>
        <v>a</v>
      </c>
      <c r="BL235" s="758" t="str">
        <f>IF(VLOOKUP(A235,'Revitalisation-Revitalisierung'!$A$4:$Z$275,15,FALSE)="","",VLOOKUP(A235,'Revitalisation-Revitalisierung'!$A$4:$Z$275,15,FALSE))</f>
        <v>keine Angaben</v>
      </c>
      <c r="BM235" s="759" t="str">
        <f>IF(VLOOKUP(A235,'Revitalisation-Revitalisierung'!$A$4:$Z$275,16,FALSE)="","",VLOOKUP(A235,'Revitalisation-Revitalisierung'!$A$4:$Z$275,16,FALSE))</f>
        <v>keine Angaben</v>
      </c>
      <c r="BN235" s="759" t="str">
        <f>IF(VLOOKUP(A235,'Revitalisation-Revitalisierung'!$A$4:$Z$275,17,FALSE)="","",VLOOKUP(A235,'Revitalisation-Revitalisierung'!$A$4:$Z$275,17,FALSE))</f>
        <v>-</v>
      </c>
      <c r="BO235" s="760" t="str">
        <f>IF(VLOOKUP(A235,'Revitalisation-Revitalisierung'!$A$4:$Z$275,18,FALSE)="","",VLOOKUP(A235,'Revitalisation-Revitalisierung'!$A$4:$Z$275,18,FALSE))</f>
        <v/>
      </c>
      <c r="BP235" s="761" t="str">
        <f>IF(VLOOKUP(A235,'Revitalisation-Revitalisierung'!$A$4:$Z$275,19,FALSE)="","",VLOOKUP(A235,'Revitalisation-Revitalisierung'!$A$4:$Z$275,19,FALSE))</f>
        <v>Très nécessaire, facile / unbedingt nötig, einfach</v>
      </c>
      <c r="BQ235" s="759" t="str">
        <f>IF(VLOOKUP(A235,'Revitalisation-Revitalisierung'!$A$4:$Z$275,20,FALSE)="","",VLOOKUP(A235,'Revitalisation-Revitalisierung'!$A$4:$Z$275,20,FALSE))</f>
        <v>a</v>
      </c>
      <c r="BR235" s="759" t="str">
        <f>IF(VLOOKUP(A235,'Revitalisation-Revitalisierung'!$A$4:$Z$275,21,FALSE)="","",VLOOKUP(A235,'Revitalisation-Revitalisierung'!$A$4:$Z$275,21,FALSE))</f>
        <v/>
      </c>
      <c r="BS235" s="762" t="str">
        <f>IF(VLOOKUP(A235,'Revitalisation-Revitalisierung'!$A$4:$Z$275,22,FALSE)="","",VLOOKUP(A235,'Revitalisation-Revitalisierung'!$A$4:$Z$275,22,FALSE))</f>
        <v/>
      </c>
      <c r="BT235" s="700" t="str">
        <f>IF(VLOOKUP(A235,'Revitalisation-Revitalisierung'!$A$4:$Z$275,23,FALSE)="","",VLOOKUP(A235,'Revitalisation-Revitalisierung'!$A$4:$Z$275,23,FALSE))</f>
        <v/>
      </c>
      <c r="BU235" s="699" t="str">
        <f>IF(VLOOKUP(A235,'Revitalisation-Revitalisierung'!$A$4:$Z$275,24,FALSE)="","",VLOOKUP(A235,'Revitalisation-Revitalisierung'!$A$4:$Z$275,24,FALSE))</f>
        <v/>
      </c>
      <c r="BV235" s="761" t="str">
        <f>IF(VLOOKUP(A235,'Revitalisation-Revitalisierung'!$A$4:$Z$275,25,FALSE)="","",VLOOKUP(A235,'Revitalisation-Revitalisierung'!$A$4:$Z$275,25,FALSE))</f>
        <v>Très nécessaire, facile / unbedingt nötig, einfach</v>
      </c>
      <c r="BW235" s="871" t="str">
        <f>IF(VLOOKUP(A235,'Revitalisation-Revitalisierung'!$A$4:$AA$275,27,FALSE)="","",VLOOKUP(A235,'Revitalisation-Revitalisierung'!$A$4:$AA$275,27,FALSE))</f>
        <v>a</v>
      </c>
    </row>
    <row r="236" spans="1:75" ht="85.9" customHeight="1" x14ac:dyDescent="0.25">
      <c r="A236" s="935">
        <v>357</v>
      </c>
      <c r="B236" s="856">
        <f>IF(VLOOKUP(A236,'Données de base - Grunddaten'!$A$2:$M$297,2,FALSE)="","",VLOOKUP(A236,'Données de base - Grunddaten'!$A$2:$M$297,2,FALSE))</f>
        <v>1</v>
      </c>
      <c r="C236" s="857" t="str">
        <f>IF(VLOOKUP(A236,'Données de base - Grunddaten'!$A$2:$M$297,3,FALSE)="","",VLOOKUP(A236,'Données de base - Grunddaten'!$A$2:$M$297,3,FALSE))</f>
        <v>Ghirone</v>
      </c>
      <c r="D236" s="857" t="str">
        <f>IF(VLOOKUP(A236,'Données de base - Grunddaten'!$A$2:$M$297,4,FALSE)="","",VLOOKUP(A236,'Données de base - Grunddaten'!$A$2:$M$297,4,FALSE))</f>
        <v>Brenno della Greina</v>
      </c>
      <c r="E236" s="857" t="str">
        <f>IF(VLOOKUP(A236,'Données de base - Grunddaten'!$A$2:$M$297,5,FALSE)="","",VLOOKUP(A236,'Données de base - Grunddaten'!$A$2:$M$297,5,FALSE))</f>
        <v>TI</v>
      </c>
      <c r="F236" s="857" t="str">
        <f>IF(VLOOKUP(A236,'Données de base - Grunddaten'!$A$2:$M$297,6,FALSE)="","",VLOOKUP(A236,'Données de base - Grunddaten'!$A$2:$M$297,6,FALSE))</f>
        <v>Alpes méridionales</v>
      </c>
      <c r="G236" s="857" t="str">
        <f>IF(VLOOKUP(A236,'Données de base - Grunddaten'!$A$2:$M$297,7,FALSE)="","",VLOOKUP(A236,'Données de base - Grunddaten'!$A$2:$M$297,7,FALSE))</f>
        <v>Subalpin inf.</v>
      </c>
      <c r="H236" s="857">
        <f>IF(VLOOKUP(A236,'Données de base - Grunddaten'!$A$2:$M$297,8,FALSE)="","",VLOOKUP(A236,'Données de base - Grunddaten'!$A$2:$M$297,8,FALSE))</f>
        <v>1280</v>
      </c>
      <c r="I236" s="857">
        <f>IF(VLOOKUP(A236,'Données de base - Grunddaten'!$A$2:$M$297,9,FALSE)="","",VLOOKUP(A236,'Données de base - Grunddaten'!$A$2:$M$297,9,FALSE))</f>
        <v>2003</v>
      </c>
      <c r="J236" s="857">
        <f>IF(VLOOKUP(A236,'Données de base - Grunddaten'!$A$2:$M$297,10,FALSE)="","",VLOOKUP(A236,'Données de base - Grunddaten'!$A$2:$M$297,10,FALSE))</f>
        <v>41</v>
      </c>
      <c r="K236" s="857" t="str">
        <f>IF(VLOOKUP(A236,'Données de base - Grunddaten'!$A$2:$M$297,11,FALSE)="","",VLOOKUP(A236,'Données de base - Grunddaten'!$A$2:$M$297,11,FALSE))</f>
        <v>Cours d'eau naturels de l'étage montagnard</v>
      </c>
      <c r="L236" s="857" t="str">
        <f>IF(VLOOKUP(A236,'Données de base - Grunddaten'!$A$2:$M$297,12,FALSE)="","",VLOOKUP(A236,'Données de base - Grunddaten'!$A$2:$M$297,12,FALSE))</f>
        <v>en tresses</v>
      </c>
      <c r="M236" s="858" t="str">
        <f>IF(VLOOKUP(A236,'Données de base - Grunddaten'!$A$2:$M$297,13,FALSE)="","",VLOOKUP(A236,'Données de base - Grunddaten'!$A$2:$M$297,13,FALSE))</f>
        <v>en tresses</v>
      </c>
      <c r="N236" s="872" t="str">
        <f>IF(VLOOKUP(A236,'Charriage - Geschiebehaushalt'!$A$4:$R$275,5,FALSE)="","",VLOOKUP(A236,'Charriage - Geschiebehaushalt'!$A$4:$R$275,5,FALSE))</f>
        <v>pertinent</v>
      </c>
      <c r="O236" s="881" t="str">
        <f>IF(VLOOKUP(A236,'Charriage - Geschiebehaushalt'!$A$4:$R$275,6,FALSE)="","",VLOOKUP(A236,'Charriage - Geschiebehaushalt'!$A$4:$R$275,6,FALSE))</f>
        <v>non documenté</v>
      </c>
      <c r="P236" s="874" t="str">
        <f>IF(VLOOKUP(A236,'Charriage - Geschiebehaushalt'!$A$4:$R$275,7,FALSE)="","",VLOOKUP(A236,'Charriage - Geschiebehaushalt'!$A$4:$R$275,7,FALSE))</f>
        <v/>
      </c>
      <c r="Q236" s="874" t="str">
        <f>IF(VLOOKUP(A236,'Charriage - Geschiebehaushalt'!$A$4:$R$275,8,FALSE)="","",VLOOKUP(A236,'Charriage - Geschiebehaushalt'!$A$4:$R$275,8,FALSE))</f>
        <v>non documenté</v>
      </c>
      <c r="R236" s="875">
        <f>IF(VLOOKUP(A236,'Charriage - Geschiebehaushalt'!$A$4:$R$275,9,FALSE)="","",VLOOKUP(A236,'Charriage - Geschiebehaushalt'!$A$4:$R$275,9,FALSE))</f>
        <v>0.120786460445897</v>
      </c>
      <c r="S236" s="876" t="str">
        <f>IF(VLOOKUP(A236,'Charriage - Geschiebehaushalt'!$A$4:$R$275,10,FALSE)="","",VLOOKUP(A236,'Charriage - Geschiebehaushalt'!$A$4:$R$275,10,FALSE))</f>
        <v>pas ou faiblement entravé</v>
      </c>
      <c r="T236" s="875">
        <f>IF(VLOOKUP(A236,'Charriage - Geschiebehaushalt'!$A$4:$R$275,11,FALSE)="","",VLOOKUP(A236,'Charriage - Geschiebehaushalt'!$A$4:$R$275,11,FALSE))</f>
        <v>0.43895282358999999</v>
      </c>
      <c r="U236" s="895" t="str">
        <f>IF(VLOOKUP(A236,'Charriage - Geschiebehaushalt'!$A$4:$R$275,12,FALSE)="","",VLOOKUP(A236,'Charriage - Geschiebehaushalt'!$A$4:$R$275,12,FALSE))</f>
        <v>déficit non apparent en charriage ou en remobilisation des sédiments</v>
      </c>
      <c r="V236" s="877" t="str">
        <f>IF(VLOOKUP(A236,'Charriage - Geschiebehaushalt'!$A$4:$R$275,13,FALSE)="","",VLOOKUP(A236,'Charriage - Geschiebehaushalt'!$A$4:$R$275,13,FALSE))</f>
        <v/>
      </c>
      <c r="W236" s="877" t="str">
        <f>IF(VLOOKUP(A236,'Charriage - Geschiebehaushalt'!$A$4:$R$275,14,FALSE)="","",VLOOKUP(A236,'Charriage - Geschiebehaushalt'!$A$4:$R$275,14,FALSE))</f>
        <v/>
      </c>
      <c r="X236" s="877" t="str">
        <f>IF(VLOOKUP(A236,'Charriage - Geschiebehaushalt'!$A$4:$R$275,15,FALSE)="","",VLOOKUP(A236,'Charriage - Geschiebehaushalt'!$A$4:$R$275,15,FALSE))</f>
        <v/>
      </c>
      <c r="Y236" s="879" t="str">
        <f>IF(VLOOKUP(A236,'Charriage - Geschiebehaushalt'!$A$4:$R$275,16,FALSE)="","",VLOOKUP(A236,'Charriage - Geschiebehaushalt'!$A$4:$R$275,16,FALSE))</f>
        <v/>
      </c>
      <c r="Z236" s="763" t="str">
        <f>IF(VLOOKUP(A236,'Charriage - Geschiebehaushalt'!$A$4:$R$275,17,FALSE)="","",VLOOKUP(A236,'Charriage - Geschiebehaushalt'!$A$4:$R$275,17,FALSE))</f>
        <v>La remobilisation des sédiments est perturbée / Mobilisierung von Geschiebe beeinträchtigt</v>
      </c>
      <c r="AA236" s="880" t="str">
        <f>IF(VLOOKUP(A236,'Charriage - Geschiebehaushalt'!$A$4:$R$275,18,FALSE)="","",VLOOKUP(A236,'Charriage - Geschiebehaushalt'!$A$4:$R$275,18,FALSE))</f>
        <v>b</v>
      </c>
      <c r="AB236" s="737" t="str">
        <f>IF(VLOOKUP(A236,'Charriage - Geschiebehaushalt'!$A$4:$AC$275,19,FALSE)="","",VLOOKUP(A236,'Charriage - Geschiebehaushalt'!$A$4:$AC$275,19,FALSE))</f>
        <v>faible</v>
      </c>
      <c r="AC236" s="738" t="str">
        <f>IF(VLOOKUP(A236,'Charriage - Geschiebehaushalt'!$A$4:$AC$275,20,FALSE)="","",VLOOKUP(A236,'Charriage - Geschiebehaushalt'!$A$4:$AC$275,20,FALSE))</f>
        <v>nul</v>
      </c>
      <c r="AD236" s="789" t="str">
        <f>IF(VLOOKUP(A236,'Charriage - Geschiebehaushalt'!$A$4:$AC$275,21,FALSE)="","",VLOOKUP(A236,'Charriage - Geschiebehaushalt'!$A$4:$AC$275,21,FALSE))</f>
        <v>21-50%</v>
      </c>
      <c r="AE236" s="740" t="str">
        <f>IF(VLOOKUP(A236,'Charriage - Geschiebehaushalt'!$A$4:$AC$275,22,FALSE)="","",VLOOKUP(A236,'Charriage - Geschiebehaushalt'!$A$4:$AC$275,22,FALSE))</f>
        <v>21-50%</v>
      </c>
      <c r="AF236" s="787" t="str">
        <f>IF(VLOOKUP(A236,'Charriage - Geschiebehaushalt'!$A$4:$AC$275,23,FALSE)="","",VLOOKUP(A236,'Charriage - Geschiebehaushalt'!$A$4:$AC$275,23,FALSE))</f>
        <v>d</v>
      </c>
      <c r="AG236" s="765" t="str">
        <f>IF(VLOOKUP(A236,'Charriage - Geschiebehaushalt'!$A$4:$AC$275,24,FALSE)="","",VLOOKUP(A236,'Charriage - Geschiebehaushalt'!$A$4:$AC$275,24,FALSE))</f>
        <v/>
      </c>
      <c r="AH236" s="764" t="str">
        <f>IF(VLOOKUP(A236,'Charriage - Geschiebehaushalt'!$A$4:$AC$275,25,FALSE)="","",VLOOKUP(A236,'Charriage - Geschiebehaushalt'!$A$4:$AC$275,25,FALSE))</f>
        <v/>
      </c>
      <c r="AI236" s="441" t="str">
        <f>IF(VLOOKUP(A236,'Charriage - Geschiebehaushalt'!$A$4:$AC$275,26,FALSE)="","",VLOOKUP(A236,'Charriage - Geschiebehaushalt'!$A$4:$AC$275,26,FALSE))</f>
        <v/>
      </c>
      <c r="AJ236" s="434" t="str">
        <f>IF(VLOOKUP(A236,'Charriage - Geschiebehaushalt'!$A$4:$AC$275,27,FALSE)="","",VLOOKUP(A236,'Charriage - Geschiebehaushalt'!$A$4:$AC$275,27,FALSE))</f>
        <v/>
      </c>
      <c r="AK236" s="801" t="str">
        <f>IF(VLOOKUP(A236,'Charriage - Geschiebehaushalt'!$A$4:$AC$275,28,FALSE)="","",VLOOKUP(A236,'Charriage - Geschiebehaushalt'!$A$4:$AC$275,28,FALSE))</f>
        <v>21-50%</v>
      </c>
      <c r="AL236" s="1285" t="str">
        <f>IF(VLOOKUP(A236,'Charriage - Geschiebehaushalt'!$A$4:$AD$275,30,FALSE)="","",VLOOKUP(A236,'Charriage - Geschiebehaushalt'!$A$4:$AD$275,30,FALSE))</f>
        <v>a</v>
      </c>
      <c r="AM236" s="1279" t="str">
        <f>IF(VLOOKUP(A236,'Débit - Abfluss'!$A$4:$K$275,5,FALSE)="","",VLOOKUP(A236,'Débit - Abfluss'!$A$4:$M$275,5,FALSE))</f>
        <v>21-40%</v>
      </c>
      <c r="AN236" s="868" t="str">
        <f>IF(VLOOKUP(A236,'Débit - Abfluss'!$A$4:$K$275,6,FALSE)="","",VLOOKUP(A236,'Débit - Abfluss'!$A$4:$M$275,6,FALSE))</f>
        <v/>
      </c>
      <c r="AO236" s="869" t="str">
        <f>IF(VLOOKUP(A236,'Débit - Abfluss'!$A$4:$K$275,7,FALSE)="","",VLOOKUP(A236,'Débit - Abfluss'!$A$4:$M$275,7,FALSE))</f>
        <v/>
      </c>
      <c r="AP236" s="766" t="str">
        <f>IF(VLOOKUP(A236,'Débit - Abfluss'!$A$4:$K$275,8,FALSE)="","",VLOOKUP(A236,'Débit - Abfluss'!$A$4:$M$275,8,FALSE))</f>
        <v>21-40%</v>
      </c>
      <c r="AQ236" s="678" t="str">
        <f>IF(VLOOKUP(A236,'Débit - Abfluss'!$A$4:$K$275,9,FALSE)="","",VLOOKUP(A236,'Débit - Abfluss'!$A$4:$M$275,9,FALSE))</f>
        <v>&lt;10%</v>
      </c>
      <c r="AR236" s="770" t="str">
        <f>IF(VLOOKUP(A236,'Débit - Abfluss'!$A$4:$K$275,10,FALSE)="","",VLOOKUP(A236,'Débit - Abfluss'!$A$4:$M$275,10,FALSE))</f>
        <v>21-40%</v>
      </c>
      <c r="AS236" s="773" t="str">
        <f>IF(VLOOKUP(A236,'Débit - Abfluss'!$A$4:$K$275,11,FALSE)="","",VLOOKUP(A236,'Débit - Abfluss'!$A$4:$M$275,11,FALSE))</f>
        <v>X</v>
      </c>
      <c r="AT236" s="744" t="str">
        <f>IF(VLOOKUP(A236,'Débit - Abfluss'!$A$4:$Q$275,12,FALSE)="","",VLOOKUP(A236,'Débit - Abfluss'!$A$4:$Q$275,12,FALSE))</f>
        <v/>
      </c>
      <c r="AU236" s="683" t="str">
        <f>IF(VLOOKUP(A236,'Débit - Abfluss'!$A$4:$Q$275,13,FALSE)="","",VLOOKUP(A236,'Débit - Abfluss'!$A$4:$Q$275,13,FALSE))</f>
        <v>In assenza di misurazioni disponibili il Cantone non può convalidare la situazione idrologica nel biotopo</v>
      </c>
      <c r="AV236" s="791" t="str">
        <f>IF(VLOOKUP(A236,'Débit - Abfluss'!$A$4:$Q$275,14,FALSE)="","",VLOOKUP(A236,'Débit - Abfluss'!$A$4:$Q$275,14,FALSE))</f>
        <v>TI-W 54</v>
      </c>
      <c r="AW236" s="768" t="str">
        <f>IF(VLOOKUP(A236,'Débit - Abfluss'!$A$4:$Q$275,15,FALSE)="","",VLOOKUP(A236,'Débit - Abfluss'!$A$4:$Q$275,15,FALSE))</f>
        <v>Luzzone</v>
      </c>
      <c r="AX236" s="679" t="str">
        <f>IF(VLOOKUP(A236,'Débit - Abfluss'!$A$4:$Q$275,16,FALSE)="","",VLOOKUP(A236,'Débit - Abfluss'!$A$4:$Q$275,16,FALSE))</f>
        <v/>
      </c>
      <c r="AY236" s="780" t="str">
        <f>IF(VLOOKUP(A236,'Débit - Abfluss'!$A$4:$Q$275,17,FALSE)="","",VLOOKUP(A236,'Débit - Abfluss'!$A$4:$Q$275,17,FALSE))</f>
        <v>21-40%</v>
      </c>
      <c r="AZ236" s="749" t="str">
        <f>IF(VLOOKUP(A236,'Eclusée - Schwall-Sunk'!$A$2:$F$273,5,FALSE)="","",VLOOKUP(A236,'Eclusée - Schwall-Sunk'!$A$2:$F$273,5,FALSE))</f>
        <v>force hydraulique</v>
      </c>
      <c r="BA236" s="750" t="str">
        <f>IF(VLOOKUP(A236,'Eclusée - Schwall-Sunk'!$A$2:$F$273,6,FALSE)="","",VLOOKUP(A236,'Eclusée - Schwall-Sunk'!$A$2:$F$273,6,FALSE))</f>
        <v>Non affecté / nicht betroffen</v>
      </c>
      <c r="BB236" s="751">
        <f>IF(VLOOKUP(A236,'Revitalisation-Revitalisierung'!$A$4:$Z$275,5,FALSE)="","",VLOOKUP(A236,'Revitalisation-Revitalisierung'!$A$4:$Z$275,5,FALSE))</f>
        <v>-5.1545454545454543</v>
      </c>
      <c r="BC236" s="752">
        <f>IF(VLOOKUP(A236,'Revitalisation-Revitalisierung'!$A$4:$Z$275,6,FALSE)="","",VLOOKUP(A236,'Revitalisation-Revitalisierung'!$A$4:$Z$275,6,FALSE))</f>
        <v>10.253477140390869</v>
      </c>
      <c r="BD236" s="752">
        <f>IF(VLOOKUP(A236,'Revitalisation-Revitalisierung'!$A$4:$Z$275,7,FALSE)="","",VLOOKUP(A236,'Revitalisation-Revitalisierung'!$A$4:$Z$275,7,FALSE))</f>
        <v>15.454545454545455</v>
      </c>
      <c r="BE236" s="753" t="str">
        <f>IF(VLOOKUP(A236,'Revitalisation-Revitalisierung'!$A$4:$Z$275,8,FALSE)="","",VLOOKUP(A236,'Revitalisation-Revitalisierung'!$A$4:$Z$275,8,FALSE))</f>
        <v>peu nécessaire, facile</v>
      </c>
      <c r="BF236" s="754" t="str">
        <f>IF(VLOOKUP(A236,'Revitalisation-Revitalisierung'!$A$4:$Z$275,9,FALSE)="","",VLOOKUP(A236,'Revitalisation-Revitalisierung'!$A$4:$Z$275,9,FALSE))</f>
        <v>leicht</v>
      </c>
      <c r="BG236" s="754" t="str">
        <f>IF(VLOOKUP(A236,'Revitalisation-Revitalisierung'!$A$4:$Z$275,10,FALSE)="","",VLOOKUP(A236,'Revitalisation-Revitalisierung'!$A$4:$Z$275,10,FALSE))</f>
        <v>K1</v>
      </c>
      <c r="BH236" s="755" t="str">
        <f>IF(VLOOKUP(A236,'Revitalisation-Revitalisierung'!$A$4:$Z$275,11,FALSE)="","",VLOOKUP(A236,'Revitalisation-Revitalisierung'!$A$4:$Z$275,11,FALSE))</f>
        <v/>
      </c>
      <c r="BI236" s="756" t="str">
        <f>IF(VLOOKUP(A236,'Revitalisation-Revitalisierung'!$A$4:$Z$275,12,FALSE)="","",VLOOKUP(A236,'Revitalisation-Revitalisierung'!$A$4:$Z$275,12,FALSE))</f>
        <v/>
      </c>
      <c r="BJ236" s="788" t="str">
        <f>IF(VLOOKUP(A236,'Revitalisation-Revitalisierung'!$A$4:$Z$275,13,FALSE)="","",VLOOKUP(A236,'Revitalisation-Revitalisierung'!$A$4:$Z$275,13,FALSE))</f>
        <v>Très nécessaire, facile / unbedingt nötig, einfach</v>
      </c>
      <c r="BK236" s="870" t="str">
        <f>IF(VLOOKUP(A236,'Revitalisation-Revitalisierung'!$A$4:$Z$275,14,FALSE)="","",VLOOKUP(A236,'Revitalisation-Revitalisierung'!$A$4:$Z$275,14,FALSE))</f>
        <v>b</v>
      </c>
      <c r="BL236" s="758" t="str">
        <f>IF(VLOOKUP(A236,'Revitalisation-Revitalisierung'!$A$4:$Z$275,15,FALSE)="","",VLOOKUP(A236,'Revitalisation-Revitalisierung'!$A$4:$Z$275,15,FALSE))</f>
        <v>moyen</v>
      </c>
      <c r="BM236" s="759" t="str">
        <f>IF(VLOOKUP(A236,'Revitalisation-Revitalisierung'!$A$4:$Z$275,16,FALSE)="","",VLOOKUP(A236,'Revitalisation-Revitalisierung'!$A$4:$Z$275,16,FALSE))</f>
        <v>faible</v>
      </c>
      <c r="BN236" s="759" t="str">
        <f>IF(VLOOKUP(A236,'Revitalisation-Revitalisierung'!$A$4:$Z$275,17,FALSE)="","",VLOOKUP(A236,'Revitalisation-Revitalisierung'!$A$4:$Z$275,17,FALSE))</f>
        <v>nulle</v>
      </c>
      <c r="BO236" s="760" t="str">
        <f>IF(VLOOKUP(A236,'Revitalisation-Revitalisierung'!$A$4:$Z$275,18,FALSE)="","",VLOOKUP(A236,'Revitalisation-Revitalisierung'!$A$4:$Z$275,18,FALSE))</f>
        <v>Non nécessaire / nicht nötig</v>
      </c>
      <c r="BP236" s="761" t="str">
        <f>IF(VLOOKUP(A236,'Revitalisation-Revitalisierung'!$A$4:$Z$275,19,FALSE)="","",VLOOKUP(A236,'Revitalisation-Revitalisierung'!$A$4:$Z$275,19,FALSE))</f>
        <v>Partiellement nécessaire, facile / teilweise nötig, einfach</v>
      </c>
      <c r="BQ236" s="759" t="str">
        <f>IF(VLOOKUP(A236,'Revitalisation-Revitalisierung'!$A$4:$Z$275,20,FALSE)="","",VLOOKUP(A236,'Revitalisation-Revitalisierung'!$A$4:$Z$275,20,FALSE))</f>
        <v>e</v>
      </c>
      <c r="BR236" s="759" t="str">
        <f>IF(VLOOKUP(A236,'Revitalisation-Revitalisierung'!$A$4:$Z$275,21,FALSE)="","",VLOOKUP(A236,'Revitalisation-Revitalisierung'!$A$4:$Z$275,21,FALSE))</f>
        <v/>
      </c>
      <c r="BS236" s="762" t="str">
        <f>IF(VLOOKUP(A236,'Revitalisation-Revitalisierung'!$A$4:$Z$275,22,FALSE)="","",VLOOKUP(A236,'Revitalisation-Revitalisierung'!$A$4:$Z$275,22,FALSE))</f>
        <v>X</v>
      </c>
      <c r="BT236" s="700" t="str">
        <f>IF(VLOOKUP(A236,'Revitalisation-Revitalisierung'!$A$4:$Z$275,23,FALSE)="","",VLOOKUP(A236,'Revitalisation-Revitalisierung'!$A$4:$Z$275,23,FALSE))</f>
        <v>Non nécessaire / nicht nötig</v>
      </c>
      <c r="BU236" s="712" t="str">
        <f>IF(VLOOKUP(A236,'Revitalisation-Revitalisierung'!$A$4:$Z$275,24,FALSE)="","",VLOOKUP(A236,'Revitalisation-Revitalisierung'!$A$4:$Z$275,24,FALSE))</f>
        <v xml:space="preserve">Non riteniamo prioritario intervenire con opere di rivitalizzazione sul fiume Brenno presso l’oggetto inventariato. Il rapporto tra i costi e i benefici non giustifica una necessità di intervento nell’orizzonte temporale previsto dalla pianificazione strategica per quanto riguarda le tratte a beneficio rilevante </v>
      </c>
      <c r="BV236" s="761" t="str">
        <f>IF(VLOOKUP(A236,'Revitalisation-Revitalisierung'!$A$4:$Z$275,25,FALSE)="","",VLOOKUP(A236,'Revitalisation-Revitalisierung'!$A$4:$Z$275,25,FALSE))</f>
        <v>Partiellement nécessaire, difficile / teilweise nötig, schwierig</v>
      </c>
      <c r="BW236" s="871" t="str">
        <f>IF(VLOOKUP(A236,'Revitalisation-Revitalisierung'!$A$4:$AA$275,27,FALSE)="","",VLOOKUP(A236,'Revitalisation-Revitalisierung'!$A$4:$AA$275,27,FALSE))</f>
        <v>a</v>
      </c>
    </row>
    <row r="237" spans="1:75" ht="82.9" customHeight="1" x14ac:dyDescent="0.25">
      <c r="A237" s="935">
        <v>358</v>
      </c>
      <c r="B237" s="856">
        <f>IF(VLOOKUP(A237,'Données de base - Grunddaten'!$A$2:$M$297,2,FALSE)="","",VLOOKUP(A237,'Données de base - Grunddaten'!$A$2:$M$297,2,FALSE))</f>
        <v>1</v>
      </c>
      <c r="C237" s="857" t="str">
        <f>IF(VLOOKUP(A237,'Données de base - Grunddaten'!$A$2:$M$297,3,FALSE)="","",VLOOKUP(A237,'Données de base - Grunddaten'!$A$2:$M$297,3,FALSE))</f>
        <v>Chiggiogna–Lavorgo</v>
      </c>
      <c r="D237" s="857" t="str">
        <f>IF(VLOOKUP(A237,'Données de base - Grunddaten'!$A$2:$M$297,4,FALSE)="","",VLOOKUP(A237,'Données de base - Grunddaten'!$A$2:$M$297,4,FALSE))</f>
        <v>Ticino</v>
      </c>
      <c r="E237" s="857" t="str">
        <f>IF(VLOOKUP(A237,'Données de base - Grunddaten'!$A$2:$M$297,5,FALSE)="","",VLOOKUP(A237,'Données de base - Grunddaten'!$A$2:$M$297,5,FALSE))</f>
        <v>TI</v>
      </c>
      <c r="F237" s="857" t="str">
        <f>IF(VLOOKUP(A237,'Données de base - Grunddaten'!$A$2:$M$297,6,FALSE)="","",VLOOKUP(A237,'Données de base - Grunddaten'!$A$2:$M$297,6,FALSE))</f>
        <v>Alpes méridionales</v>
      </c>
      <c r="G237" s="857" t="str">
        <f>IF(VLOOKUP(A237,'Données de base - Grunddaten'!$A$2:$M$297,7,FALSE)="","",VLOOKUP(A237,'Données de base - Grunddaten'!$A$2:$M$297,7,FALSE))</f>
        <v>Montagnard inf.</v>
      </c>
      <c r="H237" s="857">
        <f>IF(VLOOKUP(A237,'Données de base - Grunddaten'!$A$2:$M$297,8,FALSE)="","",VLOOKUP(A237,'Données de base - Grunddaten'!$A$2:$M$297,8,FALSE))</f>
        <v>630</v>
      </c>
      <c r="I237" s="857">
        <f>IF(VLOOKUP(A237,'Données de base - Grunddaten'!$A$2:$M$297,9,FALSE)="","",VLOOKUP(A237,'Données de base - Grunddaten'!$A$2:$M$297,9,FALSE))</f>
        <v>2003</v>
      </c>
      <c r="J237" s="857">
        <f>IF(VLOOKUP(A237,'Données de base - Grunddaten'!$A$2:$M$297,10,FALSE)="","",VLOOKUP(A237,'Données de base - Grunddaten'!$A$2:$M$297,10,FALSE))</f>
        <v>61</v>
      </c>
      <c r="K237" s="857" t="str">
        <f>IF(VLOOKUP(A237,'Données de base - Grunddaten'!$A$2:$M$297,11,FALSE)="","",VLOOKUP(A237,'Données de base - Grunddaten'!$A$2:$M$297,11,FALSE))</f>
        <v>Cours d'eau naturels de l'étage collinéen du Sud des Alpes</v>
      </c>
      <c r="L237" s="857" t="str">
        <f>IF(VLOOKUP(A237,'Données de base - Grunddaten'!$A$2:$M$297,12,FALSE)="","",VLOOKUP(A237,'Données de base - Grunddaten'!$A$2:$M$297,12,FALSE))</f>
        <v>en tresses</v>
      </c>
      <c r="M237" s="858" t="str">
        <f>IF(VLOOKUP(A237,'Données de base - Grunddaten'!$A$2:$M$297,13,FALSE)="","",VLOOKUP(A237,'Données de base - Grunddaten'!$A$2:$M$297,13,FALSE))</f>
        <v>en tresses</v>
      </c>
      <c r="N237" s="872" t="str">
        <f>IF(VLOOKUP(A237,'Charriage - Geschiebehaushalt'!$A$4:$R$275,5,FALSE)="","",VLOOKUP(A237,'Charriage - Geschiebehaushalt'!$A$4:$R$275,5,FALSE))</f>
        <v>pertinent</v>
      </c>
      <c r="O237" s="881" t="str">
        <f>IF(VLOOKUP(A237,'Charriage - Geschiebehaushalt'!$A$4:$R$275,6,FALSE)="","",VLOOKUP(A237,'Charriage - Geschiebehaushalt'!$A$4:$R$275,6,FALSE))</f>
        <v>non documenté</v>
      </c>
      <c r="P237" s="874" t="str">
        <f>IF(VLOOKUP(A237,'Charriage - Geschiebehaushalt'!$A$4:$R$275,7,FALSE)="","",VLOOKUP(A237,'Charriage - Geschiebehaushalt'!$A$4:$R$275,7,FALSE))</f>
        <v/>
      </c>
      <c r="Q237" s="874" t="str">
        <f>IF(VLOOKUP(A237,'Charriage - Geschiebehaushalt'!$A$4:$R$275,8,FALSE)="","",VLOOKUP(A237,'Charriage - Geschiebehaushalt'!$A$4:$R$275,8,FALSE))</f>
        <v>non documenté</v>
      </c>
      <c r="R237" s="875">
        <f>IF(VLOOKUP(A237,'Charriage - Geschiebehaushalt'!$A$4:$R$275,9,FALSE)="","",VLOOKUP(A237,'Charriage - Geschiebehaushalt'!$A$4:$R$275,9,FALSE))</f>
        <v>0.104101428305931</v>
      </c>
      <c r="S237" s="876" t="str">
        <f>IF(VLOOKUP(A237,'Charriage - Geschiebehaushalt'!$A$4:$R$275,10,FALSE)="","",VLOOKUP(A237,'Charriage - Geschiebehaushalt'!$A$4:$R$275,10,FALSE))</f>
        <v>pas ou faiblement entravé</v>
      </c>
      <c r="T237" s="875">
        <f>IF(VLOOKUP(A237,'Charriage - Geschiebehaushalt'!$A$4:$R$275,11,FALSE)="","",VLOOKUP(A237,'Charriage - Geschiebehaushalt'!$A$4:$R$275,11,FALSE))</f>
        <v>0.28222327403000003</v>
      </c>
      <c r="U237" s="895" t="str">
        <f>IF(VLOOKUP(A237,'Charriage - Geschiebehaushalt'!$A$4:$R$275,12,FALSE)="","",VLOOKUP(A237,'Charriage - Geschiebehaushalt'!$A$4:$R$275,12,FALSE))</f>
        <v>déficit non apparent en charriage ou en remobilisation des sédiments</v>
      </c>
      <c r="V237" s="877" t="str">
        <f>IF(VLOOKUP(A237,'Charriage - Geschiebehaushalt'!$A$4:$R$275,13,FALSE)="","",VLOOKUP(A237,'Charriage - Geschiebehaushalt'!$A$4:$R$275,13,FALSE))</f>
        <v/>
      </c>
      <c r="W237" s="877" t="str">
        <f>IF(VLOOKUP(A237,'Charriage - Geschiebehaushalt'!$A$4:$R$275,14,FALSE)="","",VLOOKUP(A237,'Charriage - Geschiebehaushalt'!$A$4:$R$275,14,FALSE))</f>
        <v/>
      </c>
      <c r="X237" s="877" t="str">
        <f>IF(VLOOKUP(A237,'Charriage - Geschiebehaushalt'!$A$4:$R$275,15,FALSE)="","",VLOOKUP(A237,'Charriage - Geschiebehaushalt'!$A$4:$R$275,15,FALSE))</f>
        <v/>
      </c>
      <c r="Y237" s="879" t="str">
        <f>IF(VLOOKUP(A237,'Charriage - Geschiebehaushalt'!$A$4:$R$275,16,FALSE)="","",VLOOKUP(A237,'Charriage - Geschiebehaushalt'!$A$4:$R$275,16,FALSE))</f>
        <v/>
      </c>
      <c r="Z237" s="763" t="str">
        <f>IF(VLOOKUP(A237,'Charriage - Geschiebehaushalt'!$A$4:$R$275,17,FALSE)="","",VLOOKUP(A237,'Charriage - Geschiebehaushalt'!$A$4:$R$275,17,FALSE))</f>
        <v>Charriage présumé perturbé / Geschiebehaushalt vermutlich beeinträchtigt</v>
      </c>
      <c r="AA237" s="880" t="str">
        <f>IF(VLOOKUP(A237,'Charriage - Geschiebehaushalt'!$A$4:$R$275,18,FALSE)="","",VLOOKUP(A237,'Charriage - Geschiebehaushalt'!$A$4:$R$275,18,FALSE))</f>
        <v>b</v>
      </c>
      <c r="AB237" s="737" t="str">
        <f>IF(VLOOKUP(A237,'Charriage - Geschiebehaushalt'!$A$4:$AC$275,19,FALSE)="","",VLOOKUP(A237,'Charriage - Geschiebehaushalt'!$A$4:$AC$275,19,FALSE))</f>
        <v>moyen</v>
      </c>
      <c r="AC237" s="738">
        <f>IF(VLOOKUP(A237,'Charriage - Geschiebehaushalt'!$A$4:$AC$275,20,FALSE)="","",VLOOKUP(A237,'Charriage - Geschiebehaushalt'!$A$4:$AC$275,20,FALSE))</f>
        <v>0</v>
      </c>
      <c r="AD237" s="789" t="str">
        <f>IF(VLOOKUP(A237,'Charriage - Geschiebehaushalt'!$A$4:$AC$275,21,FALSE)="","",VLOOKUP(A237,'Charriage - Geschiebehaushalt'!$A$4:$AC$275,21,FALSE))</f>
        <v>51-80%</v>
      </c>
      <c r="AE237" s="740" t="str">
        <f>IF(VLOOKUP(A237,'Charriage - Geschiebehaushalt'!$A$4:$AC$275,22,FALSE)="","",VLOOKUP(A237,'Charriage - Geschiebehaushalt'!$A$4:$AC$275,22,FALSE))</f>
        <v>51-80%</v>
      </c>
      <c r="AF237" s="787" t="str">
        <f>IF(VLOOKUP(A237,'Charriage - Geschiebehaushalt'!$A$4:$AC$275,23,FALSE)="","",VLOOKUP(A237,'Charriage - Geschiebehaushalt'!$A$4:$AC$275,23,FALSE))</f>
        <v>d</v>
      </c>
      <c r="AG237" s="765" t="str">
        <f>IF(VLOOKUP(A237,'Charriage - Geschiebehaushalt'!$A$4:$AC$275,24,FALSE)="","",VLOOKUP(A237,'Charriage - Geschiebehaushalt'!$A$4:$AC$275,24,FALSE))</f>
        <v/>
      </c>
      <c r="AH237" s="764" t="str">
        <f>IF(VLOOKUP(A237,'Charriage - Geschiebehaushalt'!$A$4:$AC$275,25,FALSE)="","",VLOOKUP(A237,'Charriage - Geschiebehaushalt'!$A$4:$AC$275,25,FALSE))</f>
        <v/>
      </c>
      <c r="AI237" s="441" t="str">
        <f>IF(VLOOKUP(A237,'Charriage - Geschiebehaushalt'!$A$4:$AC$275,26,FALSE)="","",VLOOKUP(A237,'Charriage - Geschiebehaushalt'!$A$4:$AC$275,26,FALSE))</f>
        <v/>
      </c>
      <c r="AJ237" s="434" t="str">
        <f>IF(VLOOKUP(A237,'Charriage - Geschiebehaushalt'!$A$4:$AC$275,27,FALSE)="","",VLOOKUP(A237,'Charriage - Geschiebehaushalt'!$A$4:$AC$275,27,FALSE))</f>
        <v/>
      </c>
      <c r="AK237" s="801" t="str">
        <f>IF(VLOOKUP(A237,'Charriage - Geschiebehaushalt'!$A$4:$AC$275,28,FALSE)="","",VLOOKUP(A237,'Charriage - Geschiebehaushalt'!$A$4:$AC$275,28,FALSE))</f>
        <v>51-80%</v>
      </c>
      <c r="AL237" s="1285" t="str">
        <f>IF(VLOOKUP(A237,'Charriage - Geschiebehaushalt'!$A$4:$AD$275,30,FALSE)="","",VLOOKUP(A237,'Charriage - Geschiebehaushalt'!$A$4:$AD$275,30,FALSE))</f>
        <v>a</v>
      </c>
      <c r="AM237" s="1279" t="str">
        <f>IF(VLOOKUP(A237,'Débit - Abfluss'!$A$4:$K$275,5,FALSE)="","",VLOOKUP(A237,'Débit - Abfluss'!$A$4:$M$275,5,FALSE))</f>
        <v>0-20%</v>
      </c>
      <c r="AN237" s="868" t="str">
        <f>IF(VLOOKUP(A237,'Débit - Abfluss'!$A$4:$K$275,6,FALSE)="","",VLOOKUP(A237,'Débit - Abfluss'!$A$4:$M$275,6,FALSE))</f>
        <v/>
      </c>
      <c r="AO237" s="869" t="str">
        <f>IF(VLOOKUP(A237,'Débit - Abfluss'!$A$4:$K$275,7,FALSE)="","",VLOOKUP(A237,'Débit - Abfluss'!$A$4:$M$275,7,FALSE))</f>
        <v/>
      </c>
      <c r="AP237" s="766" t="str">
        <f>IF(VLOOKUP(A237,'Débit - Abfluss'!$A$4:$K$275,8,FALSE)="","",VLOOKUP(A237,'Débit - Abfluss'!$A$4:$M$275,8,FALSE))</f>
        <v>0-20%</v>
      </c>
      <c r="AQ237" s="678" t="str">
        <f>IF(VLOOKUP(A237,'Débit - Abfluss'!$A$4:$K$275,9,FALSE)="","",VLOOKUP(A237,'Débit - Abfluss'!$A$4:$M$275,9,FALSE))</f>
        <v>10-50%</v>
      </c>
      <c r="AR237" s="770" t="str">
        <f>IF(VLOOKUP(A237,'Débit - Abfluss'!$A$4:$K$275,10,FALSE)="","",VLOOKUP(A237,'Débit - Abfluss'!$A$4:$M$275,10,FALSE))</f>
        <v>0-20%</v>
      </c>
      <c r="AS237" s="767" t="str">
        <f>IF(VLOOKUP(A237,'Débit - Abfluss'!$A$4:$K$275,11,FALSE)="","",VLOOKUP(A237,'Débit - Abfluss'!$A$4:$M$275,11,FALSE))</f>
        <v/>
      </c>
      <c r="AT237" s="744" t="str">
        <f>IF(VLOOKUP(A237,'Débit - Abfluss'!$A$4:$Q$275,12,FALSE)="","",VLOOKUP(A237,'Débit - Abfluss'!$A$4:$Q$275,12,FALSE))</f>
        <v/>
      </c>
      <c r="AU237" s="745" t="str">
        <f>IF(VLOOKUP(A237,'Débit - Abfluss'!$A$4:$Q$275,13,FALSE)="","",VLOOKUP(A237,'Débit - Abfluss'!$A$4:$Q$275,13,FALSE))</f>
        <v/>
      </c>
      <c r="AV237" s="791" t="str">
        <f>IF(VLOOKUP(A237,'Débit - Abfluss'!$A$4:$Q$275,14,FALSE)="","",VLOOKUP(A237,'Débit - Abfluss'!$A$4:$Q$275,14,FALSE))</f>
        <v>TI-W 4</v>
      </c>
      <c r="AW237" s="768" t="str">
        <f>IF(VLOOKUP(A237,'Débit - Abfluss'!$A$4:$Q$275,15,FALSE)="","",VLOOKUP(A237,'Débit - Abfluss'!$A$4:$Q$275,15,FALSE))</f>
        <v>Piottino</v>
      </c>
      <c r="AX237" s="679" t="str">
        <f>IF(VLOOKUP(A237,'Débit - Abfluss'!$A$4:$Q$275,16,FALSE)="","",VLOOKUP(A237,'Débit - Abfluss'!$A$4:$Q$275,16,FALSE))</f>
        <v/>
      </c>
      <c r="AY237" s="786" t="str">
        <f>IF(VLOOKUP(A237,'Débit - Abfluss'!$A$4:$Q$275,17,FALSE)="","",VLOOKUP(A237,'Débit - Abfluss'!$A$4:$Q$275,17,FALSE))</f>
        <v>0-20%</v>
      </c>
      <c r="AZ237" s="749" t="str">
        <f>IF(VLOOKUP(A237,'Eclusée - Schwall-Sunk'!$A$2:$F$273,5,FALSE)="","",VLOOKUP(A237,'Eclusée - Schwall-Sunk'!$A$2:$F$273,5,FALSE))</f>
        <v>force hydraulique</v>
      </c>
      <c r="BA237" s="750" t="str">
        <f>IF(VLOOKUP(A237,'Eclusée - Schwall-Sunk'!$A$2:$F$273,6,FALSE)="","",VLOOKUP(A237,'Eclusée - Schwall-Sunk'!$A$2:$F$273,6,FALSE))</f>
        <v>Potentiellement affecté / möglicherweise betroffen</v>
      </c>
      <c r="BB237" s="751">
        <f>IF(VLOOKUP(A237,'Revitalisation-Revitalisierung'!$A$4:$Z$275,5,FALSE)="","",VLOOKUP(A237,'Revitalisation-Revitalisierung'!$A$4:$Z$275,5,FALSE))</f>
        <v>-20.290909090909089</v>
      </c>
      <c r="BC237" s="752">
        <f>IF(VLOOKUP(A237,'Revitalisation-Revitalisierung'!$A$4:$Z$275,6,FALSE)="","",VLOOKUP(A237,'Revitalisation-Revitalisierung'!$A$4:$Z$275,6,FALSE))</f>
        <v>8.7573534703056559</v>
      </c>
      <c r="BD237" s="752">
        <f>IF(VLOOKUP(A237,'Revitalisation-Revitalisierung'!$A$4:$Z$275,7,FALSE)="","",VLOOKUP(A237,'Revitalisation-Revitalisierung'!$A$4:$Z$275,7,FALSE))</f>
        <v>29.09090909090909</v>
      </c>
      <c r="BE237" s="753" t="str">
        <f>IF(VLOOKUP(A237,'Revitalisation-Revitalisierung'!$A$4:$Z$275,8,FALSE)="","",VLOOKUP(A237,'Revitalisation-Revitalisierung'!$A$4:$Z$275,8,FALSE))</f>
        <v>peu nécessaire, difficile</v>
      </c>
      <c r="BF237" s="754" t="str">
        <f>IF(VLOOKUP(A237,'Revitalisation-Revitalisierung'!$A$4:$Z$275,9,FALSE)="","",VLOOKUP(A237,'Revitalisation-Revitalisierung'!$A$4:$Z$275,9,FALSE))</f>
        <v>leicht</v>
      </c>
      <c r="BG237" s="754" t="str">
        <f>IF(VLOOKUP(A237,'Revitalisation-Revitalisierung'!$A$4:$Z$275,10,FALSE)="","",VLOOKUP(A237,'Revitalisation-Revitalisierung'!$A$4:$Z$275,10,FALSE))</f>
        <v>K1</v>
      </c>
      <c r="BH237" s="755" t="str">
        <f>IF(VLOOKUP(A237,'Revitalisation-Revitalisierung'!$A$4:$Z$275,11,FALSE)="","",VLOOKUP(A237,'Revitalisation-Revitalisierung'!$A$4:$Z$275,11,FALSE))</f>
        <v/>
      </c>
      <c r="BI237" s="756" t="str">
        <f>IF(VLOOKUP(A237,'Revitalisation-Revitalisierung'!$A$4:$Z$275,12,FALSE)="","",VLOOKUP(A237,'Revitalisation-Revitalisierung'!$A$4:$Z$275,12,FALSE))</f>
        <v/>
      </c>
      <c r="BJ237" s="788" t="str">
        <f>IF(VLOOKUP(A237,'Revitalisation-Revitalisierung'!$A$4:$Z$275,13,FALSE)="","",VLOOKUP(A237,'Revitalisation-Revitalisierung'!$A$4:$Z$275,13,FALSE))</f>
        <v>Partiellement nécessaire, difficile / teilweise nötig, schwierig</v>
      </c>
      <c r="BK237" s="870" t="str">
        <f>IF(VLOOKUP(A237,'Revitalisation-Revitalisierung'!$A$4:$Z$275,14,FALSE)="","",VLOOKUP(A237,'Revitalisation-Revitalisierung'!$A$4:$Z$275,14,FALSE))</f>
        <v>a</v>
      </c>
      <c r="BL237" s="758" t="str">
        <f>IF(VLOOKUP(A237,'Revitalisation-Revitalisierung'!$A$4:$Z$275,15,FALSE)="","",VLOOKUP(A237,'Revitalisation-Revitalisierung'!$A$4:$Z$275,15,FALSE))</f>
        <v>moyen et faible</v>
      </c>
      <c r="BM237" s="759" t="str">
        <f>IF(VLOOKUP(A237,'Revitalisation-Revitalisierung'!$A$4:$Z$275,16,FALSE)="","",VLOOKUP(A237,'Revitalisation-Revitalisierung'!$A$4:$Z$275,16,FALSE))</f>
        <v>moyen et important</v>
      </c>
      <c r="BN237" s="759" t="str">
        <f>IF(VLOOKUP(A237,'Revitalisation-Revitalisierung'!$A$4:$Z$275,17,FALSE)="","",VLOOKUP(A237,'Revitalisation-Revitalisierung'!$A$4:$Z$275,17,FALSE))</f>
        <v>faible et moyen et important</v>
      </c>
      <c r="BO237" s="760" t="str">
        <f>IF(VLOOKUP(A237,'Revitalisation-Revitalisierung'!$A$4:$Z$275,18,FALSE)="","",VLOOKUP(A237,'Revitalisation-Revitalisierung'!$A$4:$Z$275,18,FALSE))</f>
        <v>Partiellement nécessaire, difficile / teilweise nötig, schwierig</v>
      </c>
      <c r="BP237" s="761" t="str">
        <f>IF(VLOOKUP(A237,'Revitalisation-Revitalisierung'!$A$4:$Z$275,19,FALSE)="","",VLOOKUP(A237,'Revitalisation-Revitalisierung'!$A$4:$Z$275,19,FALSE))</f>
        <v>Partiellement nécessaire, difficile / teilweise nötig, schwierig</v>
      </c>
      <c r="BQ237" s="759" t="str">
        <f>IF(VLOOKUP(A237,'Revitalisation-Revitalisierung'!$A$4:$Z$275,20,FALSE)="","",VLOOKUP(A237,'Revitalisation-Revitalisierung'!$A$4:$Z$275,20,FALSE))</f>
        <v>d</v>
      </c>
      <c r="BR237" s="759" t="str">
        <f>IF(VLOOKUP(A237,'Revitalisation-Revitalisierung'!$A$4:$Z$275,21,FALSE)="","",VLOOKUP(A237,'Revitalisation-Revitalisierung'!$A$4:$Z$275,21,FALSE))</f>
        <v/>
      </c>
      <c r="BS237" s="762" t="str">
        <f>IF(VLOOKUP(A237,'Revitalisation-Revitalisierung'!$A$4:$Z$275,22,FALSE)="","",VLOOKUP(A237,'Revitalisation-Revitalisierung'!$A$4:$Z$275,22,FALSE))</f>
        <v/>
      </c>
      <c r="BT237" s="700" t="str">
        <f>IF(VLOOKUP(A237,'Revitalisation-Revitalisierung'!$A$4:$Z$275,23,FALSE)="","",VLOOKUP(A237,'Revitalisation-Revitalisierung'!$A$4:$Z$275,23,FALSE))</f>
        <v/>
      </c>
      <c r="BU237" s="699" t="str">
        <f>IF(VLOOKUP(A237,'Revitalisation-Revitalisierung'!$A$4:$Z$275,24,FALSE)="","",VLOOKUP(A237,'Revitalisation-Revitalisierung'!$A$4:$Z$275,24,FALSE))</f>
        <v/>
      </c>
      <c r="BV237" s="761" t="str">
        <f>IF(VLOOKUP(A237,'Revitalisation-Revitalisierung'!$A$4:$Z$275,25,FALSE)="","",VLOOKUP(A237,'Revitalisation-Revitalisierung'!$A$4:$Z$275,25,FALSE))</f>
        <v>Partiellement nécessaire, difficile / teilweise nötig, schwierig</v>
      </c>
      <c r="BW237" s="871" t="str">
        <f>IF(VLOOKUP(A237,'Revitalisation-Revitalisierung'!$A$4:$AA$275,27,FALSE)="","",VLOOKUP(A237,'Revitalisation-Revitalisierung'!$A$4:$AA$275,27,FALSE))</f>
        <v>a</v>
      </c>
    </row>
    <row r="238" spans="1:75" ht="63.6" customHeight="1" x14ac:dyDescent="0.25">
      <c r="A238" s="935">
        <v>359</v>
      </c>
      <c r="B238" s="856">
        <f>IF(VLOOKUP(A238,'Données de base - Grunddaten'!$A$2:$M$297,2,FALSE)="","",VLOOKUP(A238,'Données de base - Grunddaten'!$A$2:$M$297,2,FALSE))</f>
        <v>1</v>
      </c>
      <c r="C238" s="857" t="str">
        <f>IF(VLOOKUP(A238,'Données de base - Grunddaten'!$A$2:$M$297,3,FALSE)="","",VLOOKUP(A238,'Données de base - Grunddaten'!$A$2:$M$297,3,FALSE))</f>
        <v>Biaschina–Giornico</v>
      </c>
      <c r="D238" s="857" t="str">
        <f>IF(VLOOKUP(A238,'Données de base - Grunddaten'!$A$2:$M$297,4,FALSE)="","",VLOOKUP(A238,'Données de base - Grunddaten'!$A$2:$M$297,4,FALSE))</f>
        <v>Ticino</v>
      </c>
      <c r="E238" s="857" t="str">
        <f>IF(VLOOKUP(A238,'Données de base - Grunddaten'!$A$2:$M$297,5,FALSE)="","",VLOOKUP(A238,'Données de base - Grunddaten'!$A$2:$M$297,5,FALSE))</f>
        <v>TI</v>
      </c>
      <c r="F238" s="857" t="str">
        <f>IF(VLOOKUP(A238,'Données de base - Grunddaten'!$A$2:$M$297,6,FALSE)="","",VLOOKUP(A238,'Données de base - Grunddaten'!$A$2:$M$297,6,FALSE))</f>
        <v>Alpes méridionales</v>
      </c>
      <c r="G238" s="857" t="str">
        <f>IF(VLOOKUP(A238,'Données de base - Grunddaten'!$A$2:$M$297,7,FALSE)="","",VLOOKUP(A238,'Données de base - Grunddaten'!$A$2:$M$297,7,FALSE))</f>
        <v>Collinéen</v>
      </c>
      <c r="H238" s="857">
        <f>IF(VLOOKUP(A238,'Données de base - Grunddaten'!$A$2:$M$297,8,FALSE)="","",VLOOKUP(A238,'Données de base - Grunddaten'!$A$2:$M$297,8,FALSE))</f>
        <v>430</v>
      </c>
      <c r="I238" s="857">
        <f>IF(VLOOKUP(A238,'Données de base - Grunddaten'!$A$2:$M$297,9,FALSE)="","",VLOOKUP(A238,'Données de base - Grunddaten'!$A$2:$M$297,9,FALSE))</f>
        <v>2003</v>
      </c>
      <c r="J238" s="857">
        <f>IF(VLOOKUP(A238,'Données de base - Grunddaten'!$A$2:$M$297,10,FALSE)="","",VLOOKUP(A238,'Données de base - Grunddaten'!$A$2:$M$297,10,FALSE))</f>
        <v>61</v>
      </c>
      <c r="K238" s="857" t="str">
        <f>IF(VLOOKUP(A238,'Données de base - Grunddaten'!$A$2:$M$297,11,FALSE)="","",VLOOKUP(A238,'Données de base - Grunddaten'!$A$2:$M$297,11,FALSE))</f>
        <v>Cours d'eau naturels de l'étage collinéen du Sud des Alpes</v>
      </c>
      <c r="L238" s="857" t="str">
        <f>IF(VLOOKUP(A238,'Données de base - Grunddaten'!$A$2:$M$297,12,FALSE)="","",VLOOKUP(A238,'Données de base - Grunddaten'!$A$2:$M$297,12,FALSE))</f>
        <v>en tresses</v>
      </c>
      <c r="M238" s="858" t="str">
        <f>IF(VLOOKUP(A238,'Données de base - Grunddaten'!$A$2:$M$297,13,FALSE)="","",VLOOKUP(A238,'Données de base - Grunddaten'!$A$2:$M$297,13,FALSE))</f>
        <v>en tresses</v>
      </c>
      <c r="N238" s="872" t="str">
        <f>IF(VLOOKUP(A238,'Charriage - Geschiebehaushalt'!$A$4:$R$275,5,FALSE)="","",VLOOKUP(A238,'Charriage - Geschiebehaushalt'!$A$4:$R$275,5,FALSE))</f>
        <v>pertinent</v>
      </c>
      <c r="O238" s="881" t="str">
        <f>IF(VLOOKUP(A238,'Charriage - Geschiebehaushalt'!$A$4:$R$275,6,FALSE)="","",VLOOKUP(A238,'Charriage - Geschiebehaushalt'!$A$4:$R$275,6,FALSE))</f>
        <v>non documenté</v>
      </c>
      <c r="P238" s="874" t="str">
        <f>IF(VLOOKUP(A238,'Charriage - Geschiebehaushalt'!$A$4:$R$275,7,FALSE)="","",VLOOKUP(A238,'Charriage - Geschiebehaushalt'!$A$4:$R$275,7,FALSE))</f>
        <v/>
      </c>
      <c r="Q238" s="874" t="str">
        <f>IF(VLOOKUP(A238,'Charriage - Geschiebehaushalt'!$A$4:$R$275,8,FALSE)="","",VLOOKUP(A238,'Charriage - Geschiebehaushalt'!$A$4:$R$275,8,FALSE))</f>
        <v>non documenté</v>
      </c>
      <c r="R238" s="875">
        <f>IF(VLOOKUP(A238,'Charriage - Geschiebehaushalt'!$A$4:$R$275,9,FALSE)="","",VLOOKUP(A238,'Charriage - Geschiebehaushalt'!$A$4:$R$275,9,FALSE))</f>
        <v>0.101489837740707</v>
      </c>
      <c r="S238" s="876" t="str">
        <f>IF(VLOOKUP(A238,'Charriage - Geschiebehaushalt'!$A$4:$R$275,10,FALSE)="","",VLOOKUP(A238,'Charriage - Geschiebehaushalt'!$A$4:$R$275,10,FALSE))</f>
        <v>pas ou faiblement entravé</v>
      </c>
      <c r="T238" s="875">
        <f>IF(VLOOKUP(A238,'Charriage - Geschiebehaushalt'!$A$4:$R$275,11,FALSE)="","",VLOOKUP(A238,'Charriage - Geschiebehaushalt'!$A$4:$R$275,11,FALSE))</f>
        <v>5.6233252502000002E-2</v>
      </c>
      <c r="U238" s="876" t="str">
        <f>IF(VLOOKUP(A238,'Charriage - Geschiebehaushalt'!$A$4:$R$275,12,FALSE)="","",VLOOKUP(A238,'Charriage - Geschiebehaushalt'!$A$4:$R$275,12,FALSE))</f>
        <v>déficit dans les formations pionnières</v>
      </c>
      <c r="V238" s="877" t="str">
        <f>IF(VLOOKUP(A238,'Charriage - Geschiebehaushalt'!$A$4:$R$275,13,FALSE)="","",VLOOKUP(A238,'Charriage - Geschiebehaushalt'!$A$4:$R$275,13,FALSE))</f>
        <v>Charriage interrompu (usage hydroélectrique). Gros déficit de sédiment et d'eau</v>
      </c>
      <c r="W238" s="878" t="str">
        <f>IF(VLOOKUP(A238,'Charriage - Geschiebehaushalt'!$A$4:$R$275,14,FALSE)="","",VLOOKUP(A238,'Charriage - Geschiebehaushalt'!$A$4:$R$275,14,FALSE))</f>
        <v>charriage présumé perturbé</v>
      </c>
      <c r="X238" s="878" t="str">
        <f>IF(VLOOKUP(A238,'Charriage - Geschiebehaushalt'!$A$4:$R$275,15,FALSE)="","",VLOOKUP(A238,'Charriage - Geschiebehaushalt'!$A$4:$R$275,15,FALSE))</f>
        <v/>
      </c>
      <c r="Y238" s="882" t="str">
        <f>IF(VLOOKUP(A238,'Charriage - Geschiebehaushalt'!$A$4:$R$275,16,FALSE)="","",VLOOKUP(A238,'Charriage - Geschiebehaushalt'!$A$4:$R$275,16,FALSE))</f>
        <v/>
      </c>
      <c r="Z238" s="763" t="str">
        <f>IF(VLOOKUP(A238,'Charriage - Geschiebehaushalt'!$A$4:$R$275,17,FALSE)="","",VLOOKUP(A238,'Charriage - Geschiebehaushalt'!$A$4:$R$275,17,FALSE))</f>
        <v>Charriage présumé perturbé / Geschiebehaushalt vermutlich beeinträchtigt</v>
      </c>
      <c r="AA238" s="880" t="str">
        <f>IF(VLOOKUP(A238,'Charriage - Geschiebehaushalt'!$A$4:$R$275,18,FALSE)="","",VLOOKUP(A238,'Charriage - Geschiebehaushalt'!$A$4:$R$275,18,FALSE))</f>
        <v>b</v>
      </c>
      <c r="AB238" s="737" t="str">
        <f>IF(VLOOKUP(A238,'Charriage - Geschiebehaushalt'!$A$4:$AC$275,19,FALSE)="","",VLOOKUP(A238,'Charriage - Geschiebehaushalt'!$A$4:$AC$275,19,FALSE))</f>
        <v>moyen</v>
      </c>
      <c r="AC238" s="738">
        <f>IF(VLOOKUP(A238,'Charriage - Geschiebehaushalt'!$A$4:$AC$275,20,FALSE)="","",VLOOKUP(A238,'Charriage - Geschiebehaushalt'!$A$4:$AC$275,20,FALSE))</f>
        <v>0</v>
      </c>
      <c r="AD238" s="789" t="str">
        <f>IF(VLOOKUP(A238,'Charriage - Geschiebehaushalt'!$A$4:$AC$275,21,FALSE)="","",VLOOKUP(A238,'Charriage - Geschiebehaushalt'!$A$4:$AC$275,21,FALSE))</f>
        <v>51-80%</v>
      </c>
      <c r="AE238" s="740" t="str">
        <f>IF(VLOOKUP(A238,'Charriage - Geschiebehaushalt'!$A$4:$AC$275,22,FALSE)="","",VLOOKUP(A238,'Charriage - Geschiebehaushalt'!$A$4:$AC$275,22,FALSE))</f>
        <v>51-80%</v>
      </c>
      <c r="AF238" s="787" t="str">
        <f>IF(VLOOKUP(A238,'Charriage - Geschiebehaushalt'!$A$4:$AC$275,23,FALSE)="","",VLOOKUP(A238,'Charriage - Geschiebehaushalt'!$A$4:$AC$275,23,FALSE))</f>
        <v>d</v>
      </c>
      <c r="AG238" s="765" t="str">
        <f>IF(VLOOKUP(A238,'Charriage - Geschiebehaushalt'!$A$4:$AC$275,24,FALSE)="","",VLOOKUP(A238,'Charriage - Geschiebehaushalt'!$A$4:$AC$275,24,FALSE))</f>
        <v/>
      </c>
      <c r="AH238" s="764" t="str">
        <f>IF(VLOOKUP(A238,'Charriage - Geschiebehaushalt'!$A$4:$AC$275,25,FALSE)="","",VLOOKUP(A238,'Charriage - Geschiebehaushalt'!$A$4:$AC$275,25,FALSE))</f>
        <v/>
      </c>
      <c r="AI238" s="441" t="str">
        <f>IF(VLOOKUP(A238,'Charriage - Geschiebehaushalt'!$A$4:$AC$275,26,FALSE)="","",VLOOKUP(A238,'Charriage - Geschiebehaushalt'!$A$4:$AC$275,26,FALSE))</f>
        <v/>
      </c>
      <c r="AJ238" s="434" t="str">
        <f>IF(VLOOKUP(A238,'Charriage - Geschiebehaushalt'!$A$4:$AC$275,27,FALSE)="","",VLOOKUP(A238,'Charriage - Geschiebehaushalt'!$A$4:$AC$275,27,FALSE))</f>
        <v/>
      </c>
      <c r="AK238" s="801" t="str">
        <f>IF(VLOOKUP(A238,'Charriage - Geschiebehaushalt'!$A$4:$AC$275,28,FALSE)="","",VLOOKUP(A238,'Charriage - Geschiebehaushalt'!$A$4:$AC$275,28,FALSE))</f>
        <v>51-80%</v>
      </c>
      <c r="AL238" s="1285" t="str">
        <f>IF(VLOOKUP(A238,'Charriage - Geschiebehaushalt'!$A$4:$AD$275,30,FALSE)="","",VLOOKUP(A238,'Charriage - Geschiebehaushalt'!$A$4:$AD$275,30,FALSE))</f>
        <v>a</v>
      </c>
      <c r="AM238" s="1279" t="str">
        <f>IF(VLOOKUP(A238,'Débit - Abfluss'!$A$4:$K$275,5,FALSE)="","",VLOOKUP(A238,'Débit - Abfluss'!$A$4:$M$275,5,FALSE))</f>
        <v>0-20%</v>
      </c>
      <c r="AN238" s="868" t="str">
        <f>IF(VLOOKUP(A238,'Débit - Abfluss'!$A$4:$K$275,6,FALSE)="","",VLOOKUP(A238,'Débit - Abfluss'!$A$4:$M$275,6,FALSE))</f>
        <v/>
      </c>
      <c r="AO238" s="869" t="str">
        <f>IF(VLOOKUP(A238,'Débit - Abfluss'!$A$4:$K$275,7,FALSE)="","",VLOOKUP(A238,'Débit - Abfluss'!$A$4:$M$275,7,FALSE))</f>
        <v/>
      </c>
      <c r="AP238" s="766" t="str">
        <f>IF(VLOOKUP(A238,'Débit - Abfluss'!$A$4:$K$275,8,FALSE)="","",VLOOKUP(A238,'Débit - Abfluss'!$A$4:$M$275,8,FALSE))</f>
        <v>0-20%</v>
      </c>
      <c r="AQ238" s="678" t="str">
        <f>IF(VLOOKUP(A238,'Débit - Abfluss'!$A$4:$K$275,9,FALSE)="","",VLOOKUP(A238,'Débit - Abfluss'!$A$4:$M$275,9,FALSE))</f>
        <v>&lt;10%</v>
      </c>
      <c r="AR238" s="770" t="str">
        <f>IF(VLOOKUP(A238,'Débit - Abfluss'!$A$4:$K$275,10,FALSE)="","",VLOOKUP(A238,'Débit - Abfluss'!$A$4:$M$275,10,FALSE))</f>
        <v>0-20%</v>
      </c>
      <c r="AS238" s="767" t="str">
        <f>IF(VLOOKUP(A238,'Débit - Abfluss'!$A$4:$K$275,11,FALSE)="","",VLOOKUP(A238,'Débit - Abfluss'!$A$4:$M$275,11,FALSE))</f>
        <v/>
      </c>
      <c r="AT238" s="744" t="str">
        <f>IF(VLOOKUP(A238,'Débit - Abfluss'!$A$4:$Q$275,12,FALSE)="","",VLOOKUP(A238,'Débit - Abfluss'!$A$4:$Q$275,12,FALSE))</f>
        <v/>
      </c>
      <c r="AU238" s="745" t="str">
        <f>IF(VLOOKUP(A238,'Débit - Abfluss'!$A$4:$Q$275,13,FALSE)="","",VLOOKUP(A238,'Débit - Abfluss'!$A$4:$Q$275,13,FALSE))</f>
        <v/>
      </c>
      <c r="AV238" s="791" t="str">
        <f>IF(VLOOKUP(A238,'Débit - Abfluss'!$A$4:$Q$275,14,FALSE)="","",VLOOKUP(A238,'Débit - Abfluss'!$A$4:$Q$275,14,FALSE))</f>
        <v>TI-W 9</v>
      </c>
      <c r="AW238" s="768" t="str">
        <f>IF(VLOOKUP(A238,'Débit - Abfluss'!$A$4:$Q$275,15,FALSE)="","",VLOOKUP(A238,'Débit - Abfluss'!$A$4:$Q$275,15,FALSE))</f>
        <v>Biaschina</v>
      </c>
      <c r="AX238" s="679" t="str">
        <f>IF(VLOOKUP(A238,'Débit - Abfluss'!$A$4:$Q$275,16,FALSE)="","",VLOOKUP(A238,'Débit - Abfluss'!$A$4:$Q$275,16,FALSE))</f>
        <v/>
      </c>
      <c r="AY238" s="786" t="str">
        <f>IF(VLOOKUP(A238,'Débit - Abfluss'!$A$4:$Q$275,17,FALSE)="","",VLOOKUP(A238,'Débit - Abfluss'!$A$4:$Q$275,17,FALSE))</f>
        <v>0-20%</v>
      </c>
      <c r="AZ238" s="749" t="str">
        <f>IF(VLOOKUP(A238,'Eclusée - Schwall-Sunk'!$A$2:$F$273,5,FALSE)="","",VLOOKUP(A238,'Eclusée - Schwall-Sunk'!$A$2:$F$273,5,FALSE))</f>
        <v>force hydraulique</v>
      </c>
      <c r="BA238" s="750" t="str">
        <f>IF(VLOOKUP(A238,'Eclusée - Schwall-Sunk'!$A$2:$F$273,6,FALSE)="","",VLOOKUP(A238,'Eclusée - Schwall-Sunk'!$A$2:$F$273,6,FALSE))</f>
        <v>Potentiellement affecté / möglicherweise betroffen</v>
      </c>
      <c r="BB238" s="751">
        <f>IF(VLOOKUP(A238,'Revitalisation-Revitalisierung'!$A$4:$Z$275,5,FALSE)="","",VLOOKUP(A238,'Revitalisation-Revitalisierung'!$A$4:$Z$275,5,FALSE))</f>
        <v>6.6545454545454534</v>
      </c>
      <c r="BC238" s="752">
        <f>IF(VLOOKUP(A238,'Revitalisation-Revitalisierung'!$A$4:$Z$275,6,FALSE)="","",VLOOKUP(A238,'Revitalisation-Revitalisierung'!$A$4:$Z$275,6,FALSE))</f>
        <v>11.172351868630559</v>
      </c>
      <c r="BD238" s="752">
        <f>IF(VLOOKUP(A238,'Revitalisation-Revitalisierung'!$A$4:$Z$275,7,FALSE)="","",VLOOKUP(A238,'Revitalisation-Revitalisierung'!$A$4:$Z$275,7,FALSE))</f>
        <v>4.5454545454545459</v>
      </c>
      <c r="BE238" s="753" t="str">
        <f>IF(VLOOKUP(A238,'Revitalisation-Revitalisierung'!$A$4:$Z$275,8,FALSE)="","",VLOOKUP(A238,'Revitalisation-Revitalisierung'!$A$4:$Z$275,8,FALSE))</f>
        <v>peu nécessaire, facile</v>
      </c>
      <c r="BF238" s="754" t="str">
        <f>IF(VLOOKUP(A238,'Revitalisation-Revitalisierung'!$A$4:$Z$275,9,FALSE)="","",VLOOKUP(A238,'Revitalisation-Revitalisierung'!$A$4:$Z$275,9,FALSE))</f>
        <v>leicht</v>
      </c>
      <c r="BG238" s="754" t="str">
        <f>IF(VLOOKUP(A238,'Revitalisation-Revitalisierung'!$A$4:$Z$275,10,FALSE)="","",VLOOKUP(A238,'Revitalisation-Revitalisierung'!$A$4:$Z$275,10,FALSE))</f>
        <v>K1</v>
      </c>
      <c r="BH238" s="755" t="str">
        <f>IF(VLOOKUP(A238,'Revitalisation-Revitalisierung'!$A$4:$Z$275,11,FALSE)="","",VLOOKUP(A238,'Revitalisation-Revitalisierung'!$A$4:$Z$275,11,FALSE))</f>
        <v/>
      </c>
      <c r="BI238" s="756" t="str">
        <f>IF(VLOOKUP(A238,'Revitalisation-Revitalisierung'!$A$4:$Z$275,12,FALSE)="","",VLOOKUP(A238,'Revitalisation-Revitalisierung'!$A$4:$Z$275,12,FALSE))</f>
        <v/>
      </c>
      <c r="BJ238" s="788" t="str">
        <f>IF(VLOOKUP(A238,'Revitalisation-Revitalisierung'!$A$4:$Z$275,13,FALSE)="","",VLOOKUP(A238,'Revitalisation-Revitalisierung'!$A$4:$Z$275,13,FALSE))</f>
        <v>Partiellement nécessaire, facile / teilweise nötig, einfach</v>
      </c>
      <c r="BK238" s="870" t="str">
        <f>IF(VLOOKUP(A238,'Revitalisation-Revitalisierung'!$A$4:$Z$275,14,FALSE)="","",VLOOKUP(A238,'Revitalisation-Revitalisierung'!$A$4:$Z$275,14,FALSE))</f>
        <v>a</v>
      </c>
      <c r="BL238" s="758" t="str">
        <f>IF(VLOOKUP(A238,'Revitalisation-Revitalisierung'!$A$4:$Z$275,15,FALSE)="","",VLOOKUP(A238,'Revitalisation-Revitalisierung'!$A$4:$Z$275,15,FALSE))</f>
        <v>moyen</v>
      </c>
      <c r="BM238" s="759" t="str">
        <f>IF(VLOOKUP(A238,'Revitalisation-Revitalisierung'!$A$4:$Z$275,16,FALSE)="","",VLOOKUP(A238,'Revitalisation-Revitalisierung'!$A$4:$Z$275,16,FALSE))</f>
        <v>moyen</v>
      </c>
      <c r="BN238" s="759" t="str">
        <f>IF(VLOOKUP(A238,'Revitalisation-Revitalisierung'!$A$4:$Z$275,17,FALSE)="","",VLOOKUP(A238,'Revitalisation-Revitalisierung'!$A$4:$Z$275,17,FALSE))</f>
        <v>nulle</v>
      </c>
      <c r="BO238" s="760" t="str">
        <f>IF(VLOOKUP(A238,'Revitalisation-Revitalisierung'!$A$4:$Z$275,18,FALSE)="","",VLOOKUP(A238,'Revitalisation-Revitalisierung'!$A$4:$Z$275,18,FALSE))</f>
        <v>Partiellement nécessaire, facile / teilweise nötig, einfach</v>
      </c>
      <c r="BP238" s="761" t="str">
        <f>IF(VLOOKUP(A238,'Revitalisation-Revitalisierung'!$A$4:$Z$275,19,FALSE)="","",VLOOKUP(A238,'Revitalisation-Revitalisierung'!$A$4:$Z$275,19,FALSE))</f>
        <v>Partiellement nécessaire, facile / teilweise nötig, einfach</v>
      </c>
      <c r="BQ238" s="759" t="str">
        <f>IF(VLOOKUP(A238,'Revitalisation-Revitalisierung'!$A$4:$Z$275,20,FALSE)="","",VLOOKUP(A238,'Revitalisation-Revitalisierung'!$A$4:$Z$275,20,FALSE))</f>
        <v>d</v>
      </c>
      <c r="BR238" s="759" t="str">
        <f>IF(VLOOKUP(A238,'Revitalisation-Revitalisierung'!$A$4:$Z$275,21,FALSE)="","",VLOOKUP(A238,'Revitalisation-Revitalisierung'!$A$4:$Z$275,21,FALSE))</f>
        <v/>
      </c>
      <c r="BS238" s="762" t="str">
        <f>IF(VLOOKUP(A238,'Revitalisation-Revitalisierung'!$A$4:$Z$275,22,FALSE)="","",VLOOKUP(A238,'Revitalisation-Revitalisierung'!$A$4:$Z$275,22,FALSE))</f>
        <v/>
      </c>
      <c r="BT238" s="700" t="str">
        <f>IF(VLOOKUP(A238,'Revitalisation-Revitalisierung'!$A$4:$Z$275,23,FALSE)="","",VLOOKUP(A238,'Revitalisation-Revitalisierung'!$A$4:$Z$275,23,FALSE))</f>
        <v/>
      </c>
      <c r="BU238" s="699" t="str">
        <f>IF(VLOOKUP(A238,'Revitalisation-Revitalisierung'!$A$4:$Z$275,24,FALSE)="","",VLOOKUP(A238,'Revitalisation-Revitalisierung'!$A$4:$Z$275,24,FALSE))</f>
        <v/>
      </c>
      <c r="BV238" s="761" t="str">
        <f>IF(VLOOKUP(A238,'Revitalisation-Revitalisierung'!$A$4:$Z$275,25,FALSE)="","",VLOOKUP(A238,'Revitalisation-Revitalisierung'!$A$4:$Z$275,25,FALSE))</f>
        <v>Partiellement nécessaire, facile / teilweise nötig, einfach</v>
      </c>
      <c r="BW238" s="871" t="str">
        <f>IF(VLOOKUP(A238,'Revitalisation-Revitalisierung'!$A$4:$AA$275,27,FALSE)="","",VLOOKUP(A238,'Revitalisation-Revitalisierung'!$A$4:$AA$275,27,FALSE))</f>
        <v>a</v>
      </c>
    </row>
    <row r="239" spans="1:75" ht="84" customHeight="1" x14ac:dyDescent="0.25">
      <c r="A239" s="935">
        <v>360</v>
      </c>
      <c r="B239" s="856">
        <f>IF(VLOOKUP(A239,'Données de base - Grunddaten'!$A$2:$M$297,2,FALSE)="","",VLOOKUP(A239,'Données de base - Grunddaten'!$A$2:$M$297,2,FALSE))</f>
        <v>1</v>
      </c>
      <c r="C239" s="857" t="str">
        <f>IF(VLOOKUP(A239,'Données de base - Grunddaten'!$A$2:$M$297,3,FALSE)="","",VLOOKUP(A239,'Données de base - Grunddaten'!$A$2:$M$297,3,FALSE))</f>
        <v>Fontane</v>
      </c>
      <c r="D239" s="857" t="str">
        <f>IF(VLOOKUP(A239,'Données de base - Grunddaten'!$A$2:$M$297,4,FALSE)="","",VLOOKUP(A239,'Données de base - Grunddaten'!$A$2:$M$297,4,FALSE))</f>
        <v>Orino</v>
      </c>
      <c r="E239" s="857" t="str">
        <f>IF(VLOOKUP(A239,'Données de base - Grunddaten'!$A$2:$M$297,5,FALSE)="","",VLOOKUP(A239,'Données de base - Grunddaten'!$A$2:$M$297,5,FALSE))</f>
        <v>TI</v>
      </c>
      <c r="F239" s="857" t="str">
        <f>IF(VLOOKUP(A239,'Données de base - Grunddaten'!$A$2:$M$297,6,FALSE)="","",VLOOKUP(A239,'Données de base - Grunddaten'!$A$2:$M$297,6,FALSE))</f>
        <v>Alpes méridionales</v>
      </c>
      <c r="G239" s="857" t="str">
        <f>IF(VLOOKUP(A239,'Données de base - Grunddaten'!$A$2:$M$297,7,FALSE)="","",VLOOKUP(A239,'Données de base - Grunddaten'!$A$2:$M$297,7,FALSE))</f>
        <v>Subalpin inf.</v>
      </c>
      <c r="H239" s="857">
        <f>IF(VLOOKUP(A239,'Données de base - Grunddaten'!$A$2:$M$297,8,FALSE)="","",VLOOKUP(A239,'Données de base - Grunddaten'!$A$2:$M$297,8,FALSE))</f>
        <v>1330</v>
      </c>
      <c r="I239" s="857">
        <f>IF(VLOOKUP(A239,'Données de base - Grunddaten'!$A$2:$M$297,9,FALSE)="","",VLOOKUP(A239,'Données de base - Grunddaten'!$A$2:$M$297,9,FALSE))</f>
        <v>2003</v>
      </c>
      <c r="J239" s="857">
        <f>IF(VLOOKUP(A239,'Données de base - Grunddaten'!$A$2:$M$297,10,FALSE)="","",VLOOKUP(A239,'Données de base - Grunddaten'!$A$2:$M$297,10,FALSE))</f>
        <v>31</v>
      </c>
      <c r="K239" s="857" t="str">
        <f>IF(VLOOKUP(A239,'Données de base - Grunddaten'!$A$2:$M$297,11,FALSE)="","",VLOOKUP(A239,'Données de base - Grunddaten'!$A$2:$M$297,11,FALSE))</f>
        <v>Cours d'eau naturels de l'étage subalpin</v>
      </c>
      <c r="L239" s="857" t="str">
        <f>IF(VLOOKUP(A239,'Données de base - Grunddaten'!$A$2:$M$297,12,FALSE)="","",VLOOKUP(A239,'Données de base - Grunddaten'!$A$2:$M$297,12,FALSE))</f>
        <v>en tresses</v>
      </c>
      <c r="M239" s="858" t="str">
        <f>IF(VLOOKUP(A239,'Données de base - Grunddaten'!$A$2:$M$297,13,FALSE)="","",VLOOKUP(A239,'Données de base - Grunddaten'!$A$2:$M$297,13,FALSE))</f>
        <v>en tresses</v>
      </c>
      <c r="N239" s="872" t="str">
        <f>IF(VLOOKUP(A239,'Charriage - Geschiebehaushalt'!$A$4:$R$275,5,FALSE)="","",VLOOKUP(A239,'Charriage - Geschiebehaushalt'!$A$4:$R$275,5,FALSE))</f>
        <v>pertinent</v>
      </c>
      <c r="O239" s="881" t="str">
        <f>IF(VLOOKUP(A239,'Charriage - Geschiebehaushalt'!$A$4:$R$275,6,FALSE)="","",VLOOKUP(A239,'Charriage - Geschiebehaushalt'!$A$4:$R$275,6,FALSE))</f>
        <v>non documenté</v>
      </c>
      <c r="P239" s="874" t="str">
        <f>IF(VLOOKUP(A239,'Charriage - Geschiebehaushalt'!$A$4:$R$275,7,FALSE)="","",VLOOKUP(A239,'Charriage - Geschiebehaushalt'!$A$4:$R$275,7,FALSE))</f>
        <v/>
      </c>
      <c r="Q239" s="874" t="str">
        <f>IF(VLOOKUP(A239,'Charriage - Geschiebehaushalt'!$A$4:$R$275,8,FALSE)="","",VLOOKUP(A239,'Charriage - Geschiebehaushalt'!$A$4:$R$275,8,FALSE))</f>
        <v>non documenté</v>
      </c>
      <c r="R239" s="875">
        <f>IF(VLOOKUP(A239,'Charriage - Geschiebehaushalt'!$A$4:$R$275,9,FALSE)="","",VLOOKUP(A239,'Charriage - Geschiebehaushalt'!$A$4:$R$275,9,FALSE))</f>
        <v>0</v>
      </c>
      <c r="S239" s="876" t="str">
        <f>IF(VLOOKUP(A239,'Charriage - Geschiebehaushalt'!$A$4:$R$275,10,FALSE)="","",VLOOKUP(A239,'Charriage - Geschiebehaushalt'!$A$4:$R$275,10,FALSE))</f>
        <v>pas ou faiblement entravé</v>
      </c>
      <c r="T239" s="875">
        <f>IF(VLOOKUP(A239,'Charriage - Geschiebehaushalt'!$A$4:$R$275,11,FALSE)="","",VLOOKUP(A239,'Charriage - Geschiebehaushalt'!$A$4:$R$275,11,FALSE))</f>
        <v>0.28591873689000002</v>
      </c>
      <c r="U239" s="876" t="str">
        <f>IF(VLOOKUP(A239,'Charriage - Geschiebehaushalt'!$A$4:$R$275,12,FALSE)="","",VLOOKUP(A239,'Charriage - Geschiebehaushalt'!$A$4:$R$275,12,FALSE))</f>
        <v>déficit dans les formations pionnières</v>
      </c>
      <c r="V239" s="877" t="str">
        <f>IF(VLOOKUP(A239,'Charriage - Geschiebehaushalt'!$A$4:$R$275,13,FALSE)="","",VLOOKUP(A239,'Charriage - Geschiebehaushalt'!$A$4:$R$275,13,FALSE))</f>
        <v>Grand bassin versant naturel. Système alluvial et charriage semblent naturel, mais influence sur le débit.</v>
      </c>
      <c r="W239" s="878" t="str">
        <f>IF(VLOOKUP(A239,'Charriage - Geschiebehaushalt'!$A$4:$R$275,14,FALSE)="","",VLOOKUP(A239,'Charriage - Geschiebehaushalt'!$A$4:$R$275,14,FALSE))</f>
        <v>charriage présumé naturel</v>
      </c>
      <c r="X239" s="878" t="str">
        <f>IF(VLOOKUP(A239,'Charriage - Geschiebehaushalt'!$A$4:$R$275,15,FALSE)="","",VLOOKUP(A239,'Charriage - Geschiebehaushalt'!$A$4:$R$275,15,FALSE))</f>
        <v/>
      </c>
      <c r="Y239" s="882" t="str">
        <f>IF(VLOOKUP(A239,'Charriage - Geschiebehaushalt'!$A$4:$R$275,16,FALSE)="","",VLOOKUP(A239,'Charriage - Geschiebehaushalt'!$A$4:$R$275,16,FALSE))</f>
        <v/>
      </c>
      <c r="Z239" s="763" t="str">
        <f>IF(VLOOKUP(A239,'Charriage - Geschiebehaushalt'!$A$4:$R$275,17,FALSE)="","",VLOOKUP(A239,'Charriage - Geschiebehaushalt'!$A$4:$R$275,17,FALSE))</f>
        <v>Charriage présumé naturel / Geschiebehaushalt vermutlich natürlich</v>
      </c>
      <c r="AA239" s="880" t="str">
        <f>IF(VLOOKUP(A239,'Charriage - Geschiebehaushalt'!$A$4:$R$275,18,FALSE)="","",VLOOKUP(A239,'Charriage - Geschiebehaushalt'!$A$4:$R$275,18,FALSE))</f>
        <v>b</v>
      </c>
      <c r="AB239" s="737" t="str">
        <f>IF(VLOOKUP(A239,'Charriage - Geschiebehaushalt'!$A$4:$AC$275,19,FALSE)="","",VLOOKUP(A239,'Charriage - Geschiebehaushalt'!$A$4:$AC$275,19,FALSE))</f>
        <v>non évalué</v>
      </c>
      <c r="AC239" s="738" t="str">
        <f>IF(VLOOKUP(A239,'Charriage - Geschiebehaushalt'!$A$4:$AC$275,20,FALSE)="","",VLOOKUP(A239,'Charriage - Geschiebehaushalt'!$A$4:$AC$275,20,FALSE))</f>
        <v>non évalué</v>
      </c>
      <c r="AD239" s="764" t="str">
        <f>IF(VLOOKUP(A239,'Charriage - Geschiebehaushalt'!$A$4:$AC$275,21,FALSE)="","",VLOOKUP(A239,'Charriage - Geschiebehaushalt'!$A$4:$AC$275,21,FALSE))</f>
        <v/>
      </c>
      <c r="AE239" s="740" t="str">
        <f>IF(VLOOKUP(A239,'Charriage - Geschiebehaushalt'!$A$4:$AC$275,22,FALSE)="","",VLOOKUP(A239,'Charriage - Geschiebehaushalt'!$A$4:$AC$275,22,FALSE))</f>
        <v>0-20%</v>
      </c>
      <c r="AF239" s="904" t="str">
        <f>IF(VLOOKUP(A239,'Charriage - Geschiebehaushalt'!$A$4:$AC$275,23,FALSE)="","",VLOOKUP(A239,'Charriage - Geschiebehaushalt'!$A$4:$AC$275,23,FALSE))</f>
        <v>b</v>
      </c>
      <c r="AG239" s="765" t="str">
        <f>IF(VLOOKUP(A239,'Charriage - Geschiebehaushalt'!$A$4:$AC$275,24,FALSE)="","",VLOOKUP(A239,'Charriage - Geschiebehaushalt'!$A$4:$AC$275,24,FALSE))</f>
        <v/>
      </c>
      <c r="AH239" s="764" t="str">
        <f>IF(VLOOKUP(A239,'Charriage - Geschiebehaushalt'!$A$4:$AC$275,25,FALSE)="","",VLOOKUP(A239,'Charriage - Geschiebehaushalt'!$A$4:$AC$275,25,FALSE))</f>
        <v/>
      </c>
      <c r="AI239" s="441" t="str">
        <f>IF(VLOOKUP(A239,'Charriage - Geschiebehaushalt'!$A$4:$AC$275,26,FALSE)="","",VLOOKUP(A239,'Charriage - Geschiebehaushalt'!$A$4:$AC$275,26,FALSE))</f>
        <v/>
      </c>
      <c r="AJ239" s="434" t="str">
        <f>IF(VLOOKUP(A239,'Charriage - Geschiebehaushalt'!$A$4:$AC$275,27,FALSE)="","",VLOOKUP(A239,'Charriage - Geschiebehaushalt'!$A$4:$AC$275,27,FALSE))</f>
        <v/>
      </c>
      <c r="AK239" s="801" t="str">
        <f>IF(VLOOKUP(A239,'Charriage - Geschiebehaushalt'!$A$4:$AC$275,28,FALSE)="","",VLOOKUP(A239,'Charriage - Geschiebehaushalt'!$A$4:$AC$275,28,FALSE))</f>
        <v>0-20%</v>
      </c>
      <c r="AL239" s="1285" t="str">
        <f>IF(VLOOKUP(A239,'Charriage - Geschiebehaushalt'!$A$4:$AD$275,30,FALSE)="","",VLOOKUP(A239,'Charriage - Geschiebehaushalt'!$A$4:$AD$275,30,FALSE))</f>
        <v>b</v>
      </c>
      <c r="AM239" s="1279" t="str">
        <f>IF(VLOOKUP(A239,'Débit - Abfluss'!$A$4:$K$275,5,FALSE)="","",VLOOKUP(A239,'Débit - Abfluss'!$A$4:$M$275,5,FALSE))</f>
        <v>81-100%</v>
      </c>
      <c r="AN239" s="868" t="str">
        <f>IF(VLOOKUP(A239,'Débit - Abfluss'!$A$4:$K$275,6,FALSE)="","",VLOOKUP(A239,'Débit - Abfluss'!$A$4:$M$275,6,FALSE))</f>
        <v/>
      </c>
      <c r="AO239" s="869" t="str">
        <f>IF(VLOOKUP(A239,'Débit - Abfluss'!$A$4:$K$275,7,FALSE)="","",VLOOKUP(A239,'Débit - Abfluss'!$A$4:$M$275,7,FALSE))</f>
        <v/>
      </c>
      <c r="AP239" s="766" t="str">
        <f>IF(VLOOKUP(A239,'Débit - Abfluss'!$A$4:$K$275,8,FALSE)="","",VLOOKUP(A239,'Débit - Abfluss'!$A$4:$M$275,8,FALSE))</f>
        <v>81-100%</v>
      </c>
      <c r="AQ239" s="678" t="str">
        <f>IF(VLOOKUP(A239,'Débit - Abfluss'!$A$4:$K$275,9,FALSE)="","",VLOOKUP(A239,'Débit - Abfluss'!$A$4:$M$275,9,FALSE))</f>
        <v>Fehlende Angaben</v>
      </c>
      <c r="AR239" s="773" t="str">
        <f>IF(VLOOKUP(A239,'Débit - Abfluss'!$A$4:$K$275,10,FALSE)="","",VLOOKUP(A239,'Débit - Abfluss'!$A$4:$M$275,10,FALSE))</f>
        <v>81-100%</v>
      </c>
      <c r="AS239" s="773" t="str">
        <f>IF(VLOOKUP(A239,'Débit - Abfluss'!$A$4:$K$275,11,FALSE)="","",VLOOKUP(A239,'Débit - Abfluss'!$A$4:$M$275,11,FALSE))</f>
        <v>X</v>
      </c>
      <c r="AT239" s="744" t="str">
        <f>IF(VLOOKUP(A239,'Débit - Abfluss'!$A$4:$Q$275,12,FALSE)="","",VLOOKUP(A239,'Débit - Abfluss'!$A$4:$Q$275,12,FALSE))</f>
        <v/>
      </c>
      <c r="AU239" s="683" t="str">
        <f>IF(VLOOKUP(A239,'Débit - Abfluss'!$A$4:$Q$275,13,FALSE)="","",VLOOKUP(A239,'Débit - Abfluss'!$A$4:$Q$275,13,FALSE))</f>
        <v>In assenza di misurazioni disponibili il Cantone non può convalidare la situazione idrologica nel biotopo</v>
      </c>
      <c r="AV239" s="791" t="str">
        <f>IF(VLOOKUP(A239,'Débit - Abfluss'!$A$4:$Q$275,14,FALSE)="","",VLOOKUP(A239,'Débit - Abfluss'!$A$4:$Q$275,14,FALSE))</f>
        <v>TI-W 55</v>
      </c>
      <c r="AW239" s="768" t="str">
        <f>IF(VLOOKUP(A239,'Débit - Abfluss'!$A$4:$Q$275,15,FALSE)="","",VLOOKUP(A239,'Débit - Abfluss'!$A$4:$Q$275,15,FALSE))</f>
        <v>Luzzone</v>
      </c>
      <c r="AX239" s="679" t="str">
        <f>IF(VLOOKUP(A239,'Débit - Abfluss'!$A$4:$Q$275,16,FALSE)="","",VLOOKUP(A239,'Débit - Abfluss'!$A$4:$Q$275,16,FALSE))</f>
        <v/>
      </c>
      <c r="AY239" s="775" t="str">
        <f>IF(VLOOKUP(A239,'Débit - Abfluss'!$A$4:$Q$275,17,FALSE)="","",VLOOKUP(A239,'Débit - Abfluss'!$A$4:$Q$275,17,FALSE))</f>
        <v>81-100%</v>
      </c>
      <c r="AZ239" s="749" t="str">
        <f>IF(VLOOKUP(A239,'Eclusée - Schwall-Sunk'!$A$2:$F$273,5,FALSE)="","",VLOOKUP(A239,'Eclusée - Schwall-Sunk'!$A$2:$F$273,5,FALSE))</f>
        <v>force hydraulique</v>
      </c>
      <c r="BA239" s="750" t="str">
        <f>IF(VLOOKUP(A239,'Eclusée - Schwall-Sunk'!$A$2:$F$273,6,FALSE)="","",VLOOKUP(A239,'Eclusée - Schwall-Sunk'!$A$2:$F$273,6,FALSE))</f>
        <v>Non affecté / nicht betroffen</v>
      </c>
      <c r="BB239" s="751">
        <f>IF(VLOOKUP(A239,'Revitalisation-Revitalisierung'!$A$4:$Z$275,5,FALSE)="","",VLOOKUP(A239,'Revitalisation-Revitalisierung'!$A$4:$Z$275,5,FALSE))</f>
        <v>-3.1818181818181817</v>
      </c>
      <c r="BC239" s="752">
        <f>IF(VLOOKUP(A239,'Revitalisation-Revitalisierung'!$A$4:$Z$275,6,FALSE)="","",VLOOKUP(A239,'Revitalisation-Revitalisierung'!$A$4:$Z$275,6,FALSE))</f>
        <v>0</v>
      </c>
      <c r="BD239" s="752">
        <f>IF(VLOOKUP(A239,'Revitalisation-Revitalisierung'!$A$4:$Z$275,7,FALSE)="","",VLOOKUP(A239,'Revitalisation-Revitalisierung'!$A$4:$Z$275,7,FALSE))</f>
        <v>3.1818181818181817</v>
      </c>
      <c r="BE239" s="753" t="str">
        <f>IF(VLOOKUP(A239,'Revitalisation-Revitalisierung'!$A$4:$Z$275,8,FALSE)="","",VLOOKUP(A239,'Revitalisation-Revitalisierung'!$A$4:$Z$275,8,FALSE))</f>
        <v>non nécessaire</v>
      </c>
      <c r="BF239" s="754" t="str">
        <f>IF(VLOOKUP(A239,'Revitalisation-Revitalisierung'!$A$4:$Z$275,9,FALSE)="","",VLOOKUP(A239,'Revitalisation-Revitalisierung'!$A$4:$Z$275,9,FALSE))</f>
        <v>nicht nötig</v>
      </c>
      <c r="BG239" s="754" t="str">
        <f>IF(VLOOKUP(A239,'Revitalisation-Revitalisierung'!$A$4:$Z$275,10,FALSE)="","",VLOOKUP(A239,'Revitalisation-Revitalisierung'!$A$4:$Z$275,10,FALSE))</f>
        <v>K3</v>
      </c>
      <c r="BH239" s="755" t="str">
        <f>IF(VLOOKUP(A239,'Revitalisation-Revitalisierung'!$A$4:$Z$275,11,FALSE)="","",VLOOKUP(A239,'Revitalisation-Revitalisierung'!$A$4:$Z$275,11,FALSE))</f>
        <v/>
      </c>
      <c r="BI239" s="756" t="str">
        <f>IF(VLOOKUP(A239,'Revitalisation-Revitalisierung'!$A$4:$Z$275,12,FALSE)="","",VLOOKUP(A239,'Revitalisation-Revitalisierung'!$A$4:$Z$275,12,FALSE))</f>
        <v/>
      </c>
      <c r="BJ239" s="788" t="str">
        <f>IF(VLOOKUP(A239,'Revitalisation-Revitalisierung'!$A$4:$Z$275,13,FALSE)="","",VLOOKUP(A239,'Revitalisation-Revitalisierung'!$A$4:$Z$275,13,FALSE))</f>
        <v>Non nécessaire / nicht nötig</v>
      </c>
      <c r="BK239" s="870" t="str">
        <f>IF(VLOOKUP(A239,'Revitalisation-Revitalisierung'!$A$4:$Z$275,14,FALSE)="","",VLOOKUP(A239,'Revitalisation-Revitalisierung'!$A$4:$Z$275,14,FALSE))</f>
        <v>a</v>
      </c>
      <c r="BL239" s="758" t="str">
        <f>IF(VLOOKUP(A239,'Revitalisation-Revitalisierung'!$A$4:$Z$275,15,FALSE)="","",VLOOKUP(A239,'Revitalisation-Revitalisierung'!$A$4:$Z$275,15,FALSE))</f>
        <v>moyen et faible</v>
      </c>
      <c r="BM239" s="759" t="str">
        <f>IF(VLOOKUP(A239,'Revitalisation-Revitalisierung'!$A$4:$Z$275,16,FALSE)="","",VLOOKUP(A239,'Revitalisation-Revitalisierung'!$A$4:$Z$275,16,FALSE))</f>
        <v>faible</v>
      </c>
      <c r="BN239" s="759" t="str">
        <f>IF(VLOOKUP(A239,'Revitalisation-Revitalisierung'!$A$4:$Z$275,17,FALSE)="","",VLOOKUP(A239,'Revitalisation-Revitalisierung'!$A$4:$Z$275,17,FALSE))</f>
        <v>nulle</v>
      </c>
      <c r="BO239" s="760" t="str">
        <f>IF(VLOOKUP(A239,'Revitalisation-Revitalisierung'!$A$4:$Z$275,18,FALSE)="","",VLOOKUP(A239,'Revitalisation-Revitalisierung'!$A$4:$Z$275,18,FALSE))</f>
        <v>Non nécessaire / nicht nötig</v>
      </c>
      <c r="BP239" s="761" t="str">
        <f>IF(VLOOKUP(A239,'Revitalisation-Revitalisierung'!$A$4:$Z$275,19,FALSE)="","",VLOOKUP(A239,'Revitalisation-Revitalisierung'!$A$4:$Z$275,19,FALSE))</f>
        <v>Non nécessaire / nicht nötig</v>
      </c>
      <c r="BQ239" s="759" t="str">
        <f>IF(VLOOKUP(A239,'Revitalisation-Revitalisierung'!$A$4:$Z$275,20,FALSE)="","",VLOOKUP(A239,'Revitalisation-Revitalisierung'!$A$4:$Z$275,20,FALSE))</f>
        <v>d</v>
      </c>
      <c r="BR239" s="759" t="str">
        <f>IF(VLOOKUP(A239,'Revitalisation-Revitalisierung'!$A$4:$Z$275,21,FALSE)="","",VLOOKUP(A239,'Revitalisation-Revitalisierung'!$A$4:$Z$275,21,FALSE))</f>
        <v/>
      </c>
      <c r="BS239" s="762" t="str">
        <f>IF(VLOOKUP(A239,'Revitalisation-Revitalisierung'!$A$4:$Z$275,22,FALSE)="","",VLOOKUP(A239,'Revitalisation-Revitalisierung'!$A$4:$Z$275,22,FALSE))</f>
        <v/>
      </c>
      <c r="BT239" s="700" t="str">
        <f>IF(VLOOKUP(A239,'Revitalisation-Revitalisierung'!$A$4:$Z$275,23,FALSE)="","",VLOOKUP(A239,'Revitalisation-Revitalisierung'!$A$4:$Z$275,23,FALSE))</f>
        <v/>
      </c>
      <c r="BU239" s="699" t="str">
        <f>IF(VLOOKUP(A239,'Revitalisation-Revitalisierung'!$A$4:$Z$275,24,FALSE)="","",VLOOKUP(A239,'Revitalisation-Revitalisierung'!$A$4:$Z$275,24,FALSE))</f>
        <v/>
      </c>
      <c r="BV239" s="761" t="str">
        <f>IF(VLOOKUP(A239,'Revitalisation-Revitalisierung'!$A$4:$Z$275,25,FALSE)="","",VLOOKUP(A239,'Revitalisation-Revitalisierung'!$A$4:$Z$275,25,FALSE))</f>
        <v>Non nécessaire / nicht nötig</v>
      </c>
      <c r="BW239" s="871" t="str">
        <f>IF(VLOOKUP(A239,'Revitalisation-Revitalisierung'!$A$4:$AA$275,27,FALSE)="","",VLOOKUP(A239,'Revitalisation-Revitalisierung'!$A$4:$AA$275,27,FALSE))</f>
        <v>a</v>
      </c>
    </row>
    <row r="240" spans="1:75" ht="79.900000000000006" customHeight="1" x14ac:dyDescent="0.25">
      <c r="A240" s="935">
        <v>361</v>
      </c>
      <c r="B240" s="856">
        <f>IF(VLOOKUP(A240,'Données de base - Grunddaten'!$A$2:$M$297,2,FALSE)="","",VLOOKUP(A240,'Données de base - Grunddaten'!$A$2:$M$297,2,FALSE))</f>
        <v>1</v>
      </c>
      <c r="C240" s="857" t="str">
        <f>IF(VLOOKUP(A240,'Données de base - Grunddaten'!$A$2:$M$297,3,FALSE)="","",VLOOKUP(A240,'Données de base - Grunddaten'!$A$2:$M$297,3,FALSE))</f>
        <v>Madra</v>
      </c>
      <c r="D240" s="857" t="str">
        <f>IF(VLOOKUP(A240,'Données de base - Grunddaten'!$A$2:$M$297,4,FALSE)="","",VLOOKUP(A240,'Données de base - Grunddaten'!$A$2:$M$297,4,FALSE))</f>
        <v>Orino</v>
      </c>
      <c r="E240" s="857" t="str">
        <f>IF(VLOOKUP(A240,'Données de base - Grunddaten'!$A$2:$M$297,5,FALSE)="","",VLOOKUP(A240,'Données de base - Grunddaten'!$A$2:$M$297,5,FALSE))</f>
        <v>TI</v>
      </c>
      <c r="F240" s="857" t="str">
        <f>IF(VLOOKUP(A240,'Données de base - Grunddaten'!$A$2:$M$297,6,FALSE)="","",VLOOKUP(A240,'Données de base - Grunddaten'!$A$2:$M$297,6,FALSE))</f>
        <v>Alpes méridionales</v>
      </c>
      <c r="G240" s="857" t="str">
        <f>IF(VLOOKUP(A240,'Données de base - Grunddaten'!$A$2:$M$297,7,FALSE)="","",VLOOKUP(A240,'Données de base - Grunddaten'!$A$2:$M$297,7,FALSE))</f>
        <v>Montagnard sup.</v>
      </c>
      <c r="H240" s="857">
        <f>IF(VLOOKUP(A240,'Données de base - Grunddaten'!$A$2:$M$297,8,FALSE)="","",VLOOKUP(A240,'Données de base - Grunddaten'!$A$2:$M$297,8,FALSE))</f>
        <v>1030</v>
      </c>
      <c r="I240" s="857">
        <f>IF(VLOOKUP(A240,'Données de base - Grunddaten'!$A$2:$M$297,9,FALSE)="","",VLOOKUP(A240,'Données de base - Grunddaten'!$A$2:$M$297,9,FALSE))</f>
        <v>2003</v>
      </c>
      <c r="J240" s="857">
        <f>IF(VLOOKUP(A240,'Données de base - Grunddaten'!$A$2:$M$297,10,FALSE)="","",VLOOKUP(A240,'Données de base - Grunddaten'!$A$2:$M$297,10,FALSE))</f>
        <v>41</v>
      </c>
      <c r="K240" s="857" t="str">
        <f>IF(VLOOKUP(A240,'Données de base - Grunddaten'!$A$2:$M$297,11,FALSE)="","",VLOOKUP(A240,'Données de base - Grunddaten'!$A$2:$M$297,11,FALSE))</f>
        <v>Cours d'eau naturels de l'étage montagnard</v>
      </c>
      <c r="L240" s="857" t="str">
        <f>IF(VLOOKUP(A240,'Données de base - Grunddaten'!$A$2:$M$297,12,FALSE)="","",VLOOKUP(A240,'Données de base - Grunddaten'!$A$2:$M$297,12,FALSE))</f>
        <v>en tresses</v>
      </c>
      <c r="M240" s="858" t="str">
        <f>IF(VLOOKUP(A240,'Données de base - Grunddaten'!$A$2:$M$297,13,FALSE)="","",VLOOKUP(A240,'Données de base - Grunddaten'!$A$2:$M$297,13,FALSE))</f>
        <v>en tresses</v>
      </c>
      <c r="N240" s="872" t="str">
        <f>IF(VLOOKUP(A240,'Charriage - Geschiebehaushalt'!$A$4:$R$275,5,FALSE)="","",VLOOKUP(A240,'Charriage - Geschiebehaushalt'!$A$4:$R$275,5,FALSE))</f>
        <v>pertinent</v>
      </c>
      <c r="O240" s="881" t="str">
        <f>IF(VLOOKUP(A240,'Charriage - Geschiebehaushalt'!$A$4:$R$275,6,FALSE)="","",VLOOKUP(A240,'Charriage - Geschiebehaushalt'!$A$4:$R$275,6,FALSE))</f>
        <v>non documenté</v>
      </c>
      <c r="P240" s="874" t="str">
        <f>IF(VLOOKUP(A240,'Charriage - Geschiebehaushalt'!$A$4:$R$275,7,FALSE)="","",VLOOKUP(A240,'Charriage - Geschiebehaushalt'!$A$4:$R$275,7,FALSE))</f>
        <v/>
      </c>
      <c r="Q240" s="874" t="str">
        <f>IF(VLOOKUP(A240,'Charriage - Geschiebehaushalt'!$A$4:$R$275,8,FALSE)="","",VLOOKUP(A240,'Charriage - Geschiebehaushalt'!$A$4:$R$275,8,FALSE))</f>
        <v>non documenté</v>
      </c>
      <c r="R240" s="875">
        <f>IF(VLOOKUP(A240,'Charriage - Geschiebehaushalt'!$A$4:$R$275,9,FALSE)="","",VLOOKUP(A240,'Charriage - Geschiebehaushalt'!$A$4:$R$275,9,FALSE))</f>
        <v>0</v>
      </c>
      <c r="S240" s="876" t="str">
        <f>IF(VLOOKUP(A240,'Charriage - Geschiebehaushalt'!$A$4:$R$275,10,FALSE)="","",VLOOKUP(A240,'Charriage - Geschiebehaushalt'!$A$4:$R$275,10,FALSE))</f>
        <v>pas ou faiblement entravé</v>
      </c>
      <c r="T240" s="875">
        <f>IF(VLOOKUP(A240,'Charriage - Geschiebehaushalt'!$A$4:$R$275,11,FALSE)="","",VLOOKUP(A240,'Charriage - Geschiebehaushalt'!$A$4:$R$275,11,FALSE))</f>
        <v>0.16986388180000001</v>
      </c>
      <c r="U240" s="876" t="str">
        <f>IF(VLOOKUP(A240,'Charriage - Geschiebehaushalt'!$A$4:$R$275,12,FALSE)="","",VLOOKUP(A240,'Charriage - Geschiebehaushalt'!$A$4:$R$275,12,FALSE))</f>
        <v>déficit dans les formations pionnières</v>
      </c>
      <c r="V240" s="877" t="str">
        <f>IF(VLOOKUP(A240,'Charriage - Geschiebehaushalt'!$A$4:$R$275,13,FALSE)="","",VLOOKUP(A240,'Charriage - Geschiebehaushalt'!$A$4:$R$275,13,FALSE))</f>
        <v>Grand bassin versant naturel. Système alluvial et charriage semblent naturel, mais influence sur le débit.</v>
      </c>
      <c r="W240" s="878" t="str">
        <f>IF(VLOOKUP(A240,'Charriage - Geschiebehaushalt'!$A$4:$R$275,14,FALSE)="","",VLOOKUP(A240,'Charriage - Geschiebehaushalt'!$A$4:$R$275,14,FALSE))</f>
        <v>charriage présumé naturel</v>
      </c>
      <c r="X240" s="878" t="str">
        <f>IF(VLOOKUP(A240,'Charriage - Geschiebehaushalt'!$A$4:$R$275,15,FALSE)="","",VLOOKUP(A240,'Charriage - Geschiebehaushalt'!$A$4:$R$275,15,FALSE))</f>
        <v/>
      </c>
      <c r="Y240" s="882" t="str">
        <f>IF(VLOOKUP(A240,'Charriage - Geschiebehaushalt'!$A$4:$R$275,16,FALSE)="","",VLOOKUP(A240,'Charriage - Geschiebehaushalt'!$A$4:$R$275,16,FALSE))</f>
        <v/>
      </c>
      <c r="Z240" s="763" t="str">
        <f>IF(VLOOKUP(A240,'Charriage - Geschiebehaushalt'!$A$4:$R$275,17,FALSE)="","",VLOOKUP(A240,'Charriage - Geschiebehaushalt'!$A$4:$R$275,17,FALSE))</f>
        <v>Charriage présumé naturel / Geschiebehaushalt vermutlich natürlich</v>
      </c>
      <c r="AA240" s="880" t="str">
        <f>IF(VLOOKUP(A240,'Charriage - Geschiebehaushalt'!$A$4:$R$275,18,FALSE)="","",VLOOKUP(A240,'Charriage - Geschiebehaushalt'!$A$4:$R$275,18,FALSE))</f>
        <v>b</v>
      </c>
      <c r="AB240" s="737" t="str">
        <f>IF(VLOOKUP(A240,'Charriage - Geschiebehaushalt'!$A$4:$AC$275,19,FALSE)="","",VLOOKUP(A240,'Charriage - Geschiebehaushalt'!$A$4:$AC$275,19,FALSE))</f>
        <v>non évalué</v>
      </c>
      <c r="AC240" s="738" t="str">
        <f>IF(VLOOKUP(A240,'Charriage - Geschiebehaushalt'!$A$4:$AC$275,20,FALSE)="","",VLOOKUP(A240,'Charriage - Geschiebehaushalt'!$A$4:$AC$275,20,FALSE))</f>
        <v>non évalué</v>
      </c>
      <c r="AD240" s="764" t="str">
        <f>IF(VLOOKUP(A240,'Charriage - Geschiebehaushalt'!$A$4:$AC$275,21,FALSE)="","",VLOOKUP(A240,'Charriage - Geschiebehaushalt'!$A$4:$AC$275,21,FALSE))</f>
        <v/>
      </c>
      <c r="AE240" s="740" t="str">
        <f>IF(VLOOKUP(A240,'Charriage - Geschiebehaushalt'!$A$4:$AC$275,22,FALSE)="","",VLOOKUP(A240,'Charriage - Geschiebehaushalt'!$A$4:$AC$275,22,FALSE))</f>
        <v>0-20%</v>
      </c>
      <c r="AF240" s="904" t="str">
        <f>IF(VLOOKUP(A240,'Charriage - Geschiebehaushalt'!$A$4:$AC$275,23,FALSE)="","",VLOOKUP(A240,'Charriage - Geschiebehaushalt'!$A$4:$AC$275,23,FALSE))</f>
        <v>b</v>
      </c>
      <c r="AG240" s="765" t="str">
        <f>IF(VLOOKUP(A240,'Charriage - Geschiebehaushalt'!$A$4:$AC$275,24,FALSE)="","",VLOOKUP(A240,'Charriage - Geschiebehaushalt'!$A$4:$AC$275,24,FALSE))</f>
        <v/>
      </c>
      <c r="AH240" s="764" t="str">
        <f>IF(VLOOKUP(A240,'Charriage - Geschiebehaushalt'!$A$4:$AC$275,25,FALSE)="","",VLOOKUP(A240,'Charriage - Geschiebehaushalt'!$A$4:$AC$275,25,FALSE))</f>
        <v/>
      </c>
      <c r="AI240" s="441" t="str">
        <f>IF(VLOOKUP(A240,'Charriage - Geschiebehaushalt'!$A$4:$AC$275,26,FALSE)="","",VLOOKUP(A240,'Charriage - Geschiebehaushalt'!$A$4:$AC$275,26,FALSE))</f>
        <v/>
      </c>
      <c r="AJ240" s="434" t="str">
        <f>IF(VLOOKUP(A240,'Charriage - Geschiebehaushalt'!$A$4:$AC$275,27,FALSE)="","",VLOOKUP(A240,'Charriage - Geschiebehaushalt'!$A$4:$AC$275,27,FALSE))</f>
        <v/>
      </c>
      <c r="AK240" s="801" t="str">
        <f>IF(VLOOKUP(A240,'Charriage - Geschiebehaushalt'!$A$4:$AC$275,28,FALSE)="","",VLOOKUP(A240,'Charriage - Geschiebehaushalt'!$A$4:$AC$275,28,FALSE))</f>
        <v>0-20%</v>
      </c>
      <c r="AL240" s="1285" t="str">
        <f>IF(VLOOKUP(A240,'Charriage - Geschiebehaushalt'!$A$4:$AD$275,30,FALSE)="","",VLOOKUP(A240,'Charriage - Geschiebehaushalt'!$A$4:$AD$275,30,FALSE))</f>
        <v>b</v>
      </c>
      <c r="AM240" s="1279" t="str">
        <f>IF(VLOOKUP(A240,'Débit - Abfluss'!$A$4:$K$275,5,FALSE)="","",VLOOKUP(A240,'Débit - Abfluss'!$A$4:$M$275,5,FALSE))</f>
        <v>81-100%</v>
      </c>
      <c r="AN240" s="868" t="str">
        <f>IF(VLOOKUP(A240,'Débit - Abfluss'!$A$4:$K$275,6,FALSE)="","",VLOOKUP(A240,'Débit - Abfluss'!$A$4:$M$275,6,FALSE))</f>
        <v/>
      </c>
      <c r="AO240" s="869" t="str">
        <f>IF(VLOOKUP(A240,'Débit - Abfluss'!$A$4:$K$275,7,FALSE)="","",VLOOKUP(A240,'Débit - Abfluss'!$A$4:$M$275,7,FALSE))</f>
        <v/>
      </c>
      <c r="AP240" s="766" t="str">
        <f>IF(VLOOKUP(A240,'Débit - Abfluss'!$A$4:$K$275,8,FALSE)="","",VLOOKUP(A240,'Débit - Abfluss'!$A$4:$M$275,8,FALSE))</f>
        <v>81-100%</v>
      </c>
      <c r="AQ240" s="678" t="str">
        <f>IF(VLOOKUP(A240,'Débit - Abfluss'!$A$4:$K$275,9,FALSE)="","",VLOOKUP(A240,'Débit - Abfluss'!$A$4:$M$275,9,FALSE))</f>
        <v>Fehlende Angaben</v>
      </c>
      <c r="AR240" s="773" t="str">
        <f>IF(VLOOKUP(A240,'Débit - Abfluss'!$A$4:$K$275,10,FALSE)="","",VLOOKUP(A240,'Débit - Abfluss'!$A$4:$M$275,10,FALSE))</f>
        <v>81-100%</v>
      </c>
      <c r="AS240" s="773" t="str">
        <f>IF(VLOOKUP(A240,'Débit - Abfluss'!$A$4:$K$275,11,FALSE)="","",VLOOKUP(A240,'Débit - Abfluss'!$A$4:$M$275,11,FALSE))</f>
        <v>X</v>
      </c>
      <c r="AT240" s="744" t="str">
        <f>IF(VLOOKUP(A240,'Débit - Abfluss'!$A$4:$Q$275,12,FALSE)="","",VLOOKUP(A240,'Débit - Abfluss'!$A$4:$Q$275,12,FALSE))</f>
        <v/>
      </c>
      <c r="AU240" s="687" t="str">
        <f>IF(VLOOKUP(A240,'Débit - Abfluss'!$A$4:$Q$275,13,FALSE)="","",VLOOKUP(A240,'Débit - Abfluss'!$A$4:$Q$275,13,FALSE))</f>
        <v>In assenza di misurazioni disponibili il Cantone non può convalidare la situazione idrologica nel biotopo</v>
      </c>
      <c r="AV240" s="746" t="str">
        <f>IF(VLOOKUP(A240,'Débit - Abfluss'!$A$4:$Q$275,14,FALSE)="","",VLOOKUP(A240,'Débit - Abfluss'!$A$4:$Q$275,14,FALSE))</f>
        <v>TI-W 55</v>
      </c>
      <c r="AW240" s="768" t="str">
        <f>IF(VLOOKUP(A240,'Débit - Abfluss'!$A$4:$Q$275,15,FALSE)="","",VLOOKUP(A240,'Débit - Abfluss'!$A$4:$Q$275,15,FALSE))</f>
        <v>Luzzone</v>
      </c>
      <c r="AX240" s="679" t="str">
        <f>IF(VLOOKUP(A240,'Débit - Abfluss'!$A$4:$Q$275,16,FALSE)="","",VLOOKUP(A240,'Débit - Abfluss'!$A$4:$Q$275,16,FALSE))</f>
        <v/>
      </c>
      <c r="AY240" s="780" t="str">
        <f>IF(VLOOKUP(A240,'Débit - Abfluss'!$A$4:$Q$275,17,FALSE)="","",VLOOKUP(A240,'Débit - Abfluss'!$A$4:$Q$275,17,FALSE))</f>
        <v>81-100%</v>
      </c>
      <c r="AZ240" s="749" t="str">
        <f>IF(VLOOKUP(A240,'Eclusée - Schwall-Sunk'!$A$2:$F$273,5,FALSE)="","",VLOOKUP(A240,'Eclusée - Schwall-Sunk'!$A$2:$F$273,5,FALSE))</f>
        <v>force hydraulique</v>
      </c>
      <c r="BA240" s="750" t="str">
        <f>IF(VLOOKUP(A240,'Eclusée - Schwall-Sunk'!$A$2:$F$273,6,FALSE)="","",VLOOKUP(A240,'Eclusée - Schwall-Sunk'!$A$2:$F$273,6,FALSE))</f>
        <v>Non affecté / nicht betroffen</v>
      </c>
      <c r="BB240" s="751">
        <f>IF(VLOOKUP(A240,'Revitalisation-Revitalisierung'!$A$4:$Z$275,5,FALSE)="","",VLOOKUP(A240,'Revitalisation-Revitalisierung'!$A$4:$Z$275,5,FALSE))</f>
        <v>-1.8181818181818181</v>
      </c>
      <c r="BC240" s="752">
        <f>IF(VLOOKUP(A240,'Revitalisation-Revitalisierung'!$A$4:$Z$275,6,FALSE)="","",VLOOKUP(A240,'Revitalisation-Revitalisierung'!$A$4:$Z$275,6,FALSE))</f>
        <v>0</v>
      </c>
      <c r="BD240" s="752">
        <f>IF(VLOOKUP(A240,'Revitalisation-Revitalisierung'!$A$4:$Z$275,7,FALSE)="","",VLOOKUP(A240,'Revitalisation-Revitalisierung'!$A$4:$Z$275,7,FALSE))</f>
        <v>1.8181818181818181</v>
      </c>
      <c r="BE240" s="753" t="str">
        <f>IF(VLOOKUP(A240,'Revitalisation-Revitalisierung'!$A$4:$Z$275,8,FALSE)="","",VLOOKUP(A240,'Revitalisation-Revitalisierung'!$A$4:$Z$275,8,FALSE))</f>
        <v>non nécessaire</v>
      </c>
      <c r="BF240" s="754" t="str">
        <f>IF(VLOOKUP(A240,'Revitalisation-Revitalisierung'!$A$4:$Z$275,9,FALSE)="","",VLOOKUP(A240,'Revitalisation-Revitalisierung'!$A$4:$Z$275,9,FALSE))</f>
        <v>nicht nötig</v>
      </c>
      <c r="BG240" s="754" t="str">
        <f>IF(VLOOKUP(A240,'Revitalisation-Revitalisierung'!$A$4:$Z$275,10,FALSE)="","",VLOOKUP(A240,'Revitalisation-Revitalisierung'!$A$4:$Z$275,10,FALSE))</f>
        <v>K3</v>
      </c>
      <c r="BH240" s="755" t="str">
        <f>IF(VLOOKUP(A240,'Revitalisation-Revitalisierung'!$A$4:$Z$275,11,FALSE)="","",VLOOKUP(A240,'Revitalisation-Revitalisierung'!$A$4:$Z$275,11,FALSE))</f>
        <v/>
      </c>
      <c r="BI240" s="756" t="str">
        <f>IF(VLOOKUP(A240,'Revitalisation-Revitalisierung'!$A$4:$Z$275,12,FALSE)="","",VLOOKUP(A240,'Revitalisation-Revitalisierung'!$A$4:$Z$275,12,FALSE))</f>
        <v/>
      </c>
      <c r="BJ240" s="788" t="str">
        <f>IF(VLOOKUP(A240,'Revitalisation-Revitalisierung'!$A$4:$Z$275,13,FALSE)="","",VLOOKUP(A240,'Revitalisation-Revitalisierung'!$A$4:$Z$275,13,FALSE))</f>
        <v>Non nécessaire / nicht nötig</v>
      </c>
      <c r="BK240" s="870" t="str">
        <f>IF(VLOOKUP(A240,'Revitalisation-Revitalisierung'!$A$4:$Z$275,14,FALSE)="","",VLOOKUP(A240,'Revitalisation-Revitalisierung'!$A$4:$Z$275,14,FALSE))</f>
        <v>a</v>
      </c>
      <c r="BL240" s="758" t="str">
        <f>IF(VLOOKUP(A240,'Revitalisation-Revitalisierung'!$A$4:$Z$275,15,FALSE)="","",VLOOKUP(A240,'Revitalisation-Revitalisierung'!$A$4:$Z$275,15,FALSE))</f>
        <v>moyen</v>
      </c>
      <c r="BM240" s="759" t="str">
        <f>IF(VLOOKUP(A240,'Revitalisation-Revitalisierung'!$A$4:$Z$275,16,FALSE)="","",VLOOKUP(A240,'Revitalisation-Revitalisierung'!$A$4:$Z$275,16,FALSE))</f>
        <v>faible</v>
      </c>
      <c r="BN240" s="759" t="str">
        <f>IF(VLOOKUP(A240,'Revitalisation-Revitalisierung'!$A$4:$Z$275,17,FALSE)="","",VLOOKUP(A240,'Revitalisation-Revitalisierung'!$A$4:$Z$275,17,FALSE))</f>
        <v>nulle</v>
      </c>
      <c r="BO240" s="760" t="str">
        <f>IF(VLOOKUP(A240,'Revitalisation-Revitalisierung'!$A$4:$Z$275,18,FALSE)="","",VLOOKUP(A240,'Revitalisation-Revitalisierung'!$A$4:$Z$275,18,FALSE))</f>
        <v>Non nécessaire / nicht nötig</v>
      </c>
      <c r="BP240" s="761" t="str">
        <f>IF(VLOOKUP(A240,'Revitalisation-Revitalisierung'!$A$4:$Z$275,19,FALSE)="","",VLOOKUP(A240,'Revitalisation-Revitalisierung'!$A$4:$Z$275,19,FALSE))</f>
        <v>Non nécessaire / nicht nötig</v>
      </c>
      <c r="BQ240" s="759" t="str">
        <f>IF(VLOOKUP(A240,'Revitalisation-Revitalisierung'!$A$4:$Z$275,20,FALSE)="","",VLOOKUP(A240,'Revitalisation-Revitalisierung'!$A$4:$Z$275,20,FALSE))</f>
        <v>d</v>
      </c>
      <c r="BR240" s="759" t="str">
        <f>IF(VLOOKUP(A240,'Revitalisation-Revitalisierung'!$A$4:$Z$275,21,FALSE)="","",VLOOKUP(A240,'Revitalisation-Revitalisierung'!$A$4:$Z$275,21,FALSE))</f>
        <v/>
      </c>
      <c r="BS240" s="762" t="str">
        <f>IF(VLOOKUP(A240,'Revitalisation-Revitalisierung'!$A$4:$Z$275,22,FALSE)="","",VLOOKUP(A240,'Revitalisation-Revitalisierung'!$A$4:$Z$275,22,FALSE))</f>
        <v/>
      </c>
      <c r="BT240" s="700" t="str">
        <f>IF(VLOOKUP(A240,'Revitalisation-Revitalisierung'!$A$4:$Z$275,23,FALSE)="","",VLOOKUP(A240,'Revitalisation-Revitalisierung'!$A$4:$Z$275,23,FALSE))</f>
        <v/>
      </c>
      <c r="BU240" s="699" t="str">
        <f>IF(VLOOKUP(A240,'Revitalisation-Revitalisierung'!$A$4:$Z$275,24,FALSE)="","",VLOOKUP(A240,'Revitalisation-Revitalisierung'!$A$4:$Z$275,24,FALSE))</f>
        <v/>
      </c>
      <c r="BV240" s="761" t="str">
        <f>IF(VLOOKUP(A240,'Revitalisation-Revitalisierung'!$A$4:$Z$275,25,FALSE)="","",VLOOKUP(A240,'Revitalisation-Revitalisierung'!$A$4:$Z$275,25,FALSE))</f>
        <v>Non nécessaire / nicht nötig</v>
      </c>
      <c r="BW240" s="871" t="str">
        <f>IF(VLOOKUP(A240,'Revitalisation-Revitalisierung'!$A$4:$AA$275,27,FALSE)="","",VLOOKUP(A240,'Revitalisation-Revitalisierung'!$A$4:$AA$275,27,FALSE))</f>
        <v>a</v>
      </c>
    </row>
    <row r="241" spans="1:75" ht="66.599999999999994" customHeight="1" x14ac:dyDescent="0.25">
      <c r="A241" s="935">
        <v>362</v>
      </c>
      <c r="B241" s="856">
        <f>IF(VLOOKUP(A241,'Données de base - Grunddaten'!$A$2:$M$297,2,FALSE)="","",VLOOKUP(A241,'Données de base - Grunddaten'!$A$2:$M$297,2,FALSE))</f>
        <v>1</v>
      </c>
      <c r="C241" s="857" t="str">
        <f>IF(VLOOKUP(A241,'Données de base - Grunddaten'!$A$2:$M$297,3,FALSE)="","",VLOOKUP(A241,'Données de base - Grunddaten'!$A$2:$M$297,3,FALSE))</f>
        <v>Calnegia</v>
      </c>
      <c r="D241" s="857" t="str">
        <f>IF(VLOOKUP(A241,'Données de base - Grunddaten'!$A$2:$M$297,4,FALSE)="","",VLOOKUP(A241,'Données de base - Grunddaten'!$A$2:$M$297,4,FALSE))</f>
        <v>Fiume Calnegia</v>
      </c>
      <c r="E241" s="857" t="str">
        <f>IF(VLOOKUP(A241,'Données de base - Grunddaten'!$A$2:$M$297,5,FALSE)="","",VLOOKUP(A241,'Données de base - Grunddaten'!$A$2:$M$297,5,FALSE))</f>
        <v>TI</v>
      </c>
      <c r="F241" s="857" t="str">
        <f>IF(VLOOKUP(A241,'Données de base - Grunddaten'!$A$2:$M$297,6,FALSE)="","",VLOOKUP(A241,'Données de base - Grunddaten'!$A$2:$M$297,6,FALSE))</f>
        <v>Alpes méridionales</v>
      </c>
      <c r="G241" s="857" t="str">
        <f>IF(VLOOKUP(A241,'Données de base - Grunddaten'!$A$2:$M$297,7,FALSE)="","",VLOOKUP(A241,'Données de base - Grunddaten'!$A$2:$M$297,7,FALSE))</f>
        <v>Montagnard sup.</v>
      </c>
      <c r="H241" s="857">
        <f>IF(VLOOKUP(A241,'Données de base - Grunddaten'!$A$2:$M$297,8,FALSE)="","",VLOOKUP(A241,'Données de base - Grunddaten'!$A$2:$M$297,8,FALSE))</f>
        <v>1050</v>
      </c>
      <c r="I241" s="857">
        <f>IF(VLOOKUP(A241,'Données de base - Grunddaten'!$A$2:$M$297,9,FALSE)="","",VLOOKUP(A241,'Données de base - Grunddaten'!$A$2:$M$297,9,FALSE))</f>
        <v>2003</v>
      </c>
      <c r="J241" s="857">
        <f>IF(VLOOKUP(A241,'Données de base - Grunddaten'!$A$2:$M$297,10,FALSE)="","",VLOOKUP(A241,'Données de base - Grunddaten'!$A$2:$M$297,10,FALSE))</f>
        <v>41</v>
      </c>
      <c r="K241" s="857" t="str">
        <f>IF(VLOOKUP(A241,'Données de base - Grunddaten'!$A$2:$M$297,11,FALSE)="","",VLOOKUP(A241,'Données de base - Grunddaten'!$A$2:$M$297,11,FALSE))</f>
        <v>Cours d'eau naturels de l'étage montagnard</v>
      </c>
      <c r="L241" s="857" t="str">
        <f>IF(VLOOKUP(A241,'Données de base - Grunddaten'!$A$2:$M$297,12,FALSE)="","",VLOOKUP(A241,'Données de base - Grunddaten'!$A$2:$M$297,12,FALSE))</f>
        <v>en tresses</v>
      </c>
      <c r="M241" s="858" t="str">
        <f>IF(VLOOKUP(A241,'Données de base - Grunddaten'!$A$2:$M$297,13,FALSE)="","",VLOOKUP(A241,'Données de base - Grunddaten'!$A$2:$M$297,13,FALSE))</f>
        <v>en tresses</v>
      </c>
      <c r="N241" s="872" t="str">
        <f>IF(VLOOKUP(A241,'Charriage - Geschiebehaushalt'!$A$4:$R$275,5,FALSE)="","",VLOOKUP(A241,'Charriage - Geschiebehaushalt'!$A$4:$R$275,5,FALSE))</f>
        <v>pertinent</v>
      </c>
      <c r="O241" s="881" t="str">
        <f>IF(VLOOKUP(A241,'Charriage - Geschiebehaushalt'!$A$4:$R$275,6,FALSE)="","",VLOOKUP(A241,'Charriage - Geschiebehaushalt'!$A$4:$R$275,6,FALSE))</f>
        <v>non documenté</v>
      </c>
      <c r="P241" s="874" t="str">
        <f>IF(VLOOKUP(A241,'Charriage - Geschiebehaushalt'!$A$4:$R$275,7,FALSE)="","",VLOOKUP(A241,'Charriage - Geschiebehaushalt'!$A$4:$R$275,7,FALSE))</f>
        <v/>
      </c>
      <c r="Q241" s="874" t="str">
        <f>IF(VLOOKUP(A241,'Charriage - Geschiebehaushalt'!$A$4:$R$275,8,FALSE)="","",VLOOKUP(A241,'Charriage - Geschiebehaushalt'!$A$4:$R$275,8,FALSE))</f>
        <v>non documenté</v>
      </c>
      <c r="R241" s="875">
        <f>IF(VLOOKUP(A241,'Charriage - Geschiebehaushalt'!$A$4:$R$275,9,FALSE)="","",VLOOKUP(A241,'Charriage - Geschiebehaushalt'!$A$4:$R$275,9,FALSE))</f>
        <v>0</v>
      </c>
      <c r="S241" s="876" t="str">
        <f>IF(VLOOKUP(A241,'Charriage - Geschiebehaushalt'!$A$4:$R$275,10,FALSE)="","",VLOOKUP(A241,'Charriage - Geschiebehaushalt'!$A$4:$R$275,10,FALSE))</f>
        <v>pas ou faiblement entravé</v>
      </c>
      <c r="T241" s="875">
        <f>IF(VLOOKUP(A241,'Charriage - Geschiebehaushalt'!$A$4:$R$275,11,FALSE)="","",VLOOKUP(A241,'Charriage - Geschiebehaushalt'!$A$4:$R$275,11,FALSE))</f>
        <v>8.5933357202999994E-2</v>
      </c>
      <c r="U241" s="876" t="str">
        <f>IF(VLOOKUP(A241,'Charriage - Geschiebehaushalt'!$A$4:$R$275,12,FALSE)="","",VLOOKUP(A241,'Charriage - Geschiebehaushalt'!$A$4:$R$275,12,FALSE))</f>
        <v>déficit dans les formations pionnières</v>
      </c>
      <c r="V241" s="877" t="str">
        <f>IF(VLOOKUP(A241,'Charriage - Geschiebehaushalt'!$A$4:$R$275,13,FALSE)="","",VLOOKUP(A241,'Charriage - Geschiebehaushalt'!$A$4:$R$275,13,FALSE))</f>
        <v>Système d'altitude naturel, gros sédiments, charriage actif</v>
      </c>
      <c r="W241" s="878" t="str">
        <f>IF(VLOOKUP(A241,'Charriage - Geschiebehaushalt'!$A$4:$R$275,14,FALSE)="","",VLOOKUP(A241,'Charriage - Geschiebehaushalt'!$A$4:$R$275,14,FALSE))</f>
        <v>charriage présumé naturel</v>
      </c>
      <c r="X241" s="878" t="str">
        <f>IF(VLOOKUP(A241,'Charriage - Geschiebehaushalt'!$A$4:$R$275,15,FALSE)="","",VLOOKUP(A241,'Charriage - Geschiebehaushalt'!$A$4:$R$275,15,FALSE))</f>
        <v/>
      </c>
      <c r="Y241" s="882" t="str">
        <f>IF(VLOOKUP(A241,'Charriage - Geschiebehaushalt'!$A$4:$R$275,16,FALSE)="","",VLOOKUP(A241,'Charriage - Geschiebehaushalt'!$A$4:$R$275,16,FALSE))</f>
        <v/>
      </c>
      <c r="Z241" s="763" t="str">
        <f>IF(VLOOKUP(A241,'Charriage - Geschiebehaushalt'!$A$4:$R$275,17,FALSE)="","",VLOOKUP(A241,'Charriage - Geschiebehaushalt'!$A$4:$R$275,17,FALSE))</f>
        <v>Charriage présumé naturel / Geschiebehaushalt vermutlich natürlich</v>
      </c>
      <c r="AA241" s="880" t="str">
        <f>IF(VLOOKUP(A241,'Charriage - Geschiebehaushalt'!$A$4:$R$275,18,FALSE)="","",VLOOKUP(A241,'Charriage - Geschiebehaushalt'!$A$4:$R$275,18,FALSE))</f>
        <v>b</v>
      </c>
      <c r="AB241" s="737" t="str">
        <f>IF(VLOOKUP(A241,'Charriage - Geschiebehaushalt'!$A$4:$AC$275,19,FALSE)="","",VLOOKUP(A241,'Charriage - Geschiebehaushalt'!$A$4:$AC$275,19,FALSE))</f>
        <v>non évalué</v>
      </c>
      <c r="AC241" s="738" t="str">
        <f>IF(VLOOKUP(A241,'Charriage - Geschiebehaushalt'!$A$4:$AC$275,20,FALSE)="","",VLOOKUP(A241,'Charriage - Geschiebehaushalt'!$A$4:$AC$275,20,FALSE))</f>
        <v>non évalué</v>
      </c>
      <c r="AD241" s="764" t="str">
        <f>IF(VLOOKUP(A241,'Charriage - Geschiebehaushalt'!$A$4:$AC$275,21,FALSE)="","",VLOOKUP(A241,'Charriage - Geschiebehaushalt'!$A$4:$AC$275,21,FALSE))</f>
        <v/>
      </c>
      <c r="AE241" s="740" t="str">
        <f>IF(VLOOKUP(A241,'Charriage - Geschiebehaushalt'!$A$4:$AC$275,22,FALSE)="","",VLOOKUP(A241,'Charriage - Geschiebehaushalt'!$A$4:$AC$275,22,FALSE))</f>
        <v>0-20%</v>
      </c>
      <c r="AF241" s="904" t="str">
        <f>IF(VLOOKUP(A241,'Charriage - Geschiebehaushalt'!$A$4:$AC$275,23,FALSE)="","",VLOOKUP(A241,'Charriage - Geschiebehaushalt'!$A$4:$AC$275,23,FALSE))</f>
        <v>b</v>
      </c>
      <c r="AG241" s="765" t="str">
        <f>IF(VLOOKUP(A241,'Charriage - Geschiebehaushalt'!$A$4:$AC$275,24,FALSE)="","",VLOOKUP(A241,'Charriage - Geschiebehaushalt'!$A$4:$AC$275,24,FALSE))</f>
        <v/>
      </c>
      <c r="AH241" s="764" t="str">
        <f>IF(VLOOKUP(A241,'Charriage - Geschiebehaushalt'!$A$4:$AC$275,25,FALSE)="","",VLOOKUP(A241,'Charriage - Geschiebehaushalt'!$A$4:$AC$275,25,FALSE))</f>
        <v/>
      </c>
      <c r="AI241" s="441" t="str">
        <f>IF(VLOOKUP(A241,'Charriage - Geschiebehaushalt'!$A$4:$AC$275,26,FALSE)="","",VLOOKUP(A241,'Charriage - Geschiebehaushalt'!$A$4:$AC$275,26,FALSE))</f>
        <v/>
      </c>
      <c r="AJ241" s="434" t="str">
        <f>IF(VLOOKUP(A241,'Charriage - Geschiebehaushalt'!$A$4:$AC$275,27,FALSE)="","",VLOOKUP(A241,'Charriage - Geschiebehaushalt'!$A$4:$AC$275,27,FALSE))</f>
        <v/>
      </c>
      <c r="AK241" s="801" t="str">
        <f>IF(VLOOKUP(A241,'Charriage - Geschiebehaushalt'!$A$4:$AC$275,28,FALSE)="","",VLOOKUP(A241,'Charriage - Geschiebehaushalt'!$A$4:$AC$275,28,FALSE))</f>
        <v>0-20%</v>
      </c>
      <c r="AL241" s="1285" t="str">
        <f>IF(VLOOKUP(A241,'Charriage - Geschiebehaushalt'!$A$4:$AD$275,30,FALSE)="","",VLOOKUP(A241,'Charriage - Geschiebehaushalt'!$A$4:$AD$275,30,FALSE))</f>
        <v>b</v>
      </c>
      <c r="AM241" s="1279" t="str">
        <f>IF(VLOOKUP(A241,'Débit - Abfluss'!$A$4:$K$275,5,FALSE)="","",VLOOKUP(A241,'Débit - Abfluss'!$A$4:$M$275,5,FALSE))</f>
        <v>100%</v>
      </c>
      <c r="AN241" s="868" t="str">
        <f>IF(VLOOKUP(A241,'Débit - Abfluss'!$A$4:$K$275,6,FALSE)="","",VLOOKUP(A241,'Débit - Abfluss'!$A$4:$M$275,6,FALSE))</f>
        <v>aucune information supplémentaire</v>
      </c>
      <c r="AO241" s="869" t="str">
        <f>IF(VLOOKUP(A241,'Débit - Abfluss'!$A$4:$K$275,7,FALSE)="","",VLOOKUP(A241,'Débit - Abfluss'!$A$4:$M$275,7,FALSE))</f>
        <v>aucune information supplémentaire</v>
      </c>
      <c r="AP241" s="766" t="str">
        <f>IF(VLOOKUP(A241,'Débit - Abfluss'!$A$4:$K$275,8,FALSE)="","",VLOOKUP(A241,'Débit - Abfluss'!$A$4:$M$275,8,FALSE))</f>
        <v>100%</v>
      </c>
      <c r="AQ241" s="742" t="str">
        <f>IF(VLOOKUP(A241,'Débit - Abfluss'!$A$4:$K$275,9,FALSE)="","",VLOOKUP(A241,'Débit - Abfluss'!$A$4:$M$275,9,FALSE))</f>
        <v>-</v>
      </c>
      <c r="AR241" s="767" t="str">
        <f>IF(VLOOKUP(A241,'Débit - Abfluss'!$A$4:$K$275,10,FALSE)="","",VLOOKUP(A241,'Débit - Abfluss'!$A$4:$M$275,10,FALSE))</f>
        <v>100%</v>
      </c>
      <c r="AS241" s="767" t="str">
        <f>IF(VLOOKUP(A241,'Débit - Abfluss'!$A$4:$K$275,11,FALSE)="","",VLOOKUP(A241,'Débit - Abfluss'!$A$4:$M$275,11,FALSE))</f>
        <v/>
      </c>
      <c r="AT241" s="744" t="str">
        <f>IF(VLOOKUP(A241,'Débit - Abfluss'!$A$4:$Q$275,12,FALSE)="","",VLOOKUP(A241,'Débit - Abfluss'!$A$4:$Q$275,12,FALSE))</f>
        <v/>
      </c>
      <c r="AU241" s="745" t="str">
        <f>IF(VLOOKUP(A241,'Débit - Abfluss'!$A$4:$Q$275,13,FALSE)="","",VLOOKUP(A241,'Débit - Abfluss'!$A$4:$Q$275,13,FALSE))</f>
        <v/>
      </c>
      <c r="AV241" s="746" t="str">
        <f>IF(VLOOKUP(A241,'Débit - Abfluss'!$A$4:$Q$275,14,FALSE)="","",VLOOKUP(A241,'Débit - Abfluss'!$A$4:$Q$275,14,FALSE))</f>
        <v/>
      </c>
      <c r="AW241" s="768" t="str">
        <f>IF(VLOOKUP(A241,'Débit - Abfluss'!$A$4:$Q$275,15,FALSE)="","",VLOOKUP(A241,'Débit - Abfluss'!$A$4:$Q$275,15,FALSE))</f>
        <v/>
      </c>
      <c r="AX241" s="679" t="str">
        <f>IF(VLOOKUP(A241,'Débit - Abfluss'!$A$4:$Q$275,16,FALSE)="","",VLOOKUP(A241,'Débit - Abfluss'!$A$4:$Q$275,16,FALSE))</f>
        <v/>
      </c>
      <c r="AY241" s="769" t="str">
        <f>IF(VLOOKUP(A241,'Débit - Abfluss'!$A$4:$Q$275,17,FALSE)="","",VLOOKUP(A241,'Débit - Abfluss'!$A$4:$Q$275,17,FALSE))</f>
        <v>100%</v>
      </c>
      <c r="AZ241" s="749" t="str">
        <f>IF(VLOOKUP(A241,'Eclusée - Schwall-Sunk'!$A$2:$F$273,5,FALSE)="","",VLOOKUP(A241,'Eclusée - Schwall-Sunk'!$A$2:$F$273,5,FALSE))</f>
        <v/>
      </c>
      <c r="BA241" s="750" t="str">
        <f>IF(VLOOKUP(A241,'Eclusée - Schwall-Sunk'!$A$2:$F$273,6,FALSE)="","",VLOOKUP(A241,'Eclusée - Schwall-Sunk'!$A$2:$F$273,6,FALSE))</f>
        <v>Non affecté / nicht betroffen</v>
      </c>
      <c r="BB241" s="751">
        <f>IF(VLOOKUP(A241,'Revitalisation-Revitalisierung'!$A$4:$Z$275,5,FALSE)="","",VLOOKUP(A241,'Revitalisation-Revitalisierung'!$A$4:$Z$275,5,FALSE))</f>
        <v>0</v>
      </c>
      <c r="BC241" s="752">
        <f>IF(VLOOKUP(A241,'Revitalisation-Revitalisierung'!$A$4:$Z$275,6,FALSE)="","",VLOOKUP(A241,'Revitalisation-Revitalisierung'!$A$4:$Z$275,6,FALSE))</f>
        <v>0</v>
      </c>
      <c r="BD241" s="752">
        <f>IF(VLOOKUP(A241,'Revitalisation-Revitalisierung'!$A$4:$Z$275,7,FALSE)="","",VLOOKUP(A241,'Revitalisation-Revitalisierung'!$A$4:$Z$275,7,FALSE))</f>
        <v>0</v>
      </c>
      <c r="BE241" s="753" t="str">
        <f>IF(VLOOKUP(A241,'Revitalisation-Revitalisierung'!$A$4:$Z$275,8,FALSE)="","",VLOOKUP(A241,'Revitalisation-Revitalisierung'!$A$4:$Z$275,8,FALSE))</f>
        <v>non nécessaire</v>
      </c>
      <c r="BF241" s="754" t="str">
        <f>IF(VLOOKUP(A241,'Revitalisation-Revitalisierung'!$A$4:$Z$275,9,FALSE)="","",VLOOKUP(A241,'Revitalisation-Revitalisierung'!$A$4:$Z$275,9,FALSE))</f>
        <v>nicht nötig</v>
      </c>
      <c r="BG241" s="754" t="str">
        <f>IF(VLOOKUP(A241,'Revitalisation-Revitalisierung'!$A$4:$Z$275,10,FALSE)="","",VLOOKUP(A241,'Revitalisation-Revitalisierung'!$A$4:$Z$275,10,FALSE))</f>
        <v>K3</v>
      </c>
      <c r="BH241" s="755" t="str">
        <f>IF(VLOOKUP(A241,'Revitalisation-Revitalisierung'!$A$4:$Z$275,11,FALSE)="","",VLOOKUP(A241,'Revitalisation-Revitalisierung'!$A$4:$Z$275,11,FALSE))</f>
        <v/>
      </c>
      <c r="BI241" s="756" t="str">
        <f>IF(VLOOKUP(A241,'Revitalisation-Revitalisierung'!$A$4:$Z$275,12,FALSE)="","",VLOOKUP(A241,'Revitalisation-Revitalisierung'!$A$4:$Z$275,12,FALSE))</f>
        <v/>
      </c>
      <c r="BJ241" s="788" t="str">
        <f>IF(VLOOKUP(A241,'Revitalisation-Revitalisierung'!$A$4:$Z$275,13,FALSE)="","",VLOOKUP(A241,'Revitalisation-Revitalisierung'!$A$4:$Z$275,13,FALSE))</f>
        <v>Non nécessaire / nicht nötig</v>
      </c>
      <c r="BK241" s="870" t="str">
        <f>IF(VLOOKUP(A241,'Revitalisation-Revitalisierung'!$A$4:$Z$275,14,FALSE)="","",VLOOKUP(A241,'Revitalisation-Revitalisierung'!$A$4:$Z$275,14,FALSE))</f>
        <v>a</v>
      </c>
      <c r="BL241" s="758" t="str">
        <f>IF(VLOOKUP(A241,'Revitalisation-Revitalisierung'!$A$4:$Z$275,15,FALSE)="","",VLOOKUP(A241,'Revitalisation-Revitalisierung'!$A$4:$Z$275,15,FALSE))</f>
        <v>moyen</v>
      </c>
      <c r="BM241" s="759" t="str">
        <f>IF(VLOOKUP(A241,'Revitalisation-Revitalisierung'!$A$4:$Z$275,16,FALSE)="","",VLOOKUP(A241,'Revitalisation-Revitalisierung'!$A$4:$Z$275,16,FALSE))</f>
        <v>faible</v>
      </c>
      <c r="BN241" s="759" t="str">
        <f>IF(VLOOKUP(A241,'Revitalisation-Revitalisierung'!$A$4:$Z$275,17,FALSE)="","",VLOOKUP(A241,'Revitalisation-Revitalisierung'!$A$4:$Z$275,17,FALSE))</f>
        <v>nulle</v>
      </c>
      <c r="BO241" s="760" t="str">
        <f>IF(VLOOKUP(A241,'Revitalisation-Revitalisierung'!$A$4:$Z$275,18,FALSE)="","",VLOOKUP(A241,'Revitalisation-Revitalisierung'!$A$4:$Z$275,18,FALSE))</f>
        <v>Non nécessaire / nicht nötig</v>
      </c>
      <c r="BP241" s="761" t="str">
        <f>IF(VLOOKUP(A241,'Revitalisation-Revitalisierung'!$A$4:$Z$275,19,FALSE)="","",VLOOKUP(A241,'Revitalisation-Revitalisierung'!$A$4:$Z$275,19,FALSE))</f>
        <v>Non nécessaire / nicht nötig</v>
      </c>
      <c r="BQ241" s="759" t="str">
        <f>IF(VLOOKUP(A241,'Revitalisation-Revitalisierung'!$A$4:$Z$275,20,FALSE)="","",VLOOKUP(A241,'Revitalisation-Revitalisierung'!$A$4:$Z$275,20,FALSE))</f>
        <v>d</v>
      </c>
      <c r="BR241" s="759" t="str">
        <f>IF(VLOOKUP(A241,'Revitalisation-Revitalisierung'!$A$4:$Z$275,21,FALSE)="","",VLOOKUP(A241,'Revitalisation-Revitalisierung'!$A$4:$Z$275,21,FALSE))</f>
        <v/>
      </c>
      <c r="BS241" s="762" t="str">
        <f>IF(VLOOKUP(A241,'Revitalisation-Revitalisierung'!$A$4:$Z$275,22,FALSE)="","",VLOOKUP(A241,'Revitalisation-Revitalisierung'!$A$4:$Z$275,22,FALSE))</f>
        <v/>
      </c>
      <c r="BT241" s="700" t="str">
        <f>IF(VLOOKUP(A241,'Revitalisation-Revitalisierung'!$A$4:$Z$275,23,FALSE)="","",VLOOKUP(A241,'Revitalisation-Revitalisierung'!$A$4:$Z$275,23,FALSE))</f>
        <v/>
      </c>
      <c r="BU241" s="699" t="str">
        <f>IF(VLOOKUP(A241,'Revitalisation-Revitalisierung'!$A$4:$Z$275,24,FALSE)="","",VLOOKUP(A241,'Revitalisation-Revitalisierung'!$A$4:$Z$275,24,FALSE))</f>
        <v/>
      </c>
      <c r="BV241" s="761" t="str">
        <f>IF(VLOOKUP(A241,'Revitalisation-Revitalisierung'!$A$4:$Z$275,25,FALSE)="","",VLOOKUP(A241,'Revitalisation-Revitalisierung'!$A$4:$Z$275,25,FALSE))</f>
        <v>Non nécessaire / nicht nötig</v>
      </c>
      <c r="BW241" s="871" t="str">
        <f>IF(VLOOKUP(A241,'Revitalisation-Revitalisierung'!$A$4:$AA$275,27,FALSE)="","",VLOOKUP(A241,'Revitalisation-Revitalisierung'!$A$4:$AA$275,27,FALSE))</f>
        <v>a</v>
      </c>
    </row>
    <row r="242" spans="1:75" ht="96" customHeight="1" x14ac:dyDescent="0.25">
      <c r="A242" s="935">
        <v>363</v>
      </c>
      <c r="B242" s="856">
        <f>IF(VLOOKUP(A242,'Données de base - Grunddaten'!$A$2:$M$297,2,FALSE)="","",VLOOKUP(A242,'Données de base - Grunddaten'!$A$2:$M$297,2,FALSE))</f>
        <v>1</v>
      </c>
      <c r="C242" s="857" t="str">
        <f>IF(VLOOKUP(A242,'Données de base - Grunddaten'!$A$2:$M$297,3,FALSE)="","",VLOOKUP(A242,'Données de base - Grunddaten'!$A$2:$M$297,3,FALSE))</f>
        <v>Mött di Tirman</v>
      </c>
      <c r="D242" s="857" t="str">
        <f>IF(VLOOKUP(A242,'Données de base - Grunddaten'!$A$2:$M$297,4,FALSE)="","",VLOOKUP(A242,'Données de base - Grunddaten'!$A$2:$M$297,4,FALSE))</f>
        <v>Rio Colobiasca</v>
      </c>
      <c r="E242" s="857" t="str">
        <f>IF(VLOOKUP(A242,'Données de base - Grunddaten'!$A$2:$M$297,5,FALSE)="","",VLOOKUP(A242,'Données de base - Grunddaten'!$A$2:$M$297,5,FALSE))</f>
        <v>TI</v>
      </c>
      <c r="F242" s="857" t="str">
        <f>IF(VLOOKUP(A242,'Données de base - Grunddaten'!$A$2:$M$297,6,FALSE)="","",VLOOKUP(A242,'Données de base - Grunddaten'!$A$2:$M$297,6,FALSE))</f>
        <v>Alpes méridionales</v>
      </c>
      <c r="G242" s="857" t="str">
        <f>IF(VLOOKUP(A242,'Données de base - Grunddaten'!$A$2:$M$297,7,FALSE)="","",VLOOKUP(A242,'Données de base - Grunddaten'!$A$2:$M$297,7,FALSE))</f>
        <v>Subalpin inf.</v>
      </c>
      <c r="H242" s="857">
        <f>IF(VLOOKUP(A242,'Données de base - Grunddaten'!$A$2:$M$297,8,FALSE)="","",VLOOKUP(A242,'Données de base - Grunddaten'!$A$2:$M$297,8,FALSE))</f>
        <v>1380</v>
      </c>
      <c r="I242" s="857">
        <f>IF(VLOOKUP(A242,'Données de base - Grunddaten'!$A$2:$M$297,9,FALSE)="","",VLOOKUP(A242,'Données de base - Grunddaten'!$A$2:$M$297,9,FALSE))</f>
        <v>2003</v>
      </c>
      <c r="J242" s="857">
        <f>IF(VLOOKUP(A242,'Données de base - Grunddaten'!$A$2:$M$297,10,FALSE)="","",VLOOKUP(A242,'Données de base - Grunddaten'!$A$2:$M$297,10,FALSE))</f>
        <v>31</v>
      </c>
      <c r="K242" s="857" t="str">
        <f>IF(VLOOKUP(A242,'Données de base - Grunddaten'!$A$2:$M$297,11,FALSE)="","",VLOOKUP(A242,'Données de base - Grunddaten'!$A$2:$M$297,11,FALSE))</f>
        <v>Cours d'eau naturels de l'étage subalpin</v>
      </c>
      <c r="L242" s="857" t="str">
        <f>IF(VLOOKUP(A242,'Données de base - Grunddaten'!$A$2:$M$297,12,FALSE)="","",VLOOKUP(A242,'Données de base - Grunddaten'!$A$2:$M$297,12,FALSE))</f>
        <v>en tresses</v>
      </c>
      <c r="M242" s="858" t="str">
        <f>IF(VLOOKUP(A242,'Données de base - Grunddaten'!$A$2:$M$297,13,FALSE)="","",VLOOKUP(A242,'Données de base - Grunddaten'!$A$2:$M$297,13,FALSE))</f>
        <v>en tresses</v>
      </c>
      <c r="N242" s="872" t="str">
        <f>IF(VLOOKUP(A242,'Charriage - Geschiebehaushalt'!$A$4:$R$275,5,FALSE)="","",VLOOKUP(A242,'Charriage - Geschiebehaushalt'!$A$4:$R$275,5,FALSE))</f>
        <v>pertinent</v>
      </c>
      <c r="O242" s="881" t="str">
        <f>IF(VLOOKUP(A242,'Charriage - Geschiebehaushalt'!$A$4:$R$275,6,FALSE)="","",VLOOKUP(A242,'Charriage - Geschiebehaushalt'!$A$4:$R$275,6,FALSE))</f>
        <v>non documenté</v>
      </c>
      <c r="P242" s="874" t="str">
        <f>IF(VLOOKUP(A242,'Charriage - Geschiebehaushalt'!$A$4:$R$275,7,FALSE)="","",VLOOKUP(A242,'Charriage - Geschiebehaushalt'!$A$4:$R$275,7,FALSE))</f>
        <v/>
      </c>
      <c r="Q242" s="874" t="str">
        <f>IF(VLOOKUP(A242,'Charriage - Geschiebehaushalt'!$A$4:$R$275,8,FALSE)="","",VLOOKUP(A242,'Charriage - Geschiebehaushalt'!$A$4:$R$275,8,FALSE))</f>
        <v>non documenté</v>
      </c>
      <c r="R242" s="875">
        <f>IF(VLOOKUP(A242,'Charriage - Geschiebehaushalt'!$A$4:$R$275,9,FALSE)="","",VLOOKUP(A242,'Charriage - Geschiebehaushalt'!$A$4:$R$275,9,FALSE))</f>
        <v>0.107788109378836</v>
      </c>
      <c r="S242" s="876" t="str">
        <f>IF(VLOOKUP(A242,'Charriage - Geschiebehaushalt'!$A$4:$R$275,10,FALSE)="","",VLOOKUP(A242,'Charriage - Geschiebehaushalt'!$A$4:$R$275,10,FALSE))</f>
        <v>pas ou faiblement entravé</v>
      </c>
      <c r="T242" s="875">
        <f>IF(VLOOKUP(A242,'Charriage - Geschiebehaushalt'!$A$4:$R$275,11,FALSE)="","",VLOOKUP(A242,'Charriage - Geschiebehaushalt'!$A$4:$R$275,11,FALSE))</f>
        <v>0.38333989254</v>
      </c>
      <c r="U242" s="895" t="str">
        <f>IF(VLOOKUP(A242,'Charriage - Geschiebehaushalt'!$A$4:$R$275,12,FALSE)="","",VLOOKUP(A242,'Charriage - Geschiebehaushalt'!$A$4:$R$275,12,FALSE))</f>
        <v>déficit non apparent en charriage ou en remobilisation des sédiments</v>
      </c>
      <c r="V242" s="877" t="str">
        <f>IF(VLOOKUP(A242,'Charriage - Geschiebehaushalt'!$A$4:$R$275,13,FALSE)="","",VLOOKUP(A242,'Charriage - Geschiebehaushalt'!$A$4:$R$275,13,FALSE))</f>
        <v/>
      </c>
      <c r="W242" s="877" t="str">
        <f>IF(VLOOKUP(A242,'Charriage - Geschiebehaushalt'!$A$4:$R$275,14,FALSE)="","",VLOOKUP(A242,'Charriage - Geschiebehaushalt'!$A$4:$R$275,14,FALSE))</f>
        <v/>
      </c>
      <c r="X242" s="877" t="str">
        <f>IF(VLOOKUP(A242,'Charriage - Geschiebehaushalt'!$A$4:$R$275,15,FALSE)="","",VLOOKUP(A242,'Charriage - Geschiebehaushalt'!$A$4:$R$275,15,FALSE))</f>
        <v/>
      </c>
      <c r="Y242" s="879" t="str">
        <f>IF(VLOOKUP(A242,'Charriage - Geschiebehaushalt'!$A$4:$R$275,16,FALSE)="","",VLOOKUP(A242,'Charriage - Geschiebehaushalt'!$A$4:$R$275,16,FALSE))</f>
        <v/>
      </c>
      <c r="Z242" s="763" t="str">
        <f>IF(VLOOKUP(A242,'Charriage - Geschiebehaushalt'!$A$4:$R$275,17,FALSE)="","",VLOOKUP(A242,'Charriage - Geschiebehaushalt'!$A$4:$R$275,17,FALSE))</f>
        <v>Déficit non apparent en charriage ou en remobilisation des sédiments / kein sichtbares Defizit beim Geschiebehaushalt bzw. bei der Mobilisierung von Geschiebe</v>
      </c>
      <c r="AA242" s="880" t="str">
        <f>IF(VLOOKUP(A242,'Charriage - Geschiebehaushalt'!$A$4:$R$275,18,FALSE)="","",VLOOKUP(A242,'Charriage - Geschiebehaushalt'!$A$4:$R$275,18,FALSE))</f>
        <v>b</v>
      </c>
      <c r="AB242" s="737" t="str">
        <f>IF(VLOOKUP(A242,'Charriage - Geschiebehaushalt'!$A$4:$AC$275,19,FALSE)="","",VLOOKUP(A242,'Charriage - Geschiebehaushalt'!$A$4:$AC$275,19,FALSE))</f>
        <v>non évalué</v>
      </c>
      <c r="AC242" s="738" t="str">
        <f>IF(VLOOKUP(A242,'Charriage - Geschiebehaushalt'!$A$4:$AC$275,20,FALSE)="","",VLOOKUP(A242,'Charriage - Geschiebehaushalt'!$A$4:$AC$275,20,FALSE))</f>
        <v>non évalué</v>
      </c>
      <c r="AD242" s="764" t="str">
        <f>IF(VLOOKUP(A242,'Charriage - Geschiebehaushalt'!$A$4:$AC$275,21,FALSE)="","",VLOOKUP(A242,'Charriage - Geschiebehaushalt'!$A$4:$AC$275,21,FALSE))</f>
        <v/>
      </c>
      <c r="AE242" s="740" t="str">
        <f>IF(VLOOKUP(A242,'Charriage - Geschiebehaushalt'!$A$4:$AC$275,22,FALSE)="","",VLOOKUP(A242,'Charriage - Geschiebehaushalt'!$A$4:$AC$275,22,FALSE))</f>
        <v>0-20%</v>
      </c>
      <c r="AF242" s="904" t="str">
        <f>IF(VLOOKUP(A242,'Charriage - Geschiebehaushalt'!$A$4:$AC$275,23,FALSE)="","",VLOOKUP(A242,'Charriage - Geschiebehaushalt'!$A$4:$AC$275,23,FALSE))</f>
        <v>b</v>
      </c>
      <c r="AG242" s="765" t="str">
        <f>IF(VLOOKUP(A242,'Charriage - Geschiebehaushalt'!$A$4:$AC$275,24,FALSE)="","",VLOOKUP(A242,'Charriage - Geschiebehaushalt'!$A$4:$AC$275,24,FALSE))</f>
        <v/>
      </c>
      <c r="AH242" s="764" t="str">
        <f>IF(VLOOKUP(A242,'Charriage - Geschiebehaushalt'!$A$4:$AC$275,25,FALSE)="","",VLOOKUP(A242,'Charriage - Geschiebehaushalt'!$A$4:$AC$275,25,FALSE))</f>
        <v/>
      </c>
      <c r="AI242" s="441" t="str">
        <f>IF(VLOOKUP(A242,'Charriage - Geschiebehaushalt'!$A$4:$AC$275,26,FALSE)="","",VLOOKUP(A242,'Charriage - Geschiebehaushalt'!$A$4:$AC$275,26,FALSE))</f>
        <v/>
      </c>
      <c r="AJ242" s="434" t="str">
        <f>IF(VLOOKUP(A242,'Charriage - Geschiebehaushalt'!$A$4:$AC$275,27,FALSE)="","",VLOOKUP(A242,'Charriage - Geschiebehaushalt'!$A$4:$AC$275,27,FALSE))</f>
        <v/>
      </c>
      <c r="AK242" s="801" t="str">
        <f>IF(VLOOKUP(A242,'Charriage - Geschiebehaushalt'!$A$4:$AC$275,28,FALSE)="","",VLOOKUP(A242,'Charriage - Geschiebehaushalt'!$A$4:$AC$275,28,FALSE))</f>
        <v>0-20%</v>
      </c>
      <c r="AL242" s="1285" t="str">
        <f>IF(VLOOKUP(A242,'Charriage - Geschiebehaushalt'!$A$4:$AD$275,30,FALSE)="","",VLOOKUP(A242,'Charriage - Geschiebehaushalt'!$A$4:$AD$275,30,FALSE))</f>
        <v>b</v>
      </c>
      <c r="AM242" s="1279" t="str">
        <f>IF(VLOOKUP(A242,'Débit - Abfluss'!$A$4:$K$275,5,FALSE)="","",VLOOKUP(A242,'Débit - Abfluss'!$A$4:$M$275,5,FALSE))</f>
        <v>100%</v>
      </c>
      <c r="AN242" s="868" t="str">
        <f>IF(VLOOKUP(A242,'Débit - Abfluss'!$A$4:$K$275,6,FALSE)="","",VLOOKUP(A242,'Débit - Abfluss'!$A$4:$M$275,6,FALSE))</f>
        <v>aucune information supplémentaire</v>
      </c>
      <c r="AO242" s="869" t="str">
        <f>IF(VLOOKUP(A242,'Débit - Abfluss'!$A$4:$K$275,7,FALSE)="","",VLOOKUP(A242,'Débit - Abfluss'!$A$4:$M$275,7,FALSE))</f>
        <v>aucune information supplémentaire</v>
      </c>
      <c r="AP242" s="766" t="str">
        <f>IF(VLOOKUP(A242,'Débit - Abfluss'!$A$4:$K$275,8,FALSE)="","",VLOOKUP(A242,'Débit - Abfluss'!$A$4:$M$275,8,FALSE))</f>
        <v>100%</v>
      </c>
      <c r="AQ242" s="742" t="str">
        <f>IF(VLOOKUP(A242,'Débit - Abfluss'!$A$4:$K$275,9,FALSE)="","",VLOOKUP(A242,'Débit - Abfluss'!$A$4:$M$275,9,FALSE))</f>
        <v>-</v>
      </c>
      <c r="AR242" s="767" t="str">
        <f>IF(VLOOKUP(A242,'Débit - Abfluss'!$A$4:$K$275,10,FALSE)="","",VLOOKUP(A242,'Débit - Abfluss'!$A$4:$M$275,10,FALSE))</f>
        <v>100%</v>
      </c>
      <c r="AS242" s="767" t="str">
        <f>IF(VLOOKUP(A242,'Débit - Abfluss'!$A$4:$K$275,11,FALSE)="","",VLOOKUP(A242,'Débit - Abfluss'!$A$4:$M$275,11,FALSE))</f>
        <v/>
      </c>
      <c r="AT242" s="744" t="str">
        <f>IF(VLOOKUP(A242,'Débit - Abfluss'!$A$4:$Q$275,12,FALSE)="","",VLOOKUP(A242,'Débit - Abfluss'!$A$4:$Q$275,12,FALSE))</f>
        <v/>
      </c>
      <c r="AU242" s="745" t="str">
        <f>IF(VLOOKUP(A242,'Débit - Abfluss'!$A$4:$Q$275,13,FALSE)="","",VLOOKUP(A242,'Débit - Abfluss'!$A$4:$Q$275,13,FALSE))</f>
        <v/>
      </c>
      <c r="AV242" s="746" t="str">
        <f>IF(VLOOKUP(A242,'Débit - Abfluss'!$A$4:$Q$275,14,FALSE)="","",VLOOKUP(A242,'Débit - Abfluss'!$A$4:$Q$275,14,FALSE))</f>
        <v/>
      </c>
      <c r="AW242" s="768" t="str">
        <f>IF(VLOOKUP(A242,'Débit - Abfluss'!$A$4:$Q$275,15,FALSE)="","",VLOOKUP(A242,'Débit - Abfluss'!$A$4:$Q$275,15,FALSE))</f>
        <v/>
      </c>
      <c r="AX242" s="679" t="str">
        <f>IF(VLOOKUP(A242,'Débit - Abfluss'!$A$4:$Q$275,16,FALSE)="","",VLOOKUP(A242,'Débit - Abfluss'!$A$4:$Q$275,16,FALSE))</f>
        <v/>
      </c>
      <c r="AY242" s="769" t="str">
        <f>IF(VLOOKUP(A242,'Débit - Abfluss'!$A$4:$Q$275,17,FALSE)="","",VLOOKUP(A242,'Débit - Abfluss'!$A$4:$Q$275,17,FALSE))</f>
        <v>100%</v>
      </c>
      <c r="AZ242" s="749" t="str">
        <f>IF(VLOOKUP(A242,'Eclusée - Schwall-Sunk'!$A$2:$F$273,5,FALSE)="","",VLOOKUP(A242,'Eclusée - Schwall-Sunk'!$A$2:$F$273,5,FALSE))</f>
        <v/>
      </c>
      <c r="BA242" s="750" t="str">
        <f>IF(VLOOKUP(A242,'Eclusée - Schwall-Sunk'!$A$2:$F$273,6,FALSE)="","",VLOOKUP(A242,'Eclusée - Schwall-Sunk'!$A$2:$F$273,6,FALSE))</f>
        <v>Non affecté / nicht betroffen</v>
      </c>
      <c r="BB242" s="751">
        <f>IF(VLOOKUP(A242,'Revitalisation-Revitalisierung'!$A$4:$Z$275,5,FALSE)="","",VLOOKUP(A242,'Revitalisation-Revitalisierung'!$A$4:$Z$275,5,FALSE))</f>
        <v>-0.13636363636363624</v>
      </c>
      <c r="BC242" s="752">
        <f>IF(VLOOKUP(A242,'Revitalisation-Revitalisierung'!$A$4:$Z$275,6,FALSE)="","",VLOOKUP(A242,'Revitalisation-Revitalisierung'!$A$4:$Z$275,6,FALSE))</f>
        <v>3.5274053632044122</v>
      </c>
      <c r="BD242" s="752">
        <f>IF(VLOOKUP(A242,'Revitalisation-Revitalisierung'!$A$4:$Z$275,7,FALSE)="","",VLOOKUP(A242,'Revitalisation-Revitalisierung'!$A$4:$Z$275,7,FALSE))</f>
        <v>3.6363636363636362</v>
      </c>
      <c r="BE242" s="753" t="str">
        <f>IF(VLOOKUP(A242,'Revitalisation-Revitalisierung'!$A$4:$Z$275,8,FALSE)="","",VLOOKUP(A242,'Revitalisation-Revitalisierung'!$A$4:$Z$275,8,FALSE))</f>
        <v>peu nécessaire, facile</v>
      </c>
      <c r="BF242" s="754" t="str">
        <f>IF(VLOOKUP(A242,'Revitalisation-Revitalisierung'!$A$4:$Z$275,9,FALSE)="","",VLOOKUP(A242,'Revitalisation-Revitalisierung'!$A$4:$Z$275,9,FALSE))</f>
        <v>nicht nötig</v>
      </c>
      <c r="BG242" s="754" t="str">
        <f>IF(VLOOKUP(A242,'Revitalisation-Revitalisierung'!$A$4:$Z$275,10,FALSE)="","",VLOOKUP(A242,'Revitalisation-Revitalisierung'!$A$4:$Z$275,10,FALSE))</f>
        <v>K3</v>
      </c>
      <c r="BH242" s="755" t="str">
        <f>IF(VLOOKUP(A242,'Revitalisation-Revitalisierung'!$A$4:$Z$275,11,FALSE)="","",VLOOKUP(A242,'Revitalisation-Revitalisierung'!$A$4:$Z$275,11,FALSE))</f>
        <v/>
      </c>
      <c r="BI242" s="756" t="str">
        <f>IF(VLOOKUP(A242,'Revitalisation-Revitalisierung'!$A$4:$Z$275,12,FALSE)="","",VLOOKUP(A242,'Revitalisation-Revitalisierung'!$A$4:$Z$275,12,FALSE))</f>
        <v/>
      </c>
      <c r="BJ242" s="788" t="str">
        <f>IF(VLOOKUP(A242,'Revitalisation-Revitalisierung'!$A$4:$Z$275,13,FALSE)="","",VLOOKUP(A242,'Revitalisation-Revitalisierung'!$A$4:$Z$275,13,FALSE))</f>
        <v>Non nécessaire / nicht nötig</v>
      </c>
      <c r="BK242" s="870" t="str">
        <f>IF(VLOOKUP(A242,'Revitalisation-Revitalisierung'!$A$4:$Z$275,14,FALSE)="","",VLOOKUP(A242,'Revitalisation-Revitalisierung'!$A$4:$Z$275,14,FALSE))</f>
        <v>b</v>
      </c>
      <c r="BL242" s="758" t="str">
        <f>IF(VLOOKUP(A242,'Revitalisation-Revitalisierung'!$A$4:$Z$275,15,FALSE)="","",VLOOKUP(A242,'Revitalisation-Revitalisierung'!$A$4:$Z$275,15,FALSE))</f>
        <v>moyen</v>
      </c>
      <c r="BM242" s="759" t="str">
        <f>IF(VLOOKUP(A242,'Revitalisation-Revitalisierung'!$A$4:$Z$275,16,FALSE)="","",VLOOKUP(A242,'Revitalisation-Revitalisierung'!$A$4:$Z$275,16,FALSE))</f>
        <v>faible</v>
      </c>
      <c r="BN242" s="759" t="str">
        <f>IF(VLOOKUP(A242,'Revitalisation-Revitalisierung'!$A$4:$Z$275,17,FALSE)="","",VLOOKUP(A242,'Revitalisation-Revitalisierung'!$A$4:$Z$275,17,FALSE))</f>
        <v>nulle</v>
      </c>
      <c r="BO242" s="760" t="str">
        <f>IF(VLOOKUP(A242,'Revitalisation-Revitalisierung'!$A$4:$Z$275,18,FALSE)="","",VLOOKUP(A242,'Revitalisation-Revitalisierung'!$A$4:$Z$275,18,FALSE))</f>
        <v>Non nécessaire / nicht nötig</v>
      </c>
      <c r="BP242" s="761" t="str">
        <f>IF(VLOOKUP(A242,'Revitalisation-Revitalisierung'!$A$4:$Z$275,19,FALSE)="","",VLOOKUP(A242,'Revitalisation-Revitalisierung'!$A$4:$Z$275,19,FALSE))</f>
        <v>Non nécessaire / nicht nötig</v>
      </c>
      <c r="BQ242" s="759" t="str">
        <f>IF(VLOOKUP(A242,'Revitalisation-Revitalisierung'!$A$4:$Z$275,20,FALSE)="","",VLOOKUP(A242,'Revitalisation-Revitalisierung'!$A$4:$Z$275,20,FALSE))</f>
        <v>d</v>
      </c>
      <c r="BR242" s="759" t="str">
        <f>IF(VLOOKUP(A242,'Revitalisation-Revitalisierung'!$A$4:$Z$275,21,FALSE)="","",VLOOKUP(A242,'Revitalisation-Revitalisierung'!$A$4:$Z$275,21,FALSE))</f>
        <v/>
      </c>
      <c r="BS242" s="762" t="str">
        <f>IF(VLOOKUP(A242,'Revitalisation-Revitalisierung'!$A$4:$Z$275,22,FALSE)="","",VLOOKUP(A242,'Revitalisation-Revitalisierung'!$A$4:$Z$275,22,FALSE))</f>
        <v/>
      </c>
      <c r="BT242" s="700" t="str">
        <f>IF(VLOOKUP(A242,'Revitalisation-Revitalisierung'!$A$4:$Z$275,23,FALSE)="","",VLOOKUP(A242,'Revitalisation-Revitalisierung'!$A$4:$Z$275,23,FALSE))</f>
        <v/>
      </c>
      <c r="BU242" s="699" t="str">
        <f>IF(VLOOKUP(A242,'Revitalisation-Revitalisierung'!$A$4:$Z$275,24,FALSE)="","",VLOOKUP(A242,'Revitalisation-Revitalisierung'!$A$4:$Z$275,24,FALSE))</f>
        <v/>
      </c>
      <c r="BV242" s="761" t="str">
        <f>IF(VLOOKUP(A242,'Revitalisation-Revitalisierung'!$A$4:$Z$275,25,FALSE)="","",VLOOKUP(A242,'Revitalisation-Revitalisierung'!$A$4:$Z$275,25,FALSE))</f>
        <v>Non nécessaire / nicht nötig</v>
      </c>
      <c r="BW242" s="871" t="str">
        <f>IF(VLOOKUP(A242,'Revitalisation-Revitalisierung'!$A$4:$AA$275,27,FALSE)="","",VLOOKUP(A242,'Revitalisation-Revitalisierung'!$A$4:$AA$275,27,FALSE))</f>
        <v>a</v>
      </c>
    </row>
    <row r="243" spans="1:75" ht="78" customHeight="1" x14ac:dyDescent="0.25">
      <c r="A243" s="935">
        <v>364</v>
      </c>
      <c r="B243" s="856">
        <f>IF(VLOOKUP(A243,'Données de base - Grunddaten'!$A$2:$M$297,2,FALSE)="","",VLOOKUP(A243,'Données de base - Grunddaten'!$A$2:$M$297,2,FALSE))</f>
        <v>1</v>
      </c>
      <c r="C243" s="857" t="str">
        <f>IF(VLOOKUP(A243,'Données de base - Grunddaten'!$A$2:$M$297,3,FALSE)="","",VLOOKUP(A243,'Données de base - Grunddaten'!$A$2:$M$297,3,FALSE))</f>
        <v>Sonogno–Brione</v>
      </c>
      <c r="D243" s="857" t="str">
        <f>IF(VLOOKUP(A243,'Données de base - Grunddaten'!$A$2:$M$297,4,FALSE)="","",VLOOKUP(A243,'Données de base - Grunddaten'!$A$2:$M$297,4,FALSE))</f>
        <v>Verzasca</v>
      </c>
      <c r="E243" s="857" t="str">
        <f>IF(VLOOKUP(A243,'Données de base - Grunddaten'!$A$2:$M$297,5,FALSE)="","",VLOOKUP(A243,'Données de base - Grunddaten'!$A$2:$M$297,5,FALSE))</f>
        <v>TI</v>
      </c>
      <c r="F243" s="857" t="str">
        <f>IF(VLOOKUP(A243,'Données de base - Grunddaten'!$A$2:$M$297,6,FALSE)="","",VLOOKUP(A243,'Données de base - Grunddaten'!$A$2:$M$297,6,FALSE))</f>
        <v>Tessin méridional</v>
      </c>
      <c r="G243" s="857" t="str">
        <f>IF(VLOOKUP(A243,'Données de base - Grunddaten'!$A$2:$M$297,7,FALSE)="","",VLOOKUP(A243,'Données de base - Grunddaten'!$A$2:$M$297,7,FALSE))</f>
        <v>Montagnard inf.</v>
      </c>
      <c r="H243" s="857">
        <f>IF(VLOOKUP(A243,'Données de base - Grunddaten'!$A$2:$M$297,8,FALSE)="","",VLOOKUP(A243,'Données de base - Grunddaten'!$A$2:$M$297,8,FALSE))</f>
        <v>830</v>
      </c>
      <c r="I243" s="857">
        <f>IF(VLOOKUP(A243,'Données de base - Grunddaten'!$A$2:$M$297,9,FALSE)="","",VLOOKUP(A243,'Données de base - Grunddaten'!$A$2:$M$297,9,FALSE))</f>
        <v>2003</v>
      </c>
      <c r="J243" s="857">
        <f>IF(VLOOKUP(A243,'Données de base - Grunddaten'!$A$2:$M$297,10,FALSE)="","",VLOOKUP(A243,'Données de base - Grunddaten'!$A$2:$M$297,10,FALSE))</f>
        <v>41</v>
      </c>
      <c r="K243" s="857" t="str">
        <f>IF(VLOOKUP(A243,'Données de base - Grunddaten'!$A$2:$M$297,11,FALSE)="","",VLOOKUP(A243,'Données de base - Grunddaten'!$A$2:$M$297,11,FALSE))</f>
        <v>Cours d'eau naturels de l'étage montagnard</v>
      </c>
      <c r="L243" s="857" t="str">
        <f>IF(VLOOKUP(A243,'Données de base - Grunddaten'!$A$2:$M$297,12,FALSE)="","",VLOOKUP(A243,'Données de base - Grunddaten'!$A$2:$M$297,12,FALSE))</f>
        <v>en tresses</v>
      </c>
      <c r="M243" s="858" t="str">
        <f>IF(VLOOKUP(A243,'Données de base - Grunddaten'!$A$2:$M$297,13,FALSE)="","",VLOOKUP(A243,'Données de base - Grunddaten'!$A$2:$M$297,13,FALSE))</f>
        <v>en tresses</v>
      </c>
      <c r="N243" s="872" t="str">
        <f>IF(VLOOKUP(A243,'Charriage - Geschiebehaushalt'!$A$4:$R$275,5,FALSE)="","",VLOOKUP(A243,'Charriage - Geschiebehaushalt'!$A$4:$R$275,5,FALSE))</f>
        <v>pertinent</v>
      </c>
      <c r="O243" s="881" t="str">
        <f>IF(VLOOKUP(A243,'Charriage - Geschiebehaushalt'!$A$4:$R$275,6,FALSE)="","",VLOOKUP(A243,'Charriage - Geschiebehaushalt'!$A$4:$R$275,6,FALSE))</f>
        <v>non documenté</v>
      </c>
      <c r="P243" s="874" t="str">
        <f>IF(VLOOKUP(A243,'Charriage - Geschiebehaushalt'!$A$4:$R$275,7,FALSE)="","",VLOOKUP(A243,'Charriage - Geschiebehaushalt'!$A$4:$R$275,7,FALSE))</f>
        <v/>
      </c>
      <c r="Q243" s="874" t="str">
        <f>IF(VLOOKUP(A243,'Charriage - Geschiebehaushalt'!$A$4:$R$275,8,FALSE)="","",VLOOKUP(A243,'Charriage - Geschiebehaushalt'!$A$4:$R$275,8,FALSE))</f>
        <v>non documenté</v>
      </c>
      <c r="R243" s="875">
        <f>IF(VLOOKUP(A243,'Charriage - Geschiebehaushalt'!$A$4:$R$275,9,FALSE)="","",VLOOKUP(A243,'Charriage - Geschiebehaushalt'!$A$4:$R$275,9,FALSE))</f>
        <v>0.29599999999999999</v>
      </c>
      <c r="S243" s="895" t="str">
        <f>IF(VLOOKUP(A243,'Charriage - Geschiebehaushalt'!$A$4:$R$275,10,FALSE)="","",VLOOKUP(A243,'Charriage - Geschiebehaushalt'!$A$4:$R$275,10,FALSE))</f>
        <v>la remobilisation des sédiments est perturbée</v>
      </c>
      <c r="T243" s="875">
        <f>IF(VLOOKUP(A243,'Charriage - Geschiebehaushalt'!$A$4:$R$275,11,FALSE)="","",VLOOKUP(A243,'Charriage - Geschiebehaushalt'!$A$4:$R$275,11,FALSE))</f>
        <v>0.20980125592000001</v>
      </c>
      <c r="U243" s="876" t="str">
        <f>IF(VLOOKUP(A243,'Charriage - Geschiebehaushalt'!$A$4:$R$275,12,FALSE)="","",VLOOKUP(A243,'Charriage - Geschiebehaushalt'!$A$4:$R$275,12,FALSE))</f>
        <v>déficit dans les formations pionnières</v>
      </c>
      <c r="V243" s="877" t="str">
        <f>IF(VLOOKUP(A243,'Charriage - Geschiebehaushalt'!$A$4:$R$275,13,FALSE)="","",VLOOKUP(A243,'Charriage - Geschiebehaushalt'!$A$4:$R$275,13,FALSE))</f>
        <v/>
      </c>
      <c r="W243" s="877" t="str">
        <f>IF(VLOOKUP(A243,'Charriage - Geschiebehaushalt'!$A$4:$R$275,14,FALSE)="","",VLOOKUP(A243,'Charriage - Geschiebehaushalt'!$A$4:$R$275,14,FALSE))</f>
        <v/>
      </c>
      <c r="X243" s="877" t="str">
        <f>IF(VLOOKUP(A243,'Charriage - Geschiebehaushalt'!$A$4:$R$275,15,FALSE)="","",VLOOKUP(A243,'Charriage - Geschiebehaushalt'!$A$4:$R$275,15,FALSE))</f>
        <v/>
      </c>
      <c r="Y243" s="879" t="str">
        <f>IF(VLOOKUP(A243,'Charriage - Geschiebehaushalt'!$A$4:$R$275,16,FALSE)="","",VLOOKUP(A243,'Charriage - Geschiebehaushalt'!$A$4:$R$275,16,FALSE))</f>
        <v/>
      </c>
      <c r="Z243" s="763" t="str">
        <f>IF(VLOOKUP(A243,'Charriage - Geschiebehaushalt'!$A$4:$R$275,17,FALSE)="","",VLOOKUP(A243,'Charriage - Geschiebehaushalt'!$A$4:$R$275,17,FALSE))</f>
        <v>La remobilisation des sédiments est perturbée / Mobilisierung von Geschiebe beeinträchtigt</v>
      </c>
      <c r="AA243" s="880" t="str">
        <f>IF(VLOOKUP(A243,'Charriage - Geschiebehaushalt'!$A$4:$R$275,18,FALSE)="","",VLOOKUP(A243,'Charriage - Geschiebehaushalt'!$A$4:$R$275,18,FALSE))</f>
        <v>b</v>
      </c>
      <c r="AB243" s="737" t="str">
        <f>IF(VLOOKUP(A243,'Charriage - Geschiebehaushalt'!$A$4:$AC$275,19,FALSE)="","",VLOOKUP(A243,'Charriage - Geschiebehaushalt'!$A$4:$AC$275,19,FALSE))</f>
        <v>nul</v>
      </c>
      <c r="AC243" s="738">
        <f>IF(VLOOKUP(A243,'Charriage - Geschiebehaushalt'!$A$4:$AC$275,20,FALSE)="","",VLOOKUP(A243,'Charriage - Geschiebehaushalt'!$A$4:$AC$275,20,FALSE))</f>
        <v>0</v>
      </c>
      <c r="AD243" s="789" t="str">
        <f>IF(VLOOKUP(A243,'Charriage - Geschiebehaushalt'!$A$4:$AC$275,21,FALSE)="","",VLOOKUP(A243,'Charriage - Geschiebehaushalt'!$A$4:$AC$275,21,FALSE))</f>
        <v>0-20%</v>
      </c>
      <c r="AE243" s="772" t="str">
        <f>IF(VLOOKUP(A243,'Charriage - Geschiebehaushalt'!$A$4:$AC$275,22,FALSE)="","",VLOOKUP(A243,'Charriage - Geschiebehaushalt'!$A$4:$AC$275,22,FALSE))</f>
        <v>0-20%</v>
      </c>
      <c r="AF243" s="787" t="str">
        <f>IF(VLOOKUP(A243,'Charriage - Geschiebehaushalt'!$A$4:$AC$275,23,FALSE)="","",VLOOKUP(A243,'Charriage - Geschiebehaushalt'!$A$4:$AC$275,23,FALSE))</f>
        <v>c</v>
      </c>
      <c r="AG243" s="765" t="str">
        <f>IF(VLOOKUP(A243,'Charriage - Geschiebehaushalt'!$A$4:$AC$275,24,FALSE)="","",VLOOKUP(A243,'Charriage - Geschiebehaushalt'!$A$4:$AC$275,24,FALSE))</f>
        <v/>
      </c>
      <c r="AH243" s="764" t="str">
        <f>IF(VLOOKUP(A243,'Charriage - Geschiebehaushalt'!$A$4:$AC$275,25,FALSE)="","",VLOOKUP(A243,'Charriage - Geschiebehaushalt'!$A$4:$AC$275,25,FALSE))</f>
        <v/>
      </c>
      <c r="AI243" s="441" t="str">
        <f>IF(VLOOKUP(A243,'Charriage - Geschiebehaushalt'!$A$4:$AC$275,26,FALSE)="","",VLOOKUP(A243,'Charriage - Geschiebehaushalt'!$A$4:$AC$275,26,FALSE))</f>
        <v/>
      </c>
      <c r="AJ243" s="434" t="str">
        <f>IF(VLOOKUP(A243,'Charriage - Geschiebehaushalt'!$A$4:$AC$275,27,FALSE)="","",VLOOKUP(A243,'Charriage - Geschiebehaushalt'!$A$4:$AC$275,27,FALSE))</f>
        <v/>
      </c>
      <c r="AK243" s="814" t="str">
        <f>IF(VLOOKUP(A243,'Charriage - Geschiebehaushalt'!$A$4:$AC$275,28,FALSE)="","",VLOOKUP(A243,'Charriage - Geschiebehaushalt'!$A$4:$AC$275,28,FALSE))</f>
        <v>0-20%</v>
      </c>
      <c r="AL243" s="1285" t="str">
        <f>IF(VLOOKUP(A243,'Charriage - Geschiebehaushalt'!$A$4:$AD$275,30,FALSE)="","",VLOOKUP(A243,'Charriage - Geschiebehaushalt'!$A$4:$AD$275,30,FALSE))</f>
        <v>a</v>
      </c>
      <c r="AM243" s="1279" t="str">
        <f>IF(VLOOKUP(A243,'Débit - Abfluss'!$A$4:$K$275,5,FALSE)="","",VLOOKUP(A243,'Débit - Abfluss'!$A$4:$M$275,5,FALSE))</f>
        <v>100%</v>
      </c>
      <c r="AN243" s="868" t="str">
        <f>IF(VLOOKUP(A243,'Débit - Abfluss'!$A$4:$K$275,6,FALSE)="","",VLOOKUP(A243,'Débit - Abfluss'!$A$4:$M$275,6,FALSE))</f>
        <v>aucune information supplémentaire</v>
      </c>
      <c r="AO243" s="869" t="str">
        <f>IF(VLOOKUP(A243,'Débit - Abfluss'!$A$4:$K$275,7,FALSE)="","",VLOOKUP(A243,'Débit - Abfluss'!$A$4:$M$275,7,FALSE))</f>
        <v>aucune information supplémentaire</v>
      </c>
      <c r="AP243" s="766" t="str">
        <f>IF(VLOOKUP(A243,'Débit - Abfluss'!$A$4:$K$275,8,FALSE)="","",VLOOKUP(A243,'Débit - Abfluss'!$A$4:$M$275,8,FALSE))</f>
        <v>100%</v>
      </c>
      <c r="AQ243" s="742" t="str">
        <f>IF(VLOOKUP(A243,'Débit - Abfluss'!$A$4:$K$275,9,FALSE)="","",VLOOKUP(A243,'Débit - Abfluss'!$A$4:$M$275,9,FALSE))</f>
        <v>-</v>
      </c>
      <c r="AR243" s="767" t="str">
        <f>IF(VLOOKUP(A243,'Débit - Abfluss'!$A$4:$K$275,10,FALSE)="","",VLOOKUP(A243,'Débit - Abfluss'!$A$4:$M$275,10,FALSE))</f>
        <v>100%</v>
      </c>
      <c r="AS243" s="767" t="str">
        <f>IF(VLOOKUP(A243,'Débit - Abfluss'!$A$4:$K$275,11,FALSE)="","",VLOOKUP(A243,'Débit - Abfluss'!$A$4:$M$275,11,FALSE))</f>
        <v/>
      </c>
      <c r="AT243" s="744" t="str">
        <f>IF(VLOOKUP(A243,'Débit - Abfluss'!$A$4:$Q$275,12,FALSE)="","",VLOOKUP(A243,'Débit - Abfluss'!$A$4:$Q$275,12,FALSE))</f>
        <v/>
      </c>
      <c r="AU243" s="745" t="str">
        <f>IF(VLOOKUP(A243,'Débit - Abfluss'!$A$4:$Q$275,13,FALSE)="","",VLOOKUP(A243,'Débit - Abfluss'!$A$4:$Q$275,13,FALSE))</f>
        <v/>
      </c>
      <c r="AV243" s="746" t="str">
        <f>IF(VLOOKUP(A243,'Débit - Abfluss'!$A$4:$Q$275,14,FALSE)="","",VLOOKUP(A243,'Débit - Abfluss'!$A$4:$Q$275,14,FALSE))</f>
        <v/>
      </c>
      <c r="AW243" s="768" t="str">
        <f>IF(VLOOKUP(A243,'Débit - Abfluss'!$A$4:$Q$275,15,FALSE)="","",VLOOKUP(A243,'Débit - Abfluss'!$A$4:$Q$275,15,FALSE))</f>
        <v/>
      </c>
      <c r="AX243" s="679" t="str">
        <f>IF(VLOOKUP(A243,'Débit - Abfluss'!$A$4:$Q$275,16,FALSE)="","",VLOOKUP(A243,'Débit - Abfluss'!$A$4:$Q$275,16,FALSE))</f>
        <v/>
      </c>
      <c r="AY243" s="769" t="str">
        <f>IF(VLOOKUP(A243,'Débit - Abfluss'!$A$4:$Q$275,17,FALSE)="","",VLOOKUP(A243,'Débit - Abfluss'!$A$4:$Q$275,17,FALSE))</f>
        <v>100%</v>
      </c>
      <c r="AZ243" s="749" t="str">
        <f>IF(VLOOKUP(A243,'Eclusée - Schwall-Sunk'!$A$2:$F$273,5,FALSE)="","",VLOOKUP(A243,'Eclusée - Schwall-Sunk'!$A$2:$F$273,5,FALSE))</f>
        <v/>
      </c>
      <c r="BA243" s="750" t="str">
        <f>IF(VLOOKUP(A243,'Eclusée - Schwall-Sunk'!$A$2:$F$273,6,FALSE)="","",VLOOKUP(A243,'Eclusée - Schwall-Sunk'!$A$2:$F$273,6,FALSE))</f>
        <v>Non affecté / nicht betroffen</v>
      </c>
      <c r="BB243" s="751">
        <f>IF(VLOOKUP(A243,'Revitalisation-Revitalisierung'!$A$4:$Z$275,5,FALSE)="","",VLOOKUP(A243,'Revitalisation-Revitalisierung'!$A$4:$Z$275,5,FALSE))</f>
        <v>32.009090909090908</v>
      </c>
      <c r="BC243" s="752">
        <f>IF(VLOOKUP(A243,'Revitalisation-Revitalisierung'!$A$4:$Z$275,6,FALSE)="","",VLOOKUP(A243,'Revitalisation-Revitalisierung'!$A$4:$Z$275,6,FALSE))</f>
        <v>46.122204167003282</v>
      </c>
      <c r="BD243" s="752">
        <f>IF(VLOOKUP(A243,'Revitalisation-Revitalisierung'!$A$4:$Z$275,7,FALSE)="","",VLOOKUP(A243,'Revitalisation-Revitalisierung'!$A$4:$Z$275,7,FALSE))</f>
        <v>14.090909090909092</v>
      </c>
      <c r="BE243" s="753" t="str">
        <f>IF(VLOOKUP(A243,'Revitalisation-Revitalisierung'!$A$4:$Z$275,8,FALSE)="","",VLOOKUP(A243,'Revitalisation-Revitalisierung'!$A$4:$Z$275,8,FALSE))</f>
        <v>très nécessaire, facile</v>
      </c>
      <c r="BF243" s="754" t="str">
        <f>IF(VLOOKUP(A243,'Revitalisation-Revitalisierung'!$A$4:$Z$275,9,FALSE)="","",VLOOKUP(A243,'Revitalisation-Revitalisierung'!$A$4:$Z$275,9,FALSE))</f>
        <v>leicht</v>
      </c>
      <c r="BG243" s="754" t="str">
        <f>IF(VLOOKUP(A243,'Revitalisation-Revitalisierung'!$A$4:$Z$275,10,FALSE)="","",VLOOKUP(A243,'Revitalisation-Revitalisierung'!$A$4:$Z$275,10,FALSE))</f>
        <v>K2</v>
      </c>
      <c r="BH243" s="755" t="str">
        <f>IF(VLOOKUP(A243,'Revitalisation-Revitalisierung'!$A$4:$Z$275,11,FALSE)="","",VLOOKUP(A243,'Revitalisation-Revitalisierung'!$A$4:$Z$275,11,FALSE))</f>
        <v/>
      </c>
      <c r="BI243" s="756" t="str">
        <f>IF(VLOOKUP(A243,'Revitalisation-Revitalisierung'!$A$4:$Z$275,12,FALSE)="","",VLOOKUP(A243,'Revitalisation-Revitalisierung'!$A$4:$Z$275,12,FALSE))</f>
        <v/>
      </c>
      <c r="BJ243" s="788" t="str">
        <f>IF(VLOOKUP(A243,'Revitalisation-Revitalisierung'!$A$4:$Z$275,13,FALSE)="","",VLOOKUP(A243,'Revitalisation-Revitalisierung'!$A$4:$Z$275,13,FALSE))</f>
        <v>Très nécessaire, facile / unbedingt nötig, einfach</v>
      </c>
      <c r="BK243" s="870" t="str">
        <f>IF(VLOOKUP(A243,'Revitalisation-Revitalisierung'!$A$4:$Z$275,14,FALSE)="","",VLOOKUP(A243,'Revitalisation-Revitalisierung'!$A$4:$Z$275,14,FALSE))</f>
        <v>a</v>
      </c>
      <c r="BL243" s="758" t="str">
        <f>IF(VLOOKUP(A243,'Revitalisation-Revitalisierung'!$A$4:$Z$275,15,FALSE)="","",VLOOKUP(A243,'Revitalisation-Revitalisierung'!$A$4:$Z$275,15,FALSE))</f>
        <v>moyen</v>
      </c>
      <c r="BM243" s="759" t="str">
        <f>IF(VLOOKUP(A243,'Revitalisation-Revitalisierung'!$A$4:$Z$275,16,FALSE)="","",VLOOKUP(A243,'Revitalisation-Revitalisierung'!$A$4:$Z$275,16,FALSE))</f>
        <v>faible</v>
      </c>
      <c r="BN243" s="759" t="str">
        <f>IF(VLOOKUP(A243,'Revitalisation-Revitalisierung'!$A$4:$Z$275,17,FALSE)="","",VLOOKUP(A243,'Revitalisation-Revitalisierung'!$A$4:$Z$275,17,FALSE))</f>
        <v>nulle</v>
      </c>
      <c r="BO243" s="760" t="str">
        <f>IF(VLOOKUP(A243,'Revitalisation-Revitalisierung'!$A$4:$Z$275,18,FALSE)="","",VLOOKUP(A243,'Revitalisation-Revitalisierung'!$A$4:$Z$275,18,FALSE))</f>
        <v>Non nécessaire / nicht nötig</v>
      </c>
      <c r="BP243" s="761" t="str">
        <f>IF(VLOOKUP(A243,'Revitalisation-Revitalisierung'!$A$4:$Z$275,19,FALSE)="","",VLOOKUP(A243,'Revitalisation-Revitalisierung'!$A$4:$Z$275,19,FALSE))</f>
        <v>Très nécessaire, facile / unbedingt nötig, einfach</v>
      </c>
      <c r="BQ243" s="759" t="str">
        <f>IF(VLOOKUP(A243,'Revitalisation-Revitalisierung'!$A$4:$Z$275,20,FALSE)="","",VLOOKUP(A243,'Revitalisation-Revitalisierung'!$A$4:$Z$275,20,FALSE))</f>
        <v>e</v>
      </c>
      <c r="BR243" s="759" t="str">
        <f>IF(VLOOKUP(A243,'Revitalisation-Revitalisierung'!$A$4:$Z$275,21,FALSE)="","",VLOOKUP(A243,'Revitalisation-Revitalisierung'!$A$4:$Z$275,21,FALSE))</f>
        <v/>
      </c>
      <c r="BS243" s="762" t="str">
        <f>IF(VLOOKUP(A243,'Revitalisation-Revitalisierung'!$A$4:$Z$275,22,FALSE)="","",VLOOKUP(A243,'Revitalisation-Revitalisierung'!$A$4:$Z$275,22,FALSE))</f>
        <v>X</v>
      </c>
      <c r="BT243" s="699" t="str">
        <f>IF(VLOOKUP(A243,'Revitalisation-Revitalisierung'!$A$4:$Z$275,23,FALSE)="","",VLOOKUP(A243,'Revitalisation-Revitalisierung'!$A$4:$Z$275,23,FALSE))</f>
        <v>Non nécessaire / nicht nötig</v>
      </c>
      <c r="BU243" s="699" t="str">
        <f>IF(VLOOKUP(A243,'Revitalisation-Revitalisierung'!$A$4:$Z$275,24,FALSE)="","",VLOOKUP(A243,'Revitalisation-Revitalisierung'!$A$4:$Z$275,24,FALSE))</f>
        <v xml:space="preserve"> Il rapporto tra i costi e i benefici non giustifica una necessità di intervento nell’orizzonte temporale previsto dalla pianificazione strategica per quanto riguarda le tratte a beneficio rilevante </v>
      </c>
      <c r="BV243" s="761" t="str">
        <f>IF(VLOOKUP(A243,'Revitalisation-Revitalisierung'!$A$4:$Z$275,25,FALSE)="","",VLOOKUP(A243,'Revitalisation-Revitalisierung'!$A$4:$Z$275,25,FALSE))</f>
        <v>Très nécessaire, difficile / unbedingt nötig, schwierig</v>
      </c>
      <c r="BW243" s="871" t="str">
        <f>IF(VLOOKUP(A243,'Revitalisation-Revitalisierung'!$A$4:$AA$275,27,FALSE)="","",VLOOKUP(A243,'Revitalisation-Revitalisierung'!$A$4:$AA$275,27,FALSE))</f>
        <v>a</v>
      </c>
    </row>
    <row r="244" spans="1:75" ht="78" customHeight="1" x14ac:dyDescent="0.25">
      <c r="A244" s="935">
        <v>365</v>
      </c>
      <c r="B244" s="856">
        <f>IF(VLOOKUP(A244,'Données de base - Grunddaten'!$A$2:$M$297,2,FALSE)="","",VLOOKUP(A244,'Données de base - Grunddaten'!$A$2:$M$297,2,FALSE))</f>
        <v>1</v>
      </c>
      <c r="C244" s="857" t="str">
        <f>IF(VLOOKUP(A244,'Données de base - Grunddaten'!$A$2:$M$297,3,FALSE)="","",VLOOKUP(A244,'Données de base - Grunddaten'!$A$2:$M$297,3,FALSE))</f>
        <v>Ruscada</v>
      </c>
      <c r="D244" s="857" t="str">
        <f>IF(VLOOKUP(A244,'Données de base - Grunddaten'!$A$2:$M$297,4,FALSE)="","",VLOOKUP(A244,'Données de base - Grunddaten'!$A$2:$M$297,4,FALSE))</f>
        <v>Boggera</v>
      </c>
      <c r="E244" s="857" t="str">
        <f>IF(VLOOKUP(A244,'Données de base - Grunddaten'!$A$2:$M$297,5,FALSE)="","",VLOOKUP(A244,'Données de base - Grunddaten'!$A$2:$M$297,5,FALSE))</f>
        <v>TI</v>
      </c>
      <c r="F244" s="857" t="str">
        <f>IF(VLOOKUP(A244,'Données de base - Grunddaten'!$A$2:$M$297,6,FALSE)="","",VLOOKUP(A244,'Données de base - Grunddaten'!$A$2:$M$297,6,FALSE))</f>
        <v>Tessin méridional</v>
      </c>
      <c r="G244" s="857" t="str">
        <f>IF(VLOOKUP(A244,'Données de base - Grunddaten'!$A$2:$M$297,7,FALSE)="","",VLOOKUP(A244,'Données de base - Grunddaten'!$A$2:$M$297,7,FALSE))</f>
        <v>Montagnard sup.</v>
      </c>
      <c r="H244" s="857">
        <f>IF(VLOOKUP(A244,'Données de base - Grunddaten'!$A$2:$M$297,8,FALSE)="","",VLOOKUP(A244,'Données de base - Grunddaten'!$A$2:$M$297,8,FALSE))</f>
        <v>1120</v>
      </c>
      <c r="I244" s="857">
        <f>IF(VLOOKUP(A244,'Données de base - Grunddaten'!$A$2:$M$297,9,FALSE)="","",VLOOKUP(A244,'Données de base - Grunddaten'!$A$2:$M$297,9,FALSE))</f>
        <v>2003</v>
      </c>
      <c r="J244" s="857">
        <f>IF(VLOOKUP(A244,'Données de base - Grunddaten'!$A$2:$M$297,10,FALSE)="","",VLOOKUP(A244,'Données de base - Grunddaten'!$A$2:$M$297,10,FALSE))</f>
        <v>41</v>
      </c>
      <c r="K244" s="857" t="str">
        <f>IF(VLOOKUP(A244,'Données de base - Grunddaten'!$A$2:$M$297,11,FALSE)="","",VLOOKUP(A244,'Données de base - Grunddaten'!$A$2:$M$297,11,FALSE))</f>
        <v>Cours d'eau naturels de l'étage montagnard</v>
      </c>
      <c r="L244" s="857" t="str">
        <f>IF(VLOOKUP(A244,'Données de base - Grunddaten'!$A$2:$M$297,12,FALSE)="","",VLOOKUP(A244,'Données de base - Grunddaten'!$A$2:$M$297,12,FALSE))</f>
        <v>en méandres migrants</v>
      </c>
      <c r="M244" s="858" t="str">
        <f>IF(VLOOKUP(A244,'Données de base - Grunddaten'!$A$2:$M$297,13,FALSE)="","",VLOOKUP(A244,'Données de base - Grunddaten'!$A$2:$M$297,13,FALSE))</f>
        <v>en méandres migrants</v>
      </c>
      <c r="N244" s="872" t="str">
        <f>IF(VLOOKUP(A244,'Charriage - Geschiebehaushalt'!$A$4:$R$275,5,FALSE)="","",VLOOKUP(A244,'Charriage - Geschiebehaushalt'!$A$4:$R$275,5,FALSE))</f>
        <v>pertinent</v>
      </c>
      <c r="O244" s="881" t="str">
        <f>IF(VLOOKUP(A244,'Charriage - Geschiebehaushalt'!$A$4:$R$275,6,FALSE)="","",VLOOKUP(A244,'Charriage - Geschiebehaushalt'!$A$4:$R$275,6,FALSE))</f>
        <v>non documenté</v>
      </c>
      <c r="P244" s="874" t="str">
        <f>IF(VLOOKUP(A244,'Charriage - Geschiebehaushalt'!$A$4:$R$275,7,FALSE)="","",VLOOKUP(A244,'Charriage - Geschiebehaushalt'!$A$4:$R$275,7,FALSE))</f>
        <v/>
      </c>
      <c r="Q244" s="874" t="str">
        <f>IF(VLOOKUP(A244,'Charriage - Geschiebehaushalt'!$A$4:$R$275,8,FALSE)="","",VLOOKUP(A244,'Charriage - Geschiebehaushalt'!$A$4:$R$275,8,FALSE))</f>
        <v>non documenté</v>
      </c>
      <c r="R244" s="875">
        <f>IF(VLOOKUP(A244,'Charriage - Geschiebehaushalt'!$A$4:$R$275,9,FALSE)="","",VLOOKUP(A244,'Charriage - Geschiebehaushalt'!$A$4:$R$275,9,FALSE))</f>
        <v>0</v>
      </c>
      <c r="S244" s="876" t="str">
        <f>IF(VLOOKUP(A244,'Charriage - Geschiebehaushalt'!$A$4:$R$275,10,FALSE)="","",VLOOKUP(A244,'Charriage - Geschiebehaushalt'!$A$4:$R$275,10,FALSE))</f>
        <v>pas ou faiblement entravé</v>
      </c>
      <c r="T244" s="875">
        <f>IF(VLOOKUP(A244,'Charriage - Geschiebehaushalt'!$A$4:$R$275,11,FALSE)="","",VLOOKUP(A244,'Charriage - Geschiebehaushalt'!$A$4:$R$275,11,FALSE))</f>
        <v>0.53158213965000001</v>
      </c>
      <c r="U244" s="895" t="str">
        <f>IF(VLOOKUP(A244,'Charriage - Geschiebehaushalt'!$A$4:$R$275,12,FALSE)="","",VLOOKUP(A244,'Charriage - Geschiebehaushalt'!$A$4:$R$275,12,FALSE))</f>
        <v>déficit non apparent en charriage ou en remobilisation des sédiments</v>
      </c>
      <c r="V244" s="877" t="str">
        <f>IF(VLOOKUP(A244,'Charriage - Geschiebehaushalt'!$A$4:$R$275,13,FALSE)="","",VLOOKUP(A244,'Charriage - Geschiebehaushalt'!$A$4:$R$275,13,FALSE))</f>
        <v/>
      </c>
      <c r="W244" s="877" t="str">
        <f>IF(VLOOKUP(A244,'Charriage - Geschiebehaushalt'!$A$4:$R$275,14,FALSE)="","",VLOOKUP(A244,'Charriage - Geschiebehaushalt'!$A$4:$R$275,14,FALSE))</f>
        <v/>
      </c>
      <c r="X244" s="877" t="str">
        <f>IF(VLOOKUP(A244,'Charriage - Geschiebehaushalt'!$A$4:$R$275,15,FALSE)="","",VLOOKUP(A244,'Charriage - Geschiebehaushalt'!$A$4:$R$275,15,FALSE))</f>
        <v/>
      </c>
      <c r="Y244" s="879" t="str">
        <f>IF(VLOOKUP(A244,'Charriage - Geschiebehaushalt'!$A$4:$R$275,16,FALSE)="","",VLOOKUP(A244,'Charriage - Geschiebehaushalt'!$A$4:$R$275,16,FALSE))</f>
        <v/>
      </c>
      <c r="Z244" s="763" t="str">
        <f>IF(VLOOKUP(A244,'Charriage - Geschiebehaushalt'!$A$4:$R$275,17,FALSE)="","",VLOOKUP(A244,'Charriage - Geschiebehaushalt'!$A$4:$R$275,17,FALSE))</f>
        <v>Charriage présumé naturel / Geschiebehaushalt vermutlich natürlich</v>
      </c>
      <c r="AA244" s="880" t="str">
        <f>IF(VLOOKUP(A244,'Charriage - Geschiebehaushalt'!$A$4:$R$275,18,FALSE)="","",VLOOKUP(A244,'Charriage - Geschiebehaushalt'!$A$4:$R$275,18,FALSE))</f>
        <v>b</v>
      </c>
      <c r="AB244" s="737" t="str">
        <f>IF(VLOOKUP(A244,'Charriage - Geschiebehaushalt'!$A$4:$AC$275,19,FALSE)="","",VLOOKUP(A244,'Charriage - Geschiebehaushalt'!$A$4:$AC$275,19,FALSE))</f>
        <v>non évalué</v>
      </c>
      <c r="AC244" s="738" t="str">
        <f>IF(VLOOKUP(A244,'Charriage - Geschiebehaushalt'!$A$4:$AC$275,20,FALSE)="","",VLOOKUP(A244,'Charriage - Geschiebehaushalt'!$A$4:$AC$275,20,FALSE))</f>
        <v>non évalué</v>
      </c>
      <c r="AD244" s="764" t="str">
        <f>IF(VLOOKUP(A244,'Charriage - Geschiebehaushalt'!$A$4:$AC$275,21,FALSE)="","",VLOOKUP(A244,'Charriage - Geschiebehaushalt'!$A$4:$AC$275,21,FALSE))</f>
        <v/>
      </c>
      <c r="AE244" s="740" t="str">
        <f>IF(VLOOKUP(A244,'Charriage - Geschiebehaushalt'!$A$4:$AC$275,22,FALSE)="","",VLOOKUP(A244,'Charriage - Geschiebehaushalt'!$A$4:$AC$275,22,FALSE))</f>
        <v>0-20%</v>
      </c>
      <c r="AF244" s="904" t="str">
        <f>IF(VLOOKUP(A244,'Charriage - Geschiebehaushalt'!$A$4:$AC$275,23,FALSE)="","",VLOOKUP(A244,'Charriage - Geschiebehaushalt'!$A$4:$AC$275,23,FALSE))</f>
        <v>b</v>
      </c>
      <c r="AG244" s="765" t="str">
        <f>IF(VLOOKUP(A244,'Charriage - Geschiebehaushalt'!$A$4:$AC$275,24,FALSE)="","",VLOOKUP(A244,'Charriage - Geschiebehaushalt'!$A$4:$AC$275,24,FALSE))</f>
        <v/>
      </c>
      <c r="AH244" s="764" t="str">
        <f>IF(VLOOKUP(A244,'Charriage - Geschiebehaushalt'!$A$4:$AC$275,25,FALSE)="","",VLOOKUP(A244,'Charriage - Geschiebehaushalt'!$A$4:$AC$275,25,FALSE))</f>
        <v/>
      </c>
      <c r="AI244" s="441" t="str">
        <f>IF(VLOOKUP(A244,'Charriage - Geschiebehaushalt'!$A$4:$AC$275,26,FALSE)="","",VLOOKUP(A244,'Charriage - Geschiebehaushalt'!$A$4:$AC$275,26,FALSE))</f>
        <v/>
      </c>
      <c r="AJ244" s="434" t="str">
        <f>IF(VLOOKUP(A244,'Charriage - Geschiebehaushalt'!$A$4:$AC$275,27,FALSE)="","",VLOOKUP(A244,'Charriage - Geschiebehaushalt'!$A$4:$AC$275,27,FALSE))</f>
        <v/>
      </c>
      <c r="AK244" s="801" t="str">
        <f>IF(VLOOKUP(A244,'Charriage - Geschiebehaushalt'!$A$4:$AC$275,28,FALSE)="","",VLOOKUP(A244,'Charriage - Geschiebehaushalt'!$A$4:$AC$275,28,FALSE))</f>
        <v>0-20%</v>
      </c>
      <c r="AL244" s="1285" t="str">
        <f>IF(VLOOKUP(A244,'Charriage - Geschiebehaushalt'!$A$4:$AD$275,30,FALSE)="","",VLOOKUP(A244,'Charriage - Geschiebehaushalt'!$A$4:$AD$275,30,FALSE))</f>
        <v>b</v>
      </c>
      <c r="AM244" s="1279" t="str">
        <f>IF(VLOOKUP(A244,'Débit - Abfluss'!$A$4:$K$275,5,FALSE)="","",VLOOKUP(A244,'Débit - Abfluss'!$A$4:$M$275,5,FALSE))</f>
        <v>100%</v>
      </c>
      <c r="AN244" s="868" t="str">
        <f>IF(VLOOKUP(A244,'Débit - Abfluss'!$A$4:$K$275,6,FALSE)="","",VLOOKUP(A244,'Débit - Abfluss'!$A$4:$M$275,6,FALSE))</f>
        <v>aucune information supplémentaire</v>
      </c>
      <c r="AO244" s="869" t="str">
        <f>IF(VLOOKUP(A244,'Débit - Abfluss'!$A$4:$K$275,7,FALSE)="","",VLOOKUP(A244,'Débit - Abfluss'!$A$4:$M$275,7,FALSE))</f>
        <v>aucune information supplémentaire</v>
      </c>
      <c r="AP244" s="766" t="str">
        <f>IF(VLOOKUP(A244,'Débit - Abfluss'!$A$4:$K$275,8,FALSE)="","",VLOOKUP(A244,'Débit - Abfluss'!$A$4:$M$275,8,FALSE))</f>
        <v>100%</v>
      </c>
      <c r="AQ244" s="742" t="str">
        <f>IF(VLOOKUP(A244,'Débit - Abfluss'!$A$4:$K$275,9,FALSE)="","",VLOOKUP(A244,'Débit - Abfluss'!$A$4:$M$275,9,FALSE))</f>
        <v>-</v>
      </c>
      <c r="AR244" s="767" t="str">
        <f>IF(VLOOKUP(A244,'Débit - Abfluss'!$A$4:$K$275,10,FALSE)="","",VLOOKUP(A244,'Débit - Abfluss'!$A$4:$M$275,10,FALSE))</f>
        <v>100%</v>
      </c>
      <c r="AS244" s="767" t="str">
        <f>IF(VLOOKUP(A244,'Débit - Abfluss'!$A$4:$K$275,11,FALSE)="","",VLOOKUP(A244,'Débit - Abfluss'!$A$4:$M$275,11,FALSE))</f>
        <v/>
      </c>
      <c r="AT244" s="744" t="str">
        <f>IF(VLOOKUP(A244,'Débit - Abfluss'!$A$4:$Q$275,12,FALSE)="","",VLOOKUP(A244,'Débit - Abfluss'!$A$4:$Q$275,12,FALSE))</f>
        <v/>
      </c>
      <c r="AU244" s="745" t="str">
        <f>IF(VLOOKUP(A244,'Débit - Abfluss'!$A$4:$Q$275,13,FALSE)="","",VLOOKUP(A244,'Débit - Abfluss'!$A$4:$Q$275,13,FALSE))</f>
        <v/>
      </c>
      <c r="AV244" s="746" t="str">
        <f>IF(VLOOKUP(A244,'Débit - Abfluss'!$A$4:$Q$275,14,FALSE)="","",VLOOKUP(A244,'Débit - Abfluss'!$A$4:$Q$275,14,FALSE))</f>
        <v/>
      </c>
      <c r="AW244" s="768" t="str">
        <f>IF(VLOOKUP(A244,'Débit - Abfluss'!$A$4:$Q$275,15,FALSE)="","",VLOOKUP(A244,'Débit - Abfluss'!$A$4:$Q$275,15,FALSE))</f>
        <v/>
      </c>
      <c r="AX244" s="679" t="str">
        <f>IF(VLOOKUP(A244,'Débit - Abfluss'!$A$4:$Q$275,16,FALSE)="","",VLOOKUP(A244,'Débit - Abfluss'!$A$4:$Q$275,16,FALSE))</f>
        <v/>
      </c>
      <c r="AY244" s="769" t="str">
        <f>IF(VLOOKUP(A244,'Débit - Abfluss'!$A$4:$Q$275,17,FALSE)="","",VLOOKUP(A244,'Débit - Abfluss'!$A$4:$Q$275,17,FALSE))</f>
        <v>100%</v>
      </c>
      <c r="AZ244" s="749" t="str">
        <f>IF(VLOOKUP(A244,'Eclusée - Schwall-Sunk'!$A$2:$F$273,5,FALSE)="","",VLOOKUP(A244,'Eclusée - Schwall-Sunk'!$A$2:$F$273,5,FALSE))</f>
        <v/>
      </c>
      <c r="BA244" s="750" t="str">
        <f>IF(VLOOKUP(A244,'Eclusée - Schwall-Sunk'!$A$2:$F$273,6,FALSE)="","",VLOOKUP(A244,'Eclusée - Schwall-Sunk'!$A$2:$F$273,6,FALSE))</f>
        <v>Non affecté / nicht betroffen</v>
      </c>
      <c r="BB244" s="751">
        <f>IF(VLOOKUP(A244,'Revitalisation-Revitalisierung'!$A$4:$Z$275,5,FALSE)="","",VLOOKUP(A244,'Revitalisation-Revitalisierung'!$A$4:$Z$275,5,FALSE))</f>
        <v>-2.2727272727272729</v>
      </c>
      <c r="BC244" s="752">
        <f>IF(VLOOKUP(A244,'Revitalisation-Revitalisierung'!$A$4:$Z$275,6,FALSE)="","",VLOOKUP(A244,'Revitalisation-Revitalisierung'!$A$4:$Z$275,6,FALSE))</f>
        <v>0</v>
      </c>
      <c r="BD244" s="752">
        <f>IF(VLOOKUP(A244,'Revitalisation-Revitalisierung'!$A$4:$Z$275,7,FALSE)="","",VLOOKUP(A244,'Revitalisation-Revitalisierung'!$A$4:$Z$275,7,FALSE))</f>
        <v>2.2727272727272729</v>
      </c>
      <c r="BE244" s="753" t="str">
        <f>IF(VLOOKUP(A244,'Revitalisation-Revitalisierung'!$A$4:$Z$275,8,FALSE)="","",VLOOKUP(A244,'Revitalisation-Revitalisierung'!$A$4:$Z$275,8,FALSE))</f>
        <v>non nécessaire</v>
      </c>
      <c r="BF244" s="754" t="str">
        <f>IF(VLOOKUP(A244,'Revitalisation-Revitalisierung'!$A$4:$Z$275,9,FALSE)="","",VLOOKUP(A244,'Revitalisation-Revitalisierung'!$A$4:$Z$275,9,FALSE))</f>
        <v>nicht nötig</v>
      </c>
      <c r="BG244" s="754" t="str">
        <f>IF(VLOOKUP(A244,'Revitalisation-Revitalisierung'!$A$4:$Z$275,10,FALSE)="","",VLOOKUP(A244,'Revitalisation-Revitalisierung'!$A$4:$Z$275,10,FALSE))</f>
        <v>K2</v>
      </c>
      <c r="BH244" s="755" t="str">
        <f>IF(VLOOKUP(A244,'Revitalisation-Revitalisierung'!$A$4:$Z$275,11,FALSE)="","",VLOOKUP(A244,'Revitalisation-Revitalisierung'!$A$4:$Z$275,11,FALSE))</f>
        <v/>
      </c>
      <c r="BI244" s="756" t="str">
        <f>IF(VLOOKUP(A244,'Revitalisation-Revitalisierung'!$A$4:$Z$275,12,FALSE)="","",VLOOKUP(A244,'Revitalisation-Revitalisierung'!$A$4:$Z$275,12,FALSE))</f>
        <v/>
      </c>
      <c r="BJ244" s="788" t="str">
        <f>IF(VLOOKUP(A244,'Revitalisation-Revitalisierung'!$A$4:$Z$275,13,FALSE)="","",VLOOKUP(A244,'Revitalisation-Revitalisierung'!$A$4:$Z$275,13,FALSE))</f>
        <v>Non nécessaire / nicht nötig</v>
      </c>
      <c r="BK244" s="870" t="str">
        <f>IF(VLOOKUP(A244,'Revitalisation-Revitalisierung'!$A$4:$Z$275,14,FALSE)="","",VLOOKUP(A244,'Revitalisation-Revitalisierung'!$A$4:$Z$275,14,FALSE))</f>
        <v>a</v>
      </c>
      <c r="BL244" s="758" t="str">
        <f>IF(VLOOKUP(A244,'Revitalisation-Revitalisierung'!$A$4:$Z$275,15,FALSE)="","",VLOOKUP(A244,'Revitalisation-Revitalisierung'!$A$4:$Z$275,15,FALSE))</f>
        <v>moyen et faible</v>
      </c>
      <c r="BM244" s="759" t="str">
        <f>IF(VLOOKUP(A244,'Revitalisation-Revitalisierung'!$A$4:$Z$275,16,FALSE)="","",VLOOKUP(A244,'Revitalisation-Revitalisierung'!$A$4:$Z$275,16,FALSE))</f>
        <v>faible</v>
      </c>
      <c r="BN244" s="759" t="str">
        <f>IF(VLOOKUP(A244,'Revitalisation-Revitalisierung'!$A$4:$Z$275,17,FALSE)="","",VLOOKUP(A244,'Revitalisation-Revitalisierung'!$A$4:$Z$275,17,FALSE))</f>
        <v>nulle</v>
      </c>
      <c r="BO244" s="760" t="str">
        <f>IF(VLOOKUP(A244,'Revitalisation-Revitalisierung'!$A$4:$Z$275,18,FALSE)="","",VLOOKUP(A244,'Revitalisation-Revitalisierung'!$A$4:$Z$275,18,FALSE))</f>
        <v>Non nécessaire / nicht nötig</v>
      </c>
      <c r="BP244" s="761" t="str">
        <f>IF(VLOOKUP(A244,'Revitalisation-Revitalisierung'!$A$4:$Z$275,19,FALSE)="","",VLOOKUP(A244,'Revitalisation-Revitalisierung'!$A$4:$Z$275,19,FALSE))</f>
        <v>Non nécessaire / nicht nötig</v>
      </c>
      <c r="BQ244" s="759" t="str">
        <f>IF(VLOOKUP(A244,'Revitalisation-Revitalisierung'!$A$4:$Z$275,20,FALSE)="","",VLOOKUP(A244,'Revitalisation-Revitalisierung'!$A$4:$Z$275,20,FALSE))</f>
        <v>d</v>
      </c>
      <c r="BR244" s="759" t="str">
        <f>IF(VLOOKUP(A244,'Revitalisation-Revitalisierung'!$A$4:$Z$275,21,FALSE)="","",VLOOKUP(A244,'Revitalisation-Revitalisierung'!$A$4:$Z$275,21,FALSE))</f>
        <v/>
      </c>
      <c r="BS244" s="762" t="str">
        <f>IF(VLOOKUP(A244,'Revitalisation-Revitalisierung'!$A$4:$Z$275,22,FALSE)="","",VLOOKUP(A244,'Revitalisation-Revitalisierung'!$A$4:$Z$275,22,FALSE))</f>
        <v/>
      </c>
      <c r="BT244" s="700" t="str">
        <f>IF(VLOOKUP(A244,'Revitalisation-Revitalisierung'!$A$4:$Z$275,23,FALSE)="","",VLOOKUP(A244,'Revitalisation-Revitalisierung'!$A$4:$Z$275,23,FALSE))</f>
        <v/>
      </c>
      <c r="BU244" s="699" t="str">
        <f>IF(VLOOKUP(A244,'Revitalisation-Revitalisierung'!$A$4:$Z$275,24,FALSE)="","",VLOOKUP(A244,'Revitalisation-Revitalisierung'!$A$4:$Z$275,24,FALSE))</f>
        <v/>
      </c>
      <c r="BV244" s="761" t="str">
        <f>IF(VLOOKUP(A244,'Revitalisation-Revitalisierung'!$A$4:$Z$275,25,FALSE)="","",VLOOKUP(A244,'Revitalisation-Revitalisierung'!$A$4:$Z$275,25,FALSE))</f>
        <v>Non nécessaire / nicht nötig</v>
      </c>
      <c r="BW244" s="871" t="str">
        <f>IF(VLOOKUP(A244,'Revitalisation-Revitalisierung'!$A$4:$AA$275,27,FALSE)="","",VLOOKUP(A244,'Revitalisation-Revitalisierung'!$A$4:$AA$275,27,FALSE))</f>
        <v>a</v>
      </c>
    </row>
    <row r="245" spans="1:75" ht="52.15" customHeight="1" x14ac:dyDescent="0.25">
      <c r="A245" s="935">
        <v>366</v>
      </c>
      <c r="B245" s="856">
        <f>IF(VLOOKUP(A245,'Données de base - Grunddaten'!$A$2:$M$297,2,FALSE)="","",VLOOKUP(A245,'Données de base - Grunddaten'!$A$2:$M$297,2,FALSE))</f>
        <v>1</v>
      </c>
      <c r="C245" s="857" t="str">
        <f>IF(VLOOKUP(A245,'Données de base - Grunddaten'!$A$2:$M$297,3,FALSE)="","",VLOOKUP(A245,'Données de base - Grunddaten'!$A$2:$M$297,3,FALSE))</f>
        <v>Vezio–Aranno</v>
      </c>
      <c r="D245" s="857" t="str">
        <f>IF(VLOOKUP(A245,'Données de base - Grunddaten'!$A$2:$M$297,4,FALSE)="","",VLOOKUP(A245,'Données de base - Grunddaten'!$A$2:$M$297,4,FALSE))</f>
        <v>Magliasina</v>
      </c>
      <c r="E245" s="857" t="str">
        <f>IF(VLOOKUP(A245,'Données de base - Grunddaten'!$A$2:$M$297,5,FALSE)="","",VLOOKUP(A245,'Données de base - Grunddaten'!$A$2:$M$297,5,FALSE))</f>
        <v>TI</v>
      </c>
      <c r="F245" s="857" t="str">
        <f>IF(VLOOKUP(A245,'Données de base - Grunddaten'!$A$2:$M$297,6,FALSE)="","",VLOOKUP(A245,'Données de base - Grunddaten'!$A$2:$M$297,6,FALSE))</f>
        <v>Tessin méridional</v>
      </c>
      <c r="G245" s="857" t="str">
        <f>IF(VLOOKUP(A245,'Données de base - Grunddaten'!$A$2:$M$297,7,FALSE)="","",VLOOKUP(A245,'Données de base - Grunddaten'!$A$2:$M$297,7,FALSE))</f>
        <v>Montagnard inf.</v>
      </c>
      <c r="H245" s="857">
        <f>IF(VLOOKUP(A245,'Données de base - Grunddaten'!$A$2:$M$297,8,FALSE)="","",VLOOKUP(A245,'Données de base - Grunddaten'!$A$2:$M$297,8,FALSE))</f>
        <v>610</v>
      </c>
      <c r="I245" s="857">
        <f>IF(VLOOKUP(A245,'Données de base - Grunddaten'!$A$2:$M$297,9,FALSE)="","",VLOOKUP(A245,'Données de base - Grunddaten'!$A$2:$M$297,9,FALSE))</f>
        <v>2003</v>
      </c>
      <c r="J245" s="857">
        <f>IF(VLOOKUP(A245,'Données de base - Grunddaten'!$A$2:$M$297,10,FALSE)="","",VLOOKUP(A245,'Données de base - Grunddaten'!$A$2:$M$297,10,FALSE))</f>
        <v>61</v>
      </c>
      <c r="K245" s="857" t="str">
        <f>IF(VLOOKUP(A245,'Données de base - Grunddaten'!$A$2:$M$297,11,FALSE)="","",VLOOKUP(A245,'Données de base - Grunddaten'!$A$2:$M$297,11,FALSE))</f>
        <v>Cours d'eau naturels de l'étage collinéen du Sud des Alpes</v>
      </c>
      <c r="L245" s="857" t="str">
        <f>IF(VLOOKUP(A245,'Données de base - Grunddaten'!$A$2:$M$297,12,FALSE)="","",VLOOKUP(A245,'Données de base - Grunddaten'!$A$2:$M$297,12,FALSE))</f>
        <v>en méandres migrants</v>
      </c>
      <c r="M245" s="858" t="str">
        <f>IF(VLOOKUP(A245,'Données de base - Grunddaten'!$A$2:$M$297,13,FALSE)="","",VLOOKUP(A245,'Données de base - Grunddaten'!$A$2:$M$297,13,FALSE))</f>
        <v>en méandres migrants</v>
      </c>
      <c r="N245" s="872" t="str">
        <f>IF(VLOOKUP(A245,'Charriage - Geschiebehaushalt'!$A$4:$R$275,5,FALSE)="","",VLOOKUP(A245,'Charriage - Geschiebehaushalt'!$A$4:$R$275,5,FALSE))</f>
        <v>pertinent</v>
      </c>
      <c r="O245" s="881" t="str">
        <f>IF(VLOOKUP(A245,'Charriage - Geschiebehaushalt'!$A$4:$R$275,6,FALSE)="","",VLOOKUP(A245,'Charriage - Geschiebehaushalt'!$A$4:$R$275,6,FALSE))</f>
        <v>non documenté</v>
      </c>
      <c r="P245" s="874" t="str">
        <f>IF(VLOOKUP(A245,'Charriage - Geschiebehaushalt'!$A$4:$R$275,7,FALSE)="","",VLOOKUP(A245,'Charriage - Geschiebehaushalt'!$A$4:$R$275,7,FALSE))</f>
        <v/>
      </c>
      <c r="Q245" s="874" t="str">
        <f>IF(VLOOKUP(A245,'Charriage - Geschiebehaushalt'!$A$4:$R$275,8,FALSE)="","",VLOOKUP(A245,'Charriage - Geschiebehaushalt'!$A$4:$R$275,8,FALSE))</f>
        <v>non documenté</v>
      </c>
      <c r="R245" s="875">
        <f>IF(VLOOKUP(A245,'Charriage - Geschiebehaushalt'!$A$4:$R$275,9,FALSE)="","",VLOOKUP(A245,'Charriage - Geschiebehaushalt'!$A$4:$R$275,9,FALSE))</f>
        <v>3.5296845767498898E-2</v>
      </c>
      <c r="S245" s="876" t="str">
        <f>IF(VLOOKUP(A245,'Charriage - Geschiebehaushalt'!$A$4:$R$275,10,FALSE)="","",VLOOKUP(A245,'Charriage - Geschiebehaushalt'!$A$4:$R$275,10,FALSE))</f>
        <v>pas ou faiblement entravé</v>
      </c>
      <c r="T245" s="875">
        <f>IF(VLOOKUP(A245,'Charriage - Geschiebehaushalt'!$A$4:$R$275,11,FALSE)="","",VLOOKUP(A245,'Charriage - Geschiebehaushalt'!$A$4:$R$275,11,FALSE))</f>
        <v>0.16196882832000001</v>
      </c>
      <c r="U245" s="876" t="str">
        <f>IF(VLOOKUP(A245,'Charriage - Geschiebehaushalt'!$A$4:$R$275,12,FALSE)="","",VLOOKUP(A245,'Charriage - Geschiebehaushalt'!$A$4:$R$275,12,FALSE))</f>
        <v>déficit dans les formations pionnières</v>
      </c>
      <c r="V245" s="877" t="str">
        <f>IF(VLOOKUP(A245,'Charriage - Geschiebehaushalt'!$A$4:$R$275,13,FALSE)="","",VLOOKUP(A245,'Charriage - Geschiebehaushalt'!$A$4:$R$275,13,FALSE))</f>
        <v/>
      </c>
      <c r="W245" s="877" t="str">
        <f>IF(VLOOKUP(A245,'Charriage - Geschiebehaushalt'!$A$4:$R$275,14,FALSE)="","",VLOOKUP(A245,'Charriage - Geschiebehaushalt'!$A$4:$R$275,14,FALSE))</f>
        <v>A vérifier</v>
      </c>
      <c r="X245" s="877" t="str">
        <f>IF(VLOOKUP(A245,'Charriage - Geschiebehaushalt'!$A$4:$R$275,15,FALSE)="","",VLOOKUP(A245,'Charriage - Geschiebehaushalt'!$A$4:$R$275,15,FALSE))</f>
        <v>pas d'ouvrage dans le bassin versant</v>
      </c>
      <c r="Y245" s="882" t="str">
        <f>IF(VLOOKUP(A245,'Charriage - Geschiebehaushalt'!$A$4:$R$275,16,FALSE)="","",VLOOKUP(A245,'Charriage - Geschiebehaushalt'!$A$4:$R$275,16,FALSE))</f>
        <v>charriage présumé naturel</v>
      </c>
      <c r="Z245" s="763" t="str">
        <f>IF(VLOOKUP(A245,'Charriage - Geschiebehaushalt'!$A$4:$R$275,17,FALSE)="","",VLOOKUP(A245,'Charriage - Geschiebehaushalt'!$A$4:$R$275,17,FALSE))</f>
        <v>Charriage présumé naturel / Geschiebehaushalt vermutlich natürlich</v>
      </c>
      <c r="AA245" s="880" t="str">
        <f>IF(VLOOKUP(A245,'Charriage - Geschiebehaushalt'!$A$4:$R$275,18,FALSE)="","",VLOOKUP(A245,'Charriage - Geschiebehaushalt'!$A$4:$R$275,18,FALSE))</f>
        <v>b</v>
      </c>
      <c r="AB245" s="737" t="str">
        <f>IF(VLOOKUP(A245,'Charriage - Geschiebehaushalt'!$A$4:$AC$275,19,FALSE)="","",VLOOKUP(A245,'Charriage - Geschiebehaushalt'!$A$4:$AC$275,19,FALSE))</f>
        <v>non évalué</v>
      </c>
      <c r="AC245" s="738" t="str">
        <f>IF(VLOOKUP(A245,'Charriage - Geschiebehaushalt'!$A$4:$AC$275,20,FALSE)="","",VLOOKUP(A245,'Charriage - Geschiebehaushalt'!$A$4:$AC$275,20,FALSE))</f>
        <v>non évalué</v>
      </c>
      <c r="AD245" s="764" t="str">
        <f>IF(VLOOKUP(A245,'Charriage - Geschiebehaushalt'!$A$4:$AC$275,21,FALSE)="","",VLOOKUP(A245,'Charriage - Geschiebehaushalt'!$A$4:$AC$275,21,FALSE))</f>
        <v/>
      </c>
      <c r="AE245" s="740" t="str">
        <f>IF(VLOOKUP(A245,'Charriage - Geschiebehaushalt'!$A$4:$AC$275,22,FALSE)="","",VLOOKUP(A245,'Charriage - Geschiebehaushalt'!$A$4:$AC$275,22,FALSE))</f>
        <v>0-20%</v>
      </c>
      <c r="AF245" s="904" t="str">
        <f>IF(VLOOKUP(A245,'Charriage - Geschiebehaushalt'!$A$4:$AC$275,23,FALSE)="","",VLOOKUP(A245,'Charriage - Geschiebehaushalt'!$A$4:$AC$275,23,FALSE))</f>
        <v>b</v>
      </c>
      <c r="AG245" s="765" t="str">
        <f>IF(VLOOKUP(A245,'Charriage - Geschiebehaushalt'!$A$4:$AC$275,24,FALSE)="","",VLOOKUP(A245,'Charriage - Geschiebehaushalt'!$A$4:$AC$275,24,FALSE))</f>
        <v/>
      </c>
      <c r="AH245" s="764" t="str">
        <f>IF(VLOOKUP(A245,'Charriage - Geschiebehaushalt'!$A$4:$AC$275,25,FALSE)="","",VLOOKUP(A245,'Charriage - Geschiebehaushalt'!$A$4:$AC$275,25,FALSE))</f>
        <v/>
      </c>
      <c r="AI245" s="441" t="str">
        <f>IF(VLOOKUP(A245,'Charriage - Geschiebehaushalt'!$A$4:$AC$275,26,FALSE)="","",VLOOKUP(A245,'Charriage - Geschiebehaushalt'!$A$4:$AC$275,26,FALSE))</f>
        <v/>
      </c>
      <c r="AJ245" s="434" t="str">
        <f>IF(VLOOKUP(A245,'Charriage - Geschiebehaushalt'!$A$4:$AC$275,27,FALSE)="","",VLOOKUP(A245,'Charriage - Geschiebehaushalt'!$A$4:$AC$275,27,FALSE))</f>
        <v/>
      </c>
      <c r="AK245" s="801" t="str">
        <f>IF(VLOOKUP(A245,'Charriage - Geschiebehaushalt'!$A$4:$AC$275,28,FALSE)="","",VLOOKUP(A245,'Charriage - Geschiebehaushalt'!$A$4:$AC$275,28,FALSE))</f>
        <v>0-20%</v>
      </c>
      <c r="AL245" s="1285" t="str">
        <f>IF(VLOOKUP(A245,'Charriage - Geschiebehaushalt'!$A$4:$AD$275,30,FALSE)="","",VLOOKUP(A245,'Charriage - Geschiebehaushalt'!$A$4:$AD$275,30,FALSE))</f>
        <v>b</v>
      </c>
      <c r="AM245" s="1279" t="str">
        <f>IF(VLOOKUP(A245,'Débit - Abfluss'!$A$4:$K$275,5,FALSE)="","",VLOOKUP(A245,'Débit - Abfluss'!$A$4:$M$275,5,FALSE))</f>
        <v>100%</v>
      </c>
      <c r="AN245" s="868" t="str">
        <f>IF(VLOOKUP(A245,'Débit - Abfluss'!$A$4:$K$275,6,FALSE)="","",VLOOKUP(A245,'Débit - Abfluss'!$A$4:$M$275,6,FALSE))</f>
        <v>aucune information supplémentaire</v>
      </c>
      <c r="AO245" s="869" t="str">
        <f>IF(VLOOKUP(A245,'Débit - Abfluss'!$A$4:$K$275,7,FALSE)="","",VLOOKUP(A245,'Débit - Abfluss'!$A$4:$M$275,7,FALSE))</f>
        <v>aucune information supplémentaire</v>
      </c>
      <c r="AP245" s="766" t="str">
        <f>IF(VLOOKUP(A245,'Débit - Abfluss'!$A$4:$K$275,8,FALSE)="","",VLOOKUP(A245,'Débit - Abfluss'!$A$4:$M$275,8,FALSE))</f>
        <v>100%</v>
      </c>
      <c r="AQ245" s="742" t="str">
        <f>IF(VLOOKUP(A245,'Débit - Abfluss'!$A$4:$K$275,9,FALSE)="","",VLOOKUP(A245,'Débit - Abfluss'!$A$4:$M$275,9,FALSE))</f>
        <v>-</v>
      </c>
      <c r="AR245" s="767" t="str">
        <f>IF(VLOOKUP(A245,'Débit - Abfluss'!$A$4:$K$275,10,FALSE)="","",VLOOKUP(A245,'Débit - Abfluss'!$A$4:$M$275,10,FALSE))</f>
        <v>100%</v>
      </c>
      <c r="AS245" s="767" t="str">
        <f>IF(VLOOKUP(A245,'Débit - Abfluss'!$A$4:$K$275,11,FALSE)="","",VLOOKUP(A245,'Débit - Abfluss'!$A$4:$M$275,11,FALSE))</f>
        <v/>
      </c>
      <c r="AT245" s="744" t="str">
        <f>IF(VLOOKUP(A245,'Débit - Abfluss'!$A$4:$Q$275,12,FALSE)="","",VLOOKUP(A245,'Débit - Abfluss'!$A$4:$Q$275,12,FALSE))</f>
        <v/>
      </c>
      <c r="AU245" s="745" t="str">
        <f>IF(VLOOKUP(A245,'Débit - Abfluss'!$A$4:$Q$275,13,FALSE)="","",VLOOKUP(A245,'Débit - Abfluss'!$A$4:$Q$275,13,FALSE))</f>
        <v/>
      </c>
      <c r="AV245" s="746" t="str">
        <f>IF(VLOOKUP(A245,'Débit - Abfluss'!$A$4:$Q$275,14,FALSE)="","",VLOOKUP(A245,'Débit - Abfluss'!$A$4:$Q$275,14,FALSE))</f>
        <v/>
      </c>
      <c r="AW245" s="768" t="str">
        <f>IF(VLOOKUP(A245,'Débit - Abfluss'!$A$4:$Q$275,15,FALSE)="","",VLOOKUP(A245,'Débit - Abfluss'!$A$4:$Q$275,15,FALSE))</f>
        <v/>
      </c>
      <c r="AX245" s="679" t="str">
        <f>IF(VLOOKUP(A245,'Débit - Abfluss'!$A$4:$Q$275,16,FALSE)="","",VLOOKUP(A245,'Débit - Abfluss'!$A$4:$Q$275,16,FALSE))</f>
        <v/>
      </c>
      <c r="AY245" s="769" t="str">
        <f>IF(VLOOKUP(A245,'Débit - Abfluss'!$A$4:$Q$275,17,FALSE)="","",VLOOKUP(A245,'Débit - Abfluss'!$A$4:$Q$275,17,FALSE))</f>
        <v>100%</v>
      </c>
      <c r="AZ245" s="749" t="str">
        <f>IF(VLOOKUP(A245,'Eclusée - Schwall-Sunk'!$A$2:$F$273,5,FALSE)="","",VLOOKUP(A245,'Eclusée - Schwall-Sunk'!$A$2:$F$273,5,FALSE))</f>
        <v/>
      </c>
      <c r="BA245" s="750" t="str">
        <f>IF(VLOOKUP(A245,'Eclusée - Schwall-Sunk'!$A$2:$F$273,6,FALSE)="","",VLOOKUP(A245,'Eclusée - Schwall-Sunk'!$A$2:$F$273,6,FALSE))</f>
        <v>Non affecté / nicht betroffen</v>
      </c>
      <c r="BB245" s="751">
        <f>IF(VLOOKUP(A245,'Revitalisation-Revitalisierung'!$A$4:$Z$275,5,FALSE)="","",VLOOKUP(A245,'Revitalisation-Revitalisierung'!$A$4:$Z$275,5,FALSE))</f>
        <v>-31.363636363636363</v>
      </c>
      <c r="BC245" s="752">
        <f>IF(VLOOKUP(A245,'Revitalisation-Revitalisierung'!$A$4:$Z$275,6,FALSE)="","",VLOOKUP(A245,'Revitalisation-Revitalisierung'!$A$4:$Z$275,6,FALSE))</f>
        <v>0</v>
      </c>
      <c r="BD245" s="752">
        <f>IF(VLOOKUP(A245,'Revitalisation-Revitalisierung'!$A$4:$Z$275,7,FALSE)="","",VLOOKUP(A245,'Revitalisation-Revitalisierung'!$A$4:$Z$275,7,FALSE))</f>
        <v>31.363636363636363</v>
      </c>
      <c r="BE245" s="753" t="str">
        <f>IF(VLOOKUP(A245,'Revitalisation-Revitalisierung'!$A$4:$Z$275,8,FALSE)="","",VLOOKUP(A245,'Revitalisation-Revitalisierung'!$A$4:$Z$275,8,FALSE))</f>
        <v>non nécessaire</v>
      </c>
      <c r="BF245" s="754" t="str">
        <f>IF(VLOOKUP(A245,'Revitalisation-Revitalisierung'!$A$4:$Z$275,9,FALSE)="","",VLOOKUP(A245,'Revitalisation-Revitalisierung'!$A$4:$Z$275,9,FALSE))</f>
        <v>leicht</v>
      </c>
      <c r="BG245" s="754" t="str">
        <f>IF(VLOOKUP(A245,'Revitalisation-Revitalisierung'!$A$4:$Z$275,10,FALSE)="","",VLOOKUP(A245,'Revitalisation-Revitalisierung'!$A$4:$Z$275,10,FALSE))</f>
        <v>K3</v>
      </c>
      <c r="BH245" s="755" t="str">
        <f>IF(VLOOKUP(A245,'Revitalisation-Revitalisierung'!$A$4:$Z$275,11,FALSE)="","",VLOOKUP(A245,'Revitalisation-Revitalisierung'!$A$4:$Z$275,11,FALSE))</f>
        <v/>
      </c>
      <c r="BI245" s="756" t="str">
        <f>IF(VLOOKUP(A245,'Revitalisation-Revitalisierung'!$A$4:$Z$275,12,FALSE)="","",VLOOKUP(A245,'Revitalisation-Revitalisierung'!$A$4:$Z$275,12,FALSE))</f>
        <v/>
      </c>
      <c r="BJ245" s="788" t="str">
        <f>IF(VLOOKUP(A245,'Revitalisation-Revitalisierung'!$A$4:$Z$275,13,FALSE)="","",VLOOKUP(A245,'Revitalisation-Revitalisierung'!$A$4:$Z$275,13,FALSE))</f>
        <v>Non nécessaire / nicht nötig</v>
      </c>
      <c r="BK245" s="870" t="str">
        <f>IF(VLOOKUP(A245,'Revitalisation-Revitalisierung'!$A$4:$Z$275,14,FALSE)="","",VLOOKUP(A245,'Revitalisation-Revitalisierung'!$A$4:$Z$275,14,FALSE))</f>
        <v>a</v>
      </c>
      <c r="BL245" s="758" t="str">
        <f>IF(VLOOKUP(A245,'Revitalisation-Revitalisierung'!$A$4:$Z$275,15,FALSE)="","",VLOOKUP(A245,'Revitalisation-Revitalisierung'!$A$4:$Z$275,15,FALSE))</f>
        <v>moyen et faible</v>
      </c>
      <c r="BM245" s="759" t="str">
        <f>IF(VLOOKUP(A245,'Revitalisation-Revitalisierung'!$A$4:$Z$275,16,FALSE)="","",VLOOKUP(A245,'Revitalisation-Revitalisierung'!$A$4:$Z$275,16,FALSE))</f>
        <v>faible</v>
      </c>
      <c r="BN245" s="759" t="str">
        <f>IF(VLOOKUP(A245,'Revitalisation-Revitalisierung'!$A$4:$Z$275,17,FALSE)="","",VLOOKUP(A245,'Revitalisation-Revitalisierung'!$A$4:$Z$275,17,FALSE))</f>
        <v>nulle</v>
      </c>
      <c r="BO245" s="760" t="str">
        <f>IF(VLOOKUP(A245,'Revitalisation-Revitalisierung'!$A$4:$Z$275,18,FALSE)="","",VLOOKUP(A245,'Revitalisation-Revitalisierung'!$A$4:$Z$275,18,FALSE))</f>
        <v>Non nécessaire / nicht nötig</v>
      </c>
      <c r="BP245" s="761" t="str">
        <f>IF(VLOOKUP(A245,'Revitalisation-Revitalisierung'!$A$4:$Z$275,19,FALSE)="","",VLOOKUP(A245,'Revitalisation-Revitalisierung'!$A$4:$Z$275,19,FALSE))</f>
        <v>Non nécessaire / nicht nötig</v>
      </c>
      <c r="BQ245" s="759" t="str">
        <f>IF(VLOOKUP(A245,'Revitalisation-Revitalisierung'!$A$4:$Z$275,20,FALSE)="","",VLOOKUP(A245,'Revitalisation-Revitalisierung'!$A$4:$Z$275,20,FALSE))</f>
        <v>d</v>
      </c>
      <c r="BR245" s="759" t="str">
        <f>IF(VLOOKUP(A245,'Revitalisation-Revitalisierung'!$A$4:$Z$275,21,FALSE)="","",VLOOKUP(A245,'Revitalisation-Revitalisierung'!$A$4:$Z$275,21,FALSE))</f>
        <v/>
      </c>
      <c r="BS245" s="762" t="str">
        <f>IF(VLOOKUP(A245,'Revitalisation-Revitalisierung'!$A$4:$Z$275,22,FALSE)="","",VLOOKUP(A245,'Revitalisation-Revitalisierung'!$A$4:$Z$275,22,FALSE))</f>
        <v/>
      </c>
      <c r="BT245" s="700" t="str">
        <f>IF(VLOOKUP(A245,'Revitalisation-Revitalisierung'!$A$4:$Z$275,23,FALSE)="","",VLOOKUP(A245,'Revitalisation-Revitalisierung'!$A$4:$Z$275,23,FALSE))</f>
        <v/>
      </c>
      <c r="BU245" s="699" t="str">
        <f>IF(VLOOKUP(A245,'Revitalisation-Revitalisierung'!$A$4:$Z$275,24,FALSE)="","",VLOOKUP(A245,'Revitalisation-Revitalisierung'!$A$4:$Z$275,24,FALSE))</f>
        <v/>
      </c>
      <c r="BV245" s="761" t="str">
        <f>IF(VLOOKUP(A245,'Revitalisation-Revitalisierung'!$A$4:$Z$275,25,FALSE)="","",VLOOKUP(A245,'Revitalisation-Revitalisierung'!$A$4:$Z$275,25,FALSE))</f>
        <v>Non nécessaire / nicht nötig</v>
      </c>
      <c r="BW245" s="871" t="str">
        <f>IF(VLOOKUP(A245,'Revitalisation-Revitalisierung'!$A$4:$AA$275,27,FALSE)="","",VLOOKUP(A245,'Revitalisation-Revitalisierung'!$A$4:$AA$275,27,FALSE))</f>
        <v>a</v>
      </c>
    </row>
    <row r="246" spans="1:75" ht="72" customHeight="1" x14ac:dyDescent="0.25">
      <c r="A246" s="935">
        <v>367</v>
      </c>
      <c r="B246" s="856">
        <f>IF(VLOOKUP(A246,'Données de base - Grunddaten'!$A$2:$M$297,2,FALSE)="","",VLOOKUP(A246,'Données de base - Grunddaten'!$A$2:$M$297,2,FALSE))</f>
        <v>1</v>
      </c>
      <c r="C246" s="857" t="str">
        <f>IF(VLOOKUP(A246,'Données de base - Grunddaten'!$A$2:$M$297,3,FALSE)="","",VLOOKUP(A246,'Données de base - Grunddaten'!$A$2:$M$297,3,FALSE))</f>
        <v>Caslano</v>
      </c>
      <c r="D246" s="857" t="str">
        <f>IF(VLOOKUP(A246,'Données de base - Grunddaten'!$A$2:$M$297,4,FALSE)="","",VLOOKUP(A246,'Données de base - Grunddaten'!$A$2:$M$297,4,FALSE))</f>
        <v>Lago di Lugano, Magliasina</v>
      </c>
      <c r="E246" s="857" t="str">
        <f>IF(VLOOKUP(A246,'Données de base - Grunddaten'!$A$2:$M$297,5,FALSE)="","",VLOOKUP(A246,'Données de base - Grunddaten'!$A$2:$M$297,5,FALSE))</f>
        <v>TI</v>
      </c>
      <c r="F246" s="857" t="str">
        <f>IF(VLOOKUP(A246,'Données de base - Grunddaten'!$A$2:$M$297,6,FALSE)="","",VLOOKUP(A246,'Données de base - Grunddaten'!$A$2:$M$297,6,FALSE))</f>
        <v>Tessin méridional</v>
      </c>
      <c r="G246" s="857" t="str">
        <f>IF(VLOOKUP(A246,'Données de base - Grunddaten'!$A$2:$M$297,7,FALSE)="","",VLOOKUP(A246,'Données de base - Grunddaten'!$A$2:$M$297,7,FALSE))</f>
        <v>Collinéen</v>
      </c>
      <c r="H246" s="857">
        <f>IF(VLOOKUP(A246,'Données de base - Grunddaten'!$A$2:$M$297,8,FALSE)="","",VLOOKUP(A246,'Données de base - Grunddaten'!$A$2:$M$297,8,FALSE))</f>
        <v>270</v>
      </c>
      <c r="I246" s="857">
        <f>IF(VLOOKUP(A246,'Données de base - Grunddaten'!$A$2:$M$297,9,FALSE)="","",VLOOKUP(A246,'Données de base - Grunddaten'!$A$2:$M$297,9,FALSE))</f>
        <v>2003</v>
      </c>
      <c r="J246" s="857">
        <f>IF(VLOOKUP(A246,'Données de base - Grunddaten'!$A$2:$M$297,10,FALSE)="","",VLOOKUP(A246,'Données de base - Grunddaten'!$A$2:$M$297,10,FALSE))</f>
        <v>90</v>
      </c>
      <c r="K246" s="857" t="str">
        <f>IF(VLOOKUP(A246,'Données de base - Grunddaten'!$A$2:$M$297,11,FALSE)="","",VLOOKUP(A246,'Données de base - Grunddaten'!$A$2:$M$297,11,FALSE))</f>
        <v>Delta</v>
      </c>
      <c r="L246" s="857" t="str">
        <f>IF(VLOOKUP(A246,'Données de base - Grunddaten'!$A$2:$M$297,12,FALSE)="","",VLOOKUP(A246,'Données de base - Grunddaten'!$A$2:$M$297,12,FALSE))</f>
        <v>en tresses</v>
      </c>
      <c r="M246" s="858" t="str">
        <f>IF(VLOOKUP(A246,'Données de base - Grunddaten'!$A$2:$M$297,13,FALSE)="","",VLOOKUP(A246,'Données de base - Grunddaten'!$A$2:$M$297,13,FALSE))</f>
        <v>en tresses</v>
      </c>
      <c r="N246" s="872" t="str">
        <f>IF(VLOOKUP(A246,'Charriage - Geschiebehaushalt'!$A$4:$R$275,5,FALSE)="","",VLOOKUP(A246,'Charriage - Geschiebehaushalt'!$A$4:$R$275,5,FALSE))</f>
        <v>pertinent</v>
      </c>
      <c r="O246" s="881" t="str">
        <f>IF(VLOOKUP(A246,'Charriage - Geschiebehaushalt'!$A$4:$R$275,6,FALSE)="","",VLOOKUP(A246,'Charriage - Geschiebehaushalt'!$A$4:$R$275,6,FALSE))</f>
        <v>non documenté</v>
      </c>
      <c r="P246" s="874" t="str">
        <f>IF(VLOOKUP(A246,'Charriage - Geschiebehaushalt'!$A$4:$R$275,7,FALSE)="","",VLOOKUP(A246,'Charriage - Geschiebehaushalt'!$A$4:$R$275,7,FALSE))</f>
        <v/>
      </c>
      <c r="Q246" s="874" t="str">
        <f>IF(VLOOKUP(A246,'Charriage - Geschiebehaushalt'!$A$4:$R$275,8,FALSE)="","",VLOOKUP(A246,'Charriage - Geschiebehaushalt'!$A$4:$R$275,8,FALSE))</f>
        <v>non documenté</v>
      </c>
      <c r="R246" s="875">
        <f>IF(VLOOKUP(A246,'Charriage - Geschiebehaushalt'!$A$4:$R$275,9,FALSE)="","",VLOOKUP(A246,'Charriage - Geschiebehaushalt'!$A$4:$R$275,9,FALSE))</f>
        <v>0.42409928573355099</v>
      </c>
      <c r="S246" s="895" t="str">
        <f>IF(VLOOKUP(A246,'Charriage - Geschiebehaushalt'!$A$4:$R$275,10,FALSE)="","",VLOOKUP(A246,'Charriage - Geschiebehaushalt'!$A$4:$R$275,10,FALSE))</f>
        <v>la remobilisation des sédiments est perturbée</v>
      </c>
      <c r="T246" s="875">
        <f>IF(VLOOKUP(A246,'Charriage - Geschiebehaushalt'!$A$4:$R$275,11,FALSE)="","",VLOOKUP(A246,'Charriage - Geschiebehaushalt'!$A$4:$R$275,11,FALSE))</f>
        <v>9.2140458142999995E-2</v>
      </c>
      <c r="U246" s="876" t="str">
        <f>IF(VLOOKUP(A246,'Charriage - Geschiebehaushalt'!$A$4:$R$275,12,FALSE)="","",VLOOKUP(A246,'Charriage - Geschiebehaushalt'!$A$4:$R$275,12,FALSE))</f>
        <v>déficit dans les formations pionnières</v>
      </c>
      <c r="V246" s="877" t="str">
        <f>IF(VLOOKUP(A246,'Charriage - Geschiebehaushalt'!$A$4:$R$275,13,FALSE)="","",VLOOKUP(A246,'Charriage - Geschiebehaushalt'!$A$4:$R$275,13,FALSE))</f>
        <v/>
      </c>
      <c r="W246" s="877" t="str">
        <f>IF(VLOOKUP(A246,'Charriage - Geschiebehaushalt'!$A$4:$R$275,14,FALSE)="","",VLOOKUP(A246,'Charriage - Geschiebehaushalt'!$A$4:$R$275,14,FALSE))</f>
        <v/>
      </c>
      <c r="X246" s="877" t="str">
        <f>IF(VLOOKUP(A246,'Charriage - Geschiebehaushalt'!$A$4:$R$275,15,FALSE)="","",VLOOKUP(A246,'Charriage - Geschiebehaushalt'!$A$4:$R$275,15,FALSE))</f>
        <v/>
      </c>
      <c r="Y246" s="879" t="str">
        <f>IF(VLOOKUP(A246,'Charriage - Geschiebehaushalt'!$A$4:$R$275,16,FALSE)="","",VLOOKUP(A246,'Charriage - Geschiebehaushalt'!$A$4:$R$275,16,FALSE))</f>
        <v/>
      </c>
      <c r="Z246" s="763" t="str">
        <f>IF(VLOOKUP(A246,'Charriage - Geschiebehaushalt'!$A$4:$R$275,17,FALSE)="","",VLOOKUP(A246,'Charriage - Geschiebehaushalt'!$A$4:$R$275,17,FALSE))</f>
        <v>La remobilisation des sédiments est perturbée / Mobilisierung von Geschiebe beeinträchtigt</v>
      </c>
      <c r="AA246" s="880" t="str">
        <f>IF(VLOOKUP(A246,'Charriage - Geschiebehaushalt'!$A$4:$R$275,18,FALSE)="","",VLOOKUP(A246,'Charriage - Geschiebehaushalt'!$A$4:$R$275,18,FALSE))</f>
        <v>b</v>
      </c>
      <c r="AB246" s="737" t="str">
        <f>IF(VLOOKUP(A246,'Charriage - Geschiebehaushalt'!$A$4:$AC$275,19,FALSE)="","",VLOOKUP(A246,'Charriage - Geschiebehaushalt'!$A$4:$AC$275,19,FALSE))</f>
        <v>non évalué</v>
      </c>
      <c r="AC246" s="738" t="str">
        <f>IF(VLOOKUP(A246,'Charriage - Geschiebehaushalt'!$A$4:$AC$275,20,FALSE)="","",VLOOKUP(A246,'Charriage - Geschiebehaushalt'!$A$4:$AC$275,20,FALSE))</f>
        <v>non évalué</v>
      </c>
      <c r="AD246" s="764" t="str">
        <f>IF(VLOOKUP(A246,'Charriage - Geschiebehaushalt'!$A$4:$AC$275,21,FALSE)="","",VLOOKUP(A246,'Charriage - Geschiebehaushalt'!$A$4:$AC$275,21,FALSE))</f>
        <v/>
      </c>
      <c r="AE246" s="740" t="str">
        <f>IF(VLOOKUP(A246,'Charriage - Geschiebehaushalt'!$A$4:$AC$275,22,FALSE)="","",VLOOKUP(A246,'Charriage - Geschiebehaushalt'!$A$4:$AC$275,22,FALSE))</f>
        <v>21-50%</v>
      </c>
      <c r="AF246" s="904" t="str">
        <f>IF(VLOOKUP(A246,'Charriage - Geschiebehaushalt'!$A$4:$AC$275,23,FALSE)="","",VLOOKUP(A246,'Charriage - Geschiebehaushalt'!$A$4:$AC$275,23,FALSE))</f>
        <v>b</v>
      </c>
      <c r="AG246" s="765" t="str">
        <f>IF(VLOOKUP(A246,'Charriage - Geschiebehaushalt'!$A$4:$AC$275,24,FALSE)="","",VLOOKUP(A246,'Charriage - Geschiebehaushalt'!$A$4:$AC$275,24,FALSE))</f>
        <v/>
      </c>
      <c r="AH246" s="764" t="str">
        <f>IF(VLOOKUP(A246,'Charriage - Geschiebehaushalt'!$A$4:$AC$275,25,FALSE)="","",VLOOKUP(A246,'Charriage - Geschiebehaushalt'!$A$4:$AC$275,25,FALSE))</f>
        <v/>
      </c>
      <c r="AI246" s="441" t="str">
        <f>IF(VLOOKUP(A246,'Charriage - Geschiebehaushalt'!$A$4:$AC$275,26,FALSE)="","",VLOOKUP(A246,'Charriage - Geschiebehaushalt'!$A$4:$AC$275,26,FALSE))</f>
        <v/>
      </c>
      <c r="AJ246" s="434" t="str">
        <f>IF(VLOOKUP(A246,'Charriage - Geschiebehaushalt'!$A$4:$AC$275,27,FALSE)="","",VLOOKUP(A246,'Charriage - Geschiebehaushalt'!$A$4:$AC$275,27,FALSE))</f>
        <v/>
      </c>
      <c r="AK246" s="801" t="str">
        <f>IF(VLOOKUP(A246,'Charriage - Geschiebehaushalt'!$A$4:$AC$275,28,FALSE)="","",VLOOKUP(A246,'Charriage - Geschiebehaushalt'!$A$4:$AC$275,28,FALSE))</f>
        <v>21-50%</v>
      </c>
      <c r="AL246" s="1285" t="str">
        <f>IF(VLOOKUP(A246,'Charriage - Geschiebehaushalt'!$A$4:$AD$275,30,FALSE)="","",VLOOKUP(A246,'Charriage - Geschiebehaushalt'!$A$4:$AD$275,30,FALSE))</f>
        <v>b</v>
      </c>
      <c r="AM246" s="1279" t="str">
        <f>IF(VLOOKUP(A246,'Débit - Abfluss'!$A$4:$K$275,5,FALSE)="","",VLOOKUP(A246,'Débit - Abfluss'!$A$4:$M$275,5,FALSE))</f>
        <v>100%</v>
      </c>
      <c r="AN246" s="868" t="str">
        <f>IF(VLOOKUP(A246,'Débit - Abfluss'!$A$4:$K$275,6,FALSE)="","",VLOOKUP(A246,'Débit - Abfluss'!$A$4:$M$275,6,FALSE))</f>
        <v>aucune information supplémentaire</v>
      </c>
      <c r="AO246" s="869" t="str">
        <f>IF(VLOOKUP(A246,'Débit - Abfluss'!$A$4:$K$275,7,FALSE)="","",VLOOKUP(A246,'Débit - Abfluss'!$A$4:$M$275,7,FALSE))</f>
        <v>aucune information supplémentaire</v>
      </c>
      <c r="AP246" s="815" t="str">
        <f>IF(VLOOKUP(A246,'Débit - Abfluss'!$A$4:$K$275,8,FALSE)="","",VLOOKUP(A246,'Débit - Abfluss'!$A$4:$M$275,8,FALSE))</f>
        <v>100%</v>
      </c>
      <c r="AQ246" s="742" t="str">
        <f>IF(VLOOKUP(A246,'Débit - Abfluss'!$A$4:$K$275,9,FALSE)="","",VLOOKUP(A246,'Débit - Abfluss'!$A$4:$M$275,9,FALSE))</f>
        <v>-</v>
      </c>
      <c r="AR246" s="767" t="str">
        <f>IF(VLOOKUP(A246,'Débit - Abfluss'!$A$4:$K$275,10,FALSE)="","",VLOOKUP(A246,'Débit - Abfluss'!$A$4:$M$275,10,FALSE))</f>
        <v>100%</v>
      </c>
      <c r="AS246" s="816" t="str">
        <f>IF(VLOOKUP(A246,'Débit - Abfluss'!$A$4:$K$275,11,FALSE)="","",VLOOKUP(A246,'Débit - Abfluss'!$A$4:$M$275,11,FALSE))</f>
        <v/>
      </c>
      <c r="AT246" s="817" t="str">
        <f>IF(VLOOKUP(A246,'Débit - Abfluss'!$A$4:$Q$275,12,FALSE)="","",VLOOKUP(A246,'Débit - Abfluss'!$A$4:$Q$275,12,FALSE))</f>
        <v/>
      </c>
      <c r="AU246" s="818" t="str">
        <f>IF(VLOOKUP(A246,'Débit - Abfluss'!$A$4:$Q$275,13,FALSE)="","",VLOOKUP(A246,'Débit - Abfluss'!$A$4:$Q$275,13,FALSE))</f>
        <v/>
      </c>
      <c r="AV246" s="746" t="str">
        <f>IF(VLOOKUP(A246,'Débit - Abfluss'!$A$4:$Q$275,14,FALSE)="","",VLOOKUP(A246,'Débit - Abfluss'!$A$4:$Q$275,14,FALSE))</f>
        <v/>
      </c>
      <c r="AW246" s="768" t="str">
        <f>IF(VLOOKUP(A246,'Débit - Abfluss'!$A$4:$Q$275,15,FALSE)="","",VLOOKUP(A246,'Débit - Abfluss'!$A$4:$Q$275,15,FALSE))</f>
        <v/>
      </c>
      <c r="AX246" s="679" t="str">
        <f>IF(VLOOKUP(A246,'Débit - Abfluss'!$A$4:$Q$275,16,FALSE)="","",VLOOKUP(A246,'Débit - Abfluss'!$A$4:$Q$275,16,FALSE))</f>
        <v/>
      </c>
      <c r="AY246" s="769" t="str">
        <f>IF(VLOOKUP(A246,'Débit - Abfluss'!$A$4:$Q$275,17,FALSE)="","",VLOOKUP(A246,'Débit - Abfluss'!$A$4:$Q$275,17,FALSE))</f>
        <v>100%</v>
      </c>
      <c r="AZ246" s="749" t="str">
        <f>IF(VLOOKUP(A246,'Eclusée - Schwall-Sunk'!$A$2:$F$273,5,FALSE)="","",VLOOKUP(A246,'Eclusée - Schwall-Sunk'!$A$2:$F$273,5,FALSE))</f>
        <v/>
      </c>
      <c r="BA246" s="750" t="str">
        <f>IF(VLOOKUP(A246,'Eclusée - Schwall-Sunk'!$A$2:$F$273,6,FALSE)="","",VLOOKUP(A246,'Eclusée - Schwall-Sunk'!$A$2:$F$273,6,FALSE))</f>
        <v>Non affecté / nicht betroffen</v>
      </c>
      <c r="BB246" s="751" t="str">
        <f>IF(VLOOKUP(A246,'Revitalisation-Revitalisierung'!$A$4:$Z$275,5,FALSE)="","",VLOOKUP(A246,'Revitalisation-Revitalisierung'!$A$4:$Z$275,5,FALSE))</f>
        <v/>
      </c>
      <c r="BC246" s="752" t="str">
        <f>IF(VLOOKUP(A246,'Revitalisation-Revitalisierung'!$A$4:$Z$275,6,FALSE)="","",VLOOKUP(A246,'Revitalisation-Revitalisierung'!$A$4:$Z$275,6,FALSE))</f>
        <v/>
      </c>
      <c r="BD246" s="752" t="str">
        <f>IF(VLOOKUP(A246,'Revitalisation-Revitalisierung'!$A$4:$Z$275,7,FALSE)="","",VLOOKUP(A246,'Revitalisation-Revitalisierung'!$A$4:$Z$275,7,FALSE))</f>
        <v/>
      </c>
      <c r="BE246" s="753" t="str">
        <f>IF(VLOOKUP(A246,'Revitalisation-Revitalisierung'!$A$4:$Z$275,8,FALSE)="","",VLOOKUP(A246,'Revitalisation-Revitalisierung'!$A$4:$Z$275,8,FALSE))</f>
        <v>non nécessaire</v>
      </c>
      <c r="BF246" s="754" t="str">
        <f>IF(VLOOKUP(A246,'Revitalisation-Revitalisierung'!$A$4:$Z$275,9,FALSE)="","",VLOOKUP(A246,'Revitalisation-Revitalisierung'!$A$4:$Z$275,9,FALSE))</f>
        <v>nicht nötig</v>
      </c>
      <c r="BG246" s="754" t="str">
        <f>IF(VLOOKUP(A246,'Revitalisation-Revitalisierung'!$A$4:$Z$275,10,FALSE)="","",VLOOKUP(A246,'Revitalisation-Revitalisierung'!$A$4:$Z$275,10,FALSE))</f>
        <v>K2</v>
      </c>
      <c r="BH246" s="755" t="str">
        <f>IF(VLOOKUP(A246,'Revitalisation-Revitalisierung'!$A$4:$Z$275,11,FALSE)="","",VLOOKUP(A246,'Revitalisation-Revitalisierung'!$A$4:$Z$275,11,FALSE))</f>
        <v/>
      </c>
      <c r="BI246" s="756" t="str">
        <f>IF(VLOOKUP(A246,'Revitalisation-Revitalisierung'!$A$4:$Z$275,12,FALSE)="","",VLOOKUP(A246,'Revitalisation-Revitalisierung'!$A$4:$Z$275,12,FALSE))</f>
        <v/>
      </c>
      <c r="BJ246" s="788" t="str">
        <f>IF(VLOOKUP(A246,'Revitalisation-Revitalisierung'!$A$4:$Z$275,13,FALSE)="","",VLOOKUP(A246,'Revitalisation-Revitalisierung'!$A$4:$Z$275,13,FALSE))</f>
        <v>Très nécessaire, facile / unbedingt nötig, einfach</v>
      </c>
      <c r="BK246" s="870" t="str">
        <f>IF(VLOOKUP(A246,'Revitalisation-Revitalisierung'!$A$4:$Z$275,14,FALSE)="","",VLOOKUP(A246,'Revitalisation-Revitalisierung'!$A$4:$Z$275,14,FALSE))</f>
        <v>b</v>
      </c>
      <c r="BL246" s="758" t="str">
        <f>IF(VLOOKUP(A246,'Revitalisation-Revitalisierung'!$A$4:$Z$275,15,FALSE)="","",VLOOKUP(A246,'Revitalisation-Revitalisierung'!$A$4:$Z$275,15,FALSE))</f>
        <v>moyen</v>
      </c>
      <c r="BM246" s="759" t="str">
        <f>IF(VLOOKUP(A246,'Revitalisation-Revitalisierung'!$A$4:$Z$275,16,FALSE)="","",VLOOKUP(A246,'Revitalisation-Revitalisierung'!$A$4:$Z$275,16,FALSE))</f>
        <v>important</v>
      </c>
      <c r="BN246" s="759" t="str">
        <f>IF(VLOOKUP(A246,'Revitalisation-Revitalisierung'!$A$4:$Z$275,17,FALSE)="","",VLOOKUP(A246,'Revitalisation-Revitalisierung'!$A$4:$Z$275,17,FALSE))</f>
        <v>moyen</v>
      </c>
      <c r="BO246" s="760" t="str">
        <f>IF(VLOOKUP(A246,'Revitalisation-Revitalisierung'!$A$4:$Z$275,18,FALSE)="","",VLOOKUP(A246,'Revitalisation-Revitalisierung'!$A$4:$Z$275,18,FALSE))</f>
        <v>Très nécessaire, facile / unbedingt nötig, einfach</v>
      </c>
      <c r="BP246" s="761" t="str">
        <f>IF(VLOOKUP(A246,'Revitalisation-Revitalisierung'!$A$4:$Z$275,19,FALSE)="","",VLOOKUP(A246,'Revitalisation-Revitalisierung'!$A$4:$Z$275,19,FALSE))</f>
        <v>Très nécessaire, facile / unbedingt nötig, einfach</v>
      </c>
      <c r="BQ246" s="759" t="str">
        <f>IF(VLOOKUP(A246,'Revitalisation-Revitalisierung'!$A$4:$Z$275,20,FALSE)="","",VLOOKUP(A246,'Revitalisation-Revitalisierung'!$A$4:$Z$275,20,FALSE))</f>
        <v>d</v>
      </c>
      <c r="BR246" s="759" t="str">
        <f>IF(VLOOKUP(A246,'Revitalisation-Revitalisierung'!$A$4:$Z$275,21,FALSE)="","",VLOOKUP(A246,'Revitalisation-Revitalisierung'!$A$4:$Z$275,21,FALSE))</f>
        <v/>
      </c>
      <c r="BS246" s="762" t="str">
        <f>IF(VLOOKUP(A246,'Revitalisation-Revitalisierung'!$A$4:$Z$275,22,FALSE)="","",VLOOKUP(A246,'Revitalisation-Revitalisierung'!$A$4:$Z$275,22,FALSE))</f>
        <v/>
      </c>
      <c r="BT246" s="700" t="str">
        <f>IF(VLOOKUP(A246,'Revitalisation-Revitalisierung'!$A$4:$Z$275,23,FALSE)="","",VLOOKUP(A246,'Revitalisation-Revitalisierung'!$A$4:$Z$275,23,FALSE))</f>
        <v/>
      </c>
      <c r="BU246" s="699" t="str">
        <f>IF(VLOOKUP(A246,'Revitalisation-Revitalisierung'!$A$4:$Z$275,24,FALSE)="","",VLOOKUP(A246,'Revitalisation-Revitalisierung'!$A$4:$Z$275,24,FALSE))</f>
        <v/>
      </c>
      <c r="BV246" s="761" t="str">
        <f>IF(VLOOKUP(A246,'Revitalisation-Revitalisierung'!$A$4:$Z$275,25,FALSE)="","",VLOOKUP(A246,'Revitalisation-Revitalisierung'!$A$4:$Z$275,25,FALSE))</f>
        <v>Très nécessaire, facile / unbedingt nötig, einfach</v>
      </c>
      <c r="BW246" s="871" t="str">
        <f>IF(VLOOKUP(A246,'Revitalisation-Revitalisierung'!$A$4:$AA$275,27,FALSE)="","",VLOOKUP(A246,'Revitalisation-Revitalisierung'!$A$4:$AA$275,27,FALSE))</f>
        <v>a</v>
      </c>
    </row>
    <row r="247" spans="1:75" ht="95.45" customHeight="1" x14ac:dyDescent="0.25">
      <c r="A247" s="939">
        <v>368</v>
      </c>
      <c r="B247" s="856">
        <f>IF(VLOOKUP(A247,'Données de base - Grunddaten'!$A$2:$M$297,2,FALSE)="","",VLOOKUP(A247,'Données de base - Grunddaten'!$A$2:$M$297,2,FALSE))</f>
        <v>1</v>
      </c>
      <c r="C247" s="857" t="str">
        <f>IF(VLOOKUP(A247,'Données de base - Grunddaten'!$A$2:$M$297,3,FALSE)="","",VLOOKUP(A247,'Données de base - Grunddaten'!$A$2:$M$297,3,FALSE))</f>
        <v>Genestrerio</v>
      </c>
      <c r="D247" s="857" t="str">
        <f>IF(VLOOKUP(A247,'Données de base - Grunddaten'!$A$2:$M$297,4,FALSE)="","",VLOOKUP(A247,'Données de base - Grunddaten'!$A$2:$M$297,4,FALSE))</f>
        <v>Laveggio</v>
      </c>
      <c r="E247" s="857" t="str">
        <f>IF(VLOOKUP(A247,'Données de base - Grunddaten'!$A$2:$M$297,5,FALSE)="","",VLOOKUP(A247,'Données de base - Grunddaten'!$A$2:$M$297,5,FALSE))</f>
        <v>TI</v>
      </c>
      <c r="F247" s="857" t="str">
        <f>IF(VLOOKUP(A247,'Données de base - Grunddaten'!$A$2:$M$297,6,FALSE)="","",VLOOKUP(A247,'Données de base - Grunddaten'!$A$2:$M$297,6,FALSE))</f>
        <v>Tessin méridional</v>
      </c>
      <c r="G247" s="857" t="str">
        <f>IF(VLOOKUP(A247,'Données de base - Grunddaten'!$A$2:$M$297,7,FALSE)="","",VLOOKUP(A247,'Données de base - Grunddaten'!$A$2:$M$297,7,FALSE))</f>
        <v>Collinéen</v>
      </c>
      <c r="H247" s="857">
        <f>IF(VLOOKUP(A247,'Données de base - Grunddaten'!$A$2:$M$297,8,FALSE)="","",VLOOKUP(A247,'Données de base - Grunddaten'!$A$2:$M$297,8,FALSE))</f>
        <v>330</v>
      </c>
      <c r="I247" s="857" t="str">
        <f>IF(VLOOKUP(A247,'Données de base - Grunddaten'!$A$2:$M$297,9,FALSE)="","",VLOOKUP(A247,'Données de base - Grunddaten'!$A$2:$M$297,9,FALSE))</f>
        <v>candidat</v>
      </c>
      <c r="J247" s="857">
        <f>IF(VLOOKUP(A247,'Données de base - Grunddaten'!$A$2:$M$297,10,FALSE)="","",VLOOKUP(A247,'Données de base - Grunddaten'!$A$2:$M$297,10,FALSE))</f>
        <v>61</v>
      </c>
      <c r="K247" s="857" t="str">
        <f>IF(VLOOKUP(A247,'Données de base - Grunddaten'!$A$2:$M$297,11,FALSE)="","",VLOOKUP(A247,'Données de base - Grunddaten'!$A$2:$M$297,11,FALSE))</f>
        <v>Cours d'eau naturels de l'étage collinéen du Sud des Alpes</v>
      </c>
      <c r="L247" s="857" t="str">
        <f>IF(VLOOKUP(A247,'Données de base - Grunddaten'!$A$2:$M$297,12,FALSE)="","",VLOOKUP(A247,'Données de base - Grunddaten'!$A$2:$M$297,12,FALSE))</f>
        <v>méandres migrants</v>
      </c>
      <c r="M247" s="858" t="str">
        <f>IF(VLOOKUP(A247,'Données de base - Grunddaten'!$A$2:$M$297,13,FALSE)="","",VLOOKUP(A247,'Données de base - Grunddaten'!$A$2:$M$297,13,FALSE))</f>
        <v>ménadres migrants</v>
      </c>
      <c r="N247" s="872" t="str">
        <f>IF(VLOOKUP(A247,'Charriage - Geschiebehaushalt'!$A$4:$R$275,5,FALSE)="","",VLOOKUP(A247,'Charriage - Geschiebehaushalt'!$A$4:$R$275,5,FALSE))</f>
        <v>pertinent</v>
      </c>
      <c r="O247" s="881" t="str">
        <f>IF(VLOOKUP(A247,'Charriage - Geschiebehaushalt'!$A$4:$R$275,6,FALSE)="","",VLOOKUP(A247,'Charriage - Geschiebehaushalt'!$A$4:$R$275,6,FALSE))</f>
        <v>non documenté</v>
      </c>
      <c r="P247" s="874" t="str">
        <f>IF(VLOOKUP(A247,'Charriage - Geschiebehaushalt'!$A$4:$R$275,7,FALSE)="","",VLOOKUP(A247,'Charriage - Geschiebehaushalt'!$A$4:$R$275,7,FALSE))</f>
        <v/>
      </c>
      <c r="Q247" s="874" t="str">
        <f>IF(VLOOKUP(A247,'Charriage - Geschiebehaushalt'!$A$4:$R$275,8,FALSE)="","",VLOOKUP(A247,'Charriage - Geschiebehaushalt'!$A$4:$R$275,8,FALSE))</f>
        <v>non documenté</v>
      </c>
      <c r="R247" s="875" t="str">
        <f>IF(VLOOKUP(A247,'Charriage - Geschiebehaushalt'!$A$4:$R$275,9,FALSE)="","",VLOOKUP(A247,'Charriage - Geschiebehaushalt'!$A$4:$R$275,9,FALSE))</f>
        <v/>
      </c>
      <c r="S247" s="895" t="str">
        <f>IF(VLOOKUP(A247,'Charriage - Geschiebehaushalt'!$A$4:$R$275,10,FALSE)="","",VLOOKUP(A247,'Charriage - Geschiebehaushalt'!$A$4:$R$275,10,FALSE))</f>
        <v/>
      </c>
      <c r="T247" s="895" t="str">
        <f>IF(VLOOKUP(A247,'Charriage - Geschiebehaushalt'!$A$4:$R$275,11,FALSE)="","",VLOOKUP(A247,'Charriage - Geschiebehaushalt'!$A$4:$R$275,11,FALSE))</f>
        <v/>
      </c>
      <c r="U247" s="895" t="str">
        <f>IF(VLOOKUP(A247,'Charriage - Geschiebehaushalt'!$A$4:$R$275,12,FALSE)="","",VLOOKUP(A247,'Charriage - Geschiebehaushalt'!$A$4:$R$275,12,FALSE))</f>
        <v/>
      </c>
      <c r="V247" s="877" t="str">
        <f>IF(VLOOKUP(A247,'Charriage - Geschiebehaushalt'!$A$4:$R$275,13,FALSE)="","",VLOOKUP(A247,'Charriage - Geschiebehaushalt'!$A$4:$R$275,13,FALSE))</f>
        <v>Petit cours d'eau. Pas de perturbation visible sur Google</v>
      </c>
      <c r="W247" s="877" t="str">
        <f>IF(VLOOKUP(A247,'Charriage - Geschiebehaushalt'!$A$4:$R$275,14,FALSE)="","",VLOOKUP(A247,'Charriage - Geschiebehaushalt'!$A$4:$R$275,14,FALSE))</f>
        <v>charriage présumé naturel</v>
      </c>
      <c r="X247" s="877" t="str">
        <f>IF(VLOOKUP(A247,'Charriage - Geschiebehaushalt'!$A$4:$R$275,15,FALSE)="","",VLOOKUP(A247,'Charriage - Geschiebehaushalt'!$A$4:$R$275,15,FALSE))</f>
        <v>pas d'ouvrage dans le bassin versant</v>
      </c>
      <c r="Y247" s="882" t="str">
        <f>IF(VLOOKUP(A247,'Charriage - Geschiebehaushalt'!$A$4:$R$275,16,FALSE)="","",VLOOKUP(A247,'Charriage - Geschiebehaushalt'!$A$4:$R$275,16,FALSE))</f>
        <v>charriage présumé naturel</v>
      </c>
      <c r="Z247" s="763" t="str">
        <f>IF(VLOOKUP(A247,'Charriage - Geschiebehaushalt'!$A$4:$R$275,17,FALSE)="","",VLOOKUP(A247,'Charriage - Geschiebehaushalt'!$A$4:$R$275,17,FALSE))</f>
        <v>Charriage présumé naturel / Geschiebehaushalt vermutlich natürlich</v>
      </c>
      <c r="AA247" s="880" t="str">
        <f>IF(VLOOKUP(A247,'Charriage - Geschiebehaushalt'!$A$4:$R$275,18,FALSE)="","",VLOOKUP(A247,'Charriage - Geschiebehaushalt'!$A$4:$R$275,18,FALSE))</f>
        <v>b</v>
      </c>
      <c r="AB247" s="737" t="e">
        <f>IF(VLOOKUP(A247,'Charriage - Geschiebehaushalt'!$A$4:$AC$275,19,FALSE)="","",VLOOKUP(A247,'Charriage - Geschiebehaushalt'!$A$4:$AC$275,19,FALSE))</f>
        <v>#N/A</v>
      </c>
      <c r="AC247" s="738" t="e">
        <f>IF(VLOOKUP(A247,'Charriage - Geschiebehaushalt'!$A$4:$AC$275,20,FALSE)="","",VLOOKUP(A247,'Charriage - Geschiebehaushalt'!$A$4:$AC$275,20,FALSE))</f>
        <v>#N/A</v>
      </c>
      <c r="AD247" s="764" t="str">
        <f>IF(VLOOKUP(A247,'Charriage - Geschiebehaushalt'!$A$4:$AC$275,21,FALSE)="","",VLOOKUP(A247,'Charriage - Geschiebehaushalt'!$A$4:$AC$275,21,FALSE))</f>
        <v/>
      </c>
      <c r="AE247" s="740" t="str">
        <f>IF(VLOOKUP(A247,'Charriage - Geschiebehaushalt'!$A$4:$AC$275,22,FALSE)="","",VLOOKUP(A247,'Charriage - Geschiebehaushalt'!$A$4:$AC$275,22,FALSE))</f>
        <v>0-20%</v>
      </c>
      <c r="AF247" s="787" t="str">
        <f>IF(VLOOKUP(A247,'Charriage - Geschiebehaushalt'!$A$4:$AC$275,23,FALSE)="","",VLOOKUP(A247,'Charriage - Geschiebehaushalt'!$A$4:$AC$275,23,FALSE))</f>
        <v>b</v>
      </c>
      <c r="AG247" s="765" t="str">
        <f>IF(VLOOKUP(A247,'Charriage - Geschiebehaushalt'!$A$4:$AC$275,24,FALSE)="","",VLOOKUP(A247,'Charriage - Geschiebehaushalt'!$A$4:$AC$275,24,FALSE))</f>
        <v/>
      </c>
      <c r="AH247" s="764" t="str">
        <f>IF(VLOOKUP(A247,'Charriage - Geschiebehaushalt'!$A$4:$AC$275,25,FALSE)="","",VLOOKUP(A247,'Charriage - Geschiebehaushalt'!$A$4:$AC$275,25,FALSE))</f>
        <v/>
      </c>
      <c r="AI247" s="441" t="str">
        <f>IF(VLOOKUP(A247,'Charriage - Geschiebehaushalt'!$A$4:$AC$275,26,FALSE)="","",VLOOKUP(A247,'Charriage - Geschiebehaushalt'!$A$4:$AC$275,26,FALSE))</f>
        <v/>
      </c>
      <c r="AJ247" s="434" t="str">
        <f>IF(VLOOKUP(A247,'Charriage - Geschiebehaushalt'!$A$4:$AC$275,27,FALSE)="","",VLOOKUP(A247,'Charriage - Geschiebehaushalt'!$A$4:$AC$275,27,FALSE))</f>
        <v/>
      </c>
      <c r="AK247" s="801" t="str">
        <f>IF(VLOOKUP(A247,'Charriage - Geschiebehaushalt'!$A$4:$AC$275,28,FALSE)="","",VLOOKUP(A247,'Charriage - Geschiebehaushalt'!$A$4:$AC$275,28,FALSE))</f>
        <v>0-20%</v>
      </c>
      <c r="AL247" s="1285" t="str">
        <f>IF(VLOOKUP(A247,'Charriage - Geschiebehaushalt'!$A$4:$AD$275,30,FALSE)="","",VLOOKUP(A247,'Charriage - Geschiebehaushalt'!$A$4:$AD$275,30,FALSE))</f>
        <v>b</v>
      </c>
      <c r="AM247" s="1279" t="str">
        <f>IF(VLOOKUP(A247,'Débit - Abfluss'!$A$4:$K$275,5,FALSE)="","",VLOOKUP(A247,'Débit - Abfluss'!$A$4:$M$275,5,FALSE))</f>
        <v>non documenté</v>
      </c>
      <c r="AN247" s="868" t="str">
        <f>IF(VLOOKUP(A247,'Débit - Abfluss'!$A$4:$K$275,6,FALSE)="","",VLOOKUP(A247,'Débit - Abfluss'!$A$4:$M$275,6,FALSE))</f>
        <v>aucune information supplémentaire</v>
      </c>
      <c r="AO247" s="869" t="str">
        <f>IF(VLOOKUP(A247,'Débit - Abfluss'!$A$4:$K$275,7,FALSE)="","",VLOOKUP(A247,'Débit - Abfluss'!$A$4:$M$275,7,FALSE))</f>
        <v>aucune information supplémentaire</v>
      </c>
      <c r="AP247" s="766" t="str">
        <f>IF(VLOOKUP(A247,'Débit - Abfluss'!$A$4:$K$275,8,FALSE)="","",VLOOKUP(A247,'Débit - Abfluss'!$A$4:$M$275,8,FALSE))</f>
        <v>Régime présumé naturel (100%) / Abfluss vermutlich natürlich</v>
      </c>
      <c r="AQ247" s="742" t="str">
        <f>IF(VLOOKUP(A247,'Débit - Abfluss'!$A$4:$K$275,9,FALSE)="","",VLOOKUP(A247,'Débit - Abfluss'!$A$4:$M$275,9,FALSE))</f>
        <v>-</v>
      </c>
      <c r="AR247" s="767" t="str">
        <f>IF(VLOOKUP(A247,'Débit - Abfluss'!$A$4:$K$275,10,FALSE)="","",VLOOKUP(A247,'Débit - Abfluss'!$A$4:$M$275,10,FALSE))</f>
        <v>Régime présumé naturel (100%) / Abfluss vermutlich natürlich</v>
      </c>
      <c r="AS247" s="767" t="str">
        <f>IF(VLOOKUP(A247,'Débit - Abfluss'!$A$4:$K$275,11,FALSE)="","",VLOOKUP(A247,'Débit - Abfluss'!$A$4:$M$275,11,FALSE))</f>
        <v/>
      </c>
      <c r="AT247" s="744" t="str">
        <f>IF(VLOOKUP(A247,'Débit - Abfluss'!$A$4:$Q$275,12,FALSE)="","",VLOOKUP(A247,'Débit - Abfluss'!$A$4:$Q$275,12,FALSE))</f>
        <v/>
      </c>
      <c r="AU247" s="745" t="str">
        <f>IF(VLOOKUP(A247,'Débit - Abfluss'!$A$4:$Q$275,13,FALSE)="","",VLOOKUP(A247,'Débit - Abfluss'!$A$4:$Q$275,13,FALSE))</f>
        <v/>
      </c>
      <c r="AV247" s="746" t="str">
        <f>IF(VLOOKUP(A247,'Débit - Abfluss'!$A$4:$Q$275,14,FALSE)="","",VLOOKUP(A247,'Débit - Abfluss'!$A$4:$Q$275,14,FALSE))</f>
        <v/>
      </c>
      <c r="AW247" s="768" t="str">
        <f>IF(VLOOKUP(A247,'Débit - Abfluss'!$A$4:$Q$275,15,FALSE)="","",VLOOKUP(A247,'Débit - Abfluss'!$A$4:$Q$275,15,FALSE))</f>
        <v/>
      </c>
      <c r="AX247" s="679" t="str">
        <f>IF(VLOOKUP(A247,'Débit - Abfluss'!$A$4:$Q$275,16,FALSE)="","",VLOOKUP(A247,'Débit - Abfluss'!$A$4:$Q$275,16,FALSE))</f>
        <v/>
      </c>
      <c r="AY247" s="769" t="str">
        <f>IF(VLOOKUP(A247,'Débit - Abfluss'!$A$4:$Q$275,17,FALSE)="","",VLOOKUP(A247,'Débit - Abfluss'!$A$4:$Q$275,17,FALSE))</f>
        <v>Régime présumé naturel (100%) / Abfluss vermutlich natürlich</v>
      </c>
      <c r="AZ247" s="749" t="str">
        <f>IF(VLOOKUP(A247,'Eclusée - Schwall-Sunk'!$A$2:$F$273,5,FALSE)="","",VLOOKUP(A247,'Eclusée - Schwall-Sunk'!$A$2:$F$273,5,FALSE))</f>
        <v/>
      </c>
      <c r="BA247" s="750" t="str">
        <f>IF(VLOOKUP(A247,'Eclusée - Schwall-Sunk'!$A$2:$F$273,6,FALSE)="","",VLOOKUP(A247,'Eclusée - Schwall-Sunk'!$A$2:$F$273,6,FALSE))</f>
        <v>Non affecté / nicht betroffen</v>
      </c>
      <c r="BB247" s="751" t="str">
        <f>IF(VLOOKUP(A247,'Revitalisation-Revitalisierung'!$A$4:$Z$275,5,FALSE)="","",VLOOKUP(A247,'Revitalisation-Revitalisierung'!$A$4:$Z$275,5,FALSE))</f>
        <v/>
      </c>
      <c r="BC247" s="752" t="str">
        <f>IF(VLOOKUP(A247,'Revitalisation-Revitalisierung'!$A$4:$Z$275,6,FALSE)="","",VLOOKUP(A247,'Revitalisation-Revitalisierung'!$A$4:$Z$275,6,FALSE))</f>
        <v/>
      </c>
      <c r="BD247" s="752" t="str">
        <f>IF(VLOOKUP(A247,'Revitalisation-Revitalisierung'!$A$4:$Z$275,7,FALSE)="","",VLOOKUP(A247,'Revitalisation-Revitalisierung'!$A$4:$Z$275,7,FALSE))</f>
        <v/>
      </c>
      <c r="BE247" s="753" t="str">
        <f>IF(VLOOKUP(A247,'Revitalisation-Revitalisierung'!$A$4:$Z$275,8,FALSE)="","",VLOOKUP(A247,'Revitalisation-Revitalisierung'!$A$4:$Z$275,8,FALSE))</f>
        <v>très nécessaire, facile</v>
      </c>
      <c r="BF247" s="754" t="str">
        <f>IF(VLOOKUP(A247,'Revitalisation-Revitalisierung'!$A$4:$Z$275,9,FALSE)="","",VLOOKUP(A247,'Revitalisation-Revitalisierung'!$A$4:$Z$275,9,FALSE))</f>
        <v>leicht</v>
      </c>
      <c r="BG247" s="754" t="str">
        <f>IF(VLOOKUP(A247,'Revitalisation-Revitalisierung'!$A$4:$Z$275,10,FALSE)="","",VLOOKUP(A247,'Revitalisation-Revitalisierung'!$A$4:$Z$275,10,FALSE))</f>
        <v/>
      </c>
      <c r="BH247" s="755" t="str">
        <f>IF(VLOOKUP(A247,'Revitalisation-Revitalisierung'!$A$4:$Z$275,11,FALSE)="","",VLOOKUP(A247,'Revitalisation-Revitalisierung'!$A$4:$Z$275,11,FALSE))</f>
        <v>très nécessaire, facile</v>
      </c>
      <c r="BI247" s="756" t="str">
        <f>IF(VLOOKUP(A247,'Revitalisation-Revitalisierung'!$A$4:$Z$275,12,FALSE)="","",VLOOKUP(A247,'Revitalisation-Revitalisierung'!$A$4:$Z$275,12,FALSE))</f>
        <v>peu de bois tendre en apparence sur les othophotos ?</v>
      </c>
      <c r="BJ247" s="788" t="str">
        <f>IF(VLOOKUP(A247,'Revitalisation-Revitalisierung'!$A$4:$Z$275,13,FALSE)="","",VLOOKUP(A247,'Revitalisation-Revitalisierung'!$A$4:$Z$275,13,FALSE))</f>
        <v>Très nécessaire, facile / unbedingt nötig, einfach</v>
      </c>
      <c r="BK247" s="870" t="str">
        <f>IF(VLOOKUP(A247,'Revitalisation-Revitalisierung'!$A$4:$Z$275,14,FALSE)="","",VLOOKUP(A247,'Revitalisation-Revitalisierung'!$A$4:$Z$275,14,FALSE))</f>
        <v>a</v>
      </c>
      <c r="BL247" s="758" t="e">
        <f>IF(VLOOKUP(A247,'Revitalisation-Revitalisierung'!$A$4:$Z$275,15,FALSE)="","",VLOOKUP(A247,'Revitalisation-Revitalisierung'!$A$4:$Z$275,15,FALSE))</f>
        <v>#N/A</v>
      </c>
      <c r="BM247" s="759" t="e">
        <f>IF(VLOOKUP(A247,'Revitalisation-Revitalisierung'!$A$4:$Z$275,16,FALSE)="","",VLOOKUP(A247,'Revitalisation-Revitalisierung'!$A$4:$Z$275,16,FALSE))</f>
        <v>#N/A</v>
      </c>
      <c r="BN247" s="759" t="e">
        <f>IF(VLOOKUP(A247,'Revitalisation-Revitalisierung'!$A$4:$Z$275,17,FALSE)="","",VLOOKUP(A247,'Revitalisation-Revitalisierung'!$A$4:$Z$275,17,FALSE))</f>
        <v>#N/A</v>
      </c>
      <c r="BO247" s="760" t="str">
        <f>IF(VLOOKUP(A247,'Revitalisation-Revitalisierung'!$A$4:$Z$275,18,FALSE)="","",VLOOKUP(A247,'Revitalisation-Revitalisierung'!$A$4:$Z$275,18,FALSE))</f>
        <v/>
      </c>
      <c r="BP247" s="761" t="str">
        <f>IF(VLOOKUP(A247,'Revitalisation-Revitalisierung'!$A$4:$Z$275,19,FALSE)="","",VLOOKUP(A247,'Revitalisation-Revitalisierung'!$A$4:$Z$275,19,FALSE))</f>
        <v>Très nécessaire, facile / unbedingt nötig, einfach</v>
      </c>
      <c r="BQ247" s="759" t="str">
        <f>IF(VLOOKUP(A247,'Revitalisation-Revitalisierung'!$A$4:$Z$275,20,FALSE)="","",VLOOKUP(A247,'Revitalisation-Revitalisierung'!$A$4:$Z$275,20,FALSE))</f>
        <v>a</v>
      </c>
      <c r="BR247" s="759" t="str">
        <f>IF(VLOOKUP(A247,'Revitalisation-Revitalisierung'!$A$4:$Z$275,21,FALSE)="","",VLOOKUP(A247,'Revitalisation-Revitalisierung'!$A$4:$Z$275,21,FALSE))</f>
        <v/>
      </c>
      <c r="BS247" s="762" t="str">
        <f>IF(VLOOKUP(A247,'Revitalisation-Revitalisierung'!$A$4:$Z$275,22,FALSE)="","",VLOOKUP(A247,'Revitalisation-Revitalisierung'!$A$4:$Z$275,22,FALSE))</f>
        <v/>
      </c>
      <c r="BT247" s="700" t="str">
        <f>IF(VLOOKUP(A247,'Revitalisation-Revitalisierung'!$A$4:$Z$275,23,FALSE)="","",VLOOKUP(A247,'Revitalisation-Revitalisierung'!$A$4:$Z$275,23,FALSE))</f>
        <v/>
      </c>
      <c r="BU247" s="699" t="str">
        <f>IF(VLOOKUP(A247,'Revitalisation-Revitalisierung'!$A$4:$Z$275,24,FALSE)="","",VLOOKUP(A247,'Revitalisation-Revitalisierung'!$A$4:$Z$275,24,FALSE))</f>
        <v/>
      </c>
      <c r="BV247" s="761" t="str">
        <f>IF(VLOOKUP(A247,'Revitalisation-Revitalisierung'!$A$4:$Z$275,25,FALSE)="","",VLOOKUP(A247,'Revitalisation-Revitalisierung'!$A$4:$Z$275,25,FALSE))</f>
        <v>Très nécessaire, facile / unbedingt nötig, einfach</v>
      </c>
      <c r="BW247" s="871" t="str">
        <f>IF(VLOOKUP(A247,'Revitalisation-Revitalisierung'!$A$4:$AA$275,27,FALSE)="","",VLOOKUP(A247,'Revitalisation-Revitalisierung'!$A$4:$AA$275,27,FALSE))</f>
        <v>a</v>
      </c>
    </row>
    <row r="248" spans="1:75" ht="53.45" customHeight="1" x14ac:dyDescent="0.25">
      <c r="A248" s="935">
        <v>369</v>
      </c>
      <c r="B248" s="856">
        <f>IF(VLOOKUP(A248,'Données de base - Grunddaten'!$A$2:$M$297,2,FALSE)="","",VLOOKUP(A248,'Données de base - Grunddaten'!$A$2:$M$297,2,FALSE))</f>
        <v>1</v>
      </c>
      <c r="C248" s="857" t="str">
        <f>IF(VLOOKUP(A248,'Données de base - Grunddaten'!$A$2:$M$297,3,FALSE)="","",VLOOKUP(A248,'Données de base - Grunddaten'!$A$2:$M$297,3,FALSE))</f>
        <v>Goldachtobel</v>
      </c>
      <c r="D248" s="857" t="str">
        <f>IF(VLOOKUP(A248,'Données de base - Grunddaten'!$A$2:$M$297,4,FALSE)="","",VLOOKUP(A248,'Données de base - Grunddaten'!$A$2:$M$297,4,FALSE))</f>
        <v>Goldach</v>
      </c>
      <c r="E248" s="857" t="str">
        <f>IF(VLOOKUP(A248,'Données de base - Grunddaten'!$A$2:$M$297,5,FALSE)="","",VLOOKUP(A248,'Données de base - Grunddaten'!$A$2:$M$297,5,FALSE))</f>
        <v>SG</v>
      </c>
      <c r="F248" s="857" t="str">
        <f>IF(VLOOKUP(A248,'Données de base - Grunddaten'!$A$2:$M$297,6,FALSE)="","",VLOOKUP(A248,'Données de base - Grunddaten'!$A$2:$M$297,6,FALSE))</f>
        <v>Plateau oriental</v>
      </c>
      <c r="G248" s="857" t="str">
        <f>IF(VLOOKUP(A248,'Données de base - Grunddaten'!$A$2:$M$297,7,FALSE)="","",VLOOKUP(A248,'Données de base - Grunddaten'!$A$2:$M$297,7,FALSE))</f>
        <v>Collinéen</v>
      </c>
      <c r="H248" s="857">
        <f>IF(VLOOKUP(A248,'Données de base - Grunddaten'!$A$2:$M$297,8,FALSE)="","",VLOOKUP(A248,'Données de base - Grunddaten'!$A$2:$M$297,8,FALSE))</f>
        <v>490</v>
      </c>
      <c r="I248" s="857">
        <f>IF(VLOOKUP(A248,'Données de base - Grunddaten'!$A$2:$M$297,9,FALSE)="","",VLOOKUP(A248,'Données de base - Grunddaten'!$A$2:$M$297,9,FALSE))</f>
        <v>2003</v>
      </c>
      <c r="J248" s="857">
        <f>IF(VLOOKUP(A248,'Données de base - Grunddaten'!$A$2:$M$297,10,FALSE)="","",VLOOKUP(A248,'Données de base - Grunddaten'!$A$2:$M$297,10,FALSE))</f>
        <v>51</v>
      </c>
      <c r="K248" s="857" t="str">
        <f>IF(VLOOKUP(A248,'Données de base - Grunddaten'!$A$2:$M$297,11,FALSE)="","",VLOOKUP(A248,'Données de base - Grunddaten'!$A$2:$M$297,11,FALSE))</f>
        <v>Cours d'eau naturels de l'étage collinéen du Moyen-Pays</v>
      </c>
      <c r="L248" s="857" t="str">
        <f>IF(VLOOKUP(A248,'Données de base - Grunddaten'!$A$2:$M$297,12,FALSE)="","",VLOOKUP(A248,'Données de base - Grunddaten'!$A$2:$M$297,12,FALSE))</f>
        <v>en méandres migrants</v>
      </c>
      <c r="M248" s="858" t="str">
        <f>IF(VLOOKUP(A248,'Données de base - Grunddaten'!$A$2:$M$297,13,FALSE)="","",VLOOKUP(A248,'Données de base - Grunddaten'!$A$2:$M$297,13,FALSE))</f>
        <v>en méandres migrants</v>
      </c>
      <c r="N248" s="872" t="str">
        <f>IF(VLOOKUP(A248,'Charriage - Geschiebehaushalt'!$A$4:$R$275,5,FALSE)="","",VLOOKUP(A248,'Charriage - Geschiebehaushalt'!$A$4:$R$275,5,FALSE))</f>
        <v>pertinent</v>
      </c>
      <c r="O248" s="881" t="str">
        <f>IF(VLOOKUP(A248,'Charriage - Geschiebehaushalt'!$A$4:$R$275,6,FALSE)="","",VLOOKUP(A248,'Charriage - Geschiebehaushalt'!$A$4:$R$275,6,FALSE))</f>
        <v>non documenté</v>
      </c>
      <c r="P248" s="874" t="str">
        <f>IF(VLOOKUP(A248,'Charriage - Geschiebehaushalt'!$A$4:$R$275,7,FALSE)="","",VLOOKUP(A248,'Charriage - Geschiebehaushalt'!$A$4:$R$275,7,FALSE))</f>
        <v/>
      </c>
      <c r="Q248" s="874" t="str">
        <f>IF(VLOOKUP(A248,'Charriage - Geschiebehaushalt'!$A$4:$R$275,8,FALSE)="","",VLOOKUP(A248,'Charriage - Geschiebehaushalt'!$A$4:$R$275,8,FALSE))</f>
        <v>non documenté</v>
      </c>
      <c r="R248" s="875">
        <f>IF(VLOOKUP(A248,'Charriage - Geschiebehaushalt'!$A$4:$R$275,9,FALSE)="","",VLOOKUP(A248,'Charriage - Geschiebehaushalt'!$A$4:$R$275,9,FALSE))</f>
        <v>5.3999999999999999E-2</v>
      </c>
      <c r="S248" s="876" t="str">
        <f>IF(VLOOKUP(A248,'Charriage - Geschiebehaushalt'!$A$4:$R$275,10,FALSE)="","",VLOOKUP(A248,'Charriage - Geschiebehaushalt'!$A$4:$R$275,10,FALSE))</f>
        <v>pas ou faiblement entravé</v>
      </c>
      <c r="T248" s="875">
        <f>IF(VLOOKUP(A248,'Charriage - Geschiebehaushalt'!$A$4:$R$275,11,FALSE)="","",VLOOKUP(A248,'Charriage - Geschiebehaushalt'!$A$4:$R$275,11,FALSE))</f>
        <v>4.4667734838000003E-2</v>
      </c>
      <c r="U248" s="876" t="str">
        <f>IF(VLOOKUP(A248,'Charriage - Geschiebehaushalt'!$A$4:$R$275,12,FALSE)="","",VLOOKUP(A248,'Charriage - Geschiebehaushalt'!$A$4:$R$275,12,FALSE))</f>
        <v>déficit dans les formations pionnières</v>
      </c>
      <c r="V248" s="877" t="str">
        <f>IF(VLOOKUP(A248,'Charriage - Geschiebehaushalt'!$A$4:$R$275,13,FALSE)="","",VLOOKUP(A248,'Charriage - Geschiebehaushalt'!$A$4:$R$275,13,FALSE))</f>
        <v>Système naturel (visité en 2011)</v>
      </c>
      <c r="W248" s="878" t="str">
        <f>IF(VLOOKUP(A248,'Charriage - Geschiebehaushalt'!$A$4:$R$275,14,FALSE)="","",VLOOKUP(A248,'Charriage - Geschiebehaushalt'!$A$4:$R$275,14,FALSE))</f>
        <v>charriage présumé naturel</v>
      </c>
      <c r="X248" s="878" t="str">
        <f>IF(VLOOKUP(A248,'Charriage - Geschiebehaushalt'!$A$4:$R$275,15,FALSE)="","",VLOOKUP(A248,'Charriage - Geschiebehaushalt'!$A$4:$R$275,15,FALSE))</f>
        <v/>
      </c>
      <c r="Y248" s="882" t="str">
        <f>IF(VLOOKUP(A248,'Charriage - Geschiebehaushalt'!$A$4:$R$275,16,FALSE)="","",VLOOKUP(A248,'Charriage - Geschiebehaushalt'!$A$4:$R$275,16,FALSE))</f>
        <v/>
      </c>
      <c r="Z248" s="763" t="str">
        <f>IF(VLOOKUP(A248,'Charriage - Geschiebehaushalt'!$A$4:$R$275,17,FALSE)="","",VLOOKUP(A248,'Charriage - Geschiebehaushalt'!$A$4:$R$275,17,FALSE))</f>
        <v>Charriage présumé naturel / Geschiebehaushalt vermutlich natürlich</v>
      </c>
      <c r="AA248" s="880" t="str">
        <f>IF(VLOOKUP(A248,'Charriage - Geschiebehaushalt'!$A$4:$R$275,18,FALSE)="","",VLOOKUP(A248,'Charriage - Geschiebehaushalt'!$A$4:$R$275,18,FALSE))</f>
        <v>b</v>
      </c>
      <c r="AB248" s="737" t="str">
        <f>IF(VLOOKUP(A248,'Charriage - Geschiebehaushalt'!$A$4:$AC$275,19,FALSE)="","",VLOOKUP(A248,'Charriage - Geschiebehaushalt'!$A$4:$AC$275,19,FALSE))</f>
        <v>non dét.</v>
      </c>
      <c r="AC248" s="738">
        <f>IF(VLOOKUP(A248,'Charriage - Geschiebehaushalt'!$A$4:$AC$275,20,FALSE)="","",VLOOKUP(A248,'Charriage - Geschiebehaushalt'!$A$4:$AC$275,20,FALSE))</f>
        <v>0</v>
      </c>
      <c r="AD248" s="764" t="str">
        <f>IF(VLOOKUP(A248,'Charriage - Geschiebehaushalt'!$A$4:$AC$275,21,FALSE)="","",VLOOKUP(A248,'Charriage - Geschiebehaushalt'!$A$4:$AC$275,21,FALSE))</f>
        <v/>
      </c>
      <c r="AE248" s="740" t="str">
        <f>IF(VLOOKUP(A248,'Charriage - Geschiebehaushalt'!$A$4:$AC$275,22,FALSE)="","",VLOOKUP(A248,'Charriage - Geschiebehaushalt'!$A$4:$AC$275,22,FALSE))</f>
        <v>0-20%</v>
      </c>
      <c r="AF248" s="787" t="str">
        <f>IF(VLOOKUP(A248,'Charriage - Geschiebehaushalt'!$A$4:$AC$275,23,FALSE)="","",VLOOKUP(A248,'Charriage - Geschiebehaushalt'!$A$4:$AC$275,23,FALSE))</f>
        <v>b</v>
      </c>
      <c r="AG248" s="765" t="str">
        <f>IF(VLOOKUP(A248,'Charriage - Geschiebehaushalt'!$A$4:$AC$275,24,FALSE)="","",VLOOKUP(A248,'Charriage - Geschiebehaushalt'!$A$4:$AC$275,24,FALSE))</f>
        <v/>
      </c>
      <c r="AH248" s="764" t="str">
        <f>IF(VLOOKUP(A248,'Charriage - Geschiebehaushalt'!$A$4:$AC$275,25,FALSE)="","",VLOOKUP(A248,'Charriage - Geschiebehaushalt'!$A$4:$AC$275,25,FALSE))</f>
        <v/>
      </c>
      <c r="AI248" s="441" t="str">
        <f>IF(VLOOKUP(A248,'Charriage - Geschiebehaushalt'!$A$4:$AC$275,26,FALSE)="","",VLOOKUP(A248,'Charriage - Geschiebehaushalt'!$A$4:$AC$275,26,FALSE))</f>
        <v/>
      </c>
      <c r="AJ248" s="434" t="str">
        <f>IF(VLOOKUP(A248,'Charriage - Geschiebehaushalt'!$A$4:$AC$275,27,FALSE)="","",VLOOKUP(A248,'Charriage - Geschiebehaushalt'!$A$4:$AC$275,27,FALSE))</f>
        <v/>
      </c>
      <c r="AK248" s="801" t="str">
        <f>IF(VLOOKUP(A248,'Charriage - Geschiebehaushalt'!$A$4:$AC$275,28,FALSE)="","",VLOOKUP(A248,'Charriage - Geschiebehaushalt'!$A$4:$AC$275,28,FALSE))</f>
        <v>0-20%</v>
      </c>
      <c r="AL248" s="1285" t="str">
        <f>IF(VLOOKUP(A248,'Charriage - Geschiebehaushalt'!$A$4:$AD$275,30,FALSE)="","",VLOOKUP(A248,'Charriage - Geschiebehaushalt'!$A$4:$AD$275,30,FALSE))</f>
        <v>b</v>
      </c>
      <c r="AM248" s="1279" t="str">
        <f>IF(VLOOKUP(A248,'Débit - Abfluss'!$A$4:$K$275,5,FALSE)="","",VLOOKUP(A248,'Débit - Abfluss'!$A$4:$M$275,5,FALSE))</f>
        <v>41-60%</v>
      </c>
      <c r="AN248" s="868" t="str">
        <f>IF(VLOOKUP(A248,'Débit - Abfluss'!$A$4:$K$275,6,FALSE)="","",VLOOKUP(A248,'Débit - Abfluss'!$A$4:$M$275,6,FALSE))</f>
        <v/>
      </c>
      <c r="AO248" s="869" t="str">
        <f>IF(VLOOKUP(A248,'Débit - Abfluss'!$A$4:$K$275,7,FALSE)="","",VLOOKUP(A248,'Débit - Abfluss'!$A$4:$M$275,7,FALSE))</f>
        <v/>
      </c>
      <c r="AP248" s="766" t="str">
        <f>IF(VLOOKUP(A248,'Débit - Abfluss'!$A$4:$K$275,8,FALSE)="","",VLOOKUP(A248,'Débit - Abfluss'!$A$4:$M$275,8,FALSE))</f>
        <v>41-60%</v>
      </c>
      <c r="AQ248" s="678" t="str">
        <f>IF(VLOOKUP(A248,'Débit - Abfluss'!$A$4:$K$275,9,FALSE)="","",VLOOKUP(A248,'Débit - Abfluss'!$A$4:$M$275,9,FALSE))</f>
        <v>&gt;90%</v>
      </c>
      <c r="AR248" s="773" t="str">
        <f>IF(VLOOKUP(A248,'Débit - Abfluss'!$A$4:$K$275,10,FALSE)="","",VLOOKUP(A248,'Débit - Abfluss'!$A$4:$M$275,10,FALSE))</f>
        <v>41-60%</v>
      </c>
      <c r="AS248" s="773" t="str">
        <f>IF(VLOOKUP(A248,'Débit - Abfluss'!$A$4:$K$275,11,FALSE)="","",VLOOKUP(A248,'Débit - Abfluss'!$A$4:$M$275,11,FALSE))</f>
        <v>X</v>
      </c>
      <c r="AT248" s="886" t="str">
        <f>IF(VLOOKUP(A248,'Débit - Abfluss'!$A$4:$Q$275,12,FALSE)="","",VLOOKUP(A248,'Débit - Abfluss'!$A$4:$Q$275,12,FALSE))</f>
        <v>Q dot= 132 l/s; Q347 = 174 l/s</v>
      </c>
      <c r="AU248" s="680" t="str">
        <f>IF(VLOOKUP(A248,'Débit - Abfluss'!$A$4:$Q$275,13,FALSE)="","",VLOOKUP(A248,'Débit - Abfluss'!$A$4:$Q$275,13,FALSE))</f>
        <v>Jahresmittel = 1'412 l/s</v>
      </c>
      <c r="AV248" s="746" t="str">
        <f>IF(VLOOKUP(A248,'Débit - Abfluss'!$A$4:$Q$275,14,FALSE)="","",VLOOKUP(A248,'Débit - Abfluss'!$A$4:$Q$275,14,FALSE))</f>
        <v>SG-W II/41-1</v>
      </c>
      <c r="AW248" s="768" t="str">
        <f>IF(VLOOKUP(A248,'Débit - Abfluss'!$A$4:$Q$275,15,FALSE)="","",VLOOKUP(A248,'Débit - Abfluss'!$A$4:$Q$275,15,FALSE))</f>
        <v>Lochmühle</v>
      </c>
      <c r="AX248" s="679" t="str">
        <f>IF(VLOOKUP(A248,'Débit - Abfluss'!$A$4:$Q$275,16,FALSE)="","",VLOOKUP(A248,'Débit - Abfluss'!$A$4:$Q$275,16,FALSE))</f>
        <v>Die Restwasserstrecke beträgt 5.2 km, davon 2 km im Auenperimeter; Qdot nach Art. 31 GSchG = 136 l/s, daher kann die Beeinflussung bezüglich Restwasser auf blau gesetzt werden; Sanierung Wasserkraft bis 2021 (Umsetzung) geplant</v>
      </c>
      <c r="AY248" s="776" t="str">
        <f>IF(VLOOKUP(A248,'Débit - Abfluss'!$A$4:$Q$275,17,FALSE)="","",VLOOKUP(A248,'Débit - Abfluss'!$A$4:$Q$275,17,FALSE))</f>
        <v>0-20%</v>
      </c>
      <c r="AZ248" s="749" t="str">
        <f>IF(VLOOKUP(A248,'Eclusée - Schwall-Sunk'!$A$2:$F$273,5,FALSE)="","",VLOOKUP(A248,'Eclusée - Schwall-Sunk'!$A$2:$F$273,5,FALSE))</f>
        <v>force hydraulique</v>
      </c>
      <c r="BA248" s="750" t="str">
        <f>IF(VLOOKUP(A248,'Eclusée - Schwall-Sunk'!$A$2:$F$273,6,FALSE)="","",VLOOKUP(A248,'Eclusée - Schwall-Sunk'!$A$2:$F$273,6,FALSE))</f>
        <v>Non affecté / nicht betroffen</v>
      </c>
      <c r="BB248" s="751">
        <f>IF(VLOOKUP(A248,'Revitalisation-Revitalisierung'!$A$4:$Z$275,5,FALSE)="","",VLOOKUP(A248,'Revitalisation-Revitalisierung'!$A$4:$Z$275,5,FALSE))</f>
        <v>-20.190909090909091</v>
      </c>
      <c r="BC248" s="752">
        <f>IF(VLOOKUP(A248,'Revitalisation-Revitalisierung'!$A$4:$Z$275,6,FALSE)="","",VLOOKUP(A248,'Revitalisation-Revitalisierung'!$A$4:$Z$275,6,FALSE))</f>
        <v>74.662162162692312</v>
      </c>
      <c r="BD248" s="752">
        <f>IF(VLOOKUP(A248,'Revitalisation-Revitalisierung'!$A$4:$Z$275,7,FALSE)="","",VLOOKUP(A248,'Revitalisation-Revitalisierung'!$A$4:$Z$275,7,FALSE))</f>
        <v>24.09090909090909</v>
      </c>
      <c r="BE248" s="753" t="str">
        <f>IF(VLOOKUP(A248,'Revitalisation-Revitalisierung'!$A$4:$Z$275,8,FALSE)="","",VLOOKUP(A248,'Revitalisation-Revitalisierung'!$A$4:$Z$275,8,FALSE))</f>
        <v>très nécessaire, difficile</v>
      </c>
      <c r="BF248" s="754" t="str">
        <f>IF(VLOOKUP(A248,'Revitalisation-Revitalisierung'!$A$4:$Z$275,9,FALSE)="","",VLOOKUP(A248,'Revitalisation-Revitalisierung'!$A$4:$Z$275,9,FALSE))</f>
        <v>schwierig</v>
      </c>
      <c r="BG248" s="754" t="str">
        <f>IF(VLOOKUP(A248,'Revitalisation-Revitalisierung'!$A$4:$Z$275,10,FALSE)="","",VLOOKUP(A248,'Revitalisation-Revitalisierung'!$A$4:$Z$275,10,FALSE))</f>
        <v>K2</v>
      </c>
      <c r="BH248" s="755" t="str">
        <f>IF(VLOOKUP(A248,'Revitalisation-Revitalisierung'!$A$4:$Z$275,11,FALSE)="","",VLOOKUP(A248,'Revitalisation-Revitalisierung'!$A$4:$Z$275,11,FALSE))</f>
        <v/>
      </c>
      <c r="BI248" s="756" t="str">
        <f>IF(VLOOKUP(A248,'Revitalisation-Revitalisierung'!$A$4:$Z$275,12,FALSE)="","",VLOOKUP(A248,'Revitalisation-Revitalisierung'!$A$4:$Z$275,12,FALSE))</f>
        <v/>
      </c>
      <c r="BJ248" s="788" t="str">
        <f>IF(VLOOKUP(A248,'Revitalisation-Revitalisierung'!$A$4:$Z$275,13,FALSE)="","",VLOOKUP(A248,'Revitalisation-Revitalisierung'!$A$4:$Z$275,13,FALSE))</f>
        <v>Partiellement nécessaire, difficile / teilweise nötig, schwierig</v>
      </c>
      <c r="BK248" s="870" t="str">
        <f>IF(VLOOKUP(A248,'Revitalisation-Revitalisierung'!$A$4:$Z$275,14,FALSE)="","",VLOOKUP(A248,'Revitalisation-Revitalisierung'!$A$4:$Z$275,14,FALSE))</f>
        <v>b</v>
      </c>
      <c r="BL248" s="758" t="str">
        <f>IF(VLOOKUP(A248,'Revitalisation-Revitalisierung'!$A$4:$Z$275,15,FALSE)="","",VLOOKUP(A248,'Revitalisation-Revitalisierung'!$A$4:$Z$275,15,FALSE))</f>
        <v>important</v>
      </c>
      <c r="BM248" s="759" t="str">
        <f>IF(VLOOKUP(A248,'Revitalisation-Revitalisierung'!$A$4:$Z$275,16,FALSE)="","",VLOOKUP(A248,'Revitalisation-Revitalisierung'!$A$4:$Z$275,16,FALSE))</f>
        <v>moyen</v>
      </c>
      <c r="BN248" s="759" t="str">
        <f>IF(VLOOKUP(A248,'Revitalisation-Revitalisierung'!$A$4:$Z$275,17,FALSE)="","",VLOOKUP(A248,'Revitalisation-Revitalisierung'!$A$4:$Z$275,17,FALSE))</f>
        <v>gross</v>
      </c>
      <c r="BO248" s="760" t="str">
        <f>IF(VLOOKUP(A248,'Revitalisation-Revitalisierung'!$A$4:$Z$275,18,FALSE)="","",VLOOKUP(A248,'Revitalisation-Revitalisierung'!$A$4:$Z$275,18,FALSE))</f>
        <v>Partiellement nécessaire, difficile / teilweise nötig, schwierig</v>
      </c>
      <c r="BP248" s="761" t="str">
        <f>IF(VLOOKUP(A248,'Revitalisation-Revitalisierung'!$A$4:$Z$275,19,FALSE)="","",VLOOKUP(A248,'Revitalisation-Revitalisierung'!$A$4:$Z$275,19,FALSE))</f>
        <v>Partiellement nécessaire, difficile / teilweise nötig, schwierig</v>
      </c>
      <c r="BQ248" s="759" t="str">
        <f>IF(VLOOKUP(A248,'Revitalisation-Revitalisierung'!$A$4:$Z$275,20,FALSE)="","",VLOOKUP(A248,'Revitalisation-Revitalisierung'!$A$4:$Z$275,20,FALSE))</f>
        <v>d</v>
      </c>
      <c r="BR248" s="759" t="str">
        <f>IF(VLOOKUP(A248,'Revitalisation-Revitalisierung'!$A$4:$Z$275,21,FALSE)="","",VLOOKUP(A248,'Revitalisation-Revitalisierung'!$A$4:$Z$275,21,FALSE))</f>
        <v/>
      </c>
      <c r="BS248" s="762" t="str">
        <f>IF(VLOOKUP(A248,'Revitalisation-Revitalisierung'!$A$4:$Z$275,22,FALSE)="","",VLOOKUP(A248,'Revitalisation-Revitalisierung'!$A$4:$Z$275,22,FALSE))</f>
        <v/>
      </c>
      <c r="BT248" s="700" t="str">
        <f>IF(VLOOKUP(A248,'Revitalisation-Revitalisierung'!$A$4:$Z$275,23,FALSE)="","",VLOOKUP(A248,'Revitalisation-Revitalisierung'!$A$4:$Z$275,23,FALSE))</f>
        <v/>
      </c>
      <c r="BU248" s="699" t="str">
        <f>IF(VLOOKUP(A248,'Revitalisation-Revitalisierung'!$A$4:$Z$275,24,FALSE)="","",VLOOKUP(A248,'Revitalisation-Revitalisierung'!$A$4:$Z$275,24,FALSE))</f>
        <v/>
      </c>
      <c r="BV248" s="761" t="str">
        <f>IF(VLOOKUP(A248,'Revitalisation-Revitalisierung'!$A$4:$Z$275,25,FALSE)="","",VLOOKUP(A248,'Revitalisation-Revitalisierung'!$A$4:$Z$275,25,FALSE))</f>
        <v>Partiellement nécessaire, difficile / teilweise nötig, schwierig</v>
      </c>
      <c r="BW248" s="871" t="str">
        <f>IF(VLOOKUP(A248,'Revitalisation-Revitalisierung'!$A$4:$AA$275,27,FALSE)="","",VLOOKUP(A248,'Revitalisation-Revitalisierung'!$A$4:$AA$275,27,FALSE))</f>
        <v>a</v>
      </c>
    </row>
    <row r="249" spans="1:75" ht="52.15" customHeight="1" x14ac:dyDescent="0.25">
      <c r="A249" s="935">
        <v>371</v>
      </c>
      <c r="B249" s="856">
        <f>IF(VLOOKUP(A249,'Données de base - Grunddaten'!$A$2:$M$297,2,FALSE)="","",VLOOKUP(A249,'Données de base - Grunddaten'!$A$2:$M$297,2,FALSE))</f>
        <v>1</v>
      </c>
      <c r="C249" s="857" t="str">
        <f>IF(VLOOKUP(A249,'Données de base - Grunddaten'!$A$2:$M$297,3,FALSE)="","",VLOOKUP(A249,'Données de base - Grunddaten'!$A$2:$M$297,3,FALSE))</f>
        <v>Ampferenboden</v>
      </c>
      <c r="D249" s="857" t="str">
        <f>IF(VLOOKUP(A249,'Données de base - Grunddaten'!$A$2:$M$297,4,FALSE)="","",VLOOKUP(A249,'Données de base - Grunddaten'!$A$2:$M$297,4,FALSE))</f>
        <v>Necker</v>
      </c>
      <c r="E249" s="857" t="str">
        <f>IF(VLOOKUP(A249,'Données de base - Grunddaten'!$A$2:$M$297,5,FALSE)="","",VLOOKUP(A249,'Données de base - Grunddaten'!$A$2:$M$297,5,FALSE))</f>
        <v>AR/SG</v>
      </c>
      <c r="F249" s="857" t="str">
        <f>IF(VLOOKUP(A249,'Données de base - Grunddaten'!$A$2:$M$297,6,FALSE)="","",VLOOKUP(A249,'Données de base - Grunddaten'!$A$2:$M$297,6,FALSE))</f>
        <v>Alpes septentrionales</v>
      </c>
      <c r="G249" s="857" t="str">
        <f>IF(VLOOKUP(A249,'Données de base - Grunddaten'!$A$2:$M$297,7,FALSE)="","",VLOOKUP(A249,'Données de base - Grunddaten'!$A$2:$M$297,7,FALSE))</f>
        <v>Montagnard sup.</v>
      </c>
      <c r="H249" s="857">
        <f>IF(VLOOKUP(A249,'Données de base - Grunddaten'!$A$2:$M$297,8,FALSE)="","",VLOOKUP(A249,'Données de base - Grunddaten'!$A$2:$M$297,8,FALSE))</f>
        <v>1030</v>
      </c>
      <c r="I249" s="857">
        <f>IF(VLOOKUP(A249,'Données de base - Grunddaten'!$A$2:$M$297,9,FALSE)="","",VLOOKUP(A249,'Données de base - Grunddaten'!$A$2:$M$297,9,FALSE))</f>
        <v>2003</v>
      </c>
      <c r="J249" s="857">
        <f>IF(VLOOKUP(A249,'Données de base - Grunddaten'!$A$2:$M$297,10,FALSE)="","",VLOOKUP(A249,'Données de base - Grunddaten'!$A$2:$M$297,10,FALSE))</f>
        <v>41</v>
      </c>
      <c r="K249" s="857" t="str">
        <f>IF(VLOOKUP(A249,'Données de base - Grunddaten'!$A$2:$M$297,11,FALSE)="","",VLOOKUP(A249,'Données de base - Grunddaten'!$A$2:$M$297,11,FALSE))</f>
        <v>Cours d'eau naturels de l'étage montagnard</v>
      </c>
      <c r="L249" s="857" t="str">
        <f>IF(VLOOKUP(A249,'Données de base - Grunddaten'!$A$2:$M$297,12,FALSE)="","",VLOOKUP(A249,'Données de base - Grunddaten'!$A$2:$M$297,12,FALSE))</f>
        <v>en tresses</v>
      </c>
      <c r="M249" s="858" t="str">
        <f>IF(VLOOKUP(A249,'Données de base - Grunddaten'!$A$2:$M$297,13,FALSE)="","",VLOOKUP(A249,'Données de base - Grunddaten'!$A$2:$M$297,13,FALSE))</f>
        <v>en tresses</v>
      </c>
      <c r="N249" s="872" t="str">
        <f>IF(VLOOKUP(A249,'Charriage - Geschiebehaushalt'!$A$4:$R$275,5,FALSE)="","",VLOOKUP(A249,'Charriage - Geschiebehaushalt'!$A$4:$R$275,5,FALSE))</f>
        <v>pertinent</v>
      </c>
      <c r="O249" s="873" t="str">
        <f>IF(VLOOKUP(A249,'Charriage - Geschiebehaushalt'!$A$4:$R$275,6,FALSE)="","",VLOOKUP(A249,'Charriage - Geschiebehaushalt'!$A$4:$R$275,6,FALSE))</f>
        <v>0-20%</v>
      </c>
      <c r="P249" s="874" t="str">
        <f>IF(VLOOKUP(A249,'Charriage - Geschiebehaushalt'!$A$4:$R$275,7,FALSE)="","",VLOOKUP(A249,'Charriage - Geschiebehaushalt'!$A$4:$R$275,7,FALSE))</f>
        <v/>
      </c>
      <c r="Q249" s="874" t="str">
        <f>IF(VLOOKUP(A249,'Charriage - Geschiebehaushalt'!$A$4:$R$275,8,FALSE)="","",VLOOKUP(A249,'Charriage - Geschiebehaushalt'!$A$4:$R$275,8,FALSE))</f>
        <v>non documenté</v>
      </c>
      <c r="R249" s="875">
        <f>IF(VLOOKUP(A249,'Charriage - Geschiebehaushalt'!$A$4:$R$275,9,FALSE)="","",VLOOKUP(A249,'Charriage - Geschiebehaushalt'!$A$4:$R$275,9,FALSE))</f>
        <v>0</v>
      </c>
      <c r="S249" s="876" t="str">
        <f>IF(VLOOKUP(A249,'Charriage - Geschiebehaushalt'!$A$4:$R$275,10,FALSE)="","",VLOOKUP(A249,'Charriage - Geschiebehaushalt'!$A$4:$R$275,10,FALSE))</f>
        <v>pas ou faiblement entravé</v>
      </c>
      <c r="T249" s="875">
        <f>IF(VLOOKUP(A249,'Charriage - Geschiebehaushalt'!$A$4:$R$275,11,FALSE)="","",VLOOKUP(A249,'Charriage - Geschiebehaushalt'!$A$4:$R$275,11,FALSE))</f>
        <v>0.24092088723999999</v>
      </c>
      <c r="U249" s="876" t="str">
        <f>IF(VLOOKUP(A249,'Charriage - Geschiebehaushalt'!$A$4:$R$275,12,FALSE)="","",VLOOKUP(A249,'Charriage - Geschiebehaushalt'!$A$4:$R$275,12,FALSE))</f>
        <v>déficit dans les formations pionnières</v>
      </c>
      <c r="V249" s="877" t="str">
        <f>IF(VLOOKUP(A249,'Charriage - Geschiebehaushalt'!$A$4:$R$275,13,FALSE)="","",VLOOKUP(A249,'Charriage - Geschiebehaushalt'!$A$4:$R$275,13,FALSE))</f>
        <v/>
      </c>
      <c r="W249" s="877" t="str">
        <f>IF(VLOOKUP(A249,'Charriage - Geschiebehaushalt'!$A$4:$R$275,14,FALSE)="","",VLOOKUP(A249,'Charriage - Geschiebehaushalt'!$A$4:$R$275,14,FALSE))</f>
        <v/>
      </c>
      <c r="X249" s="877" t="str">
        <f>IF(VLOOKUP(A249,'Charriage - Geschiebehaushalt'!$A$4:$R$275,15,FALSE)="","",VLOOKUP(A249,'Charriage - Geschiebehaushalt'!$A$4:$R$275,15,FALSE))</f>
        <v/>
      </c>
      <c r="Y249" s="879" t="str">
        <f>IF(VLOOKUP(A249,'Charriage - Geschiebehaushalt'!$A$4:$R$275,16,FALSE)="","",VLOOKUP(A249,'Charriage - Geschiebehaushalt'!$A$4:$R$275,16,FALSE))</f>
        <v/>
      </c>
      <c r="Z249" s="763" t="str">
        <f>IF(VLOOKUP(A249,'Charriage - Geschiebehaushalt'!$A$4:$R$275,17,FALSE)="","",VLOOKUP(A249,'Charriage - Geschiebehaushalt'!$A$4:$R$275,17,FALSE))</f>
        <v>0-20%</v>
      </c>
      <c r="AA249" s="880" t="str">
        <f>IF(VLOOKUP(A249,'Charriage - Geschiebehaushalt'!$A$4:$R$275,18,FALSE)="","",VLOOKUP(A249,'Charriage - Geschiebehaushalt'!$A$4:$R$275,18,FALSE))</f>
        <v>a</v>
      </c>
      <c r="AB249" s="737" t="str">
        <f>IF(VLOOKUP(A249,'Charriage - Geschiebehaushalt'!$A$4:$AC$275,19,FALSE)="","",VLOOKUP(A249,'Charriage - Geschiebehaushalt'!$A$4:$AC$275,19,FALSE))</f>
        <v>gering /
non dét.</v>
      </c>
      <c r="AC249" s="738" t="str">
        <f>IF(VLOOKUP(A249,'Charriage - Geschiebehaushalt'!$A$4:$AC$275,20,FALSE)="","",VLOOKUP(A249,'Charriage - Geschiebehaushalt'!$A$4:$AC$275,20,FALSE))</f>
        <v>gering /
non dét.</v>
      </c>
      <c r="AD249" s="764" t="str">
        <f>IF(VLOOKUP(A249,'Charriage - Geschiebehaushalt'!$A$4:$AC$275,21,FALSE)="","",VLOOKUP(A249,'Charriage - Geschiebehaushalt'!$A$4:$AC$275,21,FALSE))</f>
        <v/>
      </c>
      <c r="AE249" s="740" t="str">
        <f>IF(VLOOKUP(A249,'Charriage - Geschiebehaushalt'!$A$4:$AC$275,22,FALSE)="","",VLOOKUP(A249,'Charriage - Geschiebehaushalt'!$A$4:$AC$275,22,FALSE))</f>
        <v>0-20%</v>
      </c>
      <c r="AF249" s="787" t="str">
        <f>IF(VLOOKUP(A249,'Charriage - Geschiebehaushalt'!$A$4:$AC$275,23,FALSE)="","",VLOOKUP(A249,'Charriage - Geschiebehaushalt'!$A$4:$AC$275,23,FALSE))</f>
        <v>a</v>
      </c>
      <c r="AG249" s="765" t="str">
        <f>IF(VLOOKUP(A249,'Charriage - Geschiebehaushalt'!$A$4:$AC$275,24,FALSE)="","",VLOOKUP(A249,'Charriage - Geschiebehaushalt'!$A$4:$AC$275,24,FALSE))</f>
        <v/>
      </c>
      <c r="AH249" s="764" t="str">
        <f>IF(VLOOKUP(A249,'Charriage - Geschiebehaushalt'!$A$4:$AC$275,25,FALSE)="","",VLOOKUP(A249,'Charriage - Geschiebehaushalt'!$A$4:$AC$275,25,FALSE))</f>
        <v/>
      </c>
      <c r="AI249" s="433" t="str">
        <f>IF(VLOOKUP(A249,'Charriage - Geschiebehaushalt'!$A$4:$AC$275,26,FALSE)="","",VLOOKUP(A249,'Charriage - Geschiebehaushalt'!$A$4:$AC$275,26,FALSE))</f>
        <v/>
      </c>
      <c r="AJ249" s="434" t="str">
        <f>IF(VLOOKUP(A249,'Charriage - Geschiebehaushalt'!$A$4:$AC$275,27,FALSE)="","",VLOOKUP(A249,'Charriage - Geschiebehaushalt'!$A$4:$AC$275,27,FALSE))</f>
        <v/>
      </c>
      <c r="AK249" s="801" t="str">
        <f>IF(VLOOKUP(A249,'Charriage - Geschiebehaushalt'!$A$4:$AC$275,28,FALSE)="","",VLOOKUP(A249,'Charriage - Geschiebehaushalt'!$A$4:$AC$275,28,FALSE))</f>
        <v>0-20%</v>
      </c>
      <c r="AL249" s="1285" t="str">
        <f>IF(VLOOKUP(A249,'Charriage - Geschiebehaushalt'!$A$4:$AD$275,30,FALSE)="","",VLOOKUP(A249,'Charriage - Geschiebehaushalt'!$A$4:$AD$275,30,FALSE))</f>
        <v>a</v>
      </c>
      <c r="AM249" s="1279" t="str">
        <f>IF(VLOOKUP(A249,'Débit - Abfluss'!$A$4:$K$275,5,FALSE)="","",VLOOKUP(A249,'Débit - Abfluss'!$A$4:$M$275,5,FALSE))</f>
        <v>100%</v>
      </c>
      <c r="AN249" s="868" t="str">
        <f>IF(VLOOKUP(A249,'Débit - Abfluss'!$A$4:$K$275,6,FALSE)="","",VLOOKUP(A249,'Débit - Abfluss'!$A$4:$M$275,6,FALSE))</f>
        <v>aucune information supplémentaire</v>
      </c>
      <c r="AO249" s="869" t="str">
        <f>IF(VLOOKUP(A249,'Débit - Abfluss'!$A$4:$K$275,7,FALSE)="","",VLOOKUP(A249,'Débit - Abfluss'!$A$4:$M$275,7,FALSE))</f>
        <v>aucune information supplémentaire</v>
      </c>
      <c r="AP249" s="766" t="str">
        <f>IF(VLOOKUP(A249,'Débit - Abfluss'!$A$4:$K$275,8,FALSE)="","",VLOOKUP(A249,'Débit - Abfluss'!$A$4:$M$275,8,FALSE))</f>
        <v>100%</v>
      </c>
      <c r="AQ249" s="742" t="str">
        <f>IF(VLOOKUP(A249,'Débit - Abfluss'!$A$4:$K$275,9,FALSE)="","",VLOOKUP(A249,'Débit - Abfluss'!$A$4:$M$275,9,FALSE))</f>
        <v>-</v>
      </c>
      <c r="AR249" s="767" t="str">
        <f>IF(VLOOKUP(A249,'Débit - Abfluss'!$A$4:$K$275,10,FALSE)="","",VLOOKUP(A249,'Débit - Abfluss'!$A$4:$M$275,10,FALSE))</f>
        <v>100%</v>
      </c>
      <c r="AS249" s="767" t="str">
        <f>IF(VLOOKUP(A249,'Débit - Abfluss'!$A$4:$K$275,11,FALSE)="","",VLOOKUP(A249,'Débit - Abfluss'!$A$4:$M$275,11,FALSE))</f>
        <v/>
      </c>
      <c r="AT249" s="744" t="str">
        <f>IF(VLOOKUP(A249,'Débit - Abfluss'!$A$4:$Q$275,12,FALSE)="","",VLOOKUP(A249,'Débit - Abfluss'!$A$4:$Q$275,12,FALSE))</f>
        <v/>
      </c>
      <c r="AU249" s="768" t="str">
        <f>IF(VLOOKUP(A249,'Débit - Abfluss'!$A$4:$Q$275,13,FALSE)="","",VLOOKUP(A249,'Débit - Abfluss'!$A$4:$Q$275,13,FALSE))</f>
        <v>Keine Ergänzungen</v>
      </c>
      <c r="AV249" s="746" t="str">
        <f>IF(VLOOKUP(A249,'Débit - Abfluss'!$A$4:$Q$275,14,FALSE)="","",VLOOKUP(A249,'Débit - Abfluss'!$A$4:$Q$275,14,FALSE))</f>
        <v/>
      </c>
      <c r="AW249" s="768" t="str">
        <f>IF(VLOOKUP(A249,'Débit - Abfluss'!$A$4:$Q$275,15,FALSE)="","",VLOOKUP(A249,'Débit - Abfluss'!$A$4:$Q$275,15,FALSE))</f>
        <v/>
      </c>
      <c r="AX249" s="677" t="str">
        <f>IF(VLOOKUP(A249,'Débit - Abfluss'!$A$4:$Q$275,16,FALSE)="","",VLOOKUP(A249,'Débit - Abfluss'!$A$4:$Q$275,16,FALSE))</f>
        <v/>
      </c>
      <c r="AY249" s="769" t="str">
        <f>IF(VLOOKUP(A249,'Débit - Abfluss'!$A$4:$Q$275,17,FALSE)="","",VLOOKUP(A249,'Débit - Abfluss'!$A$4:$Q$275,17,FALSE))</f>
        <v>100%</v>
      </c>
      <c r="AZ249" s="749" t="str">
        <f>IF(VLOOKUP(A249,'Eclusée - Schwall-Sunk'!$A$2:$F$273,5,FALSE)="","",VLOOKUP(A249,'Eclusée - Schwall-Sunk'!$A$2:$F$273,5,FALSE))</f>
        <v/>
      </c>
      <c r="BA249" s="750" t="str">
        <f>IF(VLOOKUP(A249,'Eclusée - Schwall-Sunk'!$A$2:$F$273,6,FALSE)="","",VLOOKUP(A249,'Eclusée - Schwall-Sunk'!$A$2:$F$273,6,FALSE))</f>
        <v>Non affecté / nicht betroffen</v>
      </c>
      <c r="BB249" s="751">
        <f>IF(VLOOKUP(A249,'Revitalisation-Revitalisierung'!$A$4:$Z$275,5,FALSE)="","",VLOOKUP(A249,'Revitalisation-Revitalisierung'!$A$4:$Z$275,5,FALSE))</f>
        <v>-10.454545454545455</v>
      </c>
      <c r="BC249" s="752">
        <f>IF(VLOOKUP(A249,'Revitalisation-Revitalisierung'!$A$4:$Z$275,6,FALSE)="","",VLOOKUP(A249,'Revitalisation-Revitalisierung'!$A$4:$Z$275,6,FALSE))</f>
        <v>0</v>
      </c>
      <c r="BD249" s="752">
        <f>IF(VLOOKUP(A249,'Revitalisation-Revitalisierung'!$A$4:$Z$275,7,FALSE)="","",VLOOKUP(A249,'Revitalisation-Revitalisierung'!$A$4:$Z$275,7,FALSE))</f>
        <v>10.454545454545455</v>
      </c>
      <c r="BE249" s="753" t="str">
        <f>IF(VLOOKUP(A249,'Revitalisation-Revitalisierung'!$A$4:$Z$275,8,FALSE)="","",VLOOKUP(A249,'Revitalisation-Revitalisierung'!$A$4:$Z$275,8,FALSE))</f>
        <v>non nécessaire</v>
      </c>
      <c r="BF249" s="754" t="str">
        <f>IF(VLOOKUP(A249,'Revitalisation-Revitalisierung'!$A$4:$Z$275,9,FALSE)="","",VLOOKUP(A249,'Revitalisation-Revitalisierung'!$A$4:$Z$275,9,FALSE))</f>
        <v>nicht nötig</v>
      </c>
      <c r="BG249" s="754" t="str">
        <f>IF(VLOOKUP(A249,'Revitalisation-Revitalisierung'!$A$4:$Z$275,10,FALSE)="","",VLOOKUP(A249,'Revitalisation-Revitalisierung'!$A$4:$Z$275,10,FALSE))</f>
        <v>K3</v>
      </c>
      <c r="BH249" s="755" t="str">
        <f>IF(VLOOKUP(A249,'Revitalisation-Revitalisierung'!$A$4:$Z$275,11,FALSE)="","",VLOOKUP(A249,'Revitalisation-Revitalisierung'!$A$4:$Z$275,11,FALSE))</f>
        <v/>
      </c>
      <c r="BI249" s="756" t="str">
        <f>IF(VLOOKUP(A249,'Revitalisation-Revitalisierung'!$A$4:$Z$275,12,FALSE)="","",VLOOKUP(A249,'Revitalisation-Revitalisierung'!$A$4:$Z$275,12,FALSE))</f>
        <v/>
      </c>
      <c r="BJ249" s="788" t="str">
        <f>IF(VLOOKUP(A249,'Revitalisation-Revitalisierung'!$A$4:$Z$275,13,FALSE)="","",VLOOKUP(A249,'Revitalisation-Revitalisierung'!$A$4:$Z$275,13,FALSE))</f>
        <v>Non nécessaire / nicht nötig</v>
      </c>
      <c r="BK249" s="870" t="str">
        <f>IF(VLOOKUP(A249,'Revitalisation-Revitalisierung'!$A$4:$Z$275,14,FALSE)="","",VLOOKUP(A249,'Revitalisation-Revitalisierung'!$A$4:$Z$275,14,FALSE))</f>
        <v>a</v>
      </c>
      <c r="BL249" s="758" t="str">
        <f>IF(VLOOKUP(A249,'Revitalisation-Revitalisierung'!$A$4:$Z$275,15,FALSE)="","",VLOOKUP(A249,'Revitalisation-Revitalisierung'!$A$4:$Z$275,15,FALSE))</f>
        <v>gering /
non det.</v>
      </c>
      <c r="BM249" s="759" t="str">
        <f>IF(VLOOKUP(A249,'Revitalisation-Revitalisierung'!$A$4:$Z$275,16,FALSE)="","",VLOOKUP(A249,'Revitalisation-Revitalisierung'!$A$4:$Z$275,16,FALSE))</f>
        <v>gering  /
non det.</v>
      </c>
      <c r="BN249" s="759" t="str">
        <f>IF(VLOOKUP(A249,'Revitalisation-Revitalisierung'!$A$4:$Z$275,17,FALSE)="","",VLOOKUP(A249,'Revitalisation-Revitalisierung'!$A$4:$Z$275,17,FALSE))</f>
        <v>- /
keine</v>
      </c>
      <c r="BO249" s="760" t="str">
        <f>IF(VLOOKUP(A249,'Revitalisation-Revitalisierung'!$A$4:$Z$275,18,FALSE)="","",VLOOKUP(A249,'Revitalisation-Revitalisierung'!$A$4:$Z$275,18,FALSE))</f>
        <v>Non nécessaire / nicht nötig</v>
      </c>
      <c r="BP249" s="761" t="str">
        <f>IF(VLOOKUP(A249,'Revitalisation-Revitalisierung'!$A$4:$Z$275,19,FALSE)="","",VLOOKUP(A249,'Revitalisation-Revitalisierung'!$A$4:$Z$275,19,FALSE))</f>
        <v>Non nécessaire / nicht nötig</v>
      </c>
      <c r="BQ249" s="759" t="str">
        <f>IF(VLOOKUP(A249,'Revitalisation-Revitalisierung'!$A$4:$Z$275,20,FALSE)="","",VLOOKUP(A249,'Revitalisation-Revitalisierung'!$A$4:$Z$275,20,FALSE))</f>
        <v>d</v>
      </c>
      <c r="BR249" s="759" t="str">
        <f>IF(VLOOKUP(A249,'Revitalisation-Revitalisierung'!$A$4:$Z$275,21,FALSE)="","",VLOOKUP(A249,'Revitalisation-Revitalisierung'!$A$4:$Z$275,21,FALSE))</f>
        <v/>
      </c>
      <c r="BS249" s="762" t="str">
        <f>IF(VLOOKUP(A249,'Revitalisation-Revitalisierung'!$A$4:$Z$275,22,FALSE)="","",VLOOKUP(A249,'Revitalisation-Revitalisierung'!$A$4:$Z$275,22,FALSE))</f>
        <v/>
      </c>
      <c r="BT249" s="700" t="str">
        <f>IF(VLOOKUP(A249,'Revitalisation-Revitalisierung'!$A$4:$Z$275,23,FALSE)="","",VLOOKUP(A249,'Revitalisation-Revitalisierung'!$A$4:$Z$275,23,FALSE))</f>
        <v/>
      </c>
      <c r="BU249" s="699" t="str">
        <f>IF(VLOOKUP(A249,'Revitalisation-Revitalisierung'!$A$4:$Z$275,24,FALSE)="","",VLOOKUP(A249,'Revitalisation-Revitalisierung'!$A$4:$Z$275,24,FALSE))</f>
        <v/>
      </c>
      <c r="BV249" s="761" t="str">
        <f>IF(VLOOKUP(A249,'Revitalisation-Revitalisierung'!$A$4:$Z$275,25,FALSE)="","",VLOOKUP(A249,'Revitalisation-Revitalisierung'!$A$4:$Z$275,25,FALSE))</f>
        <v>Non nécessaire / nicht nötig</v>
      </c>
      <c r="BW249" s="871" t="str">
        <f>IF(VLOOKUP(A249,'Revitalisation-Revitalisierung'!$A$4:$AA$275,27,FALSE)="","",VLOOKUP(A249,'Revitalisation-Revitalisierung'!$A$4:$AA$275,27,FALSE))</f>
        <v>a</v>
      </c>
    </row>
    <row r="250" spans="1:75" ht="99" customHeight="1" x14ac:dyDescent="0.25">
      <c r="A250" s="1230">
        <v>372</v>
      </c>
      <c r="B250" s="856">
        <f>IF(VLOOKUP(A250,'Données de base - Grunddaten'!$A$2:$M$297,2,FALSE)="","",VLOOKUP(A250,'Données de base - Grunddaten'!$A$2:$M$297,2,FALSE))</f>
        <v>1</v>
      </c>
      <c r="C250" s="857" t="str">
        <f>IF(VLOOKUP(A250,'Données de base - Grunddaten'!$A$2:$M$297,3,FALSE)="","",VLOOKUP(A250,'Données de base - Grunddaten'!$A$2:$M$297,3,FALSE))</f>
        <v>Weissbad</v>
      </c>
      <c r="D250" s="857" t="str">
        <f>IF(VLOOKUP(A250,'Données de base - Grunddaten'!$A$2:$M$297,4,FALSE)="","",VLOOKUP(A250,'Données de base - Grunddaten'!$A$2:$M$297,4,FALSE))</f>
        <v>Wissbach</v>
      </c>
      <c r="E250" s="857" t="str">
        <f>IF(VLOOKUP(A250,'Données de base - Grunddaten'!$A$2:$M$297,5,FALSE)="","",VLOOKUP(A250,'Données de base - Grunddaten'!$A$2:$M$297,5,FALSE))</f>
        <v>AI</v>
      </c>
      <c r="F250" s="857" t="str">
        <f>IF(VLOOKUP(A250,'Données de base - Grunddaten'!$A$2:$M$297,6,FALSE)="","",VLOOKUP(A250,'Données de base - Grunddaten'!$A$2:$M$297,6,FALSE))</f>
        <v>Alpes septentrionales</v>
      </c>
      <c r="G250" s="857" t="str">
        <f>IF(VLOOKUP(A250,'Données de base - Grunddaten'!$A$2:$M$297,7,FALSE)="","",VLOOKUP(A250,'Données de base - Grunddaten'!$A$2:$M$297,7,FALSE))</f>
        <v>Montagnard inf.</v>
      </c>
      <c r="H250" s="857" t="str">
        <f>IF(VLOOKUP(A250,'Données de base - Grunddaten'!$A$2:$M$297,8,FALSE)="","",VLOOKUP(A250,'Données de base - Grunddaten'!$A$2:$M$297,8,FALSE))</f>
        <v>860 m</v>
      </c>
      <c r="I250" s="857" t="str">
        <f>IF(VLOOKUP(A250,'Données de base - Grunddaten'!$A$2:$M$297,9,FALSE)="","",VLOOKUP(A250,'Données de base - Grunddaten'!$A$2:$M$297,9,FALSE))</f>
        <v>candidat</v>
      </c>
      <c r="J250" s="857">
        <f>IF(VLOOKUP(A250,'Données de base - Grunddaten'!$A$2:$M$297,10,FALSE)="","",VLOOKUP(A250,'Données de base - Grunddaten'!$A$2:$M$297,10,FALSE))</f>
        <v>41</v>
      </c>
      <c r="K250" s="857" t="str">
        <f>IF(VLOOKUP(A250,'Données de base - Grunddaten'!$A$2:$M$297,11,FALSE)="","",VLOOKUP(A250,'Données de base - Grunddaten'!$A$2:$M$297,11,FALSE))</f>
        <v>Cours d'eau naturels de l'étage montagnard</v>
      </c>
      <c r="L250" s="857" t="str">
        <f>IF(VLOOKUP(A250,'Données de base - Grunddaten'!$A$2:$M$297,12,FALSE)="","",VLOOKUP(A250,'Données de base - Grunddaten'!$A$2:$M$297,12,FALSE))</f>
        <v>en méandres migrants</v>
      </c>
      <c r="M250" s="858" t="str">
        <f>IF(VLOOKUP(A250,'Données de base - Grunddaten'!$A$2:$M$297,13,FALSE)="","",VLOOKUP(A250,'Données de base - Grunddaten'!$A$2:$M$297,13,FALSE))</f>
        <v>en méandres migrants</v>
      </c>
      <c r="N250" s="872" t="str">
        <f>IF(VLOOKUP(A250,'Charriage - Geschiebehaushalt'!$A$4:$R$275,5,FALSE)="","",VLOOKUP(A250,'Charriage - Geschiebehaushalt'!$A$4:$R$275,5,FALSE))</f>
        <v>pertinent</v>
      </c>
      <c r="O250" s="881" t="str">
        <f>IF(VLOOKUP(A250,'Charriage - Geschiebehaushalt'!$A$4:$R$275,6,FALSE)="","",VLOOKUP(A250,'Charriage - Geschiebehaushalt'!$A$4:$R$275,6,FALSE))</f>
        <v>non documenté</v>
      </c>
      <c r="P250" s="874" t="str">
        <f>IF(VLOOKUP(A250,'Charriage - Geschiebehaushalt'!$A$4:$R$275,7,FALSE)="","",VLOOKUP(A250,'Charriage - Geschiebehaushalt'!$A$4:$R$275,7,FALSE))</f>
        <v/>
      </c>
      <c r="Q250" s="874" t="str">
        <f>IF(VLOOKUP(A250,'Charriage - Geschiebehaushalt'!$A$4:$R$275,8,FALSE)="","",VLOOKUP(A250,'Charriage - Geschiebehaushalt'!$A$4:$R$275,8,FALSE))</f>
        <v>non documenté</v>
      </c>
      <c r="R250" s="875">
        <f>IF(VLOOKUP(A250,'Charriage - Geschiebehaushalt'!$A$4:$R$275,9,FALSE)="","",VLOOKUP(A250,'Charriage - Geschiebehaushalt'!$A$4:$R$275,9,FALSE))</f>
        <v>0</v>
      </c>
      <c r="S250" s="876" t="str">
        <f>IF(VLOOKUP(A250,'Charriage - Geschiebehaushalt'!$A$4:$R$275,10,FALSE)="","",VLOOKUP(A250,'Charriage - Geschiebehaushalt'!$A$4:$R$275,10,FALSE))</f>
        <v>pas ou faiblement entravé</v>
      </c>
      <c r="T250" s="875">
        <f>IF(VLOOKUP(A250,'Charriage - Geschiebehaushalt'!$A$4:$R$275,11,FALSE)="","",VLOOKUP(A250,'Charriage - Geschiebehaushalt'!$A$4:$R$275,11,FALSE))</f>
        <v>0.17299999999999999</v>
      </c>
      <c r="U250" s="876" t="str">
        <f>IF(VLOOKUP(A250,'Charriage - Geschiebehaushalt'!$A$4:$R$275,12,FALSE)="","",VLOOKUP(A250,'Charriage - Geschiebehaushalt'!$A$4:$R$275,12,FALSE))</f>
        <v>déficit dans les formations pionnières</v>
      </c>
      <c r="V250" s="877" t="str">
        <f>IF(VLOOKUP(A250,'Charriage - Geschiebehaushalt'!$A$4:$R$275,13,FALSE)="","",VLOOKUP(A250,'Charriage - Geschiebehaushalt'!$A$4:$R$275,13,FALSE))</f>
        <v>difficile de juger</v>
      </c>
      <c r="W250" s="877" t="str">
        <f>IF(VLOOKUP(A250,'Charriage - Geschiebehaushalt'!$A$4:$R$275,14,FALSE)="","",VLOOKUP(A250,'Charriage - Geschiebehaushalt'!$A$4:$R$275,14,FALSE))</f>
        <v>A vérifier</v>
      </c>
      <c r="X250" s="877" t="str">
        <f>IF(VLOOKUP(A250,'Charriage - Geschiebehaushalt'!$A$4:$R$275,15,FALSE)="","",VLOOKUP(A250,'Charriage - Geschiebehaushalt'!$A$4:$R$275,15,FALSE))</f>
        <v>pas d'ouvrage dans le bassin versant</v>
      </c>
      <c r="Y250" s="882" t="str">
        <f>IF(VLOOKUP(A250,'Charriage - Geschiebehaushalt'!$A$4:$R$275,16,FALSE)="","",VLOOKUP(A250,'Charriage - Geschiebehaushalt'!$A$4:$R$275,16,FALSE))</f>
        <v>charriage présumé naturel</v>
      </c>
      <c r="Z250" s="763" t="str">
        <f>IF(VLOOKUP(A250,'Charriage - Geschiebehaushalt'!$A$4:$R$275,17,FALSE)="","",VLOOKUP(A250,'Charriage - Geschiebehaushalt'!$A$4:$R$275,17,FALSE))</f>
        <v>Charriage présumé naturel / Geschiebehaushalt vermutlich natürlich</v>
      </c>
      <c r="AA250" s="880" t="str">
        <f>IF(VLOOKUP(A250,'Charriage - Geschiebehaushalt'!$A$4:$R$275,18,FALSE)="","",VLOOKUP(A250,'Charriage - Geschiebehaushalt'!$A$4:$R$275,18,FALSE))</f>
        <v>a</v>
      </c>
      <c r="AB250" s="737" t="str">
        <f>IF(VLOOKUP(A250,'Charriage - Geschiebehaushalt'!$A$4:$AC$275,19,FALSE)="","",VLOOKUP(A250,'Charriage - Geschiebehaushalt'!$A$4:$AC$275,19,FALSE))</f>
        <v>-</v>
      </c>
      <c r="AC250" s="738" t="str">
        <f>IF(VLOOKUP(A250,'Charriage - Geschiebehaushalt'!$A$4:$AC$275,20,FALSE)="","",VLOOKUP(A250,'Charriage - Geschiebehaushalt'!$A$4:$AC$275,20,FALSE))</f>
        <v>-</v>
      </c>
      <c r="AD250" s="764" t="str">
        <f>IF(VLOOKUP(A250,'Charriage - Geschiebehaushalt'!$A$4:$AC$275,21,FALSE)="","",VLOOKUP(A250,'Charriage - Geschiebehaushalt'!$A$4:$AC$275,21,FALSE))</f>
        <v/>
      </c>
      <c r="AE250" s="740" t="str">
        <f>IF(VLOOKUP(A250,'Charriage - Geschiebehaushalt'!$A$4:$AC$275,22,FALSE)="","",VLOOKUP(A250,'Charriage - Geschiebehaushalt'!$A$4:$AC$275,22,FALSE))</f>
        <v>0-20%</v>
      </c>
      <c r="AF250" s="787" t="str">
        <f>IF(VLOOKUP(A250,'Charriage - Geschiebehaushalt'!$A$4:$AC$275,23,FALSE)="","",VLOOKUP(A250,'Charriage - Geschiebehaushalt'!$A$4:$AC$275,23,FALSE))</f>
        <v>a</v>
      </c>
      <c r="AG250" s="765" t="str">
        <f>IF(VLOOKUP(A250,'Charriage - Geschiebehaushalt'!$A$4:$AC$275,24,FALSE)="","",VLOOKUP(A250,'Charriage - Geschiebehaushalt'!$A$4:$AC$275,24,FALSE))</f>
        <v/>
      </c>
      <c r="AH250" s="764" t="str">
        <f>IF(VLOOKUP(A250,'Charriage - Geschiebehaushalt'!$A$4:$AC$275,25,FALSE)="","",VLOOKUP(A250,'Charriage - Geschiebehaushalt'!$A$4:$AC$275,25,FALSE))</f>
        <v/>
      </c>
      <c r="AI250" s="433" t="str">
        <f>IF(VLOOKUP(A250,'Charriage - Geschiebehaushalt'!$A$4:$AC$275,26,FALSE)="","",VLOOKUP(A250,'Charriage - Geschiebehaushalt'!$A$4:$AC$275,26,FALSE))</f>
        <v/>
      </c>
      <c r="AJ250" s="434" t="str">
        <f>IF(VLOOKUP(A250,'Charriage - Geschiebehaushalt'!$A$4:$AC$275,27,FALSE)="","",VLOOKUP(A250,'Charriage - Geschiebehaushalt'!$A$4:$AC$275,27,FALSE))</f>
        <v/>
      </c>
      <c r="AK250" s="801" t="str">
        <f>IF(VLOOKUP(A250,'Charriage - Geschiebehaushalt'!$A$4:$AC$275,28,FALSE)="","",VLOOKUP(A250,'Charriage - Geschiebehaushalt'!$A$4:$AC$275,28,FALSE))</f>
        <v>0-20%</v>
      </c>
      <c r="AL250" s="1285" t="str">
        <f>IF(VLOOKUP(A250,'Charriage - Geschiebehaushalt'!$A$4:$AD$275,30,FALSE)="","",VLOOKUP(A250,'Charriage - Geschiebehaushalt'!$A$4:$AD$275,30,FALSE))</f>
        <v>a</v>
      </c>
      <c r="AM250" s="1279" t="str">
        <f>IF(VLOOKUP(A250,'Débit - Abfluss'!$A$4:$K$275,5,FALSE)="","",VLOOKUP(A250,'Débit - Abfluss'!$A$4:$M$275,5,FALSE))</f>
        <v>non documenté</v>
      </c>
      <c r="AN250" s="868" t="str">
        <f>IF(VLOOKUP(A250,'Débit - Abfluss'!$A$4:$K$275,6,FALSE)="","",VLOOKUP(A250,'Débit - Abfluss'!$A$4:$M$275,6,FALSE))</f>
        <v>aucune information supplémentaire</v>
      </c>
      <c r="AO250" s="869" t="str">
        <f>IF(VLOOKUP(A250,'Débit - Abfluss'!$A$4:$K$275,7,FALSE)="","",VLOOKUP(A250,'Débit - Abfluss'!$A$4:$M$275,7,FALSE))</f>
        <v>aucune information supplémentaire</v>
      </c>
      <c r="AP250" s="766" t="str">
        <f>IF(VLOOKUP(A250,'Débit - Abfluss'!$A$4:$K$275,8,FALSE)="","",VLOOKUP(A250,'Débit - Abfluss'!$A$4:$M$275,8,FALSE))</f>
        <v>Régime présumé naturel (100%) / Abfluss vermutlich natürlich</v>
      </c>
      <c r="AQ250" s="742" t="str">
        <f>IF(VLOOKUP(A250,'Débit - Abfluss'!$A$4:$K$275,9,FALSE)="","",VLOOKUP(A250,'Débit - Abfluss'!$A$4:$M$275,9,FALSE))</f>
        <v>-</v>
      </c>
      <c r="AR250" s="767" t="str">
        <f>IF(VLOOKUP(A250,'Débit - Abfluss'!$A$4:$K$275,10,FALSE)="","",VLOOKUP(A250,'Débit - Abfluss'!$A$4:$M$275,10,FALSE))</f>
        <v>Régime présumé naturel (100%) / Abfluss vermutlich natürlich</v>
      </c>
      <c r="AS250" s="767" t="str">
        <f>IF(VLOOKUP(A250,'Débit - Abfluss'!$A$4:$K$275,11,FALSE)="","",VLOOKUP(A250,'Débit - Abfluss'!$A$4:$M$275,11,FALSE))</f>
        <v/>
      </c>
      <c r="AT250" s="744" t="str">
        <f>IF(VLOOKUP(A250,'Débit - Abfluss'!$A$4:$Q$275,12,FALSE)="","",VLOOKUP(A250,'Débit - Abfluss'!$A$4:$Q$275,12,FALSE))</f>
        <v/>
      </c>
      <c r="AU250" s="768" t="str">
        <f>IF(VLOOKUP(A250,'Débit - Abfluss'!$A$4:$Q$275,13,FALSE)="","",VLOOKUP(A250,'Débit - Abfluss'!$A$4:$Q$275,13,FALSE))</f>
        <v>Keine Ergänzungen</v>
      </c>
      <c r="AV250" s="746" t="str">
        <f>IF(VLOOKUP(A250,'Débit - Abfluss'!$A$4:$Q$275,14,FALSE)="","",VLOOKUP(A250,'Débit - Abfluss'!$A$4:$Q$275,14,FALSE))</f>
        <v/>
      </c>
      <c r="AW250" s="768" t="str">
        <f>IF(VLOOKUP(A250,'Débit - Abfluss'!$A$4:$Q$275,15,FALSE)="","",VLOOKUP(A250,'Débit - Abfluss'!$A$4:$Q$275,15,FALSE))</f>
        <v/>
      </c>
      <c r="AX250" s="677" t="str">
        <f>IF(VLOOKUP(A250,'Débit - Abfluss'!$A$4:$Q$275,16,FALSE)="","",VLOOKUP(A250,'Débit - Abfluss'!$A$4:$Q$275,16,FALSE))</f>
        <v/>
      </c>
      <c r="AY250" s="769" t="str">
        <f>IF(VLOOKUP(A250,'Débit - Abfluss'!$A$4:$Q$275,17,FALSE)="","",VLOOKUP(A250,'Débit - Abfluss'!$A$4:$Q$275,17,FALSE))</f>
        <v>Régime présumé naturel (100%) / Abfluss vermutlich natürlich</v>
      </c>
      <c r="AZ250" s="749" t="str">
        <f>IF(VLOOKUP(A250,'Eclusée - Schwall-Sunk'!$A$2:$F$273,5,FALSE)="","",VLOOKUP(A250,'Eclusée - Schwall-Sunk'!$A$2:$F$273,5,FALSE))</f>
        <v/>
      </c>
      <c r="BA250" s="750" t="str">
        <f>IF(VLOOKUP(A250,'Eclusée - Schwall-Sunk'!$A$2:$F$273,6,FALSE)="","",VLOOKUP(A250,'Eclusée - Schwall-Sunk'!$A$2:$F$273,6,FALSE))</f>
        <v>Non affecté / nicht betroffen</v>
      </c>
      <c r="BB250" s="751" t="str">
        <f>IF(VLOOKUP(A250,'Revitalisation-Revitalisierung'!$A$4:$Z$275,5,FALSE)="","",VLOOKUP(A250,'Revitalisation-Revitalisierung'!$A$4:$Z$275,5,FALSE))</f>
        <v/>
      </c>
      <c r="BC250" s="752" t="str">
        <f>IF(VLOOKUP(A250,'Revitalisation-Revitalisierung'!$A$4:$Z$275,6,FALSE)="","",VLOOKUP(A250,'Revitalisation-Revitalisierung'!$A$4:$Z$275,6,FALSE))</f>
        <v/>
      </c>
      <c r="BD250" s="752" t="str">
        <f>IF(VLOOKUP(A250,'Revitalisation-Revitalisierung'!$A$4:$Z$275,7,FALSE)="","",VLOOKUP(A250,'Revitalisation-Revitalisierung'!$A$4:$Z$275,7,FALSE))</f>
        <v/>
      </c>
      <c r="BE250" s="753" t="str">
        <f>IF(VLOOKUP(A250,'Revitalisation-Revitalisierung'!$A$4:$Z$275,8,FALSE)="","",VLOOKUP(A250,'Revitalisation-Revitalisierung'!$A$4:$Z$275,8,FALSE))</f>
        <v>non nécessaire</v>
      </c>
      <c r="BF250" s="754" t="str">
        <f>IF(VLOOKUP(A250,'Revitalisation-Revitalisierung'!$A$4:$Z$275,9,FALSE)="","",VLOOKUP(A250,'Revitalisation-Revitalisierung'!$A$4:$Z$275,9,FALSE))</f>
        <v>nicht nötig</v>
      </c>
      <c r="BG250" s="754" t="str">
        <f>IF(VLOOKUP(A250,'Revitalisation-Revitalisierung'!$A$4:$Z$275,10,FALSE)="","",VLOOKUP(A250,'Revitalisation-Revitalisierung'!$A$4:$Z$275,10,FALSE))</f>
        <v/>
      </c>
      <c r="BH250" s="755" t="str">
        <f>IF(VLOOKUP(A250,'Revitalisation-Revitalisierung'!$A$4:$Z$275,11,FALSE)="","",VLOOKUP(A250,'Revitalisation-Revitalisierung'!$A$4:$Z$275,11,FALSE))</f>
        <v/>
      </c>
      <c r="BI250" s="756" t="str">
        <f>IF(VLOOKUP(A250,'Revitalisation-Revitalisierung'!$A$4:$Z$275,12,FALSE)="","",VLOOKUP(A250,'Revitalisation-Revitalisierung'!$A$4:$Z$275,12,FALSE))</f>
        <v/>
      </c>
      <c r="BJ250" s="788" t="str">
        <f>IF(VLOOKUP(A250,'Revitalisation-Revitalisierung'!$A$4:$Z$275,13,FALSE)="","",VLOOKUP(A250,'Revitalisation-Revitalisierung'!$A$4:$Z$275,13,FALSE))</f>
        <v>Non nécessaire / nicht nötig</v>
      </c>
      <c r="BK250" s="870" t="str">
        <f>IF(VLOOKUP(A250,'Revitalisation-Revitalisierung'!$A$4:$Z$275,14,FALSE)="","",VLOOKUP(A250,'Revitalisation-Revitalisierung'!$A$4:$Z$275,14,FALSE))</f>
        <v>a</v>
      </c>
      <c r="BL250" s="758" t="str">
        <f>IF(VLOOKUP(A250,'Revitalisation-Revitalisierung'!$A$4:$Z$275,15,FALSE)="","",VLOOKUP(A250,'Revitalisation-Revitalisierung'!$A$4:$Z$275,15,FALSE))</f>
        <v>gering</v>
      </c>
      <c r="BM250" s="759" t="str">
        <f>IF(VLOOKUP(A250,'Revitalisation-Revitalisierung'!$A$4:$Z$275,16,FALSE)="","",VLOOKUP(A250,'Revitalisation-Revitalisierung'!$A$4:$Z$275,16,FALSE))</f>
        <v>gering</v>
      </c>
      <c r="BN250" s="759" t="str">
        <f>IF(VLOOKUP(A250,'Revitalisation-Revitalisierung'!$A$4:$Z$275,17,FALSE)="","",VLOOKUP(A250,'Revitalisation-Revitalisierung'!$A$4:$Z$275,17,FALSE))</f>
        <v>-</v>
      </c>
      <c r="BO250" s="760" t="str">
        <f>IF(VLOOKUP(A250,'Revitalisation-Revitalisierung'!$A$4:$Z$275,18,FALSE)="","",VLOOKUP(A250,'Revitalisation-Revitalisierung'!$A$4:$Z$275,18,FALSE))</f>
        <v>Non nécessaire / nicht nötig</v>
      </c>
      <c r="BP250" s="761" t="str">
        <f>IF(VLOOKUP(A250,'Revitalisation-Revitalisierung'!$A$4:$Z$275,19,FALSE)="","",VLOOKUP(A250,'Revitalisation-Revitalisierung'!$A$4:$Z$275,19,FALSE))</f>
        <v>Non nécessaire / nicht nötig</v>
      </c>
      <c r="BQ250" s="759" t="str">
        <f>IF(VLOOKUP(A250,'Revitalisation-Revitalisierung'!$A$4:$Z$275,20,FALSE)="","",VLOOKUP(A250,'Revitalisation-Revitalisierung'!$A$4:$Z$275,20,FALSE))</f>
        <v>d</v>
      </c>
      <c r="BR250" s="759" t="str">
        <f>IF(VLOOKUP(A250,'Revitalisation-Revitalisierung'!$A$4:$Z$275,21,FALSE)="","",VLOOKUP(A250,'Revitalisation-Revitalisierung'!$A$4:$Z$275,21,FALSE))</f>
        <v/>
      </c>
      <c r="BS250" s="762" t="str">
        <f>IF(VLOOKUP(A250,'Revitalisation-Revitalisierung'!$A$4:$Z$275,22,FALSE)="","",VLOOKUP(A250,'Revitalisation-Revitalisierung'!$A$4:$Z$275,22,FALSE))</f>
        <v/>
      </c>
      <c r="BT250" s="700" t="str">
        <f>IF(VLOOKUP(A250,'Revitalisation-Revitalisierung'!$A$4:$Z$275,23,FALSE)="","",VLOOKUP(A250,'Revitalisation-Revitalisierung'!$A$4:$Z$275,23,FALSE))</f>
        <v/>
      </c>
      <c r="BU250" s="699" t="str">
        <f>IF(VLOOKUP(A250,'Revitalisation-Revitalisierung'!$A$4:$Z$275,24,FALSE)="","",VLOOKUP(A250,'Revitalisation-Revitalisierung'!$A$4:$Z$275,24,FALSE))</f>
        <v/>
      </c>
      <c r="BV250" s="761" t="str">
        <f>IF(VLOOKUP(A250,'Revitalisation-Revitalisierung'!$A$4:$Z$275,25,FALSE)="","",VLOOKUP(A250,'Revitalisation-Revitalisierung'!$A$4:$Z$275,25,FALSE))</f>
        <v>Non nécessaire / nicht nötig</v>
      </c>
      <c r="BW250" s="871" t="str">
        <f>IF(VLOOKUP(A250,'Revitalisation-Revitalisierung'!$A$4:$AA$275,27,FALSE)="","",VLOOKUP(A250,'Revitalisation-Revitalisierung'!$A$4:$AA$275,27,FALSE))</f>
        <v>a</v>
      </c>
    </row>
    <row r="251" spans="1:75" ht="88.9" customHeight="1" x14ac:dyDescent="0.25">
      <c r="A251" s="935">
        <v>373</v>
      </c>
      <c r="B251" s="856">
        <f>IF(VLOOKUP(A251,'Données de base - Grunddaten'!$A$2:$M$297,2,FALSE)="","",VLOOKUP(A251,'Données de base - Grunddaten'!$A$2:$M$297,2,FALSE))</f>
        <v>1</v>
      </c>
      <c r="C251" s="857" t="str">
        <f>IF(VLOOKUP(A251,'Données de base - Grunddaten'!$A$2:$M$297,3,FALSE)="","",VLOOKUP(A251,'Données de base - Grunddaten'!$A$2:$M$297,3,FALSE))</f>
        <v>Schilstal / Sand</v>
      </c>
      <c r="D251" s="857" t="str">
        <f>IF(VLOOKUP(A251,'Données de base - Grunddaten'!$A$2:$M$297,4,FALSE)="","",VLOOKUP(A251,'Données de base - Grunddaten'!$A$2:$M$297,4,FALSE))</f>
        <v>Fanbach, Furschbach, Schils</v>
      </c>
      <c r="E251" s="857" t="str">
        <f>IF(VLOOKUP(A251,'Données de base - Grunddaten'!$A$2:$M$297,5,FALSE)="","",VLOOKUP(A251,'Données de base - Grunddaten'!$A$2:$M$297,5,FALSE))</f>
        <v>SG</v>
      </c>
      <c r="F251" s="857" t="str">
        <f>IF(VLOOKUP(A251,'Données de base - Grunddaten'!$A$2:$M$297,6,FALSE)="","",VLOOKUP(A251,'Données de base - Grunddaten'!$A$2:$M$297,6,FALSE))</f>
        <v>Alpes septentrionales</v>
      </c>
      <c r="G251" s="857" t="str">
        <f>IF(VLOOKUP(A251,'Données de base - Grunddaten'!$A$2:$M$297,7,FALSE)="","",VLOOKUP(A251,'Données de base - Grunddaten'!$A$2:$M$297,7,FALSE))</f>
        <v>Montagnard sup.</v>
      </c>
      <c r="H251" s="857">
        <f>IF(VLOOKUP(A251,'Données de base - Grunddaten'!$A$2:$M$297,8,FALSE)="","",VLOOKUP(A251,'Données de base - Grunddaten'!$A$2:$M$297,8,FALSE))</f>
        <v>1130</v>
      </c>
      <c r="I251" s="857">
        <f>IF(VLOOKUP(A251,'Données de base - Grunddaten'!$A$2:$M$297,9,FALSE)="","",VLOOKUP(A251,'Données de base - Grunddaten'!$A$2:$M$297,9,FALSE))</f>
        <v>2003</v>
      </c>
      <c r="J251" s="857">
        <f>IF(VLOOKUP(A251,'Données de base - Grunddaten'!$A$2:$M$297,10,FALSE)="","",VLOOKUP(A251,'Données de base - Grunddaten'!$A$2:$M$297,10,FALSE))</f>
        <v>41</v>
      </c>
      <c r="K251" s="857" t="str">
        <f>IF(VLOOKUP(A251,'Données de base - Grunddaten'!$A$2:$M$297,11,FALSE)="","",VLOOKUP(A251,'Données de base - Grunddaten'!$A$2:$M$297,11,FALSE))</f>
        <v>Cours d'eau naturels de l'étage montagnard</v>
      </c>
      <c r="L251" s="857" t="str">
        <f>IF(VLOOKUP(A251,'Données de base - Grunddaten'!$A$2:$M$297,12,FALSE)="","",VLOOKUP(A251,'Données de base - Grunddaten'!$A$2:$M$297,12,FALSE))</f>
        <v>en tresses</v>
      </c>
      <c r="M251" s="858" t="str">
        <f>IF(VLOOKUP(A251,'Données de base - Grunddaten'!$A$2:$M$297,13,FALSE)="","",VLOOKUP(A251,'Données de base - Grunddaten'!$A$2:$M$297,13,FALSE))</f>
        <v>en tresses</v>
      </c>
      <c r="N251" s="872" t="str">
        <f>IF(VLOOKUP(A251,'Charriage - Geschiebehaushalt'!$A$4:$R$275,5,FALSE)="","",VLOOKUP(A251,'Charriage - Geschiebehaushalt'!$A$4:$R$275,5,FALSE))</f>
        <v>pertinent</v>
      </c>
      <c r="O251" s="881" t="str">
        <f>IF(VLOOKUP(A251,'Charriage - Geschiebehaushalt'!$A$4:$R$275,6,FALSE)="","",VLOOKUP(A251,'Charriage - Geschiebehaushalt'!$A$4:$R$275,6,FALSE))</f>
        <v>non documenté</v>
      </c>
      <c r="P251" s="874" t="str">
        <f>IF(VLOOKUP(A251,'Charriage - Geschiebehaushalt'!$A$4:$R$275,7,FALSE)="","",VLOOKUP(A251,'Charriage - Geschiebehaushalt'!$A$4:$R$275,7,FALSE))</f>
        <v/>
      </c>
      <c r="Q251" s="874" t="str">
        <f>IF(VLOOKUP(A251,'Charriage - Geschiebehaushalt'!$A$4:$R$275,8,FALSE)="","",VLOOKUP(A251,'Charriage - Geschiebehaushalt'!$A$4:$R$275,8,FALSE))</f>
        <v>non documenté</v>
      </c>
      <c r="R251" s="875">
        <f>IF(VLOOKUP(A251,'Charriage - Geschiebehaushalt'!$A$4:$R$275,9,FALSE)="","",VLOOKUP(A251,'Charriage - Geschiebehaushalt'!$A$4:$R$275,9,FALSE))</f>
        <v>7.9773288256720407E-2</v>
      </c>
      <c r="S251" s="876" t="str">
        <f>IF(VLOOKUP(A251,'Charriage - Geschiebehaushalt'!$A$4:$R$275,10,FALSE)="","",VLOOKUP(A251,'Charriage - Geschiebehaushalt'!$A$4:$R$275,10,FALSE))</f>
        <v>pas ou faiblement entravé</v>
      </c>
      <c r="T251" s="875">
        <f>IF(VLOOKUP(A251,'Charriage - Geschiebehaushalt'!$A$4:$R$275,11,FALSE)="","",VLOOKUP(A251,'Charriage - Geschiebehaushalt'!$A$4:$R$275,11,FALSE))</f>
        <v>0.35635395484999999</v>
      </c>
      <c r="U251" s="895" t="str">
        <f>IF(VLOOKUP(A251,'Charriage - Geschiebehaushalt'!$A$4:$R$275,12,FALSE)="","",VLOOKUP(A251,'Charriage - Geschiebehaushalt'!$A$4:$R$275,12,FALSE))</f>
        <v>déficit non apparent en charriage ou en remobilisation des sédiments</v>
      </c>
      <c r="V251" s="877" t="str">
        <f>IF(VLOOKUP(A251,'Charriage - Geschiebehaushalt'!$A$4:$R$275,13,FALSE)="","",VLOOKUP(A251,'Charriage - Geschiebehaushalt'!$A$4:$R$275,13,FALSE))</f>
        <v/>
      </c>
      <c r="W251" s="877" t="str">
        <f>IF(VLOOKUP(A251,'Charriage - Geschiebehaushalt'!$A$4:$R$275,14,FALSE)="","",VLOOKUP(A251,'Charriage - Geschiebehaushalt'!$A$4:$R$275,14,FALSE))</f>
        <v/>
      </c>
      <c r="X251" s="877" t="str">
        <f>IF(VLOOKUP(A251,'Charriage - Geschiebehaushalt'!$A$4:$R$275,15,FALSE)="","",VLOOKUP(A251,'Charriage - Geschiebehaushalt'!$A$4:$R$275,15,FALSE))</f>
        <v/>
      </c>
      <c r="Y251" s="879" t="str">
        <f>IF(VLOOKUP(A251,'Charriage - Geschiebehaushalt'!$A$4:$R$275,16,FALSE)="","",VLOOKUP(A251,'Charriage - Geschiebehaushalt'!$A$4:$R$275,16,FALSE))</f>
        <v/>
      </c>
      <c r="Z251" s="763" t="str">
        <f>IF(VLOOKUP(A251,'Charriage - Geschiebehaushalt'!$A$4:$R$275,17,FALSE)="","",VLOOKUP(A251,'Charriage - Geschiebehaushalt'!$A$4:$R$275,17,FALSE))</f>
        <v>Déficit non apparent en charriage ou en remobilisation des sédiments / kein sichtbares Defizit beim Geschiebehaushalt bzw. bei der Mobilisierung von Geschiebe</v>
      </c>
      <c r="AA251" s="880" t="str">
        <f>IF(VLOOKUP(A251,'Charriage - Geschiebehaushalt'!$A$4:$R$275,18,FALSE)="","",VLOOKUP(A251,'Charriage - Geschiebehaushalt'!$A$4:$R$275,18,FALSE))</f>
        <v>b</v>
      </c>
      <c r="AB251" s="737" t="str">
        <f>IF(VLOOKUP(A251,'Charriage - Geschiebehaushalt'!$A$4:$AC$275,19,FALSE)="","",VLOOKUP(A251,'Charriage - Geschiebehaushalt'!$A$4:$AC$275,19,FALSE))</f>
        <v>non dét.</v>
      </c>
      <c r="AC251" s="738">
        <f>IF(VLOOKUP(A251,'Charriage - Geschiebehaushalt'!$A$4:$AC$275,20,FALSE)="","",VLOOKUP(A251,'Charriage - Geschiebehaushalt'!$A$4:$AC$275,20,FALSE))</f>
        <v>0</v>
      </c>
      <c r="AD251" s="764" t="str">
        <f>IF(VLOOKUP(A251,'Charriage - Geschiebehaushalt'!$A$4:$AC$275,21,FALSE)="","",VLOOKUP(A251,'Charriage - Geschiebehaushalt'!$A$4:$AC$275,21,FALSE))</f>
        <v/>
      </c>
      <c r="AE251" s="740" t="str">
        <f>IF(VLOOKUP(A251,'Charriage - Geschiebehaushalt'!$A$4:$AC$275,22,FALSE)="","",VLOOKUP(A251,'Charriage - Geschiebehaushalt'!$A$4:$AC$275,22,FALSE))</f>
        <v>0-20%</v>
      </c>
      <c r="AF251" s="787" t="str">
        <f>IF(VLOOKUP(A251,'Charriage - Geschiebehaushalt'!$A$4:$AC$275,23,FALSE)="","",VLOOKUP(A251,'Charriage - Geschiebehaushalt'!$A$4:$AC$275,23,FALSE))</f>
        <v>b</v>
      </c>
      <c r="AG251" s="765" t="str">
        <f>IF(VLOOKUP(A251,'Charriage - Geschiebehaushalt'!$A$4:$AC$275,24,FALSE)="","",VLOOKUP(A251,'Charriage - Geschiebehaushalt'!$A$4:$AC$275,24,FALSE))</f>
        <v/>
      </c>
      <c r="AH251" s="764" t="str">
        <f>IF(VLOOKUP(A251,'Charriage - Geschiebehaushalt'!$A$4:$AC$275,25,FALSE)="","",VLOOKUP(A251,'Charriage - Geschiebehaushalt'!$A$4:$AC$275,25,FALSE))</f>
        <v/>
      </c>
      <c r="AI251" s="433" t="str">
        <f>IF(VLOOKUP(A251,'Charriage - Geschiebehaushalt'!$A$4:$AC$275,26,FALSE)="","",VLOOKUP(A251,'Charriage - Geschiebehaushalt'!$A$4:$AC$275,26,FALSE))</f>
        <v/>
      </c>
      <c r="AJ251" s="434" t="str">
        <f>IF(VLOOKUP(A251,'Charriage - Geschiebehaushalt'!$A$4:$AC$275,27,FALSE)="","",VLOOKUP(A251,'Charriage - Geschiebehaushalt'!$A$4:$AC$275,27,FALSE))</f>
        <v/>
      </c>
      <c r="AK251" s="801" t="str">
        <f>IF(VLOOKUP(A251,'Charriage - Geschiebehaushalt'!$A$4:$AC$275,28,FALSE)="","",VLOOKUP(A251,'Charriage - Geschiebehaushalt'!$A$4:$AC$275,28,FALSE))</f>
        <v>0-20%</v>
      </c>
      <c r="AL251" s="1285" t="str">
        <f>IF(VLOOKUP(A251,'Charriage - Geschiebehaushalt'!$A$4:$AD$275,30,FALSE)="","",VLOOKUP(A251,'Charriage - Geschiebehaushalt'!$A$4:$AD$275,30,FALSE))</f>
        <v>b</v>
      </c>
      <c r="AM251" s="1279" t="str">
        <f>IF(VLOOKUP(A251,'Débit - Abfluss'!$A$4:$K$275,5,FALSE)="","",VLOOKUP(A251,'Débit - Abfluss'!$A$4:$M$275,5,FALSE))</f>
        <v>100%</v>
      </c>
      <c r="AN251" s="868" t="str">
        <f>IF(VLOOKUP(A251,'Débit - Abfluss'!$A$4:$K$275,6,FALSE)="","",VLOOKUP(A251,'Débit - Abfluss'!$A$4:$M$275,6,FALSE))</f>
        <v>aucune information supplémentaire</v>
      </c>
      <c r="AO251" s="869" t="str">
        <f>IF(VLOOKUP(A251,'Débit - Abfluss'!$A$4:$K$275,7,FALSE)="","",VLOOKUP(A251,'Débit - Abfluss'!$A$4:$M$275,7,FALSE))</f>
        <v>aucune information supplémentaire</v>
      </c>
      <c r="AP251" s="766" t="str">
        <f>IF(VLOOKUP(A251,'Débit - Abfluss'!$A$4:$K$275,8,FALSE)="","",VLOOKUP(A251,'Débit - Abfluss'!$A$4:$M$275,8,FALSE))</f>
        <v>100%</v>
      </c>
      <c r="AQ251" s="742" t="str">
        <f>IF(VLOOKUP(A251,'Débit - Abfluss'!$A$4:$K$275,9,FALSE)="","",VLOOKUP(A251,'Débit - Abfluss'!$A$4:$M$275,9,FALSE))</f>
        <v>-</v>
      </c>
      <c r="AR251" s="767" t="str">
        <f>IF(VLOOKUP(A251,'Débit - Abfluss'!$A$4:$K$275,10,FALSE)="","",VLOOKUP(A251,'Débit - Abfluss'!$A$4:$M$275,10,FALSE))</f>
        <v>100%</v>
      </c>
      <c r="AS251" s="767" t="str">
        <f>IF(VLOOKUP(A251,'Débit - Abfluss'!$A$4:$K$275,11,FALSE)="","",VLOOKUP(A251,'Débit - Abfluss'!$A$4:$M$275,11,FALSE))</f>
        <v/>
      </c>
      <c r="AT251" s="744" t="str">
        <f>IF(VLOOKUP(A251,'Débit - Abfluss'!$A$4:$Q$275,12,FALSE)="","",VLOOKUP(A251,'Débit - Abfluss'!$A$4:$Q$275,12,FALSE))</f>
        <v/>
      </c>
      <c r="AU251" s="745" t="str">
        <f>IF(VLOOKUP(A251,'Débit - Abfluss'!$A$4:$Q$275,13,FALSE)="","",VLOOKUP(A251,'Débit - Abfluss'!$A$4:$Q$275,13,FALSE))</f>
        <v/>
      </c>
      <c r="AV251" s="746" t="str">
        <f>IF(VLOOKUP(A251,'Débit - Abfluss'!$A$4:$Q$275,14,FALSE)="","",VLOOKUP(A251,'Débit - Abfluss'!$A$4:$Q$275,14,FALSE))</f>
        <v/>
      </c>
      <c r="AW251" s="768" t="str">
        <f>IF(VLOOKUP(A251,'Débit - Abfluss'!$A$4:$Q$275,15,FALSE)="","",VLOOKUP(A251,'Débit - Abfluss'!$A$4:$Q$275,15,FALSE))</f>
        <v/>
      </c>
      <c r="AX251" s="677" t="str">
        <f>IF(VLOOKUP(A251,'Débit - Abfluss'!$A$4:$Q$275,16,FALSE)="","",VLOOKUP(A251,'Débit - Abfluss'!$A$4:$Q$275,16,FALSE))</f>
        <v/>
      </c>
      <c r="AY251" s="769" t="str">
        <f>IF(VLOOKUP(A251,'Débit - Abfluss'!$A$4:$Q$275,17,FALSE)="","",VLOOKUP(A251,'Débit - Abfluss'!$A$4:$Q$275,17,FALSE))</f>
        <v>100%</v>
      </c>
      <c r="AZ251" s="749" t="str">
        <f>IF(VLOOKUP(A251,'Eclusée - Schwall-Sunk'!$A$2:$F$273,5,FALSE)="","",VLOOKUP(A251,'Eclusée - Schwall-Sunk'!$A$2:$F$273,5,FALSE))</f>
        <v/>
      </c>
      <c r="BA251" s="750" t="str">
        <f>IF(VLOOKUP(A251,'Eclusée - Schwall-Sunk'!$A$2:$F$273,6,FALSE)="","",VLOOKUP(A251,'Eclusée - Schwall-Sunk'!$A$2:$F$273,6,FALSE))</f>
        <v>Non affecté / nicht betroffen</v>
      </c>
      <c r="BB251" s="751">
        <f>IF(VLOOKUP(A251,'Revitalisation-Revitalisierung'!$A$4:$Z$275,5,FALSE)="","",VLOOKUP(A251,'Revitalisation-Revitalisierung'!$A$4:$Z$275,5,FALSE))</f>
        <v>3.8</v>
      </c>
      <c r="BC251" s="752">
        <f>IF(VLOOKUP(A251,'Revitalisation-Revitalisierung'!$A$4:$Z$275,6,FALSE)="","",VLOOKUP(A251,'Revitalisation-Revitalisierung'!$A$4:$Z$275,6,FALSE))</f>
        <v>3.7503656439797042</v>
      </c>
      <c r="BD251" s="752">
        <f>IF(VLOOKUP(A251,'Revitalisation-Revitalisierung'!$A$4:$Z$275,7,FALSE)="","",VLOOKUP(A251,'Revitalisation-Revitalisierung'!$A$4:$Z$275,7,FALSE))</f>
        <v>0</v>
      </c>
      <c r="BE251" s="753" t="str">
        <f>IF(VLOOKUP(A251,'Revitalisation-Revitalisierung'!$A$4:$Z$275,8,FALSE)="","",VLOOKUP(A251,'Revitalisation-Revitalisierung'!$A$4:$Z$275,8,FALSE))</f>
        <v>peu nécessaire, facile</v>
      </c>
      <c r="BF251" s="754" t="str">
        <f>IF(VLOOKUP(A251,'Revitalisation-Revitalisierung'!$A$4:$Z$275,9,FALSE)="","",VLOOKUP(A251,'Revitalisation-Revitalisierung'!$A$4:$Z$275,9,FALSE))</f>
        <v>nicht nötig</v>
      </c>
      <c r="BG251" s="754" t="str">
        <f>IF(VLOOKUP(A251,'Revitalisation-Revitalisierung'!$A$4:$Z$275,10,FALSE)="","",VLOOKUP(A251,'Revitalisation-Revitalisierung'!$A$4:$Z$275,10,FALSE))</f>
        <v>K3</v>
      </c>
      <c r="BH251" s="755" t="str">
        <f>IF(VLOOKUP(A251,'Revitalisation-Revitalisierung'!$A$4:$Z$275,11,FALSE)="","",VLOOKUP(A251,'Revitalisation-Revitalisierung'!$A$4:$Z$275,11,FALSE))</f>
        <v/>
      </c>
      <c r="BI251" s="756" t="str">
        <f>IF(VLOOKUP(A251,'Revitalisation-Revitalisierung'!$A$4:$Z$275,12,FALSE)="","",VLOOKUP(A251,'Revitalisation-Revitalisierung'!$A$4:$Z$275,12,FALSE))</f>
        <v/>
      </c>
      <c r="BJ251" s="788" t="str">
        <f>IF(VLOOKUP(A251,'Revitalisation-Revitalisierung'!$A$4:$Z$275,13,FALSE)="","",VLOOKUP(A251,'Revitalisation-Revitalisierung'!$A$4:$Z$275,13,FALSE))</f>
        <v>Non nécessaire / nicht nötig</v>
      </c>
      <c r="BK251" s="870" t="str">
        <f>IF(VLOOKUP(A251,'Revitalisation-Revitalisierung'!$A$4:$Z$275,14,FALSE)="","",VLOOKUP(A251,'Revitalisation-Revitalisierung'!$A$4:$Z$275,14,FALSE))</f>
        <v>b</v>
      </c>
      <c r="BL251" s="758" t="str">
        <f>IF(VLOOKUP(A251,'Revitalisation-Revitalisierung'!$A$4:$Z$275,15,FALSE)="","",VLOOKUP(A251,'Revitalisation-Revitalisierung'!$A$4:$Z$275,15,FALSE))</f>
        <v>non det.</v>
      </c>
      <c r="BM251" s="759" t="str">
        <f>IF(VLOOKUP(A251,'Revitalisation-Revitalisierung'!$A$4:$Z$275,16,FALSE)="","",VLOOKUP(A251,'Revitalisation-Revitalisierung'!$A$4:$Z$275,16,FALSE))</f>
        <v>non dét.</v>
      </c>
      <c r="BN251" s="759" t="str">
        <f>IF(VLOOKUP(A251,'Revitalisation-Revitalisierung'!$A$4:$Z$275,17,FALSE)="","",VLOOKUP(A251,'Revitalisation-Revitalisierung'!$A$4:$Z$275,17,FALSE))</f>
        <v>kein</v>
      </c>
      <c r="BO251" s="760" t="str">
        <f>IF(VLOOKUP(A251,'Revitalisation-Revitalisierung'!$A$4:$Z$275,18,FALSE)="","",VLOOKUP(A251,'Revitalisation-Revitalisierung'!$A$4:$Z$275,18,FALSE))</f>
        <v/>
      </c>
      <c r="BP251" s="761" t="str">
        <f>IF(VLOOKUP(A251,'Revitalisation-Revitalisierung'!$A$4:$Z$275,19,FALSE)="","",VLOOKUP(A251,'Revitalisation-Revitalisierung'!$A$4:$Z$275,19,FALSE))</f>
        <v>Non nécessaire / nicht nötig</v>
      </c>
      <c r="BQ251" s="759" t="str">
        <f>IF(VLOOKUP(A251,'Revitalisation-Revitalisierung'!$A$4:$Z$275,20,FALSE)="","",VLOOKUP(A251,'Revitalisation-Revitalisierung'!$A$4:$Z$275,20,FALSE))</f>
        <v>b</v>
      </c>
      <c r="BR251" s="759" t="str">
        <f>IF(VLOOKUP(A251,'Revitalisation-Revitalisierung'!$A$4:$Z$275,21,FALSE)="","",VLOOKUP(A251,'Revitalisation-Revitalisierung'!$A$4:$Z$275,21,FALSE))</f>
        <v/>
      </c>
      <c r="BS251" s="762" t="str">
        <f>IF(VLOOKUP(A251,'Revitalisation-Revitalisierung'!$A$4:$Z$275,22,FALSE)="","",VLOOKUP(A251,'Revitalisation-Revitalisierung'!$A$4:$Z$275,22,FALSE))</f>
        <v/>
      </c>
      <c r="BT251" s="700" t="str">
        <f>IF(VLOOKUP(A251,'Revitalisation-Revitalisierung'!$A$4:$Z$275,23,FALSE)="","",VLOOKUP(A251,'Revitalisation-Revitalisierung'!$A$4:$Z$275,23,FALSE))</f>
        <v/>
      </c>
      <c r="BU251" s="699" t="str">
        <f>IF(VLOOKUP(A251,'Revitalisation-Revitalisierung'!$A$4:$Z$275,24,FALSE)="","",VLOOKUP(A251,'Revitalisation-Revitalisierung'!$A$4:$Z$275,24,FALSE))</f>
        <v/>
      </c>
      <c r="BV251" s="761" t="str">
        <f>IF(VLOOKUP(A251,'Revitalisation-Revitalisierung'!$A$4:$Z$275,25,FALSE)="","",VLOOKUP(A251,'Revitalisation-Revitalisierung'!$A$4:$Z$275,25,FALSE))</f>
        <v>Non nécessaire / nicht nötig</v>
      </c>
      <c r="BW251" s="871" t="str">
        <f>IF(VLOOKUP(A251,'Revitalisation-Revitalisierung'!$A$4:$AA$275,27,FALSE)="","",VLOOKUP(A251,'Revitalisation-Revitalisierung'!$A$4:$AA$275,27,FALSE))</f>
        <v>b</v>
      </c>
    </row>
    <row r="252" spans="1:75" ht="85.9" customHeight="1" x14ac:dyDescent="0.25">
      <c r="A252" s="935">
        <v>374</v>
      </c>
      <c r="B252" s="856">
        <f>IF(VLOOKUP(A252,'Données de base - Grunddaten'!$A$2:$M$297,2,FALSE)="","",VLOOKUP(A252,'Données de base - Grunddaten'!$A$2:$M$297,2,FALSE))</f>
        <v>1</v>
      </c>
      <c r="C252" s="857" t="str">
        <f>IF(VLOOKUP(A252,'Données de base - Grunddaten'!$A$2:$M$297,3,FALSE)="","",VLOOKUP(A252,'Données de base - Grunddaten'!$A$2:$M$297,3,FALSE))</f>
        <v>Rheinau / Cholau</v>
      </c>
      <c r="D252" s="857" t="str">
        <f>IF(VLOOKUP(A252,'Données de base - Grunddaten'!$A$2:$M$297,4,FALSE)="","",VLOOKUP(A252,'Données de base - Grunddaten'!$A$2:$M$297,4,FALSE))</f>
        <v>Mülbach, Rhein</v>
      </c>
      <c r="E252" s="857" t="str">
        <f>IF(VLOOKUP(A252,'Données de base - Grunddaten'!$A$2:$M$297,5,FALSE)="","",VLOOKUP(A252,'Données de base - Grunddaten'!$A$2:$M$297,5,FALSE))</f>
        <v>SG</v>
      </c>
      <c r="F252" s="857" t="str">
        <f>IF(VLOOKUP(A252,'Données de base - Grunddaten'!$A$2:$M$297,6,FALSE)="","",VLOOKUP(A252,'Données de base - Grunddaten'!$A$2:$M$297,6,FALSE))</f>
        <v>Alpes septentrionales</v>
      </c>
      <c r="G252" s="857" t="str">
        <f>IF(VLOOKUP(A252,'Données de base - Grunddaten'!$A$2:$M$297,7,FALSE)="","",VLOOKUP(A252,'Données de base - Grunddaten'!$A$2:$M$297,7,FALSE))</f>
        <v>Collinéen</v>
      </c>
      <c r="H252" s="857">
        <f>IF(VLOOKUP(A252,'Données de base - Grunddaten'!$A$2:$M$297,8,FALSE)="","",VLOOKUP(A252,'Données de base - Grunddaten'!$A$2:$M$297,8,FALSE))</f>
        <v>460</v>
      </c>
      <c r="I252" s="857">
        <f>IF(VLOOKUP(A252,'Données de base - Grunddaten'!$A$2:$M$297,9,FALSE)="","",VLOOKUP(A252,'Données de base - Grunddaten'!$A$2:$M$297,9,FALSE))</f>
        <v>2003</v>
      </c>
      <c r="J252" s="857">
        <f>IF(VLOOKUP(A252,'Données de base - Grunddaten'!$A$2:$M$297,10,FALSE)="","",VLOOKUP(A252,'Données de base - Grunddaten'!$A$2:$M$297,10,FALSE))</f>
        <v>52</v>
      </c>
      <c r="K252" s="857" t="str">
        <f>IF(VLOOKUP(A252,'Données de base - Grunddaten'!$A$2:$M$297,11,FALSE)="","",VLOOKUP(A252,'Données de base - Grunddaten'!$A$2:$M$297,11,FALSE))</f>
        <v>Cours d'eau corrigés de l'étage collinéen du Moyen-Pays</v>
      </c>
      <c r="L252" s="857" t="str">
        <f>IF(VLOOKUP(A252,'Données de base - Grunddaten'!$A$2:$M$297,12,FALSE)="","",VLOOKUP(A252,'Données de base - Grunddaten'!$A$2:$M$297,12,FALSE))</f>
        <v>en tresses</v>
      </c>
      <c r="M252" s="858" t="str">
        <f>IF(VLOOKUP(A252,'Données de base - Grunddaten'!$A$2:$M$297,13,FALSE)="","",VLOOKUP(A252,'Données de base - Grunddaten'!$A$2:$M$297,13,FALSE))</f>
        <v>Rhein - cours rectiligne (Mülbach - en méandres migrants)</v>
      </c>
      <c r="N252" s="872" t="str">
        <f>IF(VLOOKUP(A252,'Charriage - Geschiebehaushalt'!$A$4:$R$275,5,FALSE)="","",VLOOKUP(A252,'Charriage - Geschiebehaushalt'!$A$4:$R$275,5,FALSE))</f>
        <v>pertinent</v>
      </c>
      <c r="O252" s="873" t="str">
        <f>IF(VLOOKUP(A252,'Charriage - Geschiebehaushalt'!$A$4:$R$275,6,FALSE)="","",VLOOKUP(A252,'Charriage - Geschiebehaushalt'!$A$4:$R$275,6,FALSE))</f>
        <v>21-50%</v>
      </c>
      <c r="P252" s="874" t="str">
        <f>IF(VLOOKUP(A252,'Charriage - Geschiebehaushalt'!$A$4:$R$275,7,FALSE)="","",VLOOKUP(A252,'Charriage - Geschiebehaushalt'!$A$4:$R$275,7,FALSE))</f>
        <v/>
      </c>
      <c r="Q252" s="874" t="str">
        <f>IF(VLOOKUP(A252,'Charriage - Geschiebehaushalt'!$A$4:$R$275,8,FALSE)="","",VLOOKUP(A252,'Charriage - Geschiebehaushalt'!$A$4:$R$275,8,FALSE))</f>
        <v>non documenté</v>
      </c>
      <c r="R252" s="875">
        <f>IF(VLOOKUP(A252,'Charriage - Geschiebehaushalt'!$A$4:$R$275,9,FALSE)="","",VLOOKUP(A252,'Charriage - Geschiebehaushalt'!$A$4:$R$275,9,FALSE))</f>
        <v>4.1431010861209601E-2</v>
      </c>
      <c r="S252" s="876" t="str">
        <f>IF(VLOOKUP(A252,'Charriage - Geschiebehaushalt'!$A$4:$R$275,10,FALSE)="","",VLOOKUP(A252,'Charriage - Geschiebehaushalt'!$A$4:$R$275,10,FALSE))</f>
        <v>pas ou faiblement entravé</v>
      </c>
      <c r="T252" s="875">
        <f>IF(VLOOKUP(A252,'Charriage - Geschiebehaushalt'!$A$4:$R$275,11,FALSE)="","",VLOOKUP(A252,'Charriage - Geschiebehaushalt'!$A$4:$R$275,11,FALSE))</f>
        <v>9.4745091783000002E-2</v>
      </c>
      <c r="U252" s="876" t="str">
        <f>IF(VLOOKUP(A252,'Charriage - Geschiebehaushalt'!$A$4:$R$275,12,FALSE)="","",VLOOKUP(A252,'Charriage - Geschiebehaushalt'!$A$4:$R$275,12,FALSE))</f>
        <v>déficit dans les formations pionnières</v>
      </c>
      <c r="V252" s="877" t="str">
        <f>IF(VLOOKUP(A252,'Charriage - Geschiebehaushalt'!$A$4:$R$275,13,FALSE)="","",VLOOKUP(A252,'Charriage - Geschiebehaushalt'!$A$4:$R$275,13,FALSE))</f>
        <v/>
      </c>
      <c r="W252" s="877" t="str">
        <f>IF(VLOOKUP(A252,'Charriage - Geschiebehaushalt'!$A$4:$R$275,14,FALSE)="","",VLOOKUP(A252,'Charriage - Geschiebehaushalt'!$A$4:$R$275,14,FALSE))</f>
        <v/>
      </c>
      <c r="X252" s="877" t="str">
        <f>IF(VLOOKUP(A252,'Charriage - Geschiebehaushalt'!$A$4:$R$275,15,FALSE)="","",VLOOKUP(A252,'Charriage - Geschiebehaushalt'!$A$4:$R$275,15,FALSE))</f>
        <v/>
      </c>
      <c r="Y252" s="879" t="str">
        <f>IF(VLOOKUP(A252,'Charriage - Geschiebehaushalt'!$A$4:$R$275,16,FALSE)="","",VLOOKUP(A252,'Charriage - Geschiebehaushalt'!$A$4:$R$275,16,FALSE))</f>
        <v/>
      </c>
      <c r="Z252" s="763" t="str">
        <f>IF(VLOOKUP(A252,'Charriage - Geschiebehaushalt'!$A$4:$R$275,17,FALSE)="","",VLOOKUP(A252,'Charriage - Geschiebehaushalt'!$A$4:$R$275,17,FALSE))</f>
        <v>21-50%</v>
      </c>
      <c r="AA252" s="880" t="str">
        <f>IF(VLOOKUP(A252,'Charriage - Geschiebehaushalt'!$A$4:$R$275,18,FALSE)="","",VLOOKUP(A252,'Charriage - Geschiebehaushalt'!$A$4:$R$275,18,FALSE))</f>
        <v>a</v>
      </c>
      <c r="AB252" s="737" t="str">
        <f>IF(VLOOKUP(A252,'Charriage - Geschiebehaushalt'!$A$4:$AC$275,19,FALSE)="","",VLOOKUP(A252,'Charriage - Geschiebehaushalt'!$A$4:$AC$275,19,FALSE))</f>
        <v>non dét.</v>
      </c>
      <c r="AC252" s="738">
        <f>IF(VLOOKUP(A252,'Charriage - Geschiebehaushalt'!$A$4:$AC$275,20,FALSE)="","",VLOOKUP(A252,'Charriage - Geschiebehaushalt'!$A$4:$AC$275,20,FALSE))</f>
        <v>0</v>
      </c>
      <c r="AD252" s="764" t="str">
        <f>IF(VLOOKUP(A252,'Charriage - Geschiebehaushalt'!$A$4:$AC$275,21,FALSE)="","",VLOOKUP(A252,'Charriage - Geschiebehaushalt'!$A$4:$AC$275,21,FALSE))</f>
        <v/>
      </c>
      <c r="AE252" s="740" t="str">
        <f>IF(VLOOKUP(A252,'Charriage - Geschiebehaushalt'!$A$4:$AC$275,22,FALSE)="","",VLOOKUP(A252,'Charriage - Geschiebehaushalt'!$A$4:$AC$275,22,FALSE))</f>
        <v>21-50%</v>
      </c>
      <c r="AF252" s="787" t="str">
        <f>IF(VLOOKUP(A252,'Charriage - Geschiebehaushalt'!$A$4:$AC$275,23,FALSE)="","",VLOOKUP(A252,'Charriage - Geschiebehaushalt'!$A$4:$AC$275,23,FALSE))</f>
        <v>a</v>
      </c>
      <c r="AG252" s="765" t="str">
        <f>IF(VLOOKUP(A252,'Charriage - Geschiebehaushalt'!$A$4:$AC$275,24,FALSE)="","",VLOOKUP(A252,'Charriage - Geschiebehaushalt'!$A$4:$AC$275,24,FALSE))</f>
        <v/>
      </c>
      <c r="AH252" s="764" t="str">
        <f>IF(VLOOKUP(A252,'Charriage - Geschiebehaushalt'!$A$4:$AC$275,25,FALSE)="","",VLOOKUP(A252,'Charriage - Geschiebehaushalt'!$A$4:$AC$275,25,FALSE))</f>
        <v/>
      </c>
      <c r="AI252" s="437" t="str">
        <f>IF(VLOOKUP(A252,'Charriage - Geschiebehaushalt'!$A$4:$AC$275,26,FALSE)="","",VLOOKUP(A252,'Charriage - Geschiebehaushalt'!$A$4:$AC$275,26,FALSE))</f>
        <v>Blau</v>
      </c>
      <c r="AJ252" s="436" t="str">
        <f>IF(VLOOKUP(A252,'Charriage - Geschiebehaushalt'!$A$4:$AC$275,27,FALSE)="","",VLOOKUP(A252,'Charriage - Geschiebehaushalt'!$A$4:$AC$275,27,FALSE))</f>
        <v>Ungenügende Schleppkraft; Aue ist GW-Beeinflusst</v>
      </c>
      <c r="AK252" s="801" t="str">
        <f>IF(VLOOKUP(A252,'Charriage - Geschiebehaushalt'!$A$4:$AC$275,28,FALSE)="","",VLOOKUP(A252,'Charriage - Geschiebehaushalt'!$A$4:$AC$275,28,FALSE))</f>
        <v>21-50%</v>
      </c>
      <c r="AL252" s="1285" t="str">
        <f>IF(VLOOKUP(A252,'Charriage - Geschiebehaushalt'!$A$4:$AD$275,30,FALSE)="","",VLOOKUP(A252,'Charriage - Geschiebehaushalt'!$A$4:$AD$275,30,FALSE))</f>
        <v>a</v>
      </c>
      <c r="AM252" s="1279" t="str">
        <f>IF(VLOOKUP(A252,'Débit - Abfluss'!$A$4:$K$275,5,FALSE)="","",VLOOKUP(A252,'Débit - Abfluss'!$A$4:$M$275,5,FALSE))</f>
        <v>81-100%</v>
      </c>
      <c r="AN252" s="868" t="str">
        <f>IF(VLOOKUP(A252,'Débit - Abfluss'!$A$4:$K$275,6,FALSE)="","",VLOOKUP(A252,'Débit - Abfluss'!$A$4:$M$275,6,FALSE))</f>
        <v/>
      </c>
      <c r="AO252" s="869" t="str">
        <f>IF(VLOOKUP(A252,'Débit - Abfluss'!$A$4:$K$275,7,FALSE)="","",VLOOKUP(A252,'Débit - Abfluss'!$A$4:$M$275,7,FALSE))</f>
        <v/>
      </c>
      <c r="AP252" s="766" t="str">
        <f>IF(VLOOKUP(A252,'Débit - Abfluss'!$A$4:$K$275,8,FALSE)="","",VLOOKUP(A252,'Débit - Abfluss'!$A$4:$M$275,8,FALSE))</f>
        <v>81-100%</v>
      </c>
      <c r="AQ252" s="742" t="str">
        <f>IF(VLOOKUP(A252,'Débit - Abfluss'!$A$4:$K$275,9,FALSE)="","",VLOOKUP(A252,'Débit - Abfluss'!$A$4:$M$275,9,FALSE))</f>
        <v>-</v>
      </c>
      <c r="AR252" s="767" t="str">
        <f>IF(VLOOKUP(A252,'Débit - Abfluss'!$A$4:$K$275,10,FALSE)="","",VLOOKUP(A252,'Débit - Abfluss'!$A$4:$M$275,10,FALSE))</f>
        <v>81-100%</v>
      </c>
      <c r="AS252" s="767" t="str">
        <f>IF(VLOOKUP(A252,'Débit - Abfluss'!$A$4:$K$275,11,FALSE)="","",VLOOKUP(A252,'Débit - Abfluss'!$A$4:$M$275,11,FALSE))</f>
        <v/>
      </c>
      <c r="AT252" s="744" t="str">
        <f>IF(VLOOKUP(A252,'Débit - Abfluss'!$A$4:$Q$275,12,FALSE)="","",VLOOKUP(A252,'Débit - Abfluss'!$A$4:$Q$275,12,FALSE))</f>
        <v/>
      </c>
      <c r="AU252" s="745" t="str">
        <f>IF(VLOOKUP(A252,'Débit - Abfluss'!$A$4:$Q$275,13,FALSE)="","",VLOOKUP(A252,'Débit - Abfluss'!$A$4:$Q$275,13,FALSE))</f>
        <v/>
      </c>
      <c r="AV252" s="746" t="str">
        <f>IF(VLOOKUP(A252,'Débit - Abfluss'!$A$4:$Q$275,14,FALSE)="","",VLOOKUP(A252,'Débit - Abfluss'!$A$4:$Q$275,14,FALSE))</f>
        <v/>
      </c>
      <c r="AW252" s="768" t="str">
        <f>IF(VLOOKUP(A252,'Débit - Abfluss'!$A$4:$Q$275,15,FALSE)="","",VLOOKUP(A252,'Débit - Abfluss'!$A$4:$Q$275,15,FALSE))</f>
        <v/>
      </c>
      <c r="AX252" s="682" t="str">
        <f>IF(VLOOKUP(A252,'Débit - Abfluss'!$A$4:$Q$275,16,FALSE)="","",VLOOKUP(A252,'Débit - Abfluss'!$A$4:$Q$275,16,FALSE))</f>
        <v>Aue wird durch GW gespiesen; aufgrund der (stark) gefallenen GW Spiegel wird die Aue mit Oberflächenwasser zus. alimentiert</v>
      </c>
      <c r="AY252" s="769" t="str">
        <f>IF(VLOOKUP(A252,'Débit - Abfluss'!$A$4:$Q$275,17,FALSE)="","",VLOOKUP(A252,'Débit - Abfluss'!$A$4:$Q$275,17,FALSE))</f>
        <v>81-100%</v>
      </c>
      <c r="AZ252" s="749" t="str">
        <f>IF(VLOOKUP(A252,'Eclusée - Schwall-Sunk'!$A$2:$F$273,5,FALSE)="","",VLOOKUP(A252,'Eclusée - Schwall-Sunk'!$A$2:$F$273,5,FALSE))</f>
        <v>force hydraulique</v>
      </c>
      <c r="BA252" s="750" t="str">
        <f>IF(VLOOKUP(A252,'Eclusée - Schwall-Sunk'!$A$2:$F$273,6,FALSE)="","",VLOOKUP(A252,'Eclusée - Schwall-Sunk'!$A$2:$F$273,6,FALSE))</f>
        <v>Potentiellement affecté / möglicherweise betroffen</v>
      </c>
      <c r="BB252" s="751">
        <f>IF(VLOOKUP(A252,'Revitalisation-Revitalisierung'!$A$4:$Z$275,5,FALSE)="","",VLOOKUP(A252,'Revitalisation-Revitalisierung'!$A$4:$Z$275,5,FALSE))</f>
        <v>-15.909090909090908</v>
      </c>
      <c r="BC252" s="752">
        <f>IF(VLOOKUP(A252,'Revitalisation-Revitalisierung'!$A$4:$Z$275,6,FALSE)="","",VLOOKUP(A252,'Revitalisation-Revitalisierung'!$A$4:$Z$275,6,FALSE))</f>
        <v>0</v>
      </c>
      <c r="BD252" s="752">
        <f>IF(VLOOKUP(A252,'Revitalisation-Revitalisierung'!$A$4:$Z$275,7,FALSE)="","",VLOOKUP(A252,'Revitalisation-Revitalisierung'!$A$4:$Z$275,7,FALSE))</f>
        <v>15.909090909090908</v>
      </c>
      <c r="BE252" s="753" t="str">
        <f>IF(VLOOKUP(A252,'Revitalisation-Revitalisierung'!$A$4:$Z$275,8,FALSE)="","",VLOOKUP(A252,'Revitalisation-Revitalisierung'!$A$4:$Z$275,8,FALSE))</f>
        <v>non nécessaire</v>
      </c>
      <c r="BF252" s="754" t="str">
        <f>IF(VLOOKUP(A252,'Revitalisation-Revitalisierung'!$A$4:$Z$275,9,FALSE)="","",VLOOKUP(A252,'Revitalisation-Revitalisierung'!$A$4:$Z$275,9,FALSE))</f>
        <v>unmöglich</v>
      </c>
      <c r="BG252" s="754" t="str">
        <f>IF(VLOOKUP(A252,'Revitalisation-Revitalisierung'!$A$4:$Z$275,10,FALSE)="","",VLOOKUP(A252,'Revitalisation-Revitalisierung'!$A$4:$Z$275,10,FALSE))</f>
        <v>K2</v>
      </c>
      <c r="BH252" s="755" t="str">
        <f>IF(VLOOKUP(A252,'Revitalisation-Revitalisierung'!$A$4:$Z$275,11,FALSE)="","",VLOOKUP(A252,'Revitalisation-Revitalisierung'!$A$4:$Z$275,11,FALSE))</f>
        <v/>
      </c>
      <c r="BI252" s="756" t="str">
        <f>IF(VLOOKUP(A252,'Revitalisation-Revitalisierung'!$A$4:$Z$275,12,FALSE)="","",VLOOKUP(A252,'Revitalisation-Revitalisierung'!$A$4:$Z$275,12,FALSE))</f>
        <v/>
      </c>
      <c r="BJ252" s="788" t="str">
        <f>IF(VLOOKUP(A252,'Revitalisation-Revitalisierung'!$A$4:$Z$275,13,FALSE)="","",VLOOKUP(A252,'Revitalisation-Revitalisierung'!$A$4:$Z$275,13,FALSE))</f>
        <v>Très nécessaire, facile / unbedingt nötig, einfach</v>
      </c>
      <c r="BK252" s="870" t="str">
        <f>IF(VLOOKUP(A252,'Revitalisation-Revitalisierung'!$A$4:$Z$275,14,FALSE)="","",VLOOKUP(A252,'Revitalisation-Revitalisierung'!$A$4:$Z$275,14,FALSE))</f>
        <v>b</v>
      </c>
      <c r="BL252" s="758" t="str">
        <f>IF(VLOOKUP(A252,'Revitalisation-Revitalisierung'!$A$4:$Z$275,15,FALSE)="","",VLOOKUP(A252,'Revitalisation-Revitalisierung'!$A$4:$Z$275,15,FALSE))</f>
        <v>Important et moyen</v>
      </c>
      <c r="BM252" s="759" t="str">
        <f>IF(VLOOKUP(A252,'Revitalisation-Revitalisierung'!$A$4:$Z$275,16,FALSE)="","",VLOOKUP(A252,'Revitalisation-Revitalisierung'!$A$4:$Z$275,16,FALSE))</f>
        <v>important et moyen</v>
      </c>
      <c r="BN252" s="759" t="str">
        <f>IF(VLOOKUP(A252,'Revitalisation-Revitalisierung'!$A$4:$Z$275,17,FALSE)="","",VLOOKUP(A252,'Revitalisation-Revitalisierung'!$A$4:$Z$275,17,FALSE))</f>
        <v>gross</v>
      </c>
      <c r="BO252" s="760" t="str">
        <f>IF(VLOOKUP(A252,'Revitalisation-Revitalisierung'!$A$4:$Z$275,18,FALSE)="","",VLOOKUP(A252,'Revitalisation-Revitalisierung'!$A$4:$Z$275,18,FALSE))</f>
        <v>Très nécessaire, facile / unbedingt nötig, einfach</v>
      </c>
      <c r="BP252" s="761" t="str">
        <f>IF(VLOOKUP(A252,'Revitalisation-Revitalisierung'!$A$4:$Z$275,19,FALSE)="","",VLOOKUP(A252,'Revitalisation-Revitalisierung'!$A$4:$Z$275,19,FALSE))</f>
        <v>Très nécessaire, facile / unbedingt nötig, einfach</v>
      </c>
      <c r="BQ252" s="759" t="str">
        <f>IF(VLOOKUP(A252,'Revitalisation-Revitalisierung'!$A$4:$Z$275,20,FALSE)="","",VLOOKUP(A252,'Revitalisation-Revitalisierung'!$A$4:$Z$275,20,FALSE))</f>
        <v>d</v>
      </c>
      <c r="BR252" s="759" t="str">
        <f>IF(VLOOKUP(A252,'Revitalisation-Revitalisierung'!$A$4:$Z$275,21,FALSE)="","",VLOOKUP(A252,'Revitalisation-Revitalisierung'!$A$4:$Z$275,21,FALSE))</f>
        <v/>
      </c>
      <c r="BS252" s="762" t="str">
        <f>IF(VLOOKUP(A252,'Revitalisation-Revitalisierung'!$A$4:$Z$275,22,FALSE)="","",VLOOKUP(A252,'Revitalisation-Revitalisierung'!$A$4:$Z$275,22,FALSE))</f>
        <v/>
      </c>
      <c r="BT252" s="700" t="str">
        <f>IF(VLOOKUP(A252,'Revitalisation-Revitalisierung'!$A$4:$Z$275,23,FALSE)="","",VLOOKUP(A252,'Revitalisation-Revitalisierung'!$A$4:$Z$275,23,FALSE))</f>
        <v/>
      </c>
      <c r="BU252" s="699" t="str">
        <f>IF(VLOOKUP(A252,'Revitalisation-Revitalisierung'!$A$4:$Z$275,24,FALSE)="","",VLOOKUP(A252,'Revitalisation-Revitalisierung'!$A$4:$Z$275,24,FALSE))</f>
        <v/>
      </c>
      <c r="BV252" s="761" t="str">
        <f>IF(VLOOKUP(A252,'Revitalisation-Revitalisierung'!$A$4:$Z$275,25,FALSE)="","",VLOOKUP(A252,'Revitalisation-Revitalisierung'!$A$4:$Z$275,25,FALSE))</f>
        <v>Très nécessaire, facile / unbedingt nötig, einfach</v>
      </c>
      <c r="BW252" s="871" t="str">
        <f>IF(VLOOKUP(A252,'Revitalisation-Revitalisierung'!$A$4:$AA$275,27,FALSE)="","",VLOOKUP(A252,'Revitalisation-Revitalisierung'!$A$4:$AA$275,27,FALSE))</f>
        <v>a</v>
      </c>
    </row>
    <row r="253" spans="1:75" ht="87" customHeight="1" x14ac:dyDescent="0.25">
      <c r="A253" s="938">
        <v>375</v>
      </c>
      <c r="B253" s="856">
        <f>IF(VLOOKUP(A253,'Données de base - Grunddaten'!$A$2:$M$297,2,FALSE)="","",VLOOKUP(A253,'Données de base - Grunddaten'!$A$2:$M$297,2,FALSE))</f>
        <v>1</v>
      </c>
      <c r="C253" s="857" t="str">
        <f>IF(VLOOKUP(A253,'Données de base - Grunddaten'!$A$2:$M$297,3,FALSE)="","",VLOOKUP(A253,'Données de base - Grunddaten'!$A$2:$M$297,3,FALSE))</f>
        <v>Rheinau</v>
      </c>
      <c r="D253" s="857" t="str">
        <f>IF(VLOOKUP(A253,'Données de base - Grunddaten'!$A$2:$M$297,4,FALSE)="","",VLOOKUP(A253,'Données de base - Grunddaten'!$A$2:$M$297,4,FALSE))</f>
        <v>Rhein</v>
      </c>
      <c r="E253" s="857" t="str">
        <f>IF(VLOOKUP(A253,'Données de base - Grunddaten'!$A$2:$M$297,5,FALSE)="","",VLOOKUP(A253,'Données de base - Grunddaten'!$A$2:$M$297,5,FALSE))</f>
        <v>GR</v>
      </c>
      <c r="F253" s="857" t="str">
        <f>IF(VLOOKUP(A253,'Données de base - Grunddaten'!$A$2:$M$297,6,FALSE)="","",VLOOKUP(A253,'Données de base - Grunddaten'!$A$2:$M$297,6,FALSE))</f>
        <v>Alpes septentrionales</v>
      </c>
      <c r="G253" s="857" t="str">
        <f>IF(VLOOKUP(A253,'Données de base - Grunddaten'!$A$2:$M$297,7,FALSE)="","",VLOOKUP(A253,'Données de base - Grunddaten'!$A$2:$M$297,7,FALSE))</f>
        <v>Collinéen</v>
      </c>
      <c r="H253" s="857" t="str">
        <f>IF(VLOOKUP(A253,'Données de base - Grunddaten'!$A$2:$M$297,8,FALSE)="","",VLOOKUP(A253,'Données de base - Grunddaten'!$A$2:$M$297,8,FALSE))</f>
        <v>490 m</v>
      </c>
      <c r="I253" s="857" t="str">
        <f>IF(VLOOKUP(A253,'Données de base - Grunddaten'!$A$2:$M$297,9,FALSE)="","",VLOOKUP(A253,'Données de base - Grunddaten'!$A$2:$M$297,9,FALSE))</f>
        <v>candidat</v>
      </c>
      <c r="J253" s="857">
        <f>IF(VLOOKUP(A253,'Données de base - Grunddaten'!$A$2:$M$297,10,FALSE)="","",VLOOKUP(A253,'Données de base - Grunddaten'!$A$2:$M$297,10,FALSE))</f>
        <v>51</v>
      </c>
      <c r="K253" s="857" t="str">
        <f>IF(VLOOKUP(A253,'Données de base - Grunddaten'!$A$2:$M$297,11,FALSE)="","",VLOOKUP(A253,'Données de base - Grunddaten'!$A$2:$M$297,11,FALSE))</f>
        <v>Cours d'eau naturels de l'étage collinéen du Moyen-Pays</v>
      </c>
      <c r="L253" s="857" t="str">
        <f>IF(VLOOKUP(A253,'Données de base - Grunddaten'!$A$2:$M$297,12,FALSE)="","",VLOOKUP(A253,'Données de base - Grunddaten'!$A$2:$M$297,12,FALSE))</f>
        <v>en tresses</v>
      </c>
      <c r="M253" s="858" t="str">
        <f>IF(VLOOKUP(A253,'Données de base - Grunddaten'!$A$2:$M$297,13,FALSE)="","",VLOOKUP(A253,'Données de base - Grunddaten'!$A$2:$M$297,13,FALSE))</f>
        <v>Rhein - cours rectiligne (Mülbach - en méandres migrants)</v>
      </c>
      <c r="N253" s="872" t="str">
        <f>IF(VLOOKUP(A253,'Charriage - Geschiebehaushalt'!$A$4:$R$275,5,FALSE)="","",VLOOKUP(A253,'Charriage - Geschiebehaushalt'!$A$4:$R$275,5,FALSE))</f>
        <v>pertinent</v>
      </c>
      <c r="O253" s="873" t="str">
        <f>IF(VLOOKUP(A253,'Charriage - Geschiebehaushalt'!$A$4:$R$275,6,FALSE)="","",VLOOKUP(A253,'Charriage - Geschiebehaushalt'!$A$4:$R$275,6,FALSE))</f>
        <v>51-80%</v>
      </c>
      <c r="P253" s="874" t="str">
        <f>IF(VLOOKUP(A253,'Charriage - Geschiebehaushalt'!$A$4:$R$275,7,FALSE)="","",VLOOKUP(A253,'Charriage - Geschiebehaushalt'!$A$4:$R$275,7,FALSE))</f>
        <v/>
      </c>
      <c r="Q253" s="874" t="str">
        <f>IF(VLOOKUP(A253,'Charriage - Geschiebehaushalt'!$A$4:$R$275,8,FALSE)="","",VLOOKUP(A253,'Charriage - Geschiebehaushalt'!$A$4:$R$275,8,FALSE))</f>
        <v>non documenté</v>
      </c>
      <c r="R253" s="875">
        <f>IF(VLOOKUP(A253,'Charriage - Geschiebehaushalt'!$A$4:$R$275,9,FALSE)="","",VLOOKUP(A253,'Charriage - Geschiebehaushalt'!$A$4:$R$275,9,FALSE))</f>
        <v>0.49399999999999999</v>
      </c>
      <c r="S253" s="876" t="str">
        <f>IF(VLOOKUP(A253,'Charriage - Geschiebehaushalt'!$A$4:$R$275,10,FALSE)="","",VLOOKUP(A253,'Charriage - Geschiebehaushalt'!$A$4:$R$275,10,FALSE))</f>
        <v>la remobilisation des sédiments est perturbée</v>
      </c>
      <c r="T253" s="875">
        <f>IF(VLOOKUP(A253,'Charriage - Geschiebehaushalt'!$A$4:$R$275,11,FALSE)="","",VLOOKUP(A253,'Charriage - Geschiebehaushalt'!$A$4:$R$275,11,FALSE))</f>
        <v>0.60799999999999998</v>
      </c>
      <c r="U253" s="876" t="str">
        <f>IF(VLOOKUP(A253,'Charriage - Geschiebehaushalt'!$A$4:$R$275,12,FALSE)="","",VLOOKUP(A253,'Charriage - Geschiebehaushalt'!$A$4:$R$275,12,FALSE))</f>
        <v>déficit non apparent en charriage ou en remobilisation des sédiments</v>
      </c>
      <c r="V253" s="877" t="str">
        <f>IF(VLOOKUP(A253,'Charriage - Geschiebehaushalt'!$A$4:$R$275,13,FALSE)="","",VLOOKUP(A253,'Charriage - Geschiebehaushalt'!$A$4:$R$275,13,FALSE))</f>
        <v/>
      </c>
      <c r="W253" s="877" t="str">
        <f>IF(VLOOKUP(A253,'Charriage - Geschiebehaushalt'!$A$4:$R$275,14,FALSE)="","",VLOOKUP(A253,'Charriage - Geschiebehaushalt'!$A$4:$R$275,14,FALSE))</f>
        <v/>
      </c>
      <c r="X253" s="877" t="str">
        <f>IF(VLOOKUP(A253,'Charriage - Geschiebehaushalt'!$A$4:$R$275,15,FALSE)="","",VLOOKUP(A253,'Charriage - Geschiebehaushalt'!$A$4:$R$275,15,FALSE))</f>
        <v/>
      </c>
      <c r="Y253" s="879" t="str">
        <f>IF(VLOOKUP(A253,'Charriage - Geschiebehaushalt'!$A$4:$R$275,16,FALSE)="","",VLOOKUP(A253,'Charriage - Geschiebehaushalt'!$A$4:$R$275,16,FALSE))</f>
        <v/>
      </c>
      <c r="Z253" s="763" t="str">
        <f>IF(VLOOKUP(A253,'Charriage - Geschiebehaushalt'!$A$4:$R$275,17,FALSE)="","",VLOOKUP(A253,'Charriage - Geschiebehaushalt'!$A$4:$R$275,17,FALSE))</f>
        <v>51-80%</v>
      </c>
      <c r="AA253" s="880" t="str">
        <f>IF(VLOOKUP(A253,'Charriage - Geschiebehaushalt'!$A$4:$R$275,18,FALSE)="","",VLOOKUP(A253,'Charriage - Geschiebehaushalt'!$A$4:$R$275,18,FALSE))</f>
        <v>a</v>
      </c>
      <c r="AB253" s="737" t="str">
        <f>IF(VLOOKUP(A253,'Charriage - Geschiebehaushalt'!$A$4:$AC$275,19,FALSE)="","",VLOOKUP(A253,'Charriage - Geschiebehaushalt'!$A$4:$AC$275,19,FALSE))</f>
        <v>besond. Verhältnisse</v>
      </c>
      <c r="AC253" s="738">
        <f>IF(VLOOKUP(A253,'Charriage - Geschiebehaushalt'!$A$4:$AC$275,20,FALSE)="","",VLOOKUP(A253,'Charriage - Geschiebehaushalt'!$A$4:$AC$275,20,FALSE))</f>
        <v>0</v>
      </c>
      <c r="AD253" s="764" t="str">
        <f>IF(VLOOKUP(A253,'Charriage - Geschiebehaushalt'!$A$4:$AC$275,21,FALSE)="","",VLOOKUP(A253,'Charriage - Geschiebehaushalt'!$A$4:$AC$275,21,FALSE))</f>
        <v>51-80%</v>
      </c>
      <c r="AE253" s="772" t="str">
        <f>IF(VLOOKUP(A253,'Charriage - Geschiebehaushalt'!$A$4:$AC$275,22,FALSE)="","",VLOOKUP(A253,'Charriage - Geschiebehaushalt'!$A$4:$AC$275,22,FALSE))</f>
        <v>51-80%</v>
      </c>
      <c r="AF253" s="787" t="str">
        <f>IF(VLOOKUP(A253,'Charriage - Geschiebehaushalt'!$A$4:$AC$275,23,FALSE)="","",VLOOKUP(A253,'Charriage - Geschiebehaushalt'!$A$4:$AC$275,23,FALSE))</f>
        <v>d</v>
      </c>
      <c r="AG253" s="765" t="str">
        <f>IF(VLOOKUP(A253,'Charriage - Geschiebehaushalt'!$A$4:$AC$275,24,FALSE)="","",VLOOKUP(A253,'Charriage - Geschiebehaushalt'!$A$4:$AC$275,24,FALSE))</f>
        <v/>
      </c>
      <c r="AH253" s="764" t="str">
        <f>IF(VLOOKUP(A253,'Charriage - Geschiebehaushalt'!$A$4:$AC$275,25,FALSE)="","",VLOOKUP(A253,'Charriage - Geschiebehaushalt'!$A$4:$AC$275,25,FALSE))</f>
        <v/>
      </c>
      <c r="AI253" s="435" t="str">
        <f>IF(VLOOKUP(A253,'Charriage - Geschiebehaushalt'!$A$4:$AC$275,26,FALSE)="","",VLOOKUP(A253,'Charriage - Geschiebehaushalt'!$A$4:$AC$275,26,FALSE))</f>
        <v/>
      </c>
      <c r="AJ253" s="436" t="str">
        <f>IF(VLOOKUP(A253,'Charriage - Geschiebehaushalt'!$A$4:$AC$275,27,FALSE)="","",VLOOKUP(A253,'Charriage - Geschiebehaushalt'!$A$4:$AC$275,27,FALSE))</f>
        <v/>
      </c>
      <c r="AK253" s="814" t="str">
        <f>IF(VLOOKUP(A253,'Charriage - Geschiebehaushalt'!$A$4:$AC$275,28,FALSE)="","",VLOOKUP(A253,'Charriage - Geschiebehaushalt'!$A$4:$AC$275,28,FALSE))</f>
        <v>51-80%</v>
      </c>
      <c r="AL253" s="1285" t="str">
        <f>IF(VLOOKUP(A253,'Charriage - Geschiebehaushalt'!$A$4:$AD$275,30,FALSE)="","",VLOOKUP(A253,'Charriage - Geschiebehaushalt'!$A$4:$AD$275,30,FALSE))</f>
        <v>a</v>
      </c>
      <c r="AM253" s="1279" t="str">
        <f>IF(VLOOKUP(A253,'Débit - Abfluss'!$A$4:$K$275,5,FALSE)="","",VLOOKUP(A253,'Débit - Abfluss'!$A$4:$M$275,5,FALSE))</f>
        <v>81-100%</v>
      </c>
      <c r="AN253" s="868" t="str">
        <f>IF(VLOOKUP(A253,'Débit - Abfluss'!$A$4:$K$275,6,FALSE)="","",VLOOKUP(A253,'Débit - Abfluss'!$A$4:$M$275,6,FALSE))</f>
        <v/>
      </c>
      <c r="AO253" s="869" t="str">
        <f>IF(VLOOKUP(A253,'Débit - Abfluss'!$A$4:$K$275,7,FALSE)="","",VLOOKUP(A253,'Débit - Abfluss'!$A$4:$M$275,7,FALSE))</f>
        <v/>
      </c>
      <c r="AP253" s="766" t="str">
        <f>IF(VLOOKUP(A253,'Débit - Abfluss'!$A$4:$K$275,8,FALSE)="","",VLOOKUP(A253,'Débit - Abfluss'!$A$4:$M$275,8,FALSE))</f>
        <v>81-100%</v>
      </c>
      <c r="AQ253" s="742" t="str">
        <f>IF(VLOOKUP(A253,'Débit - Abfluss'!$A$4:$K$275,9,FALSE)="","",VLOOKUP(A253,'Débit - Abfluss'!$A$4:$M$275,9,FALSE))</f>
        <v>-</v>
      </c>
      <c r="AR253" s="767" t="str">
        <f>IF(VLOOKUP(A253,'Débit - Abfluss'!$A$4:$K$275,10,FALSE)="","",VLOOKUP(A253,'Débit - Abfluss'!$A$4:$M$275,10,FALSE))</f>
        <v>81-100%</v>
      </c>
      <c r="AS253" s="767" t="str">
        <f>IF(VLOOKUP(A253,'Débit - Abfluss'!$A$4:$K$275,11,FALSE)="","",VLOOKUP(A253,'Débit - Abfluss'!$A$4:$M$275,11,FALSE))</f>
        <v/>
      </c>
      <c r="AT253" s="778" t="str">
        <f>IF(VLOOKUP(A253,'Débit - Abfluss'!$A$4:$Q$275,12,FALSE)="","",VLOOKUP(A253,'Débit - Abfluss'!$A$4:$Q$275,12,FALSE))</f>
        <v/>
      </c>
      <c r="AU253" s="779" t="str">
        <f>IF(VLOOKUP(A253,'Débit - Abfluss'!$A$4:$Q$275,13,FALSE)="","",VLOOKUP(A253,'Débit - Abfluss'!$A$4:$Q$275,13,FALSE))</f>
        <v/>
      </c>
      <c r="AV253" s="746" t="str">
        <f>IF(VLOOKUP(A253,'Débit - Abfluss'!$A$4:$Q$275,14,FALSE)="","",VLOOKUP(A253,'Débit - Abfluss'!$A$4:$Q$275,14,FALSE))</f>
        <v/>
      </c>
      <c r="AW253" s="768" t="str">
        <f>IF(VLOOKUP(A253,'Débit - Abfluss'!$A$4:$Q$275,15,FALSE)="","",VLOOKUP(A253,'Débit - Abfluss'!$A$4:$Q$275,15,FALSE))</f>
        <v/>
      </c>
      <c r="AX253" s="679" t="str">
        <f>IF(VLOOKUP(A253,'Débit - Abfluss'!$A$4:$Q$275,16,FALSE)="","",VLOOKUP(A253,'Débit - Abfluss'!$A$4:$Q$275,16,FALSE))</f>
        <v/>
      </c>
      <c r="AY253" s="769" t="str">
        <f>IF(VLOOKUP(A253,'Débit - Abfluss'!$A$4:$Q$275,17,FALSE)="","",VLOOKUP(A253,'Débit - Abfluss'!$A$4:$Q$275,17,FALSE))</f>
        <v>81-100%</v>
      </c>
      <c r="AZ253" s="749" t="str">
        <f>IF(VLOOKUP(A253,'Eclusée - Schwall-Sunk'!$A$2:$F$273,5,FALSE)="","",VLOOKUP(A253,'Eclusée - Schwall-Sunk'!$A$2:$F$273,5,FALSE))</f>
        <v>force hydraulique</v>
      </c>
      <c r="BA253" s="750" t="str">
        <f>IF(VLOOKUP(A253,'Eclusée - Schwall-Sunk'!$A$2:$F$273,6,FALSE)="","",VLOOKUP(A253,'Eclusée - Schwall-Sunk'!$A$2:$F$273,6,FALSE))</f>
        <v>Potentiellement affecté / möglicherweise betroffen</v>
      </c>
      <c r="BB253" s="751" t="str">
        <f>IF(VLOOKUP(A253,'Revitalisation-Revitalisierung'!$A$4:$Z$275,5,FALSE)="","",VLOOKUP(A253,'Revitalisation-Revitalisierung'!$A$4:$Z$275,5,FALSE))</f>
        <v/>
      </c>
      <c r="BC253" s="752" t="str">
        <f>IF(VLOOKUP(A253,'Revitalisation-Revitalisierung'!$A$4:$Z$275,6,FALSE)="","",VLOOKUP(A253,'Revitalisation-Revitalisierung'!$A$4:$Z$275,6,FALSE))</f>
        <v/>
      </c>
      <c r="BD253" s="752" t="str">
        <f>IF(VLOOKUP(A253,'Revitalisation-Revitalisierung'!$A$4:$Z$275,7,FALSE)="","",VLOOKUP(A253,'Revitalisation-Revitalisierung'!$A$4:$Z$275,7,FALSE))</f>
        <v/>
      </c>
      <c r="BE253" s="753" t="str">
        <f>IF(VLOOKUP(A253,'Revitalisation-Revitalisierung'!$A$4:$Z$275,8,FALSE)="","",VLOOKUP(A253,'Revitalisation-Revitalisierung'!$A$4:$Z$275,8,FALSE))</f>
        <v>très nécessaire, difficile</v>
      </c>
      <c r="BF253" s="754" t="str">
        <f>IF(VLOOKUP(A253,'Revitalisation-Revitalisierung'!$A$4:$Z$275,9,FALSE)="","",VLOOKUP(A253,'Revitalisation-Revitalisierung'!$A$4:$Z$275,9,FALSE))</f>
        <v>schwierig</v>
      </c>
      <c r="BG253" s="754" t="str">
        <f>IF(VLOOKUP(A253,'Revitalisation-Revitalisierung'!$A$4:$Z$275,10,FALSE)="","",VLOOKUP(A253,'Revitalisation-Revitalisierung'!$A$4:$Z$275,10,FALSE))</f>
        <v/>
      </c>
      <c r="BH253" s="755" t="str">
        <f>IF(VLOOKUP(A253,'Revitalisation-Revitalisierung'!$A$4:$Z$275,11,FALSE)="","",VLOOKUP(A253,'Revitalisation-Revitalisierung'!$A$4:$Z$275,11,FALSE))</f>
        <v>très nécessaire, facile</v>
      </c>
      <c r="BI253" s="756" t="str">
        <f>IF(VLOOKUP(A253,'Revitalisation-Revitalisierung'!$A$4:$Z$275,12,FALSE)="","",VLOOKUP(A253,'Revitalisation-Revitalisierung'!$A$4:$Z$275,12,FALSE))</f>
        <v>Suffit de retirer les entraves. Pas de biens dommageables au-delà des entraves</v>
      </c>
      <c r="BJ253" s="788" t="str">
        <f>IF(VLOOKUP(A253,'Revitalisation-Revitalisierung'!$A$4:$Z$275,13,FALSE)="","",VLOOKUP(A253,'Revitalisation-Revitalisierung'!$A$4:$Z$275,13,FALSE))</f>
        <v>Très nécessaire, facile / unbedingt nötig, einfach</v>
      </c>
      <c r="BK253" s="870" t="str">
        <f>IF(VLOOKUP(A253,'Revitalisation-Revitalisierung'!$A$4:$Z$275,14,FALSE)="","",VLOOKUP(A253,'Revitalisation-Revitalisierung'!$A$4:$Z$275,14,FALSE))</f>
        <v>a</v>
      </c>
      <c r="BL253" s="758" t="str">
        <f>IF(VLOOKUP(A253,'Revitalisation-Revitalisierung'!$A$4:$Z$275,15,FALSE)="","",VLOOKUP(A253,'Revitalisation-Revitalisierung'!$A$4:$Z$275,15,FALSE))</f>
        <v>gross</v>
      </c>
      <c r="BM253" s="759" t="str">
        <f>IF(VLOOKUP(A253,'Revitalisation-Revitalisierung'!$A$4:$Z$275,16,FALSE)="","",VLOOKUP(A253,'Revitalisation-Revitalisierung'!$A$4:$Z$275,16,FALSE))</f>
        <v>gross</v>
      </c>
      <c r="BN253" s="759" t="str">
        <f>IF(VLOOKUP(A253,'Revitalisation-Revitalisierung'!$A$4:$Z$275,17,FALSE)="","",VLOOKUP(A253,'Revitalisation-Revitalisierung'!$A$4:$Z$275,17,FALSE))</f>
        <v>hoch</v>
      </c>
      <c r="BO253" s="760" t="str">
        <f>IF(VLOOKUP(A253,'Revitalisation-Revitalisierung'!$A$4:$Z$275,18,FALSE)="","",VLOOKUP(A253,'Revitalisation-Revitalisierung'!$A$4:$Z$275,18,FALSE))</f>
        <v>Très nécessaire, facile / unbedingt nötig, einfach</v>
      </c>
      <c r="BP253" s="761" t="str">
        <f>IF(VLOOKUP(A253,'Revitalisation-Revitalisierung'!$A$4:$Z$275,19,FALSE)="","",VLOOKUP(A253,'Revitalisation-Revitalisierung'!$A$4:$Z$275,19,FALSE))</f>
        <v>Très nécessaire, facile / unbedingt nötig, einfach</v>
      </c>
      <c r="BQ253" s="759" t="str">
        <f>IF(VLOOKUP(A253,'Revitalisation-Revitalisierung'!$A$4:$Z$275,20,FALSE)="","",VLOOKUP(A253,'Revitalisation-Revitalisierung'!$A$4:$Z$275,20,FALSE))</f>
        <v>d</v>
      </c>
      <c r="BR253" s="759" t="str">
        <f>IF(VLOOKUP(A253,'Revitalisation-Revitalisierung'!$A$4:$Z$275,21,FALSE)="","",VLOOKUP(A253,'Revitalisation-Revitalisierung'!$A$4:$Z$275,21,FALSE))</f>
        <v/>
      </c>
      <c r="BS253" s="762" t="str">
        <f>IF(VLOOKUP(A253,'Revitalisation-Revitalisierung'!$A$4:$Z$275,22,FALSE)="","",VLOOKUP(A253,'Revitalisation-Revitalisierung'!$A$4:$Z$275,22,FALSE))</f>
        <v/>
      </c>
      <c r="BT253" s="700" t="str">
        <f>IF(VLOOKUP(A253,'Revitalisation-Revitalisierung'!$A$4:$Z$275,23,FALSE)="","",VLOOKUP(A253,'Revitalisation-Revitalisierung'!$A$4:$Z$275,23,FALSE))</f>
        <v/>
      </c>
      <c r="BU253" s="699" t="str">
        <f>IF(VLOOKUP(A253,'Revitalisation-Revitalisierung'!$A$4:$Z$275,24,FALSE)="","",VLOOKUP(A253,'Revitalisation-Revitalisierung'!$A$4:$Z$275,24,FALSE))</f>
        <v/>
      </c>
      <c r="BV253" s="761" t="str">
        <f>IF(VLOOKUP(A253,'Revitalisation-Revitalisierung'!$A$4:$Z$275,25,FALSE)="","",VLOOKUP(A253,'Revitalisation-Revitalisierung'!$A$4:$Z$275,25,FALSE))</f>
        <v>Très nécessaire, facile / unbedingt nötig, einfach</v>
      </c>
      <c r="BW253" s="871" t="str">
        <f>IF(VLOOKUP(A253,'Revitalisation-Revitalisierung'!$A$4:$AA$275,27,FALSE)="","",VLOOKUP(A253,'Revitalisation-Revitalisierung'!$A$4:$AA$275,27,FALSE))</f>
        <v>a</v>
      </c>
    </row>
    <row r="254" spans="1:75" ht="58.15" customHeight="1" x14ac:dyDescent="0.25">
      <c r="A254" s="935">
        <v>376</v>
      </c>
      <c r="B254" s="856">
        <f>IF(VLOOKUP(A254,'Données de base - Grunddaten'!$A$2:$M$297,2,FALSE)="","",VLOOKUP(A254,'Données de base - Grunddaten'!$A$2:$M$297,2,FALSE))</f>
        <v>1</v>
      </c>
      <c r="C254" s="857" t="str">
        <f>IF(VLOOKUP(A254,'Données de base - Grunddaten'!$A$2:$M$297,3,FALSE)="","",VLOOKUP(A254,'Données de base - Grunddaten'!$A$2:$M$297,3,FALSE))</f>
        <v>Sarelli–Rosenbergli</v>
      </c>
      <c r="D254" s="857" t="str">
        <f>IF(VLOOKUP(A254,'Données de base - Grunddaten'!$A$2:$M$297,4,FALSE)="","",VLOOKUP(A254,'Données de base - Grunddaten'!$A$2:$M$297,4,FALSE))</f>
        <v>Rhein</v>
      </c>
      <c r="E254" s="857" t="str">
        <f>IF(VLOOKUP(A254,'Données de base - Grunddaten'!$A$2:$M$297,5,FALSE)="","",VLOOKUP(A254,'Données de base - Grunddaten'!$A$2:$M$297,5,FALSE))</f>
        <v>SG</v>
      </c>
      <c r="F254" s="857" t="str">
        <f>IF(VLOOKUP(A254,'Données de base - Grunddaten'!$A$2:$M$297,6,FALSE)="","",VLOOKUP(A254,'Données de base - Grunddaten'!$A$2:$M$297,6,FALSE))</f>
        <v>Alpes septentrionales</v>
      </c>
      <c r="G254" s="857" t="str">
        <f>IF(VLOOKUP(A254,'Données de base - Grunddaten'!$A$2:$M$297,7,FALSE)="","",VLOOKUP(A254,'Données de base - Grunddaten'!$A$2:$M$297,7,FALSE))</f>
        <v>Collinéen</v>
      </c>
      <c r="H254" s="857">
        <f>IF(VLOOKUP(A254,'Données de base - Grunddaten'!$A$2:$M$297,8,FALSE)="","",VLOOKUP(A254,'Données de base - Grunddaten'!$A$2:$M$297,8,FALSE))</f>
        <v>510</v>
      </c>
      <c r="I254" s="857">
        <f>IF(VLOOKUP(A254,'Données de base - Grunddaten'!$A$2:$M$297,9,FALSE)="","",VLOOKUP(A254,'Données de base - Grunddaten'!$A$2:$M$297,9,FALSE))</f>
        <v>2003</v>
      </c>
      <c r="J254" s="857">
        <f>IF(VLOOKUP(A254,'Données de base - Grunddaten'!$A$2:$M$297,10,FALSE)="","",VLOOKUP(A254,'Données de base - Grunddaten'!$A$2:$M$297,10,FALSE))</f>
        <v>52</v>
      </c>
      <c r="K254" s="857" t="str">
        <f>IF(VLOOKUP(A254,'Données de base - Grunddaten'!$A$2:$M$297,11,FALSE)="","",VLOOKUP(A254,'Données de base - Grunddaten'!$A$2:$M$297,11,FALSE))</f>
        <v>Cours d'eau corrigés de l'étage collinéen du Moyen-Pays</v>
      </c>
      <c r="L254" s="857" t="str">
        <f>IF(VLOOKUP(A254,'Données de base - Grunddaten'!$A$2:$M$297,12,FALSE)="","",VLOOKUP(A254,'Données de base - Grunddaten'!$A$2:$M$297,12,FALSE))</f>
        <v>en méandres</v>
      </c>
      <c r="M254" s="858" t="str">
        <f>IF(VLOOKUP(A254,'Données de base - Grunddaten'!$A$2:$M$297,13,FALSE)="","",VLOOKUP(A254,'Données de base - Grunddaten'!$A$2:$M$297,13,FALSE))</f>
        <v>en méandres</v>
      </c>
      <c r="N254" s="872" t="str">
        <f>IF(VLOOKUP(A254,'Charriage - Geschiebehaushalt'!$A$4:$R$275,5,FALSE)="","",VLOOKUP(A254,'Charriage - Geschiebehaushalt'!$A$4:$R$275,5,FALSE))</f>
        <v>pertinent</v>
      </c>
      <c r="O254" s="873" t="str">
        <f>IF(VLOOKUP(A254,'Charriage - Geschiebehaushalt'!$A$4:$R$275,6,FALSE)="","",VLOOKUP(A254,'Charriage - Geschiebehaushalt'!$A$4:$R$275,6,FALSE))</f>
        <v>51-80%</v>
      </c>
      <c r="P254" s="874" t="str">
        <f>IF(VLOOKUP(A254,'Charriage - Geschiebehaushalt'!$A$4:$R$275,7,FALSE)="","",VLOOKUP(A254,'Charriage - Geschiebehaushalt'!$A$4:$R$275,7,FALSE))</f>
        <v/>
      </c>
      <c r="Q254" s="874" t="str">
        <f>IF(VLOOKUP(A254,'Charriage - Geschiebehaushalt'!$A$4:$R$275,8,FALSE)="","",VLOOKUP(A254,'Charriage - Geschiebehaushalt'!$A$4:$R$275,8,FALSE))</f>
        <v>non documenté</v>
      </c>
      <c r="R254" s="875">
        <f>IF(VLOOKUP(A254,'Charriage - Geschiebehaushalt'!$A$4:$R$275,9,FALSE)="","",VLOOKUP(A254,'Charriage - Geschiebehaushalt'!$A$4:$R$275,9,FALSE))</f>
        <v>1.4936194099092299</v>
      </c>
      <c r="S254" s="876" t="str">
        <f>IF(VLOOKUP(A254,'Charriage - Geschiebehaushalt'!$A$4:$R$275,10,FALSE)="","",VLOOKUP(A254,'Charriage - Geschiebehaushalt'!$A$4:$R$275,10,FALSE))</f>
        <v>la remobilisation des sédiments est perturbée</v>
      </c>
      <c r="T254" s="875">
        <f>IF(VLOOKUP(A254,'Charriage - Geschiebehaushalt'!$A$4:$R$275,11,FALSE)="","",VLOOKUP(A254,'Charriage - Geschiebehaushalt'!$A$4:$R$275,11,FALSE))</f>
        <v>1.3565413445999999E-2</v>
      </c>
      <c r="U254" s="876" t="str">
        <f>IF(VLOOKUP(A254,'Charriage - Geschiebehaushalt'!$A$4:$R$275,12,FALSE)="","",VLOOKUP(A254,'Charriage - Geschiebehaushalt'!$A$4:$R$275,12,FALSE))</f>
        <v>déficit dans les formations pionnières</v>
      </c>
      <c r="V254" s="877" t="str">
        <f>IF(VLOOKUP(A254,'Charriage - Geschiebehaushalt'!$A$4:$R$275,13,FALSE)="","",VLOOKUP(A254,'Charriage - Geschiebehaushalt'!$A$4:$R$275,13,FALSE))</f>
        <v/>
      </c>
      <c r="W254" s="877" t="str">
        <f>IF(VLOOKUP(A254,'Charriage - Geschiebehaushalt'!$A$4:$R$275,14,FALSE)="","",VLOOKUP(A254,'Charriage - Geschiebehaushalt'!$A$4:$R$275,14,FALSE))</f>
        <v/>
      </c>
      <c r="X254" s="877" t="str">
        <f>IF(VLOOKUP(A254,'Charriage - Geschiebehaushalt'!$A$4:$R$275,15,FALSE)="","",VLOOKUP(A254,'Charriage - Geschiebehaushalt'!$A$4:$R$275,15,FALSE))</f>
        <v/>
      </c>
      <c r="Y254" s="879" t="str">
        <f>IF(VLOOKUP(A254,'Charriage - Geschiebehaushalt'!$A$4:$R$275,16,FALSE)="","",VLOOKUP(A254,'Charriage - Geschiebehaushalt'!$A$4:$R$275,16,FALSE))</f>
        <v/>
      </c>
      <c r="Z254" s="763" t="str">
        <f>IF(VLOOKUP(A254,'Charriage - Geschiebehaushalt'!$A$4:$R$275,17,FALSE)="","",VLOOKUP(A254,'Charriage - Geschiebehaushalt'!$A$4:$R$275,17,FALSE))</f>
        <v>51-80%</v>
      </c>
      <c r="AA254" s="880" t="str">
        <f>IF(VLOOKUP(A254,'Charriage - Geschiebehaushalt'!$A$4:$R$275,18,FALSE)="","",VLOOKUP(A254,'Charriage - Geschiebehaushalt'!$A$4:$R$275,18,FALSE))</f>
        <v>a</v>
      </c>
      <c r="AB254" s="737" t="str">
        <f>IF(VLOOKUP(A254,'Charriage - Geschiebehaushalt'!$A$4:$AC$275,19,FALSE)="","",VLOOKUP(A254,'Charriage - Geschiebehaushalt'!$A$4:$AC$275,19,FALSE))</f>
        <v>non dét.</v>
      </c>
      <c r="AC254" s="738">
        <f>IF(VLOOKUP(A254,'Charriage - Geschiebehaushalt'!$A$4:$AC$275,20,FALSE)="","",VLOOKUP(A254,'Charriage - Geschiebehaushalt'!$A$4:$AC$275,20,FALSE))</f>
        <v>0</v>
      </c>
      <c r="AD254" s="764" t="str">
        <f>IF(VLOOKUP(A254,'Charriage - Geschiebehaushalt'!$A$4:$AC$275,21,FALSE)="","",VLOOKUP(A254,'Charriage - Geschiebehaushalt'!$A$4:$AC$275,21,FALSE))</f>
        <v/>
      </c>
      <c r="AE254" s="740" t="str">
        <f>IF(VLOOKUP(A254,'Charriage - Geschiebehaushalt'!$A$4:$AC$275,22,FALSE)="","",VLOOKUP(A254,'Charriage - Geschiebehaushalt'!$A$4:$AC$275,22,FALSE))</f>
        <v>51-80%</v>
      </c>
      <c r="AF254" s="787" t="str">
        <f>IF(VLOOKUP(A254,'Charriage - Geschiebehaushalt'!$A$4:$AC$275,23,FALSE)="","",VLOOKUP(A254,'Charriage - Geschiebehaushalt'!$A$4:$AC$275,23,FALSE))</f>
        <v>a</v>
      </c>
      <c r="AG254" s="765" t="str">
        <f>IF(VLOOKUP(A254,'Charriage - Geschiebehaushalt'!$A$4:$AC$275,24,FALSE)="","",VLOOKUP(A254,'Charriage - Geschiebehaushalt'!$A$4:$AC$275,24,FALSE))</f>
        <v/>
      </c>
      <c r="AH254" s="764" t="str">
        <f>IF(VLOOKUP(A254,'Charriage - Geschiebehaushalt'!$A$4:$AC$275,25,FALSE)="","",VLOOKUP(A254,'Charriage - Geschiebehaushalt'!$A$4:$AC$275,25,FALSE))</f>
        <v/>
      </c>
      <c r="AI254" s="444" t="str">
        <f>IF(VLOOKUP(A254,'Charriage - Geschiebehaushalt'!$A$4:$AC$275,26,FALSE)="","",VLOOKUP(A254,'Charriage - Geschiebehaushalt'!$A$4:$AC$275,26,FALSE))</f>
        <v/>
      </c>
      <c r="AJ254" s="436" t="str">
        <f>IF(VLOOKUP(A254,'Charriage - Geschiebehaushalt'!$A$4:$AC$275,27,FALSE)="","",VLOOKUP(A254,'Charriage - Geschiebehaushalt'!$A$4:$AC$275,27,FALSE))</f>
        <v>Geschiebedefizit stammt aus Kt. GR</v>
      </c>
      <c r="AK254" s="801" t="str">
        <f>IF(VLOOKUP(A254,'Charriage - Geschiebehaushalt'!$A$4:$AC$275,28,FALSE)="","",VLOOKUP(A254,'Charriage - Geschiebehaushalt'!$A$4:$AC$275,28,FALSE))</f>
        <v>51-80%</v>
      </c>
      <c r="AL254" s="1285" t="str">
        <f>IF(VLOOKUP(A254,'Charriage - Geschiebehaushalt'!$A$4:$AD$275,30,FALSE)="","",VLOOKUP(A254,'Charriage - Geschiebehaushalt'!$A$4:$AD$275,30,FALSE))</f>
        <v>a</v>
      </c>
      <c r="AM254" s="1279" t="str">
        <f>IF(VLOOKUP(A254,'Débit - Abfluss'!$A$4:$K$275,5,FALSE)="","",VLOOKUP(A254,'Débit - Abfluss'!$A$4:$M$275,5,FALSE))</f>
        <v>81-100%</v>
      </c>
      <c r="AN254" s="868" t="str">
        <f>IF(VLOOKUP(A254,'Débit - Abfluss'!$A$4:$K$275,6,FALSE)="","",VLOOKUP(A254,'Débit - Abfluss'!$A$4:$M$275,6,FALSE))</f>
        <v/>
      </c>
      <c r="AO254" s="869" t="str">
        <f>IF(VLOOKUP(A254,'Débit - Abfluss'!$A$4:$K$275,7,FALSE)="","",VLOOKUP(A254,'Débit - Abfluss'!$A$4:$M$275,7,FALSE))</f>
        <v/>
      </c>
      <c r="AP254" s="766" t="str">
        <f>IF(VLOOKUP(A254,'Débit - Abfluss'!$A$4:$K$275,8,FALSE)="","",VLOOKUP(A254,'Débit - Abfluss'!$A$4:$M$275,8,FALSE))</f>
        <v>81-100%</v>
      </c>
      <c r="AQ254" s="742" t="str">
        <f>IF(VLOOKUP(A254,'Débit - Abfluss'!$A$4:$K$275,9,FALSE)="","",VLOOKUP(A254,'Débit - Abfluss'!$A$4:$M$275,9,FALSE))</f>
        <v>-</v>
      </c>
      <c r="AR254" s="767" t="str">
        <f>IF(VLOOKUP(A254,'Débit - Abfluss'!$A$4:$K$275,10,FALSE)="","",VLOOKUP(A254,'Débit - Abfluss'!$A$4:$M$275,10,FALSE))</f>
        <v>81-100%</v>
      </c>
      <c r="AS254" s="767" t="str">
        <f>IF(VLOOKUP(A254,'Débit - Abfluss'!$A$4:$K$275,11,FALSE)="","",VLOOKUP(A254,'Débit - Abfluss'!$A$4:$M$275,11,FALSE))</f>
        <v/>
      </c>
      <c r="AT254" s="744" t="str">
        <f>IF(VLOOKUP(A254,'Débit - Abfluss'!$A$4:$Q$275,12,FALSE)="","",VLOOKUP(A254,'Débit - Abfluss'!$A$4:$Q$275,12,FALSE))</f>
        <v/>
      </c>
      <c r="AU254" s="745" t="str">
        <f>IF(VLOOKUP(A254,'Débit - Abfluss'!$A$4:$Q$275,13,FALSE)="","",VLOOKUP(A254,'Débit - Abfluss'!$A$4:$Q$275,13,FALSE))</f>
        <v/>
      </c>
      <c r="AV254" s="746" t="str">
        <f>IF(VLOOKUP(A254,'Débit - Abfluss'!$A$4:$Q$275,14,FALSE)="","",VLOOKUP(A254,'Débit - Abfluss'!$A$4:$Q$275,14,FALSE))</f>
        <v/>
      </c>
      <c r="AW254" s="768" t="str">
        <f>IF(VLOOKUP(A254,'Débit - Abfluss'!$A$4:$Q$275,15,FALSE)="","",VLOOKUP(A254,'Débit - Abfluss'!$A$4:$Q$275,15,FALSE))</f>
        <v/>
      </c>
      <c r="AX254" s="677" t="str">
        <f>IF(VLOOKUP(A254,'Débit - Abfluss'!$A$4:$Q$275,16,FALSE)="","",VLOOKUP(A254,'Débit - Abfluss'!$A$4:$Q$275,16,FALSE))</f>
        <v/>
      </c>
      <c r="AY254" s="769" t="str">
        <f>IF(VLOOKUP(A254,'Débit - Abfluss'!$A$4:$Q$275,17,FALSE)="","",VLOOKUP(A254,'Débit - Abfluss'!$A$4:$Q$275,17,FALSE))</f>
        <v>81-100%</v>
      </c>
      <c r="AZ254" s="749" t="str">
        <f>IF(VLOOKUP(A254,'Eclusée - Schwall-Sunk'!$A$2:$F$273,5,FALSE)="","",VLOOKUP(A254,'Eclusée - Schwall-Sunk'!$A$2:$F$273,5,FALSE))</f>
        <v>force hydraulique</v>
      </c>
      <c r="BA254" s="750" t="str">
        <f>IF(VLOOKUP(A254,'Eclusée - Schwall-Sunk'!$A$2:$F$273,6,FALSE)="","",VLOOKUP(A254,'Eclusée - Schwall-Sunk'!$A$2:$F$273,6,FALSE))</f>
        <v>Potentiellement affecté / möglicherweise betroffen</v>
      </c>
      <c r="BB254" s="751">
        <f>IF(VLOOKUP(A254,'Revitalisation-Revitalisierung'!$A$4:$Z$275,5,FALSE)="","",VLOOKUP(A254,'Revitalisation-Revitalisierung'!$A$4:$Z$275,5,FALSE))</f>
        <v>59.86363636363636</v>
      </c>
      <c r="BC254" s="752">
        <f>IF(VLOOKUP(A254,'Revitalisation-Revitalisierung'!$A$4:$Z$275,6,FALSE)="","",VLOOKUP(A254,'Revitalisation-Revitalisierung'!$A$4:$Z$275,6,FALSE))</f>
        <v>73.493008821821022</v>
      </c>
      <c r="BD254" s="752">
        <f>IF(VLOOKUP(A254,'Revitalisation-Revitalisierung'!$A$4:$Z$275,7,FALSE)="","",VLOOKUP(A254,'Revitalisation-Revitalisierung'!$A$4:$Z$275,7,FALSE))</f>
        <v>13.636363636363637</v>
      </c>
      <c r="BE254" s="753" t="str">
        <f>IF(VLOOKUP(A254,'Revitalisation-Revitalisierung'!$A$4:$Z$275,8,FALSE)="","",VLOOKUP(A254,'Revitalisation-Revitalisierung'!$A$4:$Z$275,8,FALSE))</f>
        <v>très nécessaire, facile</v>
      </c>
      <c r="BF254" s="754" t="str">
        <f>IF(VLOOKUP(A254,'Revitalisation-Revitalisierung'!$A$4:$Z$275,9,FALSE)="","",VLOOKUP(A254,'Revitalisation-Revitalisierung'!$A$4:$Z$275,9,FALSE))</f>
        <v>schwierig</v>
      </c>
      <c r="BG254" s="754" t="str">
        <f>IF(VLOOKUP(A254,'Revitalisation-Revitalisierung'!$A$4:$Z$275,10,FALSE)="","",VLOOKUP(A254,'Revitalisation-Revitalisierung'!$A$4:$Z$275,10,FALSE))</f>
        <v>K2</v>
      </c>
      <c r="BH254" s="755" t="str">
        <f>IF(VLOOKUP(A254,'Revitalisation-Revitalisierung'!$A$4:$Z$275,11,FALSE)="","",VLOOKUP(A254,'Revitalisation-Revitalisierung'!$A$4:$Z$275,11,FALSE))</f>
        <v/>
      </c>
      <c r="BI254" s="756" t="str">
        <f>IF(VLOOKUP(A254,'Revitalisation-Revitalisierung'!$A$4:$Z$275,12,FALSE)="","",VLOOKUP(A254,'Revitalisation-Revitalisierung'!$A$4:$Z$275,12,FALSE))</f>
        <v/>
      </c>
      <c r="BJ254" s="788" t="str">
        <f>IF(VLOOKUP(A254,'Revitalisation-Revitalisierung'!$A$4:$Z$275,13,FALSE)="","",VLOOKUP(A254,'Revitalisation-Revitalisierung'!$A$4:$Z$275,13,FALSE))</f>
        <v>Très nécessaire, facile / unbedingt nötig, einfach</v>
      </c>
      <c r="BK254" s="870" t="str">
        <f>IF(VLOOKUP(A254,'Revitalisation-Revitalisierung'!$A$4:$Z$275,14,FALSE)="","",VLOOKUP(A254,'Revitalisation-Revitalisierung'!$A$4:$Z$275,14,FALSE))</f>
        <v>a</v>
      </c>
      <c r="BL254" s="758" t="str">
        <f>IF(VLOOKUP(A254,'Revitalisation-Revitalisierung'!$A$4:$Z$275,15,FALSE)="","",VLOOKUP(A254,'Revitalisation-Revitalisierung'!$A$4:$Z$275,15,FALSE))</f>
        <v>non det.</v>
      </c>
      <c r="BM254" s="759" t="str">
        <f>IF(VLOOKUP(A254,'Revitalisation-Revitalisierung'!$A$4:$Z$275,16,FALSE)="","",VLOOKUP(A254,'Revitalisation-Revitalisierung'!$A$4:$Z$275,16,FALSE))</f>
        <v>non dét.</v>
      </c>
      <c r="BN254" s="759" t="str">
        <f>IF(VLOOKUP(A254,'Revitalisation-Revitalisierung'!$A$4:$Z$275,17,FALSE)="","",VLOOKUP(A254,'Revitalisation-Revitalisierung'!$A$4:$Z$275,17,FALSE))</f>
        <v>gross</v>
      </c>
      <c r="BO254" s="760" t="str">
        <f>IF(VLOOKUP(A254,'Revitalisation-Revitalisierung'!$A$4:$Z$275,18,FALSE)="","",VLOOKUP(A254,'Revitalisation-Revitalisierung'!$A$4:$Z$275,18,FALSE))</f>
        <v/>
      </c>
      <c r="BP254" s="761" t="str">
        <f>IF(VLOOKUP(A254,'Revitalisation-Revitalisierung'!$A$4:$Z$275,19,FALSE)="","",VLOOKUP(A254,'Revitalisation-Revitalisierung'!$A$4:$Z$275,19,FALSE))</f>
        <v>Très nécessaire, facile / unbedingt nötig, einfach</v>
      </c>
      <c r="BQ254" s="759" t="str">
        <f>IF(VLOOKUP(A254,'Revitalisation-Revitalisierung'!$A$4:$Z$275,20,FALSE)="","",VLOOKUP(A254,'Revitalisation-Revitalisierung'!$A$4:$Z$275,20,FALSE))</f>
        <v>a</v>
      </c>
      <c r="BR254" s="759" t="str">
        <f>IF(VLOOKUP(A254,'Revitalisation-Revitalisierung'!$A$4:$Z$275,21,FALSE)="","",VLOOKUP(A254,'Revitalisation-Revitalisierung'!$A$4:$Z$275,21,FALSE))</f>
        <v/>
      </c>
      <c r="BS254" s="762" t="str">
        <f>IF(VLOOKUP(A254,'Revitalisation-Revitalisierung'!$A$4:$Z$275,22,FALSE)="","",VLOOKUP(A254,'Revitalisation-Revitalisierung'!$A$4:$Z$275,22,FALSE))</f>
        <v/>
      </c>
      <c r="BT254" s="700" t="str">
        <f>IF(VLOOKUP(A254,'Revitalisation-Revitalisierung'!$A$4:$Z$275,23,FALSE)="","",VLOOKUP(A254,'Revitalisation-Revitalisierung'!$A$4:$Z$275,23,FALSE))</f>
        <v/>
      </c>
      <c r="BU254" s="699" t="str">
        <f>IF(VLOOKUP(A254,'Revitalisation-Revitalisierung'!$A$4:$Z$275,24,FALSE)="","",VLOOKUP(A254,'Revitalisation-Revitalisierung'!$A$4:$Z$275,24,FALSE))</f>
        <v/>
      </c>
      <c r="BV254" s="761" t="str">
        <f>IF(VLOOKUP(A254,'Revitalisation-Revitalisierung'!$A$4:$Z$275,25,FALSE)="","",VLOOKUP(A254,'Revitalisation-Revitalisierung'!$A$4:$Z$275,25,FALSE))</f>
        <v>Très nécessaire, facile / unbedingt nötig, einfach</v>
      </c>
      <c r="BW254" s="871" t="str">
        <f>IF(VLOOKUP(A254,'Revitalisation-Revitalisierung'!$A$4:$AA$275,27,FALSE)="","",VLOOKUP(A254,'Revitalisation-Revitalisierung'!$A$4:$AA$275,27,FALSE))</f>
        <v>a</v>
      </c>
    </row>
    <row r="255" spans="1:75" ht="72.599999999999994" customHeight="1" x14ac:dyDescent="0.25">
      <c r="A255" s="1230">
        <v>379</v>
      </c>
      <c r="B255" s="856">
        <f>IF(VLOOKUP(A255,'Données de base - Grunddaten'!$A$2:$M$297,2,FALSE)="","",VLOOKUP(A255,'Données de base - Grunddaten'!$A$2:$M$297,2,FALSE))</f>
        <v>1</v>
      </c>
      <c r="C255" s="857" t="str">
        <f>IF(VLOOKUP(A255,'Données de base - Grunddaten'!$A$2:$M$297,3,FALSE)="","",VLOOKUP(A255,'Données de base - Grunddaten'!$A$2:$M$297,3,FALSE))</f>
        <v>Val Cristallina</v>
      </c>
      <c r="D255" s="857" t="str">
        <f>IF(VLOOKUP(A255,'Données de base - Grunddaten'!$A$2:$M$297,4,FALSE)="","",VLOOKUP(A255,'Données de base - Grunddaten'!$A$2:$M$297,4,FALSE))</f>
        <v>Rein da Cristallina</v>
      </c>
      <c r="E255" s="857" t="str">
        <f>IF(VLOOKUP(A255,'Données de base - Grunddaten'!$A$2:$M$297,5,FALSE)="","",VLOOKUP(A255,'Données de base - Grunddaten'!$A$2:$M$297,5,FALSE))</f>
        <v>GR</v>
      </c>
      <c r="F255" s="857" t="str">
        <f>IF(VLOOKUP(A255,'Données de base - Grunddaten'!$A$2:$M$297,6,FALSE)="","",VLOOKUP(A255,'Données de base - Grunddaten'!$A$2:$M$297,6,FALSE))</f>
        <v>Alpes centrales orientales</v>
      </c>
      <c r="G255" s="857" t="str">
        <f>IF(VLOOKUP(A255,'Données de base - Grunddaten'!$A$2:$M$297,7,FALSE)="","",VLOOKUP(A255,'Données de base - Grunddaten'!$A$2:$M$297,7,FALSE))</f>
        <v>Subalpin sup.</v>
      </c>
      <c r="H255" s="857" t="str">
        <f>IF(VLOOKUP(A255,'Données de base - Grunddaten'!$A$2:$M$297,8,FALSE)="","",VLOOKUP(A255,'Données de base - Grunddaten'!$A$2:$M$297,8,FALSE))</f>
        <v>1630 m</v>
      </c>
      <c r="I255" s="857" t="str">
        <f>IF(VLOOKUP(A255,'Données de base - Grunddaten'!$A$2:$M$297,9,FALSE)="","",VLOOKUP(A255,'Données de base - Grunddaten'!$A$2:$M$297,9,FALSE))</f>
        <v>candidat</v>
      </c>
      <c r="J255" s="857">
        <f>IF(VLOOKUP(A255,'Données de base - Grunddaten'!$A$2:$M$297,10,FALSE)="","",VLOOKUP(A255,'Données de base - Grunddaten'!$A$2:$M$297,10,FALSE))</f>
        <v>31</v>
      </c>
      <c r="K255" s="857" t="str">
        <f>IF(VLOOKUP(A255,'Données de base - Grunddaten'!$A$2:$M$297,11,FALSE)="","",VLOOKUP(A255,'Données de base - Grunddaten'!$A$2:$M$297,11,FALSE))</f>
        <v>Cours d'eau naturels de l'étage subalpin</v>
      </c>
      <c r="L255" s="857" t="str">
        <f>IF(VLOOKUP(A255,'Données de base - Grunddaten'!$A$2:$M$297,12,FALSE)="","",VLOOKUP(A255,'Données de base - Grunddaten'!$A$2:$M$297,12,FALSE))</f>
        <v>en tresses</v>
      </c>
      <c r="M255" s="858" t="str">
        <f>IF(VLOOKUP(A255,'Données de base - Grunddaten'!$A$2:$M$297,13,FALSE)="","",VLOOKUP(A255,'Données de base - Grunddaten'!$A$2:$M$297,13,FALSE))</f>
        <v>cours rectiligne</v>
      </c>
      <c r="N255" s="872" t="str">
        <f>IF(VLOOKUP(A255,'Charriage - Geschiebehaushalt'!$A$4:$R$275,5,FALSE)="","",VLOOKUP(A255,'Charriage - Geschiebehaushalt'!$A$4:$R$275,5,FALSE))</f>
        <v>pertinent</v>
      </c>
      <c r="O255" s="881" t="str">
        <f>IF(VLOOKUP(A255,'Charriage - Geschiebehaushalt'!$A$4:$R$275,6,FALSE)="","",VLOOKUP(A255,'Charriage - Geschiebehaushalt'!$A$4:$R$275,6,FALSE))</f>
        <v>non documenté</v>
      </c>
      <c r="P255" s="874" t="str">
        <f>IF(VLOOKUP(A255,'Charriage - Geschiebehaushalt'!$A$4:$R$275,7,FALSE)="","",VLOOKUP(A255,'Charriage - Geschiebehaushalt'!$A$4:$R$275,7,FALSE))</f>
        <v/>
      </c>
      <c r="Q255" s="874" t="str">
        <f>IF(VLOOKUP(A255,'Charriage - Geschiebehaushalt'!$A$4:$R$275,8,FALSE)="","",VLOOKUP(A255,'Charriage - Geschiebehaushalt'!$A$4:$R$275,8,FALSE))</f>
        <v>non documenté</v>
      </c>
      <c r="R255" s="875">
        <f>IF(VLOOKUP(A255,'Charriage - Geschiebehaushalt'!$A$4:$R$275,9,FALSE)="","",VLOOKUP(A255,'Charriage - Geschiebehaushalt'!$A$4:$R$275,9,FALSE))</f>
        <v>0.33200000000000002</v>
      </c>
      <c r="S255" s="895" t="str">
        <f>IF(VLOOKUP(A255,'Charriage - Geschiebehaushalt'!$A$4:$R$275,10,FALSE)="","",VLOOKUP(A255,'Charriage - Geschiebehaushalt'!$A$4:$R$275,10,FALSE))</f>
        <v>la remobilisation des sédiments est perturbée</v>
      </c>
      <c r="T255" s="875">
        <f>IF(VLOOKUP(A255,'Charriage - Geschiebehaushalt'!$A$4:$R$275,11,FALSE)="","",VLOOKUP(A255,'Charriage - Geschiebehaushalt'!$A$4:$R$275,11,FALSE))</f>
        <v>0.28899999999999998</v>
      </c>
      <c r="U255" s="876" t="str">
        <f>IF(VLOOKUP(A255,'Charriage - Geschiebehaushalt'!$A$4:$R$275,12,FALSE)="","",VLOOKUP(A255,'Charriage - Geschiebehaushalt'!$A$4:$R$275,12,FALSE))</f>
        <v>déficit dans les formations pionnières</v>
      </c>
      <c r="V255" s="877" t="str">
        <f>IF(VLOOKUP(A255,'Charriage - Geschiebehaushalt'!$A$4:$R$275,13,FALSE)="","",VLOOKUP(A255,'Charriage - Geschiebehaushalt'!$A$4:$R$275,13,FALSE))</f>
        <v/>
      </c>
      <c r="W255" s="877" t="str">
        <f>IF(VLOOKUP(A255,'Charriage - Geschiebehaushalt'!$A$4:$R$275,14,FALSE)="","",VLOOKUP(A255,'Charriage - Geschiebehaushalt'!$A$4:$R$275,14,FALSE))</f>
        <v/>
      </c>
      <c r="X255" s="877" t="str">
        <f>IF(VLOOKUP(A255,'Charriage - Geschiebehaushalt'!$A$4:$R$275,15,FALSE)="","",VLOOKUP(A255,'Charriage - Geschiebehaushalt'!$A$4:$R$275,15,FALSE))</f>
        <v/>
      </c>
      <c r="Y255" s="879" t="str">
        <f>IF(VLOOKUP(A255,'Charriage - Geschiebehaushalt'!$A$4:$R$275,16,FALSE)="","",VLOOKUP(A255,'Charriage - Geschiebehaushalt'!$A$4:$R$275,16,FALSE))</f>
        <v/>
      </c>
      <c r="Z255" s="763" t="str">
        <f>IF(VLOOKUP(A255,'Charriage - Geschiebehaushalt'!$A$4:$R$275,17,FALSE)="","",VLOOKUP(A255,'Charriage - Geschiebehaushalt'!$A$4:$R$275,17,FALSE))</f>
        <v>Charriage présumé naturel / Geschiebehaushalt vermutlich natürlich</v>
      </c>
      <c r="AA255" s="880" t="str">
        <f>IF(VLOOKUP(A255,'Charriage - Geschiebehaushalt'!$A$4:$R$275,18,FALSE)="","",VLOOKUP(A255,'Charriage - Geschiebehaushalt'!$A$4:$R$275,18,FALSE))</f>
        <v>a</v>
      </c>
      <c r="AB255" s="737" t="str">
        <f>IF(VLOOKUP(A255,'Charriage - Geschiebehaushalt'!$A$4:$AC$275,19,FALSE)="","",VLOOKUP(A255,'Charriage - Geschiebehaushalt'!$A$4:$AC$275,19,FALSE))</f>
        <v>-</v>
      </c>
      <c r="AC255" s="738">
        <f>IF(VLOOKUP(A255,'Charriage - Geschiebehaushalt'!$A$4:$AC$275,20,FALSE)="","",VLOOKUP(A255,'Charriage - Geschiebehaushalt'!$A$4:$AC$275,20,FALSE))</f>
        <v>0</v>
      </c>
      <c r="AD255" s="764" t="str">
        <f>IF(VLOOKUP(A255,'Charriage - Geschiebehaushalt'!$A$4:$AC$275,21,FALSE)="","",VLOOKUP(A255,'Charriage - Geschiebehaushalt'!$A$4:$AC$275,21,FALSE))</f>
        <v/>
      </c>
      <c r="AE255" s="772" t="str">
        <f>IF(VLOOKUP(A255,'Charriage - Geschiebehaushalt'!$A$4:$AC$275,22,FALSE)="","",VLOOKUP(A255,'Charriage - Geschiebehaushalt'!$A$4:$AC$275,22,FALSE))</f>
        <v>0-20%</v>
      </c>
      <c r="AF255" s="787" t="str">
        <f>IF(VLOOKUP(A255,'Charriage - Geschiebehaushalt'!$A$4:$AC$275,23,FALSE)="","",VLOOKUP(A255,'Charriage - Geschiebehaushalt'!$A$4:$AC$275,23,FALSE))</f>
        <v>a</v>
      </c>
      <c r="AG255" s="765" t="str">
        <f>IF(VLOOKUP(A255,'Charriage - Geschiebehaushalt'!$A$4:$AC$275,24,FALSE)="","",VLOOKUP(A255,'Charriage - Geschiebehaushalt'!$A$4:$AC$275,24,FALSE))</f>
        <v/>
      </c>
      <c r="AH255" s="764" t="str">
        <f>IF(VLOOKUP(A255,'Charriage - Geschiebehaushalt'!$A$4:$AC$275,25,FALSE)="","",VLOOKUP(A255,'Charriage - Geschiebehaushalt'!$A$4:$AC$275,25,FALSE))</f>
        <v/>
      </c>
      <c r="AI255" s="435" t="str">
        <f>IF(VLOOKUP(A255,'Charriage - Geschiebehaushalt'!$A$4:$AC$275,26,FALSE)="","",VLOOKUP(A255,'Charriage - Geschiebehaushalt'!$A$4:$AC$275,26,FALSE))</f>
        <v/>
      </c>
      <c r="AJ255" s="436" t="str">
        <f>IF(VLOOKUP(A255,'Charriage - Geschiebehaushalt'!$A$4:$AC$275,27,FALSE)="","",VLOOKUP(A255,'Charriage - Geschiebehaushalt'!$A$4:$AC$275,27,FALSE))</f>
        <v/>
      </c>
      <c r="AK255" s="814" t="str">
        <f>IF(VLOOKUP(A255,'Charriage - Geschiebehaushalt'!$A$4:$AC$275,28,FALSE)="","",VLOOKUP(A255,'Charriage - Geschiebehaushalt'!$A$4:$AC$275,28,FALSE))</f>
        <v>0-20%</v>
      </c>
      <c r="AL255" s="1285" t="str">
        <f>IF(VLOOKUP(A255,'Charriage - Geschiebehaushalt'!$A$4:$AD$275,30,FALSE)="","",VLOOKUP(A255,'Charriage - Geschiebehaushalt'!$A$4:$AD$275,30,FALSE))</f>
        <v>a</v>
      </c>
      <c r="AM255" s="1279" t="str">
        <f>IF(VLOOKUP(A255,'Débit - Abfluss'!$A$4:$K$275,5,FALSE)="","",VLOOKUP(A255,'Débit - Abfluss'!$A$4:$M$275,5,FALSE))</f>
        <v>21-40%</v>
      </c>
      <c r="AN255" s="868" t="str">
        <f>IF(VLOOKUP(A255,'Débit - Abfluss'!$A$4:$K$275,6,FALSE)="","",VLOOKUP(A255,'Débit - Abfluss'!$A$4:$M$275,6,FALSE))</f>
        <v/>
      </c>
      <c r="AO255" s="869" t="str">
        <f>IF(VLOOKUP(A255,'Débit - Abfluss'!$A$4:$K$275,7,FALSE)="","",VLOOKUP(A255,'Débit - Abfluss'!$A$4:$M$275,7,FALSE))</f>
        <v/>
      </c>
      <c r="AP255" s="766" t="str">
        <f>IF(VLOOKUP(A255,'Débit - Abfluss'!$A$4:$K$275,8,FALSE)="","",VLOOKUP(A255,'Débit - Abfluss'!$A$4:$M$275,8,FALSE))</f>
        <v>21-40%</v>
      </c>
      <c r="AQ255" s="678" t="str">
        <f>IF(VLOOKUP(A255,'Débit - Abfluss'!$A$4:$K$275,9,FALSE)="","",VLOOKUP(A255,'Débit - Abfluss'!$A$4:$M$275,9,FALSE))</f>
        <v>Fehlende Angaben</v>
      </c>
      <c r="AR255" s="773" t="str">
        <f>IF(VLOOKUP(A255,'Débit - Abfluss'!$A$4:$K$275,10,FALSE)="","",VLOOKUP(A255,'Débit - Abfluss'!$A$4:$M$275,10,FALSE))</f>
        <v>21-40%</v>
      </c>
      <c r="AS255" s="767" t="str">
        <f>IF(VLOOKUP(A255,'Débit - Abfluss'!$A$4:$K$275,11,FALSE)="","",VLOOKUP(A255,'Débit - Abfluss'!$A$4:$M$275,11,FALSE))</f>
        <v/>
      </c>
      <c r="AT255" s="778" t="str">
        <f>IF(VLOOKUP(A255,'Débit - Abfluss'!$A$4:$Q$275,12,FALSE)="","",VLOOKUP(A255,'Débit - Abfluss'!$A$4:$Q$275,12,FALSE))</f>
        <v/>
      </c>
      <c r="AU255" s="779" t="str">
        <f>IF(VLOOKUP(A255,'Débit - Abfluss'!$A$4:$Q$275,13,FALSE)="","",VLOOKUP(A255,'Débit - Abfluss'!$A$4:$Q$275,13,FALSE))</f>
        <v/>
      </c>
      <c r="AV255" s="746" t="str">
        <f>IF(VLOOKUP(A255,'Débit - Abfluss'!$A$4:$Q$275,14,FALSE)="","",VLOOKUP(A255,'Débit - Abfluss'!$A$4:$Q$275,14,FALSE))</f>
        <v>GR-KVR1-14</v>
      </c>
      <c r="AW255" s="768" t="str">
        <f>IF(VLOOKUP(A255,'Débit - Abfluss'!$A$4:$Q$275,15,FALSE)="","",VLOOKUP(A255,'Débit - Abfluss'!$A$4:$Q$275,15,FALSE))</f>
        <v>Sedrun</v>
      </c>
      <c r="AX255" s="679" t="str">
        <f>IF(VLOOKUP(A255,'Débit - Abfluss'!$A$4:$Q$275,16,FALSE)="","",VLOOKUP(A255,'Débit - Abfluss'!$A$4:$Q$275,16,FALSE))</f>
        <v/>
      </c>
      <c r="AY255" s="775" t="str">
        <f>IF(VLOOKUP(A255,'Débit - Abfluss'!$A$4:$Q$275,17,FALSE)="","",VLOOKUP(A255,'Débit - Abfluss'!$A$4:$Q$275,17,FALSE))</f>
        <v>21-40%</v>
      </c>
      <c r="AZ255" s="749" t="str">
        <f>IF(VLOOKUP(A255,'Eclusée - Schwall-Sunk'!$A$2:$F$273,5,FALSE)="","",VLOOKUP(A255,'Eclusée - Schwall-Sunk'!$A$2:$F$273,5,FALSE))</f>
        <v>force hydraulique</v>
      </c>
      <c r="BA255" s="750" t="str">
        <f>IF(VLOOKUP(A255,'Eclusée - Schwall-Sunk'!$A$2:$F$273,6,FALSE)="","",VLOOKUP(A255,'Eclusée - Schwall-Sunk'!$A$2:$F$273,6,FALSE))</f>
        <v>Non affecté / nicht betroffen</v>
      </c>
      <c r="BB255" s="751" t="str">
        <f>IF(VLOOKUP(A255,'Revitalisation-Revitalisierung'!$A$4:$Z$275,5,FALSE)="","",VLOOKUP(A255,'Revitalisation-Revitalisierung'!$A$4:$Z$275,5,FALSE))</f>
        <v/>
      </c>
      <c r="BC255" s="752" t="str">
        <f>IF(VLOOKUP(A255,'Revitalisation-Revitalisierung'!$A$4:$Z$275,6,FALSE)="","",VLOOKUP(A255,'Revitalisation-Revitalisierung'!$A$4:$Z$275,6,FALSE))</f>
        <v/>
      </c>
      <c r="BD255" s="752" t="str">
        <f>IF(VLOOKUP(A255,'Revitalisation-Revitalisierung'!$A$4:$Z$275,7,FALSE)="","",VLOOKUP(A255,'Revitalisation-Revitalisierung'!$A$4:$Z$275,7,FALSE))</f>
        <v/>
      </c>
      <c r="BE255" s="753" t="str">
        <f>IF(VLOOKUP(A255,'Revitalisation-Revitalisierung'!$A$4:$Z$275,8,FALSE)="","",VLOOKUP(A255,'Revitalisation-Revitalisierung'!$A$4:$Z$275,8,FALSE))</f>
        <v>non nécessaire</v>
      </c>
      <c r="BF255" s="754" t="str">
        <f>IF(VLOOKUP(A255,'Revitalisation-Revitalisierung'!$A$4:$Z$275,9,FALSE)="","",VLOOKUP(A255,'Revitalisation-Revitalisierung'!$A$4:$Z$275,9,FALSE))</f>
        <v>nicht nötig</v>
      </c>
      <c r="BG255" s="754" t="str">
        <f>IF(VLOOKUP(A255,'Revitalisation-Revitalisierung'!$A$4:$Z$275,10,FALSE)="","",VLOOKUP(A255,'Revitalisation-Revitalisierung'!$A$4:$Z$275,10,FALSE))</f>
        <v/>
      </c>
      <c r="BH255" s="755" t="str">
        <f>IF(VLOOKUP(A255,'Revitalisation-Revitalisierung'!$A$4:$Z$275,11,FALSE)="","",VLOOKUP(A255,'Revitalisation-Revitalisierung'!$A$4:$Z$275,11,FALSE))</f>
        <v/>
      </c>
      <c r="BI255" s="756" t="str">
        <f>IF(VLOOKUP(A255,'Revitalisation-Revitalisierung'!$A$4:$Z$275,12,FALSE)="","",VLOOKUP(A255,'Revitalisation-Revitalisierung'!$A$4:$Z$275,12,FALSE))</f>
        <v/>
      </c>
      <c r="BJ255" s="788" t="str">
        <f>IF(VLOOKUP(A255,'Revitalisation-Revitalisierung'!$A$4:$Z$275,13,FALSE)="","",VLOOKUP(A255,'Revitalisation-Revitalisierung'!$A$4:$Z$275,13,FALSE))</f>
        <v>Non nécessaire / nicht nötig</v>
      </c>
      <c r="BK255" s="870" t="str">
        <f>IF(VLOOKUP(A255,'Revitalisation-Revitalisierung'!$A$4:$Z$275,14,FALSE)="","",VLOOKUP(A255,'Revitalisation-Revitalisierung'!$A$4:$Z$275,14,FALSE))</f>
        <v>a</v>
      </c>
      <c r="BL255" s="758" t="str">
        <f>IF(VLOOKUP(A255,'Revitalisation-Revitalisierung'!$A$4:$Z$275,15,FALSE)="","",VLOOKUP(A255,'Revitalisation-Revitalisierung'!$A$4:$Z$275,15,FALSE))</f>
        <v>gross</v>
      </c>
      <c r="BM255" s="759" t="str">
        <f>IF(VLOOKUP(A255,'Revitalisation-Revitalisierung'!$A$4:$Z$275,16,FALSE)="","",VLOOKUP(A255,'Revitalisation-Revitalisierung'!$A$4:$Z$275,16,FALSE))</f>
        <v>kein/nicht best.</v>
      </c>
      <c r="BN255" s="759" t="str">
        <f>IF(VLOOKUP(A255,'Revitalisation-Revitalisierung'!$A$4:$Z$275,17,FALSE)="","",VLOOKUP(A255,'Revitalisation-Revitalisierung'!$A$4:$Z$275,17,FALSE))</f>
        <v>gering</v>
      </c>
      <c r="BO255" s="760" t="str">
        <f>IF(VLOOKUP(A255,'Revitalisation-Revitalisierung'!$A$4:$Z$275,18,FALSE)="","",VLOOKUP(A255,'Revitalisation-Revitalisierung'!$A$4:$Z$275,18,FALSE))</f>
        <v>Non nécessaire / nicht nötig</v>
      </c>
      <c r="BP255" s="761" t="str">
        <f>IF(VLOOKUP(A255,'Revitalisation-Revitalisierung'!$A$4:$Z$275,19,FALSE)="","",VLOOKUP(A255,'Revitalisation-Revitalisierung'!$A$4:$Z$275,19,FALSE))</f>
        <v>Non nécessaire / nicht nötig</v>
      </c>
      <c r="BQ255" s="759" t="str">
        <f>IF(VLOOKUP(A255,'Revitalisation-Revitalisierung'!$A$4:$Z$275,20,FALSE)="","",VLOOKUP(A255,'Revitalisation-Revitalisierung'!$A$4:$Z$275,20,FALSE))</f>
        <v>d</v>
      </c>
      <c r="BR255" s="759" t="str">
        <f>IF(VLOOKUP(A255,'Revitalisation-Revitalisierung'!$A$4:$Z$275,21,FALSE)="","",VLOOKUP(A255,'Revitalisation-Revitalisierung'!$A$4:$Z$275,21,FALSE))</f>
        <v/>
      </c>
      <c r="BS255" s="762" t="str">
        <f>IF(VLOOKUP(A255,'Revitalisation-Revitalisierung'!$A$4:$Z$275,22,FALSE)="","",VLOOKUP(A255,'Revitalisation-Revitalisierung'!$A$4:$Z$275,22,FALSE))</f>
        <v/>
      </c>
      <c r="BT255" s="700" t="str">
        <f>IF(VLOOKUP(A255,'Revitalisation-Revitalisierung'!$A$4:$Z$275,23,FALSE)="","",VLOOKUP(A255,'Revitalisation-Revitalisierung'!$A$4:$Z$275,23,FALSE))</f>
        <v/>
      </c>
      <c r="BU255" s="699" t="str">
        <f>IF(VLOOKUP(A255,'Revitalisation-Revitalisierung'!$A$4:$Z$275,24,FALSE)="","",VLOOKUP(A255,'Revitalisation-Revitalisierung'!$A$4:$Z$275,24,FALSE))</f>
        <v/>
      </c>
      <c r="BV255" s="761" t="str">
        <f>IF(VLOOKUP(A255,'Revitalisation-Revitalisierung'!$A$4:$Z$275,25,FALSE)="","",VLOOKUP(A255,'Revitalisation-Revitalisierung'!$A$4:$Z$275,25,FALSE))</f>
        <v>Non nécessaire / nicht nötig</v>
      </c>
      <c r="BW255" s="871" t="str">
        <f>IF(VLOOKUP(A255,'Revitalisation-Revitalisierung'!$A$4:$AA$275,27,FALSE)="","",VLOOKUP(A255,'Revitalisation-Revitalisierung'!$A$4:$AA$275,27,FALSE))</f>
        <v>a</v>
      </c>
    </row>
    <row r="256" spans="1:75" ht="61.15" customHeight="1" x14ac:dyDescent="0.25">
      <c r="A256" s="935">
        <v>380</v>
      </c>
      <c r="B256" s="856">
        <f>IF(VLOOKUP(A256,'Données de base - Grunddaten'!$A$2:$M$297,2,FALSE)="","",VLOOKUP(A256,'Données de base - Grunddaten'!$A$2:$M$297,2,FALSE))</f>
        <v>1</v>
      </c>
      <c r="C256" s="857" t="str">
        <f>IF(VLOOKUP(A256,'Données de base - Grunddaten'!$A$2:$M$297,3,FALSE)="","",VLOOKUP(A256,'Données de base - Grunddaten'!$A$2:$M$297,3,FALSE))</f>
        <v>Alp Val Tenigia</v>
      </c>
      <c r="D256" s="857" t="str">
        <f>IF(VLOOKUP(A256,'Données de base - Grunddaten'!$A$2:$M$297,4,FALSE)="","",VLOOKUP(A256,'Données de base - Grunddaten'!$A$2:$M$297,4,FALSE))</f>
        <v>Rein da Sumvitg</v>
      </c>
      <c r="E256" s="857" t="str">
        <f>IF(VLOOKUP(A256,'Données de base - Grunddaten'!$A$2:$M$297,5,FALSE)="","",VLOOKUP(A256,'Données de base - Grunddaten'!$A$2:$M$297,5,FALSE))</f>
        <v>GR</v>
      </c>
      <c r="F256" s="857" t="str">
        <f>IF(VLOOKUP(A256,'Données de base - Grunddaten'!$A$2:$M$297,6,FALSE)="","",VLOOKUP(A256,'Données de base - Grunddaten'!$A$2:$M$297,6,FALSE))</f>
        <v>Alpes centrales orientales</v>
      </c>
      <c r="G256" s="857" t="str">
        <f>IF(VLOOKUP(A256,'Données de base - Grunddaten'!$A$2:$M$297,7,FALSE)="","",VLOOKUP(A256,'Données de base - Grunddaten'!$A$2:$M$297,7,FALSE))</f>
        <v>Subalpin inf.</v>
      </c>
      <c r="H256" s="857">
        <f>IF(VLOOKUP(A256,'Données de base - Grunddaten'!$A$2:$M$297,8,FALSE)="","",VLOOKUP(A256,'Données de base - Grunddaten'!$A$2:$M$297,8,FALSE))</f>
        <v>1320</v>
      </c>
      <c r="I256" s="857">
        <f>IF(VLOOKUP(A256,'Données de base - Grunddaten'!$A$2:$M$297,9,FALSE)="","",VLOOKUP(A256,'Données de base - Grunddaten'!$A$2:$M$297,9,FALSE))</f>
        <v>2003</v>
      </c>
      <c r="J256" s="857">
        <f>IF(VLOOKUP(A256,'Données de base - Grunddaten'!$A$2:$M$297,10,FALSE)="","",VLOOKUP(A256,'Données de base - Grunddaten'!$A$2:$M$297,10,FALSE))</f>
        <v>31</v>
      </c>
      <c r="K256" s="857" t="str">
        <f>IF(VLOOKUP(A256,'Données de base - Grunddaten'!$A$2:$M$297,11,FALSE)="","",VLOOKUP(A256,'Données de base - Grunddaten'!$A$2:$M$297,11,FALSE))</f>
        <v>Cours d'eau naturels de l'étage subalpin</v>
      </c>
      <c r="L256" s="857" t="str">
        <f>IF(VLOOKUP(A256,'Données de base - Grunddaten'!$A$2:$M$297,12,FALSE)="","",VLOOKUP(A256,'Données de base - Grunddaten'!$A$2:$M$297,12,FALSE))</f>
        <v>en tresses</v>
      </c>
      <c r="M256" s="858" t="str">
        <f>IF(VLOOKUP(A256,'Données de base - Grunddaten'!$A$2:$M$297,13,FALSE)="","",VLOOKUP(A256,'Données de base - Grunddaten'!$A$2:$M$297,13,FALSE))</f>
        <v>en tresses</v>
      </c>
      <c r="N256" s="872" t="str">
        <f>IF(VLOOKUP(A256,'Charriage - Geschiebehaushalt'!$A$4:$R$275,5,FALSE)="","",VLOOKUP(A256,'Charriage - Geschiebehaushalt'!$A$4:$R$275,5,FALSE))</f>
        <v>pertinent</v>
      </c>
      <c r="O256" s="873" t="str">
        <f>IF(VLOOKUP(A256,'Charriage - Geschiebehaushalt'!$A$4:$R$275,6,FALSE)="","",VLOOKUP(A256,'Charriage - Geschiebehaushalt'!$A$4:$R$275,6,FALSE))</f>
        <v>0-20%</v>
      </c>
      <c r="P256" s="874" t="str">
        <f>IF(VLOOKUP(A256,'Charriage - Geschiebehaushalt'!$A$4:$R$275,7,FALSE)="","",VLOOKUP(A256,'Charriage - Geschiebehaushalt'!$A$4:$R$275,7,FALSE))</f>
        <v/>
      </c>
      <c r="Q256" s="874" t="str">
        <f>IF(VLOOKUP(A256,'Charriage - Geschiebehaushalt'!$A$4:$R$275,8,FALSE)="","",VLOOKUP(A256,'Charriage - Geschiebehaushalt'!$A$4:$R$275,8,FALSE))</f>
        <v>non documenté</v>
      </c>
      <c r="R256" s="875">
        <f>IF(VLOOKUP(A256,'Charriage - Geschiebehaushalt'!$A$4:$R$275,9,FALSE)="","",VLOOKUP(A256,'Charriage - Geschiebehaushalt'!$A$4:$R$275,9,FALSE))</f>
        <v>0</v>
      </c>
      <c r="S256" s="876" t="str">
        <f>IF(VLOOKUP(A256,'Charriage - Geschiebehaushalt'!$A$4:$R$275,10,FALSE)="","",VLOOKUP(A256,'Charriage - Geschiebehaushalt'!$A$4:$R$275,10,FALSE))</f>
        <v>pas ou faiblement entravé</v>
      </c>
      <c r="T256" s="875">
        <f>IF(VLOOKUP(A256,'Charriage - Geschiebehaushalt'!$A$4:$R$275,11,FALSE)="","",VLOOKUP(A256,'Charriage - Geschiebehaushalt'!$A$4:$R$275,11,FALSE))</f>
        <v>0.31474372327</v>
      </c>
      <c r="U256" s="876" t="str">
        <f>IF(VLOOKUP(A256,'Charriage - Geschiebehaushalt'!$A$4:$R$275,12,FALSE)="","",VLOOKUP(A256,'Charriage - Geschiebehaushalt'!$A$4:$R$275,12,FALSE))</f>
        <v>déficit dans les formations pionnières</v>
      </c>
      <c r="V256" s="877" t="str">
        <f>IF(VLOOKUP(A256,'Charriage - Geschiebehaushalt'!$A$4:$R$275,13,FALSE)="","",VLOOKUP(A256,'Charriage - Geschiebehaushalt'!$A$4:$R$275,13,FALSE))</f>
        <v/>
      </c>
      <c r="W256" s="877" t="str">
        <f>IF(VLOOKUP(A256,'Charriage - Geschiebehaushalt'!$A$4:$R$275,14,FALSE)="","",VLOOKUP(A256,'Charriage - Geschiebehaushalt'!$A$4:$R$275,14,FALSE))</f>
        <v/>
      </c>
      <c r="X256" s="877" t="str">
        <f>IF(VLOOKUP(A256,'Charriage - Geschiebehaushalt'!$A$4:$R$275,15,FALSE)="","",VLOOKUP(A256,'Charriage - Geschiebehaushalt'!$A$4:$R$275,15,FALSE))</f>
        <v/>
      </c>
      <c r="Y256" s="879" t="str">
        <f>IF(VLOOKUP(A256,'Charriage - Geschiebehaushalt'!$A$4:$R$275,16,FALSE)="","",VLOOKUP(A256,'Charriage - Geschiebehaushalt'!$A$4:$R$275,16,FALSE))</f>
        <v/>
      </c>
      <c r="Z256" s="763" t="str">
        <f>IF(VLOOKUP(A256,'Charriage - Geschiebehaushalt'!$A$4:$R$275,17,FALSE)="","",VLOOKUP(A256,'Charriage - Geschiebehaushalt'!$A$4:$R$275,17,FALSE))</f>
        <v>0-20%</v>
      </c>
      <c r="AA256" s="880" t="str">
        <f>IF(VLOOKUP(A256,'Charriage - Geschiebehaushalt'!$A$4:$R$275,18,FALSE)="","",VLOOKUP(A256,'Charriage - Geschiebehaushalt'!$A$4:$R$275,18,FALSE))</f>
        <v>a</v>
      </c>
      <c r="AB256" s="737" t="str">
        <f>IF(VLOOKUP(A256,'Charriage - Geschiebehaushalt'!$A$4:$AC$275,19,FALSE)="","",VLOOKUP(A256,'Charriage - Geschiebehaushalt'!$A$4:$AC$275,19,FALSE))</f>
        <v>-</v>
      </c>
      <c r="AC256" s="738">
        <f>IF(VLOOKUP(A256,'Charriage - Geschiebehaushalt'!$A$4:$AC$275,20,FALSE)="","",VLOOKUP(A256,'Charriage - Geschiebehaushalt'!$A$4:$AC$275,20,FALSE))</f>
        <v>0</v>
      </c>
      <c r="AD256" s="764" t="str">
        <f>IF(VLOOKUP(A256,'Charriage - Geschiebehaushalt'!$A$4:$AC$275,21,FALSE)="","",VLOOKUP(A256,'Charriage - Geschiebehaushalt'!$A$4:$AC$275,21,FALSE))</f>
        <v/>
      </c>
      <c r="AE256" s="772" t="str">
        <f>IF(VLOOKUP(A256,'Charriage - Geschiebehaushalt'!$A$4:$AC$275,22,FALSE)="","",VLOOKUP(A256,'Charriage - Geschiebehaushalt'!$A$4:$AC$275,22,FALSE))</f>
        <v>0-20%</v>
      </c>
      <c r="AF256" s="787" t="str">
        <f>IF(VLOOKUP(A256,'Charriage - Geschiebehaushalt'!$A$4:$AC$275,23,FALSE)="","",VLOOKUP(A256,'Charriage - Geschiebehaushalt'!$A$4:$AC$275,23,FALSE))</f>
        <v>a</v>
      </c>
      <c r="AG256" s="765" t="str">
        <f>IF(VLOOKUP(A256,'Charriage - Geschiebehaushalt'!$A$4:$AC$275,24,FALSE)="","",VLOOKUP(A256,'Charriage - Geschiebehaushalt'!$A$4:$AC$275,24,FALSE))</f>
        <v/>
      </c>
      <c r="AH256" s="764" t="str">
        <f>IF(VLOOKUP(A256,'Charriage - Geschiebehaushalt'!$A$4:$AC$275,25,FALSE)="","",VLOOKUP(A256,'Charriage - Geschiebehaushalt'!$A$4:$AC$275,25,FALSE))</f>
        <v/>
      </c>
      <c r="AI256" s="435" t="str">
        <f>IF(VLOOKUP(A256,'Charriage - Geschiebehaushalt'!$A$4:$AC$275,26,FALSE)="","",VLOOKUP(A256,'Charriage - Geschiebehaushalt'!$A$4:$AC$275,26,FALSE))</f>
        <v/>
      </c>
      <c r="AJ256" s="436" t="str">
        <f>IF(VLOOKUP(A256,'Charriage - Geschiebehaushalt'!$A$4:$AC$275,27,FALSE)="","",VLOOKUP(A256,'Charriage - Geschiebehaushalt'!$A$4:$AC$275,27,FALSE))</f>
        <v/>
      </c>
      <c r="AK256" s="814" t="str">
        <f>IF(VLOOKUP(A256,'Charriage - Geschiebehaushalt'!$A$4:$AC$275,28,FALSE)="","",VLOOKUP(A256,'Charriage - Geschiebehaushalt'!$A$4:$AC$275,28,FALSE))</f>
        <v>0-20%</v>
      </c>
      <c r="AL256" s="1285" t="str">
        <f>IF(VLOOKUP(A256,'Charriage - Geschiebehaushalt'!$A$4:$AD$275,30,FALSE)="","",VLOOKUP(A256,'Charriage - Geschiebehaushalt'!$A$4:$AD$275,30,FALSE))</f>
        <v>a</v>
      </c>
      <c r="AM256" s="1279" t="str">
        <f>IF(VLOOKUP(A256,'Débit - Abfluss'!$A$4:$K$275,5,FALSE)="","",VLOOKUP(A256,'Débit - Abfluss'!$A$4:$M$275,5,FALSE))</f>
        <v>100%</v>
      </c>
      <c r="AN256" s="868" t="str">
        <f>IF(VLOOKUP(A256,'Débit - Abfluss'!$A$4:$K$275,6,FALSE)="","",VLOOKUP(A256,'Débit - Abfluss'!$A$4:$M$275,6,FALSE))</f>
        <v>aucune information supplémentaire</v>
      </c>
      <c r="AO256" s="869" t="str">
        <f>IF(VLOOKUP(A256,'Débit - Abfluss'!$A$4:$K$275,7,FALSE)="","",VLOOKUP(A256,'Débit - Abfluss'!$A$4:$M$275,7,FALSE))</f>
        <v>aucune information supplémentaire</v>
      </c>
      <c r="AP256" s="766" t="str">
        <f>IF(VLOOKUP(A256,'Débit - Abfluss'!$A$4:$K$275,8,FALSE)="","",VLOOKUP(A256,'Débit - Abfluss'!$A$4:$M$275,8,FALSE))</f>
        <v>100%</v>
      </c>
      <c r="AQ256" s="742" t="str">
        <f>IF(VLOOKUP(A256,'Débit - Abfluss'!$A$4:$K$275,9,FALSE)="","",VLOOKUP(A256,'Débit - Abfluss'!$A$4:$M$275,9,FALSE))</f>
        <v>-</v>
      </c>
      <c r="AR256" s="767" t="str">
        <f>IF(VLOOKUP(A256,'Débit - Abfluss'!$A$4:$K$275,10,FALSE)="","",VLOOKUP(A256,'Débit - Abfluss'!$A$4:$M$275,10,FALSE))</f>
        <v>100%</v>
      </c>
      <c r="AS256" s="767" t="str">
        <f>IF(VLOOKUP(A256,'Débit - Abfluss'!$A$4:$K$275,11,FALSE)="","",VLOOKUP(A256,'Débit - Abfluss'!$A$4:$M$275,11,FALSE))</f>
        <v/>
      </c>
      <c r="AT256" s="778" t="str">
        <f>IF(VLOOKUP(A256,'Débit - Abfluss'!$A$4:$Q$275,12,FALSE)="","",VLOOKUP(A256,'Débit - Abfluss'!$A$4:$Q$275,12,FALSE))</f>
        <v/>
      </c>
      <c r="AU256" s="779" t="str">
        <f>IF(VLOOKUP(A256,'Débit - Abfluss'!$A$4:$Q$275,13,FALSE)="","",VLOOKUP(A256,'Débit - Abfluss'!$A$4:$Q$275,13,FALSE))</f>
        <v/>
      </c>
      <c r="AV256" s="746" t="str">
        <f>IF(VLOOKUP(A256,'Débit - Abfluss'!$A$4:$Q$275,14,FALSE)="","",VLOOKUP(A256,'Débit - Abfluss'!$A$4:$Q$275,14,FALSE))</f>
        <v/>
      </c>
      <c r="AW256" s="768" t="str">
        <f>IF(VLOOKUP(A256,'Débit - Abfluss'!$A$4:$Q$275,15,FALSE)="","",VLOOKUP(A256,'Débit - Abfluss'!$A$4:$Q$275,15,FALSE))</f>
        <v/>
      </c>
      <c r="AX256" s="679" t="str">
        <f>IF(VLOOKUP(A256,'Débit - Abfluss'!$A$4:$Q$275,16,FALSE)="","",VLOOKUP(A256,'Débit - Abfluss'!$A$4:$Q$275,16,FALSE))</f>
        <v/>
      </c>
      <c r="AY256" s="769" t="str">
        <f>IF(VLOOKUP(A256,'Débit - Abfluss'!$A$4:$Q$275,17,FALSE)="","",VLOOKUP(A256,'Débit - Abfluss'!$A$4:$Q$275,17,FALSE))</f>
        <v>100%</v>
      </c>
      <c r="AZ256" s="749" t="str">
        <f>IF(VLOOKUP(A256,'Eclusée - Schwall-Sunk'!$A$2:$F$273,5,FALSE)="","",VLOOKUP(A256,'Eclusée - Schwall-Sunk'!$A$2:$F$273,5,FALSE))</f>
        <v/>
      </c>
      <c r="BA256" s="750" t="str">
        <f>IF(VLOOKUP(A256,'Eclusée - Schwall-Sunk'!$A$2:$F$273,6,FALSE)="","",VLOOKUP(A256,'Eclusée - Schwall-Sunk'!$A$2:$F$273,6,FALSE))</f>
        <v>Non affecté / nicht betroffen</v>
      </c>
      <c r="BB256" s="751">
        <f>IF(VLOOKUP(A256,'Revitalisation-Revitalisierung'!$A$4:$Z$275,5,FALSE)="","",VLOOKUP(A256,'Revitalisation-Revitalisierung'!$A$4:$Z$275,5,FALSE))</f>
        <v>-5.4545454545454541</v>
      </c>
      <c r="BC256" s="752">
        <f>IF(VLOOKUP(A256,'Revitalisation-Revitalisierung'!$A$4:$Z$275,6,FALSE)="","",VLOOKUP(A256,'Revitalisation-Revitalisierung'!$A$4:$Z$275,6,FALSE))</f>
        <v>0</v>
      </c>
      <c r="BD256" s="752">
        <f>IF(VLOOKUP(A256,'Revitalisation-Revitalisierung'!$A$4:$Z$275,7,FALSE)="","",VLOOKUP(A256,'Revitalisation-Revitalisierung'!$A$4:$Z$275,7,FALSE))</f>
        <v>5.4545454545454541</v>
      </c>
      <c r="BE256" s="753" t="str">
        <f>IF(VLOOKUP(A256,'Revitalisation-Revitalisierung'!$A$4:$Z$275,8,FALSE)="","",VLOOKUP(A256,'Revitalisation-Revitalisierung'!$A$4:$Z$275,8,FALSE))</f>
        <v>non nécessaire</v>
      </c>
      <c r="BF256" s="754" t="str">
        <f>IF(VLOOKUP(A256,'Revitalisation-Revitalisierung'!$A$4:$Z$275,9,FALSE)="","",VLOOKUP(A256,'Revitalisation-Revitalisierung'!$A$4:$Z$275,9,FALSE))</f>
        <v>nicht nötig</v>
      </c>
      <c r="BG256" s="754" t="str">
        <f>IF(VLOOKUP(A256,'Revitalisation-Revitalisierung'!$A$4:$Z$275,10,FALSE)="","",VLOOKUP(A256,'Revitalisation-Revitalisierung'!$A$4:$Z$275,10,FALSE))</f>
        <v>K2</v>
      </c>
      <c r="BH256" s="755" t="str">
        <f>IF(VLOOKUP(A256,'Revitalisation-Revitalisierung'!$A$4:$Z$275,11,FALSE)="","",VLOOKUP(A256,'Revitalisation-Revitalisierung'!$A$4:$Z$275,11,FALSE))</f>
        <v/>
      </c>
      <c r="BI256" s="756" t="str">
        <f>IF(VLOOKUP(A256,'Revitalisation-Revitalisierung'!$A$4:$Z$275,12,FALSE)="","",VLOOKUP(A256,'Revitalisation-Revitalisierung'!$A$4:$Z$275,12,FALSE))</f>
        <v/>
      </c>
      <c r="BJ256" s="788" t="str">
        <f>IF(VLOOKUP(A256,'Revitalisation-Revitalisierung'!$A$4:$Z$275,13,FALSE)="","",VLOOKUP(A256,'Revitalisation-Revitalisierung'!$A$4:$Z$275,13,FALSE))</f>
        <v>Non nécessaire / nicht nötig</v>
      </c>
      <c r="BK256" s="870" t="str">
        <f>IF(VLOOKUP(A256,'Revitalisation-Revitalisierung'!$A$4:$Z$275,14,FALSE)="","",VLOOKUP(A256,'Revitalisation-Revitalisierung'!$A$4:$Z$275,14,FALSE))</f>
        <v>a</v>
      </c>
      <c r="BL256" s="758" t="str">
        <f>IF(VLOOKUP(A256,'Revitalisation-Revitalisierung'!$A$4:$Z$275,15,FALSE)="","",VLOOKUP(A256,'Revitalisation-Revitalisierung'!$A$4:$Z$275,15,FALSE))</f>
        <v>gross</v>
      </c>
      <c r="BM256" s="759" t="str">
        <f>IF(VLOOKUP(A256,'Revitalisation-Revitalisierung'!$A$4:$Z$275,16,FALSE)="","",VLOOKUP(A256,'Revitalisation-Revitalisierung'!$A$4:$Z$275,16,FALSE))</f>
        <v>kein/nicht best.</v>
      </c>
      <c r="BN256" s="759" t="str">
        <f>IF(VLOOKUP(A256,'Revitalisation-Revitalisierung'!$A$4:$Z$275,17,FALSE)="","",VLOOKUP(A256,'Revitalisation-Revitalisierung'!$A$4:$Z$275,17,FALSE))</f>
        <v>gering</v>
      </c>
      <c r="BO256" s="760" t="str">
        <f>IF(VLOOKUP(A256,'Revitalisation-Revitalisierung'!$A$4:$Z$275,18,FALSE)="","",VLOOKUP(A256,'Revitalisation-Revitalisierung'!$A$4:$Z$275,18,FALSE))</f>
        <v>Non nécessaire / nicht nötig</v>
      </c>
      <c r="BP256" s="761" t="str">
        <f>IF(VLOOKUP(A256,'Revitalisation-Revitalisierung'!$A$4:$Z$275,19,FALSE)="","",VLOOKUP(A256,'Revitalisation-Revitalisierung'!$A$4:$Z$275,19,FALSE))</f>
        <v>Non nécessaire / nicht nötig</v>
      </c>
      <c r="BQ256" s="759" t="str">
        <f>IF(VLOOKUP(A256,'Revitalisation-Revitalisierung'!$A$4:$Z$275,20,FALSE)="","",VLOOKUP(A256,'Revitalisation-Revitalisierung'!$A$4:$Z$275,20,FALSE))</f>
        <v>d</v>
      </c>
      <c r="BR256" s="759" t="str">
        <f>IF(VLOOKUP(A256,'Revitalisation-Revitalisierung'!$A$4:$Z$275,21,FALSE)="","",VLOOKUP(A256,'Revitalisation-Revitalisierung'!$A$4:$Z$275,21,FALSE))</f>
        <v/>
      </c>
      <c r="BS256" s="762" t="str">
        <f>IF(VLOOKUP(A256,'Revitalisation-Revitalisierung'!$A$4:$Z$275,22,FALSE)="","",VLOOKUP(A256,'Revitalisation-Revitalisierung'!$A$4:$Z$275,22,FALSE))</f>
        <v/>
      </c>
      <c r="BT256" s="700" t="str">
        <f>IF(VLOOKUP(A256,'Revitalisation-Revitalisierung'!$A$4:$Z$275,23,FALSE)="","",VLOOKUP(A256,'Revitalisation-Revitalisierung'!$A$4:$Z$275,23,FALSE))</f>
        <v/>
      </c>
      <c r="BU256" s="699" t="str">
        <f>IF(VLOOKUP(A256,'Revitalisation-Revitalisierung'!$A$4:$Z$275,24,FALSE)="","",VLOOKUP(A256,'Revitalisation-Revitalisierung'!$A$4:$Z$275,24,FALSE))</f>
        <v/>
      </c>
      <c r="BV256" s="761" t="str">
        <f>IF(VLOOKUP(A256,'Revitalisation-Revitalisierung'!$A$4:$Z$275,25,FALSE)="","",VLOOKUP(A256,'Revitalisation-Revitalisierung'!$A$4:$Z$275,25,FALSE))</f>
        <v>Non nécessaire / nicht nötig</v>
      </c>
      <c r="BW256" s="871" t="str">
        <f>IF(VLOOKUP(A256,'Revitalisation-Revitalisierung'!$A$4:$AA$275,27,FALSE)="","",VLOOKUP(A256,'Revitalisation-Revitalisierung'!$A$4:$AA$275,27,FALSE))</f>
        <v>a</v>
      </c>
    </row>
    <row r="257" spans="1:75" ht="72.599999999999994" customHeight="1" x14ac:dyDescent="0.25">
      <c r="A257" s="938">
        <v>381</v>
      </c>
      <c r="B257" s="856">
        <f>IF(VLOOKUP(A257,'Données de base - Grunddaten'!$A$2:$M$297,2,FALSE)="","",VLOOKUP(A257,'Données de base - Grunddaten'!$A$2:$M$297,2,FALSE))</f>
        <v>1</v>
      </c>
      <c r="C257" s="857" t="str">
        <f>IF(VLOOKUP(A257,'Données de base - Grunddaten'!$A$2:$M$297,3,FALSE)="","",VLOOKUP(A257,'Données de base - Grunddaten'!$A$2:$M$297,3,FALSE))</f>
        <v>L'ogna da Trun</v>
      </c>
      <c r="D257" s="857" t="str">
        <f>IF(VLOOKUP(A257,'Données de base - Grunddaten'!$A$2:$M$297,4,FALSE)="","",VLOOKUP(A257,'Données de base - Grunddaten'!$A$2:$M$297,4,FALSE))</f>
        <v>Vorderrhein</v>
      </c>
      <c r="E257" s="857" t="str">
        <f>IF(VLOOKUP(A257,'Données de base - Grunddaten'!$A$2:$M$297,5,FALSE)="","",VLOOKUP(A257,'Données de base - Grunddaten'!$A$2:$M$297,5,FALSE))</f>
        <v>GR</v>
      </c>
      <c r="F257" s="857" t="str">
        <f>IF(VLOOKUP(A257,'Données de base - Grunddaten'!$A$2:$M$297,6,FALSE)="","",VLOOKUP(A257,'Données de base - Grunddaten'!$A$2:$M$297,6,FALSE))</f>
        <v>Alpes centrales orientales</v>
      </c>
      <c r="G257" s="857" t="str">
        <f>IF(VLOOKUP(A257,'Données de base - Grunddaten'!$A$2:$M$297,7,FALSE)="","",VLOOKUP(A257,'Données de base - Grunddaten'!$A$2:$M$297,7,FALSE))</f>
        <v>Montagnard inf.</v>
      </c>
      <c r="H257" s="857" t="str">
        <f>IF(VLOOKUP(A257,'Données de base - Grunddaten'!$A$2:$M$297,8,FALSE)="","",VLOOKUP(A257,'Données de base - Grunddaten'!$A$2:$M$297,8,FALSE))</f>
        <v>840 m</v>
      </c>
      <c r="I257" s="857" t="str">
        <f>IF(VLOOKUP(A257,'Données de base - Grunddaten'!$A$2:$M$297,9,FALSE)="","",VLOOKUP(A257,'Données de base - Grunddaten'!$A$2:$M$297,9,FALSE))</f>
        <v>candidat</v>
      </c>
      <c r="J257" s="857">
        <f>IF(VLOOKUP(A257,'Données de base - Grunddaten'!$A$2:$M$297,10,FALSE)="","",VLOOKUP(A257,'Données de base - Grunddaten'!$A$2:$M$297,10,FALSE))</f>
        <v>41</v>
      </c>
      <c r="K257" s="857" t="str">
        <f>IF(VLOOKUP(A257,'Données de base - Grunddaten'!$A$2:$M$297,11,FALSE)="","",VLOOKUP(A257,'Données de base - Grunddaten'!$A$2:$M$297,11,FALSE))</f>
        <v>Cours d'eau naturels de l'étage montagnard</v>
      </c>
      <c r="L257" s="857" t="str">
        <f>IF(VLOOKUP(A257,'Données de base - Grunddaten'!$A$2:$M$297,12,FALSE)="","",VLOOKUP(A257,'Données de base - Grunddaten'!$A$2:$M$297,12,FALSE))</f>
        <v>en tresses</v>
      </c>
      <c r="M257" s="858" t="str">
        <f>IF(VLOOKUP(A257,'Données de base - Grunddaten'!$A$2:$M$297,13,FALSE)="","",VLOOKUP(A257,'Données de base - Grunddaten'!$A$2:$M$297,13,FALSE))</f>
        <v>en tresses</v>
      </c>
      <c r="N257" s="872" t="str">
        <f>IF(VLOOKUP(A257,'Charriage - Geschiebehaushalt'!$A$4:$R$275,5,FALSE)="","",VLOOKUP(A257,'Charriage - Geschiebehaushalt'!$A$4:$R$275,5,FALSE))</f>
        <v>pertinent</v>
      </c>
      <c r="O257" s="873" t="str">
        <f>IF(VLOOKUP(A257,'Charriage - Geschiebehaushalt'!$A$4:$R$275,6,FALSE)="","",VLOOKUP(A257,'Charriage - Geschiebehaushalt'!$A$4:$R$275,6,FALSE))</f>
        <v>21-50%</v>
      </c>
      <c r="P257" s="874" t="str">
        <f>IF(VLOOKUP(A257,'Charriage - Geschiebehaushalt'!$A$4:$R$275,7,FALSE)="","",VLOOKUP(A257,'Charriage - Geschiebehaushalt'!$A$4:$R$275,7,FALSE))</f>
        <v/>
      </c>
      <c r="Q257" s="874" t="str">
        <f>IF(VLOOKUP(A257,'Charriage - Geschiebehaushalt'!$A$4:$R$275,8,FALSE)="","",VLOOKUP(A257,'Charriage - Geschiebehaushalt'!$A$4:$R$275,8,FALSE))</f>
        <v>non documenté</v>
      </c>
      <c r="R257" s="875">
        <f>IF(VLOOKUP(A257,'Charriage - Geschiebehaushalt'!$A$4:$R$275,9,FALSE)="","",VLOOKUP(A257,'Charriage - Geschiebehaushalt'!$A$4:$R$275,9,FALSE))</f>
        <v>0.41199999999999998</v>
      </c>
      <c r="S257" s="876" t="str">
        <f>IF(VLOOKUP(A257,'Charriage - Geschiebehaushalt'!$A$4:$R$275,10,FALSE)="","",VLOOKUP(A257,'Charriage - Geschiebehaushalt'!$A$4:$R$275,10,FALSE))</f>
        <v>la remobilisation des sédiments est perturbée</v>
      </c>
      <c r="T257" s="875">
        <f>IF(VLOOKUP(A257,'Charriage - Geschiebehaushalt'!$A$4:$R$275,11,FALSE)="","",VLOOKUP(A257,'Charriage - Geschiebehaushalt'!$A$4:$R$275,11,FALSE))</f>
        <v>0.498</v>
      </c>
      <c r="U257" s="876" t="str">
        <f>IF(VLOOKUP(A257,'Charriage - Geschiebehaushalt'!$A$4:$R$275,12,FALSE)="","",VLOOKUP(A257,'Charriage - Geschiebehaushalt'!$A$4:$R$275,12,FALSE))</f>
        <v>déficit dans les formations pionnières</v>
      </c>
      <c r="V257" s="877" t="str">
        <f>IF(VLOOKUP(A257,'Charriage - Geschiebehaushalt'!$A$4:$R$275,13,FALSE)="","",VLOOKUP(A257,'Charriage - Geschiebehaushalt'!$A$4:$R$275,13,FALSE))</f>
        <v/>
      </c>
      <c r="W257" s="877" t="str">
        <f>IF(VLOOKUP(A257,'Charriage - Geschiebehaushalt'!$A$4:$R$275,14,FALSE)="","",VLOOKUP(A257,'Charriage - Geschiebehaushalt'!$A$4:$R$275,14,FALSE))</f>
        <v/>
      </c>
      <c r="X257" s="877" t="str">
        <f>IF(VLOOKUP(A257,'Charriage - Geschiebehaushalt'!$A$4:$R$275,15,FALSE)="","",VLOOKUP(A257,'Charriage - Geschiebehaushalt'!$A$4:$R$275,15,FALSE))</f>
        <v/>
      </c>
      <c r="Y257" s="879" t="str">
        <f>IF(VLOOKUP(A257,'Charriage - Geschiebehaushalt'!$A$4:$R$275,16,FALSE)="","",VLOOKUP(A257,'Charriage - Geschiebehaushalt'!$A$4:$R$275,16,FALSE))</f>
        <v/>
      </c>
      <c r="Z257" s="763" t="str">
        <f>IF(VLOOKUP(A257,'Charriage - Geschiebehaushalt'!$A$4:$R$275,17,FALSE)="","",VLOOKUP(A257,'Charriage - Geschiebehaushalt'!$A$4:$R$275,17,FALSE))</f>
        <v>21-50%</v>
      </c>
      <c r="AA257" s="880" t="str">
        <f>IF(VLOOKUP(A257,'Charriage - Geschiebehaushalt'!$A$4:$R$275,18,FALSE)="","",VLOOKUP(A257,'Charriage - Geschiebehaushalt'!$A$4:$R$275,18,FALSE))</f>
        <v>a</v>
      </c>
      <c r="AB257" s="737" t="str">
        <f>IF(VLOOKUP(A257,'Charriage - Geschiebehaushalt'!$A$4:$AC$275,19,FALSE)="","",VLOOKUP(A257,'Charriage - Geschiebehaushalt'!$A$4:$AC$275,19,FALSE))</f>
        <v>vernachlässigbar</v>
      </c>
      <c r="AC257" s="738">
        <f>IF(VLOOKUP(A257,'Charriage - Geschiebehaushalt'!$A$4:$AC$275,20,FALSE)="","",VLOOKUP(A257,'Charriage - Geschiebehaushalt'!$A$4:$AC$275,20,FALSE))</f>
        <v>0</v>
      </c>
      <c r="AD257" s="764" t="str">
        <f>IF(VLOOKUP(A257,'Charriage - Geschiebehaushalt'!$A$4:$AC$275,21,FALSE)="","",VLOOKUP(A257,'Charriage - Geschiebehaushalt'!$A$4:$AC$275,21,FALSE))</f>
        <v>21-50%</v>
      </c>
      <c r="AE257" s="772" t="str">
        <f>IF(VLOOKUP(A257,'Charriage - Geschiebehaushalt'!$A$4:$AC$275,22,FALSE)="","",VLOOKUP(A257,'Charriage - Geschiebehaushalt'!$A$4:$AC$275,22,FALSE))</f>
        <v>21-50%</v>
      </c>
      <c r="AF257" s="787" t="str">
        <f>IF(VLOOKUP(A257,'Charriage - Geschiebehaushalt'!$A$4:$AC$275,23,FALSE)="","",VLOOKUP(A257,'Charriage - Geschiebehaushalt'!$A$4:$AC$275,23,FALSE))</f>
        <v>d</v>
      </c>
      <c r="AG257" s="765" t="str">
        <f>IF(VLOOKUP(A257,'Charriage - Geschiebehaushalt'!$A$4:$AC$275,24,FALSE)="","",VLOOKUP(A257,'Charriage - Geschiebehaushalt'!$A$4:$AC$275,24,FALSE))</f>
        <v/>
      </c>
      <c r="AH257" s="764" t="str">
        <f>IF(VLOOKUP(A257,'Charriage - Geschiebehaushalt'!$A$4:$AC$275,25,FALSE)="","",VLOOKUP(A257,'Charriage - Geschiebehaushalt'!$A$4:$AC$275,25,FALSE))</f>
        <v/>
      </c>
      <c r="AI257" s="435" t="str">
        <f>IF(VLOOKUP(A257,'Charriage - Geschiebehaushalt'!$A$4:$AC$275,26,FALSE)="","",VLOOKUP(A257,'Charriage - Geschiebehaushalt'!$A$4:$AC$275,26,FALSE))</f>
        <v/>
      </c>
      <c r="AJ257" s="436" t="str">
        <f>IF(VLOOKUP(A257,'Charriage - Geschiebehaushalt'!$A$4:$AC$275,27,FALSE)="","",VLOOKUP(A257,'Charriage - Geschiebehaushalt'!$A$4:$AC$275,27,FALSE))</f>
        <v/>
      </c>
      <c r="AK257" s="814" t="str">
        <f>IF(VLOOKUP(A257,'Charriage - Geschiebehaushalt'!$A$4:$AC$275,28,FALSE)="","",VLOOKUP(A257,'Charriage - Geschiebehaushalt'!$A$4:$AC$275,28,FALSE))</f>
        <v>21-50%</v>
      </c>
      <c r="AL257" s="1285" t="str">
        <f>IF(VLOOKUP(A257,'Charriage - Geschiebehaushalt'!$A$4:$AD$275,30,FALSE)="","",VLOOKUP(A257,'Charriage - Geschiebehaushalt'!$A$4:$AD$275,30,FALSE))</f>
        <v>a</v>
      </c>
      <c r="AM257" s="1279" t="str">
        <f>IF(VLOOKUP(A257,'Débit - Abfluss'!$A$4:$K$275,5,FALSE)="","",VLOOKUP(A257,'Débit - Abfluss'!$A$4:$M$275,5,FALSE))</f>
        <v>21-40%</v>
      </c>
      <c r="AN257" s="868" t="str">
        <f>IF(VLOOKUP(A257,'Débit - Abfluss'!$A$4:$K$275,6,FALSE)="","",VLOOKUP(A257,'Débit - Abfluss'!$A$4:$M$275,6,FALSE))</f>
        <v/>
      </c>
      <c r="AO257" s="869" t="str">
        <f>IF(VLOOKUP(A257,'Débit - Abfluss'!$A$4:$K$275,7,FALSE)="","",VLOOKUP(A257,'Débit - Abfluss'!$A$4:$M$275,7,FALSE))</f>
        <v/>
      </c>
      <c r="AP257" s="766" t="str">
        <f>IF(VLOOKUP(A257,'Débit - Abfluss'!$A$4:$K$275,8,FALSE)="","",VLOOKUP(A257,'Débit - Abfluss'!$A$4:$M$275,8,FALSE))</f>
        <v>21-40%</v>
      </c>
      <c r="AQ257" s="678" t="str">
        <f>IF(VLOOKUP(A257,'Débit - Abfluss'!$A$4:$K$275,9,FALSE)="","",VLOOKUP(A257,'Débit - Abfluss'!$A$4:$M$275,9,FALSE))</f>
        <v>Fehlende Angaben</v>
      </c>
      <c r="AR257" s="773" t="str">
        <f>IF(VLOOKUP(A257,'Débit - Abfluss'!$A$4:$K$275,10,FALSE)="","",VLOOKUP(A257,'Débit - Abfluss'!$A$4:$M$275,10,FALSE))</f>
        <v>21-40%</v>
      </c>
      <c r="AS257" s="767" t="str">
        <f>IF(VLOOKUP(A257,'Débit - Abfluss'!$A$4:$K$275,11,FALSE)="","",VLOOKUP(A257,'Débit - Abfluss'!$A$4:$M$275,11,FALSE))</f>
        <v/>
      </c>
      <c r="AT257" s="778" t="str">
        <f>IF(VLOOKUP(A257,'Débit - Abfluss'!$A$4:$Q$275,12,FALSE)="","",VLOOKUP(A257,'Débit - Abfluss'!$A$4:$Q$275,12,FALSE))</f>
        <v/>
      </c>
      <c r="AU257" s="779" t="str">
        <f>IF(VLOOKUP(A257,'Débit - Abfluss'!$A$4:$Q$275,13,FALSE)="","",VLOOKUP(A257,'Débit - Abfluss'!$A$4:$Q$275,13,FALSE))</f>
        <v/>
      </c>
      <c r="AV257" s="746" t="str">
        <f>IF(VLOOKUP(A257,'Débit - Abfluss'!$A$4:$Q$275,14,FALSE)="","",VLOOKUP(A257,'Débit - Abfluss'!$A$4:$Q$275,14,FALSE))</f>
        <v>GR-KVR3-4</v>
      </c>
      <c r="AW257" s="768" t="str">
        <f>IF(VLOOKUP(A257,'Débit - Abfluss'!$A$4:$Q$275,15,FALSE)="","",VLOOKUP(A257,'Débit - Abfluss'!$A$4:$Q$275,15,FALSE))</f>
        <v>Tavanasa</v>
      </c>
      <c r="AX257" s="679" t="str">
        <f>IF(VLOOKUP(A257,'Débit - Abfluss'!$A$4:$Q$275,16,FALSE)="","",VLOOKUP(A257,'Débit - Abfluss'!$A$4:$Q$275,16,FALSE))</f>
        <v/>
      </c>
      <c r="AY257" s="775" t="str">
        <f>IF(VLOOKUP(A257,'Débit - Abfluss'!$A$4:$Q$275,17,FALSE)="","",VLOOKUP(A257,'Débit - Abfluss'!$A$4:$Q$275,17,FALSE))</f>
        <v>21-40%</v>
      </c>
      <c r="AZ257" s="749" t="str">
        <f>IF(VLOOKUP(A257,'Eclusée - Schwall-Sunk'!$A$2:$F$273,5,FALSE)="","",VLOOKUP(A257,'Eclusée - Schwall-Sunk'!$A$2:$F$273,5,FALSE))</f>
        <v>force hydraulique</v>
      </c>
      <c r="BA257" s="750" t="str">
        <f>IF(VLOOKUP(A257,'Eclusée - Schwall-Sunk'!$A$2:$F$273,6,FALSE)="","",VLOOKUP(A257,'Eclusée - Schwall-Sunk'!$A$2:$F$273,6,FALSE))</f>
        <v>Potentiellement affecté / möglicherweise betroffen</v>
      </c>
      <c r="BB257" s="751" t="str">
        <f>IF(VLOOKUP(A257,'Revitalisation-Revitalisierung'!$A$4:$Z$275,5,FALSE)="","",VLOOKUP(A257,'Revitalisation-Revitalisierung'!$A$4:$Z$275,5,FALSE))</f>
        <v/>
      </c>
      <c r="BC257" s="752" t="str">
        <f>IF(VLOOKUP(A257,'Revitalisation-Revitalisierung'!$A$4:$Z$275,6,FALSE)="","",VLOOKUP(A257,'Revitalisation-Revitalisierung'!$A$4:$Z$275,6,FALSE))</f>
        <v/>
      </c>
      <c r="BD257" s="752" t="str">
        <f>IF(VLOOKUP(A257,'Revitalisation-Revitalisierung'!$A$4:$Z$275,7,FALSE)="","",VLOOKUP(A257,'Revitalisation-Revitalisierung'!$A$4:$Z$275,7,FALSE))</f>
        <v/>
      </c>
      <c r="BE257" s="753" t="str">
        <f>IF(VLOOKUP(A257,'Revitalisation-Revitalisierung'!$A$4:$Z$275,8,FALSE)="","",VLOOKUP(A257,'Revitalisation-Revitalisierung'!$A$4:$Z$275,8,FALSE))</f>
        <v/>
      </c>
      <c r="BF257" s="754" t="str">
        <f>IF(VLOOKUP(A257,'Revitalisation-Revitalisierung'!$A$4:$Z$275,9,FALSE)="","",VLOOKUP(A257,'Revitalisation-Revitalisierung'!$A$4:$Z$275,9,FALSE))</f>
        <v/>
      </c>
      <c r="BG257" s="754" t="str">
        <f>IF(VLOOKUP(A257,'Revitalisation-Revitalisierung'!$A$4:$Z$275,10,FALSE)="","",VLOOKUP(A257,'Revitalisation-Revitalisierung'!$A$4:$Z$275,10,FALSE))</f>
        <v/>
      </c>
      <c r="BH257" s="755" t="str">
        <f>IF(VLOOKUP(A257,'Revitalisation-Revitalisierung'!$A$4:$Z$275,11,FALSE)="","",VLOOKUP(A257,'Revitalisation-Revitalisierung'!$A$4:$Z$275,11,FALSE))</f>
        <v>très nécessaire, difficile</v>
      </c>
      <c r="BI257" s="756" t="str">
        <f>IF(VLOOKUP(A257,'Revitalisation-Revitalisierung'!$A$4:$Z$275,12,FALSE)="","",VLOOKUP(A257,'Revitalisation-Revitalisierung'!$A$4:$Z$275,12,FALSE))</f>
        <v>pas évalué : beau potentiel car système encore fonctionnel (bcp bois tendre) mais longue entrave entre cours d'eau et z. alluviale</v>
      </c>
      <c r="BJ257" s="788" t="str">
        <f>IF(VLOOKUP(A257,'Revitalisation-Revitalisierung'!$A$4:$Z$275,13,FALSE)="","",VLOOKUP(A257,'Revitalisation-Revitalisierung'!$A$4:$Z$275,13,FALSE))</f>
        <v>Très nécessaire, difficile / unbedingt nötig, schwierig</v>
      </c>
      <c r="BK257" s="870" t="str">
        <f>IF(VLOOKUP(A257,'Revitalisation-Revitalisierung'!$A$4:$Z$275,14,FALSE)="","",VLOOKUP(A257,'Revitalisation-Revitalisierung'!$A$4:$Z$275,14,FALSE))</f>
        <v>a</v>
      </c>
      <c r="BL257" s="758" t="str">
        <f>IF(VLOOKUP(A257,'Revitalisation-Revitalisierung'!$A$4:$Z$275,15,FALSE)="","",VLOOKUP(A257,'Revitalisation-Revitalisierung'!$A$4:$Z$275,15,FALSE))</f>
        <v>gross</v>
      </c>
      <c r="BM257" s="759" t="str">
        <f>IF(VLOOKUP(A257,'Revitalisation-Revitalisierung'!$A$4:$Z$275,16,FALSE)="","",VLOOKUP(A257,'Revitalisation-Revitalisierung'!$A$4:$Z$275,16,FALSE))</f>
        <v>gross/mittel</v>
      </c>
      <c r="BN257" s="759" t="str">
        <f>IF(VLOOKUP(A257,'Revitalisation-Revitalisierung'!$A$4:$Z$275,17,FALSE)="","",VLOOKUP(A257,'Revitalisation-Revitalisierung'!$A$4:$Z$275,17,FALSE))</f>
        <v>hoch</v>
      </c>
      <c r="BO257" s="760" t="str">
        <f>IF(VLOOKUP(A257,'Revitalisation-Revitalisierung'!$A$4:$Z$275,18,FALSE)="","",VLOOKUP(A257,'Revitalisation-Revitalisierung'!$A$4:$Z$275,18,FALSE))</f>
        <v>Très nécessaire, difficile / unbedingt nötig, schwierig</v>
      </c>
      <c r="BP257" s="761" t="str">
        <f>IF(VLOOKUP(A257,'Revitalisation-Revitalisierung'!$A$4:$Z$275,19,FALSE)="","",VLOOKUP(A257,'Revitalisation-Revitalisierung'!$A$4:$Z$275,19,FALSE))</f>
        <v>Très nécessaire, difficile / unbedingt nötig, schwierig</v>
      </c>
      <c r="BQ257" s="759" t="str">
        <f>IF(VLOOKUP(A257,'Revitalisation-Revitalisierung'!$A$4:$Z$275,20,FALSE)="","",VLOOKUP(A257,'Revitalisation-Revitalisierung'!$A$4:$Z$275,20,FALSE))</f>
        <v>d</v>
      </c>
      <c r="BR257" s="759" t="str">
        <f>IF(VLOOKUP(A257,'Revitalisation-Revitalisierung'!$A$4:$Z$275,21,FALSE)="","",VLOOKUP(A257,'Revitalisation-Revitalisierung'!$A$4:$Z$275,21,FALSE))</f>
        <v/>
      </c>
      <c r="BS257" s="762" t="str">
        <f>IF(VLOOKUP(A257,'Revitalisation-Revitalisierung'!$A$4:$Z$275,22,FALSE)="","",VLOOKUP(A257,'Revitalisation-Revitalisierung'!$A$4:$Z$275,22,FALSE))</f>
        <v/>
      </c>
      <c r="BT257" s="700" t="str">
        <f>IF(VLOOKUP(A257,'Revitalisation-Revitalisierung'!$A$4:$Z$275,23,FALSE)="","",VLOOKUP(A257,'Revitalisation-Revitalisierung'!$A$4:$Z$275,23,FALSE))</f>
        <v/>
      </c>
      <c r="BU257" s="699" t="str">
        <f>IF(VLOOKUP(A257,'Revitalisation-Revitalisierung'!$A$4:$Z$275,24,FALSE)="","",VLOOKUP(A257,'Revitalisation-Revitalisierung'!$A$4:$Z$275,24,FALSE))</f>
        <v/>
      </c>
      <c r="BV257" s="761" t="str">
        <f>IF(VLOOKUP(A257,'Revitalisation-Revitalisierung'!$A$4:$Z$275,25,FALSE)="","",VLOOKUP(A257,'Revitalisation-Revitalisierung'!$A$4:$Z$275,25,FALSE))</f>
        <v>Très nécessaire, difficile / unbedingt nötig, schwierig</v>
      </c>
      <c r="BW257" s="871" t="str">
        <f>IF(VLOOKUP(A257,'Revitalisation-Revitalisierung'!$A$4:$AA$275,27,FALSE)="","",VLOOKUP(A257,'Revitalisation-Revitalisierung'!$A$4:$AA$275,27,FALSE))</f>
        <v>a</v>
      </c>
    </row>
    <row r="258" spans="1:75" ht="90" customHeight="1" x14ac:dyDescent="0.25">
      <c r="A258" s="938">
        <v>382</v>
      </c>
      <c r="B258" s="856">
        <f>IF(VLOOKUP(A258,'Données de base - Grunddaten'!$A$2:$M$297,2,FALSE)="","",VLOOKUP(A258,'Données de base - Grunddaten'!$A$2:$M$297,2,FALSE))</f>
        <v>1</v>
      </c>
      <c r="C258" s="857" t="str">
        <f>IF(VLOOKUP(A258,'Données de base - Grunddaten'!$A$2:$M$297,3,FALSE)="","",VLOOKUP(A258,'Données de base - Grunddaten'!$A$2:$M$297,3,FALSE))</f>
        <v>Surin-Lumbrein</v>
      </c>
      <c r="D258" s="857" t="str">
        <f>IF(VLOOKUP(A258,'Données de base - Grunddaten'!$A$2:$M$297,4,FALSE)="","",VLOOKUP(A258,'Données de base - Grunddaten'!$A$2:$M$297,4,FALSE))</f>
        <v>Glogn Glenner</v>
      </c>
      <c r="E258" s="857" t="str">
        <f>IF(VLOOKUP(A258,'Données de base - Grunddaten'!$A$2:$M$297,5,FALSE)="","",VLOOKUP(A258,'Données de base - Grunddaten'!$A$2:$M$297,5,FALSE))</f>
        <v>GR</v>
      </c>
      <c r="F258" s="857" t="str">
        <f>IF(VLOOKUP(A258,'Données de base - Grunddaten'!$A$2:$M$297,6,FALSE)="","",VLOOKUP(A258,'Données de base - Grunddaten'!$A$2:$M$297,6,FALSE))</f>
        <v>Alpes centrales orientales</v>
      </c>
      <c r="G258" s="857" t="str">
        <f>IF(VLOOKUP(A258,'Données de base - Grunddaten'!$A$2:$M$297,7,FALSE)="","",VLOOKUP(A258,'Données de base - Grunddaten'!$A$2:$M$297,7,FALSE))</f>
        <v>Montagnard sup.</v>
      </c>
      <c r="H258" s="857" t="str">
        <f>IF(VLOOKUP(A258,'Données de base - Grunddaten'!$A$2:$M$297,8,FALSE)="","",VLOOKUP(A258,'Données de base - Grunddaten'!$A$2:$M$297,8,FALSE))</f>
        <v>1160 m</v>
      </c>
      <c r="I258" s="857" t="str">
        <f>IF(VLOOKUP(A258,'Données de base - Grunddaten'!$A$2:$M$297,9,FALSE)="","",VLOOKUP(A258,'Données de base - Grunddaten'!$A$2:$M$297,9,FALSE))</f>
        <v>candidat</v>
      </c>
      <c r="J258" s="857">
        <f>IF(VLOOKUP(A258,'Données de base - Grunddaten'!$A$2:$M$297,10,FALSE)="","",VLOOKUP(A258,'Données de base - Grunddaten'!$A$2:$M$297,10,FALSE))</f>
        <v>41</v>
      </c>
      <c r="K258" s="857" t="str">
        <f>IF(VLOOKUP(A258,'Données de base - Grunddaten'!$A$2:$M$297,11,FALSE)="","",VLOOKUP(A258,'Données de base - Grunddaten'!$A$2:$M$297,11,FALSE))</f>
        <v>Cours d'eau naturels de l'étage montagnard</v>
      </c>
      <c r="L258" s="857" t="str">
        <f>IF(VLOOKUP(A258,'Données de base - Grunddaten'!$A$2:$M$297,12,FALSE)="","",VLOOKUP(A258,'Données de base - Grunddaten'!$A$2:$M$297,12,FALSE))</f>
        <v>en méandres migrants</v>
      </c>
      <c r="M258" s="858" t="str">
        <f>IF(VLOOKUP(A258,'Données de base - Grunddaten'!$A$2:$M$297,13,FALSE)="","",VLOOKUP(A258,'Données de base - Grunddaten'!$A$2:$M$297,13,FALSE))</f>
        <v>en méandres migrants</v>
      </c>
      <c r="N258" s="872" t="str">
        <f>IF(VLOOKUP(A258,'Charriage - Geschiebehaushalt'!$A$4:$R$275,5,FALSE)="","",VLOOKUP(A258,'Charriage - Geschiebehaushalt'!$A$4:$R$275,5,FALSE))</f>
        <v/>
      </c>
      <c r="O258" s="873" t="str">
        <f>IF(VLOOKUP(A258,'Charriage - Geschiebehaushalt'!$A$4:$R$275,6,FALSE)="","",VLOOKUP(A258,'Charriage - Geschiebehaushalt'!$A$4:$R$275,6,FALSE))</f>
        <v>0-20%</v>
      </c>
      <c r="P258" s="874" t="str">
        <f>IF(VLOOKUP(A258,'Charriage - Geschiebehaushalt'!$A$4:$R$275,7,FALSE)="","",VLOOKUP(A258,'Charriage - Geschiebehaushalt'!$A$4:$R$275,7,FALSE))</f>
        <v/>
      </c>
      <c r="Q258" s="874" t="str">
        <f>IF(VLOOKUP(A258,'Charriage - Geschiebehaushalt'!$A$4:$R$275,8,FALSE)="","",VLOOKUP(A258,'Charriage - Geschiebehaushalt'!$A$4:$R$275,8,FALSE))</f>
        <v>non documenté</v>
      </c>
      <c r="R258" s="875">
        <f>IF(VLOOKUP(A258,'Charriage - Geschiebehaushalt'!$A$4:$R$275,9,FALSE)="","",VLOOKUP(A258,'Charriage - Geschiebehaushalt'!$A$4:$R$275,9,FALSE))</f>
        <v>4.0000000000000001E-3</v>
      </c>
      <c r="S258" s="876" t="str">
        <f>IF(VLOOKUP(A258,'Charriage - Geschiebehaushalt'!$A$4:$R$275,10,FALSE)="","",VLOOKUP(A258,'Charriage - Geschiebehaushalt'!$A$4:$R$275,10,FALSE))</f>
        <v>pas ou faiblement entravé</v>
      </c>
      <c r="T258" s="875">
        <f>IF(VLOOKUP(A258,'Charriage - Geschiebehaushalt'!$A$4:$R$275,11,FALSE)="","",VLOOKUP(A258,'Charriage - Geschiebehaushalt'!$A$4:$R$275,11,FALSE))</f>
        <v>0.30299999999999999</v>
      </c>
      <c r="U258" s="876" t="str">
        <f>IF(VLOOKUP(A258,'Charriage - Geschiebehaushalt'!$A$4:$R$275,12,FALSE)="","",VLOOKUP(A258,'Charriage - Geschiebehaushalt'!$A$4:$R$275,12,FALSE))</f>
        <v>déficit dans les formations pionnières</v>
      </c>
      <c r="V258" s="877" t="str">
        <f>IF(VLOOKUP(A258,'Charriage - Geschiebehaushalt'!$A$4:$R$275,13,FALSE)="","",VLOOKUP(A258,'Charriage - Geschiebehaushalt'!$A$4:$R$275,13,FALSE))</f>
        <v/>
      </c>
      <c r="W258" s="877" t="str">
        <f>IF(VLOOKUP(A258,'Charriage - Geschiebehaushalt'!$A$4:$R$275,14,FALSE)="","",VLOOKUP(A258,'Charriage - Geschiebehaushalt'!$A$4:$R$275,14,FALSE))</f>
        <v/>
      </c>
      <c r="X258" s="877" t="str">
        <f>IF(VLOOKUP(A258,'Charriage - Geschiebehaushalt'!$A$4:$R$275,15,FALSE)="","",VLOOKUP(A258,'Charriage - Geschiebehaushalt'!$A$4:$R$275,15,FALSE))</f>
        <v/>
      </c>
      <c r="Y258" s="879" t="str">
        <f>IF(VLOOKUP(A258,'Charriage - Geschiebehaushalt'!$A$4:$R$275,16,FALSE)="","",VLOOKUP(A258,'Charriage - Geschiebehaushalt'!$A$4:$R$275,16,FALSE))</f>
        <v/>
      </c>
      <c r="Z258" s="763" t="str">
        <f>IF(VLOOKUP(A258,'Charriage - Geschiebehaushalt'!$A$4:$R$275,17,FALSE)="","",VLOOKUP(A258,'Charriage - Geschiebehaushalt'!$A$4:$R$275,17,FALSE))</f>
        <v>0-20%</v>
      </c>
      <c r="AA258" s="880" t="str">
        <f>IF(VLOOKUP(A258,'Charriage - Geschiebehaushalt'!$A$4:$R$275,18,FALSE)="","",VLOOKUP(A258,'Charriage - Geschiebehaushalt'!$A$4:$R$275,18,FALSE))</f>
        <v>a</v>
      </c>
      <c r="AB258" s="737" t="str">
        <f>IF(VLOOKUP(A258,'Charriage - Geschiebehaushalt'!$A$4:$AC$275,19,FALSE)="","",VLOOKUP(A258,'Charriage - Geschiebehaushalt'!$A$4:$AC$275,19,FALSE))</f>
        <v>-</v>
      </c>
      <c r="AC258" s="738">
        <f>IF(VLOOKUP(A258,'Charriage - Geschiebehaushalt'!$A$4:$AC$275,20,FALSE)="","",VLOOKUP(A258,'Charriage - Geschiebehaushalt'!$A$4:$AC$275,20,FALSE))</f>
        <v>0</v>
      </c>
      <c r="AD258" s="764" t="str">
        <f>IF(VLOOKUP(A258,'Charriage - Geschiebehaushalt'!$A$4:$AC$275,21,FALSE)="","",VLOOKUP(A258,'Charriage - Geschiebehaushalt'!$A$4:$AC$275,21,FALSE))</f>
        <v/>
      </c>
      <c r="AE258" s="740" t="str">
        <f>IF(VLOOKUP(A258,'Charriage - Geschiebehaushalt'!$A$4:$AC$275,22,FALSE)="","",VLOOKUP(A258,'Charriage - Geschiebehaushalt'!$A$4:$AC$275,22,FALSE))</f>
        <v>0-20%</v>
      </c>
      <c r="AF258" s="787" t="str">
        <f>IF(VLOOKUP(A258,'Charriage - Geschiebehaushalt'!$A$4:$AC$275,23,FALSE)="","",VLOOKUP(A258,'Charriage - Geschiebehaushalt'!$A$4:$AC$275,23,FALSE))</f>
        <v>a</v>
      </c>
      <c r="AG258" s="765" t="str">
        <f>IF(VLOOKUP(A258,'Charriage - Geschiebehaushalt'!$A$4:$AC$275,24,FALSE)="","",VLOOKUP(A258,'Charriage - Geschiebehaushalt'!$A$4:$AC$275,24,FALSE))</f>
        <v/>
      </c>
      <c r="AH258" s="764" t="str">
        <f>IF(VLOOKUP(A258,'Charriage - Geschiebehaushalt'!$A$4:$AC$275,25,FALSE)="","",VLOOKUP(A258,'Charriage - Geschiebehaushalt'!$A$4:$AC$275,25,FALSE))</f>
        <v/>
      </c>
      <c r="AI258" s="435" t="str">
        <f>IF(VLOOKUP(A258,'Charriage - Geschiebehaushalt'!$A$4:$AC$275,26,FALSE)="","",VLOOKUP(A258,'Charriage - Geschiebehaushalt'!$A$4:$AC$275,26,FALSE))</f>
        <v/>
      </c>
      <c r="AJ258" s="436" t="str">
        <f>IF(VLOOKUP(A258,'Charriage - Geschiebehaushalt'!$A$4:$AC$275,27,FALSE)="","",VLOOKUP(A258,'Charriage - Geschiebehaushalt'!$A$4:$AC$275,27,FALSE))</f>
        <v/>
      </c>
      <c r="AK258" s="801" t="str">
        <f>IF(VLOOKUP(A258,'Charriage - Geschiebehaushalt'!$A$4:$AC$275,28,FALSE)="","",VLOOKUP(A258,'Charriage - Geschiebehaushalt'!$A$4:$AC$275,28,FALSE))</f>
        <v>0-20%</v>
      </c>
      <c r="AL258" s="1285" t="str">
        <f>IF(VLOOKUP(A258,'Charriage - Geschiebehaushalt'!$A$4:$AD$275,30,FALSE)="","",VLOOKUP(A258,'Charriage - Geschiebehaushalt'!$A$4:$AD$275,30,FALSE))</f>
        <v>a</v>
      </c>
      <c r="AM258" s="1279" t="str">
        <f>IF(VLOOKUP(A258,'Débit - Abfluss'!$A$4:$K$275,5,FALSE)="","",VLOOKUP(A258,'Débit - Abfluss'!$A$4:$M$275,5,FALSE))</f>
        <v>non documenté</v>
      </c>
      <c r="AN258" s="868" t="str">
        <f>IF(VLOOKUP(A258,'Débit - Abfluss'!$A$4:$K$275,6,FALSE)="","",VLOOKUP(A258,'Débit - Abfluss'!$A$4:$M$275,6,FALSE))</f>
        <v>aucune information supplémentaire</v>
      </c>
      <c r="AO258" s="869" t="str">
        <f>IF(VLOOKUP(A258,'Débit - Abfluss'!$A$4:$K$275,7,FALSE)="","",VLOOKUP(A258,'Débit - Abfluss'!$A$4:$M$275,7,FALSE))</f>
        <v>aucune information supplémentaire</v>
      </c>
      <c r="AP258" s="766" t="str">
        <f>IF(VLOOKUP(A258,'Débit - Abfluss'!$A$4:$K$275,8,FALSE)="","",VLOOKUP(A258,'Débit - Abfluss'!$A$4:$M$275,8,FALSE))</f>
        <v>Régime présumé naturel (100%) / Abfluss vermutlich natürlich</v>
      </c>
      <c r="AQ258" s="742" t="str">
        <f>IF(VLOOKUP(A258,'Débit - Abfluss'!$A$4:$K$275,9,FALSE)="","",VLOOKUP(A258,'Débit - Abfluss'!$A$4:$M$275,9,FALSE))</f>
        <v>-</v>
      </c>
      <c r="AR258" s="767" t="str">
        <f>IF(VLOOKUP(A258,'Débit - Abfluss'!$A$4:$K$275,10,FALSE)="","",VLOOKUP(A258,'Débit - Abfluss'!$A$4:$M$275,10,FALSE))</f>
        <v>Régime présumé naturel (100%) / Abfluss vermutlich natürlich</v>
      </c>
      <c r="AS258" s="767" t="str">
        <f>IF(VLOOKUP(A258,'Débit - Abfluss'!$A$4:$K$275,11,FALSE)="","",VLOOKUP(A258,'Débit - Abfluss'!$A$4:$M$275,11,FALSE))</f>
        <v/>
      </c>
      <c r="AT258" s="778" t="str">
        <f>IF(VLOOKUP(A258,'Débit - Abfluss'!$A$4:$Q$275,12,FALSE)="","",VLOOKUP(A258,'Débit - Abfluss'!$A$4:$Q$275,12,FALSE))</f>
        <v/>
      </c>
      <c r="AU258" s="779" t="str">
        <f>IF(VLOOKUP(A258,'Débit - Abfluss'!$A$4:$Q$275,13,FALSE)="","",VLOOKUP(A258,'Débit - Abfluss'!$A$4:$Q$275,13,FALSE))</f>
        <v/>
      </c>
      <c r="AV258" s="746" t="str">
        <f>IF(VLOOKUP(A258,'Débit - Abfluss'!$A$4:$Q$275,14,FALSE)="","",VLOOKUP(A258,'Débit - Abfluss'!$A$4:$Q$275,14,FALSE))</f>
        <v/>
      </c>
      <c r="AW258" s="768" t="str">
        <f>IF(VLOOKUP(A258,'Débit - Abfluss'!$A$4:$Q$275,15,FALSE)="","",VLOOKUP(A258,'Débit - Abfluss'!$A$4:$Q$275,15,FALSE))</f>
        <v/>
      </c>
      <c r="AX258" s="682" t="str">
        <f>IF(VLOOKUP(A258,'Débit - Abfluss'!$A$4:$Q$275,16,FALSE)="","",VLOOKUP(A258,'Débit - Abfluss'!$A$4:$Q$275,16,FALSE))</f>
        <v/>
      </c>
      <c r="AY258" s="769" t="str">
        <f>IF(VLOOKUP(A258,'Débit - Abfluss'!$A$4:$Q$275,17,FALSE)="","",VLOOKUP(A258,'Débit - Abfluss'!$A$4:$Q$275,17,FALSE))</f>
        <v>Régime présumé naturel (100%) / Abfluss vermutlich natürlich</v>
      </c>
      <c r="AZ258" s="749" t="str">
        <f>IF(VLOOKUP(A258,'Eclusée - Schwall-Sunk'!$A$2:$F$273,5,FALSE)="","",VLOOKUP(A258,'Eclusée - Schwall-Sunk'!$A$2:$F$273,5,FALSE))</f>
        <v/>
      </c>
      <c r="BA258" s="750" t="str">
        <f>IF(VLOOKUP(A258,'Eclusée - Schwall-Sunk'!$A$2:$F$273,6,FALSE)="","",VLOOKUP(A258,'Eclusée - Schwall-Sunk'!$A$2:$F$273,6,FALSE))</f>
        <v>Non affecté / nicht betroffen</v>
      </c>
      <c r="BB258" s="751" t="str">
        <f>IF(VLOOKUP(A258,'Revitalisation-Revitalisierung'!$A$4:$Z$275,5,FALSE)="","",VLOOKUP(A258,'Revitalisation-Revitalisierung'!$A$4:$Z$275,5,FALSE))</f>
        <v/>
      </c>
      <c r="BC258" s="752" t="str">
        <f>IF(VLOOKUP(A258,'Revitalisation-Revitalisierung'!$A$4:$Z$275,6,FALSE)="","",VLOOKUP(A258,'Revitalisation-Revitalisierung'!$A$4:$Z$275,6,FALSE))</f>
        <v/>
      </c>
      <c r="BD258" s="752" t="str">
        <f>IF(VLOOKUP(A258,'Revitalisation-Revitalisierung'!$A$4:$Z$275,7,FALSE)="","",VLOOKUP(A258,'Revitalisation-Revitalisierung'!$A$4:$Z$275,7,FALSE))</f>
        <v/>
      </c>
      <c r="BE258" s="753" t="str">
        <f>IF(VLOOKUP(A258,'Revitalisation-Revitalisierung'!$A$4:$Z$275,8,FALSE)="","",VLOOKUP(A258,'Revitalisation-Revitalisierung'!$A$4:$Z$275,8,FALSE))</f>
        <v>non nécessaire</v>
      </c>
      <c r="BF258" s="754" t="str">
        <f>IF(VLOOKUP(A258,'Revitalisation-Revitalisierung'!$A$4:$Z$275,9,FALSE)="","",VLOOKUP(A258,'Revitalisation-Revitalisierung'!$A$4:$Z$275,9,FALSE))</f>
        <v>nicht nötig</v>
      </c>
      <c r="BG258" s="754" t="str">
        <f>IF(VLOOKUP(A258,'Revitalisation-Revitalisierung'!$A$4:$Z$275,10,FALSE)="","",VLOOKUP(A258,'Revitalisation-Revitalisierung'!$A$4:$Z$275,10,FALSE))</f>
        <v/>
      </c>
      <c r="BH258" s="755" t="str">
        <f>IF(VLOOKUP(A258,'Revitalisation-Revitalisierung'!$A$4:$Z$275,11,FALSE)="","",VLOOKUP(A258,'Revitalisation-Revitalisierung'!$A$4:$Z$275,11,FALSE))</f>
        <v/>
      </c>
      <c r="BI258" s="756" t="str">
        <f>IF(VLOOKUP(A258,'Revitalisation-Revitalisierung'!$A$4:$Z$275,12,FALSE)="","",VLOOKUP(A258,'Revitalisation-Revitalisierung'!$A$4:$Z$275,12,FALSE))</f>
        <v/>
      </c>
      <c r="BJ258" s="788" t="str">
        <f>IF(VLOOKUP(A258,'Revitalisation-Revitalisierung'!$A$4:$Z$275,13,FALSE)="","",VLOOKUP(A258,'Revitalisation-Revitalisierung'!$A$4:$Z$275,13,FALSE))</f>
        <v>Non nécessaire / nicht nötig</v>
      </c>
      <c r="BK258" s="870" t="str">
        <f>IF(VLOOKUP(A258,'Revitalisation-Revitalisierung'!$A$4:$Z$275,14,FALSE)="","",VLOOKUP(A258,'Revitalisation-Revitalisierung'!$A$4:$Z$275,14,FALSE))</f>
        <v>a</v>
      </c>
      <c r="BL258" s="758" t="str">
        <f>IF(VLOOKUP(A258,'Revitalisation-Revitalisierung'!$A$4:$Z$275,15,FALSE)="","",VLOOKUP(A258,'Revitalisation-Revitalisierung'!$A$4:$Z$275,15,FALSE))</f>
        <v>gross/mittel/minim</v>
      </c>
      <c r="BM258" s="759" t="str">
        <f>IF(VLOOKUP(A258,'Revitalisation-Revitalisierung'!$A$4:$Z$275,16,FALSE)="","",VLOOKUP(A258,'Revitalisation-Revitalisierung'!$A$4:$Z$275,16,FALSE))</f>
        <v>-</v>
      </c>
      <c r="BN258" s="759" t="str">
        <f>IF(VLOOKUP(A258,'Revitalisation-Revitalisierung'!$A$4:$Z$275,17,FALSE)="","",VLOOKUP(A258,'Revitalisation-Revitalisierung'!$A$4:$Z$275,17,FALSE))</f>
        <v>gering</v>
      </c>
      <c r="BO258" s="760" t="str">
        <f>IF(VLOOKUP(A258,'Revitalisation-Revitalisierung'!$A$4:$Z$275,18,FALSE)="","",VLOOKUP(A258,'Revitalisation-Revitalisierung'!$A$4:$Z$275,18,FALSE))</f>
        <v>Non nécessaire / nicht nötig</v>
      </c>
      <c r="BP258" s="761" t="str">
        <f>IF(VLOOKUP(A258,'Revitalisation-Revitalisierung'!$A$4:$Z$275,19,FALSE)="","",VLOOKUP(A258,'Revitalisation-Revitalisierung'!$A$4:$Z$275,19,FALSE))</f>
        <v>Non nécessaire / nicht nötig</v>
      </c>
      <c r="BQ258" s="759" t="str">
        <f>IF(VLOOKUP(A258,'Revitalisation-Revitalisierung'!$A$4:$Z$275,20,FALSE)="","",VLOOKUP(A258,'Revitalisation-Revitalisierung'!$A$4:$Z$275,20,FALSE))</f>
        <v>d</v>
      </c>
      <c r="BR258" s="759" t="str">
        <f>IF(VLOOKUP(A258,'Revitalisation-Revitalisierung'!$A$4:$Z$275,21,FALSE)="","",VLOOKUP(A258,'Revitalisation-Revitalisierung'!$A$4:$Z$275,21,FALSE))</f>
        <v/>
      </c>
      <c r="BS258" s="762" t="str">
        <f>IF(VLOOKUP(A258,'Revitalisation-Revitalisierung'!$A$4:$Z$275,22,FALSE)="","",VLOOKUP(A258,'Revitalisation-Revitalisierung'!$A$4:$Z$275,22,FALSE))</f>
        <v/>
      </c>
      <c r="BT258" s="700" t="str">
        <f>IF(VLOOKUP(A258,'Revitalisation-Revitalisierung'!$A$4:$Z$275,23,FALSE)="","",VLOOKUP(A258,'Revitalisation-Revitalisierung'!$A$4:$Z$275,23,FALSE))</f>
        <v/>
      </c>
      <c r="BU258" s="699" t="str">
        <f>IF(VLOOKUP(A258,'Revitalisation-Revitalisierung'!$A$4:$Z$275,24,FALSE)="","",VLOOKUP(A258,'Revitalisation-Revitalisierung'!$A$4:$Z$275,24,FALSE))</f>
        <v/>
      </c>
      <c r="BV258" s="761" t="str">
        <f>IF(VLOOKUP(A258,'Revitalisation-Revitalisierung'!$A$4:$Z$275,25,FALSE)="","",VLOOKUP(A258,'Revitalisation-Revitalisierung'!$A$4:$Z$275,25,FALSE))</f>
        <v>Non nécessaire / nicht nötig</v>
      </c>
      <c r="BW258" s="871" t="str">
        <f>IF(VLOOKUP(A258,'Revitalisation-Revitalisierung'!$A$4:$AA$275,27,FALSE)="","",VLOOKUP(A258,'Revitalisation-Revitalisierung'!$A$4:$AA$275,27,FALSE))</f>
        <v>a</v>
      </c>
    </row>
    <row r="259" spans="1:75" ht="49.15" customHeight="1" x14ac:dyDescent="0.25">
      <c r="A259" s="938">
        <v>383</v>
      </c>
      <c r="B259" s="856">
        <f>IF(VLOOKUP(A259,'Données de base - Grunddaten'!$A$2:$M$297,2,FALSE)="","",VLOOKUP(A259,'Données de base - Grunddaten'!$A$2:$M$297,2,FALSE))</f>
        <v>1</v>
      </c>
      <c r="C259" s="857" t="str">
        <f>IF(VLOOKUP(A259,'Données de base - Grunddaten'!$A$2:$M$297,3,FALSE)="","",VLOOKUP(A259,'Données de base - Grunddaten'!$A$2:$M$297,3,FALSE))</f>
        <v>Inslas Grogn</v>
      </c>
      <c r="D259" s="857" t="str">
        <f>IF(VLOOKUP(A259,'Données de base - Grunddaten'!$A$2:$M$297,4,FALSE)="","",VLOOKUP(A259,'Données de base - Grunddaten'!$A$2:$M$297,4,FALSE))</f>
        <v>Glogn Glenner</v>
      </c>
      <c r="E259" s="857" t="str">
        <f>IF(VLOOKUP(A259,'Données de base - Grunddaten'!$A$2:$M$297,5,FALSE)="","",VLOOKUP(A259,'Données de base - Grunddaten'!$A$2:$M$297,5,FALSE))</f>
        <v>GR</v>
      </c>
      <c r="F259" s="857" t="str">
        <f>IF(VLOOKUP(A259,'Données de base - Grunddaten'!$A$2:$M$297,6,FALSE)="","",VLOOKUP(A259,'Données de base - Grunddaten'!$A$2:$M$297,6,FALSE))</f>
        <v>Alpes centrales orientales</v>
      </c>
      <c r="G259" s="857" t="str">
        <f>IF(VLOOKUP(A259,'Données de base - Grunddaten'!$A$2:$M$297,7,FALSE)="","",VLOOKUP(A259,'Données de base - Grunddaten'!$A$2:$M$297,7,FALSE))</f>
        <v>Montagnard inf.</v>
      </c>
      <c r="H259" s="857" t="str">
        <f>IF(VLOOKUP(A259,'Données de base - Grunddaten'!$A$2:$M$297,8,FALSE)="","",VLOOKUP(A259,'Données de base - Grunddaten'!$A$2:$M$297,8,FALSE))</f>
        <v>830 m</v>
      </c>
      <c r="I259" s="857" t="str">
        <f>IF(VLOOKUP(A259,'Données de base - Grunddaten'!$A$2:$M$297,9,FALSE)="","",VLOOKUP(A259,'Données de base - Grunddaten'!$A$2:$M$297,9,FALSE))</f>
        <v>candidat</v>
      </c>
      <c r="J259" s="857">
        <f>IF(VLOOKUP(A259,'Données de base - Grunddaten'!$A$2:$M$297,10,FALSE)="","",VLOOKUP(A259,'Données de base - Grunddaten'!$A$2:$M$297,10,FALSE))</f>
        <v>42</v>
      </c>
      <c r="K259" s="857" t="str">
        <f>IF(VLOOKUP(A259,'Données de base - Grunddaten'!$A$2:$M$297,11,FALSE)="","",VLOOKUP(A259,'Données de base - Grunddaten'!$A$2:$M$297,11,FALSE))</f>
        <v>Cours d'eau corrigés de l'étage montagnard</v>
      </c>
      <c r="L259" s="857" t="str">
        <f>IF(VLOOKUP(A259,'Données de base - Grunddaten'!$A$2:$M$297,12,FALSE)="","",VLOOKUP(A259,'Données de base - Grunddaten'!$A$2:$M$297,12,FALSE))</f>
        <v>en méandres migrants</v>
      </c>
      <c r="M259" s="858" t="str">
        <f>IF(VLOOKUP(A259,'Données de base - Grunddaten'!$A$2:$M$297,13,FALSE)="","",VLOOKUP(A259,'Données de base - Grunddaten'!$A$2:$M$297,13,FALSE))</f>
        <v>en méandres migrants</v>
      </c>
      <c r="N259" s="872" t="str">
        <f>IF(VLOOKUP(A259,'Charriage - Geschiebehaushalt'!$A$4:$R$275,5,FALSE)="","",VLOOKUP(A259,'Charriage - Geschiebehaushalt'!$A$4:$R$275,5,FALSE))</f>
        <v>pertinent</v>
      </c>
      <c r="O259" s="873" t="str">
        <f>IF(VLOOKUP(A259,'Charriage - Geschiebehaushalt'!$A$4:$R$275,6,FALSE)="","",VLOOKUP(A259,'Charriage - Geschiebehaushalt'!$A$4:$R$275,6,FALSE))</f>
        <v>0-20%</v>
      </c>
      <c r="P259" s="874" t="str">
        <f>IF(VLOOKUP(A259,'Charriage - Geschiebehaushalt'!$A$4:$R$275,7,FALSE)="","",VLOOKUP(A259,'Charriage - Geschiebehaushalt'!$A$4:$R$275,7,FALSE))</f>
        <v/>
      </c>
      <c r="Q259" s="874" t="str">
        <f>IF(VLOOKUP(A259,'Charriage - Geschiebehaushalt'!$A$4:$R$275,8,FALSE)="","",VLOOKUP(A259,'Charriage - Geschiebehaushalt'!$A$4:$R$275,8,FALSE))</f>
        <v>non documenté</v>
      </c>
      <c r="R259" s="875">
        <f>IF(VLOOKUP(A259,'Charriage - Geschiebehaushalt'!$A$4:$R$275,9,FALSE)="","",VLOOKUP(A259,'Charriage - Geschiebehaushalt'!$A$4:$R$275,9,FALSE))</f>
        <v>0</v>
      </c>
      <c r="S259" s="876" t="str">
        <f>IF(VLOOKUP(A259,'Charriage - Geschiebehaushalt'!$A$4:$R$275,10,FALSE)="","",VLOOKUP(A259,'Charriage - Geschiebehaushalt'!$A$4:$R$275,10,FALSE))</f>
        <v>pas ou faiblement entravé</v>
      </c>
      <c r="T259" s="875">
        <f>IF(VLOOKUP(A259,'Charriage - Geschiebehaushalt'!$A$4:$R$275,11,FALSE)="","",VLOOKUP(A259,'Charriage - Geschiebehaushalt'!$A$4:$R$275,11,FALSE))</f>
        <v>0.30199999999999999</v>
      </c>
      <c r="U259" s="876" t="str">
        <f>IF(VLOOKUP(A259,'Charriage - Geschiebehaushalt'!$A$4:$R$275,12,FALSE)="","",VLOOKUP(A259,'Charriage - Geschiebehaushalt'!$A$4:$R$275,12,FALSE))</f>
        <v>déficit dans les formations pionnières</v>
      </c>
      <c r="V259" s="877" t="str">
        <f>IF(VLOOKUP(A259,'Charriage - Geschiebehaushalt'!$A$4:$R$275,13,FALSE)="","",VLOOKUP(A259,'Charriage - Geschiebehaushalt'!$A$4:$R$275,13,FALSE))</f>
        <v/>
      </c>
      <c r="W259" s="877" t="str">
        <f>IF(VLOOKUP(A259,'Charriage - Geschiebehaushalt'!$A$4:$R$275,14,FALSE)="","",VLOOKUP(A259,'Charriage - Geschiebehaushalt'!$A$4:$R$275,14,FALSE))</f>
        <v/>
      </c>
      <c r="X259" s="877" t="str">
        <f>IF(VLOOKUP(A259,'Charriage - Geschiebehaushalt'!$A$4:$R$275,15,FALSE)="","",VLOOKUP(A259,'Charriage - Geschiebehaushalt'!$A$4:$R$275,15,FALSE))</f>
        <v/>
      </c>
      <c r="Y259" s="879" t="str">
        <f>IF(VLOOKUP(A259,'Charriage - Geschiebehaushalt'!$A$4:$R$275,16,FALSE)="","",VLOOKUP(A259,'Charriage - Geschiebehaushalt'!$A$4:$R$275,16,FALSE))</f>
        <v/>
      </c>
      <c r="Z259" s="763" t="str">
        <f>IF(VLOOKUP(A259,'Charriage - Geschiebehaushalt'!$A$4:$R$275,17,FALSE)="","",VLOOKUP(A259,'Charriage - Geschiebehaushalt'!$A$4:$R$275,17,FALSE))</f>
        <v>0-20%</v>
      </c>
      <c r="AA259" s="880" t="str">
        <f>IF(VLOOKUP(A259,'Charriage - Geschiebehaushalt'!$A$4:$R$275,18,FALSE)="","",VLOOKUP(A259,'Charriage - Geschiebehaushalt'!$A$4:$R$275,18,FALSE))</f>
        <v>a</v>
      </c>
      <c r="AB259" s="737" t="str">
        <f>IF(VLOOKUP(A259,'Charriage - Geschiebehaushalt'!$A$4:$AC$275,19,FALSE)="","",VLOOKUP(A259,'Charriage - Geschiebehaushalt'!$A$4:$AC$275,19,FALSE))</f>
        <v>keine</v>
      </c>
      <c r="AC259" s="738">
        <f>IF(VLOOKUP(A259,'Charriage - Geschiebehaushalt'!$A$4:$AC$275,20,FALSE)="","",VLOOKUP(A259,'Charriage - Geschiebehaushalt'!$A$4:$AC$275,20,FALSE))</f>
        <v>0</v>
      </c>
      <c r="AD259" s="764" t="str">
        <f>IF(VLOOKUP(A259,'Charriage - Geschiebehaushalt'!$A$4:$AC$275,21,FALSE)="","",VLOOKUP(A259,'Charriage - Geschiebehaushalt'!$A$4:$AC$275,21,FALSE))</f>
        <v>0-20%</v>
      </c>
      <c r="AE259" s="740" t="str">
        <f>IF(VLOOKUP(A259,'Charriage - Geschiebehaushalt'!$A$4:$AC$275,22,FALSE)="","",VLOOKUP(A259,'Charriage - Geschiebehaushalt'!$A$4:$AC$275,22,FALSE))</f>
        <v>0-20%</v>
      </c>
      <c r="AF259" s="787" t="str">
        <f>IF(VLOOKUP(A259,'Charriage - Geschiebehaushalt'!$A$4:$AC$275,23,FALSE)="","",VLOOKUP(A259,'Charriage - Geschiebehaushalt'!$A$4:$AC$275,23,FALSE))</f>
        <v>d</v>
      </c>
      <c r="AG259" s="765" t="str">
        <f>IF(VLOOKUP(A259,'Charriage - Geschiebehaushalt'!$A$4:$AC$275,24,FALSE)="","",VLOOKUP(A259,'Charriage - Geschiebehaushalt'!$A$4:$AC$275,24,FALSE))</f>
        <v/>
      </c>
      <c r="AH259" s="764" t="str">
        <f>IF(VLOOKUP(A259,'Charriage - Geschiebehaushalt'!$A$4:$AC$275,25,FALSE)="","",VLOOKUP(A259,'Charriage - Geschiebehaushalt'!$A$4:$AC$275,25,FALSE))</f>
        <v/>
      </c>
      <c r="AI259" s="435" t="str">
        <f>IF(VLOOKUP(A259,'Charriage - Geschiebehaushalt'!$A$4:$AC$275,26,FALSE)="","",VLOOKUP(A259,'Charriage - Geschiebehaushalt'!$A$4:$AC$275,26,FALSE))</f>
        <v/>
      </c>
      <c r="AJ259" s="436" t="str">
        <f>IF(VLOOKUP(A259,'Charriage - Geschiebehaushalt'!$A$4:$AC$275,27,FALSE)="","",VLOOKUP(A259,'Charriage - Geschiebehaushalt'!$A$4:$AC$275,27,FALSE))</f>
        <v/>
      </c>
      <c r="AK259" s="801" t="str">
        <f>IF(VLOOKUP(A259,'Charriage - Geschiebehaushalt'!$A$4:$AC$275,28,FALSE)="","",VLOOKUP(A259,'Charriage - Geschiebehaushalt'!$A$4:$AC$275,28,FALSE))</f>
        <v>0-20%</v>
      </c>
      <c r="AL259" s="1285" t="str">
        <f>IF(VLOOKUP(A259,'Charriage - Geschiebehaushalt'!$A$4:$AD$275,30,FALSE)="","",VLOOKUP(A259,'Charriage - Geschiebehaushalt'!$A$4:$AD$275,30,FALSE))</f>
        <v>a</v>
      </c>
      <c r="AM259" s="1279" t="str">
        <f>IF(VLOOKUP(A259,'Débit - Abfluss'!$A$4:$K$275,5,FALSE)="","",VLOOKUP(A259,'Débit - Abfluss'!$A$4:$M$275,5,FALSE))</f>
        <v>41-60%</v>
      </c>
      <c r="AN259" s="868" t="str">
        <f>IF(VLOOKUP(A259,'Débit - Abfluss'!$A$4:$K$275,6,FALSE)="","",VLOOKUP(A259,'Débit - Abfluss'!$A$4:$M$275,6,FALSE))</f>
        <v/>
      </c>
      <c r="AO259" s="869" t="str">
        <f>IF(VLOOKUP(A259,'Débit - Abfluss'!$A$4:$K$275,7,FALSE)="","",VLOOKUP(A259,'Débit - Abfluss'!$A$4:$M$275,7,FALSE))</f>
        <v/>
      </c>
      <c r="AP259" s="766" t="str">
        <f>IF(VLOOKUP(A259,'Débit - Abfluss'!$A$4:$K$275,8,FALSE)="","",VLOOKUP(A259,'Débit - Abfluss'!$A$4:$M$275,8,FALSE))</f>
        <v>41-60%</v>
      </c>
      <c r="AQ259" s="678" t="str">
        <f>IF(VLOOKUP(A259,'Débit - Abfluss'!$A$4:$K$275,9,FALSE)="","",VLOOKUP(A259,'Débit - Abfluss'!$A$4:$M$275,9,FALSE))</f>
        <v>Fehlende Angaben</v>
      </c>
      <c r="AR259" s="767" t="str">
        <f>IF(VLOOKUP(A259,'Débit - Abfluss'!$A$4:$K$275,10,FALSE)="","",VLOOKUP(A259,'Débit - Abfluss'!$A$4:$M$275,10,FALSE))</f>
        <v>41-60%</v>
      </c>
      <c r="AS259" s="767" t="str">
        <f>IF(VLOOKUP(A259,'Débit - Abfluss'!$A$4:$K$275,11,FALSE)="","",VLOOKUP(A259,'Débit - Abfluss'!$A$4:$M$275,11,FALSE))</f>
        <v/>
      </c>
      <c r="AT259" s="778" t="str">
        <f>IF(VLOOKUP(A259,'Débit - Abfluss'!$A$4:$Q$275,12,FALSE)="","",VLOOKUP(A259,'Débit - Abfluss'!$A$4:$Q$275,12,FALSE))</f>
        <v/>
      </c>
      <c r="AU259" s="779" t="str">
        <f>IF(VLOOKUP(A259,'Débit - Abfluss'!$A$4:$Q$275,13,FALSE)="","",VLOOKUP(A259,'Débit - Abfluss'!$A$4:$Q$275,13,FALSE))</f>
        <v/>
      </c>
      <c r="AV259" s="746" t="str">
        <f>IF(VLOOKUP(A259,'Débit - Abfluss'!$A$4:$Q$275,14,FALSE)="","",VLOOKUP(A259,'Débit - Abfluss'!$A$4:$Q$275,14,FALSE))</f>
        <v>GR-KWZ1-2</v>
      </c>
      <c r="AW259" s="768" t="str">
        <f>IF(VLOOKUP(A259,'Débit - Abfluss'!$A$4:$Q$275,15,FALSE)="","",VLOOKUP(A259,'Débit - Abfluss'!$A$4:$Q$275,15,FALSE))</f>
        <v>Zervreila</v>
      </c>
      <c r="AX259" s="682" t="str">
        <f>IF(VLOOKUP(A259,'Débit - Abfluss'!$A$4:$Q$275,16,FALSE)="","",VLOOKUP(A259,'Débit - Abfluss'!$A$4:$Q$275,16,FALSE))</f>
        <v/>
      </c>
      <c r="AY259" s="769" t="str">
        <f>IF(VLOOKUP(A259,'Débit - Abfluss'!$A$4:$Q$275,17,FALSE)="","",VLOOKUP(A259,'Débit - Abfluss'!$A$4:$Q$275,17,FALSE))</f>
        <v>41-60%</v>
      </c>
      <c r="AZ259" s="749" t="str">
        <f>IF(VLOOKUP(A259,'Eclusée - Schwall-Sunk'!$A$2:$F$273,5,FALSE)="","",VLOOKUP(A259,'Eclusée - Schwall-Sunk'!$A$2:$F$273,5,FALSE))</f>
        <v>force hydraulique</v>
      </c>
      <c r="BA259" s="750" t="str">
        <f>IF(VLOOKUP(A259,'Eclusée - Schwall-Sunk'!$A$2:$F$273,6,FALSE)="","",VLOOKUP(A259,'Eclusée - Schwall-Sunk'!$A$2:$F$273,6,FALSE))</f>
        <v>Non affecté / nicht betroffen</v>
      </c>
      <c r="BB259" s="751" t="str">
        <f>IF(VLOOKUP(A259,'Revitalisation-Revitalisierung'!$A$4:$Z$275,5,FALSE)="","",VLOOKUP(A259,'Revitalisation-Revitalisierung'!$A$4:$Z$275,5,FALSE))</f>
        <v/>
      </c>
      <c r="BC259" s="752" t="str">
        <f>IF(VLOOKUP(A259,'Revitalisation-Revitalisierung'!$A$4:$Z$275,6,FALSE)="","",VLOOKUP(A259,'Revitalisation-Revitalisierung'!$A$4:$Z$275,6,FALSE))</f>
        <v/>
      </c>
      <c r="BD259" s="752" t="str">
        <f>IF(VLOOKUP(A259,'Revitalisation-Revitalisierung'!$A$4:$Z$275,7,FALSE)="","",VLOOKUP(A259,'Revitalisation-Revitalisierung'!$A$4:$Z$275,7,FALSE))</f>
        <v/>
      </c>
      <c r="BE259" s="753" t="str">
        <f>IF(VLOOKUP(A259,'Revitalisation-Revitalisierung'!$A$4:$Z$275,8,FALSE)="","",VLOOKUP(A259,'Revitalisation-Revitalisierung'!$A$4:$Z$275,8,FALSE))</f>
        <v>non nécessaire</v>
      </c>
      <c r="BF259" s="754" t="str">
        <f>IF(VLOOKUP(A259,'Revitalisation-Revitalisierung'!$A$4:$Z$275,9,FALSE)="","",VLOOKUP(A259,'Revitalisation-Revitalisierung'!$A$4:$Z$275,9,FALSE))</f>
        <v>nicht nötig</v>
      </c>
      <c r="BG259" s="754" t="str">
        <f>IF(VLOOKUP(A259,'Revitalisation-Revitalisierung'!$A$4:$Z$275,10,FALSE)="","",VLOOKUP(A259,'Revitalisation-Revitalisierung'!$A$4:$Z$275,10,FALSE))</f>
        <v/>
      </c>
      <c r="BH259" s="755" t="str">
        <f>IF(VLOOKUP(A259,'Revitalisation-Revitalisierung'!$A$4:$Z$275,11,FALSE)="","",VLOOKUP(A259,'Revitalisation-Revitalisierung'!$A$4:$Z$275,11,FALSE))</f>
        <v/>
      </c>
      <c r="BI259" s="756" t="str">
        <f>IF(VLOOKUP(A259,'Revitalisation-Revitalisierung'!$A$4:$Z$275,12,FALSE)="","",VLOOKUP(A259,'Revitalisation-Revitalisierung'!$A$4:$Z$275,12,FALSE))</f>
        <v/>
      </c>
      <c r="BJ259" s="788" t="str">
        <f>IF(VLOOKUP(A259,'Revitalisation-Revitalisierung'!$A$4:$Z$275,13,FALSE)="","",VLOOKUP(A259,'Revitalisation-Revitalisierung'!$A$4:$Z$275,13,FALSE))</f>
        <v>Non nécessaire / nicht nötig</v>
      </c>
      <c r="BK259" s="870" t="str">
        <f>IF(VLOOKUP(A259,'Revitalisation-Revitalisierung'!$A$4:$Z$275,14,FALSE)="","",VLOOKUP(A259,'Revitalisation-Revitalisierung'!$A$4:$Z$275,14,FALSE))</f>
        <v>a</v>
      </c>
      <c r="BL259" s="758" t="str">
        <f>IF(VLOOKUP(A259,'Revitalisation-Revitalisierung'!$A$4:$Z$275,15,FALSE)="","",VLOOKUP(A259,'Revitalisation-Revitalisierung'!$A$4:$Z$275,15,FALSE))</f>
        <v>gross</v>
      </c>
      <c r="BM259" s="759" t="str">
        <f>IF(VLOOKUP(A259,'Revitalisation-Revitalisierung'!$A$4:$Z$275,16,FALSE)="","",VLOOKUP(A259,'Revitalisation-Revitalisierung'!$A$4:$Z$275,16,FALSE))</f>
        <v>kein/nicht best.</v>
      </c>
      <c r="BN259" s="759" t="str">
        <f>IF(VLOOKUP(A259,'Revitalisation-Revitalisierung'!$A$4:$Z$275,17,FALSE)="","",VLOOKUP(A259,'Revitalisation-Revitalisierung'!$A$4:$Z$275,17,FALSE))</f>
        <v>gering</v>
      </c>
      <c r="BO259" s="760" t="str">
        <f>IF(VLOOKUP(A259,'Revitalisation-Revitalisierung'!$A$4:$Z$275,18,FALSE)="","",VLOOKUP(A259,'Revitalisation-Revitalisierung'!$A$4:$Z$275,18,FALSE))</f>
        <v>Non nécessaire / nicht nötig</v>
      </c>
      <c r="BP259" s="761" t="str">
        <f>IF(VLOOKUP(A259,'Revitalisation-Revitalisierung'!$A$4:$Z$275,19,FALSE)="","",VLOOKUP(A259,'Revitalisation-Revitalisierung'!$A$4:$Z$275,19,FALSE))</f>
        <v>Non nécessaire / nicht nötig</v>
      </c>
      <c r="BQ259" s="759" t="str">
        <f>IF(VLOOKUP(A259,'Revitalisation-Revitalisierung'!$A$4:$Z$275,20,FALSE)="","",VLOOKUP(A259,'Revitalisation-Revitalisierung'!$A$4:$Z$275,20,FALSE))</f>
        <v>d</v>
      </c>
      <c r="BR259" s="759" t="str">
        <f>IF(VLOOKUP(A259,'Revitalisation-Revitalisierung'!$A$4:$Z$275,21,FALSE)="","",VLOOKUP(A259,'Revitalisation-Revitalisierung'!$A$4:$Z$275,21,FALSE))</f>
        <v/>
      </c>
      <c r="BS259" s="762" t="str">
        <f>IF(VLOOKUP(A259,'Revitalisation-Revitalisierung'!$A$4:$Z$275,22,FALSE)="","",VLOOKUP(A259,'Revitalisation-Revitalisierung'!$A$4:$Z$275,22,FALSE))</f>
        <v/>
      </c>
      <c r="BT259" s="700" t="str">
        <f>IF(VLOOKUP(A259,'Revitalisation-Revitalisierung'!$A$4:$Z$275,23,FALSE)="","",VLOOKUP(A259,'Revitalisation-Revitalisierung'!$A$4:$Z$275,23,FALSE))</f>
        <v/>
      </c>
      <c r="BU259" s="699" t="str">
        <f>IF(VLOOKUP(A259,'Revitalisation-Revitalisierung'!$A$4:$Z$275,24,FALSE)="","",VLOOKUP(A259,'Revitalisation-Revitalisierung'!$A$4:$Z$275,24,FALSE))</f>
        <v/>
      </c>
      <c r="BV259" s="761" t="str">
        <f>IF(VLOOKUP(A259,'Revitalisation-Revitalisierung'!$A$4:$Z$275,25,FALSE)="","",VLOOKUP(A259,'Revitalisation-Revitalisierung'!$A$4:$Z$275,25,FALSE))</f>
        <v>Non nécessaire / nicht nötig</v>
      </c>
      <c r="BW259" s="871" t="str">
        <f>IF(VLOOKUP(A259,'Revitalisation-Revitalisierung'!$A$4:$AA$275,27,FALSE)="","",VLOOKUP(A259,'Revitalisation-Revitalisierung'!$A$4:$AA$275,27,FALSE))</f>
        <v>a</v>
      </c>
    </row>
    <row r="260" spans="1:75" ht="67.150000000000006" customHeight="1" x14ac:dyDescent="0.25">
      <c r="A260" s="938">
        <v>384</v>
      </c>
      <c r="B260" s="856">
        <f>IF(VLOOKUP(A260,'Données de base - Grunddaten'!$A$2:$M$297,2,FALSE)="","",VLOOKUP(A260,'Données de base - Grunddaten'!$A$2:$M$297,2,FALSE))</f>
        <v>1</v>
      </c>
      <c r="C260" s="857" t="str">
        <f>IF(VLOOKUP(A260,'Données de base - Grunddaten'!$A$2:$M$297,3,FALSE)="","",VLOOKUP(A260,'Données de base - Grunddaten'!$A$2:$M$297,3,FALSE))</f>
        <v>Gatgs Glogn</v>
      </c>
      <c r="D260" s="857" t="str">
        <f>IF(VLOOKUP(A260,'Données de base - Grunddaten'!$A$2:$M$297,4,FALSE)="","",VLOOKUP(A260,'Données de base - Grunddaten'!$A$2:$M$297,4,FALSE))</f>
        <v>Glogn Glenner</v>
      </c>
      <c r="E260" s="857" t="str">
        <f>IF(VLOOKUP(A260,'Données de base - Grunddaten'!$A$2:$M$297,5,FALSE)="","",VLOOKUP(A260,'Données de base - Grunddaten'!$A$2:$M$297,5,FALSE))</f>
        <v>GR</v>
      </c>
      <c r="F260" s="857" t="str">
        <f>IF(VLOOKUP(A260,'Données de base - Grunddaten'!$A$2:$M$297,6,FALSE)="","",VLOOKUP(A260,'Données de base - Grunddaten'!$A$2:$M$297,6,FALSE))</f>
        <v>Alpes centrales orientales</v>
      </c>
      <c r="G260" s="857" t="str">
        <f>IF(VLOOKUP(A260,'Données de base - Grunddaten'!$A$2:$M$297,7,FALSE)="","",VLOOKUP(A260,'Données de base - Grunddaten'!$A$2:$M$297,7,FALSE))</f>
        <v>Montagnard inf.</v>
      </c>
      <c r="H260" s="857" t="str">
        <f>IF(VLOOKUP(A260,'Données de base - Grunddaten'!$A$2:$M$297,8,FALSE)="","",VLOOKUP(A260,'Données de base - Grunddaten'!$A$2:$M$297,8,FALSE))</f>
        <v>730 m</v>
      </c>
      <c r="I260" s="857" t="str">
        <f>IF(VLOOKUP(A260,'Données de base - Grunddaten'!$A$2:$M$297,9,FALSE)="","",VLOOKUP(A260,'Données de base - Grunddaten'!$A$2:$M$297,9,FALSE))</f>
        <v>candidat</v>
      </c>
      <c r="J260" s="857">
        <f>IF(VLOOKUP(A260,'Données de base - Grunddaten'!$A$2:$M$297,10,FALSE)="","",VLOOKUP(A260,'Données de base - Grunddaten'!$A$2:$M$297,10,FALSE))</f>
        <v>41</v>
      </c>
      <c r="K260" s="857" t="str">
        <f>IF(VLOOKUP(A260,'Données de base - Grunddaten'!$A$2:$M$297,11,FALSE)="","",VLOOKUP(A260,'Données de base - Grunddaten'!$A$2:$M$297,11,FALSE))</f>
        <v>Cours d'eau naturels de l'étage montagnard</v>
      </c>
      <c r="L260" s="857" t="str">
        <f>IF(VLOOKUP(A260,'Données de base - Grunddaten'!$A$2:$M$297,12,FALSE)="","",VLOOKUP(A260,'Données de base - Grunddaten'!$A$2:$M$297,12,FALSE))</f>
        <v>en tresses</v>
      </c>
      <c r="M260" s="858" t="str">
        <f>IF(VLOOKUP(A260,'Données de base - Grunddaten'!$A$2:$M$297,13,FALSE)="","",VLOOKUP(A260,'Données de base - Grunddaten'!$A$2:$M$297,13,FALSE))</f>
        <v>en tresses</v>
      </c>
      <c r="N260" s="872" t="str">
        <f>IF(VLOOKUP(A260,'Charriage - Geschiebehaushalt'!$A$4:$R$275,5,FALSE)="","",VLOOKUP(A260,'Charriage - Geschiebehaushalt'!$A$4:$R$275,5,FALSE))</f>
        <v>pertinent</v>
      </c>
      <c r="O260" s="873" t="str">
        <f>IF(VLOOKUP(A260,'Charriage - Geschiebehaushalt'!$A$4:$R$275,6,FALSE)="","",VLOOKUP(A260,'Charriage - Geschiebehaushalt'!$A$4:$R$275,6,FALSE))</f>
        <v>0-20%</v>
      </c>
      <c r="P260" s="874" t="str">
        <f>IF(VLOOKUP(A260,'Charriage - Geschiebehaushalt'!$A$4:$R$275,7,FALSE)="","",VLOOKUP(A260,'Charriage - Geschiebehaushalt'!$A$4:$R$275,7,FALSE))</f>
        <v/>
      </c>
      <c r="Q260" s="874" t="str">
        <f>IF(VLOOKUP(A260,'Charriage - Geschiebehaushalt'!$A$4:$R$275,8,FALSE)="","",VLOOKUP(A260,'Charriage - Geschiebehaushalt'!$A$4:$R$275,8,FALSE))</f>
        <v>non documenté</v>
      </c>
      <c r="R260" s="875" t="str">
        <f>IF(VLOOKUP(A260,'Charriage - Geschiebehaushalt'!$A$4:$R$275,9,FALSE)="","",VLOOKUP(A260,'Charriage - Geschiebehaushalt'!$A$4:$R$275,9,FALSE))</f>
        <v/>
      </c>
      <c r="S260" s="876" t="str">
        <f>IF(VLOOKUP(A260,'Charriage - Geschiebehaushalt'!$A$4:$R$275,10,FALSE)="","",VLOOKUP(A260,'Charriage - Geschiebehaushalt'!$A$4:$R$275,10,FALSE))</f>
        <v/>
      </c>
      <c r="T260" s="875" t="str">
        <f>IF(VLOOKUP(A260,'Charriage - Geschiebehaushalt'!$A$4:$R$275,11,FALSE)="","",VLOOKUP(A260,'Charriage - Geschiebehaushalt'!$A$4:$R$275,11,FALSE))</f>
        <v/>
      </c>
      <c r="U260" s="876" t="str">
        <f>IF(VLOOKUP(A260,'Charriage - Geschiebehaushalt'!$A$4:$R$275,12,FALSE)="","",VLOOKUP(A260,'Charriage - Geschiebehaushalt'!$A$4:$R$275,12,FALSE))</f>
        <v/>
      </c>
      <c r="V260" s="877" t="str">
        <f>IF(VLOOKUP(A260,'Charriage - Geschiebehaushalt'!$A$4:$R$275,13,FALSE)="","",VLOOKUP(A260,'Charriage - Geschiebehaushalt'!$A$4:$R$275,13,FALSE))</f>
        <v/>
      </c>
      <c r="W260" s="877" t="str">
        <f>IF(VLOOKUP(A260,'Charriage - Geschiebehaushalt'!$A$4:$R$275,14,FALSE)="","",VLOOKUP(A260,'Charriage - Geschiebehaushalt'!$A$4:$R$275,14,FALSE))</f>
        <v/>
      </c>
      <c r="X260" s="877" t="str">
        <f>IF(VLOOKUP(A260,'Charriage - Geschiebehaushalt'!$A$4:$R$275,15,FALSE)="","",VLOOKUP(A260,'Charriage - Geschiebehaushalt'!$A$4:$R$275,15,FALSE))</f>
        <v/>
      </c>
      <c r="Y260" s="879" t="str">
        <f>IF(VLOOKUP(A260,'Charriage - Geschiebehaushalt'!$A$4:$R$275,16,FALSE)="","",VLOOKUP(A260,'Charriage - Geschiebehaushalt'!$A$4:$R$275,16,FALSE))</f>
        <v/>
      </c>
      <c r="Z260" s="763" t="str">
        <f>IF(VLOOKUP(A260,'Charriage - Geschiebehaushalt'!$A$4:$R$275,17,FALSE)="","",VLOOKUP(A260,'Charriage - Geschiebehaushalt'!$A$4:$R$275,17,FALSE))</f>
        <v>0-20%</v>
      </c>
      <c r="AA260" s="880" t="str">
        <f>IF(VLOOKUP(A260,'Charriage - Geschiebehaushalt'!$A$4:$R$275,18,FALSE)="","",VLOOKUP(A260,'Charriage - Geschiebehaushalt'!$A$4:$R$275,18,FALSE))</f>
        <v>a</v>
      </c>
      <c r="AB260" s="737" t="str">
        <f>IF(VLOOKUP(A260,'Charriage - Geschiebehaushalt'!$A$4:$AC$275,19,FALSE)="","",VLOOKUP(A260,'Charriage - Geschiebehaushalt'!$A$4:$AC$275,19,FALSE))</f>
        <v>keine</v>
      </c>
      <c r="AC260" s="738">
        <f>IF(VLOOKUP(A260,'Charriage - Geschiebehaushalt'!$A$4:$AC$275,20,FALSE)="","",VLOOKUP(A260,'Charriage - Geschiebehaushalt'!$A$4:$AC$275,20,FALSE))</f>
        <v>0</v>
      </c>
      <c r="AD260" s="764" t="str">
        <f>IF(VLOOKUP(A260,'Charriage - Geschiebehaushalt'!$A$4:$AC$275,21,FALSE)="","",VLOOKUP(A260,'Charriage - Geschiebehaushalt'!$A$4:$AC$275,21,FALSE))</f>
        <v>0-20%</v>
      </c>
      <c r="AE260" s="740" t="str">
        <f>IF(VLOOKUP(A260,'Charriage - Geschiebehaushalt'!$A$4:$AC$275,22,FALSE)="","",VLOOKUP(A260,'Charriage - Geschiebehaushalt'!$A$4:$AC$275,22,FALSE))</f>
        <v>0-20%</v>
      </c>
      <c r="AF260" s="787" t="str">
        <f>IF(VLOOKUP(A260,'Charriage - Geschiebehaushalt'!$A$4:$AC$275,23,FALSE)="","",VLOOKUP(A260,'Charriage - Geschiebehaushalt'!$A$4:$AC$275,23,FALSE))</f>
        <v>d</v>
      </c>
      <c r="AG260" s="765" t="str">
        <f>IF(VLOOKUP(A260,'Charriage - Geschiebehaushalt'!$A$4:$AC$275,24,FALSE)="","",VLOOKUP(A260,'Charriage - Geschiebehaushalt'!$A$4:$AC$275,24,FALSE))</f>
        <v/>
      </c>
      <c r="AH260" s="764" t="str">
        <f>IF(VLOOKUP(A260,'Charriage - Geschiebehaushalt'!$A$4:$AC$275,25,FALSE)="","",VLOOKUP(A260,'Charriage - Geschiebehaushalt'!$A$4:$AC$275,25,FALSE))</f>
        <v/>
      </c>
      <c r="AI260" s="435" t="str">
        <f>IF(VLOOKUP(A260,'Charriage - Geschiebehaushalt'!$A$4:$AC$275,26,FALSE)="","",VLOOKUP(A260,'Charriage - Geschiebehaushalt'!$A$4:$AC$275,26,FALSE))</f>
        <v/>
      </c>
      <c r="AJ260" s="436" t="str">
        <f>IF(VLOOKUP(A260,'Charriage - Geschiebehaushalt'!$A$4:$AC$275,27,FALSE)="","",VLOOKUP(A260,'Charriage - Geschiebehaushalt'!$A$4:$AC$275,27,FALSE))</f>
        <v/>
      </c>
      <c r="AK260" s="801" t="str">
        <f>IF(VLOOKUP(A260,'Charriage - Geschiebehaushalt'!$A$4:$AC$275,28,FALSE)="","",VLOOKUP(A260,'Charriage - Geschiebehaushalt'!$A$4:$AC$275,28,FALSE))</f>
        <v>0-20%</v>
      </c>
      <c r="AL260" s="1285" t="str">
        <f>IF(VLOOKUP(A260,'Charriage - Geschiebehaushalt'!$A$4:$AD$275,30,FALSE)="","",VLOOKUP(A260,'Charriage - Geschiebehaushalt'!$A$4:$AD$275,30,FALSE))</f>
        <v>a</v>
      </c>
      <c r="AM260" s="1279" t="str">
        <f>IF(VLOOKUP(A260,'Débit - Abfluss'!$A$4:$K$275,5,FALSE)="","",VLOOKUP(A260,'Débit - Abfluss'!$A$4:$M$275,5,FALSE))</f>
        <v>61-80%</v>
      </c>
      <c r="AN260" s="868" t="str">
        <f>IF(VLOOKUP(A260,'Débit - Abfluss'!$A$4:$K$275,6,FALSE)="","",VLOOKUP(A260,'Débit - Abfluss'!$A$4:$M$275,6,FALSE))</f>
        <v/>
      </c>
      <c r="AO260" s="869" t="str">
        <f>IF(VLOOKUP(A260,'Débit - Abfluss'!$A$4:$K$275,7,FALSE)="","",VLOOKUP(A260,'Débit - Abfluss'!$A$4:$M$275,7,FALSE))</f>
        <v/>
      </c>
      <c r="AP260" s="766" t="str">
        <f>IF(VLOOKUP(A260,'Débit - Abfluss'!$A$4:$K$275,8,FALSE)="","",VLOOKUP(A260,'Débit - Abfluss'!$A$4:$M$275,8,FALSE))</f>
        <v>61-80%</v>
      </c>
      <c r="AQ260" s="678" t="str">
        <f>IF(VLOOKUP(A260,'Débit - Abfluss'!$A$4:$K$275,9,FALSE)="","",VLOOKUP(A260,'Débit - Abfluss'!$A$4:$M$275,9,FALSE))</f>
        <v>Fehlende Angaben</v>
      </c>
      <c r="AR260" s="767" t="str">
        <f>IF(VLOOKUP(A260,'Débit - Abfluss'!$A$4:$K$275,10,FALSE)="","",VLOOKUP(A260,'Débit - Abfluss'!$A$4:$M$275,10,FALSE))</f>
        <v>61-80%</v>
      </c>
      <c r="AS260" s="767" t="str">
        <f>IF(VLOOKUP(A260,'Débit - Abfluss'!$A$4:$K$275,11,FALSE)="","",VLOOKUP(A260,'Débit - Abfluss'!$A$4:$M$275,11,FALSE))</f>
        <v/>
      </c>
      <c r="AT260" s="778" t="str">
        <f>IF(VLOOKUP(A260,'Débit - Abfluss'!$A$4:$Q$275,12,FALSE)="","",VLOOKUP(A260,'Débit - Abfluss'!$A$4:$Q$275,12,FALSE))</f>
        <v/>
      </c>
      <c r="AU260" s="779" t="str">
        <f>IF(VLOOKUP(A260,'Débit - Abfluss'!$A$4:$Q$275,13,FALSE)="","",VLOOKUP(A260,'Débit - Abfluss'!$A$4:$Q$275,13,FALSE))</f>
        <v/>
      </c>
      <c r="AV260" s="746" t="str">
        <f>IF(VLOOKUP(A260,'Débit - Abfluss'!$A$4:$Q$275,14,FALSE)="","",VLOOKUP(A260,'Débit - Abfluss'!$A$4:$Q$275,14,FALSE))</f>
        <v>GR-KWZ1-2</v>
      </c>
      <c r="AW260" s="768" t="str">
        <f>IF(VLOOKUP(A260,'Débit - Abfluss'!$A$4:$Q$275,15,FALSE)="","",VLOOKUP(A260,'Débit - Abfluss'!$A$4:$Q$275,15,FALSE))</f>
        <v>Zervreila</v>
      </c>
      <c r="AX260" s="679" t="str">
        <f>IF(VLOOKUP(A260,'Débit - Abfluss'!$A$4:$Q$275,16,FALSE)="","",VLOOKUP(A260,'Débit - Abfluss'!$A$4:$Q$275,16,FALSE))</f>
        <v/>
      </c>
      <c r="AY260" s="769" t="str">
        <f>IF(VLOOKUP(A260,'Débit - Abfluss'!$A$4:$Q$275,17,FALSE)="","",VLOOKUP(A260,'Débit - Abfluss'!$A$4:$Q$275,17,FALSE))</f>
        <v>61-80%</v>
      </c>
      <c r="AZ260" s="749" t="str">
        <f>IF(VLOOKUP(A260,'Eclusée - Schwall-Sunk'!$A$2:$F$273,5,FALSE)="","",VLOOKUP(A260,'Eclusée - Schwall-Sunk'!$A$2:$F$273,5,FALSE))</f>
        <v>force hydraulique</v>
      </c>
      <c r="BA260" s="750" t="str">
        <f>IF(VLOOKUP(A260,'Eclusée - Schwall-Sunk'!$A$2:$F$273,6,FALSE)="","",VLOOKUP(A260,'Eclusée - Schwall-Sunk'!$A$2:$F$273,6,FALSE))</f>
        <v>Non affecté / nicht betroffen</v>
      </c>
      <c r="BB260" s="751" t="str">
        <f>IF(VLOOKUP(A260,'Revitalisation-Revitalisierung'!$A$4:$Z$275,5,FALSE)="","",VLOOKUP(A260,'Revitalisation-Revitalisierung'!$A$4:$Z$275,5,FALSE))</f>
        <v/>
      </c>
      <c r="BC260" s="752" t="str">
        <f>IF(VLOOKUP(A260,'Revitalisation-Revitalisierung'!$A$4:$Z$275,6,FALSE)="","",VLOOKUP(A260,'Revitalisation-Revitalisierung'!$A$4:$Z$275,6,FALSE))</f>
        <v/>
      </c>
      <c r="BD260" s="752" t="str">
        <f>IF(VLOOKUP(A260,'Revitalisation-Revitalisierung'!$A$4:$Z$275,7,FALSE)="","",VLOOKUP(A260,'Revitalisation-Revitalisierung'!$A$4:$Z$275,7,FALSE))</f>
        <v/>
      </c>
      <c r="BE260" s="753" t="str">
        <f>IF(VLOOKUP(A260,'Revitalisation-Revitalisierung'!$A$4:$Z$275,8,FALSE)="","",VLOOKUP(A260,'Revitalisation-Revitalisierung'!$A$4:$Z$275,8,FALSE))</f>
        <v>non nécessaire</v>
      </c>
      <c r="BF260" s="754" t="str">
        <f>IF(VLOOKUP(A260,'Revitalisation-Revitalisierung'!$A$4:$Z$275,9,FALSE)="","",VLOOKUP(A260,'Revitalisation-Revitalisierung'!$A$4:$Z$275,9,FALSE))</f>
        <v>nicht nötig</v>
      </c>
      <c r="BG260" s="754" t="str">
        <f>IF(VLOOKUP(A260,'Revitalisation-Revitalisierung'!$A$4:$Z$275,10,FALSE)="","",VLOOKUP(A260,'Revitalisation-Revitalisierung'!$A$4:$Z$275,10,FALSE))</f>
        <v/>
      </c>
      <c r="BH260" s="755" t="str">
        <f>IF(VLOOKUP(A260,'Revitalisation-Revitalisierung'!$A$4:$Z$275,11,FALSE)="","",VLOOKUP(A260,'Revitalisation-Revitalisierung'!$A$4:$Z$275,11,FALSE))</f>
        <v/>
      </c>
      <c r="BI260" s="756" t="str">
        <f>IF(VLOOKUP(A260,'Revitalisation-Revitalisierung'!$A$4:$Z$275,12,FALSE)="","",VLOOKUP(A260,'Revitalisation-Revitalisierung'!$A$4:$Z$275,12,FALSE))</f>
        <v/>
      </c>
      <c r="BJ260" s="788" t="str">
        <f>IF(VLOOKUP(A260,'Revitalisation-Revitalisierung'!$A$4:$Z$275,13,FALSE)="","",VLOOKUP(A260,'Revitalisation-Revitalisierung'!$A$4:$Z$275,13,FALSE))</f>
        <v>Très nécessaire, difficile / unbedingt nötig, schwierig</v>
      </c>
      <c r="BK260" s="870" t="str">
        <f>IF(VLOOKUP(A260,'Revitalisation-Revitalisierung'!$A$4:$Z$275,14,FALSE)="","",VLOOKUP(A260,'Revitalisation-Revitalisierung'!$A$4:$Z$275,14,FALSE))</f>
        <v>b</v>
      </c>
      <c r="BL260" s="758" t="str">
        <f>IF(VLOOKUP(A260,'Revitalisation-Revitalisierung'!$A$4:$Z$275,15,FALSE)="","",VLOOKUP(A260,'Revitalisation-Revitalisierung'!$A$4:$Z$275,15,FALSE))</f>
        <v>gross</v>
      </c>
      <c r="BM260" s="759" t="str">
        <f>IF(VLOOKUP(A260,'Revitalisation-Revitalisierung'!$A$4:$Z$275,16,FALSE)="","",VLOOKUP(A260,'Revitalisation-Revitalisierung'!$A$4:$Z$275,16,FALSE))</f>
        <v>mittel/gering/kein/nicht best.</v>
      </c>
      <c r="BN260" s="759" t="str">
        <f>IF(VLOOKUP(A260,'Revitalisation-Revitalisierung'!$A$4:$Z$275,17,FALSE)="","",VLOOKUP(A260,'Revitalisation-Revitalisierung'!$A$4:$Z$275,17,FALSE))</f>
        <v>hoch</v>
      </c>
      <c r="BO260" s="760" t="str">
        <f>IF(VLOOKUP(A260,'Revitalisation-Revitalisierung'!$A$4:$Z$275,18,FALSE)="","",VLOOKUP(A260,'Revitalisation-Revitalisierung'!$A$4:$Z$275,18,FALSE))</f>
        <v>Partiellement nécessaire, difficile / teilweise nötig, schwierig</v>
      </c>
      <c r="BP260" s="761" t="str">
        <f>IF(VLOOKUP(A260,'Revitalisation-Revitalisierung'!$A$4:$Z$275,19,FALSE)="","",VLOOKUP(A260,'Revitalisation-Revitalisierung'!$A$4:$Z$275,19,FALSE))</f>
        <v>Partiellement nécessaire, difficile / teilweise nötig, schwierig</v>
      </c>
      <c r="BQ260" s="759" t="str">
        <f>IF(VLOOKUP(A260,'Revitalisation-Revitalisierung'!$A$4:$Z$275,20,FALSE)="","",VLOOKUP(A260,'Revitalisation-Revitalisierung'!$A$4:$Z$275,20,FALSE))</f>
        <v>c</v>
      </c>
      <c r="BR260" s="759" t="str">
        <f>IF(VLOOKUP(A260,'Revitalisation-Revitalisierung'!$A$4:$Z$275,21,FALSE)="","",VLOOKUP(A260,'Revitalisation-Revitalisierung'!$A$4:$Z$275,21,FALSE))</f>
        <v/>
      </c>
      <c r="BS260" s="762" t="str">
        <f>IF(VLOOKUP(A260,'Revitalisation-Revitalisierung'!$A$4:$Z$275,22,FALSE)="","",VLOOKUP(A260,'Revitalisation-Revitalisierung'!$A$4:$Z$275,22,FALSE))</f>
        <v/>
      </c>
      <c r="BT260" s="700" t="str">
        <f>IF(VLOOKUP(A260,'Revitalisation-Revitalisierung'!$A$4:$Z$275,23,FALSE)="","",VLOOKUP(A260,'Revitalisation-Revitalisierung'!$A$4:$Z$275,23,FALSE))</f>
        <v/>
      </c>
      <c r="BU260" s="699" t="str">
        <f>IF(VLOOKUP(A260,'Revitalisation-Revitalisierung'!$A$4:$Z$275,24,FALSE)="","",VLOOKUP(A260,'Revitalisation-Revitalisierung'!$A$4:$Z$275,24,FALSE))</f>
        <v/>
      </c>
      <c r="BV260" s="761" t="str">
        <f>IF(VLOOKUP(A260,'Revitalisation-Revitalisierung'!$A$4:$Z$275,25,FALSE)="","",VLOOKUP(A260,'Revitalisation-Revitalisierung'!$A$4:$Z$275,25,FALSE))</f>
        <v>Partiellement nécessaire, difficile / teilweise nötig, schwierig</v>
      </c>
      <c r="BW260" s="871" t="str">
        <f>IF(VLOOKUP(A260,'Revitalisation-Revitalisierung'!$A$4:$AA$275,27,FALSE)="","",VLOOKUP(A260,'Revitalisation-Revitalisierung'!$A$4:$AA$275,27,FALSE))</f>
        <v>a</v>
      </c>
    </row>
    <row r="261" spans="1:75" ht="56.45" customHeight="1" x14ac:dyDescent="0.25">
      <c r="A261" s="1230">
        <v>385</v>
      </c>
      <c r="B261" s="856">
        <f>IF(VLOOKUP(A261,'Données de base - Grunddaten'!$A$2:$M$297,2,FALSE)="","",VLOOKUP(A261,'Données de base - Grunddaten'!$A$2:$M$297,2,FALSE))</f>
        <v>1</v>
      </c>
      <c r="C261" s="857" t="str">
        <f>IF(VLOOKUP(A261,'Données de base - Grunddaten'!$A$2:$M$297,3,FALSE)="","",VLOOKUP(A261,'Données de base - Grunddaten'!$A$2:$M$297,3,FALSE))</f>
        <v>Ruinaulta</v>
      </c>
      <c r="D261" s="857" t="str">
        <f>IF(VLOOKUP(A261,'Données de base - Grunddaten'!$A$2:$M$297,4,FALSE)="","",VLOOKUP(A261,'Données de base - Grunddaten'!$A$2:$M$297,4,FALSE))</f>
        <v>Rein Anteriur</v>
      </c>
      <c r="E261" s="857" t="str">
        <f>IF(VLOOKUP(A261,'Données de base - Grunddaten'!$A$2:$M$297,5,FALSE)="","",VLOOKUP(A261,'Données de base - Grunddaten'!$A$2:$M$297,5,FALSE))</f>
        <v>GR</v>
      </c>
      <c r="F261" s="857" t="str">
        <f>IF(VLOOKUP(A261,'Données de base - Grunddaten'!$A$2:$M$297,6,FALSE)="","",VLOOKUP(A261,'Données de base - Grunddaten'!$A$2:$M$297,6,FALSE))</f>
        <v>Alpes centrales orientales</v>
      </c>
      <c r="G261" s="857" t="str">
        <f>IF(VLOOKUP(A261,'Données de base - Grunddaten'!$A$2:$M$297,7,FALSE)="","",VLOOKUP(A261,'Données de base - Grunddaten'!$A$2:$M$297,7,FALSE))</f>
        <v>Montagnard inf.</v>
      </c>
      <c r="H261" s="857" t="str">
        <f>IF(VLOOKUP(A261,'Données de base - Grunddaten'!$A$2:$M$297,8,FALSE)="","",VLOOKUP(A261,'Données de base - Grunddaten'!$A$2:$M$297,8,FALSE))</f>
        <v>620 m</v>
      </c>
      <c r="I261" s="857" t="str">
        <f>IF(VLOOKUP(A261,'Données de base - Grunddaten'!$A$2:$M$297,9,FALSE)="","",VLOOKUP(A261,'Données de base - Grunddaten'!$A$2:$M$297,9,FALSE))</f>
        <v>candidat</v>
      </c>
      <c r="J261" s="857">
        <f>IF(VLOOKUP(A261,'Données de base - Grunddaten'!$A$2:$M$297,10,FALSE)="","",VLOOKUP(A261,'Données de base - Grunddaten'!$A$2:$M$297,10,FALSE))</f>
        <v>41</v>
      </c>
      <c r="K261" s="857" t="str">
        <f>IF(VLOOKUP(A261,'Données de base - Grunddaten'!$A$2:$M$297,11,FALSE)="","",VLOOKUP(A261,'Données de base - Grunddaten'!$A$2:$M$297,11,FALSE))</f>
        <v>Cours d'eau naturels de l'étage montagnard</v>
      </c>
      <c r="L261" s="857" t="str">
        <f>IF(VLOOKUP(A261,'Données de base - Grunddaten'!$A$2:$M$297,12,FALSE)="","",VLOOKUP(A261,'Données de base - Grunddaten'!$A$2:$M$297,12,FALSE))</f>
        <v>cours encaissé</v>
      </c>
      <c r="M261" s="858" t="str">
        <f>IF(VLOOKUP(A261,'Données de base - Grunddaten'!$A$2:$M$297,13,FALSE)="","",VLOOKUP(A261,'Données de base - Grunddaten'!$A$2:$M$297,13,FALSE))</f>
        <v>cours encaissé</v>
      </c>
      <c r="N261" s="872" t="str">
        <f>IF(VLOOKUP(A261,'Charriage - Geschiebehaushalt'!$A$4:$R$275,5,FALSE)="","",VLOOKUP(A261,'Charriage - Geschiebehaushalt'!$A$4:$R$275,5,FALSE))</f>
        <v>pertinent</v>
      </c>
      <c r="O261" s="873" t="str">
        <f>IF(VLOOKUP(A261,'Charriage - Geschiebehaushalt'!$A$4:$R$275,6,FALSE)="","",VLOOKUP(A261,'Charriage - Geschiebehaushalt'!$A$4:$R$275,6,FALSE))</f>
        <v>0-20%</v>
      </c>
      <c r="P261" s="874" t="str">
        <f>IF(VLOOKUP(A261,'Charriage - Geschiebehaushalt'!$A$4:$R$275,7,FALSE)="","",VLOOKUP(A261,'Charriage - Geschiebehaushalt'!$A$4:$R$275,7,FALSE))</f>
        <v/>
      </c>
      <c r="Q261" s="874" t="str">
        <f>IF(VLOOKUP(A261,'Charriage - Geschiebehaushalt'!$A$4:$R$275,8,FALSE)="","",VLOOKUP(A261,'Charriage - Geschiebehaushalt'!$A$4:$R$275,8,FALSE))</f>
        <v>non documenté</v>
      </c>
      <c r="R261" s="875">
        <f>IF(VLOOKUP(A261,'Charriage - Geschiebehaushalt'!$A$4:$R$275,9,FALSE)="","",VLOOKUP(A261,'Charriage - Geschiebehaushalt'!$A$4:$R$275,9,FALSE))</f>
        <v>0.16200000000000001</v>
      </c>
      <c r="S261" s="876" t="str">
        <f>IF(VLOOKUP(A261,'Charriage - Geschiebehaushalt'!$A$4:$R$275,10,FALSE)="","",VLOOKUP(A261,'Charriage - Geschiebehaushalt'!$A$4:$R$275,10,FALSE))</f>
        <v>pas ou faiblement entravé</v>
      </c>
      <c r="T261" s="875">
        <f>IF(VLOOKUP(A261,'Charriage - Geschiebehaushalt'!$A$4:$R$275,11,FALSE)="","",VLOOKUP(A261,'Charriage - Geschiebehaushalt'!$A$4:$R$275,11,FALSE))</f>
        <v>0.21099999999999999</v>
      </c>
      <c r="U261" s="876" t="str">
        <f>IF(VLOOKUP(A261,'Charriage - Geschiebehaushalt'!$A$4:$R$275,12,FALSE)="","",VLOOKUP(A261,'Charriage - Geschiebehaushalt'!$A$4:$R$275,12,FALSE))</f>
        <v>déficit dans les formations pionnières</v>
      </c>
      <c r="V261" s="877" t="str">
        <f>IF(VLOOKUP(A261,'Charriage - Geschiebehaushalt'!$A$4:$R$275,13,FALSE)="","",VLOOKUP(A261,'Charriage - Geschiebehaushalt'!$A$4:$R$275,13,FALSE))</f>
        <v/>
      </c>
      <c r="W261" s="877" t="str">
        <f>IF(VLOOKUP(A261,'Charriage - Geschiebehaushalt'!$A$4:$R$275,14,FALSE)="","",VLOOKUP(A261,'Charriage - Geschiebehaushalt'!$A$4:$R$275,14,FALSE))</f>
        <v/>
      </c>
      <c r="X261" s="877" t="str">
        <f>IF(VLOOKUP(A261,'Charriage - Geschiebehaushalt'!$A$4:$R$275,15,FALSE)="","",VLOOKUP(A261,'Charriage - Geschiebehaushalt'!$A$4:$R$275,15,FALSE))</f>
        <v/>
      </c>
      <c r="Y261" s="879" t="str">
        <f>IF(VLOOKUP(A261,'Charriage - Geschiebehaushalt'!$A$4:$R$275,16,FALSE)="","",VLOOKUP(A261,'Charriage - Geschiebehaushalt'!$A$4:$R$275,16,FALSE))</f>
        <v/>
      </c>
      <c r="Z261" s="763" t="str">
        <f>IF(VLOOKUP(A261,'Charriage - Geschiebehaushalt'!$A$4:$R$275,17,FALSE)="","",VLOOKUP(A261,'Charriage - Geschiebehaushalt'!$A$4:$R$275,17,FALSE))</f>
        <v>0-20%</v>
      </c>
      <c r="AA261" s="880" t="str">
        <f>IF(VLOOKUP(A261,'Charriage - Geschiebehaushalt'!$A$4:$R$275,18,FALSE)="","",VLOOKUP(A261,'Charriage - Geschiebehaushalt'!$A$4:$R$275,18,FALSE))</f>
        <v>a</v>
      </c>
      <c r="AB261" s="737" t="str">
        <f>IF(VLOOKUP(A261,'Charriage - Geschiebehaushalt'!$A$4:$AC$275,19,FALSE)="","",VLOOKUP(A261,'Charriage - Geschiebehaushalt'!$A$4:$AC$275,19,FALSE))</f>
        <v>keine</v>
      </c>
      <c r="AC261" s="738">
        <f>IF(VLOOKUP(A261,'Charriage - Geschiebehaushalt'!$A$4:$AC$275,20,FALSE)="","",VLOOKUP(A261,'Charriage - Geschiebehaushalt'!$A$4:$AC$275,20,FALSE))</f>
        <v>0</v>
      </c>
      <c r="AD261" s="764" t="str">
        <f>IF(VLOOKUP(A261,'Charriage - Geschiebehaushalt'!$A$4:$AC$275,21,FALSE)="","",VLOOKUP(A261,'Charriage - Geschiebehaushalt'!$A$4:$AC$275,21,FALSE))</f>
        <v>0-20%</v>
      </c>
      <c r="AE261" s="740" t="str">
        <f>IF(VLOOKUP(A261,'Charriage - Geschiebehaushalt'!$A$4:$AC$275,22,FALSE)="","",VLOOKUP(A261,'Charriage - Geschiebehaushalt'!$A$4:$AC$275,22,FALSE))</f>
        <v>0-20%</v>
      </c>
      <c r="AF261" s="787" t="str">
        <f>IF(VLOOKUP(A261,'Charriage - Geschiebehaushalt'!$A$4:$AC$275,23,FALSE)="","",VLOOKUP(A261,'Charriage - Geschiebehaushalt'!$A$4:$AC$275,23,FALSE))</f>
        <v>d</v>
      </c>
      <c r="AG261" s="765" t="str">
        <f>IF(VLOOKUP(A261,'Charriage - Geschiebehaushalt'!$A$4:$AC$275,24,FALSE)="","",VLOOKUP(A261,'Charriage - Geschiebehaushalt'!$A$4:$AC$275,24,FALSE))</f>
        <v/>
      </c>
      <c r="AH261" s="764" t="str">
        <f>IF(VLOOKUP(A261,'Charriage - Geschiebehaushalt'!$A$4:$AC$275,25,FALSE)="","",VLOOKUP(A261,'Charriage - Geschiebehaushalt'!$A$4:$AC$275,25,FALSE))</f>
        <v/>
      </c>
      <c r="AI261" s="435" t="str">
        <f>IF(VLOOKUP(A261,'Charriage - Geschiebehaushalt'!$A$4:$AC$275,26,FALSE)="","",VLOOKUP(A261,'Charriage - Geschiebehaushalt'!$A$4:$AC$275,26,FALSE))</f>
        <v/>
      </c>
      <c r="AJ261" s="436" t="str">
        <f>IF(VLOOKUP(A261,'Charriage - Geschiebehaushalt'!$A$4:$AC$275,27,FALSE)="","",VLOOKUP(A261,'Charriage - Geschiebehaushalt'!$A$4:$AC$275,27,FALSE))</f>
        <v/>
      </c>
      <c r="AK261" s="801" t="str">
        <f>IF(VLOOKUP(A261,'Charriage - Geschiebehaushalt'!$A$4:$AC$275,28,FALSE)="","",VLOOKUP(A261,'Charriage - Geschiebehaushalt'!$A$4:$AC$275,28,FALSE))</f>
        <v>0-20%</v>
      </c>
      <c r="AL261" s="1285" t="str">
        <f>IF(VLOOKUP(A261,'Charriage - Geschiebehaushalt'!$A$4:$AD$275,30,FALSE)="","",VLOOKUP(A261,'Charriage - Geschiebehaushalt'!$A$4:$AD$275,30,FALSE))</f>
        <v>a</v>
      </c>
      <c r="AM261" s="1279" t="str">
        <f>IF(VLOOKUP(A261,'Débit - Abfluss'!$A$4:$K$275,5,FALSE)="","",VLOOKUP(A261,'Débit - Abfluss'!$A$4:$M$275,5,FALSE))</f>
        <v>81-100%</v>
      </c>
      <c r="AN261" s="868" t="str">
        <f>IF(VLOOKUP(A261,'Débit - Abfluss'!$A$4:$K$275,6,FALSE)="","",VLOOKUP(A261,'Débit - Abfluss'!$A$4:$M$275,6,FALSE))</f>
        <v/>
      </c>
      <c r="AO261" s="869" t="str">
        <f>IF(VLOOKUP(A261,'Débit - Abfluss'!$A$4:$K$275,7,FALSE)="","",VLOOKUP(A261,'Débit - Abfluss'!$A$4:$M$275,7,FALSE))</f>
        <v/>
      </c>
      <c r="AP261" s="766" t="str">
        <f>IF(VLOOKUP(A261,'Débit - Abfluss'!$A$4:$K$275,8,FALSE)="","",VLOOKUP(A261,'Débit - Abfluss'!$A$4:$M$275,8,FALSE))</f>
        <v>81-100%</v>
      </c>
      <c r="AQ261" s="678" t="str">
        <f>IF(VLOOKUP(A261,'Débit - Abfluss'!$A$4:$K$275,9,FALSE)="","",VLOOKUP(A261,'Débit - Abfluss'!$A$4:$M$275,9,FALSE))</f>
        <v>Fehlende Angaben</v>
      </c>
      <c r="AR261" s="770" t="str">
        <f>IF(VLOOKUP(A261,'Débit - Abfluss'!$A$4:$K$275,10,FALSE)="","",VLOOKUP(A261,'Débit - Abfluss'!$A$4:$M$275,10,FALSE))</f>
        <v>81-100%</v>
      </c>
      <c r="AS261" s="773" t="str">
        <f>IF(VLOOKUP(A261,'Débit - Abfluss'!$A$4:$K$275,11,FALSE)="","",VLOOKUP(A261,'Débit - Abfluss'!$A$4:$M$275,11,FALSE))</f>
        <v>X</v>
      </c>
      <c r="AT261" s="778" t="str">
        <f>IF(VLOOKUP(A261,'Débit - Abfluss'!$A$4:$Q$275,12,FALSE)="","",VLOOKUP(A261,'Débit - Abfluss'!$A$4:$Q$275,12,FALSE))</f>
        <v/>
      </c>
      <c r="AU261" s="779" t="str">
        <f>IF(VLOOKUP(A261,'Débit - Abfluss'!$A$4:$Q$275,13,FALSE)="","",VLOOKUP(A261,'Débit - Abfluss'!$A$4:$Q$275,13,FALSE))</f>
        <v/>
      </c>
      <c r="AV261" s="746" t="str">
        <f>IF(VLOOKUP(A261,'Débit - Abfluss'!$A$4:$Q$275,14,FALSE)="","",VLOOKUP(A261,'Débit - Abfluss'!$A$4:$Q$275,14,FALSE))</f>
        <v>GR-KWZ4-1</v>
      </c>
      <c r="AW261" s="768" t="str">
        <f>IF(VLOOKUP(A261,'Débit - Abfluss'!$A$4:$Q$275,15,FALSE)="","",VLOOKUP(A261,'Débit - Abfluss'!$A$4:$Q$275,15,FALSE))</f>
        <v>Realta</v>
      </c>
      <c r="AX261" s="679" t="str">
        <f>IF(VLOOKUP(A261,'Débit - Abfluss'!$A$4:$Q$275,16,FALSE)="","",VLOOKUP(A261,'Débit - Abfluss'!$A$4:$Q$275,16,FALSE))</f>
        <v/>
      </c>
      <c r="AY261" s="786" t="str">
        <f>IF(VLOOKUP(A261,'Débit - Abfluss'!$A$4:$Q$275,17,FALSE)="","",VLOOKUP(A261,'Débit - Abfluss'!$A$4:$Q$275,17,FALSE))</f>
        <v>81-100%</v>
      </c>
      <c r="AZ261" s="749" t="str">
        <f>IF(VLOOKUP(A261,'Eclusée - Schwall-Sunk'!$A$2:$F$273,5,FALSE)="","",VLOOKUP(A261,'Eclusée - Schwall-Sunk'!$A$2:$F$273,5,FALSE))</f>
        <v>force hydraulique</v>
      </c>
      <c r="BA261" s="750" t="str">
        <f>IF(VLOOKUP(A261,'Eclusée - Schwall-Sunk'!$A$2:$F$273,6,FALSE)="","",VLOOKUP(A261,'Eclusée - Schwall-Sunk'!$A$2:$F$273,6,FALSE))</f>
        <v>Potentiellement affecté / möglicherweise betroffen</v>
      </c>
      <c r="BB261" s="751" t="str">
        <f>IF(VLOOKUP(A261,'Revitalisation-Revitalisierung'!$A$4:$Z$275,5,FALSE)="","",VLOOKUP(A261,'Revitalisation-Revitalisierung'!$A$4:$Z$275,5,FALSE))</f>
        <v/>
      </c>
      <c r="BC261" s="752" t="str">
        <f>IF(VLOOKUP(A261,'Revitalisation-Revitalisierung'!$A$4:$Z$275,6,FALSE)="","",VLOOKUP(A261,'Revitalisation-Revitalisierung'!$A$4:$Z$275,6,FALSE))</f>
        <v/>
      </c>
      <c r="BD261" s="752" t="str">
        <f>IF(VLOOKUP(A261,'Revitalisation-Revitalisierung'!$A$4:$Z$275,7,FALSE)="","",VLOOKUP(A261,'Revitalisation-Revitalisierung'!$A$4:$Z$275,7,FALSE))</f>
        <v/>
      </c>
      <c r="BE261" s="753" t="str">
        <f>IF(VLOOKUP(A261,'Revitalisation-Revitalisierung'!$A$4:$Z$275,8,FALSE)="","",VLOOKUP(A261,'Revitalisation-Revitalisierung'!$A$4:$Z$275,8,FALSE))</f>
        <v>très nécessaire, facile</v>
      </c>
      <c r="BF261" s="754" t="str">
        <f>IF(VLOOKUP(A261,'Revitalisation-Revitalisierung'!$A$4:$Z$275,9,FALSE)="","",VLOOKUP(A261,'Revitalisation-Revitalisierung'!$A$4:$Z$275,9,FALSE))</f>
        <v/>
      </c>
      <c r="BG261" s="754" t="str">
        <f>IF(VLOOKUP(A261,'Revitalisation-Revitalisierung'!$A$4:$Z$275,10,FALSE)="","",VLOOKUP(A261,'Revitalisation-Revitalisierung'!$A$4:$Z$275,10,FALSE))</f>
        <v/>
      </c>
      <c r="BH261" s="755" t="str">
        <f>IF(VLOOKUP(A261,'Revitalisation-Revitalisierung'!$A$4:$Z$275,11,FALSE)="","",VLOOKUP(A261,'Revitalisation-Revitalisierung'!$A$4:$Z$275,11,FALSE))</f>
        <v/>
      </c>
      <c r="BI261" s="756" t="str">
        <f>IF(VLOOKUP(A261,'Revitalisation-Revitalisierung'!$A$4:$Z$275,12,FALSE)="","",VLOOKUP(A261,'Revitalisation-Revitalisierung'!$A$4:$Z$275,12,FALSE))</f>
        <v/>
      </c>
      <c r="BJ261" s="788" t="str">
        <f>IF(VLOOKUP(A261,'Revitalisation-Revitalisierung'!$A$4:$Z$275,13,FALSE)="","",VLOOKUP(A261,'Revitalisation-Revitalisierung'!$A$4:$Z$275,13,FALSE))</f>
        <v>Partiellement nécessaire, difficile / teilweise nötig, schwierig</v>
      </c>
      <c r="BK261" s="870" t="str">
        <f>IF(VLOOKUP(A261,'Revitalisation-Revitalisierung'!$A$4:$Z$275,14,FALSE)="","",VLOOKUP(A261,'Revitalisation-Revitalisierung'!$A$4:$Z$275,14,FALSE))</f>
        <v>b</v>
      </c>
      <c r="BL261" s="758" t="str">
        <f>IF(VLOOKUP(A261,'Revitalisation-Revitalisierung'!$A$4:$Z$275,15,FALSE)="","",VLOOKUP(A261,'Revitalisation-Revitalisierung'!$A$4:$Z$275,15,FALSE))</f>
        <v>gross</v>
      </c>
      <c r="BM261" s="759" t="str">
        <f>IF(VLOOKUP(A261,'Revitalisation-Revitalisierung'!$A$4:$Z$275,16,FALSE)="","",VLOOKUP(A261,'Revitalisation-Revitalisierung'!$A$4:$Z$275,16,FALSE))</f>
        <v>minim</v>
      </c>
      <c r="BN261" s="759" t="str">
        <f>IF(VLOOKUP(A261,'Revitalisation-Revitalisierung'!$A$4:$Z$275,17,FALSE)="","",VLOOKUP(A261,'Revitalisation-Revitalisierung'!$A$4:$Z$275,17,FALSE))</f>
        <v>gering</v>
      </c>
      <c r="BO261" s="760" t="str">
        <f>IF(VLOOKUP(A261,'Revitalisation-Revitalisierung'!$A$4:$Z$275,18,FALSE)="","",VLOOKUP(A261,'Revitalisation-Revitalisierung'!$A$4:$Z$275,18,FALSE))</f>
        <v>Non nécessaire / nicht nötig</v>
      </c>
      <c r="BP261" s="761" t="str">
        <f>IF(VLOOKUP(A261,'Revitalisation-Revitalisierung'!$A$4:$Z$275,19,FALSE)="","",VLOOKUP(A261,'Revitalisation-Revitalisierung'!$A$4:$Z$275,19,FALSE))</f>
        <v>Non nécessaire / nicht nötig</v>
      </c>
      <c r="BQ261" s="759" t="str">
        <f>IF(VLOOKUP(A261,'Revitalisation-Revitalisierung'!$A$4:$Z$275,20,FALSE)="","",VLOOKUP(A261,'Revitalisation-Revitalisierung'!$A$4:$Z$275,20,FALSE))</f>
        <v>c</v>
      </c>
      <c r="BR261" s="759" t="str">
        <f>IF(VLOOKUP(A261,'Revitalisation-Revitalisierung'!$A$4:$Z$275,21,FALSE)="","",VLOOKUP(A261,'Revitalisation-Revitalisierung'!$A$4:$Z$275,21,FALSE))</f>
        <v/>
      </c>
      <c r="BS261" s="762" t="str">
        <f>IF(VLOOKUP(A261,'Revitalisation-Revitalisierung'!$A$4:$Z$275,22,FALSE)="","",VLOOKUP(A261,'Revitalisation-Revitalisierung'!$A$4:$Z$275,22,FALSE))</f>
        <v/>
      </c>
      <c r="BT261" s="700" t="str">
        <f>IF(VLOOKUP(A261,'Revitalisation-Revitalisierung'!$A$4:$Z$275,23,FALSE)="","",VLOOKUP(A261,'Revitalisation-Revitalisierung'!$A$4:$Z$275,23,FALSE))</f>
        <v/>
      </c>
      <c r="BU261" s="699" t="str">
        <f>IF(VLOOKUP(A261,'Revitalisation-Revitalisierung'!$A$4:$Z$275,24,FALSE)="","",VLOOKUP(A261,'Revitalisation-Revitalisierung'!$A$4:$Z$275,24,FALSE))</f>
        <v/>
      </c>
      <c r="BV261" s="761" t="str">
        <f>IF(VLOOKUP(A261,'Revitalisation-Revitalisierung'!$A$4:$Z$275,25,FALSE)="","",VLOOKUP(A261,'Revitalisation-Revitalisierung'!$A$4:$Z$275,25,FALSE))</f>
        <v>Non nécessaire / nicht nötig</v>
      </c>
      <c r="BW261" s="871" t="str">
        <f>IF(VLOOKUP(A261,'Revitalisation-Revitalisierung'!$A$4:$AA$275,27,FALSE)="","",VLOOKUP(A261,'Revitalisation-Revitalisierung'!$A$4:$AA$275,27,FALSE))</f>
        <v>a</v>
      </c>
    </row>
    <row r="262" spans="1:75" ht="48" customHeight="1" x14ac:dyDescent="0.25">
      <c r="A262" s="941">
        <v>386</v>
      </c>
      <c r="B262" s="856">
        <f>IF(VLOOKUP(A262,'Données de base - Grunddaten'!$A$2:$M$297,2,FALSE)="","",VLOOKUP(A262,'Données de base - Grunddaten'!$A$2:$M$297,2,FALSE))</f>
        <v>1</v>
      </c>
      <c r="C262" s="857" t="str">
        <f>IF(VLOOKUP(A262,'Données de base - Grunddaten'!$A$2:$M$297,3,FALSE)="","",VLOOKUP(A262,'Données de base - Grunddaten'!$A$2:$M$297,3,FALSE))</f>
        <v>Wisshus</v>
      </c>
      <c r="D262" s="857" t="str">
        <f>IF(VLOOKUP(A262,'Données de base - Grunddaten'!$A$2:$M$297,4,FALSE)="","",VLOOKUP(A262,'Données de base - Grunddaten'!$A$2:$M$297,4,FALSE))</f>
        <v>Rabiusa</v>
      </c>
      <c r="E262" s="857" t="str">
        <f>IF(VLOOKUP(A262,'Données de base - Grunddaten'!$A$2:$M$297,5,FALSE)="","",VLOOKUP(A262,'Données de base - Grunddaten'!$A$2:$M$297,5,FALSE))</f>
        <v>GR</v>
      </c>
      <c r="F262" s="857" t="str">
        <f>IF(VLOOKUP(A262,'Données de base - Grunddaten'!$A$2:$M$297,6,FALSE)="","",VLOOKUP(A262,'Données de base - Grunddaten'!$A$2:$M$297,6,FALSE))</f>
        <v>Alpes centrales orientales</v>
      </c>
      <c r="G262" s="857" t="str">
        <f>IF(VLOOKUP(A262,'Données de base - Grunddaten'!$A$2:$M$297,7,FALSE)="","",VLOOKUP(A262,'Données de base - Grunddaten'!$A$2:$M$297,7,FALSE))</f>
        <v>Subalpin sup.</v>
      </c>
      <c r="H262" s="857" t="str">
        <f>IF(VLOOKUP(A262,'Données de base - Grunddaten'!$A$2:$M$297,8,FALSE)="","",VLOOKUP(A262,'Données de base - Grunddaten'!$A$2:$M$297,8,FALSE))</f>
        <v>1740 m</v>
      </c>
      <c r="I262" s="857" t="str">
        <f>IF(VLOOKUP(A262,'Données de base - Grunddaten'!$A$2:$M$297,9,FALSE)="","",VLOOKUP(A262,'Données de base - Grunddaten'!$A$2:$M$297,9,FALSE))</f>
        <v>candidat</v>
      </c>
      <c r="J262" s="857">
        <f>IF(VLOOKUP(A262,'Données de base - Grunddaten'!$A$2:$M$297,10,FALSE)="","",VLOOKUP(A262,'Données de base - Grunddaten'!$A$2:$M$297,10,FALSE))</f>
        <v>31</v>
      </c>
      <c r="K262" s="857" t="str">
        <f>IF(VLOOKUP(A262,'Données de base - Grunddaten'!$A$2:$M$297,11,FALSE)="","",VLOOKUP(A262,'Données de base - Grunddaten'!$A$2:$M$297,11,FALSE))</f>
        <v>Cours d'eau naturels de l'étage subalpin</v>
      </c>
      <c r="L262" s="857" t="str">
        <f>IF(VLOOKUP(A262,'Données de base - Grunddaten'!$A$2:$M$297,12,FALSE)="","",VLOOKUP(A262,'Données de base - Grunddaten'!$A$2:$M$297,12,FALSE))</f>
        <v>en tresses</v>
      </c>
      <c r="M262" s="858" t="str">
        <f>IF(VLOOKUP(A262,'Données de base - Grunddaten'!$A$2:$M$297,13,FALSE)="","",VLOOKUP(A262,'Données de base - Grunddaten'!$A$2:$M$297,13,FALSE))</f>
        <v>en tresses</v>
      </c>
      <c r="N262" s="872" t="str">
        <f>IF(VLOOKUP(A262,'Charriage - Geschiebehaushalt'!$A$4:$R$275,5,FALSE)="","",VLOOKUP(A262,'Charriage - Geschiebehaushalt'!$A$4:$R$275,5,FALSE))</f>
        <v>pertinent</v>
      </c>
      <c r="O262" s="873" t="str">
        <f>IF(VLOOKUP(A262,'Charriage - Geschiebehaushalt'!$A$4:$R$275,6,FALSE)="","",VLOOKUP(A262,'Charriage - Geschiebehaushalt'!$A$4:$R$275,6,FALSE))</f>
        <v>0-20%</v>
      </c>
      <c r="P262" s="874" t="str">
        <f>IF(VLOOKUP(A262,'Charriage - Geschiebehaushalt'!$A$4:$R$275,7,FALSE)="","",VLOOKUP(A262,'Charriage - Geschiebehaushalt'!$A$4:$R$275,7,FALSE))</f>
        <v/>
      </c>
      <c r="Q262" s="874" t="str">
        <f>IF(VLOOKUP(A262,'Charriage - Geschiebehaushalt'!$A$4:$R$275,8,FALSE)="","",VLOOKUP(A262,'Charriage - Geschiebehaushalt'!$A$4:$R$275,8,FALSE))</f>
        <v>non documenté</v>
      </c>
      <c r="R262" s="875">
        <f>IF(VLOOKUP(A262,'Charriage - Geschiebehaushalt'!$A$4:$R$275,9,FALSE)="","",VLOOKUP(A262,'Charriage - Geschiebehaushalt'!$A$4:$R$275,9,FALSE))</f>
        <v>0.122</v>
      </c>
      <c r="S262" s="876" t="str">
        <f>IF(VLOOKUP(A262,'Charriage - Geschiebehaushalt'!$A$4:$R$275,10,FALSE)="","",VLOOKUP(A262,'Charriage - Geschiebehaushalt'!$A$4:$R$275,10,FALSE))</f>
        <v>pas ou faiblement entravé</v>
      </c>
      <c r="T262" s="875">
        <f>IF(VLOOKUP(A262,'Charriage - Geschiebehaushalt'!$A$4:$R$275,11,FALSE)="","",VLOOKUP(A262,'Charriage - Geschiebehaushalt'!$A$4:$R$275,11,FALSE))</f>
        <v>0.108</v>
      </c>
      <c r="U262" s="876" t="str">
        <f>IF(VLOOKUP(A262,'Charriage - Geschiebehaushalt'!$A$4:$R$275,12,FALSE)="","",VLOOKUP(A262,'Charriage - Geschiebehaushalt'!$A$4:$R$275,12,FALSE))</f>
        <v>déficit dans les formations pionnières</v>
      </c>
      <c r="V262" s="877" t="str">
        <f>IF(VLOOKUP(A262,'Charriage - Geschiebehaushalt'!$A$4:$R$275,13,FALSE)="","",VLOOKUP(A262,'Charriage - Geschiebehaushalt'!$A$4:$R$275,13,FALSE))</f>
        <v/>
      </c>
      <c r="W262" s="877" t="str">
        <f>IF(VLOOKUP(A262,'Charriage - Geschiebehaushalt'!$A$4:$R$275,14,FALSE)="","",VLOOKUP(A262,'Charriage - Geschiebehaushalt'!$A$4:$R$275,14,FALSE))</f>
        <v/>
      </c>
      <c r="X262" s="877" t="str">
        <f>IF(VLOOKUP(A262,'Charriage - Geschiebehaushalt'!$A$4:$R$275,15,FALSE)="","",VLOOKUP(A262,'Charriage - Geschiebehaushalt'!$A$4:$R$275,15,FALSE))</f>
        <v/>
      </c>
      <c r="Y262" s="879" t="str">
        <f>IF(VLOOKUP(A262,'Charriage - Geschiebehaushalt'!$A$4:$R$275,16,FALSE)="","",VLOOKUP(A262,'Charriage - Geschiebehaushalt'!$A$4:$R$275,16,FALSE))</f>
        <v/>
      </c>
      <c r="Z262" s="763" t="str">
        <f>IF(VLOOKUP(A262,'Charriage - Geschiebehaushalt'!$A$4:$R$275,17,FALSE)="","",VLOOKUP(A262,'Charriage - Geschiebehaushalt'!$A$4:$R$275,17,FALSE))</f>
        <v>0-20%</v>
      </c>
      <c r="AA262" s="880" t="str">
        <f>IF(VLOOKUP(A262,'Charriage - Geschiebehaushalt'!$A$4:$R$275,18,FALSE)="","",VLOOKUP(A262,'Charriage - Geschiebehaushalt'!$A$4:$R$275,18,FALSE))</f>
        <v>a</v>
      </c>
      <c r="AB262" s="737" t="e">
        <f>IF(VLOOKUP(A262,'Charriage - Geschiebehaushalt'!$A$4:$AC$275,19,FALSE)="","",VLOOKUP(A262,'Charriage - Geschiebehaushalt'!$A$4:$AC$275,19,FALSE))</f>
        <v>#N/A</v>
      </c>
      <c r="AC262" s="738" t="e">
        <f>IF(VLOOKUP(A262,'Charriage - Geschiebehaushalt'!$A$4:$AC$275,20,FALSE)="","",VLOOKUP(A262,'Charriage - Geschiebehaushalt'!$A$4:$AC$275,20,FALSE))</f>
        <v>#N/A</v>
      </c>
      <c r="AD262" s="764" t="str">
        <f>IF(VLOOKUP(A262,'Charriage - Geschiebehaushalt'!$A$4:$AC$275,21,FALSE)="","",VLOOKUP(A262,'Charriage - Geschiebehaushalt'!$A$4:$AC$275,21,FALSE))</f>
        <v/>
      </c>
      <c r="AE262" s="740" t="str">
        <f>IF(VLOOKUP(A262,'Charriage - Geschiebehaushalt'!$A$4:$AC$275,22,FALSE)="","",VLOOKUP(A262,'Charriage - Geschiebehaushalt'!$A$4:$AC$275,22,FALSE))</f>
        <v>0-20%</v>
      </c>
      <c r="AF262" s="787" t="str">
        <f>IF(VLOOKUP(A262,'Charriage - Geschiebehaushalt'!$A$4:$AC$275,23,FALSE)="","",VLOOKUP(A262,'Charriage - Geschiebehaushalt'!$A$4:$AC$275,23,FALSE))</f>
        <v>a</v>
      </c>
      <c r="AG262" s="765" t="str">
        <f>IF(VLOOKUP(A262,'Charriage - Geschiebehaushalt'!$A$4:$AC$275,24,FALSE)="","",VLOOKUP(A262,'Charriage - Geschiebehaushalt'!$A$4:$AC$275,24,FALSE))</f>
        <v/>
      </c>
      <c r="AH262" s="764" t="str">
        <f>IF(VLOOKUP(A262,'Charriage - Geschiebehaushalt'!$A$4:$AC$275,25,FALSE)="","",VLOOKUP(A262,'Charriage - Geschiebehaushalt'!$A$4:$AC$275,25,FALSE))</f>
        <v/>
      </c>
      <c r="AI262" s="435" t="str">
        <f>IF(VLOOKUP(A262,'Charriage - Geschiebehaushalt'!$A$4:$AC$275,26,FALSE)="","",VLOOKUP(A262,'Charriage - Geschiebehaushalt'!$A$4:$AC$275,26,FALSE))</f>
        <v/>
      </c>
      <c r="AJ262" s="436" t="str">
        <f>IF(VLOOKUP(A262,'Charriage - Geschiebehaushalt'!$A$4:$AC$275,27,FALSE)="","",VLOOKUP(A262,'Charriage - Geschiebehaushalt'!$A$4:$AC$275,27,FALSE))</f>
        <v/>
      </c>
      <c r="AK262" s="801" t="str">
        <f>IF(VLOOKUP(A262,'Charriage - Geschiebehaushalt'!$A$4:$AC$275,28,FALSE)="","",VLOOKUP(A262,'Charriage - Geschiebehaushalt'!$A$4:$AC$275,28,FALSE))</f>
        <v>0-20%</v>
      </c>
      <c r="AL262" s="1285" t="str">
        <f>IF(VLOOKUP(A262,'Charriage - Geschiebehaushalt'!$A$4:$AD$275,30,FALSE)="","",VLOOKUP(A262,'Charriage - Geschiebehaushalt'!$A$4:$AD$275,30,FALSE))</f>
        <v>a</v>
      </c>
      <c r="AM262" s="1279" t="str">
        <f>IF(VLOOKUP(A262,'Débit - Abfluss'!$A$4:$K$275,5,FALSE)="","",VLOOKUP(A262,'Débit - Abfluss'!$A$4:$M$275,5,FALSE))</f>
        <v>0-20%</v>
      </c>
      <c r="AN262" s="868" t="str">
        <f>IF(VLOOKUP(A262,'Débit - Abfluss'!$A$4:$K$275,6,FALSE)="","",VLOOKUP(A262,'Débit - Abfluss'!$A$4:$M$275,6,FALSE))</f>
        <v/>
      </c>
      <c r="AO262" s="869" t="str">
        <f>IF(VLOOKUP(A262,'Débit - Abfluss'!$A$4:$K$275,7,FALSE)="","",VLOOKUP(A262,'Débit - Abfluss'!$A$4:$M$275,7,FALSE))</f>
        <v/>
      </c>
      <c r="AP262" s="766" t="str">
        <f>IF(VLOOKUP(A262,'Débit - Abfluss'!$A$4:$K$275,8,FALSE)="","",VLOOKUP(A262,'Débit - Abfluss'!$A$4:$M$275,8,FALSE))</f>
        <v>0-20%</v>
      </c>
      <c r="AQ262" s="742" t="str">
        <f>IF(VLOOKUP(A262,'Débit - Abfluss'!$A$4:$K$275,9,FALSE)="","",VLOOKUP(A262,'Débit - Abfluss'!$A$4:$M$275,9,FALSE))</f>
        <v>-</v>
      </c>
      <c r="AR262" s="767" t="str">
        <f>IF(VLOOKUP(A262,'Débit - Abfluss'!$A$4:$K$275,10,FALSE)="","",VLOOKUP(A262,'Débit - Abfluss'!$A$4:$M$275,10,FALSE))</f>
        <v>0-20%</v>
      </c>
      <c r="AS262" s="767" t="str">
        <f>IF(VLOOKUP(A262,'Débit - Abfluss'!$A$4:$K$275,11,FALSE)="","",VLOOKUP(A262,'Débit - Abfluss'!$A$4:$M$275,11,FALSE))</f>
        <v/>
      </c>
      <c r="AT262" s="778" t="str">
        <f>IF(VLOOKUP(A262,'Débit - Abfluss'!$A$4:$Q$275,12,FALSE)="","",VLOOKUP(A262,'Débit - Abfluss'!$A$4:$Q$275,12,FALSE))</f>
        <v/>
      </c>
      <c r="AU262" s="779" t="str">
        <f>IF(VLOOKUP(A262,'Débit - Abfluss'!$A$4:$Q$275,13,FALSE)="","",VLOOKUP(A262,'Débit - Abfluss'!$A$4:$Q$275,13,FALSE))</f>
        <v/>
      </c>
      <c r="AV262" s="746" t="str">
        <f>IF(VLOOKUP(A262,'Débit - Abfluss'!$A$4:$Q$275,14,FALSE)="","",VLOOKUP(A262,'Débit - Abfluss'!$A$4:$Q$275,14,FALSE))</f>
        <v>GR-KWZ2-4</v>
      </c>
      <c r="AW262" s="768" t="str">
        <f>IF(VLOOKUP(A262,'Débit - Abfluss'!$A$4:$Q$275,15,FALSE)="","",VLOOKUP(A262,'Débit - Abfluss'!$A$4:$Q$275,15,FALSE))</f>
        <v>Safien Platz</v>
      </c>
      <c r="AX262" s="679" t="str">
        <f>IF(VLOOKUP(A262,'Débit - Abfluss'!$A$4:$Q$275,16,FALSE)="","",VLOOKUP(A262,'Débit - Abfluss'!$A$4:$Q$275,16,FALSE))</f>
        <v/>
      </c>
      <c r="AY262" s="769" t="str">
        <f>IF(VLOOKUP(A262,'Débit - Abfluss'!$A$4:$Q$275,17,FALSE)="","",VLOOKUP(A262,'Débit - Abfluss'!$A$4:$Q$275,17,FALSE))</f>
        <v>0-20%</v>
      </c>
      <c r="AZ262" s="749" t="str">
        <f>IF(VLOOKUP(A262,'Eclusée - Schwall-Sunk'!$A$2:$F$273,5,FALSE)="","",VLOOKUP(A262,'Eclusée - Schwall-Sunk'!$A$2:$F$273,5,FALSE))</f>
        <v>force hydraulique</v>
      </c>
      <c r="BA262" s="750" t="str">
        <f>IF(VLOOKUP(A262,'Eclusée - Schwall-Sunk'!$A$2:$F$273,6,FALSE)="","",VLOOKUP(A262,'Eclusée - Schwall-Sunk'!$A$2:$F$273,6,FALSE))</f>
        <v>Non affecté / nicht betroffen</v>
      </c>
      <c r="BB262" s="751" t="str">
        <f>IF(VLOOKUP(A262,'Revitalisation-Revitalisierung'!$A$4:$Z$275,5,FALSE)="","",VLOOKUP(A262,'Revitalisation-Revitalisierung'!$A$4:$Z$275,5,FALSE))</f>
        <v/>
      </c>
      <c r="BC262" s="752" t="str">
        <f>IF(VLOOKUP(A262,'Revitalisation-Revitalisierung'!$A$4:$Z$275,6,FALSE)="","",VLOOKUP(A262,'Revitalisation-Revitalisierung'!$A$4:$Z$275,6,FALSE))</f>
        <v/>
      </c>
      <c r="BD262" s="752" t="str">
        <f>IF(VLOOKUP(A262,'Revitalisation-Revitalisierung'!$A$4:$Z$275,7,FALSE)="","",VLOOKUP(A262,'Revitalisation-Revitalisierung'!$A$4:$Z$275,7,FALSE))</f>
        <v/>
      </c>
      <c r="BE262" s="753" t="str">
        <f>IF(VLOOKUP(A262,'Revitalisation-Revitalisierung'!$A$4:$Z$275,8,FALSE)="","",VLOOKUP(A262,'Revitalisation-Revitalisierung'!$A$4:$Z$275,8,FALSE))</f>
        <v>non nécessaire</v>
      </c>
      <c r="BF262" s="754" t="str">
        <f>IF(VLOOKUP(A262,'Revitalisation-Revitalisierung'!$A$4:$Z$275,9,FALSE)="","",VLOOKUP(A262,'Revitalisation-Revitalisierung'!$A$4:$Z$275,9,FALSE))</f>
        <v>nicht nötig</v>
      </c>
      <c r="BG262" s="754" t="str">
        <f>IF(VLOOKUP(A262,'Revitalisation-Revitalisierung'!$A$4:$Z$275,10,FALSE)="","",VLOOKUP(A262,'Revitalisation-Revitalisierung'!$A$4:$Z$275,10,FALSE))</f>
        <v/>
      </c>
      <c r="BH262" s="755" t="str">
        <f>IF(VLOOKUP(A262,'Revitalisation-Revitalisierung'!$A$4:$Z$275,11,FALSE)="","",VLOOKUP(A262,'Revitalisation-Revitalisierung'!$A$4:$Z$275,11,FALSE))</f>
        <v/>
      </c>
      <c r="BI262" s="756" t="str">
        <f>IF(VLOOKUP(A262,'Revitalisation-Revitalisierung'!$A$4:$Z$275,12,FALSE)="","",VLOOKUP(A262,'Revitalisation-Revitalisierung'!$A$4:$Z$275,12,FALSE))</f>
        <v/>
      </c>
      <c r="BJ262" s="788" t="str">
        <f>IF(VLOOKUP(A262,'Revitalisation-Revitalisierung'!$A$4:$Z$275,13,FALSE)="","",VLOOKUP(A262,'Revitalisation-Revitalisierung'!$A$4:$Z$275,13,FALSE))</f>
        <v>Non nécessaire / nicht nötig</v>
      </c>
      <c r="BK262" s="870" t="str">
        <f>IF(VLOOKUP(A262,'Revitalisation-Revitalisierung'!$A$4:$Z$275,14,FALSE)="","",VLOOKUP(A262,'Revitalisation-Revitalisierung'!$A$4:$Z$275,14,FALSE))</f>
        <v>a</v>
      </c>
      <c r="BL262" s="758" t="e">
        <f>IF(VLOOKUP(A262,'Revitalisation-Revitalisierung'!$A$4:$Z$275,15,FALSE)="","",VLOOKUP(A262,'Revitalisation-Revitalisierung'!$A$4:$Z$275,15,FALSE))</f>
        <v>#N/A</v>
      </c>
      <c r="BM262" s="759" t="e">
        <f>IF(VLOOKUP(A262,'Revitalisation-Revitalisierung'!$A$4:$Z$275,16,FALSE)="","",VLOOKUP(A262,'Revitalisation-Revitalisierung'!$A$4:$Z$275,16,FALSE))</f>
        <v>#N/A</v>
      </c>
      <c r="BN262" s="759" t="e">
        <f>IF(VLOOKUP(A262,'Revitalisation-Revitalisierung'!$A$4:$Z$275,17,FALSE)="","",VLOOKUP(A262,'Revitalisation-Revitalisierung'!$A$4:$Z$275,17,FALSE))</f>
        <v>#N/A</v>
      </c>
      <c r="BO262" s="760" t="str">
        <f>IF(VLOOKUP(A262,'Revitalisation-Revitalisierung'!$A$4:$Z$275,18,FALSE)="","",VLOOKUP(A262,'Revitalisation-Revitalisierung'!$A$4:$Z$275,18,FALSE))</f>
        <v/>
      </c>
      <c r="BP262" s="761" t="str">
        <f>IF(VLOOKUP(A262,'Revitalisation-Revitalisierung'!$A$4:$Z$275,19,FALSE)="","",VLOOKUP(A262,'Revitalisation-Revitalisierung'!$A$4:$Z$275,19,FALSE))</f>
        <v>Non nécessaire / nicht nötig</v>
      </c>
      <c r="BQ262" s="759" t="str">
        <f>IF(VLOOKUP(A262,'Revitalisation-Revitalisierung'!$A$4:$Z$275,20,FALSE)="","",VLOOKUP(A262,'Revitalisation-Revitalisierung'!$A$4:$Z$275,20,FALSE))</f>
        <v>a</v>
      </c>
      <c r="BR262" s="759" t="str">
        <f>IF(VLOOKUP(A262,'Revitalisation-Revitalisierung'!$A$4:$Z$275,21,FALSE)="","",VLOOKUP(A262,'Revitalisation-Revitalisierung'!$A$4:$Z$275,21,FALSE))</f>
        <v/>
      </c>
      <c r="BS262" s="762" t="str">
        <f>IF(VLOOKUP(A262,'Revitalisation-Revitalisierung'!$A$4:$Z$275,22,FALSE)="","",VLOOKUP(A262,'Revitalisation-Revitalisierung'!$A$4:$Z$275,22,FALSE))</f>
        <v/>
      </c>
      <c r="BT262" s="700" t="str">
        <f>IF(VLOOKUP(A262,'Revitalisation-Revitalisierung'!$A$4:$Z$275,23,FALSE)="","",VLOOKUP(A262,'Revitalisation-Revitalisierung'!$A$4:$Z$275,23,FALSE))</f>
        <v/>
      </c>
      <c r="BU262" s="699" t="str">
        <f>IF(VLOOKUP(A262,'Revitalisation-Revitalisierung'!$A$4:$Z$275,24,FALSE)="","",VLOOKUP(A262,'Revitalisation-Revitalisierung'!$A$4:$Z$275,24,FALSE))</f>
        <v/>
      </c>
      <c r="BV262" s="761" t="str">
        <f>IF(VLOOKUP(A262,'Revitalisation-Revitalisierung'!$A$4:$Z$275,25,FALSE)="","",VLOOKUP(A262,'Revitalisation-Revitalisierung'!$A$4:$Z$275,25,FALSE))</f>
        <v>Non nécessaire / nicht nötig</v>
      </c>
      <c r="BW262" s="871" t="str">
        <f>IF(VLOOKUP(A262,'Revitalisation-Revitalisierung'!$A$4:$AA$275,27,FALSE)="","",VLOOKUP(A262,'Revitalisation-Revitalisierung'!$A$4:$AA$275,27,FALSE))</f>
        <v>a</v>
      </c>
    </row>
    <row r="263" spans="1:75" ht="43.15" customHeight="1" x14ac:dyDescent="0.25">
      <c r="A263" s="1230">
        <v>387</v>
      </c>
      <c r="B263" s="856">
        <f>IF(VLOOKUP(A263,'Données de base - Grunddaten'!$A$2:$M$297,2,FALSE)="","",VLOOKUP(A263,'Données de base - Grunddaten'!$A$2:$M$297,2,FALSE))</f>
        <v>1</v>
      </c>
      <c r="C263" s="857" t="str">
        <f>IF(VLOOKUP(A263,'Données de base - Grunddaten'!$A$2:$M$297,3,FALSE)="","",VLOOKUP(A263,'Données de base - Grunddaten'!$A$2:$M$297,3,FALSE))</f>
        <v>Safien-Platz</v>
      </c>
      <c r="D263" s="857" t="str">
        <f>IF(VLOOKUP(A263,'Données de base - Grunddaten'!$A$2:$M$297,4,FALSE)="","",VLOOKUP(A263,'Données de base - Grunddaten'!$A$2:$M$297,4,FALSE))</f>
        <v>Rabiusa</v>
      </c>
      <c r="E263" s="857" t="str">
        <f>IF(VLOOKUP(A263,'Données de base - Grunddaten'!$A$2:$M$297,5,FALSE)="","",VLOOKUP(A263,'Données de base - Grunddaten'!$A$2:$M$297,5,FALSE))</f>
        <v>GR</v>
      </c>
      <c r="F263" s="857" t="str">
        <f>IF(VLOOKUP(A263,'Données de base - Grunddaten'!$A$2:$M$297,6,FALSE)="","",VLOOKUP(A263,'Données de base - Grunddaten'!$A$2:$M$297,6,FALSE))</f>
        <v>Alpes centrales orientales</v>
      </c>
      <c r="G263" s="857" t="str">
        <f>IF(VLOOKUP(A263,'Données de base - Grunddaten'!$A$2:$M$297,7,FALSE)="","",VLOOKUP(A263,'Données de base - Grunddaten'!$A$2:$M$297,7,FALSE))</f>
        <v>Subalpin inf.</v>
      </c>
      <c r="H263" s="857" t="str">
        <f>IF(VLOOKUP(A263,'Données de base - Grunddaten'!$A$2:$M$297,8,FALSE)="","",VLOOKUP(A263,'Données de base - Grunddaten'!$A$2:$M$297,8,FALSE))</f>
        <v>1220 m</v>
      </c>
      <c r="I263" s="857" t="str">
        <f>IF(VLOOKUP(A263,'Données de base - Grunddaten'!$A$2:$M$297,9,FALSE)="","",VLOOKUP(A263,'Données de base - Grunddaten'!$A$2:$M$297,9,FALSE))</f>
        <v>candidat</v>
      </c>
      <c r="J263" s="857">
        <f>IF(VLOOKUP(A263,'Données de base - Grunddaten'!$A$2:$M$297,10,FALSE)="","",VLOOKUP(A263,'Données de base - Grunddaten'!$A$2:$M$297,10,FALSE))</f>
        <v>31</v>
      </c>
      <c r="K263" s="857" t="str">
        <f>IF(VLOOKUP(A263,'Données de base - Grunddaten'!$A$2:$M$297,11,FALSE)="","",VLOOKUP(A263,'Données de base - Grunddaten'!$A$2:$M$297,11,FALSE))</f>
        <v>Cours d'eau naturels de l'étage subalpin</v>
      </c>
      <c r="L263" s="857" t="str">
        <f>IF(VLOOKUP(A263,'Données de base - Grunddaten'!$A$2:$M$297,12,FALSE)="","",VLOOKUP(A263,'Données de base - Grunddaten'!$A$2:$M$297,12,FALSE))</f>
        <v>en tresses</v>
      </c>
      <c r="M263" s="858" t="str">
        <f>IF(VLOOKUP(A263,'Données de base - Grunddaten'!$A$2:$M$297,13,FALSE)="","",VLOOKUP(A263,'Données de base - Grunddaten'!$A$2:$M$297,13,FALSE))</f>
        <v>en tresses</v>
      </c>
      <c r="N263" s="872" t="str">
        <f>IF(VLOOKUP(A263,'Charriage - Geschiebehaushalt'!$A$4:$R$275,5,FALSE)="","",VLOOKUP(A263,'Charriage - Geschiebehaushalt'!$A$4:$R$275,5,FALSE))</f>
        <v>pertinent</v>
      </c>
      <c r="O263" s="873" t="str">
        <f>IF(VLOOKUP(A263,'Charriage - Geschiebehaushalt'!$A$4:$R$275,6,FALSE)="","",VLOOKUP(A263,'Charriage - Geschiebehaushalt'!$A$4:$R$275,6,FALSE))</f>
        <v>0-20%</v>
      </c>
      <c r="P263" s="874" t="str">
        <f>IF(VLOOKUP(A263,'Charriage - Geschiebehaushalt'!$A$4:$R$275,7,FALSE)="","",VLOOKUP(A263,'Charriage - Geschiebehaushalt'!$A$4:$R$275,7,FALSE))</f>
        <v/>
      </c>
      <c r="Q263" s="874" t="str">
        <f>IF(VLOOKUP(A263,'Charriage - Geschiebehaushalt'!$A$4:$R$275,8,FALSE)="","",VLOOKUP(A263,'Charriage - Geschiebehaushalt'!$A$4:$R$275,8,FALSE))</f>
        <v>non documenté</v>
      </c>
      <c r="R263" s="875">
        <f>IF(VLOOKUP(A263,'Charriage - Geschiebehaushalt'!$A$4:$R$275,9,FALSE)="","",VLOOKUP(A263,'Charriage - Geschiebehaushalt'!$A$4:$R$275,9,FALSE))</f>
        <v>4.5999999999999999E-2</v>
      </c>
      <c r="S263" s="876" t="str">
        <f>IF(VLOOKUP(A263,'Charriage - Geschiebehaushalt'!$A$4:$R$275,10,FALSE)="","",VLOOKUP(A263,'Charriage - Geschiebehaushalt'!$A$4:$R$275,10,FALSE))</f>
        <v>pas ou faiblement entravé</v>
      </c>
      <c r="T263" s="875">
        <f>IF(VLOOKUP(A263,'Charriage - Geschiebehaushalt'!$A$4:$R$275,11,FALSE)="","",VLOOKUP(A263,'Charriage - Geschiebehaushalt'!$A$4:$R$275,11,FALSE))</f>
        <v>0.23200000000000001</v>
      </c>
      <c r="U263" s="876" t="str">
        <f>IF(VLOOKUP(A263,'Charriage - Geschiebehaushalt'!$A$4:$R$275,12,FALSE)="","",VLOOKUP(A263,'Charriage - Geschiebehaushalt'!$A$4:$R$275,12,FALSE))</f>
        <v>déficit dans les formations pionnières</v>
      </c>
      <c r="V263" s="877" t="str">
        <f>IF(VLOOKUP(A263,'Charriage - Geschiebehaushalt'!$A$4:$R$275,13,FALSE)="","",VLOOKUP(A263,'Charriage - Geschiebehaushalt'!$A$4:$R$275,13,FALSE))</f>
        <v/>
      </c>
      <c r="W263" s="877" t="str">
        <f>IF(VLOOKUP(A263,'Charriage - Geschiebehaushalt'!$A$4:$R$275,14,FALSE)="","",VLOOKUP(A263,'Charriage - Geschiebehaushalt'!$A$4:$R$275,14,FALSE))</f>
        <v/>
      </c>
      <c r="X263" s="877" t="str">
        <f>IF(VLOOKUP(A263,'Charriage - Geschiebehaushalt'!$A$4:$R$275,15,FALSE)="","",VLOOKUP(A263,'Charriage - Geschiebehaushalt'!$A$4:$R$275,15,FALSE))</f>
        <v/>
      </c>
      <c r="Y263" s="879" t="str">
        <f>IF(VLOOKUP(A263,'Charriage - Geschiebehaushalt'!$A$4:$R$275,16,FALSE)="","",VLOOKUP(A263,'Charriage - Geschiebehaushalt'!$A$4:$R$275,16,FALSE))</f>
        <v/>
      </c>
      <c r="Z263" s="763" t="str">
        <f>IF(VLOOKUP(A263,'Charriage - Geschiebehaushalt'!$A$4:$R$275,17,FALSE)="","",VLOOKUP(A263,'Charriage - Geschiebehaushalt'!$A$4:$R$275,17,FALSE))</f>
        <v>0-20%</v>
      </c>
      <c r="AA263" s="880" t="str">
        <f>IF(VLOOKUP(A263,'Charriage - Geschiebehaushalt'!$A$4:$R$275,18,FALSE)="","",VLOOKUP(A263,'Charriage - Geschiebehaushalt'!$A$4:$R$275,18,FALSE))</f>
        <v>a</v>
      </c>
      <c r="AB263" s="737" t="str">
        <f>IF(VLOOKUP(A263,'Charriage - Geschiebehaushalt'!$A$4:$AC$275,19,FALSE)="","",VLOOKUP(A263,'Charriage - Geschiebehaushalt'!$A$4:$AC$275,19,FALSE))</f>
        <v>keine</v>
      </c>
      <c r="AC263" s="738">
        <f>IF(VLOOKUP(A263,'Charriage - Geschiebehaushalt'!$A$4:$AC$275,20,FALSE)="","",VLOOKUP(A263,'Charriage - Geschiebehaushalt'!$A$4:$AC$275,20,FALSE))</f>
        <v>0</v>
      </c>
      <c r="AD263" s="764" t="str">
        <f>IF(VLOOKUP(A263,'Charriage - Geschiebehaushalt'!$A$4:$AC$275,21,FALSE)="","",VLOOKUP(A263,'Charriage - Geschiebehaushalt'!$A$4:$AC$275,21,FALSE))</f>
        <v>0-20%</v>
      </c>
      <c r="AE263" s="740" t="str">
        <f>IF(VLOOKUP(A263,'Charriage - Geschiebehaushalt'!$A$4:$AC$275,22,FALSE)="","",VLOOKUP(A263,'Charriage - Geschiebehaushalt'!$A$4:$AC$275,22,FALSE))</f>
        <v>0-20%</v>
      </c>
      <c r="AF263" s="787" t="str">
        <f>IF(VLOOKUP(A263,'Charriage - Geschiebehaushalt'!$A$4:$AC$275,23,FALSE)="","",VLOOKUP(A263,'Charriage - Geschiebehaushalt'!$A$4:$AC$275,23,FALSE))</f>
        <v>d</v>
      </c>
      <c r="AG263" s="765" t="str">
        <f>IF(VLOOKUP(A263,'Charriage - Geschiebehaushalt'!$A$4:$AC$275,24,FALSE)="","",VLOOKUP(A263,'Charriage - Geschiebehaushalt'!$A$4:$AC$275,24,FALSE))</f>
        <v/>
      </c>
      <c r="AH263" s="764" t="str">
        <f>IF(VLOOKUP(A263,'Charriage - Geschiebehaushalt'!$A$4:$AC$275,25,FALSE)="","",VLOOKUP(A263,'Charriage - Geschiebehaushalt'!$A$4:$AC$275,25,FALSE))</f>
        <v/>
      </c>
      <c r="AI263" s="435" t="str">
        <f>IF(VLOOKUP(A263,'Charriage - Geschiebehaushalt'!$A$4:$AC$275,26,FALSE)="","",VLOOKUP(A263,'Charriage - Geschiebehaushalt'!$A$4:$AC$275,26,FALSE))</f>
        <v/>
      </c>
      <c r="AJ263" s="436" t="str">
        <f>IF(VLOOKUP(A263,'Charriage - Geschiebehaushalt'!$A$4:$AC$275,27,FALSE)="","",VLOOKUP(A263,'Charriage - Geschiebehaushalt'!$A$4:$AC$275,27,FALSE))</f>
        <v/>
      </c>
      <c r="AK263" s="801" t="str">
        <f>IF(VLOOKUP(A263,'Charriage - Geschiebehaushalt'!$A$4:$AC$275,28,FALSE)="","",VLOOKUP(A263,'Charriage - Geschiebehaushalt'!$A$4:$AC$275,28,FALSE))</f>
        <v>0-20%</v>
      </c>
      <c r="AL263" s="1285" t="str">
        <f>IF(VLOOKUP(A263,'Charriage - Geschiebehaushalt'!$A$4:$AD$275,30,FALSE)="","",VLOOKUP(A263,'Charriage - Geschiebehaushalt'!$A$4:$AD$275,30,FALSE))</f>
        <v>a</v>
      </c>
      <c r="AM263" s="1279" t="str">
        <f>IF(VLOOKUP(A263,'Débit - Abfluss'!$A$4:$K$275,5,FALSE)="","",VLOOKUP(A263,'Débit - Abfluss'!$A$4:$M$275,5,FALSE))</f>
        <v>0-20%</v>
      </c>
      <c r="AN263" s="868" t="str">
        <f>IF(VLOOKUP(A263,'Débit - Abfluss'!$A$4:$K$275,6,FALSE)="","",VLOOKUP(A263,'Débit - Abfluss'!$A$4:$M$275,6,FALSE))</f>
        <v/>
      </c>
      <c r="AO263" s="869" t="str">
        <f>IF(VLOOKUP(A263,'Débit - Abfluss'!$A$4:$K$275,7,FALSE)="","",VLOOKUP(A263,'Débit - Abfluss'!$A$4:$M$275,7,FALSE))</f>
        <v/>
      </c>
      <c r="AP263" s="766" t="str">
        <f>IF(VLOOKUP(A263,'Débit - Abfluss'!$A$4:$K$275,8,FALSE)="","",VLOOKUP(A263,'Débit - Abfluss'!$A$4:$M$275,8,FALSE))</f>
        <v>0-20%</v>
      </c>
      <c r="AQ263" s="678" t="str">
        <f>IF(VLOOKUP(A263,'Débit - Abfluss'!$A$4:$K$275,9,FALSE)="","",VLOOKUP(A263,'Débit - Abfluss'!$A$4:$M$275,9,FALSE))</f>
        <v>Fehlende Angaben</v>
      </c>
      <c r="AR263" s="767" t="str">
        <f>IF(VLOOKUP(A263,'Débit - Abfluss'!$A$4:$K$275,10,FALSE)="","",VLOOKUP(A263,'Débit - Abfluss'!$A$4:$M$275,10,FALSE))</f>
        <v>0-20%</v>
      </c>
      <c r="AS263" s="767" t="str">
        <f>IF(VLOOKUP(A263,'Débit - Abfluss'!$A$4:$K$275,11,FALSE)="","",VLOOKUP(A263,'Débit - Abfluss'!$A$4:$M$275,11,FALSE))</f>
        <v/>
      </c>
      <c r="AT263" s="778" t="str">
        <f>IF(VLOOKUP(A263,'Débit - Abfluss'!$A$4:$Q$275,12,FALSE)="","",VLOOKUP(A263,'Débit - Abfluss'!$A$4:$Q$275,12,FALSE))</f>
        <v/>
      </c>
      <c r="AU263" s="779" t="str">
        <f>IF(VLOOKUP(A263,'Débit - Abfluss'!$A$4:$Q$275,13,FALSE)="","",VLOOKUP(A263,'Débit - Abfluss'!$A$4:$Q$275,13,FALSE))</f>
        <v/>
      </c>
      <c r="AV263" s="746" t="str">
        <f>IF(VLOOKUP(A263,'Débit - Abfluss'!$A$4:$Q$275,14,FALSE)="","",VLOOKUP(A263,'Débit - Abfluss'!$A$4:$Q$275,14,FALSE))</f>
        <v>GR-KWZ3-1
GR-KWZ2-4</v>
      </c>
      <c r="AW263" s="768" t="str">
        <f>IF(VLOOKUP(A263,'Débit - Abfluss'!$A$4:$Q$275,15,FALSE)="","",VLOOKUP(A263,'Débit - Abfluss'!$A$4:$Q$275,15,FALSE))</f>
        <v>Rothenbrunnen (KWZ)
Safien Platz</v>
      </c>
      <c r="AX263" s="679" t="str">
        <f>IF(VLOOKUP(A263,'Débit - Abfluss'!$A$4:$Q$275,16,FALSE)="","",VLOOKUP(A263,'Débit - Abfluss'!$A$4:$Q$275,16,FALSE))</f>
        <v/>
      </c>
      <c r="AY263" s="769" t="str">
        <f>IF(VLOOKUP(A263,'Débit - Abfluss'!$A$4:$Q$275,17,FALSE)="","",VLOOKUP(A263,'Débit - Abfluss'!$A$4:$Q$275,17,FALSE))</f>
        <v>0-20%</v>
      </c>
      <c r="AZ263" s="749" t="str">
        <f>IF(VLOOKUP(A263,'Eclusée - Schwall-Sunk'!$A$2:$F$273,5,FALSE)="","",VLOOKUP(A263,'Eclusée - Schwall-Sunk'!$A$2:$F$273,5,FALSE))</f>
        <v>force hydraulique</v>
      </c>
      <c r="BA263" s="750" t="str">
        <f>IF(VLOOKUP(A263,'Eclusée - Schwall-Sunk'!$A$2:$F$273,6,FALSE)="","",VLOOKUP(A263,'Eclusée - Schwall-Sunk'!$A$2:$F$273,6,FALSE))</f>
        <v>Non affecté / nicht betroffen</v>
      </c>
      <c r="BB263" s="751" t="str">
        <f>IF(VLOOKUP(A263,'Revitalisation-Revitalisierung'!$A$4:$Z$275,5,FALSE)="","",VLOOKUP(A263,'Revitalisation-Revitalisierung'!$A$4:$Z$275,5,FALSE))</f>
        <v/>
      </c>
      <c r="BC263" s="752" t="str">
        <f>IF(VLOOKUP(A263,'Revitalisation-Revitalisierung'!$A$4:$Z$275,6,FALSE)="","",VLOOKUP(A263,'Revitalisation-Revitalisierung'!$A$4:$Z$275,6,FALSE))</f>
        <v/>
      </c>
      <c r="BD263" s="752" t="str">
        <f>IF(VLOOKUP(A263,'Revitalisation-Revitalisierung'!$A$4:$Z$275,7,FALSE)="","",VLOOKUP(A263,'Revitalisation-Revitalisierung'!$A$4:$Z$275,7,FALSE))</f>
        <v/>
      </c>
      <c r="BE263" s="753" t="str">
        <f>IF(VLOOKUP(A263,'Revitalisation-Revitalisierung'!$A$4:$Z$275,8,FALSE)="","",VLOOKUP(A263,'Revitalisation-Revitalisierung'!$A$4:$Z$275,8,FALSE))</f>
        <v>non nécessaire</v>
      </c>
      <c r="BF263" s="754" t="str">
        <f>IF(VLOOKUP(A263,'Revitalisation-Revitalisierung'!$A$4:$Z$275,9,FALSE)="","",VLOOKUP(A263,'Revitalisation-Revitalisierung'!$A$4:$Z$275,9,FALSE))</f>
        <v>nicht nötig</v>
      </c>
      <c r="BG263" s="754" t="str">
        <f>IF(VLOOKUP(A263,'Revitalisation-Revitalisierung'!$A$4:$Z$275,10,FALSE)="","",VLOOKUP(A263,'Revitalisation-Revitalisierung'!$A$4:$Z$275,10,FALSE))</f>
        <v/>
      </c>
      <c r="BH263" s="755" t="str">
        <f>IF(VLOOKUP(A263,'Revitalisation-Revitalisierung'!$A$4:$Z$275,11,FALSE)="","",VLOOKUP(A263,'Revitalisation-Revitalisierung'!$A$4:$Z$275,11,FALSE))</f>
        <v/>
      </c>
      <c r="BI263" s="756" t="str">
        <f>IF(VLOOKUP(A263,'Revitalisation-Revitalisierung'!$A$4:$Z$275,12,FALSE)="","",VLOOKUP(A263,'Revitalisation-Revitalisierung'!$A$4:$Z$275,12,FALSE))</f>
        <v/>
      </c>
      <c r="BJ263" s="788" t="str">
        <f>IF(VLOOKUP(A263,'Revitalisation-Revitalisierung'!$A$4:$Z$275,13,FALSE)="","",VLOOKUP(A263,'Revitalisation-Revitalisierung'!$A$4:$Z$275,13,FALSE))</f>
        <v>Non nécessaire / nicht nötig</v>
      </c>
      <c r="BK263" s="870" t="str">
        <f>IF(VLOOKUP(A263,'Revitalisation-Revitalisierung'!$A$4:$Z$275,14,FALSE)="","",VLOOKUP(A263,'Revitalisation-Revitalisierung'!$A$4:$Z$275,14,FALSE))</f>
        <v>a</v>
      </c>
      <c r="BL263" s="758" t="str">
        <f>IF(VLOOKUP(A263,'Revitalisation-Revitalisierung'!$A$4:$Z$275,15,FALSE)="","",VLOOKUP(A263,'Revitalisation-Revitalisierung'!$A$4:$Z$275,15,FALSE))</f>
        <v>gross</v>
      </c>
      <c r="BM263" s="759" t="str">
        <f>IF(VLOOKUP(A263,'Revitalisation-Revitalisierung'!$A$4:$Z$275,16,FALSE)="","",VLOOKUP(A263,'Revitalisation-Revitalisierung'!$A$4:$Z$275,16,FALSE))</f>
        <v>kein/nicht best.</v>
      </c>
      <c r="BN263" s="759" t="str">
        <f>IF(VLOOKUP(A263,'Revitalisation-Revitalisierung'!$A$4:$Z$275,17,FALSE)="","",VLOOKUP(A263,'Revitalisation-Revitalisierung'!$A$4:$Z$275,17,FALSE))</f>
        <v>gering</v>
      </c>
      <c r="BO263" s="760" t="str">
        <f>IF(VLOOKUP(A263,'Revitalisation-Revitalisierung'!$A$4:$Z$275,18,FALSE)="","",VLOOKUP(A263,'Revitalisation-Revitalisierung'!$A$4:$Z$275,18,FALSE))</f>
        <v>Non nécessaire / nicht nötig</v>
      </c>
      <c r="BP263" s="761" t="str">
        <f>IF(VLOOKUP(A263,'Revitalisation-Revitalisierung'!$A$4:$Z$275,19,FALSE)="","",VLOOKUP(A263,'Revitalisation-Revitalisierung'!$A$4:$Z$275,19,FALSE))</f>
        <v>Non nécessaire / nicht nötig</v>
      </c>
      <c r="BQ263" s="759" t="str">
        <f>IF(VLOOKUP(A263,'Revitalisation-Revitalisierung'!$A$4:$Z$275,20,FALSE)="","",VLOOKUP(A263,'Revitalisation-Revitalisierung'!$A$4:$Z$275,20,FALSE))</f>
        <v>d</v>
      </c>
      <c r="BR263" s="759" t="str">
        <f>IF(VLOOKUP(A263,'Revitalisation-Revitalisierung'!$A$4:$Z$275,21,FALSE)="","",VLOOKUP(A263,'Revitalisation-Revitalisierung'!$A$4:$Z$275,21,FALSE))</f>
        <v/>
      </c>
      <c r="BS263" s="762" t="str">
        <f>IF(VLOOKUP(A263,'Revitalisation-Revitalisierung'!$A$4:$Z$275,22,FALSE)="","",VLOOKUP(A263,'Revitalisation-Revitalisierung'!$A$4:$Z$275,22,FALSE))</f>
        <v/>
      </c>
      <c r="BT263" s="700" t="str">
        <f>IF(VLOOKUP(A263,'Revitalisation-Revitalisierung'!$A$4:$Z$275,23,FALSE)="","",VLOOKUP(A263,'Revitalisation-Revitalisierung'!$A$4:$Z$275,23,FALSE))</f>
        <v/>
      </c>
      <c r="BU263" s="699" t="str">
        <f>IF(VLOOKUP(A263,'Revitalisation-Revitalisierung'!$A$4:$Z$275,24,FALSE)="","",VLOOKUP(A263,'Revitalisation-Revitalisierung'!$A$4:$Z$275,24,FALSE))</f>
        <v/>
      </c>
      <c r="BV263" s="761" t="str">
        <f>IF(VLOOKUP(A263,'Revitalisation-Revitalisierung'!$A$4:$Z$275,25,FALSE)="","",VLOOKUP(A263,'Revitalisation-Revitalisierung'!$A$4:$Z$275,25,FALSE))</f>
        <v>Non nécessaire / nicht nötig</v>
      </c>
      <c r="BW263" s="871" t="str">
        <f>IF(VLOOKUP(A263,'Revitalisation-Revitalisierung'!$A$4:$AA$275,27,FALSE)="","",VLOOKUP(A263,'Revitalisation-Revitalisierung'!$A$4:$AA$275,27,FALSE))</f>
        <v>a</v>
      </c>
    </row>
    <row r="264" spans="1:75" ht="56.45" customHeight="1" x14ac:dyDescent="0.25">
      <c r="A264" s="938">
        <v>388</v>
      </c>
      <c r="B264" s="856">
        <f>IF(VLOOKUP(A264,'Données de base - Grunddaten'!$A$2:$M$297,2,FALSE)="","",VLOOKUP(A264,'Données de base - Grunddaten'!$A$2:$M$297,2,FALSE))</f>
        <v>1</v>
      </c>
      <c r="C264" s="857" t="str">
        <f>IF(VLOOKUP(A264,'Données de base - Grunddaten'!$A$2:$M$297,3,FALSE)="","",VLOOKUP(A264,'Données de base - Grunddaten'!$A$2:$M$297,3,FALSE))</f>
        <v>Luen Plessur</v>
      </c>
      <c r="D264" s="857" t="str">
        <f>IF(VLOOKUP(A264,'Données de base - Grunddaten'!$A$2:$M$297,4,FALSE)="","",VLOOKUP(A264,'Données de base - Grunddaten'!$A$2:$M$297,4,FALSE))</f>
        <v>Plessur</v>
      </c>
      <c r="E264" s="857" t="str">
        <f>IF(VLOOKUP(A264,'Données de base - Grunddaten'!$A$2:$M$297,5,FALSE)="","",VLOOKUP(A264,'Données de base - Grunddaten'!$A$2:$M$297,5,FALSE))</f>
        <v>GR</v>
      </c>
      <c r="F264" s="857" t="str">
        <f>IF(VLOOKUP(A264,'Données de base - Grunddaten'!$A$2:$M$297,6,FALSE)="","",VLOOKUP(A264,'Données de base - Grunddaten'!$A$2:$M$297,6,FALSE))</f>
        <v>Alpes centrales orientales</v>
      </c>
      <c r="G264" s="857" t="str">
        <f>IF(VLOOKUP(A264,'Données de base - Grunddaten'!$A$2:$M$297,7,FALSE)="","",VLOOKUP(A264,'Données de base - Grunddaten'!$A$2:$M$297,7,FALSE))</f>
        <v>Montagnard inf.</v>
      </c>
      <c r="H264" s="857" t="str">
        <f>IF(VLOOKUP(A264,'Données de base - Grunddaten'!$A$2:$M$297,8,FALSE)="","",VLOOKUP(A264,'Données de base - Grunddaten'!$A$2:$M$297,8,FALSE))</f>
        <v>800 m</v>
      </c>
      <c r="I264" s="857" t="str">
        <f>IF(VLOOKUP(A264,'Données de base - Grunddaten'!$A$2:$M$297,9,FALSE)="","",VLOOKUP(A264,'Données de base - Grunddaten'!$A$2:$M$297,9,FALSE))</f>
        <v>candidat</v>
      </c>
      <c r="J264" s="857">
        <f>IF(VLOOKUP(A264,'Données de base - Grunddaten'!$A$2:$M$297,10,FALSE)="","",VLOOKUP(A264,'Données de base - Grunddaten'!$A$2:$M$297,10,FALSE))</f>
        <v>31</v>
      </c>
      <c r="K264" s="857" t="str">
        <f>IF(VLOOKUP(A264,'Données de base - Grunddaten'!$A$2:$M$297,11,FALSE)="","",VLOOKUP(A264,'Données de base - Grunddaten'!$A$2:$M$297,11,FALSE))</f>
        <v>Cours d'eau naturels de l'étage montagnard</v>
      </c>
      <c r="L264" s="857" t="str">
        <f>IF(VLOOKUP(A264,'Données de base - Grunddaten'!$A$2:$M$297,12,FALSE)="","",VLOOKUP(A264,'Données de base - Grunddaten'!$A$2:$M$297,12,FALSE))</f>
        <v>en tresses</v>
      </c>
      <c r="M264" s="858" t="str">
        <f>IF(VLOOKUP(A264,'Données de base - Grunddaten'!$A$2:$M$297,13,FALSE)="","",VLOOKUP(A264,'Données de base - Grunddaten'!$A$2:$M$297,13,FALSE))</f>
        <v>en tresses</v>
      </c>
      <c r="N264" s="872" t="str">
        <f>IF(VLOOKUP(A264,'Charriage - Geschiebehaushalt'!$A$4:$R$275,5,FALSE)="","",VLOOKUP(A264,'Charriage - Geschiebehaushalt'!$A$4:$R$275,5,FALSE))</f>
        <v>pertinent</v>
      </c>
      <c r="O264" s="873" t="str">
        <f>IF(VLOOKUP(A264,'Charriage - Geschiebehaushalt'!$A$4:$R$275,6,FALSE)="","",VLOOKUP(A264,'Charriage - Geschiebehaushalt'!$A$4:$R$275,6,FALSE))</f>
        <v>0-20%</v>
      </c>
      <c r="P264" s="874" t="str">
        <f>IF(VLOOKUP(A264,'Charriage - Geschiebehaushalt'!$A$4:$R$275,7,FALSE)="","",VLOOKUP(A264,'Charriage - Geschiebehaushalt'!$A$4:$R$275,7,FALSE))</f>
        <v/>
      </c>
      <c r="Q264" s="874" t="str">
        <f>IF(VLOOKUP(A264,'Charriage - Geschiebehaushalt'!$A$4:$R$275,8,FALSE)="","",VLOOKUP(A264,'Charriage - Geschiebehaushalt'!$A$4:$R$275,8,FALSE))</f>
        <v>non documenté</v>
      </c>
      <c r="R264" s="875">
        <f>IF(VLOOKUP(A264,'Charriage - Geschiebehaushalt'!$A$4:$R$275,9,FALSE)="","",VLOOKUP(A264,'Charriage - Geschiebehaushalt'!$A$4:$R$275,9,FALSE))</f>
        <v>0</v>
      </c>
      <c r="S264" s="876" t="str">
        <f>IF(VLOOKUP(A264,'Charriage - Geschiebehaushalt'!$A$4:$R$275,10,FALSE)="","",VLOOKUP(A264,'Charriage - Geschiebehaushalt'!$A$4:$R$275,10,FALSE))</f>
        <v>pas ou faiblement entravé</v>
      </c>
      <c r="T264" s="875">
        <f>IF(VLOOKUP(A264,'Charriage - Geschiebehaushalt'!$A$4:$R$275,11,FALSE)="","",VLOOKUP(A264,'Charriage - Geschiebehaushalt'!$A$4:$R$275,11,FALSE))</f>
        <v>0.23799999999999999</v>
      </c>
      <c r="U264" s="876" t="str">
        <f>IF(VLOOKUP(A264,'Charriage - Geschiebehaushalt'!$A$4:$R$275,12,FALSE)="","",VLOOKUP(A264,'Charriage - Geschiebehaushalt'!$A$4:$R$275,12,FALSE))</f>
        <v>déficit dans les formations pionnières</v>
      </c>
      <c r="V264" s="877" t="str">
        <f>IF(VLOOKUP(A264,'Charriage - Geschiebehaushalt'!$A$4:$R$275,13,FALSE)="","",VLOOKUP(A264,'Charriage - Geschiebehaushalt'!$A$4:$R$275,13,FALSE))</f>
        <v/>
      </c>
      <c r="W264" s="877" t="str">
        <f>IF(VLOOKUP(A264,'Charriage - Geschiebehaushalt'!$A$4:$R$275,14,FALSE)="","",VLOOKUP(A264,'Charriage - Geschiebehaushalt'!$A$4:$R$275,14,FALSE))</f>
        <v/>
      </c>
      <c r="X264" s="877" t="str">
        <f>IF(VLOOKUP(A264,'Charriage - Geschiebehaushalt'!$A$4:$R$275,15,FALSE)="","",VLOOKUP(A264,'Charriage - Geschiebehaushalt'!$A$4:$R$275,15,FALSE))</f>
        <v/>
      </c>
      <c r="Y264" s="879" t="str">
        <f>IF(VLOOKUP(A264,'Charriage - Geschiebehaushalt'!$A$4:$R$275,16,FALSE)="","",VLOOKUP(A264,'Charriage - Geschiebehaushalt'!$A$4:$R$275,16,FALSE))</f>
        <v/>
      </c>
      <c r="Z264" s="763" t="str">
        <f>IF(VLOOKUP(A264,'Charriage - Geschiebehaushalt'!$A$4:$R$275,17,FALSE)="","",VLOOKUP(A264,'Charriage - Geschiebehaushalt'!$A$4:$R$275,17,FALSE))</f>
        <v>0-20%</v>
      </c>
      <c r="AA264" s="880" t="str">
        <f>IF(VLOOKUP(A264,'Charriage - Geschiebehaushalt'!$A$4:$R$275,18,FALSE)="","",VLOOKUP(A264,'Charriage - Geschiebehaushalt'!$A$4:$R$275,18,FALSE))</f>
        <v>a</v>
      </c>
      <c r="AB264" s="737" t="str">
        <f>IF(VLOOKUP(A264,'Charriage - Geschiebehaushalt'!$A$4:$AC$275,19,FALSE)="","",VLOOKUP(A264,'Charriage - Geschiebehaushalt'!$A$4:$AC$275,19,FALSE))</f>
        <v>keine</v>
      </c>
      <c r="AC264" s="738">
        <f>IF(VLOOKUP(A264,'Charriage - Geschiebehaushalt'!$A$4:$AC$275,20,FALSE)="","",VLOOKUP(A264,'Charriage - Geschiebehaushalt'!$A$4:$AC$275,20,FALSE))</f>
        <v>0</v>
      </c>
      <c r="AD264" s="764" t="str">
        <f>IF(VLOOKUP(A264,'Charriage - Geschiebehaushalt'!$A$4:$AC$275,21,FALSE)="","",VLOOKUP(A264,'Charriage - Geschiebehaushalt'!$A$4:$AC$275,21,FALSE))</f>
        <v>0-20%</v>
      </c>
      <c r="AE264" s="740" t="str">
        <f>IF(VLOOKUP(A264,'Charriage - Geschiebehaushalt'!$A$4:$AC$275,22,FALSE)="","",VLOOKUP(A264,'Charriage - Geschiebehaushalt'!$A$4:$AC$275,22,FALSE))</f>
        <v>0-20%</v>
      </c>
      <c r="AF264" s="787" t="str">
        <f>IF(VLOOKUP(A264,'Charriage - Geschiebehaushalt'!$A$4:$AC$275,23,FALSE)="","",VLOOKUP(A264,'Charriage - Geschiebehaushalt'!$A$4:$AC$275,23,FALSE))</f>
        <v>d</v>
      </c>
      <c r="AG264" s="765" t="str">
        <f>IF(VLOOKUP(A264,'Charriage - Geschiebehaushalt'!$A$4:$AC$275,24,FALSE)="","",VLOOKUP(A264,'Charriage - Geschiebehaushalt'!$A$4:$AC$275,24,FALSE))</f>
        <v/>
      </c>
      <c r="AH264" s="764" t="str">
        <f>IF(VLOOKUP(A264,'Charriage - Geschiebehaushalt'!$A$4:$AC$275,25,FALSE)="","",VLOOKUP(A264,'Charriage - Geschiebehaushalt'!$A$4:$AC$275,25,FALSE))</f>
        <v/>
      </c>
      <c r="AI264" s="435" t="str">
        <f>IF(VLOOKUP(A264,'Charriage - Geschiebehaushalt'!$A$4:$AC$275,26,FALSE)="","",VLOOKUP(A264,'Charriage - Geschiebehaushalt'!$A$4:$AC$275,26,FALSE))</f>
        <v/>
      </c>
      <c r="AJ264" s="436" t="str">
        <f>IF(VLOOKUP(A264,'Charriage - Geschiebehaushalt'!$A$4:$AC$275,27,FALSE)="","",VLOOKUP(A264,'Charriage - Geschiebehaushalt'!$A$4:$AC$275,27,FALSE))</f>
        <v/>
      </c>
      <c r="AK264" s="801" t="str">
        <f>IF(VLOOKUP(A264,'Charriage - Geschiebehaushalt'!$A$4:$AC$275,28,FALSE)="","",VLOOKUP(A264,'Charriage - Geschiebehaushalt'!$A$4:$AC$275,28,FALSE))</f>
        <v>0-20%</v>
      </c>
      <c r="AL264" s="1285" t="str">
        <f>IF(VLOOKUP(A264,'Charriage - Geschiebehaushalt'!$A$4:$AD$275,30,FALSE)="","",VLOOKUP(A264,'Charriage - Geschiebehaushalt'!$A$4:$AD$275,30,FALSE))</f>
        <v>a</v>
      </c>
      <c r="AM264" s="1279" t="str">
        <f>IF(VLOOKUP(A264,'Débit - Abfluss'!$A$4:$K$275,5,FALSE)="","",VLOOKUP(A264,'Débit - Abfluss'!$A$4:$M$275,5,FALSE))</f>
        <v>21-40%</v>
      </c>
      <c r="AN264" s="868" t="str">
        <f>IF(VLOOKUP(A264,'Débit - Abfluss'!$A$4:$K$275,6,FALSE)="","",VLOOKUP(A264,'Débit - Abfluss'!$A$4:$M$275,6,FALSE))</f>
        <v/>
      </c>
      <c r="AO264" s="869" t="str">
        <f>IF(VLOOKUP(A264,'Débit - Abfluss'!$A$4:$K$275,7,FALSE)="","",VLOOKUP(A264,'Débit - Abfluss'!$A$4:$M$275,7,FALSE))</f>
        <v/>
      </c>
      <c r="AP264" s="766" t="str">
        <f>IF(VLOOKUP(A264,'Débit - Abfluss'!$A$4:$K$275,8,FALSE)="","",VLOOKUP(A264,'Débit - Abfluss'!$A$4:$M$275,8,FALSE))</f>
        <v>21-40%</v>
      </c>
      <c r="AQ264" s="678" t="str">
        <f>IF(VLOOKUP(A264,'Débit - Abfluss'!$A$4:$K$275,9,FALSE)="","",VLOOKUP(A264,'Débit - Abfluss'!$A$4:$M$275,9,FALSE))</f>
        <v>Fehlende Angaben</v>
      </c>
      <c r="AR264" s="773" t="str">
        <f>IF(VLOOKUP(A264,'Débit - Abfluss'!$A$4:$K$275,10,FALSE)="","",VLOOKUP(A264,'Débit - Abfluss'!$A$4:$M$275,10,FALSE))</f>
        <v>21-40%</v>
      </c>
      <c r="AS264" s="773" t="str">
        <f>IF(VLOOKUP(A264,'Débit - Abfluss'!$A$4:$K$275,11,FALSE)="","",VLOOKUP(A264,'Débit - Abfluss'!$A$4:$M$275,11,FALSE))</f>
        <v>X</v>
      </c>
      <c r="AT264" s="778" t="str">
        <f>IF(VLOOKUP(A264,'Débit - Abfluss'!$A$4:$Q$275,12,FALSE)="","",VLOOKUP(A264,'Débit - Abfluss'!$A$4:$Q$275,12,FALSE))</f>
        <v/>
      </c>
      <c r="AU264" s="779" t="str">
        <f>IF(VLOOKUP(A264,'Débit - Abfluss'!$A$4:$Q$275,13,FALSE)="","",VLOOKUP(A264,'Débit - Abfluss'!$A$4:$Q$275,13,FALSE))</f>
        <v/>
      </c>
      <c r="AV264" s="746" t="str">
        <f>IF(VLOOKUP(A264,'Débit - Abfluss'!$A$4:$Q$275,14,FALSE)="","",VLOOKUP(A264,'Débit - Abfluss'!$A$4:$Q$275,14,FALSE))</f>
        <v>GR-GKL1-2</v>
      </c>
      <c r="AW264" s="768" t="str">
        <f>IF(VLOOKUP(A264,'Débit - Abfluss'!$A$4:$Q$275,15,FALSE)="","",VLOOKUP(A264,'Débit - Abfluss'!$A$4:$Q$275,15,FALSE))</f>
        <v>Lueen</v>
      </c>
      <c r="AX264" s="679" t="str">
        <f>IF(VLOOKUP(A264,'Débit - Abfluss'!$A$4:$Q$275,16,FALSE)="","",VLOOKUP(A264,'Débit - Abfluss'!$A$4:$Q$275,16,FALSE))</f>
        <v/>
      </c>
      <c r="AY264" s="780" t="str">
        <f>IF(VLOOKUP(A264,'Débit - Abfluss'!$A$4:$Q$275,17,FALSE)="","",VLOOKUP(A264,'Débit - Abfluss'!$A$4:$Q$275,17,FALSE))</f>
        <v>21-40%</v>
      </c>
      <c r="AZ264" s="749" t="str">
        <f>IF(VLOOKUP(A264,'Eclusée - Schwall-Sunk'!$A$2:$F$273,5,FALSE)="","",VLOOKUP(A264,'Eclusée - Schwall-Sunk'!$A$2:$F$273,5,FALSE))</f>
        <v>force hydraulique</v>
      </c>
      <c r="BA264" s="750" t="str">
        <f>IF(VLOOKUP(A264,'Eclusée - Schwall-Sunk'!$A$2:$F$273,6,FALSE)="","",VLOOKUP(A264,'Eclusée - Schwall-Sunk'!$A$2:$F$273,6,FALSE))</f>
        <v>Potentiellement affecté / möglicherweise betroffen</v>
      </c>
      <c r="BB264" s="751" t="str">
        <f>IF(VLOOKUP(A264,'Revitalisation-Revitalisierung'!$A$4:$Z$275,5,FALSE)="","",VLOOKUP(A264,'Revitalisation-Revitalisierung'!$A$4:$Z$275,5,FALSE))</f>
        <v/>
      </c>
      <c r="BC264" s="752" t="str">
        <f>IF(VLOOKUP(A264,'Revitalisation-Revitalisierung'!$A$4:$Z$275,6,FALSE)="","",VLOOKUP(A264,'Revitalisation-Revitalisierung'!$A$4:$Z$275,6,FALSE))</f>
        <v/>
      </c>
      <c r="BD264" s="752" t="str">
        <f>IF(VLOOKUP(A264,'Revitalisation-Revitalisierung'!$A$4:$Z$275,7,FALSE)="","",VLOOKUP(A264,'Revitalisation-Revitalisierung'!$A$4:$Z$275,7,FALSE))</f>
        <v/>
      </c>
      <c r="BE264" s="753" t="str">
        <f>IF(VLOOKUP(A264,'Revitalisation-Revitalisierung'!$A$4:$Z$275,8,FALSE)="","",VLOOKUP(A264,'Revitalisation-Revitalisierung'!$A$4:$Z$275,8,FALSE))</f>
        <v>non nécessaire</v>
      </c>
      <c r="BF264" s="754" t="str">
        <f>IF(VLOOKUP(A264,'Revitalisation-Revitalisierung'!$A$4:$Z$275,9,FALSE)="","",VLOOKUP(A264,'Revitalisation-Revitalisierung'!$A$4:$Z$275,9,FALSE))</f>
        <v>nicht nötig</v>
      </c>
      <c r="BG264" s="754" t="str">
        <f>IF(VLOOKUP(A264,'Revitalisation-Revitalisierung'!$A$4:$Z$275,10,FALSE)="","",VLOOKUP(A264,'Revitalisation-Revitalisierung'!$A$4:$Z$275,10,FALSE))</f>
        <v/>
      </c>
      <c r="BH264" s="755" t="str">
        <f>IF(VLOOKUP(A264,'Revitalisation-Revitalisierung'!$A$4:$Z$275,11,FALSE)="","",VLOOKUP(A264,'Revitalisation-Revitalisierung'!$A$4:$Z$275,11,FALSE))</f>
        <v/>
      </c>
      <c r="BI264" s="756" t="str">
        <f>IF(VLOOKUP(A264,'Revitalisation-Revitalisierung'!$A$4:$Z$275,12,FALSE)="","",VLOOKUP(A264,'Revitalisation-Revitalisierung'!$A$4:$Z$275,12,FALSE))</f>
        <v/>
      </c>
      <c r="BJ264" s="788" t="str">
        <f>IF(VLOOKUP(A264,'Revitalisation-Revitalisierung'!$A$4:$Z$275,13,FALSE)="","",VLOOKUP(A264,'Revitalisation-Revitalisierung'!$A$4:$Z$275,13,FALSE))</f>
        <v>Non nécessaire / nicht nötig</v>
      </c>
      <c r="BK264" s="870" t="str">
        <f>IF(VLOOKUP(A264,'Revitalisation-Revitalisierung'!$A$4:$Z$275,14,FALSE)="","",VLOOKUP(A264,'Revitalisation-Revitalisierung'!$A$4:$Z$275,14,FALSE))</f>
        <v>a</v>
      </c>
      <c r="BL264" s="758" t="str">
        <f>IF(VLOOKUP(A264,'Revitalisation-Revitalisierung'!$A$4:$Z$275,15,FALSE)="","",VLOOKUP(A264,'Revitalisation-Revitalisierung'!$A$4:$Z$275,15,FALSE))</f>
        <v>gross</v>
      </c>
      <c r="BM264" s="759" t="str">
        <f>IF(VLOOKUP(A264,'Revitalisation-Revitalisierung'!$A$4:$Z$275,16,FALSE)="","",VLOOKUP(A264,'Revitalisation-Revitalisierung'!$A$4:$Z$275,16,FALSE))</f>
        <v>kein/nicht best.</v>
      </c>
      <c r="BN264" s="759" t="str">
        <f>IF(VLOOKUP(A264,'Revitalisation-Revitalisierung'!$A$4:$Z$275,17,FALSE)="","",VLOOKUP(A264,'Revitalisation-Revitalisierung'!$A$4:$Z$275,17,FALSE))</f>
        <v>gering</v>
      </c>
      <c r="BO264" s="760" t="str">
        <f>IF(VLOOKUP(A264,'Revitalisation-Revitalisierung'!$A$4:$Z$275,18,FALSE)="","",VLOOKUP(A264,'Revitalisation-Revitalisierung'!$A$4:$Z$275,18,FALSE))</f>
        <v>Non nécessaire / nicht nötig</v>
      </c>
      <c r="BP264" s="761" t="str">
        <f>IF(VLOOKUP(A264,'Revitalisation-Revitalisierung'!$A$4:$Z$275,19,FALSE)="","",VLOOKUP(A264,'Revitalisation-Revitalisierung'!$A$4:$Z$275,19,FALSE))</f>
        <v>Non nécessaire / nicht nötig</v>
      </c>
      <c r="BQ264" s="759" t="str">
        <f>IF(VLOOKUP(A264,'Revitalisation-Revitalisierung'!$A$4:$Z$275,20,FALSE)="","",VLOOKUP(A264,'Revitalisation-Revitalisierung'!$A$4:$Z$275,20,FALSE))</f>
        <v>d</v>
      </c>
      <c r="BR264" s="759" t="str">
        <f>IF(VLOOKUP(A264,'Revitalisation-Revitalisierung'!$A$4:$Z$275,21,FALSE)="","",VLOOKUP(A264,'Revitalisation-Revitalisierung'!$A$4:$Z$275,21,FALSE))</f>
        <v/>
      </c>
      <c r="BS264" s="762" t="str">
        <f>IF(VLOOKUP(A264,'Revitalisation-Revitalisierung'!$A$4:$Z$275,22,FALSE)="","",VLOOKUP(A264,'Revitalisation-Revitalisierung'!$A$4:$Z$275,22,FALSE))</f>
        <v/>
      </c>
      <c r="BT264" s="700" t="str">
        <f>IF(VLOOKUP(A264,'Revitalisation-Revitalisierung'!$A$4:$Z$275,23,FALSE)="","",VLOOKUP(A264,'Revitalisation-Revitalisierung'!$A$4:$Z$275,23,FALSE))</f>
        <v/>
      </c>
      <c r="BU264" s="699" t="str">
        <f>IF(VLOOKUP(A264,'Revitalisation-Revitalisierung'!$A$4:$Z$275,24,FALSE)="","",VLOOKUP(A264,'Revitalisation-Revitalisierung'!$A$4:$Z$275,24,FALSE))</f>
        <v/>
      </c>
      <c r="BV264" s="761" t="str">
        <f>IF(VLOOKUP(A264,'Revitalisation-Revitalisierung'!$A$4:$Z$275,25,FALSE)="","",VLOOKUP(A264,'Revitalisation-Revitalisierung'!$A$4:$Z$275,25,FALSE))</f>
        <v>Non nécessaire / nicht nötig</v>
      </c>
      <c r="BW264" s="871" t="str">
        <f>IF(VLOOKUP(A264,'Revitalisation-Revitalisierung'!$A$4:$AA$275,27,FALSE)="","",VLOOKUP(A264,'Revitalisation-Revitalisierung'!$A$4:$AA$275,27,FALSE))</f>
        <v>a</v>
      </c>
    </row>
    <row r="265" spans="1:75" ht="59.45" customHeight="1" x14ac:dyDescent="0.25">
      <c r="A265" s="1230">
        <v>389</v>
      </c>
      <c r="B265" s="856">
        <f>IF(VLOOKUP(A265,'Données de base - Grunddaten'!$A$2:$M$297,2,FALSE)="","",VLOOKUP(A265,'Données de base - Grunddaten'!$A$2:$M$297,2,FALSE))</f>
        <v>1</v>
      </c>
      <c r="C265" s="857" t="str">
        <f>IF(VLOOKUP(A265,'Données de base - Grunddaten'!$A$2:$M$297,3,FALSE)="","",VLOOKUP(A265,'Données de base - Grunddaten'!$A$2:$M$297,3,FALSE))</f>
        <v>Saas</v>
      </c>
      <c r="D265" s="857" t="str">
        <f>IF(VLOOKUP(A265,'Données de base - Grunddaten'!$A$2:$M$297,4,FALSE)="","",VLOOKUP(A265,'Données de base - Grunddaten'!$A$2:$M$297,4,FALSE))</f>
        <v>Landquart</v>
      </c>
      <c r="E265" s="857" t="str">
        <f>IF(VLOOKUP(A265,'Données de base - Grunddaten'!$A$2:$M$297,5,FALSE)="","",VLOOKUP(A265,'Données de base - Grunddaten'!$A$2:$M$297,5,FALSE))</f>
        <v>GR</v>
      </c>
      <c r="F265" s="857" t="str">
        <f>IF(VLOOKUP(A265,'Données de base - Grunddaten'!$A$2:$M$297,6,FALSE)="","",VLOOKUP(A265,'Données de base - Grunddaten'!$A$2:$M$297,6,FALSE))</f>
        <v>Alpes septentrionales</v>
      </c>
      <c r="G265" s="857" t="str">
        <f>IF(VLOOKUP(A265,'Données de base - Grunddaten'!$A$2:$M$297,7,FALSE)="","",VLOOKUP(A265,'Données de base - Grunddaten'!$A$2:$M$297,7,FALSE))</f>
        <v>Montagnard inf.</v>
      </c>
      <c r="H265" s="857" t="str">
        <f>IF(VLOOKUP(A265,'Données de base - Grunddaten'!$A$2:$M$297,8,FALSE)="","",VLOOKUP(A265,'Données de base - Grunddaten'!$A$2:$M$297,8,FALSE))</f>
        <v>860 m</v>
      </c>
      <c r="I265" s="857" t="str">
        <f>IF(VLOOKUP(A265,'Données de base - Grunddaten'!$A$2:$M$297,9,FALSE)="","",VLOOKUP(A265,'Données de base - Grunddaten'!$A$2:$M$297,9,FALSE))</f>
        <v>candidat</v>
      </c>
      <c r="J265" s="857">
        <f>IF(VLOOKUP(A265,'Données de base - Grunddaten'!$A$2:$M$297,10,FALSE)="","",VLOOKUP(A265,'Données de base - Grunddaten'!$A$2:$M$297,10,FALSE))</f>
        <v>41</v>
      </c>
      <c r="K265" s="857" t="str">
        <f>IF(VLOOKUP(A265,'Données de base - Grunddaten'!$A$2:$M$297,11,FALSE)="","",VLOOKUP(A265,'Données de base - Grunddaten'!$A$2:$M$297,11,FALSE))</f>
        <v>Cours d'eau naturels de l'étage montagnard</v>
      </c>
      <c r="L265" s="857" t="str">
        <f>IF(VLOOKUP(A265,'Données de base - Grunddaten'!$A$2:$M$297,12,FALSE)="","",VLOOKUP(A265,'Données de base - Grunddaten'!$A$2:$M$297,12,FALSE))</f>
        <v>en tresses</v>
      </c>
      <c r="M265" s="858" t="str">
        <f>IF(VLOOKUP(A265,'Données de base - Grunddaten'!$A$2:$M$297,13,FALSE)="","",VLOOKUP(A265,'Données de base - Grunddaten'!$A$2:$M$297,13,FALSE))</f>
        <v>en tresses</v>
      </c>
      <c r="N265" s="872" t="str">
        <f>IF(VLOOKUP(A265,'Charriage - Geschiebehaushalt'!$A$4:$R$275,5,FALSE)="","",VLOOKUP(A265,'Charriage - Geschiebehaushalt'!$A$4:$R$275,5,FALSE))</f>
        <v>pertinent</v>
      </c>
      <c r="O265" s="873" t="str">
        <f>IF(VLOOKUP(A265,'Charriage - Geschiebehaushalt'!$A$4:$R$275,6,FALSE)="","",VLOOKUP(A265,'Charriage - Geschiebehaushalt'!$A$4:$R$275,6,FALSE))</f>
        <v>0-20%</v>
      </c>
      <c r="P265" s="874" t="str">
        <f>IF(VLOOKUP(A265,'Charriage - Geschiebehaushalt'!$A$4:$R$275,7,FALSE)="","",VLOOKUP(A265,'Charriage - Geschiebehaushalt'!$A$4:$R$275,7,FALSE))</f>
        <v/>
      </c>
      <c r="Q265" s="874" t="str">
        <f>IF(VLOOKUP(A265,'Charriage - Geschiebehaushalt'!$A$4:$R$275,8,FALSE)="","",VLOOKUP(A265,'Charriage - Geschiebehaushalt'!$A$4:$R$275,8,FALSE))</f>
        <v>non documenté</v>
      </c>
      <c r="R265" s="875">
        <f>IF(VLOOKUP(A265,'Charriage - Geschiebehaushalt'!$A$4:$R$275,9,FALSE)="","",VLOOKUP(A265,'Charriage - Geschiebehaushalt'!$A$4:$R$275,9,FALSE))</f>
        <v>0.128</v>
      </c>
      <c r="S265" s="876" t="str">
        <f>IF(VLOOKUP(A265,'Charriage - Geschiebehaushalt'!$A$4:$R$275,10,FALSE)="","",VLOOKUP(A265,'Charriage - Geschiebehaushalt'!$A$4:$R$275,10,FALSE))</f>
        <v>pas ou faiblement entravé</v>
      </c>
      <c r="T265" s="875">
        <f>IF(VLOOKUP(A265,'Charriage - Geschiebehaushalt'!$A$4:$R$275,11,FALSE)="","",VLOOKUP(A265,'Charriage - Geschiebehaushalt'!$A$4:$R$275,11,FALSE))</f>
        <v>0.33700000000000002</v>
      </c>
      <c r="U265" s="876" t="str">
        <f>IF(VLOOKUP(A265,'Charriage - Geschiebehaushalt'!$A$4:$R$275,12,FALSE)="","",VLOOKUP(A265,'Charriage - Geschiebehaushalt'!$A$4:$R$275,12,FALSE))</f>
        <v>déficit dans les formations pionnières</v>
      </c>
      <c r="V265" s="877" t="str">
        <f>IF(VLOOKUP(A265,'Charriage - Geschiebehaushalt'!$A$4:$R$275,13,FALSE)="","",VLOOKUP(A265,'Charriage - Geschiebehaushalt'!$A$4:$R$275,13,FALSE))</f>
        <v/>
      </c>
      <c r="W265" s="877" t="str">
        <f>IF(VLOOKUP(A265,'Charriage - Geschiebehaushalt'!$A$4:$R$275,14,FALSE)="","",VLOOKUP(A265,'Charriage - Geschiebehaushalt'!$A$4:$R$275,14,FALSE))</f>
        <v/>
      </c>
      <c r="X265" s="877" t="str">
        <f>IF(VLOOKUP(A265,'Charriage - Geschiebehaushalt'!$A$4:$R$275,15,FALSE)="","",VLOOKUP(A265,'Charriage - Geschiebehaushalt'!$A$4:$R$275,15,FALSE))</f>
        <v/>
      </c>
      <c r="Y265" s="879" t="str">
        <f>IF(VLOOKUP(A265,'Charriage - Geschiebehaushalt'!$A$4:$R$275,16,FALSE)="","",VLOOKUP(A265,'Charriage - Geschiebehaushalt'!$A$4:$R$275,16,FALSE))</f>
        <v/>
      </c>
      <c r="Z265" s="763" t="str">
        <f>IF(VLOOKUP(A265,'Charriage - Geschiebehaushalt'!$A$4:$R$275,17,FALSE)="","",VLOOKUP(A265,'Charriage - Geschiebehaushalt'!$A$4:$R$275,17,FALSE))</f>
        <v>0-20%</v>
      </c>
      <c r="AA265" s="880" t="str">
        <f>IF(VLOOKUP(A265,'Charriage - Geschiebehaushalt'!$A$4:$R$275,18,FALSE)="","",VLOOKUP(A265,'Charriage - Geschiebehaushalt'!$A$4:$R$275,18,FALSE))</f>
        <v>a</v>
      </c>
      <c r="AB265" s="737" t="str">
        <f>IF(VLOOKUP(A265,'Charriage - Geschiebehaushalt'!$A$4:$AC$275,19,FALSE)="","",VLOOKUP(A265,'Charriage - Geschiebehaushalt'!$A$4:$AC$275,19,FALSE))</f>
        <v>vernachlässigbar</v>
      </c>
      <c r="AC265" s="738">
        <f>IF(VLOOKUP(A265,'Charriage - Geschiebehaushalt'!$A$4:$AC$275,20,FALSE)="","",VLOOKUP(A265,'Charriage - Geschiebehaushalt'!$A$4:$AC$275,20,FALSE))</f>
        <v>0</v>
      </c>
      <c r="AD265" s="764" t="str">
        <f>IF(VLOOKUP(A265,'Charriage - Geschiebehaushalt'!$A$4:$AC$275,21,FALSE)="","",VLOOKUP(A265,'Charriage - Geschiebehaushalt'!$A$4:$AC$275,21,FALSE))</f>
        <v>21-50%</v>
      </c>
      <c r="AE265" s="772" t="str">
        <f>IF(VLOOKUP(A265,'Charriage - Geschiebehaushalt'!$A$4:$AC$275,22,FALSE)="","",VLOOKUP(A265,'Charriage - Geschiebehaushalt'!$A$4:$AC$275,22,FALSE))</f>
        <v>21-50%</v>
      </c>
      <c r="AF265" s="787" t="str">
        <f>IF(VLOOKUP(A265,'Charriage - Geschiebehaushalt'!$A$4:$AC$275,23,FALSE)="","",VLOOKUP(A265,'Charriage - Geschiebehaushalt'!$A$4:$AC$275,23,FALSE))</f>
        <v>c</v>
      </c>
      <c r="AG265" s="765" t="str">
        <f>IF(VLOOKUP(A265,'Charriage - Geschiebehaushalt'!$A$4:$AC$275,24,FALSE)="","",VLOOKUP(A265,'Charriage - Geschiebehaushalt'!$A$4:$AC$275,24,FALSE))</f>
        <v/>
      </c>
      <c r="AH265" s="764" t="str">
        <f>IF(VLOOKUP(A265,'Charriage - Geschiebehaushalt'!$A$4:$AC$275,25,FALSE)="","",VLOOKUP(A265,'Charriage - Geschiebehaushalt'!$A$4:$AC$275,25,FALSE))</f>
        <v/>
      </c>
      <c r="AI265" s="435" t="str">
        <f>IF(VLOOKUP(A265,'Charriage - Geschiebehaushalt'!$A$4:$AC$275,26,FALSE)="","",VLOOKUP(A265,'Charriage - Geschiebehaushalt'!$A$4:$AC$275,26,FALSE))</f>
        <v/>
      </c>
      <c r="AJ265" s="436" t="str">
        <f>IF(VLOOKUP(A265,'Charriage - Geschiebehaushalt'!$A$4:$AC$275,27,FALSE)="","",VLOOKUP(A265,'Charriage - Geschiebehaushalt'!$A$4:$AC$275,27,FALSE))</f>
        <v/>
      </c>
      <c r="AK265" s="814" t="str">
        <f>IF(VLOOKUP(A265,'Charriage - Geschiebehaushalt'!$A$4:$AC$275,28,FALSE)="","",VLOOKUP(A265,'Charriage - Geschiebehaushalt'!$A$4:$AC$275,28,FALSE))</f>
        <v>21-50%</v>
      </c>
      <c r="AL265" s="1285" t="str">
        <f>IF(VLOOKUP(A265,'Charriage - Geschiebehaushalt'!$A$4:$AD$275,30,FALSE)="","",VLOOKUP(A265,'Charriage - Geschiebehaushalt'!$A$4:$AD$275,30,FALSE))</f>
        <v>a</v>
      </c>
      <c r="AM265" s="1279" t="str">
        <f>IF(VLOOKUP(A265,'Débit - Abfluss'!$A$4:$K$275,5,FALSE)="","",VLOOKUP(A265,'Débit - Abfluss'!$A$4:$M$275,5,FALSE))</f>
        <v>41-60%</v>
      </c>
      <c r="AN265" s="868" t="str">
        <f>IF(VLOOKUP(A265,'Débit - Abfluss'!$A$4:$K$275,6,FALSE)="","",VLOOKUP(A265,'Débit - Abfluss'!$A$4:$M$275,6,FALSE))</f>
        <v/>
      </c>
      <c r="AO265" s="869" t="str">
        <f>IF(VLOOKUP(A265,'Débit - Abfluss'!$A$4:$K$275,7,FALSE)="","",VLOOKUP(A265,'Débit - Abfluss'!$A$4:$M$275,7,FALSE))</f>
        <v/>
      </c>
      <c r="AP265" s="766" t="str">
        <f>IF(VLOOKUP(A265,'Débit - Abfluss'!$A$4:$K$275,8,FALSE)="","",VLOOKUP(A265,'Débit - Abfluss'!$A$4:$M$275,8,FALSE))</f>
        <v>41-60%</v>
      </c>
      <c r="AQ265" s="678" t="str">
        <f>IF(VLOOKUP(A265,'Débit - Abfluss'!$A$4:$K$275,9,FALSE)="","",VLOOKUP(A265,'Débit - Abfluss'!$A$4:$M$275,9,FALSE))</f>
        <v>&gt;90%</v>
      </c>
      <c r="AR265" s="767" t="str">
        <f>IF(VLOOKUP(A265,'Débit - Abfluss'!$A$4:$K$275,10,FALSE)="","",VLOOKUP(A265,'Débit - Abfluss'!$A$4:$M$275,10,FALSE))</f>
        <v>41-60%</v>
      </c>
      <c r="AS265" s="767" t="str">
        <f>IF(VLOOKUP(A265,'Débit - Abfluss'!$A$4:$K$275,11,FALSE)="","",VLOOKUP(A265,'Débit - Abfluss'!$A$4:$M$275,11,FALSE))</f>
        <v/>
      </c>
      <c r="AT265" s="778" t="str">
        <f>IF(VLOOKUP(A265,'Débit - Abfluss'!$A$4:$Q$275,12,FALSE)="","",VLOOKUP(A265,'Débit - Abfluss'!$A$4:$Q$275,12,FALSE))</f>
        <v/>
      </c>
      <c r="AU265" s="779" t="str">
        <f>IF(VLOOKUP(A265,'Débit - Abfluss'!$A$4:$Q$275,13,FALSE)="","",VLOOKUP(A265,'Débit - Abfluss'!$A$4:$Q$275,13,FALSE))</f>
        <v/>
      </c>
      <c r="AV265" s="746" t="str">
        <f>IF(VLOOKUP(A265,'Débit - Abfluss'!$A$4:$Q$275,14,FALSE)="","",VLOOKUP(A265,'Débit - Abfluss'!$A$4:$Q$275,14,FALSE))</f>
        <v>GR-REK3-2</v>
      </c>
      <c r="AW265" s="768" t="str">
        <f>IF(VLOOKUP(A265,'Débit - Abfluss'!$A$4:$Q$275,15,FALSE)="","",VLOOKUP(A265,'Débit - Abfluss'!$A$4:$Q$275,15,FALSE))</f>
        <v>Küblis</v>
      </c>
      <c r="AX265" s="679" t="str">
        <f>IF(VLOOKUP(A265,'Débit - Abfluss'!$A$4:$Q$275,16,FALSE)="","",VLOOKUP(A265,'Débit - Abfluss'!$A$4:$Q$275,16,FALSE))</f>
        <v/>
      </c>
      <c r="AY265" s="769" t="str">
        <f>IF(VLOOKUP(A265,'Débit - Abfluss'!$A$4:$Q$275,17,FALSE)="","",VLOOKUP(A265,'Débit - Abfluss'!$A$4:$Q$275,17,FALSE))</f>
        <v>41-60%</v>
      </c>
      <c r="AZ265" s="749" t="str">
        <f>IF(VLOOKUP(A265,'Eclusée - Schwall-Sunk'!$A$2:$F$273,5,FALSE)="","",VLOOKUP(A265,'Eclusée - Schwall-Sunk'!$A$2:$F$273,5,FALSE))</f>
        <v>force hydraulique</v>
      </c>
      <c r="BA265" s="750" t="str">
        <f>IF(VLOOKUP(A265,'Eclusée - Schwall-Sunk'!$A$2:$F$273,6,FALSE)="","",VLOOKUP(A265,'Eclusée - Schwall-Sunk'!$A$2:$F$273,6,FALSE))</f>
        <v>Potentiellement affecté / möglicherweise betroffen</v>
      </c>
      <c r="BB265" s="751" t="str">
        <f>IF(VLOOKUP(A265,'Revitalisation-Revitalisierung'!$A$4:$Z$275,5,FALSE)="","",VLOOKUP(A265,'Revitalisation-Revitalisierung'!$A$4:$Z$275,5,FALSE))</f>
        <v/>
      </c>
      <c r="BC265" s="752" t="str">
        <f>IF(VLOOKUP(A265,'Revitalisation-Revitalisierung'!$A$4:$Z$275,6,FALSE)="","",VLOOKUP(A265,'Revitalisation-Revitalisierung'!$A$4:$Z$275,6,FALSE))</f>
        <v/>
      </c>
      <c r="BD265" s="752" t="str">
        <f>IF(VLOOKUP(A265,'Revitalisation-Revitalisierung'!$A$4:$Z$275,7,FALSE)="","",VLOOKUP(A265,'Revitalisation-Revitalisierung'!$A$4:$Z$275,7,FALSE))</f>
        <v/>
      </c>
      <c r="BE265" s="753" t="str">
        <f>IF(VLOOKUP(A265,'Revitalisation-Revitalisierung'!$A$4:$Z$275,8,FALSE)="","",VLOOKUP(A265,'Revitalisation-Revitalisierung'!$A$4:$Z$275,8,FALSE))</f>
        <v>non nécessaire</v>
      </c>
      <c r="BF265" s="754" t="str">
        <f>IF(VLOOKUP(A265,'Revitalisation-Revitalisierung'!$A$4:$Z$275,9,FALSE)="","",VLOOKUP(A265,'Revitalisation-Revitalisierung'!$A$4:$Z$275,9,FALSE))</f>
        <v>nicht nötig</v>
      </c>
      <c r="BG265" s="754" t="str">
        <f>IF(VLOOKUP(A265,'Revitalisation-Revitalisierung'!$A$4:$Z$275,10,FALSE)="","",VLOOKUP(A265,'Revitalisation-Revitalisierung'!$A$4:$Z$275,10,FALSE))</f>
        <v/>
      </c>
      <c r="BH265" s="755" t="str">
        <f>IF(VLOOKUP(A265,'Revitalisation-Revitalisierung'!$A$4:$Z$275,11,FALSE)="","",VLOOKUP(A265,'Revitalisation-Revitalisierung'!$A$4:$Z$275,11,FALSE))</f>
        <v/>
      </c>
      <c r="BI265" s="756" t="str">
        <f>IF(VLOOKUP(A265,'Revitalisation-Revitalisierung'!$A$4:$Z$275,12,FALSE)="","",VLOOKUP(A265,'Revitalisation-Revitalisierung'!$A$4:$Z$275,12,FALSE))</f>
        <v/>
      </c>
      <c r="BJ265" s="788" t="str">
        <f>IF(VLOOKUP(A265,'Revitalisation-Revitalisierung'!$A$4:$Z$275,13,FALSE)="","",VLOOKUP(A265,'Revitalisation-Revitalisierung'!$A$4:$Z$275,13,FALSE))</f>
        <v>Partiellement nécessaire, facile / teilweise nötig, einfach</v>
      </c>
      <c r="BK265" s="870" t="str">
        <f>IF(VLOOKUP(A265,'Revitalisation-Revitalisierung'!$A$4:$Z$275,14,FALSE)="","",VLOOKUP(A265,'Revitalisation-Revitalisierung'!$A$4:$Z$275,14,FALSE))</f>
        <v>b</v>
      </c>
      <c r="BL265" s="758" t="str">
        <f>IF(VLOOKUP(A265,'Revitalisation-Revitalisierung'!$A$4:$Z$275,15,FALSE)="","",VLOOKUP(A265,'Revitalisation-Revitalisierung'!$A$4:$Z$275,15,FALSE))</f>
        <v>gross</v>
      </c>
      <c r="BM265" s="759" t="str">
        <f>IF(VLOOKUP(A265,'Revitalisation-Revitalisierung'!$A$4:$Z$275,16,FALSE)="","",VLOOKUP(A265,'Revitalisation-Revitalisierung'!$A$4:$Z$275,16,FALSE))</f>
        <v>mittel/gering/kein/nicht best.</v>
      </c>
      <c r="BN265" s="759" t="str">
        <f>IF(VLOOKUP(A265,'Revitalisation-Revitalisierung'!$A$4:$Z$275,17,FALSE)="","",VLOOKUP(A265,'Revitalisation-Revitalisierung'!$A$4:$Z$275,17,FALSE))</f>
        <v>mittel/gering</v>
      </c>
      <c r="BO265" s="760" t="str">
        <f>IF(VLOOKUP(A265,'Revitalisation-Revitalisierung'!$A$4:$Z$275,18,FALSE)="","",VLOOKUP(A265,'Revitalisation-Revitalisierung'!$A$4:$Z$275,18,FALSE))</f>
        <v>Partiellement nécessaire, facile / teilweise nötig, einfach</v>
      </c>
      <c r="BP265" s="761" t="str">
        <f>IF(VLOOKUP(A265,'Revitalisation-Revitalisierung'!$A$4:$Z$275,19,FALSE)="","",VLOOKUP(A265,'Revitalisation-Revitalisierung'!$A$4:$Z$275,19,FALSE))</f>
        <v>Partiellement nécessaire, facile / teilweise nötig, einfach</v>
      </c>
      <c r="BQ265" s="759" t="str">
        <f>IF(VLOOKUP(A265,'Revitalisation-Revitalisierung'!$A$4:$Z$275,20,FALSE)="","",VLOOKUP(A265,'Revitalisation-Revitalisierung'!$A$4:$Z$275,20,FALSE))</f>
        <v>d</v>
      </c>
      <c r="BR265" s="759" t="str">
        <f>IF(VLOOKUP(A265,'Revitalisation-Revitalisierung'!$A$4:$Z$275,21,FALSE)="","",VLOOKUP(A265,'Revitalisation-Revitalisierung'!$A$4:$Z$275,21,FALSE))</f>
        <v/>
      </c>
      <c r="BS265" s="762" t="str">
        <f>IF(VLOOKUP(A265,'Revitalisation-Revitalisierung'!$A$4:$Z$275,22,FALSE)="","",VLOOKUP(A265,'Revitalisation-Revitalisierung'!$A$4:$Z$275,22,FALSE))</f>
        <v/>
      </c>
      <c r="BT265" s="700" t="str">
        <f>IF(VLOOKUP(A265,'Revitalisation-Revitalisierung'!$A$4:$Z$275,23,FALSE)="","",VLOOKUP(A265,'Revitalisation-Revitalisierung'!$A$4:$Z$275,23,FALSE))</f>
        <v/>
      </c>
      <c r="BU265" s="699" t="str">
        <f>IF(VLOOKUP(A265,'Revitalisation-Revitalisierung'!$A$4:$Z$275,24,FALSE)="","",VLOOKUP(A265,'Revitalisation-Revitalisierung'!$A$4:$Z$275,24,FALSE))</f>
        <v/>
      </c>
      <c r="BV265" s="761" t="str">
        <f>IF(VLOOKUP(A265,'Revitalisation-Revitalisierung'!$A$4:$Z$275,25,FALSE)="","",VLOOKUP(A265,'Revitalisation-Revitalisierung'!$A$4:$Z$275,25,FALSE))</f>
        <v>Partiellement nécessaire, facile / teilweise nötig, einfach</v>
      </c>
      <c r="BW265" s="871" t="str">
        <f>IF(VLOOKUP(A265,'Revitalisation-Revitalisierung'!$A$4:$AA$275,27,FALSE)="","",VLOOKUP(A265,'Revitalisation-Revitalisierung'!$A$4:$AA$275,27,FALSE))</f>
        <v>a</v>
      </c>
    </row>
    <row r="266" spans="1:75" ht="88.9" customHeight="1" x14ac:dyDescent="0.25">
      <c r="A266" s="1230">
        <v>390</v>
      </c>
      <c r="B266" s="856">
        <f>IF(VLOOKUP(A266,'Données de base - Grunddaten'!$A$2:$M$297,2,FALSE)="","",VLOOKUP(A266,'Données de base - Grunddaten'!$A$2:$M$297,2,FALSE))</f>
        <v>1</v>
      </c>
      <c r="C266" s="857" t="str">
        <f>IF(VLOOKUP(A266,'Données de base - Grunddaten'!$A$2:$M$297,3,FALSE)="","",VLOOKUP(A266,'Données de base - Grunddaten'!$A$2:$M$297,3,FALSE))</f>
        <v>Sardasca</v>
      </c>
      <c r="D266" s="857" t="str">
        <f>IF(VLOOKUP(A266,'Données de base - Grunddaten'!$A$2:$M$297,4,FALSE)="","",VLOOKUP(A266,'Données de base - Grunddaten'!$A$2:$M$297,4,FALSE))</f>
        <v>Verstancla Bach</v>
      </c>
      <c r="E266" s="857" t="str">
        <f>IF(VLOOKUP(A266,'Données de base - Grunddaten'!$A$2:$M$297,5,FALSE)="","",VLOOKUP(A266,'Données de base - Grunddaten'!$A$2:$M$297,5,FALSE))</f>
        <v>GR</v>
      </c>
      <c r="F266" s="857" t="str">
        <f>IF(VLOOKUP(A266,'Données de base - Grunddaten'!$A$2:$M$297,6,FALSE)="","",VLOOKUP(A266,'Données de base - Grunddaten'!$A$2:$M$297,6,FALSE))</f>
        <v>Alpes centrales orientales</v>
      </c>
      <c r="G266" s="857" t="str">
        <f>IF(VLOOKUP(A266,'Données de base - Grunddaten'!$A$2:$M$297,7,FALSE)="","",VLOOKUP(A266,'Données de base - Grunddaten'!$A$2:$M$297,7,FALSE))</f>
        <v>Subalpin sup.</v>
      </c>
      <c r="H266" s="857" t="str">
        <f>IF(VLOOKUP(A266,'Données de base - Grunddaten'!$A$2:$M$297,8,FALSE)="","",VLOOKUP(A266,'Données de base - Grunddaten'!$A$2:$M$297,8,FALSE))</f>
        <v>1640 m</v>
      </c>
      <c r="I266" s="857" t="str">
        <f>IF(VLOOKUP(A266,'Données de base - Grunddaten'!$A$2:$M$297,9,FALSE)="","",VLOOKUP(A266,'Données de base - Grunddaten'!$A$2:$M$297,9,FALSE))</f>
        <v>candidat</v>
      </c>
      <c r="J266" s="857">
        <f>IF(VLOOKUP(A266,'Données de base - Grunddaten'!$A$2:$M$297,10,FALSE)="","",VLOOKUP(A266,'Données de base - Grunddaten'!$A$2:$M$297,10,FALSE))</f>
        <v>31</v>
      </c>
      <c r="K266" s="857" t="str">
        <f>IF(VLOOKUP(A266,'Données de base - Grunddaten'!$A$2:$M$297,11,FALSE)="","",VLOOKUP(A266,'Données de base - Grunddaten'!$A$2:$M$297,11,FALSE))</f>
        <v>Cours d'eau naturels de l'étage subalpin</v>
      </c>
      <c r="L266" s="857" t="str">
        <f>IF(VLOOKUP(A266,'Données de base - Grunddaten'!$A$2:$M$297,12,FALSE)="","",VLOOKUP(A266,'Données de base - Grunddaten'!$A$2:$M$297,12,FALSE))</f>
        <v>en tresses</v>
      </c>
      <c r="M266" s="858" t="str">
        <f>IF(VLOOKUP(A266,'Données de base - Grunddaten'!$A$2:$M$297,13,FALSE)="","",VLOOKUP(A266,'Données de base - Grunddaten'!$A$2:$M$297,13,FALSE))</f>
        <v>en tresses</v>
      </c>
      <c r="N266" s="872" t="str">
        <f>IF(VLOOKUP(A266,'Charriage - Geschiebehaushalt'!$A$4:$R$275,5,FALSE)="","",VLOOKUP(A266,'Charriage - Geschiebehaushalt'!$A$4:$R$275,5,FALSE))</f>
        <v>pertinent</v>
      </c>
      <c r="O266" s="881" t="str">
        <f>IF(VLOOKUP(A266,'Charriage - Geschiebehaushalt'!$A$4:$R$275,6,FALSE)="","",VLOOKUP(A266,'Charriage - Geschiebehaushalt'!$A$4:$R$275,6,FALSE))</f>
        <v>non documenté</v>
      </c>
      <c r="P266" s="874" t="str">
        <f>IF(VLOOKUP(A266,'Charriage - Geschiebehaushalt'!$A$4:$R$275,7,FALSE)="","",VLOOKUP(A266,'Charriage - Geschiebehaushalt'!$A$4:$R$275,7,FALSE))</f>
        <v/>
      </c>
      <c r="Q266" s="874" t="str">
        <f>IF(VLOOKUP(A266,'Charriage - Geschiebehaushalt'!$A$4:$R$275,8,FALSE)="","",VLOOKUP(A266,'Charriage - Geschiebehaushalt'!$A$4:$R$275,8,FALSE))</f>
        <v>non documenté</v>
      </c>
      <c r="R266" s="875">
        <f>IF(VLOOKUP(A266,'Charriage - Geschiebehaushalt'!$A$4:$R$275,9,FALSE)="","",VLOOKUP(A266,'Charriage - Geschiebehaushalt'!$A$4:$R$275,9,FALSE))</f>
        <v>0.23200000000000001</v>
      </c>
      <c r="S266" s="876" t="str">
        <f>IF(VLOOKUP(A266,'Charriage - Geschiebehaushalt'!$A$4:$R$275,10,FALSE)="","",VLOOKUP(A266,'Charriage - Geschiebehaushalt'!$A$4:$R$275,10,FALSE))</f>
        <v>pas ou faiblement entravé</v>
      </c>
      <c r="T266" s="875">
        <f>IF(VLOOKUP(A266,'Charriage - Geschiebehaushalt'!$A$4:$R$275,11,FALSE)="","",VLOOKUP(A266,'Charriage - Geschiebehaushalt'!$A$4:$R$275,11,FALSE))</f>
        <v>0.41499999999999998</v>
      </c>
      <c r="U266" s="895" t="str">
        <f>IF(VLOOKUP(A266,'Charriage - Geschiebehaushalt'!$A$4:$R$275,12,FALSE)="","",VLOOKUP(A266,'Charriage - Geschiebehaushalt'!$A$4:$R$275,12,FALSE))</f>
        <v>déficit non apparent en charriage ou en remobilisation des sédiments</v>
      </c>
      <c r="V266" s="877" t="str">
        <f>IF(VLOOKUP(A266,'Charriage - Geschiebehaushalt'!$A$4:$R$275,13,FALSE)="","",VLOOKUP(A266,'Charriage - Geschiebehaushalt'!$A$4:$R$275,13,FALSE))</f>
        <v/>
      </c>
      <c r="W266" s="877" t="str">
        <f>IF(VLOOKUP(A266,'Charriage - Geschiebehaushalt'!$A$4:$R$275,14,FALSE)="","",VLOOKUP(A266,'Charriage - Geschiebehaushalt'!$A$4:$R$275,14,FALSE))</f>
        <v/>
      </c>
      <c r="X266" s="877" t="str">
        <f>IF(VLOOKUP(A266,'Charriage - Geschiebehaushalt'!$A$4:$R$275,15,FALSE)="","",VLOOKUP(A266,'Charriage - Geschiebehaushalt'!$A$4:$R$275,15,FALSE))</f>
        <v/>
      </c>
      <c r="Y266" s="879" t="str">
        <f>IF(VLOOKUP(A266,'Charriage - Geschiebehaushalt'!$A$4:$R$275,16,FALSE)="","",VLOOKUP(A266,'Charriage - Geschiebehaushalt'!$A$4:$R$275,16,FALSE))</f>
        <v/>
      </c>
      <c r="Z266" s="763" t="str">
        <f>IF(VLOOKUP(A266,'Charriage - Geschiebehaushalt'!$A$4:$R$275,17,FALSE)="","",VLOOKUP(A266,'Charriage - Geschiebehaushalt'!$A$4:$R$275,17,FALSE))</f>
        <v>Déficit non apparent en charriage ou en remobilisation des sédiments / kein sichtbares Defizit beim Geschiebehaushalt bzw. bei der Mobilisierung von Geschiebe</v>
      </c>
      <c r="AA266" s="880" t="str">
        <f>IF(VLOOKUP(A266,'Charriage - Geschiebehaushalt'!$A$4:$R$275,18,FALSE)="","",VLOOKUP(A266,'Charriage - Geschiebehaushalt'!$A$4:$R$275,18,FALSE))</f>
        <v>b</v>
      </c>
      <c r="AB266" s="737" t="str">
        <f>IF(VLOOKUP(A266,'Charriage - Geschiebehaushalt'!$A$4:$AC$275,19,FALSE)="","",VLOOKUP(A266,'Charriage - Geschiebehaushalt'!$A$4:$AC$275,19,FALSE))</f>
        <v>-</v>
      </c>
      <c r="AC266" s="738">
        <f>IF(VLOOKUP(A266,'Charriage - Geschiebehaushalt'!$A$4:$AC$275,20,FALSE)="","",VLOOKUP(A266,'Charriage - Geschiebehaushalt'!$A$4:$AC$275,20,FALSE))</f>
        <v>0</v>
      </c>
      <c r="AD266" s="764" t="str">
        <f>IF(VLOOKUP(A266,'Charriage - Geschiebehaushalt'!$A$4:$AC$275,21,FALSE)="","",VLOOKUP(A266,'Charriage - Geschiebehaushalt'!$A$4:$AC$275,21,FALSE))</f>
        <v/>
      </c>
      <c r="AE266" s="740" t="str">
        <f>IF(VLOOKUP(A266,'Charriage - Geschiebehaushalt'!$A$4:$AC$275,22,FALSE)="","",VLOOKUP(A266,'Charriage - Geschiebehaushalt'!$A$4:$AC$275,22,FALSE))</f>
        <v>0-20%</v>
      </c>
      <c r="AF266" s="787" t="str">
        <f>IF(VLOOKUP(A266,'Charriage - Geschiebehaushalt'!$A$4:$AC$275,23,FALSE)="","",VLOOKUP(A266,'Charriage - Geschiebehaushalt'!$A$4:$AC$275,23,FALSE))</f>
        <v>b</v>
      </c>
      <c r="AG266" s="765" t="str">
        <f>IF(VLOOKUP(A266,'Charriage - Geschiebehaushalt'!$A$4:$AC$275,24,FALSE)="","",VLOOKUP(A266,'Charriage - Geschiebehaushalt'!$A$4:$AC$275,24,FALSE))</f>
        <v/>
      </c>
      <c r="AH266" s="764" t="str">
        <f>IF(VLOOKUP(A266,'Charriage - Geschiebehaushalt'!$A$4:$AC$275,25,FALSE)="","",VLOOKUP(A266,'Charriage - Geschiebehaushalt'!$A$4:$AC$275,25,FALSE))</f>
        <v/>
      </c>
      <c r="AI266" s="435" t="str">
        <f>IF(VLOOKUP(A266,'Charriage - Geschiebehaushalt'!$A$4:$AC$275,26,FALSE)="","",VLOOKUP(A266,'Charriage - Geschiebehaushalt'!$A$4:$AC$275,26,FALSE))</f>
        <v/>
      </c>
      <c r="AJ266" s="436" t="str">
        <f>IF(VLOOKUP(A266,'Charriage - Geschiebehaushalt'!$A$4:$AC$275,27,FALSE)="","",VLOOKUP(A266,'Charriage - Geschiebehaushalt'!$A$4:$AC$275,27,FALSE))</f>
        <v/>
      </c>
      <c r="AK266" s="801" t="str">
        <f>IF(VLOOKUP(A266,'Charriage - Geschiebehaushalt'!$A$4:$AC$275,28,FALSE)="","",VLOOKUP(A266,'Charriage - Geschiebehaushalt'!$A$4:$AC$275,28,FALSE))</f>
        <v>0-20%</v>
      </c>
      <c r="AL266" s="1285" t="str">
        <f>IF(VLOOKUP(A266,'Charriage - Geschiebehaushalt'!$A$4:$AD$275,30,FALSE)="","",VLOOKUP(A266,'Charriage - Geschiebehaushalt'!$A$4:$AD$275,30,FALSE))</f>
        <v>b</v>
      </c>
      <c r="AM266" s="1279" t="str">
        <f>IF(VLOOKUP(A266,'Débit - Abfluss'!$A$4:$K$275,5,FALSE)="","",VLOOKUP(A266,'Débit - Abfluss'!$A$4:$M$275,5,FALSE))</f>
        <v>non documenté</v>
      </c>
      <c r="AN266" s="868" t="str">
        <f>IF(VLOOKUP(A266,'Débit - Abfluss'!$A$4:$K$275,6,FALSE)="","",VLOOKUP(A266,'Débit - Abfluss'!$A$4:$M$275,6,FALSE))</f>
        <v>aucune information supplémentaire</v>
      </c>
      <c r="AO266" s="869" t="str">
        <f>IF(VLOOKUP(A266,'Débit - Abfluss'!$A$4:$K$275,7,FALSE)="","",VLOOKUP(A266,'Débit - Abfluss'!$A$4:$M$275,7,FALSE))</f>
        <v>aucune information supplémentaire</v>
      </c>
      <c r="AP266" s="766" t="str">
        <f>IF(VLOOKUP(A266,'Débit - Abfluss'!$A$4:$K$275,8,FALSE)="","",VLOOKUP(A266,'Débit - Abfluss'!$A$4:$M$275,8,FALSE))</f>
        <v>Régime présumé naturel (100%) / Abfluss vermutlich natürlich</v>
      </c>
      <c r="AQ266" s="742" t="str">
        <f>IF(VLOOKUP(A266,'Débit - Abfluss'!$A$4:$K$275,9,FALSE)="","",VLOOKUP(A266,'Débit - Abfluss'!$A$4:$M$275,9,FALSE))</f>
        <v>-</v>
      </c>
      <c r="AR266" s="767" t="str">
        <f>IF(VLOOKUP(A266,'Débit - Abfluss'!$A$4:$K$275,10,FALSE)="","",VLOOKUP(A266,'Débit - Abfluss'!$A$4:$M$275,10,FALSE))</f>
        <v>Régime présumé naturel (100%) / Abfluss vermutlich natürlich</v>
      </c>
      <c r="AS266" s="767" t="str">
        <f>IF(VLOOKUP(A266,'Débit - Abfluss'!$A$4:$K$275,11,FALSE)="","",VLOOKUP(A266,'Débit - Abfluss'!$A$4:$M$275,11,FALSE))</f>
        <v/>
      </c>
      <c r="AT266" s="778" t="str">
        <f>IF(VLOOKUP(A266,'Débit - Abfluss'!$A$4:$Q$275,12,FALSE)="","",VLOOKUP(A266,'Débit - Abfluss'!$A$4:$Q$275,12,FALSE))</f>
        <v/>
      </c>
      <c r="AU266" s="779" t="str">
        <f>IF(VLOOKUP(A266,'Débit - Abfluss'!$A$4:$Q$275,13,FALSE)="","",VLOOKUP(A266,'Débit - Abfluss'!$A$4:$Q$275,13,FALSE))</f>
        <v/>
      </c>
      <c r="AV266" s="746" t="str">
        <f>IF(VLOOKUP(A266,'Débit - Abfluss'!$A$4:$Q$275,14,FALSE)="","",VLOOKUP(A266,'Débit - Abfluss'!$A$4:$Q$275,14,FALSE))</f>
        <v/>
      </c>
      <c r="AW266" s="768" t="str">
        <f>IF(VLOOKUP(A266,'Débit - Abfluss'!$A$4:$Q$275,15,FALSE)="","",VLOOKUP(A266,'Débit - Abfluss'!$A$4:$Q$275,15,FALSE))</f>
        <v/>
      </c>
      <c r="AX266" s="679" t="str">
        <f>IF(VLOOKUP(A266,'Débit - Abfluss'!$A$4:$Q$275,16,FALSE)="","",VLOOKUP(A266,'Débit - Abfluss'!$A$4:$Q$275,16,FALSE))</f>
        <v/>
      </c>
      <c r="AY266" s="769" t="str">
        <f>IF(VLOOKUP(A266,'Débit - Abfluss'!$A$4:$Q$275,17,FALSE)="","",VLOOKUP(A266,'Débit - Abfluss'!$A$4:$Q$275,17,FALSE))</f>
        <v>Régime présumé naturel (100%) / Abfluss vermutlich natürlich</v>
      </c>
      <c r="AZ266" s="749" t="str">
        <f>IF(VLOOKUP(A266,'Eclusée - Schwall-Sunk'!$A$2:$F$273,5,FALSE)="","",VLOOKUP(A266,'Eclusée - Schwall-Sunk'!$A$2:$F$273,5,FALSE))</f>
        <v/>
      </c>
      <c r="BA266" s="750" t="str">
        <f>IF(VLOOKUP(A266,'Eclusée - Schwall-Sunk'!$A$2:$F$273,6,FALSE)="","",VLOOKUP(A266,'Eclusée - Schwall-Sunk'!$A$2:$F$273,6,FALSE))</f>
        <v>Non affecté / nicht betroffen</v>
      </c>
      <c r="BB266" s="751" t="str">
        <f>IF(VLOOKUP(A266,'Revitalisation-Revitalisierung'!$A$4:$Z$275,5,FALSE)="","",VLOOKUP(A266,'Revitalisation-Revitalisierung'!$A$4:$Z$275,5,FALSE))</f>
        <v/>
      </c>
      <c r="BC266" s="752" t="str">
        <f>IF(VLOOKUP(A266,'Revitalisation-Revitalisierung'!$A$4:$Z$275,6,FALSE)="","",VLOOKUP(A266,'Revitalisation-Revitalisierung'!$A$4:$Z$275,6,FALSE))</f>
        <v/>
      </c>
      <c r="BD266" s="752" t="str">
        <f>IF(VLOOKUP(A266,'Revitalisation-Revitalisierung'!$A$4:$Z$275,7,FALSE)="","",VLOOKUP(A266,'Revitalisation-Revitalisierung'!$A$4:$Z$275,7,FALSE))</f>
        <v/>
      </c>
      <c r="BE266" s="753" t="str">
        <f>IF(VLOOKUP(A266,'Revitalisation-Revitalisierung'!$A$4:$Z$275,8,FALSE)="","",VLOOKUP(A266,'Revitalisation-Revitalisierung'!$A$4:$Z$275,8,FALSE))</f>
        <v>non nécessaire</v>
      </c>
      <c r="BF266" s="754" t="str">
        <f>IF(VLOOKUP(A266,'Revitalisation-Revitalisierung'!$A$4:$Z$275,9,FALSE)="","",VLOOKUP(A266,'Revitalisation-Revitalisierung'!$A$4:$Z$275,9,FALSE))</f>
        <v>nicht nötig</v>
      </c>
      <c r="BG266" s="754" t="str">
        <f>IF(VLOOKUP(A266,'Revitalisation-Revitalisierung'!$A$4:$Z$275,10,FALSE)="","",VLOOKUP(A266,'Revitalisation-Revitalisierung'!$A$4:$Z$275,10,FALSE))</f>
        <v/>
      </c>
      <c r="BH266" s="755" t="str">
        <f>IF(VLOOKUP(A266,'Revitalisation-Revitalisierung'!$A$4:$Z$275,11,FALSE)="","",VLOOKUP(A266,'Revitalisation-Revitalisierung'!$A$4:$Z$275,11,FALSE))</f>
        <v/>
      </c>
      <c r="BI266" s="756" t="str">
        <f>IF(VLOOKUP(A266,'Revitalisation-Revitalisierung'!$A$4:$Z$275,12,FALSE)="","",VLOOKUP(A266,'Revitalisation-Revitalisierung'!$A$4:$Z$275,12,FALSE))</f>
        <v/>
      </c>
      <c r="BJ266" s="788" t="str">
        <f>IF(VLOOKUP(A266,'Revitalisation-Revitalisierung'!$A$4:$Z$275,13,FALSE)="","",VLOOKUP(A266,'Revitalisation-Revitalisierung'!$A$4:$Z$275,13,FALSE))</f>
        <v>Non nécessaire / nicht nötig</v>
      </c>
      <c r="BK266" s="870" t="str">
        <f>IF(VLOOKUP(A266,'Revitalisation-Revitalisierung'!$A$4:$Z$275,14,FALSE)="","",VLOOKUP(A266,'Revitalisation-Revitalisierung'!$A$4:$Z$275,14,FALSE))</f>
        <v>a</v>
      </c>
      <c r="BL266" s="758" t="str">
        <f>IF(VLOOKUP(A266,'Revitalisation-Revitalisierung'!$A$4:$Z$275,15,FALSE)="","",VLOOKUP(A266,'Revitalisation-Revitalisierung'!$A$4:$Z$275,15,FALSE))</f>
        <v>keine Angaben</v>
      </c>
      <c r="BM266" s="759" t="str">
        <f>IF(VLOOKUP(A266,'Revitalisation-Revitalisierung'!$A$4:$Z$275,16,FALSE)="","",VLOOKUP(A266,'Revitalisation-Revitalisierung'!$A$4:$Z$275,16,FALSE))</f>
        <v>keine Angaben</v>
      </c>
      <c r="BN266" s="759" t="str">
        <f>IF(VLOOKUP(A266,'Revitalisation-Revitalisierung'!$A$4:$Z$275,17,FALSE)="","",VLOOKUP(A266,'Revitalisation-Revitalisierung'!$A$4:$Z$275,17,FALSE))</f>
        <v>keine Angaben</v>
      </c>
      <c r="BO266" s="760" t="str">
        <f>IF(VLOOKUP(A266,'Revitalisation-Revitalisierung'!$A$4:$Z$275,18,FALSE)="","",VLOOKUP(A266,'Revitalisation-Revitalisierung'!$A$4:$Z$275,18,FALSE))</f>
        <v/>
      </c>
      <c r="BP266" s="761" t="str">
        <f>IF(VLOOKUP(A266,'Revitalisation-Revitalisierung'!$A$4:$Z$275,19,FALSE)="","",VLOOKUP(A266,'Revitalisation-Revitalisierung'!$A$4:$Z$275,19,FALSE))</f>
        <v>Non nécessaire / nicht nötig</v>
      </c>
      <c r="BQ266" s="759" t="str">
        <f>IF(VLOOKUP(A266,'Revitalisation-Revitalisierung'!$A$4:$Z$275,20,FALSE)="","",VLOOKUP(A266,'Revitalisation-Revitalisierung'!$A$4:$Z$275,20,FALSE))</f>
        <v>a</v>
      </c>
      <c r="BR266" s="759" t="str">
        <f>IF(VLOOKUP(A266,'Revitalisation-Revitalisierung'!$A$4:$Z$275,21,FALSE)="","",VLOOKUP(A266,'Revitalisation-Revitalisierung'!$A$4:$Z$275,21,FALSE))</f>
        <v/>
      </c>
      <c r="BS266" s="762" t="str">
        <f>IF(VLOOKUP(A266,'Revitalisation-Revitalisierung'!$A$4:$Z$275,22,FALSE)="","",VLOOKUP(A266,'Revitalisation-Revitalisierung'!$A$4:$Z$275,22,FALSE))</f>
        <v/>
      </c>
      <c r="BT266" s="700" t="str">
        <f>IF(VLOOKUP(A266,'Revitalisation-Revitalisierung'!$A$4:$Z$275,23,FALSE)="","",VLOOKUP(A266,'Revitalisation-Revitalisierung'!$A$4:$Z$275,23,FALSE))</f>
        <v/>
      </c>
      <c r="BU266" s="699" t="str">
        <f>IF(VLOOKUP(A266,'Revitalisation-Revitalisierung'!$A$4:$Z$275,24,FALSE)="","",VLOOKUP(A266,'Revitalisation-Revitalisierung'!$A$4:$Z$275,24,FALSE))</f>
        <v/>
      </c>
      <c r="BV266" s="761" t="str">
        <f>IF(VLOOKUP(A266,'Revitalisation-Revitalisierung'!$A$4:$Z$275,25,FALSE)="","",VLOOKUP(A266,'Revitalisation-Revitalisierung'!$A$4:$Z$275,25,FALSE))</f>
        <v>Non nécessaire / nicht nötig</v>
      </c>
      <c r="BW266" s="871" t="str">
        <f>IF(VLOOKUP(A266,'Revitalisation-Revitalisierung'!$A$4:$AA$275,27,FALSE)="","",VLOOKUP(A266,'Revitalisation-Revitalisierung'!$A$4:$AA$275,27,FALSE))</f>
        <v>a</v>
      </c>
    </row>
    <row r="267" spans="1:75" ht="59.45" customHeight="1" x14ac:dyDescent="0.25">
      <c r="A267" s="1230">
        <v>391</v>
      </c>
      <c r="B267" s="856">
        <f>IF(VLOOKUP(A267,'Données de base - Grunddaten'!$A$2:$M$297,2,FALSE)="","",VLOOKUP(A267,'Données de base - Grunddaten'!$A$2:$M$297,2,FALSE))</f>
        <v>1</v>
      </c>
      <c r="C267" s="857" t="str">
        <f>IF(VLOOKUP(A267,'Données de base - Grunddaten'!$A$2:$M$297,3,FALSE)="","",VLOOKUP(A267,'Données de base - Grunddaten'!$A$2:$M$297,3,FALSE))</f>
        <v>Borgnovo</v>
      </c>
      <c r="D267" s="857" t="str">
        <f>IF(VLOOKUP(A267,'Données de base - Grunddaten'!$A$2:$M$297,4,FALSE)="","",VLOOKUP(A267,'Données de base - Grunddaten'!$A$2:$M$297,4,FALSE))</f>
        <v>Maira</v>
      </c>
      <c r="E267" s="857" t="str">
        <f>IF(VLOOKUP(A267,'Données de base - Grunddaten'!$A$2:$M$297,5,FALSE)="","",VLOOKUP(A267,'Données de base - Grunddaten'!$A$2:$M$297,5,FALSE))</f>
        <v>GR</v>
      </c>
      <c r="F267" s="857" t="str">
        <f>IF(VLOOKUP(A267,'Données de base - Grunddaten'!$A$2:$M$297,6,FALSE)="","",VLOOKUP(A267,'Données de base - Grunddaten'!$A$2:$M$297,6,FALSE))</f>
        <v>Alpes méridionales</v>
      </c>
      <c r="G267" s="857" t="str">
        <f>IF(VLOOKUP(A267,'Données de base - Grunddaten'!$A$2:$M$297,7,FALSE)="","",VLOOKUP(A267,'Données de base - Grunddaten'!$A$2:$M$297,7,FALSE))</f>
        <v>Montagnard sup.</v>
      </c>
      <c r="H267" s="857" t="str">
        <f>IF(VLOOKUP(A267,'Données de base - Grunddaten'!$A$2:$M$297,8,FALSE)="","",VLOOKUP(A267,'Données de base - Grunddaten'!$A$2:$M$297,8,FALSE))</f>
        <v>990 m</v>
      </c>
      <c r="I267" s="857" t="str">
        <f>IF(VLOOKUP(A267,'Données de base - Grunddaten'!$A$2:$M$297,9,FALSE)="","",VLOOKUP(A267,'Données de base - Grunddaten'!$A$2:$M$297,9,FALSE))</f>
        <v>candidat</v>
      </c>
      <c r="J267" s="857">
        <f>IF(VLOOKUP(A267,'Données de base - Grunddaten'!$A$2:$M$297,10,FALSE)="","",VLOOKUP(A267,'Données de base - Grunddaten'!$A$2:$M$297,10,FALSE))</f>
        <v>41</v>
      </c>
      <c r="K267" s="857" t="str">
        <f>IF(VLOOKUP(A267,'Données de base - Grunddaten'!$A$2:$M$297,11,FALSE)="","",VLOOKUP(A267,'Données de base - Grunddaten'!$A$2:$M$297,11,FALSE))</f>
        <v>Cours d'eau naturels de l'étage montagnard</v>
      </c>
      <c r="L267" s="857" t="str">
        <f>IF(VLOOKUP(A267,'Données de base - Grunddaten'!$A$2:$M$297,12,FALSE)="","",VLOOKUP(A267,'Données de base - Grunddaten'!$A$2:$M$297,12,FALSE))</f>
        <v>en méandres migrants</v>
      </c>
      <c r="M267" s="858" t="str">
        <f>IF(VLOOKUP(A267,'Données de base - Grunddaten'!$A$2:$M$297,13,FALSE)="","",VLOOKUP(A267,'Données de base - Grunddaten'!$A$2:$M$297,13,FALSE))</f>
        <v>en méandres migrants</v>
      </c>
      <c r="N267" s="872" t="str">
        <f>IF(VLOOKUP(A267,'Charriage - Geschiebehaushalt'!$A$4:$R$275,5,FALSE)="","",VLOOKUP(A267,'Charriage - Geschiebehaushalt'!$A$4:$R$275,5,FALSE))</f>
        <v>pertinent</v>
      </c>
      <c r="O267" s="881" t="str">
        <f>IF(VLOOKUP(A267,'Charriage - Geschiebehaushalt'!$A$4:$R$275,6,FALSE)="","",VLOOKUP(A267,'Charriage - Geschiebehaushalt'!$A$4:$R$275,6,FALSE))</f>
        <v>non documenté</v>
      </c>
      <c r="P267" s="874" t="str">
        <f>IF(VLOOKUP(A267,'Charriage - Geschiebehaushalt'!$A$4:$R$275,7,FALSE)="","",VLOOKUP(A267,'Charriage - Geschiebehaushalt'!$A$4:$R$275,7,FALSE))</f>
        <v/>
      </c>
      <c r="Q267" s="874" t="str">
        <f>IF(VLOOKUP(A267,'Charriage - Geschiebehaushalt'!$A$4:$R$275,8,FALSE)="","",VLOOKUP(A267,'Charriage - Geschiebehaushalt'!$A$4:$R$275,8,FALSE))</f>
        <v>non documenté</v>
      </c>
      <c r="R267" s="875">
        <f>IF(VLOOKUP(A267,'Charriage - Geschiebehaushalt'!$A$4:$R$275,9,FALSE)="","",VLOOKUP(A267,'Charriage - Geschiebehaushalt'!$A$4:$R$275,9,FALSE))</f>
        <v>0.26400000000000001</v>
      </c>
      <c r="S267" s="895" t="str">
        <f>IF(VLOOKUP(A267,'Charriage - Geschiebehaushalt'!$A$4:$R$275,10,FALSE)="","",VLOOKUP(A267,'Charriage - Geschiebehaushalt'!$A$4:$R$275,10,FALSE))</f>
        <v>la remobilisation des sédiments est perturbée</v>
      </c>
      <c r="T267" s="875">
        <f>IF(VLOOKUP(A267,'Charriage - Geschiebehaushalt'!$A$4:$R$275,11,FALSE)="","",VLOOKUP(A267,'Charriage - Geschiebehaushalt'!$A$4:$R$275,11,FALSE))</f>
        <v>0.379</v>
      </c>
      <c r="U267" s="876" t="str">
        <f>IF(VLOOKUP(A267,'Charriage - Geschiebehaushalt'!$A$4:$R$275,12,FALSE)="","",VLOOKUP(A267,'Charriage - Geschiebehaushalt'!$A$4:$R$275,12,FALSE))</f>
        <v>déficit dans les formations pionnières</v>
      </c>
      <c r="V267" s="877" t="str">
        <f>IF(VLOOKUP(A267,'Charriage - Geschiebehaushalt'!$A$4:$R$275,13,FALSE)="","",VLOOKUP(A267,'Charriage - Geschiebehaushalt'!$A$4:$R$275,13,FALSE))</f>
        <v/>
      </c>
      <c r="W267" s="877" t="str">
        <f>IF(VLOOKUP(A267,'Charriage - Geschiebehaushalt'!$A$4:$R$275,14,FALSE)="","",VLOOKUP(A267,'Charriage - Geschiebehaushalt'!$A$4:$R$275,14,FALSE))</f>
        <v/>
      </c>
      <c r="X267" s="877" t="str">
        <f>IF(VLOOKUP(A267,'Charriage - Geschiebehaushalt'!$A$4:$R$275,15,FALSE)="","",VLOOKUP(A267,'Charriage - Geschiebehaushalt'!$A$4:$R$275,15,FALSE))</f>
        <v/>
      </c>
      <c r="Y267" s="879" t="str">
        <f>IF(VLOOKUP(A267,'Charriage - Geschiebehaushalt'!$A$4:$R$275,16,FALSE)="","",VLOOKUP(A267,'Charriage - Geschiebehaushalt'!$A$4:$R$275,16,FALSE))</f>
        <v/>
      </c>
      <c r="Z267" s="763" t="str">
        <f>IF(VLOOKUP(A267,'Charriage - Geschiebehaushalt'!$A$4:$R$275,17,FALSE)="","",VLOOKUP(A267,'Charriage - Geschiebehaushalt'!$A$4:$R$275,17,FALSE))</f>
        <v>La remobilisation des sédiments est perturbée / Mobilisierung von Geschiebe beeinträchtigt</v>
      </c>
      <c r="AA267" s="880" t="str">
        <f>IF(VLOOKUP(A267,'Charriage - Geschiebehaushalt'!$A$4:$R$275,18,FALSE)="","",VLOOKUP(A267,'Charriage - Geschiebehaushalt'!$A$4:$R$275,18,FALSE))</f>
        <v>b</v>
      </c>
      <c r="AB267" s="737" t="str">
        <f>IF(VLOOKUP(A267,'Charriage - Geschiebehaushalt'!$A$4:$AC$275,19,FALSE)="","",VLOOKUP(A267,'Charriage - Geschiebehaushalt'!$A$4:$AC$275,19,FALSE))</f>
        <v>vernachlässigbar</v>
      </c>
      <c r="AC267" s="738">
        <f>IF(VLOOKUP(A267,'Charriage - Geschiebehaushalt'!$A$4:$AC$275,20,FALSE)="","",VLOOKUP(A267,'Charriage - Geschiebehaushalt'!$A$4:$AC$275,20,FALSE))</f>
        <v>0</v>
      </c>
      <c r="AD267" s="764" t="str">
        <f>IF(VLOOKUP(A267,'Charriage - Geschiebehaushalt'!$A$4:$AC$275,21,FALSE)="","",VLOOKUP(A267,'Charriage - Geschiebehaushalt'!$A$4:$AC$275,21,FALSE))</f>
        <v>21-50%</v>
      </c>
      <c r="AE267" s="740" t="str">
        <f>IF(VLOOKUP(A267,'Charriage - Geschiebehaushalt'!$A$4:$AC$275,22,FALSE)="","",VLOOKUP(A267,'Charriage - Geschiebehaushalt'!$A$4:$AC$275,22,FALSE))</f>
        <v>21-50%</v>
      </c>
      <c r="AF267" s="787" t="str">
        <f>IF(VLOOKUP(A267,'Charriage - Geschiebehaushalt'!$A$4:$AC$275,23,FALSE)="","",VLOOKUP(A267,'Charriage - Geschiebehaushalt'!$A$4:$AC$275,23,FALSE))</f>
        <v>d</v>
      </c>
      <c r="AG267" s="765" t="str">
        <f>IF(VLOOKUP(A267,'Charriage - Geschiebehaushalt'!$A$4:$AC$275,24,FALSE)="","",VLOOKUP(A267,'Charriage - Geschiebehaushalt'!$A$4:$AC$275,24,FALSE))</f>
        <v/>
      </c>
      <c r="AH267" s="764" t="str">
        <f>IF(VLOOKUP(A267,'Charriage - Geschiebehaushalt'!$A$4:$AC$275,25,FALSE)="","",VLOOKUP(A267,'Charriage - Geschiebehaushalt'!$A$4:$AC$275,25,FALSE))</f>
        <v/>
      </c>
      <c r="AI267" s="435" t="str">
        <f>IF(VLOOKUP(A267,'Charriage - Geschiebehaushalt'!$A$4:$AC$275,26,FALSE)="","",VLOOKUP(A267,'Charriage - Geschiebehaushalt'!$A$4:$AC$275,26,FALSE))</f>
        <v/>
      </c>
      <c r="AJ267" s="436" t="str">
        <f>IF(VLOOKUP(A267,'Charriage - Geschiebehaushalt'!$A$4:$AC$275,27,FALSE)="","",VLOOKUP(A267,'Charriage - Geschiebehaushalt'!$A$4:$AC$275,27,FALSE))</f>
        <v/>
      </c>
      <c r="AK267" s="801" t="str">
        <f>IF(VLOOKUP(A267,'Charriage - Geschiebehaushalt'!$A$4:$AC$275,28,FALSE)="","",VLOOKUP(A267,'Charriage - Geschiebehaushalt'!$A$4:$AC$275,28,FALSE))</f>
        <v>21-50%</v>
      </c>
      <c r="AL267" s="1285" t="str">
        <f>IF(VLOOKUP(A267,'Charriage - Geschiebehaushalt'!$A$4:$AD$275,30,FALSE)="","",VLOOKUP(A267,'Charriage - Geschiebehaushalt'!$A$4:$AD$275,30,FALSE))</f>
        <v>a</v>
      </c>
      <c r="AM267" s="1279" t="str">
        <f>IF(VLOOKUP(A267,'Débit - Abfluss'!$A$4:$K$275,5,FALSE)="","",VLOOKUP(A267,'Débit - Abfluss'!$A$4:$M$275,5,FALSE))</f>
        <v>21-40%</v>
      </c>
      <c r="AN267" s="868" t="str">
        <f>IF(VLOOKUP(A267,'Débit - Abfluss'!$A$4:$K$275,6,FALSE)="","",VLOOKUP(A267,'Débit - Abfluss'!$A$4:$M$275,6,FALSE))</f>
        <v/>
      </c>
      <c r="AO267" s="869" t="str">
        <f>IF(VLOOKUP(A267,'Débit - Abfluss'!$A$4:$K$275,7,FALSE)="","",VLOOKUP(A267,'Débit - Abfluss'!$A$4:$M$275,7,FALSE))</f>
        <v/>
      </c>
      <c r="AP267" s="766" t="str">
        <f>IF(VLOOKUP(A267,'Débit - Abfluss'!$A$4:$K$275,8,FALSE)="","",VLOOKUP(A267,'Débit - Abfluss'!$A$4:$M$275,8,FALSE))</f>
        <v>21-40%</v>
      </c>
      <c r="AQ267" s="678" t="str">
        <f>IF(VLOOKUP(A267,'Débit - Abfluss'!$A$4:$K$275,9,FALSE)="","",VLOOKUP(A267,'Débit - Abfluss'!$A$4:$M$275,9,FALSE))</f>
        <v>&lt;10%</v>
      </c>
      <c r="AR267" s="773" t="str">
        <f>IF(VLOOKUP(A267,'Débit - Abfluss'!$A$4:$K$275,10,FALSE)="","",VLOOKUP(A267,'Débit - Abfluss'!$A$4:$M$275,10,FALSE))</f>
        <v>21-40%</v>
      </c>
      <c r="AS267" s="773" t="str">
        <f>IF(VLOOKUP(A267,'Débit - Abfluss'!$A$4:$K$275,11,FALSE)="","",VLOOKUP(A267,'Débit - Abfluss'!$A$4:$M$275,11,FALSE))</f>
        <v>X</v>
      </c>
      <c r="AT267" s="778" t="str">
        <f>IF(VLOOKUP(A267,'Débit - Abfluss'!$A$4:$Q$275,12,FALSE)="","",VLOOKUP(A267,'Débit - Abfluss'!$A$4:$Q$275,12,FALSE))</f>
        <v/>
      </c>
      <c r="AU267" s="779" t="str">
        <f>IF(VLOOKUP(A267,'Débit - Abfluss'!$A$4:$Q$275,13,FALSE)="","",VLOOKUP(A267,'Débit - Abfluss'!$A$4:$Q$275,13,FALSE))</f>
        <v/>
      </c>
      <c r="AV267" s="746" t="str">
        <f>IF(VLOOKUP(A267,'Débit - Abfluss'!$A$4:$Q$275,14,FALSE)="","",VLOOKUP(A267,'Débit - Abfluss'!$A$4:$Q$275,14,FALSE))</f>
        <v>GR-EWZS4-1</v>
      </c>
      <c r="AW267" s="768" t="str">
        <f>IF(VLOOKUP(A267,'Débit - Abfluss'!$A$4:$Q$275,15,FALSE)="","",VLOOKUP(A267,'Débit - Abfluss'!$A$4:$Q$275,15,FALSE))</f>
        <v>Castasegna</v>
      </c>
      <c r="AX267" s="679" t="str">
        <f>IF(VLOOKUP(A267,'Débit - Abfluss'!$A$4:$Q$275,16,FALSE)="","",VLOOKUP(A267,'Débit - Abfluss'!$A$4:$Q$275,16,FALSE))</f>
        <v/>
      </c>
      <c r="AY267" s="775" t="str">
        <f>IF(VLOOKUP(A267,'Débit - Abfluss'!$A$4:$Q$275,17,FALSE)="","",VLOOKUP(A267,'Débit - Abfluss'!$A$4:$Q$275,17,FALSE))</f>
        <v>21-40%</v>
      </c>
      <c r="AZ267" s="749" t="str">
        <f>IF(VLOOKUP(A267,'Eclusée - Schwall-Sunk'!$A$2:$F$273,5,FALSE)="","",VLOOKUP(A267,'Eclusée - Schwall-Sunk'!$A$2:$F$273,5,FALSE))</f>
        <v>force hydraulique</v>
      </c>
      <c r="BA267" s="750" t="str">
        <f>IF(VLOOKUP(A267,'Eclusée - Schwall-Sunk'!$A$2:$F$273,6,FALSE)="","",VLOOKUP(A267,'Eclusée - Schwall-Sunk'!$A$2:$F$273,6,FALSE))</f>
        <v>Non affecté / nicht betroffen</v>
      </c>
      <c r="BB267" s="751" t="str">
        <f>IF(VLOOKUP(A267,'Revitalisation-Revitalisierung'!$A$4:$Z$275,5,FALSE)="","",VLOOKUP(A267,'Revitalisation-Revitalisierung'!$A$4:$Z$275,5,FALSE))</f>
        <v/>
      </c>
      <c r="BC267" s="752" t="str">
        <f>IF(VLOOKUP(A267,'Revitalisation-Revitalisierung'!$A$4:$Z$275,6,FALSE)="","",VLOOKUP(A267,'Revitalisation-Revitalisierung'!$A$4:$Z$275,6,FALSE))</f>
        <v/>
      </c>
      <c r="BD267" s="752" t="str">
        <f>IF(VLOOKUP(A267,'Revitalisation-Revitalisierung'!$A$4:$Z$275,7,FALSE)="","",VLOOKUP(A267,'Revitalisation-Revitalisierung'!$A$4:$Z$275,7,FALSE))</f>
        <v/>
      </c>
      <c r="BE267" s="753" t="str">
        <f>IF(VLOOKUP(A267,'Revitalisation-Revitalisierung'!$A$4:$Z$275,8,FALSE)="","",VLOOKUP(A267,'Revitalisation-Revitalisierung'!$A$4:$Z$275,8,FALSE))</f>
        <v>non nécessaire</v>
      </c>
      <c r="BF267" s="754" t="str">
        <f>IF(VLOOKUP(A267,'Revitalisation-Revitalisierung'!$A$4:$Z$275,9,FALSE)="","",VLOOKUP(A267,'Revitalisation-Revitalisierung'!$A$4:$Z$275,9,FALSE))</f>
        <v/>
      </c>
      <c r="BG267" s="754" t="str">
        <f>IF(VLOOKUP(A267,'Revitalisation-Revitalisierung'!$A$4:$Z$275,10,FALSE)="","",VLOOKUP(A267,'Revitalisation-Revitalisierung'!$A$4:$Z$275,10,FALSE))</f>
        <v/>
      </c>
      <c r="BH267" s="755" t="str">
        <f>IF(VLOOKUP(A267,'Revitalisation-Revitalisierung'!$A$4:$Z$275,11,FALSE)="","",VLOOKUP(A267,'Revitalisation-Revitalisierung'!$A$4:$Z$275,11,FALSE))</f>
        <v/>
      </c>
      <c r="BI267" s="756" t="str">
        <f>IF(VLOOKUP(A267,'Revitalisation-Revitalisierung'!$A$4:$Z$275,12,FALSE)="","",VLOOKUP(A267,'Revitalisation-Revitalisierung'!$A$4:$Z$275,12,FALSE))</f>
        <v/>
      </c>
      <c r="BJ267" s="788" t="str">
        <f>IF(VLOOKUP(A267,'Revitalisation-Revitalisierung'!$A$4:$Z$275,13,FALSE)="","",VLOOKUP(A267,'Revitalisation-Revitalisierung'!$A$4:$Z$275,13,FALSE))</f>
        <v>Partiellement nécessaire, difficile / teilweise nötig, schwierig</v>
      </c>
      <c r="BK267" s="870" t="str">
        <f>IF(VLOOKUP(A267,'Revitalisation-Revitalisierung'!$A$4:$Z$275,14,FALSE)="","",VLOOKUP(A267,'Revitalisation-Revitalisierung'!$A$4:$Z$275,14,FALSE))</f>
        <v>b</v>
      </c>
      <c r="BL267" s="758" t="str">
        <f>IF(VLOOKUP(A267,'Revitalisation-Revitalisierung'!$A$4:$Z$275,15,FALSE)="","",VLOOKUP(A267,'Revitalisation-Revitalisierung'!$A$4:$Z$275,15,FALSE))</f>
        <v>gross</v>
      </c>
      <c r="BM267" s="759" t="str">
        <f>IF(VLOOKUP(A267,'Revitalisation-Revitalisierung'!$A$4:$Z$275,16,FALSE)="","",VLOOKUP(A267,'Revitalisation-Revitalisierung'!$A$4:$Z$275,16,FALSE))</f>
        <v>mittel/kein/nicht best.</v>
      </c>
      <c r="BN267" s="759" t="str">
        <f>IF(VLOOKUP(A267,'Revitalisation-Revitalisierung'!$A$4:$Z$275,17,FALSE)="","",VLOOKUP(A267,'Revitalisation-Revitalisierung'!$A$4:$Z$275,17,FALSE))</f>
        <v>hoch/gering</v>
      </c>
      <c r="BO267" s="760" t="str">
        <f>IF(VLOOKUP(A267,'Revitalisation-Revitalisierung'!$A$4:$Z$275,18,FALSE)="","",VLOOKUP(A267,'Revitalisation-Revitalisierung'!$A$4:$Z$275,18,FALSE))</f>
        <v>Partiellement nécessaire, difficile / teilweise nötig, schwierig</v>
      </c>
      <c r="BP267" s="761" t="str">
        <f>IF(VLOOKUP(A267,'Revitalisation-Revitalisierung'!$A$4:$Z$275,19,FALSE)="","",VLOOKUP(A267,'Revitalisation-Revitalisierung'!$A$4:$Z$275,19,FALSE))</f>
        <v>Partiellement nécessaire, difficile / teilweise nötig, schwierig</v>
      </c>
      <c r="BQ267" s="759" t="str">
        <f>IF(VLOOKUP(A267,'Revitalisation-Revitalisierung'!$A$4:$Z$275,20,FALSE)="","",VLOOKUP(A267,'Revitalisation-Revitalisierung'!$A$4:$Z$275,20,FALSE))</f>
        <v>d</v>
      </c>
      <c r="BR267" s="759" t="str">
        <f>IF(VLOOKUP(A267,'Revitalisation-Revitalisierung'!$A$4:$Z$275,21,FALSE)="","",VLOOKUP(A267,'Revitalisation-Revitalisierung'!$A$4:$Z$275,21,FALSE))</f>
        <v/>
      </c>
      <c r="BS267" s="762" t="str">
        <f>IF(VLOOKUP(A267,'Revitalisation-Revitalisierung'!$A$4:$Z$275,22,FALSE)="","",VLOOKUP(A267,'Revitalisation-Revitalisierung'!$A$4:$Z$275,22,FALSE))</f>
        <v/>
      </c>
      <c r="BT267" s="700" t="str">
        <f>IF(VLOOKUP(A267,'Revitalisation-Revitalisierung'!$A$4:$Z$275,23,FALSE)="","",VLOOKUP(A267,'Revitalisation-Revitalisierung'!$A$4:$Z$275,23,FALSE))</f>
        <v/>
      </c>
      <c r="BU267" s="699" t="str">
        <f>IF(VLOOKUP(A267,'Revitalisation-Revitalisierung'!$A$4:$Z$275,24,FALSE)="","",VLOOKUP(A267,'Revitalisation-Revitalisierung'!$A$4:$Z$275,24,FALSE))</f>
        <v/>
      </c>
      <c r="BV267" s="761" t="str">
        <f>IF(VLOOKUP(A267,'Revitalisation-Revitalisierung'!$A$4:$Z$275,25,FALSE)="","",VLOOKUP(A267,'Revitalisation-Revitalisierung'!$A$4:$Z$275,25,FALSE))</f>
        <v>Partiellement nécessaire, difficile / teilweise nötig, schwierig</v>
      </c>
      <c r="BW267" s="871" t="str">
        <f>IF(VLOOKUP(A267,'Revitalisation-Revitalisierung'!$A$4:$AA$275,27,FALSE)="","",VLOOKUP(A267,'Revitalisation-Revitalisierung'!$A$4:$AA$275,27,FALSE))</f>
        <v>a</v>
      </c>
    </row>
    <row r="268" spans="1:75" ht="56.45" customHeight="1" x14ac:dyDescent="0.25">
      <c r="A268" s="1230">
        <v>392</v>
      </c>
      <c r="B268" s="856">
        <f>IF(VLOOKUP(A268,'Données de base - Grunddaten'!$A$2:$M$297,2,FALSE)="","",VLOOKUP(A268,'Données de base - Grunddaten'!$A$2:$M$297,2,FALSE))</f>
        <v>1</v>
      </c>
      <c r="C268" s="857" t="str">
        <f>IF(VLOOKUP(A268,'Données de base - Grunddaten'!$A$2:$M$297,3,FALSE)="","",VLOOKUP(A268,'Données de base - Grunddaten'!$A$2:$M$297,3,FALSE))</f>
        <v>Cavril</v>
      </c>
      <c r="D268" s="857" t="str">
        <f>IF(VLOOKUP(A268,'Données de base - Grunddaten'!$A$2:$M$297,4,FALSE)="","",VLOOKUP(A268,'Données de base - Grunddaten'!$A$2:$M$297,4,FALSE))</f>
        <v>Orlegna</v>
      </c>
      <c r="E268" s="857" t="str">
        <f>IF(VLOOKUP(A268,'Données de base - Grunddaten'!$A$2:$M$297,5,FALSE)="","",VLOOKUP(A268,'Données de base - Grunddaten'!$A$2:$M$297,5,FALSE))</f>
        <v>GR</v>
      </c>
      <c r="F268" s="857" t="str">
        <f>IF(VLOOKUP(A268,'Données de base - Grunddaten'!$A$2:$M$297,6,FALSE)="","",VLOOKUP(A268,'Données de base - Grunddaten'!$A$2:$M$297,6,FALSE))</f>
        <v>Alpes méridionales</v>
      </c>
      <c r="G268" s="857" t="str">
        <f>IF(VLOOKUP(A268,'Données de base - Grunddaten'!$A$2:$M$297,7,FALSE)="","",VLOOKUP(A268,'Données de base - Grunddaten'!$A$2:$M$297,7,FALSE))</f>
        <v>Subalpin sup.</v>
      </c>
      <c r="H268" s="857" t="str">
        <f>IF(VLOOKUP(A268,'Données de base - Grunddaten'!$A$2:$M$297,8,FALSE)="","",VLOOKUP(A268,'Données de base - Grunddaten'!$A$2:$M$297,8,FALSE))</f>
        <v>1550 m</v>
      </c>
      <c r="I268" s="857" t="str">
        <f>IF(VLOOKUP(A268,'Données de base - Grunddaten'!$A$2:$M$297,9,FALSE)="","",VLOOKUP(A268,'Données de base - Grunddaten'!$A$2:$M$297,9,FALSE))</f>
        <v>candidat</v>
      </c>
      <c r="J268" s="857">
        <f>IF(VLOOKUP(A268,'Données de base - Grunddaten'!$A$2:$M$297,10,FALSE)="","",VLOOKUP(A268,'Données de base - Grunddaten'!$A$2:$M$297,10,FALSE))</f>
        <v>31</v>
      </c>
      <c r="K268" s="857" t="str">
        <f>IF(VLOOKUP(A268,'Données de base - Grunddaten'!$A$2:$M$297,11,FALSE)="","",VLOOKUP(A268,'Données de base - Grunddaten'!$A$2:$M$297,11,FALSE))</f>
        <v>Cours d'eau naturels de l'étage subalpin</v>
      </c>
      <c r="L268" s="857" t="str">
        <f>IF(VLOOKUP(A268,'Données de base - Grunddaten'!$A$2:$M$297,12,FALSE)="","",VLOOKUP(A268,'Données de base - Grunddaten'!$A$2:$M$297,12,FALSE))</f>
        <v>en tresses</v>
      </c>
      <c r="M268" s="858" t="str">
        <f>IF(VLOOKUP(A268,'Données de base - Grunddaten'!$A$2:$M$297,13,FALSE)="","",VLOOKUP(A268,'Données de base - Grunddaten'!$A$2:$M$297,13,FALSE))</f>
        <v>en tresses</v>
      </c>
      <c r="N268" s="872" t="str">
        <f>IF(VLOOKUP(A268,'Charriage - Geschiebehaushalt'!$A$4:$R$275,5,FALSE)="","",VLOOKUP(A268,'Charriage - Geschiebehaushalt'!$A$4:$R$275,5,FALSE))</f>
        <v>pertinent</v>
      </c>
      <c r="O268" s="873" t="str">
        <f>IF(VLOOKUP(A268,'Charriage - Geschiebehaushalt'!$A$4:$R$275,6,FALSE)="","",VLOOKUP(A268,'Charriage - Geschiebehaushalt'!$A$4:$R$275,6,FALSE))</f>
        <v>0-20%</v>
      </c>
      <c r="P268" s="874" t="str">
        <f>IF(VLOOKUP(A268,'Charriage - Geschiebehaushalt'!$A$4:$R$275,7,FALSE)="","",VLOOKUP(A268,'Charriage - Geschiebehaushalt'!$A$4:$R$275,7,FALSE))</f>
        <v/>
      </c>
      <c r="Q268" s="874" t="str">
        <f>IF(VLOOKUP(A268,'Charriage - Geschiebehaushalt'!$A$4:$R$275,8,FALSE)="","",VLOOKUP(A268,'Charriage - Geschiebehaushalt'!$A$4:$R$275,8,FALSE))</f>
        <v>non documenté</v>
      </c>
      <c r="R268" s="875">
        <f>IF(VLOOKUP(A268,'Charriage - Geschiebehaushalt'!$A$4:$R$275,9,FALSE)="","",VLOOKUP(A268,'Charriage - Geschiebehaushalt'!$A$4:$R$275,9,FALSE))</f>
        <v>0.33200000000000002</v>
      </c>
      <c r="S268" s="876" t="str">
        <f>IF(VLOOKUP(A268,'Charriage - Geschiebehaushalt'!$A$4:$R$275,10,FALSE)="","",VLOOKUP(A268,'Charriage - Geschiebehaushalt'!$A$4:$R$275,10,FALSE))</f>
        <v>la remobilisation des sédiments est perturbée</v>
      </c>
      <c r="T268" s="875">
        <f>IF(VLOOKUP(A268,'Charriage - Geschiebehaushalt'!$A$4:$R$275,11,FALSE)="","",VLOOKUP(A268,'Charriage - Geschiebehaushalt'!$A$4:$R$275,11,FALSE))</f>
        <v>0.45400000000000001</v>
      </c>
      <c r="U268" s="876" t="str">
        <f>IF(VLOOKUP(A268,'Charriage - Geschiebehaushalt'!$A$4:$R$275,12,FALSE)="","",VLOOKUP(A268,'Charriage - Geschiebehaushalt'!$A$4:$R$275,12,FALSE))</f>
        <v>déficit dans les formations pionnières</v>
      </c>
      <c r="V268" s="877" t="str">
        <f>IF(VLOOKUP(A268,'Charriage - Geschiebehaushalt'!$A$4:$R$275,13,FALSE)="","",VLOOKUP(A268,'Charriage - Geschiebehaushalt'!$A$4:$R$275,13,FALSE))</f>
        <v/>
      </c>
      <c r="W268" s="877" t="str">
        <f>IF(VLOOKUP(A268,'Charriage - Geschiebehaushalt'!$A$4:$R$275,14,FALSE)="","",VLOOKUP(A268,'Charriage - Geschiebehaushalt'!$A$4:$R$275,14,FALSE))</f>
        <v/>
      </c>
      <c r="X268" s="877" t="str">
        <f>IF(VLOOKUP(A268,'Charriage - Geschiebehaushalt'!$A$4:$R$275,15,FALSE)="","",VLOOKUP(A268,'Charriage - Geschiebehaushalt'!$A$4:$R$275,15,FALSE))</f>
        <v/>
      </c>
      <c r="Y268" s="879" t="str">
        <f>IF(VLOOKUP(A268,'Charriage - Geschiebehaushalt'!$A$4:$R$275,16,FALSE)="","",VLOOKUP(A268,'Charriage - Geschiebehaushalt'!$A$4:$R$275,16,FALSE))</f>
        <v/>
      </c>
      <c r="Z268" s="763" t="str">
        <f>IF(VLOOKUP(A268,'Charriage - Geschiebehaushalt'!$A$4:$R$275,17,FALSE)="","",VLOOKUP(A268,'Charriage - Geschiebehaushalt'!$A$4:$R$275,17,FALSE))</f>
        <v>0-20%</v>
      </c>
      <c r="AA268" s="880" t="str">
        <f>IF(VLOOKUP(A268,'Charriage - Geschiebehaushalt'!$A$4:$R$275,18,FALSE)="","",VLOOKUP(A268,'Charriage - Geschiebehaushalt'!$A$4:$R$275,18,FALSE))</f>
        <v>a</v>
      </c>
      <c r="AB268" s="737" t="str">
        <f>IF(VLOOKUP(A268,'Charriage - Geschiebehaushalt'!$A$4:$AC$275,19,FALSE)="","",VLOOKUP(A268,'Charriage - Geschiebehaushalt'!$A$4:$AC$275,19,FALSE))</f>
        <v>vernachlässigbar</v>
      </c>
      <c r="AC268" s="738">
        <f>IF(VLOOKUP(A268,'Charriage - Geschiebehaushalt'!$A$4:$AC$275,20,FALSE)="","",VLOOKUP(A268,'Charriage - Geschiebehaushalt'!$A$4:$AC$275,20,FALSE))</f>
        <v>0</v>
      </c>
      <c r="AD268" s="764" t="str">
        <f>IF(VLOOKUP(A268,'Charriage - Geschiebehaushalt'!$A$4:$AC$275,21,FALSE)="","",VLOOKUP(A268,'Charriage - Geschiebehaushalt'!$A$4:$AC$275,21,FALSE))</f>
        <v>21-50%</v>
      </c>
      <c r="AE268" s="740" t="str">
        <f>IF(VLOOKUP(A268,'Charriage - Geschiebehaushalt'!$A$4:$AC$275,22,FALSE)="","",VLOOKUP(A268,'Charriage - Geschiebehaushalt'!$A$4:$AC$275,22,FALSE))</f>
        <v>21-50%</v>
      </c>
      <c r="AF268" s="787" t="str">
        <f>IF(VLOOKUP(A268,'Charriage - Geschiebehaushalt'!$A$4:$AC$275,23,FALSE)="","",VLOOKUP(A268,'Charriage - Geschiebehaushalt'!$A$4:$AC$275,23,FALSE))</f>
        <v>d</v>
      </c>
      <c r="AG268" s="765" t="str">
        <f>IF(VLOOKUP(A268,'Charriage - Geschiebehaushalt'!$A$4:$AC$275,24,FALSE)="","",VLOOKUP(A268,'Charriage - Geschiebehaushalt'!$A$4:$AC$275,24,FALSE))</f>
        <v/>
      </c>
      <c r="AH268" s="764" t="str">
        <f>IF(VLOOKUP(A268,'Charriage - Geschiebehaushalt'!$A$4:$AC$275,25,FALSE)="","",VLOOKUP(A268,'Charriage - Geschiebehaushalt'!$A$4:$AC$275,25,FALSE))</f>
        <v/>
      </c>
      <c r="AI268" s="435" t="str">
        <f>IF(VLOOKUP(A268,'Charriage - Geschiebehaushalt'!$A$4:$AC$275,26,FALSE)="","",VLOOKUP(A268,'Charriage - Geschiebehaushalt'!$A$4:$AC$275,26,FALSE))</f>
        <v/>
      </c>
      <c r="AJ268" s="436" t="str">
        <f>IF(VLOOKUP(A268,'Charriage - Geschiebehaushalt'!$A$4:$AC$275,27,FALSE)="","",VLOOKUP(A268,'Charriage - Geschiebehaushalt'!$A$4:$AC$275,27,FALSE))</f>
        <v/>
      </c>
      <c r="AK268" s="801" t="str">
        <f>IF(VLOOKUP(A268,'Charriage - Geschiebehaushalt'!$A$4:$AC$275,28,FALSE)="","",VLOOKUP(A268,'Charriage - Geschiebehaushalt'!$A$4:$AC$275,28,FALSE))</f>
        <v>21-50%</v>
      </c>
      <c r="AL268" s="1285" t="str">
        <f>IF(VLOOKUP(A268,'Charriage - Geschiebehaushalt'!$A$4:$AD$275,30,FALSE)="","",VLOOKUP(A268,'Charriage - Geschiebehaushalt'!$A$4:$AD$275,30,FALSE))</f>
        <v>a</v>
      </c>
      <c r="AM268" s="1279" t="str">
        <f>IF(VLOOKUP(A268,'Débit - Abfluss'!$A$4:$K$275,5,FALSE)="","",VLOOKUP(A268,'Débit - Abfluss'!$A$4:$M$275,5,FALSE))</f>
        <v>0-20%</v>
      </c>
      <c r="AN268" s="868" t="str">
        <f>IF(VLOOKUP(A268,'Débit - Abfluss'!$A$4:$K$275,6,FALSE)="","",VLOOKUP(A268,'Débit - Abfluss'!$A$4:$M$275,6,FALSE))</f>
        <v/>
      </c>
      <c r="AO268" s="869" t="str">
        <f>IF(VLOOKUP(A268,'Débit - Abfluss'!$A$4:$K$275,7,FALSE)="","",VLOOKUP(A268,'Débit - Abfluss'!$A$4:$M$275,7,FALSE))</f>
        <v/>
      </c>
      <c r="AP268" s="766" t="str">
        <f>IF(VLOOKUP(A268,'Débit - Abfluss'!$A$4:$K$275,8,FALSE)="","",VLOOKUP(A268,'Débit - Abfluss'!$A$4:$M$275,8,FALSE))</f>
        <v>0-20%</v>
      </c>
      <c r="AQ268" s="678" t="str">
        <f>IF(VLOOKUP(A268,'Débit - Abfluss'!$A$4:$K$275,9,FALSE)="","",VLOOKUP(A268,'Débit - Abfluss'!$A$4:$M$275,9,FALSE))</f>
        <v>&lt;10%</v>
      </c>
      <c r="AR268" s="767" t="str">
        <f>IF(VLOOKUP(A268,'Débit - Abfluss'!$A$4:$K$275,10,FALSE)="","",VLOOKUP(A268,'Débit - Abfluss'!$A$4:$M$275,10,FALSE))</f>
        <v>0-20%</v>
      </c>
      <c r="AS268" s="767" t="str">
        <f>IF(VLOOKUP(A268,'Débit - Abfluss'!$A$4:$K$275,11,FALSE)="","",VLOOKUP(A268,'Débit - Abfluss'!$A$4:$M$275,11,FALSE))</f>
        <v/>
      </c>
      <c r="AT268" s="778" t="str">
        <f>IF(VLOOKUP(A268,'Débit - Abfluss'!$A$4:$Q$275,12,FALSE)="","",VLOOKUP(A268,'Débit - Abfluss'!$A$4:$Q$275,12,FALSE))</f>
        <v/>
      </c>
      <c r="AU268" s="779" t="str">
        <f>IF(VLOOKUP(A268,'Débit - Abfluss'!$A$4:$Q$275,13,FALSE)="","",VLOOKUP(A268,'Débit - Abfluss'!$A$4:$Q$275,13,FALSE))</f>
        <v/>
      </c>
      <c r="AV268" s="746" t="str">
        <f>IF(VLOOKUP(A268,'Débit - Abfluss'!$A$4:$Q$275,14,FALSE)="","",VLOOKUP(A268,'Débit - Abfluss'!$A$4:$Q$275,14,FALSE))</f>
        <v>GR-EWZS2-1</v>
      </c>
      <c r="AW268" s="768" t="str">
        <f>IF(VLOOKUP(A268,'Débit - Abfluss'!$A$4:$Q$275,15,FALSE)="","",VLOOKUP(A268,'Débit - Abfluss'!$A$4:$Q$275,15,FALSE))</f>
        <v>Loebbia (Forno)</v>
      </c>
      <c r="AX268" s="682" t="str">
        <f>IF(VLOOKUP(A268,'Débit - Abfluss'!$A$4:$Q$275,16,FALSE)="","",VLOOKUP(A268,'Débit - Abfluss'!$A$4:$Q$275,16,FALSE))</f>
        <v/>
      </c>
      <c r="AY268" s="769" t="str">
        <f>IF(VLOOKUP(A268,'Débit - Abfluss'!$A$4:$Q$275,17,FALSE)="","",VLOOKUP(A268,'Débit - Abfluss'!$A$4:$Q$275,17,FALSE))</f>
        <v>0-20%</v>
      </c>
      <c r="AZ268" s="749" t="str">
        <f>IF(VLOOKUP(A268,'Eclusée - Schwall-Sunk'!$A$2:$F$273,5,FALSE)="","",VLOOKUP(A268,'Eclusée - Schwall-Sunk'!$A$2:$F$273,5,FALSE))</f>
        <v>force hydraulique</v>
      </c>
      <c r="BA268" s="750" t="str">
        <f>IF(VLOOKUP(A268,'Eclusée - Schwall-Sunk'!$A$2:$F$273,6,FALSE)="","",VLOOKUP(A268,'Eclusée - Schwall-Sunk'!$A$2:$F$273,6,FALSE))</f>
        <v>Potentiellement affecté / möglicherweise betroffen</v>
      </c>
      <c r="BB268" s="751" t="str">
        <f>IF(VLOOKUP(A268,'Revitalisation-Revitalisierung'!$A$4:$Z$275,5,FALSE)="","",VLOOKUP(A268,'Revitalisation-Revitalisierung'!$A$4:$Z$275,5,FALSE))</f>
        <v/>
      </c>
      <c r="BC268" s="752" t="str">
        <f>IF(VLOOKUP(A268,'Revitalisation-Revitalisierung'!$A$4:$Z$275,6,FALSE)="","",VLOOKUP(A268,'Revitalisation-Revitalisierung'!$A$4:$Z$275,6,FALSE))</f>
        <v/>
      </c>
      <c r="BD268" s="752" t="str">
        <f>IF(VLOOKUP(A268,'Revitalisation-Revitalisierung'!$A$4:$Z$275,7,FALSE)="","",VLOOKUP(A268,'Revitalisation-Revitalisierung'!$A$4:$Z$275,7,FALSE))</f>
        <v/>
      </c>
      <c r="BE268" s="753" t="str">
        <f>IF(VLOOKUP(A268,'Revitalisation-Revitalisierung'!$A$4:$Z$275,8,FALSE)="","",VLOOKUP(A268,'Revitalisation-Revitalisierung'!$A$4:$Z$275,8,FALSE))</f>
        <v/>
      </c>
      <c r="BF268" s="754" t="str">
        <f>IF(VLOOKUP(A268,'Revitalisation-Revitalisierung'!$A$4:$Z$275,9,FALSE)="","",VLOOKUP(A268,'Revitalisation-Revitalisierung'!$A$4:$Z$275,9,FALSE))</f>
        <v>schwierig</v>
      </c>
      <c r="BG268" s="754" t="str">
        <f>IF(VLOOKUP(A268,'Revitalisation-Revitalisierung'!$A$4:$Z$275,10,FALSE)="","",VLOOKUP(A268,'Revitalisation-Revitalisierung'!$A$4:$Z$275,10,FALSE))</f>
        <v/>
      </c>
      <c r="BH268" s="755" t="str">
        <f>IF(VLOOKUP(A268,'Revitalisation-Revitalisierung'!$A$4:$Z$275,11,FALSE)="","",VLOOKUP(A268,'Revitalisation-Revitalisierung'!$A$4:$Z$275,11,FALSE))</f>
        <v>non nécessaire</v>
      </c>
      <c r="BI268" s="756" t="str">
        <f>IF(VLOOKUP(A268,'Revitalisation-Revitalisierung'!$A$4:$Z$275,12,FALSE)="","",VLOOKUP(A268,'Revitalisation-Revitalisierung'!$A$4:$Z$275,12,FALSE))</f>
        <v>car entravé sur un petit tronçon</v>
      </c>
      <c r="BJ268" s="788" t="str">
        <f>IF(VLOOKUP(A268,'Revitalisation-Revitalisierung'!$A$4:$Z$275,13,FALSE)="","",VLOOKUP(A268,'Revitalisation-Revitalisierung'!$A$4:$Z$275,13,FALSE))</f>
        <v>Partiellement nécessaire, difficile / teilweise nötig, schwierig</v>
      </c>
      <c r="BK268" s="870" t="str">
        <f>IF(VLOOKUP(A268,'Revitalisation-Revitalisierung'!$A$4:$Z$275,14,FALSE)="","",VLOOKUP(A268,'Revitalisation-Revitalisierung'!$A$4:$Z$275,14,FALSE))</f>
        <v>b</v>
      </c>
      <c r="BL268" s="758" t="str">
        <f>IF(VLOOKUP(A268,'Revitalisation-Revitalisierung'!$A$4:$Z$275,15,FALSE)="","",VLOOKUP(A268,'Revitalisation-Revitalisierung'!$A$4:$Z$275,15,FALSE))</f>
        <v>gross</v>
      </c>
      <c r="BM268" s="759" t="str">
        <f>IF(VLOOKUP(A268,'Revitalisation-Revitalisierung'!$A$4:$Z$275,16,FALSE)="","",VLOOKUP(A268,'Revitalisation-Revitalisierung'!$A$4:$Z$275,16,FALSE))</f>
        <v>gering</v>
      </c>
      <c r="BN268" s="759" t="str">
        <f>IF(VLOOKUP(A268,'Revitalisation-Revitalisierung'!$A$4:$Z$275,17,FALSE)="","",VLOOKUP(A268,'Revitalisation-Revitalisierung'!$A$4:$Z$275,17,FALSE))</f>
        <v>hoch</v>
      </c>
      <c r="BO268" s="760" t="str">
        <f>IF(VLOOKUP(A268,'Revitalisation-Revitalisierung'!$A$4:$Z$275,18,FALSE)="","",VLOOKUP(A268,'Revitalisation-Revitalisierung'!$A$4:$Z$275,18,FALSE))</f>
        <v>Non nécessaire / nicht nötig</v>
      </c>
      <c r="BP268" s="761" t="str">
        <f>IF(VLOOKUP(A268,'Revitalisation-Revitalisierung'!$A$4:$Z$275,19,FALSE)="","",VLOOKUP(A268,'Revitalisation-Revitalisierung'!$A$4:$Z$275,19,FALSE))</f>
        <v>Non nécessaire / nicht nötig</v>
      </c>
      <c r="BQ268" s="759" t="str">
        <f>IF(VLOOKUP(A268,'Revitalisation-Revitalisierung'!$A$4:$Z$275,20,FALSE)="","",VLOOKUP(A268,'Revitalisation-Revitalisierung'!$A$4:$Z$275,20,FALSE))</f>
        <v>c</v>
      </c>
      <c r="BR268" s="759" t="str">
        <f>IF(VLOOKUP(A268,'Revitalisation-Revitalisierung'!$A$4:$Z$275,21,FALSE)="","",VLOOKUP(A268,'Revitalisation-Revitalisierung'!$A$4:$Z$275,21,FALSE))</f>
        <v/>
      </c>
      <c r="BS268" s="762" t="str">
        <f>IF(VLOOKUP(A268,'Revitalisation-Revitalisierung'!$A$4:$Z$275,22,FALSE)="","",VLOOKUP(A268,'Revitalisation-Revitalisierung'!$A$4:$Z$275,22,FALSE))</f>
        <v/>
      </c>
      <c r="BT268" s="700" t="str">
        <f>IF(VLOOKUP(A268,'Revitalisation-Revitalisierung'!$A$4:$Z$275,23,FALSE)="","",VLOOKUP(A268,'Revitalisation-Revitalisierung'!$A$4:$Z$275,23,FALSE))</f>
        <v/>
      </c>
      <c r="BU268" s="699" t="str">
        <f>IF(VLOOKUP(A268,'Revitalisation-Revitalisierung'!$A$4:$Z$275,24,FALSE)="","",VLOOKUP(A268,'Revitalisation-Revitalisierung'!$A$4:$Z$275,24,FALSE))</f>
        <v/>
      </c>
      <c r="BV268" s="761" t="str">
        <f>IF(VLOOKUP(A268,'Revitalisation-Revitalisierung'!$A$4:$Z$275,25,FALSE)="","",VLOOKUP(A268,'Revitalisation-Revitalisierung'!$A$4:$Z$275,25,FALSE))</f>
        <v>Non nécessaire / nicht nötig</v>
      </c>
      <c r="BW268" s="871" t="str">
        <f>IF(VLOOKUP(A268,'Revitalisation-Revitalisierung'!$A$4:$AA$275,27,FALSE)="","",VLOOKUP(A268,'Revitalisation-Revitalisierung'!$A$4:$AA$275,27,FALSE))</f>
        <v>a</v>
      </c>
    </row>
    <row r="269" spans="1:75" ht="100.15" customHeight="1" x14ac:dyDescent="0.25">
      <c r="A269" s="935">
        <v>393</v>
      </c>
      <c r="B269" s="856">
        <f>IF(VLOOKUP(A269,'Données de base - Grunddaten'!$A$2:$M$297,2,FALSE)="","",VLOOKUP(A269,'Données de base - Grunddaten'!$A$2:$M$297,2,FALSE))</f>
        <v>1</v>
      </c>
      <c r="C269" s="857" t="str">
        <f>IF(VLOOKUP(A269,'Données de base - Grunddaten'!$A$2:$M$297,3,FALSE)="","",VLOOKUP(A269,'Données de base - Grunddaten'!$A$2:$M$297,3,FALSE))</f>
        <v>Isola / Plan Grand</v>
      </c>
      <c r="D269" s="857" t="str">
        <f>IF(VLOOKUP(A269,'Données de base - Grunddaten'!$A$2:$M$297,4,FALSE)="","",VLOOKUP(A269,'Données de base - Grunddaten'!$A$2:$M$297,4,FALSE))</f>
        <v>Aua da Fedoz, Lei da Segl</v>
      </c>
      <c r="E269" s="857" t="str">
        <f>IF(VLOOKUP(A269,'Données de base - Grunddaten'!$A$2:$M$297,5,FALSE)="","",VLOOKUP(A269,'Données de base - Grunddaten'!$A$2:$M$297,5,FALSE))</f>
        <v>GR</v>
      </c>
      <c r="F269" s="857" t="str">
        <f>IF(VLOOKUP(A269,'Données de base - Grunddaten'!$A$2:$M$297,6,FALSE)="","",VLOOKUP(A269,'Données de base - Grunddaten'!$A$2:$M$297,6,FALSE))</f>
        <v>Alpes centrales orientales</v>
      </c>
      <c r="G269" s="857" t="str">
        <f>IF(VLOOKUP(A269,'Données de base - Grunddaten'!$A$2:$M$297,7,FALSE)="","",VLOOKUP(A269,'Données de base - Grunddaten'!$A$2:$M$297,7,FALSE))</f>
        <v>Alpin</v>
      </c>
      <c r="H269" s="857">
        <f>IF(VLOOKUP(A269,'Données de base - Grunddaten'!$A$2:$M$297,8,FALSE)="","",VLOOKUP(A269,'Données de base - Grunddaten'!$A$2:$M$297,8,FALSE))</f>
        <v>1800</v>
      </c>
      <c r="I269" s="857">
        <f>IF(VLOOKUP(A269,'Données de base - Grunddaten'!$A$2:$M$297,9,FALSE)="","",VLOOKUP(A269,'Données de base - Grunddaten'!$A$2:$M$297,9,FALSE))</f>
        <v>2003</v>
      </c>
      <c r="J269" s="857">
        <f>IF(VLOOKUP(A269,'Données de base - Grunddaten'!$A$2:$M$297,10,FALSE)="","",VLOOKUP(A269,'Données de base - Grunddaten'!$A$2:$M$297,10,FALSE))</f>
        <v>90</v>
      </c>
      <c r="K269" s="857" t="str">
        <f>IF(VLOOKUP(A269,'Données de base - Grunddaten'!$A$2:$M$297,11,FALSE)="","",VLOOKUP(A269,'Données de base - Grunddaten'!$A$2:$M$297,11,FALSE))</f>
        <v>Delta</v>
      </c>
      <c r="L269" s="857" t="str">
        <f>IF(VLOOKUP(A269,'Données de base - Grunddaten'!$A$2:$M$297,12,FALSE)="","",VLOOKUP(A269,'Données de base - Grunddaten'!$A$2:$M$297,12,FALSE))</f>
        <v>en tresses</v>
      </c>
      <c r="M269" s="858" t="str">
        <f>IF(VLOOKUP(A269,'Données de base - Grunddaten'!$A$2:$M$297,13,FALSE)="","",VLOOKUP(A269,'Données de base - Grunddaten'!$A$2:$M$297,13,FALSE))</f>
        <v>en tresses</v>
      </c>
      <c r="N269" s="872" t="str">
        <f>IF(VLOOKUP(A269,'Charriage - Geschiebehaushalt'!$A$4:$R$275,5,FALSE)="","",VLOOKUP(A269,'Charriage - Geschiebehaushalt'!$A$4:$R$275,5,FALSE))</f>
        <v>pertinent</v>
      </c>
      <c r="O269" s="881" t="str">
        <f>IF(VLOOKUP(A269,'Charriage - Geschiebehaushalt'!$A$4:$R$275,6,FALSE)="","",VLOOKUP(A269,'Charriage - Geschiebehaushalt'!$A$4:$R$275,6,FALSE))</f>
        <v>non documenté</v>
      </c>
      <c r="P269" s="874" t="str">
        <f>IF(VLOOKUP(A269,'Charriage - Geschiebehaushalt'!$A$4:$R$275,7,FALSE)="","",VLOOKUP(A269,'Charriage - Geschiebehaushalt'!$A$4:$R$275,7,FALSE))</f>
        <v/>
      </c>
      <c r="Q269" s="874" t="str">
        <f>IF(VLOOKUP(A269,'Charriage - Geschiebehaushalt'!$A$4:$R$275,8,FALSE)="","",VLOOKUP(A269,'Charriage - Geschiebehaushalt'!$A$4:$R$275,8,FALSE))</f>
        <v>non documenté</v>
      </c>
      <c r="R269" s="875">
        <f>IF(VLOOKUP(A269,'Charriage - Geschiebehaushalt'!$A$4:$R$275,9,FALSE)="","",VLOOKUP(A269,'Charriage - Geschiebehaushalt'!$A$4:$R$275,9,FALSE))</f>
        <v>8.5148988930501698E-2</v>
      </c>
      <c r="S269" s="876" t="str">
        <f>IF(VLOOKUP(A269,'Charriage - Geschiebehaushalt'!$A$4:$R$275,10,FALSE)="","",VLOOKUP(A269,'Charriage - Geschiebehaushalt'!$A$4:$R$275,10,FALSE))</f>
        <v>pas ou faiblement entravé</v>
      </c>
      <c r="T269" s="875">
        <f>IF(VLOOKUP(A269,'Charriage - Geschiebehaushalt'!$A$4:$R$275,11,FALSE)="","",VLOOKUP(A269,'Charriage - Geschiebehaushalt'!$A$4:$R$275,11,FALSE))</f>
        <v>0.58667955721999998</v>
      </c>
      <c r="U269" s="895" t="str">
        <f>IF(VLOOKUP(A269,'Charriage - Geschiebehaushalt'!$A$4:$R$275,12,FALSE)="","",VLOOKUP(A269,'Charriage - Geschiebehaushalt'!$A$4:$R$275,12,FALSE))</f>
        <v>déficit non apparent en charriage ou en remobilisation des sédiments</v>
      </c>
      <c r="V269" s="877" t="str">
        <f>IF(VLOOKUP(A269,'Charriage - Geschiebehaushalt'!$A$4:$R$275,13,FALSE)="","",VLOOKUP(A269,'Charriage - Geschiebehaushalt'!$A$4:$R$275,13,FALSE))</f>
        <v/>
      </c>
      <c r="W269" s="877" t="str">
        <f>IF(VLOOKUP(A269,'Charriage - Geschiebehaushalt'!$A$4:$R$275,14,FALSE)="","",VLOOKUP(A269,'Charriage - Geschiebehaushalt'!$A$4:$R$275,14,FALSE))</f>
        <v/>
      </c>
      <c r="X269" s="877" t="str">
        <f>IF(VLOOKUP(A269,'Charriage - Geschiebehaushalt'!$A$4:$R$275,15,FALSE)="","",VLOOKUP(A269,'Charriage - Geschiebehaushalt'!$A$4:$R$275,15,FALSE))</f>
        <v/>
      </c>
      <c r="Y269" s="879" t="str">
        <f>IF(VLOOKUP(A269,'Charriage - Geschiebehaushalt'!$A$4:$R$275,16,FALSE)="","",VLOOKUP(A269,'Charriage - Geschiebehaushalt'!$A$4:$R$275,16,FALSE))</f>
        <v/>
      </c>
      <c r="Z269" s="763" t="str">
        <f>IF(VLOOKUP(A269,'Charriage - Geschiebehaushalt'!$A$4:$R$275,17,FALSE)="","",VLOOKUP(A269,'Charriage - Geschiebehaushalt'!$A$4:$R$275,17,FALSE))</f>
        <v>Déficit non apparent en charriage ou en remobilisation des sédiments / kein sichtbares Defizit beim Geschiebehaushalt bzw. bei der Mobilisierung von Geschiebe</v>
      </c>
      <c r="AA269" s="880" t="str">
        <f>IF(VLOOKUP(A269,'Charriage - Geschiebehaushalt'!$A$4:$R$275,18,FALSE)="","",VLOOKUP(A269,'Charriage - Geschiebehaushalt'!$A$4:$R$275,18,FALSE))</f>
        <v>b</v>
      </c>
      <c r="AB269" s="737" t="str">
        <f>IF(VLOOKUP(A269,'Charriage - Geschiebehaushalt'!$A$4:$AC$275,19,FALSE)="","",VLOOKUP(A269,'Charriage - Geschiebehaushalt'!$A$4:$AC$275,19,FALSE))</f>
        <v>-</v>
      </c>
      <c r="AC269" s="738">
        <f>IF(VLOOKUP(A269,'Charriage - Geschiebehaushalt'!$A$4:$AC$275,20,FALSE)="","",VLOOKUP(A269,'Charriage - Geschiebehaushalt'!$A$4:$AC$275,20,FALSE))</f>
        <v>0</v>
      </c>
      <c r="AD269" s="764" t="str">
        <f>IF(VLOOKUP(A269,'Charriage - Geschiebehaushalt'!$A$4:$AC$275,21,FALSE)="","",VLOOKUP(A269,'Charriage - Geschiebehaushalt'!$A$4:$AC$275,21,FALSE))</f>
        <v/>
      </c>
      <c r="AE269" s="740" t="str">
        <f>IF(VLOOKUP(A269,'Charriage - Geschiebehaushalt'!$A$4:$AC$275,22,FALSE)="","",VLOOKUP(A269,'Charriage - Geschiebehaushalt'!$A$4:$AC$275,22,FALSE))</f>
        <v>0-20%</v>
      </c>
      <c r="AF269" s="787" t="str">
        <f>IF(VLOOKUP(A269,'Charriage - Geschiebehaushalt'!$A$4:$AC$275,23,FALSE)="","",VLOOKUP(A269,'Charriage - Geschiebehaushalt'!$A$4:$AC$275,23,FALSE))</f>
        <v>b</v>
      </c>
      <c r="AG269" s="765" t="str">
        <f>IF(VLOOKUP(A269,'Charriage - Geschiebehaushalt'!$A$4:$AC$275,24,FALSE)="","",VLOOKUP(A269,'Charriage - Geschiebehaushalt'!$A$4:$AC$275,24,FALSE))</f>
        <v/>
      </c>
      <c r="AH269" s="764" t="str">
        <f>IF(VLOOKUP(A269,'Charriage - Geschiebehaushalt'!$A$4:$AC$275,25,FALSE)="","",VLOOKUP(A269,'Charriage - Geschiebehaushalt'!$A$4:$AC$275,25,FALSE))</f>
        <v/>
      </c>
      <c r="AI269" s="435" t="str">
        <f>IF(VLOOKUP(A269,'Charriage - Geschiebehaushalt'!$A$4:$AC$275,26,FALSE)="","",VLOOKUP(A269,'Charriage - Geschiebehaushalt'!$A$4:$AC$275,26,FALSE))</f>
        <v/>
      </c>
      <c r="AJ269" s="436" t="str">
        <f>IF(VLOOKUP(A269,'Charriage - Geschiebehaushalt'!$A$4:$AC$275,27,FALSE)="","",VLOOKUP(A269,'Charriage - Geschiebehaushalt'!$A$4:$AC$275,27,FALSE))</f>
        <v/>
      </c>
      <c r="AK269" s="801" t="str">
        <f>IF(VLOOKUP(A269,'Charriage - Geschiebehaushalt'!$A$4:$AC$275,28,FALSE)="","",VLOOKUP(A269,'Charriage - Geschiebehaushalt'!$A$4:$AC$275,28,FALSE))</f>
        <v>0-20%</v>
      </c>
      <c r="AL269" s="1285" t="str">
        <f>IF(VLOOKUP(A269,'Charriage - Geschiebehaushalt'!$A$4:$AD$275,30,FALSE)="","",VLOOKUP(A269,'Charriage - Geschiebehaushalt'!$A$4:$AD$275,30,FALSE))</f>
        <v>b</v>
      </c>
      <c r="AM269" s="1279" t="str">
        <f>IF(VLOOKUP(A269,'Débit - Abfluss'!$A$4:$K$275,5,FALSE)="","",VLOOKUP(A269,'Débit - Abfluss'!$A$4:$M$275,5,FALSE))</f>
        <v>100%</v>
      </c>
      <c r="AN269" s="868" t="str">
        <f>IF(VLOOKUP(A269,'Débit - Abfluss'!$A$4:$K$275,6,FALSE)="","",VLOOKUP(A269,'Débit - Abfluss'!$A$4:$M$275,6,FALSE))</f>
        <v>aucune information supplémentaire</v>
      </c>
      <c r="AO269" s="869" t="str">
        <f>IF(VLOOKUP(A269,'Débit - Abfluss'!$A$4:$K$275,7,FALSE)="","",VLOOKUP(A269,'Débit - Abfluss'!$A$4:$M$275,7,FALSE))</f>
        <v>aucune information supplémentaire</v>
      </c>
      <c r="AP269" s="766" t="str">
        <f>IF(VLOOKUP(A269,'Débit - Abfluss'!$A$4:$K$275,8,FALSE)="","",VLOOKUP(A269,'Débit - Abfluss'!$A$4:$M$275,8,FALSE))</f>
        <v>100%</v>
      </c>
      <c r="AQ269" s="742" t="str">
        <f>IF(VLOOKUP(A269,'Débit - Abfluss'!$A$4:$K$275,9,FALSE)="","",VLOOKUP(A269,'Débit - Abfluss'!$A$4:$M$275,9,FALSE))</f>
        <v>-</v>
      </c>
      <c r="AR269" s="767" t="str">
        <f>IF(VLOOKUP(A269,'Débit - Abfluss'!$A$4:$K$275,10,FALSE)="","",VLOOKUP(A269,'Débit - Abfluss'!$A$4:$M$275,10,FALSE))</f>
        <v>100%</v>
      </c>
      <c r="AS269" s="767" t="str">
        <f>IF(VLOOKUP(A269,'Débit - Abfluss'!$A$4:$K$275,11,FALSE)="","",VLOOKUP(A269,'Débit - Abfluss'!$A$4:$M$275,11,FALSE))</f>
        <v/>
      </c>
      <c r="AT269" s="778" t="str">
        <f>IF(VLOOKUP(A269,'Débit - Abfluss'!$A$4:$Q$275,12,FALSE)="","",VLOOKUP(A269,'Débit - Abfluss'!$A$4:$Q$275,12,FALSE))</f>
        <v/>
      </c>
      <c r="AU269" s="779" t="str">
        <f>IF(VLOOKUP(A269,'Débit - Abfluss'!$A$4:$Q$275,13,FALSE)="","",VLOOKUP(A269,'Débit - Abfluss'!$A$4:$Q$275,13,FALSE))</f>
        <v/>
      </c>
      <c r="AV269" s="746" t="str">
        <f>IF(VLOOKUP(A269,'Débit - Abfluss'!$A$4:$Q$275,14,FALSE)="","",VLOOKUP(A269,'Débit - Abfluss'!$A$4:$Q$275,14,FALSE))</f>
        <v/>
      </c>
      <c r="AW269" s="768" t="str">
        <f>IF(VLOOKUP(A269,'Débit - Abfluss'!$A$4:$Q$275,15,FALSE)="","",VLOOKUP(A269,'Débit - Abfluss'!$A$4:$Q$275,15,FALSE))</f>
        <v/>
      </c>
      <c r="AX269" s="679" t="str">
        <f>IF(VLOOKUP(A269,'Débit - Abfluss'!$A$4:$Q$275,16,FALSE)="","",VLOOKUP(A269,'Débit - Abfluss'!$A$4:$Q$275,16,FALSE))</f>
        <v/>
      </c>
      <c r="AY269" s="769" t="str">
        <f>IF(VLOOKUP(A269,'Débit - Abfluss'!$A$4:$Q$275,17,FALSE)="","",VLOOKUP(A269,'Débit - Abfluss'!$A$4:$Q$275,17,FALSE))</f>
        <v>100%</v>
      </c>
      <c r="AZ269" s="749" t="str">
        <f>IF(VLOOKUP(A269,'Eclusée - Schwall-Sunk'!$A$2:$F$273,5,FALSE)="","",VLOOKUP(A269,'Eclusée - Schwall-Sunk'!$A$2:$F$273,5,FALSE))</f>
        <v/>
      </c>
      <c r="BA269" s="750" t="str">
        <f>IF(VLOOKUP(A269,'Eclusée - Schwall-Sunk'!$A$2:$F$273,6,FALSE)="","",VLOOKUP(A269,'Eclusée - Schwall-Sunk'!$A$2:$F$273,6,FALSE))</f>
        <v>Non affecté / nicht betroffen</v>
      </c>
      <c r="BB269" s="751" t="str">
        <f>IF(VLOOKUP(A269,'Revitalisation-Revitalisierung'!$A$4:$Z$275,5,FALSE)="","",VLOOKUP(A269,'Revitalisation-Revitalisierung'!$A$4:$Z$275,5,FALSE))</f>
        <v/>
      </c>
      <c r="BC269" s="752" t="str">
        <f>IF(VLOOKUP(A269,'Revitalisation-Revitalisierung'!$A$4:$Z$275,6,FALSE)="","",VLOOKUP(A269,'Revitalisation-Revitalisierung'!$A$4:$Z$275,6,FALSE))</f>
        <v/>
      </c>
      <c r="BD269" s="752" t="str">
        <f>IF(VLOOKUP(A269,'Revitalisation-Revitalisierung'!$A$4:$Z$275,7,FALSE)="","",VLOOKUP(A269,'Revitalisation-Revitalisierung'!$A$4:$Z$275,7,FALSE))</f>
        <v/>
      </c>
      <c r="BE269" s="753" t="str">
        <f>IF(VLOOKUP(A269,'Revitalisation-Revitalisierung'!$A$4:$Z$275,8,FALSE)="","",VLOOKUP(A269,'Revitalisation-Revitalisierung'!$A$4:$Z$275,8,FALSE))</f>
        <v>non nécessaire</v>
      </c>
      <c r="BF269" s="754" t="str">
        <f>IF(VLOOKUP(A269,'Revitalisation-Revitalisierung'!$A$4:$Z$275,9,FALSE)="","",VLOOKUP(A269,'Revitalisation-Revitalisierung'!$A$4:$Z$275,9,FALSE))</f>
        <v>nicht nötig</v>
      </c>
      <c r="BG269" s="754" t="str">
        <f>IF(VLOOKUP(A269,'Revitalisation-Revitalisierung'!$A$4:$Z$275,10,FALSE)="","",VLOOKUP(A269,'Revitalisation-Revitalisierung'!$A$4:$Z$275,10,FALSE))</f>
        <v>K2</v>
      </c>
      <c r="BH269" s="755" t="str">
        <f>IF(VLOOKUP(A269,'Revitalisation-Revitalisierung'!$A$4:$Z$275,11,FALSE)="","",VLOOKUP(A269,'Revitalisation-Revitalisierung'!$A$4:$Z$275,11,FALSE))</f>
        <v/>
      </c>
      <c r="BI269" s="756" t="str">
        <f>IF(VLOOKUP(A269,'Revitalisation-Revitalisierung'!$A$4:$Z$275,12,FALSE)="","",VLOOKUP(A269,'Revitalisation-Revitalisierung'!$A$4:$Z$275,12,FALSE))</f>
        <v/>
      </c>
      <c r="BJ269" s="788" t="str">
        <f>IF(VLOOKUP(A269,'Revitalisation-Revitalisierung'!$A$4:$Z$275,13,FALSE)="","",VLOOKUP(A269,'Revitalisation-Revitalisierung'!$A$4:$Z$275,13,FALSE))</f>
        <v>Non nécessaire / nicht nötig</v>
      </c>
      <c r="BK269" s="870" t="str">
        <f>IF(VLOOKUP(A269,'Revitalisation-Revitalisierung'!$A$4:$Z$275,14,FALSE)="","",VLOOKUP(A269,'Revitalisation-Revitalisierung'!$A$4:$Z$275,14,FALSE))</f>
        <v>a</v>
      </c>
      <c r="BL269" s="758" t="str">
        <f>IF(VLOOKUP(A269,'Revitalisation-Revitalisierung'!$A$4:$Z$275,15,FALSE)="","",VLOOKUP(A269,'Revitalisation-Revitalisierung'!$A$4:$Z$275,15,FALSE))</f>
        <v>gross</v>
      </c>
      <c r="BM269" s="759" t="str">
        <f>IF(VLOOKUP(A269,'Revitalisation-Revitalisierung'!$A$4:$Z$275,16,FALSE)="","",VLOOKUP(A269,'Revitalisation-Revitalisierung'!$A$4:$Z$275,16,FALSE))</f>
        <v>kein/nicht best.</v>
      </c>
      <c r="BN269" s="759" t="str">
        <f>IF(VLOOKUP(A269,'Revitalisation-Revitalisierung'!$A$4:$Z$275,17,FALSE)="","",VLOOKUP(A269,'Revitalisation-Revitalisierung'!$A$4:$Z$275,17,FALSE))</f>
        <v>gering</v>
      </c>
      <c r="BO269" s="760" t="str">
        <f>IF(VLOOKUP(A269,'Revitalisation-Revitalisierung'!$A$4:$Z$275,18,FALSE)="","",VLOOKUP(A269,'Revitalisation-Revitalisierung'!$A$4:$Z$275,18,FALSE))</f>
        <v>Non nécessaire / nicht nötig</v>
      </c>
      <c r="BP269" s="761" t="str">
        <f>IF(VLOOKUP(A269,'Revitalisation-Revitalisierung'!$A$4:$Z$275,19,FALSE)="","",VLOOKUP(A269,'Revitalisation-Revitalisierung'!$A$4:$Z$275,19,FALSE))</f>
        <v>Non nécessaire / nicht nötig</v>
      </c>
      <c r="BQ269" s="759" t="str">
        <f>IF(VLOOKUP(A269,'Revitalisation-Revitalisierung'!$A$4:$Z$275,20,FALSE)="","",VLOOKUP(A269,'Revitalisation-Revitalisierung'!$A$4:$Z$275,20,FALSE))</f>
        <v>d</v>
      </c>
      <c r="BR269" s="759" t="str">
        <f>IF(VLOOKUP(A269,'Revitalisation-Revitalisierung'!$A$4:$Z$275,21,FALSE)="","",VLOOKUP(A269,'Revitalisation-Revitalisierung'!$A$4:$Z$275,21,FALSE))</f>
        <v/>
      </c>
      <c r="BS269" s="762" t="str">
        <f>IF(VLOOKUP(A269,'Revitalisation-Revitalisierung'!$A$4:$Z$275,22,FALSE)="","",VLOOKUP(A269,'Revitalisation-Revitalisierung'!$A$4:$Z$275,22,FALSE))</f>
        <v/>
      </c>
      <c r="BT269" s="700" t="str">
        <f>IF(VLOOKUP(A269,'Revitalisation-Revitalisierung'!$A$4:$Z$275,23,FALSE)="","",VLOOKUP(A269,'Revitalisation-Revitalisierung'!$A$4:$Z$275,23,FALSE))</f>
        <v/>
      </c>
      <c r="BU269" s="699" t="str">
        <f>IF(VLOOKUP(A269,'Revitalisation-Revitalisierung'!$A$4:$Z$275,24,FALSE)="","",VLOOKUP(A269,'Revitalisation-Revitalisierung'!$A$4:$Z$275,24,FALSE))</f>
        <v/>
      </c>
      <c r="BV269" s="761" t="str">
        <f>IF(VLOOKUP(A269,'Revitalisation-Revitalisierung'!$A$4:$Z$275,25,FALSE)="","",VLOOKUP(A269,'Revitalisation-Revitalisierung'!$A$4:$Z$275,25,FALSE))</f>
        <v>Non nécessaire / nicht nötig</v>
      </c>
      <c r="BW269" s="871" t="str">
        <f>IF(VLOOKUP(A269,'Revitalisation-Revitalisierung'!$A$4:$AA$275,27,FALSE)="","",VLOOKUP(A269,'Revitalisation-Revitalisierung'!$A$4:$AA$275,27,FALSE))</f>
        <v>a</v>
      </c>
    </row>
    <row r="270" spans="1:75" ht="82.15" customHeight="1" x14ac:dyDescent="0.25">
      <c r="A270" s="935">
        <v>394</v>
      </c>
      <c r="B270" s="856">
        <f>IF(VLOOKUP(A270,'Données de base - Grunddaten'!$A$2:$M$297,2,FALSE)="","",VLOOKUP(A270,'Données de base - Grunddaten'!$A$2:$M$297,2,FALSE))</f>
        <v>1</v>
      </c>
      <c r="C270" s="857" t="str">
        <f>IF(VLOOKUP(A270,'Données de base - Grunddaten'!$A$2:$M$297,3,FALSE)="","",VLOOKUP(A270,'Données de base - Grunddaten'!$A$2:$M$297,3,FALSE))</f>
        <v>Ova da Roseg</v>
      </c>
      <c r="D270" s="857" t="str">
        <f>IF(VLOOKUP(A270,'Données de base - Grunddaten'!$A$2:$M$297,4,FALSE)="","",VLOOKUP(A270,'Données de base - Grunddaten'!$A$2:$M$297,4,FALSE))</f>
        <v>Ova da Roseg</v>
      </c>
      <c r="E270" s="857" t="str">
        <f>IF(VLOOKUP(A270,'Données de base - Grunddaten'!$A$2:$M$297,5,FALSE)="","",VLOOKUP(A270,'Données de base - Grunddaten'!$A$2:$M$297,5,FALSE))</f>
        <v>GR</v>
      </c>
      <c r="F270" s="857" t="str">
        <f>IF(VLOOKUP(A270,'Données de base - Grunddaten'!$A$2:$M$297,6,FALSE)="","",VLOOKUP(A270,'Données de base - Grunddaten'!$A$2:$M$297,6,FALSE))</f>
        <v>Alpes centrales orientales</v>
      </c>
      <c r="G270" s="857" t="str">
        <f>IF(VLOOKUP(A270,'Données de base - Grunddaten'!$A$2:$M$297,7,FALSE)="","",VLOOKUP(A270,'Données de base - Grunddaten'!$A$2:$M$297,7,FALSE))</f>
        <v>Alpin</v>
      </c>
      <c r="H270" s="857">
        <f>IF(VLOOKUP(A270,'Données de base - Grunddaten'!$A$2:$M$297,8,FALSE)="","",VLOOKUP(A270,'Données de base - Grunddaten'!$A$2:$M$297,8,FALSE))</f>
        <v>1800</v>
      </c>
      <c r="I270" s="857">
        <f>IF(VLOOKUP(A270,'Données de base - Grunddaten'!$A$2:$M$297,9,FALSE)="","",VLOOKUP(A270,'Données de base - Grunddaten'!$A$2:$M$297,9,FALSE))</f>
        <v>2003</v>
      </c>
      <c r="J270" s="857">
        <f>IF(VLOOKUP(A270,'Données de base - Grunddaten'!$A$2:$M$297,10,FALSE)="","",VLOOKUP(A270,'Données de base - Grunddaten'!$A$2:$M$297,10,FALSE))</f>
        <v>31</v>
      </c>
      <c r="K270" s="857" t="str">
        <f>IF(VLOOKUP(A270,'Données de base - Grunddaten'!$A$2:$M$297,11,FALSE)="","",VLOOKUP(A270,'Données de base - Grunddaten'!$A$2:$M$297,11,FALSE))</f>
        <v>Cours d'eau naturels de l'étage subalpin</v>
      </c>
      <c r="L270" s="857" t="str">
        <f>IF(VLOOKUP(A270,'Données de base - Grunddaten'!$A$2:$M$297,12,FALSE)="","",VLOOKUP(A270,'Données de base - Grunddaten'!$A$2:$M$297,12,FALSE))</f>
        <v>en tresses</v>
      </c>
      <c r="M270" s="858" t="str">
        <f>IF(VLOOKUP(A270,'Données de base - Grunddaten'!$A$2:$M$297,13,FALSE)="","",VLOOKUP(A270,'Données de base - Grunddaten'!$A$2:$M$297,13,FALSE))</f>
        <v>en tresses</v>
      </c>
      <c r="N270" s="872" t="str">
        <f>IF(VLOOKUP(A270,'Charriage - Geschiebehaushalt'!$A$4:$R$275,5,FALSE)="","",VLOOKUP(A270,'Charriage - Geschiebehaushalt'!$A$4:$R$275,5,FALSE))</f>
        <v>pertinent</v>
      </c>
      <c r="O270" s="881" t="str">
        <f>IF(VLOOKUP(A270,'Charriage - Geschiebehaushalt'!$A$4:$R$275,6,FALSE)="","",VLOOKUP(A270,'Charriage - Geschiebehaushalt'!$A$4:$R$275,6,FALSE))</f>
        <v>non documenté</v>
      </c>
      <c r="P270" s="874" t="str">
        <f>IF(VLOOKUP(A270,'Charriage - Geschiebehaushalt'!$A$4:$R$275,7,FALSE)="","",VLOOKUP(A270,'Charriage - Geschiebehaushalt'!$A$4:$R$275,7,FALSE))</f>
        <v/>
      </c>
      <c r="Q270" s="874" t="str">
        <f>IF(VLOOKUP(A270,'Charriage - Geschiebehaushalt'!$A$4:$R$275,8,FALSE)="","",VLOOKUP(A270,'Charriage - Geschiebehaushalt'!$A$4:$R$275,8,FALSE))</f>
        <v>non documenté</v>
      </c>
      <c r="R270" s="875">
        <f>IF(VLOOKUP(A270,'Charriage - Geschiebehaushalt'!$A$4:$R$275,9,FALSE)="","",VLOOKUP(A270,'Charriage - Geschiebehaushalt'!$A$4:$R$275,9,FALSE))</f>
        <v>0.50860755863705398</v>
      </c>
      <c r="S270" s="895" t="str">
        <f>IF(VLOOKUP(A270,'Charriage - Geschiebehaushalt'!$A$4:$R$275,10,FALSE)="","",VLOOKUP(A270,'Charriage - Geschiebehaushalt'!$A$4:$R$275,10,FALSE))</f>
        <v>la remobilisation des sédiments est perturbée</v>
      </c>
      <c r="T270" s="875">
        <f>IF(VLOOKUP(A270,'Charriage - Geschiebehaushalt'!$A$4:$R$275,11,FALSE)="","",VLOOKUP(A270,'Charriage - Geschiebehaushalt'!$A$4:$R$275,11,FALSE))</f>
        <v>0.23168275940999999</v>
      </c>
      <c r="U270" s="876" t="str">
        <f>IF(VLOOKUP(A270,'Charriage - Geschiebehaushalt'!$A$4:$R$275,12,FALSE)="","",VLOOKUP(A270,'Charriage - Geschiebehaushalt'!$A$4:$R$275,12,FALSE))</f>
        <v>déficit dans les formations pionnières</v>
      </c>
      <c r="V270" s="877" t="str">
        <f>IF(VLOOKUP(A270,'Charriage - Geschiebehaushalt'!$A$4:$R$275,13,FALSE)="","",VLOOKUP(A270,'Charriage - Geschiebehaushalt'!$A$4:$R$275,13,FALSE))</f>
        <v/>
      </c>
      <c r="W270" s="877" t="str">
        <f>IF(VLOOKUP(A270,'Charriage - Geschiebehaushalt'!$A$4:$R$275,14,FALSE)="","",VLOOKUP(A270,'Charriage - Geschiebehaushalt'!$A$4:$R$275,14,FALSE))</f>
        <v/>
      </c>
      <c r="X270" s="877" t="str">
        <f>IF(VLOOKUP(A270,'Charriage - Geschiebehaushalt'!$A$4:$R$275,15,FALSE)="","",VLOOKUP(A270,'Charriage - Geschiebehaushalt'!$A$4:$R$275,15,FALSE))</f>
        <v/>
      </c>
      <c r="Y270" s="879" t="str">
        <f>IF(VLOOKUP(A270,'Charriage - Geschiebehaushalt'!$A$4:$R$275,16,FALSE)="","",VLOOKUP(A270,'Charriage - Geschiebehaushalt'!$A$4:$R$275,16,FALSE))</f>
        <v/>
      </c>
      <c r="Z270" s="763" t="str">
        <f>IF(VLOOKUP(A270,'Charriage - Geschiebehaushalt'!$A$4:$R$275,17,FALSE)="","",VLOOKUP(A270,'Charriage - Geschiebehaushalt'!$A$4:$R$275,17,FALSE))</f>
        <v>La remobilisation des sédiments est perturbée / Mobilisierung von Geschiebe beeinträchtigt</v>
      </c>
      <c r="AA270" s="880" t="str">
        <f>IF(VLOOKUP(A270,'Charriage - Geschiebehaushalt'!$A$4:$R$275,18,FALSE)="","",VLOOKUP(A270,'Charriage - Geschiebehaushalt'!$A$4:$R$275,18,FALSE))</f>
        <v>b</v>
      </c>
      <c r="AB270" s="737" t="str">
        <f>IF(VLOOKUP(A270,'Charriage - Geschiebehaushalt'!$A$4:$AC$275,19,FALSE)="","",VLOOKUP(A270,'Charriage - Geschiebehaushalt'!$A$4:$AC$275,19,FALSE))</f>
        <v>-</v>
      </c>
      <c r="AC270" s="738">
        <f>IF(VLOOKUP(A270,'Charriage - Geschiebehaushalt'!$A$4:$AC$275,20,FALSE)="","",VLOOKUP(A270,'Charriage - Geschiebehaushalt'!$A$4:$AC$275,20,FALSE))</f>
        <v>0</v>
      </c>
      <c r="AD270" s="764" t="str">
        <f>IF(VLOOKUP(A270,'Charriage - Geschiebehaushalt'!$A$4:$AC$275,21,FALSE)="","",VLOOKUP(A270,'Charriage - Geschiebehaushalt'!$A$4:$AC$275,21,FALSE))</f>
        <v/>
      </c>
      <c r="AE270" s="740" t="str">
        <f>IF(VLOOKUP(A270,'Charriage - Geschiebehaushalt'!$A$4:$AC$275,22,FALSE)="","",VLOOKUP(A270,'Charriage - Geschiebehaushalt'!$A$4:$AC$275,22,FALSE))</f>
        <v>21-50%</v>
      </c>
      <c r="AF270" s="787" t="str">
        <f>IF(VLOOKUP(A270,'Charriage - Geschiebehaushalt'!$A$4:$AC$275,23,FALSE)="","",VLOOKUP(A270,'Charriage - Geschiebehaushalt'!$A$4:$AC$275,23,FALSE))</f>
        <v>b</v>
      </c>
      <c r="AG270" s="765" t="str">
        <f>IF(VLOOKUP(A270,'Charriage - Geschiebehaushalt'!$A$4:$AC$275,24,FALSE)="","",VLOOKUP(A270,'Charriage - Geschiebehaushalt'!$A$4:$AC$275,24,FALSE))</f>
        <v/>
      </c>
      <c r="AH270" s="764" t="str">
        <f>IF(VLOOKUP(A270,'Charriage - Geschiebehaushalt'!$A$4:$AC$275,25,FALSE)="","",VLOOKUP(A270,'Charriage - Geschiebehaushalt'!$A$4:$AC$275,25,FALSE))</f>
        <v/>
      </c>
      <c r="AI270" s="435" t="str">
        <f>IF(VLOOKUP(A270,'Charriage - Geschiebehaushalt'!$A$4:$AC$275,26,FALSE)="","",VLOOKUP(A270,'Charriage - Geschiebehaushalt'!$A$4:$AC$275,26,FALSE))</f>
        <v/>
      </c>
      <c r="AJ270" s="436" t="str">
        <f>IF(VLOOKUP(A270,'Charriage - Geschiebehaushalt'!$A$4:$AC$275,27,FALSE)="","",VLOOKUP(A270,'Charriage - Geschiebehaushalt'!$A$4:$AC$275,27,FALSE))</f>
        <v/>
      </c>
      <c r="AK270" s="801" t="str">
        <f>IF(VLOOKUP(A270,'Charriage - Geschiebehaushalt'!$A$4:$AC$275,28,FALSE)="","",VLOOKUP(A270,'Charriage - Geschiebehaushalt'!$A$4:$AC$275,28,FALSE))</f>
        <v>21-50%</v>
      </c>
      <c r="AL270" s="1285" t="str">
        <f>IF(VLOOKUP(A270,'Charriage - Geschiebehaushalt'!$A$4:$AD$275,30,FALSE)="","",VLOOKUP(A270,'Charriage - Geschiebehaushalt'!$A$4:$AD$275,30,FALSE))</f>
        <v>b</v>
      </c>
      <c r="AM270" s="1279" t="str">
        <f>IF(VLOOKUP(A270,'Débit - Abfluss'!$A$4:$K$275,5,FALSE)="","",VLOOKUP(A270,'Débit - Abfluss'!$A$4:$M$275,5,FALSE))</f>
        <v>100%</v>
      </c>
      <c r="AN270" s="885" t="str">
        <f>IF(VLOOKUP(A270,'Débit - Abfluss'!$A$4:$K$275,6,FALSE)="","",VLOOKUP(A270,'Débit - Abfluss'!$A$4:$M$275,6,FALSE))</f>
        <v>&lt;10% (prélévement hydro-électrique en amont )</v>
      </c>
      <c r="AO270" s="869" t="str">
        <f>IF(VLOOKUP(A270,'Débit - Abfluss'!$A$4:$K$275,7,FALSE)="","",VLOOKUP(A270,'Débit - Abfluss'!$A$4:$M$275,7,FALSE))</f>
        <v>Prélèvement &gt;50% (GR-164)</v>
      </c>
      <c r="AP270" s="766" t="str">
        <f>IF(VLOOKUP(A270,'Débit - Abfluss'!$A$4:$K$275,8,FALSE)="","",VLOOKUP(A270,'Débit - Abfluss'!$A$4:$M$275,8,FALSE))</f>
        <v>0-20%</v>
      </c>
      <c r="AQ270" s="678" t="str">
        <f>IF(VLOOKUP(A270,'Débit - Abfluss'!$A$4:$K$275,9,FALSE)="","",VLOOKUP(A270,'Débit - Abfluss'!$A$4:$M$275,9,FALSE))</f>
        <v>&lt;10%</v>
      </c>
      <c r="AR270" s="767" t="str">
        <f>IF(VLOOKUP(A270,'Débit - Abfluss'!$A$4:$K$275,10,FALSE)="","",VLOOKUP(A270,'Débit - Abfluss'!$A$4:$M$275,10,FALSE))</f>
        <v>0-20%</v>
      </c>
      <c r="AS270" s="767" t="str">
        <f>IF(VLOOKUP(A270,'Débit - Abfluss'!$A$4:$K$275,11,FALSE)="","",VLOOKUP(A270,'Débit - Abfluss'!$A$4:$M$275,11,FALSE))</f>
        <v/>
      </c>
      <c r="AT270" s="778" t="str">
        <f>IF(VLOOKUP(A270,'Débit - Abfluss'!$A$4:$Q$275,12,FALSE)="","",VLOOKUP(A270,'Débit - Abfluss'!$A$4:$Q$275,12,FALSE))</f>
        <v/>
      </c>
      <c r="AU270" s="779" t="str">
        <f>IF(VLOOKUP(A270,'Débit - Abfluss'!$A$4:$Q$275,13,FALSE)="","",VLOOKUP(A270,'Débit - Abfluss'!$A$4:$Q$275,13,FALSE))</f>
        <v/>
      </c>
      <c r="AV270" s="746" t="str">
        <f>IF(VLOOKUP(A270,'Débit - Abfluss'!$A$4:$Q$275,14,FALSE)="","",VLOOKUP(A270,'Débit - Abfluss'!$A$4:$Q$275,14,FALSE))</f>
        <v>GR-EWSA1-1</v>
      </c>
      <c r="AW270" s="768" t="str">
        <f>IF(VLOOKUP(A270,'Débit - Abfluss'!$A$4:$Q$275,15,FALSE)="","",VLOOKUP(A270,'Débit - Abfluss'!$A$4:$Q$275,15,FALSE))</f>
        <v>Rosegg</v>
      </c>
      <c r="AX270" s="679" t="str">
        <f>IF(VLOOKUP(A270,'Débit - Abfluss'!$A$4:$Q$275,16,FALSE)="","",VLOOKUP(A270,'Débit - Abfluss'!$A$4:$Q$275,16,FALSE))</f>
        <v/>
      </c>
      <c r="AY270" s="769" t="str">
        <f>IF(VLOOKUP(A270,'Débit - Abfluss'!$A$4:$Q$275,17,FALSE)="","",VLOOKUP(A270,'Débit - Abfluss'!$A$4:$Q$275,17,FALSE))</f>
        <v>0-20%</v>
      </c>
      <c r="AZ270" s="749" t="str">
        <f>IF(VLOOKUP(A270,'Eclusée - Schwall-Sunk'!$A$2:$F$273,5,FALSE)="","",VLOOKUP(A270,'Eclusée - Schwall-Sunk'!$A$2:$F$273,5,FALSE))</f>
        <v>force hydraulique</v>
      </c>
      <c r="BA270" s="750" t="str">
        <f>IF(VLOOKUP(A270,'Eclusée - Schwall-Sunk'!$A$2:$F$273,6,FALSE)="","",VLOOKUP(A270,'Eclusée - Schwall-Sunk'!$A$2:$F$273,6,FALSE))</f>
        <v>Non affecté / nicht betroffen</v>
      </c>
      <c r="BB270" s="751">
        <f>IF(VLOOKUP(A270,'Revitalisation-Revitalisierung'!$A$4:$Z$275,5,FALSE)="","",VLOOKUP(A270,'Revitalisation-Revitalisierung'!$A$4:$Z$275,5,FALSE))</f>
        <v>37.836363636363643</v>
      </c>
      <c r="BC270" s="752">
        <f>IF(VLOOKUP(A270,'Revitalisation-Revitalisierung'!$A$4:$Z$275,6,FALSE)="","",VLOOKUP(A270,'Revitalisation-Revitalisierung'!$A$4:$Z$275,6,FALSE))</f>
        <v>49.157039121798796</v>
      </c>
      <c r="BD270" s="752">
        <f>IF(VLOOKUP(A270,'Revitalisation-Revitalisierung'!$A$4:$Z$275,7,FALSE)="","",VLOOKUP(A270,'Revitalisation-Revitalisierung'!$A$4:$Z$275,7,FALSE))</f>
        <v>11.363636363636363</v>
      </c>
      <c r="BE270" s="920" t="str">
        <f>IF(VLOOKUP(A270,'Revitalisation-Revitalisierung'!$A$4:$Z$275,8,FALSE)="","",VLOOKUP(A270,'Revitalisation-Revitalisierung'!$A$4:$Z$275,8,FALSE))</f>
        <v>très nécessaire, facile</v>
      </c>
      <c r="BF270" s="754" t="str">
        <f>IF(VLOOKUP(A270,'Revitalisation-Revitalisierung'!$A$4:$Z$275,9,FALSE)="","",VLOOKUP(A270,'Revitalisation-Revitalisierung'!$A$4:$Z$275,9,FALSE))</f>
        <v>schwierig</v>
      </c>
      <c r="BG270" s="754" t="str">
        <f>IF(VLOOKUP(A270,'Revitalisation-Revitalisierung'!$A$4:$Z$275,10,FALSE)="","",VLOOKUP(A270,'Revitalisation-Revitalisierung'!$A$4:$Z$275,10,FALSE))</f>
        <v>K2</v>
      </c>
      <c r="BH270" s="755" t="str">
        <f>IF(VLOOKUP(A270,'Revitalisation-Revitalisierung'!$A$4:$Z$275,11,FALSE)="","",VLOOKUP(A270,'Revitalisation-Revitalisierung'!$A$4:$Z$275,11,FALSE))</f>
        <v/>
      </c>
      <c r="BI270" s="756" t="str">
        <f>IF(VLOOKUP(A270,'Revitalisation-Revitalisierung'!$A$4:$Z$275,12,FALSE)="","",VLOOKUP(A270,'Revitalisation-Revitalisierung'!$A$4:$Z$275,12,FALSE))</f>
        <v/>
      </c>
      <c r="BJ270" s="788" t="str">
        <f>IF(VLOOKUP(A270,'Revitalisation-Revitalisierung'!$A$4:$Z$275,13,FALSE)="","",VLOOKUP(A270,'Revitalisation-Revitalisierung'!$A$4:$Z$275,13,FALSE))</f>
        <v>Très nécessaire, facile / unbedingt nötig, einfach</v>
      </c>
      <c r="BK270" s="870" t="str">
        <f>IF(VLOOKUP(A270,'Revitalisation-Revitalisierung'!$A$4:$Z$275,14,FALSE)="","",VLOOKUP(A270,'Revitalisation-Revitalisierung'!$A$4:$Z$275,14,FALSE))</f>
        <v>a</v>
      </c>
      <c r="BL270" s="758" t="str">
        <f>IF(VLOOKUP(A270,'Revitalisation-Revitalisierung'!$A$4:$Z$275,15,FALSE)="","",VLOOKUP(A270,'Revitalisation-Revitalisierung'!$A$4:$Z$275,15,FALSE))</f>
        <v>gross</v>
      </c>
      <c r="BM270" s="759" t="str">
        <f>IF(VLOOKUP(A270,'Revitalisation-Revitalisierung'!$A$4:$Z$275,16,FALSE)="","",VLOOKUP(A270,'Revitalisation-Revitalisierung'!$A$4:$Z$275,16,FALSE))</f>
        <v>minim/kein/nicht best.</v>
      </c>
      <c r="BN270" s="759" t="str">
        <f>IF(VLOOKUP(A270,'Revitalisation-Revitalisierung'!$A$4:$Z$275,17,FALSE)="","",VLOOKUP(A270,'Revitalisation-Revitalisierung'!$A$4:$Z$275,17,FALSE))</f>
        <v>gering</v>
      </c>
      <c r="BO270" s="760" t="str">
        <f>IF(VLOOKUP(A270,'Revitalisation-Revitalisierung'!$A$4:$Z$275,18,FALSE)="","",VLOOKUP(A270,'Revitalisation-Revitalisierung'!$A$4:$Z$275,18,FALSE))</f>
        <v>Partiellement nécessaire, facile / teilweise nötig, einfach</v>
      </c>
      <c r="BP270" s="760" t="str">
        <f>IF(VLOOKUP(A270,'Revitalisation-Revitalisierung'!$A$4:$Z$275,19,FALSE)="","",VLOOKUP(A270,'Revitalisation-Revitalisierung'!$A$4:$Z$275,19,FALSE))</f>
        <v>Très nécessaire, difficile / unbedingt nötig, schwierig</v>
      </c>
      <c r="BQ270" s="759" t="str">
        <f>IF(VLOOKUP(A270,'Revitalisation-Revitalisierung'!$A$4:$Z$275,20,FALSE)="","",VLOOKUP(A270,'Revitalisation-Revitalisierung'!$A$4:$Z$275,20,FALSE))</f>
        <v>e</v>
      </c>
      <c r="BR270" s="759" t="str">
        <f>IF(VLOOKUP(A270,'Revitalisation-Revitalisierung'!$A$4:$Z$275,21,FALSE)="","",VLOOKUP(A270,'Revitalisation-Revitalisierung'!$A$4:$Z$275,21,FALSE))</f>
        <v/>
      </c>
      <c r="BS270" s="762" t="str">
        <f>IF(VLOOKUP(A270,'Revitalisation-Revitalisierung'!$A$4:$Z$275,22,FALSE)="","",VLOOKUP(A270,'Revitalisation-Revitalisierung'!$A$4:$Z$275,22,FALSE))</f>
        <v>X</v>
      </c>
      <c r="BT270" s="700" t="str">
        <f>IF(VLOOKUP(A270,'Revitalisation-Revitalisierung'!$A$4:$Z$275,23,FALSE)="","",VLOOKUP(A270,'Revitalisation-Revitalisierung'!$A$4:$Z$275,23,FALSE))</f>
        <v/>
      </c>
      <c r="BU270" s="699" t="str">
        <f>IF(VLOOKUP(A270,'Revitalisation-Revitalisierung'!$A$4:$Z$275,24,FALSE)="","",VLOOKUP(A270,'Revitalisation-Revitalisierung'!$A$4:$Z$275,24,FALSE))</f>
        <v/>
      </c>
      <c r="BV270" s="760" t="str">
        <f>IF(VLOOKUP(A270,'Revitalisation-Revitalisierung'!$A$4:$Z$275,25,FALSE)="","",VLOOKUP(A270,'Revitalisation-Revitalisierung'!$A$4:$Z$275,25,FALSE))</f>
        <v>Très nécessaire, difficile / unbedingt nötig, schwierig</v>
      </c>
      <c r="BW270" s="871" t="str">
        <f>IF(VLOOKUP(A270,'Revitalisation-Revitalisierung'!$A$4:$AA$275,27,FALSE)="","",VLOOKUP(A270,'Revitalisation-Revitalisierung'!$A$4:$AA$275,27,FALSE))</f>
        <v>a</v>
      </c>
    </row>
    <row r="271" spans="1:75" ht="62.45" customHeight="1" x14ac:dyDescent="0.25">
      <c r="A271" s="1230">
        <v>395</v>
      </c>
      <c r="B271" s="856">
        <f>IF(VLOOKUP(A271,'Données de base - Grunddaten'!$A$2:$M$297,2,FALSE)="","",VLOOKUP(A271,'Données de base - Grunddaten'!$A$2:$M$297,2,FALSE))</f>
        <v>1</v>
      </c>
      <c r="C271" s="857" t="str">
        <f>IF(VLOOKUP(A271,'Données de base - Grunddaten'!$A$2:$M$297,3,FALSE)="","",VLOOKUP(A271,'Données de base - Grunddaten'!$A$2:$M$297,3,FALSE))</f>
        <v>Trupchun</v>
      </c>
      <c r="D271" s="857" t="str">
        <f>IF(VLOOKUP(A271,'Données de base - Grunddaten'!$A$2:$M$297,4,FALSE)="","",VLOOKUP(A271,'Données de base - Grunddaten'!$A$2:$M$297,4,FALSE))</f>
        <v>Ova da Varusch, Ova da Trupchun</v>
      </c>
      <c r="E271" s="857" t="str">
        <f>IF(VLOOKUP(A271,'Données de base - Grunddaten'!$A$2:$M$297,5,FALSE)="","",VLOOKUP(A271,'Données de base - Grunddaten'!$A$2:$M$297,5,FALSE))</f>
        <v>GR</v>
      </c>
      <c r="F271" s="857" t="str">
        <f>IF(VLOOKUP(A271,'Données de base - Grunddaten'!$A$2:$M$297,6,FALSE)="","",VLOOKUP(A271,'Données de base - Grunddaten'!$A$2:$M$297,6,FALSE))</f>
        <v>Alpes centrales orientales</v>
      </c>
      <c r="G271" s="857" t="str">
        <f>IF(VLOOKUP(A271,'Données de base - Grunddaten'!$A$2:$M$297,7,FALSE)="","",VLOOKUP(A271,'Données de base - Grunddaten'!$A$2:$M$297,7,FALSE))</f>
        <v>Subalpin sup.</v>
      </c>
      <c r="H271" s="857" t="str">
        <f>IF(VLOOKUP(A271,'Données de base - Grunddaten'!$A$2:$M$297,8,FALSE)="","",VLOOKUP(A271,'Données de base - Grunddaten'!$A$2:$M$297,8,FALSE))</f>
        <v>1760 m</v>
      </c>
      <c r="I271" s="857" t="str">
        <f>IF(VLOOKUP(A271,'Données de base - Grunddaten'!$A$2:$M$297,9,FALSE)="","",VLOOKUP(A271,'Données de base - Grunddaten'!$A$2:$M$297,9,FALSE))</f>
        <v>candidat</v>
      </c>
      <c r="J271" s="857">
        <f>IF(VLOOKUP(A271,'Données de base - Grunddaten'!$A$2:$M$297,10,FALSE)="","",VLOOKUP(A271,'Données de base - Grunddaten'!$A$2:$M$297,10,FALSE))</f>
        <v>31</v>
      </c>
      <c r="K271" s="857" t="str">
        <f>IF(VLOOKUP(A271,'Données de base - Grunddaten'!$A$2:$M$297,11,FALSE)="","",VLOOKUP(A271,'Données de base - Grunddaten'!$A$2:$M$297,11,FALSE))</f>
        <v>Cours d'eau naturels de l'étage subalpin</v>
      </c>
      <c r="L271" s="857" t="str">
        <f>IF(VLOOKUP(A271,'Données de base - Grunddaten'!$A$2:$M$297,12,FALSE)="","",VLOOKUP(A271,'Données de base - Grunddaten'!$A$2:$M$297,12,FALSE))</f>
        <v>en méandres migrants</v>
      </c>
      <c r="M271" s="858" t="str">
        <f>IF(VLOOKUP(A271,'Données de base - Grunddaten'!$A$2:$M$297,13,FALSE)="","",VLOOKUP(A271,'Données de base - Grunddaten'!$A$2:$M$297,13,FALSE))</f>
        <v>en méandres migrants</v>
      </c>
      <c r="N271" s="872" t="str">
        <f>IF(VLOOKUP(A271,'Charriage - Geschiebehaushalt'!$A$4:$R$275,5,FALSE)="","",VLOOKUP(A271,'Charriage - Geschiebehaushalt'!$A$4:$R$275,5,FALSE))</f>
        <v>pertinent</v>
      </c>
      <c r="O271" s="881" t="str">
        <f>IF(VLOOKUP(A271,'Charriage - Geschiebehaushalt'!$A$4:$R$275,6,FALSE)="","",VLOOKUP(A271,'Charriage - Geschiebehaushalt'!$A$4:$R$275,6,FALSE))</f>
        <v>non documenté</v>
      </c>
      <c r="P271" s="874" t="str">
        <f>IF(VLOOKUP(A271,'Charriage - Geschiebehaushalt'!$A$4:$R$275,7,FALSE)="","",VLOOKUP(A271,'Charriage - Geschiebehaushalt'!$A$4:$R$275,7,FALSE))</f>
        <v/>
      </c>
      <c r="Q271" s="874" t="str">
        <f>IF(VLOOKUP(A271,'Charriage - Geschiebehaushalt'!$A$4:$R$275,8,FALSE)="","",VLOOKUP(A271,'Charriage - Geschiebehaushalt'!$A$4:$R$275,8,FALSE))</f>
        <v>non documenté</v>
      </c>
      <c r="R271" s="875">
        <f>IF(VLOOKUP(A271,'Charriage - Geschiebehaushalt'!$A$4:$R$275,9,FALSE)="","",VLOOKUP(A271,'Charriage - Geschiebehaushalt'!$A$4:$R$275,9,FALSE))</f>
        <v>0.152</v>
      </c>
      <c r="S271" s="876" t="str">
        <f>IF(VLOOKUP(A271,'Charriage - Geschiebehaushalt'!$A$4:$R$275,10,FALSE)="","",VLOOKUP(A271,'Charriage - Geschiebehaushalt'!$A$4:$R$275,10,FALSE))</f>
        <v>pas ou faiblement entravé</v>
      </c>
      <c r="T271" s="875">
        <f>IF(VLOOKUP(A271,'Charriage - Geschiebehaushalt'!$A$4:$R$275,11,FALSE)="","",VLOOKUP(A271,'Charriage - Geschiebehaushalt'!$A$4:$R$275,11,FALSE))</f>
        <v>0.16</v>
      </c>
      <c r="U271" s="876" t="str">
        <f>IF(VLOOKUP(A271,'Charriage - Geschiebehaushalt'!$A$4:$R$275,12,FALSE)="","",VLOOKUP(A271,'Charriage - Geschiebehaushalt'!$A$4:$R$275,12,FALSE))</f>
        <v>déficit dans les formations pionnières</v>
      </c>
      <c r="V271" s="877" t="str">
        <f>IF(VLOOKUP(A271,'Charriage - Geschiebehaushalt'!$A$4:$R$275,13,FALSE)="","",VLOOKUP(A271,'Charriage - Geschiebehaushalt'!$A$4:$R$275,13,FALSE))</f>
        <v/>
      </c>
      <c r="W271" s="877" t="str">
        <f>IF(VLOOKUP(A271,'Charriage - Geschiebehaushalt'!$A$4:$R$275,14,FALSE)="","",VLOOKUP(A271,'Charriage - Geschiebehaushalt'!$A$4:$R$275,14,FALSE))</f>
        <v>A vérifier</v>
      </c>
      <c r="X271" s="877" t="str">
        <f>IF(VLOOKUP(A271,'Charriage - Geschiebehaushalt'!$A$4:$R$275,15,FALSE)="","",VLOOKUP(A271,'Charriage - Geschiebehaushalt'!$A$4:$R$275,15,FALSE))</f>
        <v>pas d'ouvrage dans le bassin versant</v>
      </c>
      <c r="Y271" s="882" t="str">
        <f>IF(VLOOKUP(A271,'Charriage - Geschiebehaushalt'!$A$4:$R$275,16,FALSE)="","",VLOOKUP(A271,'Charriage - Geschiebehaushalt'!$A$4:$R$275,16,FALSE))</f>
        <v>charriage présumé naturel</v>
      </c>
      <c r="Z271" s="763" t="str">
        <f>IF(VLOOKUP(A271,'Charriage - Geschiebehaushalt'!$A$4:$R$275,17,FALSE)="","",VLOOKUP(A271,'Charriage - Geschiebehaushalt'!$A$4:$R$275,17,FALSE))</f>
        <v>Charriage présumé naturel / Geschiebehaushalt vermutlich natürlich</v>
      </c>
      <c r="AA271" s="880" t="str">
        <f>IF(VLOOKUP(A271,'Charriage - Geschiebehaushalt'!$A$4:$R$275,18,FALSE)="","",VLOOKUP(A271,'Charriage - Geschiebehaushalt'!$A$4:$R$275,18,FALSE))</f>
        <v>b</v>
      </c>
      <c r="AB271" s="737" t="str">
        <f>IF(VLOOKUP(A271,'Charriage - Geschiebehaushalt'!$A$4:$AC$275,19,FALSE)="","",VLOOKUP(A271,'Charriage - Geschiebehaushalt'!$A$4:$AC$275,19,FALSE))</f>
        <v>-</v>
      </c>
      <c r="AC271" s="738">
        <f>IF(VLOOKUP(A271,'Charriage - Geschiebehaushalt'!$A$4:$AC$275,20,FALSE)="","",VLOOKUP(A271,'Charriage - Geschiebehaushalt'!$A$4:$AC$275,20,FALSE))</f>
        <v>0</v>
      </c>
      <c r="AD271" s="764" t="str">
        <f>IF(VLOOKUP(A271,'Charriage - Geschiebehaushalt'!$A$4:$AC$275,21,FALSE)="","",VLOOKUP(A271,'Charriage - Geschiebehaushalt'!$A$4:$AC$275,21,FALSE))</f>
        <v/>
      </c>
      <c r="AE271" s="740" t="str">
        <f>IF(VLOOKUP(A271,'Charriage - Geschiebehaushalt'!$A$4:$AC$275,22,FALSE)="","",VLOOKUP(A271,'Charriage - Geschiebehaushalt'!$A$4:$AC$275,22,FALSE))</f>
        <v>0-20%</v>
      </c>
      <c r="AF271" s="787" t="str">
        <f>IF(VLOOKUP(A271,'Charriage - Geschiebehaushalt'!$A$4:$AC$275,23,FALSE)="","",VLOOKUP(A271,'Charriage - Geschiebehaushalt'!$A$4:$AC$275,23,FALSE))</f>
        <v>b</v>
      </c>
      <c r="AG271" s="765" t="str">
        <f>IF(VLOOKUP(A271,'Charriage - Geschiebehaushalt'!$A$4:$AC$275,24,FALSE)="","",VLOOKUP(A271,'Charriage - Geschiebehaushalt'!$A$4:$AC$275,24,FALSE))</f>
        <v/>
      </c>
      <c r="AH271" s="764" t="str">
        <f>IF(VLOOKUP(A271,'Charriage - Geschiebehaushalt'!$A$4:$AC$275,25,FALSE)="","",VLOOKUP(A271,'Charriage - Geschiebehaushalt'!$A$4:$AC$275,25,FALSE))</f>
        <v/>
      </c>
      <c r="AI271" s="435" t="str">
        <f>IF(VLOOKUP(A271,'Charriage - Geschiebehaushalt'!$A$4:$AC$275,26,FALSE)="","",VLOOKUP(A271,'Charriage - Geschiebehaushalt'!$A$4:$AC$275,26,FALSE))</f>
        <v/>
      </c>
      <c r="AJ271" s="442" t="str">
        <f>IF(VLOOKUP(A271,'Charriage - Geschiebehaushalt'!$A$4:$AC$275,27,FALSE)="","",VLOOKUP(A271,'Charriage - Geschiebehaushalt'!$A$4:$AC$275,27,FALSE))</f>
        <v/>
      </c>
      <c r="AK271" s="801" t="str">
        <f>IF(VLOOKUP(A271,'Charriage - Geschiebehaushalt'!$A$4:$AC$275,28,FALSE)="","",VLOOKUP(A271,'Charriage - Geschiebehaushalt'!$A$4:$AC$275,28,FALSE))</f>
        <v>0-20%</v>
      </c>
      <c r="AL271" s="1285" t="str">
        <f>IF(VLOOKUP(A271,'Charriage - Geschiebehaushalt'!$A$4:$AD$275,30,FALSE)="","",VLOOKUP(A271,'Charriage - Geschiebehaushalt'!$A$4:$AD$275,30,FALSE))</f>
        <v>b</v>
      </c>
      <c r="AM271" s="1279" t="str">
        <f>IF(VLOOKUP(A271,'Débit - Abfluss'!$A$4:$K$275,5,FALSE)="","",VLOOKUP(A271,'Débit - Abfluss'!$A$4:$M$275,5,FALSE))</f>
        <v>0-20%</v>
      </c>
      <c r="AN271" s="868" t="str">
        <f>IF(VLOOKUP(A271,'Débit - Abfluss'!$A$4:$K$275,6,FALSE)="","",VLOOKUP(A271,'Débit - Abfluss'!$A$4:$M$275,6,FALSE))</f>
        <v/>
      </c>
      <c r="AO271" s="869" t="str">
        <f>IF(VLOOKUP(A271,'Débit - Abfluss'!$A$4:$K$275,7,FALSE)="","",VLOOKUP(A271,'Débit - Abfluss'!$A$4:$M$275,7,FALSE))</f>
        <v/>
      </c>
      <c r="AP271" s="766" t="str">
        <f>IF(VLOOKUP(A271,'Débit - Abfluss'!$A$4:$K$275,8,FALSE)="","",VLOOKUP(A271,'Débit - Abfluss'!$A$4:$M$275,8,FALSE))</f>
        <v>0-20%</v>
      </c>
      <c r="AQ271" s="742" t="str">
        <f>IF(VLOOKUP(A271,'Débit - Abfluss'!$A$4:$K$275,9,FALSE)="","",VLOOKUP(A271,'Débit - Abfluss'!$A$4:$M$275,9,FALSE))</f>
        <v xml:space="preserve"> Abfluss vermutlich natürlich (100%)</v>
      </c>
      <c r="AR271" s="773" t="str">
        <f>IF(VLOOKUP(A271,'Débit - Abfluss'!$A$4:$K$275,10,FALSE)="","",VLOOKUP(A271,'Débit - Abfluss'!$A$4:$M$275,10,FALSE))</f>
        <v>0-20%</v>
      </c>
      <c r="AS271" s="773" t="str">
        <f>IF(VLOOKUP(A271,'Débit - Abfluss'!$A$4:$K$275,11,FALSE)="","",VLOOKUP(A271,'Débit - Abfluss'!$A$4:$M$275,11,FALSE))</f>
        <v>X</v>
      </c>
      <c r="AT271" s="778" t="str">
        <f>IF(VLOOKUP(A271,'Débit - Abfluss'!$A$4:$Q$275,12,FALSE)="","",VLOOKUP(A271,'Débit - Abfluss'!$A$4:$Q$275,12,FALSE))</f>
        <v/>
      </c>
      <c r="AU271" s="779" t="str">
        <f>IF(VLOOKUP(A271,'Débit - Abfluss'!$A$4:$Q$275,13,FALSE)="","",VLOOKUP(A271,'Débit - Abfluss'!$A$4:$Q$275,13,FALSE))</f>
        <v/>
      </c>
      <c r="AV271" s="746" t="str">
        <f>IF(VLOOKUP(A271,'Débit - Abfluss'!$A$4:$Q$275,14,FALSE)="","",VLOOKUP(A271,'Débit - Abfluss'!$A$4:$Q$275,14,FALSE))</f>
        <v/>
      </c>
      <c r="AW271" s="768" t="str">
        <f>IF(VLOOKUP(A271,'Débit - Abfluss'!$A$4:$Q$275,15,FALSE)="","",VLOOKUP(A271,'Débit - Abfluss'!$A$4:$Q$275,15,FALSE))</f>
        <v/>
      </c>
      <c r="AX271" s="679" t="str">
        <f>IF(VLOOKUP(A271,'Débit - Abfluss'!$A$4:$Q$275,16,FALSE)="","",VLOOKUP(A271,'Débit - Abfluss'!$A$4:$Q$275,16,FALSE))</f>
        <v/>
      </c>
      <c r="AY271" s="780" t="str">
        <f>IF(VLOOKUP(A271,'Débit - Abfluss'!$A$4:$Q$275,17,FALSE)="","",VLOOKUP(A271,'Débit - Abfluss'!$A$4:$Q$275,17,FALSE))</f>
        <v>0-20%</v>
      </c>
      <c r="AZ271" s="749" t="str">
        <f>IF(VLOOKUP(A271,'Eclusée - Schwall-Sunk'!$A$2:$F$273,5,FALSE)="","",VLOOKUP(A271,'Eclusée - Schwall-Sunk'!$A$2:$F$273,5,FALSE))</f>
        <v>force hydraulique</v>
      </c>
      <c r="BA271" s="750" t="str">
        <f>IF(VLOOKUP(A271,'Eclusée - Schwall-Sunk'!$A$2:$F$273,6,FALSE)="","",VLOOKUP(A271,'Eclusée - Schwall-Sunk'!$A$2:$F$273,6,FALSE))</f>
        <v>Non affecté / nicht betroffen</v>
      </c>
      <c r="BB271" s="751" t="str">
        <f>IF(VLOOKUP(A271,'Revitalisation-Revitalisierung'!$A$4:$Z$275,5,FALSE)="","",VLOOKUP(A271,'Revitalisation-Revitalisierung'!$A$4:$Z$275,5,FALSE))</f>
        <v/>
      </c>
      <c r="BC271" s="752" t="str">
        <f>IF(VLOOKUP(A271,'Revitalisation-Revitalisierung'!$A$4:$Z$275,6,FALSE)="","",VLOOKUP(A271,'Revitalisation-Revitalisierung'!$A$4:$Z$275,6,FALSE))</f>
        <v/>
      </c>
      <c r="BD271" s="752" t="str">
        <f>IF(VLOOKUP(A271,'Revitalisation-Revitalisierung'!$A$4:$Z$275,7,FALSE)="","",VLOOKUP(A271,'Revitalisation-Revitalisierung'!$A$4:$Z$275,7,FALSE))</f>
        <v/>
      </c>
      <c r="BE271" s="920" t="str">
        <f>IF(VLOOKUP(A271,'Revitalisation-Revitalisierung'!$A$4:$Z$275,8,FALSE)="","",VLOOKUP(A271,'Revitalisation-Revitalisierung'!$A$4:$Z$275,8,FALSE))</f>
        <v>non nécessaire</v>
      </c>
      <c r="BF271" s="754" t="str">
        <f>IF(VLOOKUP(A271,'Revitalisation-Revitalisierung'!$A$4:$Z$275,9,FALSE)="","",VLOOKUP(A271,'Revitalisation-Revitalisierung'!$A$4:$Z$275,9,FALSE))</f>
        <v>nicht nötig</v>
      </c>
      <c r="BG271" s="754" t="str">
        <f>IF(VLOOKUP(A271,'Revitalisation-Revitalisierung'!$A$4:$Z$275,10,FALSE)="","",VLOOKUP(A271,'Revitalisation-Revitalisierung'!$A$4:$Z$275,10,FALSE))</f>
        <v/>
      </c>
      <c r="BH271" s="755" t="str">
        <f>IF(VLOOKUP(A271,'Revitalisation-Revitalisierung'!$A$4:$Z$275,11,FALSE)="","",VLOOKUP(A271,'Revitalisation-Revitalisierung'!$A$4:$Z$275,11,FALSE))</f>
        <v/>
      </c>
      <c r="BI271" s="756" t="str">
        <f>IF(VLOOKUP(A271,'Revitalisation-Revitalisierung'!$A$4:$Z$275,12,FALSE)="","",VLOOKUP(A271,'Revitalisation-Revitalisierung'!$A$4:$Z$275,12,FALSE))</f>
        <v/>
      </c>
      <c r="BJ271" s="788" t="str">
        <f>IF(VLOOKUP(A271,'Revitalisation-Revitalisierung'!$A$4:$Z$275,13,FALSE)="","",VLOOKUP(A271,'Revitalisation-Revitalisierung'!$A$4:$Z$275,13,FALSE))</f>
        <v>Non nécessaire / nicht nötig</v>
      </c>
      <c r="BK271" s="870" t="str">
        <f>IF(VLOOKUP(A271,'Revitalisation-Revitalisierung'!$A$4:$Z$275,14,FALSE)="","",VLOOKUP(A271,'Revitalisation-Revitalisierung'!$A$4:$Z$275,14,FALSE))</f>
        <v>a</v>
      </c>
      <c r="BL271" s="758" t="str">
        <f>IF(VLOOKUP(A271,'Revitalisation-Revitalisierung'!$A$4:$Z$275,15,FALSE)="","",VLOOKUP(A271,'Revitalisation-Revitalisierung'!$A$4:$Z$275,15,FALSE))</f>
        <v>gross</v>
      </c>
      <c r="BM271" s="759" t="str">
        <f>IF(VLOOKUP(A271,'Revitalisation-Revitalisierung'!$A$4:$Z$275,16,FALSE)="","",VLOOKUP(A271,'Revitalisation-Revitalisierung'!$A$4:$Z$275,16,FALSE))</f>
        <v>mittel/kein/nicht best.</v>
      </c>
      <c r="BN271" s="759" t="str">
        <f>IF(VLOOKUP(A271,'Revitalisation-Revitalisierung'!$A$4:$Z$275,17,FALSE)="","",VLOOKUP(A271,'Revitalisation-Revitalisierung'!$A$4:$Z$275,17,FALSE))</f>
        <v>gering</v>
      </c>
      <c r="BO271" s="760" t="str">
        <f>IF(VLOOKUP(A271,'Revitalisation-Revitalisierung'!$A$4:$Z$275,18,FALSE)="","",VLOOKUP(A271,'Revitalisation-Revitalisierung'!$A$4:$Z$275,18,FALSE))</f>
        <v>Non nécessaire / nicht nötig</v>
      </c>
      <c r="BP271" s="761" t="str">
        <f>IF(VLOOKUP(A271,'Revitalisation-Revitalisierung'!$A$4:$Z$275,19,FALSE)="","",VLOOKUP(A271,'Revitalisation-Revitalisierung'!$A$4:$Z$275,19,FALSE))</f>
        <v>Non nécessaire / nicht nötig</v>
      </c>
      <c r="BQ271" s="759" t="str">
        <f>IF(VLOOKUP(A271,'Revitalisation-Revitalisierung'!$A$4:$Z$275,20,FALSE)="","",VLOOKUP(A271,'Revitalisation-Revitalisierung'!$A$4:$Z$275,20,FALSE))</f>
        <v>d</v>
      </c>
      <c r="BR271" s="759" t="str">
        <f>IF(VLOOKUP(A271,'Revitalisation-Revitalisierung'!$A$4:$Z$275,21,FALSE)="","",VLOOKUP(A271,'Revitalisation-Revitalisierung'!$A$4:$Z$275,21,FALSE))</f>
        <v/>
      </c>
      <c r="BS271" s="762" t="str">
        <f>IF(VLOOKUP(A271,'Revitalisation-Revitalisierung'!$A$4:$Z$275,22,FALSE)="","",VLOOKUP(A271,'Revitalisation-Revitalisierung'!$A$4:$Z$275,22,FALSE))</f>
        <v/>
      </c>
      <c r="BT271" s="700" t="str">
        <f>IF(VLOOKUP(A271,'Revitalisation-Revitalisierung'!$A$4:$Z$275,23,FALSE)="","",VLOOKUP(A271,'Revitalisation-Revitalisierung'!$A$4:$Z$275,23,FALSE))</f>
        <v/>
      </c>
      <c r="BU271" s="699" t="str">
        <f>IF(VLOOKUP(A271,'Revitalisation-Revitalisierung'!$A$4:$Z$275,24,FALSE)="","",VLOOKUP(A271,'Revitalisation-Revitalisierung'!$A$4:$Z$275,24,FALSE))</f>
        <v/>
      </c>
      <c r="BV271" s="761" t="str">
        <f>IF(VLOOKUP(A271,'Revitalisation-Revitalisierung'!$A$4:$Z$275,25,FALSE)="","",VLOOKUP(A271,'Revitalisation-Revitalisierung'!$A$4:$Z$275,25,FALSE))</f>
        <v>Non nécessaire / nicht nötig</v>
      </c>
      <c r="BW271" s="871" t="str">
        <f>IF(VLOOKUP(A271,'Revitalisation-Revitalisierung'!$A$4:$AA$275,27,FALSE)="","",VLOOKUP(A271,'Revitalisation-Revitalisierung'!$A$4:$AA$275,27,FALSE))</f>
        <v>a</v>
      </c>
    </row>
    <row r="272" spans="1:75" ht="64.900000000000006" customHeight="1" x14ac:dyDescent="0.25">
      <c r="A272" s="1231">
        <v>396</v>
      </c>
      <c r="B272" s="856">
        <f>IF(VLOOKUP(A272,'Données de base - Grunddaten'!$A$2:$M$297,2,FALSE)="","",VLOOKUP(A272,'Données de base - Grunddaten'!$A$2:$M$297,2,FALSE))</f>
        <v>1</v>
      </c>
      <c r="C272" s="857" t="str">
        <f>IF(VLOOKUP(A272,'Données de base - Grunddaten'!$A$2:$M$297,3,FALSE)="","",VLOOKUP(A272,'Données de base - Grunddaten'!$A$2:$M$297,3,FALSE))</f>
        <v>Ova dal Fuorn</v>
      </c>
      <c r="D272" s="857" t="str">
        <f>IF(VLOOKUP(A272,'Données de base - Grunddaten'!$A$2:$M$297,4,FALSE)="","",VLOOKUP(A272,'Données de base - Grunddaten'!$A$2:$M$297,4,FALSE))</f>
        <v>Ova dal Fuorn</v>
      </c>
      <c r="E272" s="857" t="str">
        <f>IF(VLOOKUP(A272,'Données de base - Grunddaten'!$A$2:$M$297,5,FALSE)="","",VLOOKUP(A272,'Données de base - Grunddaten'!$A$2:$M$297,5,FALSE))</f>
        <v>GR</v>
      </c>
      <c r="F272" s="857" t="str">
        <f>IF(VLOOKUP(A272,'Données de base - Grunddaten'!$A$2:$M$297,6,FALSE)="","",VLOOKUP(A272,'Données de base - Grunddaten'!$A$2:$M$297,6,FALSE))</f>
        <v>Alpes centrales orientales</v>
      </c>
      <c r="G272" s="857" t="str">
        <f>IF(VLOOKUP(A272,'Données de base - Grunddaten'!$A$2:$M$297,7,FALSE)="","",VLOOKUP(A272,'Données de base - Grunddaten'!$A$2:$M$297,7,FALSE))</f>
        <v>Subalpin sup.</v>
      </c>
      <c r="H272" s="857">
        <f>IF(VLOOKUP(A272,'Données de base - Grunddaten'!$A$2:$M$297,8,FALSE)="","",VLOOKUP(A272,'Données de base - Grunddaten'!$A$2:$M$297,8,FALSE))</f>
        <v>1740</v>
      </c>
      <c r="I272" s="857">
        <f>IF(VLOOKUP(A272,'Données de base - Grunddaten'!$A$2:$M$297,9,FALSE)="","",VLOOKUP(A272,'Données de base - Grunddaten'!$A$2:$M$297,9,FALSE))</f>
        <v>2003</v>
      </c>
      <c r="J272" s="857">
        <f>IF(VLOOKUP(A272,'Données de base - Grunddaten'!$A$2:$M$297,10,FALSE)="","",VLOOKUP(A272,'Données de base - Grunddaten'!$A$2:$M$297,10,FALSE))</f>
        <v>31</v>
      </c>
      <c r="K272" s="857" t="str">
        <f>IF(VLOOKUP(A272,'Données de base - Grunddaten'!$A$2:$M$297,11,FALSE)="","",VLOOKUP(A272,'Données de base - Grunddaten'!$A$2:$M$297,11,FALSE))</f>
        <v>Cours d'eau naturels de l'étage subalpin</v>
      </c>
      <c r="L272" s="857" t="str">
        <f>IF(VLOOKUP(A272,'Données de base - Grunddaten'!$A$2:$M$297,12,FALSE)="","",VLOOKUP(A272,'Données de base - Grunddaten'!$A$2:$M$297,12,FALSE))</f>
        <v>en méandres migrants</v>
      </c>
      <c r="M272" s="858" t="str">
        <f>IF(VLOOKUP(A272,'Données de base - Grunddaten'!$A$2:$M$297,13,FALSE)="","",VLOOKUP(A272,'Données de base - Grunddaten'!$A$2:$M$297,13,FALSE))</f>
        <v>en méandres migrants</v>
      </c>
      <c r="N272" s="872" t="str">
        <f>IF(VLOOKUP(A272,'Charriage - Geschiebehaushalt'!$A$4:$R$275,5,FALSE)="","",VLOOKUP(A272,'Charriage - Geschiebehaushalt'!$A$4:$R$275,5,FALSE))</f>
        <v>pertinent</v>
      </c>
      <c r="O272" s="881" t="str">
        <f>IF(VLOOKUP(A272,'Charriage - Geschiebehaushalt'!$A$4:$R$275,6,FALSE)="","",VLOOKUP(A272,'Charriage - Geschiebehaushalt'!$A$4:$R$275,6,FALSE))</f>
        <v>non documenté</v>
      </c>
      <c r="P272" s="874" t="str">
        <f>IF(VLOOKUP(A272,'Charriage - Geschiebehaushalt'!$A$4:$R$275,7,FALSE)="","",VLOOKUP(A272,'Charriage - Geschiebehaushalt'!$A$4:$R$275,7,FALSE))</f>
        <v/>
      </c>
      <c r="Q272" s="874" t="str">
        <f>IF(VLOOKUP(A272,'Charriage - Geschiebehaushalt'!$A$4:$R$275,8,FALSE)="","",VLOOKUP(A272,'Charriage - Geschiebehaushalt'!$A$4:$R$275,8,FALSE))</f>
        <v>non documenté</v>
      </c>
      <c r="R272" s="875">
        <f>IF(VLOOKUP(A272,'Charriage - Geschiebehaushalt'!$A$4:$R$275,9,FALSE)="","",VLOOKUP(A272,'Charriage - Geschiebehaushalt'!$A$4:$R$275,9,FALSE))</f>
        <v>4.40780440979123E-2</v>
      </c>
      <c r="S272" s="876" t="str">
        <f>IF(VLOOKUP(A272,'Charriage - Geschiebehaushalt'!$A$4:$R$275,10,FALSE)="","",VLOOKUP(A272,'Charriage - Geschiebehaushalt'!$A$4:$R$275,10,FALSE))</f>
        <v>pas ou faiblement entravé</v>
      </c>
      <c r="T272" s="875">
        <f>IF(VLOOKUP(A272,'Charriage - Geschiebehaushalt'!$A$4:$R$275,11,FALSE)="","",VLOOKUP(A272,'Charriage - Geschiebehaushalt'!$A$4:$R$275,11,FALSE))</f>
        <v>0.11628743766000001</v>
      </c>
      <c r="U272" s="876" t="str">
        <f>IF(VLOOKUP(A272,'Charriage - Geschiebehaushalt'!$A$4:$R$275,12,FALSE)="","",VLOOKUP(A272,'Charriage - Geschiebehaushalt'!$A$4:$R$275,12,FALSE))</f>
        <v>déficit dans les formations pionnières</v>
      </c>
      <c r="V272" s="877" t="str">
        <f>IF(VLOOKUP(A272,'Charriage - Geschiebehaushalt'!$A$4:$R$275,13,FALSE)="","",VLOOKUP(A272,'Charriage - Geschiebehaushalt'!$A$4:$R$275,13,FALSE))</f>
        <v>Charriage très actif, système alluvial naturel</v>
      </c>
      <c r="W272" s="878" t="str">
        <f>IF(VLOOKUP(A272,'Charriage - Geschiebehaushalt'!$A$4:$R$275,14,FALSE)="","",VLOOKUP(A272,'Charriage - Geschiebehaushalt'!$A$4:$R$275,14,FALSE))</f>
        <v>charriage présumé naturel</v>
      </c>
      <c r="X272" s="878" t="str">
        <f>IF(VLOOKUP(A272,'Charriage - Geschiebehaushalt'!$A$4:$R$275,15,FALSE)="","",VLOOKUP(A272,'Charriage - Geschiebehaushalt'!$A$4:$R$275,15,FALSE))</f>
        <v/>
      </c>
      <c r="Y272" s="882" t="str">
        <f>IF(VLOOKUP(A272,'Charriage - Geschiebehaushalt'!$A$4:$R$275,16,FALSE)="","",VLOOKUP(A272,'Charriage - Geschiebehaushalt'!$A$4:$R$275,16,FALSE))</f>
        <v/>
      </c>
      <c r="Z272" s="763" t="str">
        <f>IF(VLOOKUP(A272,'Charriage - Geschiebehaushalt'!$A$4:$R$275,17,FALSE)="","",VLOOKUP(A272,'Charriage - Geschiebehaushalt'!$A$4:$R$275,17,FALSE))</f>
        <v>Charriage présumé naturel / Geschiebehaushalt vermutlich natürlich</v>
      </c>
      <c r="AA272" s="880" t="str">
        <f>IF(VLOOKUP(A272,'Charriage - Geschiebehaushalt'!$A$4:$R$275,18,FALSE)="","",VLOOKUP(A272,'Charriage - Geschiebehaushalt'!$A$4:$R$275,18,FALSE))</f>
        <v>b</v>
      </c>
      <c r="AB272" s="737" t="str">
        <f>IF(VLOOKUP(A272,'Charriage - Geschiebehaushalt'!$A$4:$AC$275,19,FALSE)="","",VLOOKUP(A272,'Charriage - Geschiebehaushalt'!$A$4:$AC$275,19,FALSE))</f>
        <v>-</v>
      </c>
      <c r="AC272" s="738">
        <f>IF(VLOOKUP(A272,'Charriage - Geschiebehaushalt'!$A$4:$AC$275,20,FALSE)="","",VLOOKUP(A272,'Charriage - Geschiebehaushalt'!$A$4:$AC$275,20,FALSE))</f>
        <v>0</v>
      </c>
      <c r="AD272" s="764" t="str">
        <f>IF(VLOOKUP(A272,'Charriage - Geschiebehaushalt'!$A$4:$AC$275,21,FALSE)="","",VLOOKUP(A272,'Charriage - Geschiebehaushalt'!$A$4:$AC$275,21,FALSE))</f>
        <v/>
      </c>
      <c r="AE272" s="740" t="str">
        <f>IF(VLOOKUP(A272,'Charriage - Geschiebehaushalt'!$A$4:$AC$275,22,FALSE)="","",VLOOKUP(A272,'Charriage - Geschiebehaushalt'!$A$4:$AC$275,22,FALSE))</f>
        <v>0-20%</v>
      </c>
      <c r="AF272" s="787" t="str">
        <f>IF(VLOOKUP(A272,'Charriage - Geschiebehaushalt'!$A$4:$AC$275,23,FALSE)="","",VLOOKUP(A272,'Charriage - Geschiebehaushalt'!$A$4:$AC$275,23,FALSE))</f>
        <v>b</v>
      </c>
      <c r="AG272" s="765" t="str">
        <f>IF(VLOOKUP(A272,'Charriage - Geschiebehaushalt'!$A$4:$AC$275,24,FALSE)="","",VLOOKUP(A272,'Charriage - Geschiebehaushalt'!$A$4:$AC$275,24,FALSE))</f>
        <v/>
      </c>
      <c r="AH272" s="764" t="str">
        <f>IF(VLOOKUP(A272,'Charriage - Geschiebehaushalt'!$A$4:$AC$275,25,FALSE)="","",VLOOKUP(A272,'Charriage - Geschiebehaushalt'!$A$4:$AC$275,25,FALSE))</f>
        <v/>
      </c>
      <c r="AI272" s="435" t="str">
        <f>IF(VLOOKUP(A272,'Charriage - Geschiebehaushalt'!$A$4:$AC$275,26,FALSE)="","",VLOOKUP(A272,'Charriage - Geschiebehaushalt'!$A$4:$AC$275,26,FALSE))</f>
        <v/>
      </c>
      <c r="AJ272" s="436" t="str">
        <f>IF(VLOOKUP(A272,'Charriage - Geschiebehaushalt'!$A$4:$AC$275,27,FALSE)="","",VLOOKUP(A272,'Charriage - Geschiebehaushalt'!$A$4:$AC$275,27,FALSE))</f>
        <v/>
      </c>
      <c r="AK272" s="801" t="str">
        <f>IF(VLOOKUP(A272,'Charriage - Geschiebehaushalt'!$A$4:$AC$275,28,FALSE)="","",VLOOKUP(A272,'Charriage - Geschiebehaushalt'!$A$4:$AC$275,28,FALSE))</f>
        <v>0-20%</v>
      </c>
      <c r="AL272" s="1285" t="str">
        <f>IF(VLOOKUP(A272,'Charriage - Geschiebehaushalt'!$A$4:$AD$275,30,FALSE)="","",VLOOKUP(A272,'Charriage - Geschiebehaushalt'!$A$4:$AD$275,30,FALSE))</f>
        <v>b</v>
      </c>
      <c r="AM272" s="1280">
        <f>IF(VLOOKUP(A272,'Débit - Abfluss'!$A$4:$K$275,5,FALSE)="","",VLOOKUP(A272,'Débit - Abfluss'!$A$4:$M$275,5,FALSE))</f>
        <v>1</v>
      </c>
      <c r="AN272" s="909" t="str">
        <f>IF(VLOOKUP(A272,'Débit - Abfluss'!$A$4:$K$275,6,FALSE)="","",VLOOKUP(A272,'Débit - Abfluss'!$A$4:$M$275,6,FALSE))</f>
        <v>aucune information supplémentaire</v>
      </c>
      <c r="AO272" s="910" t="str">
        <f>IF(VLOOKUP(A272,'Débit - Abfluss'!$A$4:$K$275,7,FALSE)="","",VLOOKUP(A272,'Débit - Abfluss'!$A$4:$M$275,7,FALSE))</f>
        <v>aucune information supplémentaire</v>
      </c>
      <c r="AP272" s="766" t="str">
        <f>IF(VLOOKUP(A272,'Débit - Abfluss'!$A$4:$K$275,8,FALSE)="","",VLOOKUP(A272,'Débit - Abfluss'!$A$4:$M$275,8,FALSE))</f>
        <v>100%</v>
      </c>
      <c r="AQ272" s="742" t="str">
        <f>IF(VLOOKUP(A272,'Débit - Abfluss'!$A$4:$K$275,9,FALSE)="","",VLOOKUP(A272,'Débit - Abfluss'!$A$4:$M$275,9,FALSE))</f>
        <v>-</v>
      </c>
      <c r="AR272" s="767" t="str">
        <f>IF(VLOOKUP(A272,'Débit - Abfluss'!$A$4:$K$275,10,FALSE)="","",VLOOKUP(A272,'Débit - Abfluss'!$A$4:$M$275,10,FALSE))</f>
        <v>100%</v>
      </c>
      <c r="AS272" s="767" t="str">
        <f>IF(VLOOKUP(A272,'Débit - Abfluss'!$A$4:$K$275,11,FALSE)="","",VLOOKUP(A272,'Débit - Abfluss'!$A$4:$M$275,11,FALSE))</f>
        <v/>
      </c>
      <c r="AT272" s="778" t="str">
        <f>IF(VLOOKUP(A272,'Débit - Abfluss'!$A$4:$Q$275,12,FALSE)="","",VLOOKUP(A272,'Débit - Abfluss'!$A$4:$Q$275,12,FALSE))</f>
        <v/>
      </c>
      <c r="AU272" s="779" t="str">
        <f>IF(VLOOKUP(A272,'Débit - Abfluss'!$A$4:$Q$275,13,FALSE)="","",VLOOKUP(A272,'Débit - Abfluss'!$A$4:$Q$275,13,FALSE))</f>
        <v/>
      </c>
      <c r="AV272" s="746" t="str">
        <f>IF(VLOOKUP(A272,'Débit - Abfluss'!$A$4:$Q$275,14,FALSE)="","",VLOOKUP(A272,'Débit - Abfluss'!$A$4:$Q$275,14,FALSE))</f>
        <v/>
      </c>
      <c r="AW272" s="768" t="str">
        <f>IF(VLOOKUP(A272,'Débit - Abfluss'!$A$4:$Q$275,15,FALSE)="","",VLOOKUP(A272,'Débit - Abfluss'!$A$4:$Q$275,15,FALSE))</f>
        <v/>
      </c>
      <c r="AX272" s="679" t="str">
        <f>IF(VLOOKUP(A272,'Débit - Abfluss'!$A$4:$Q$275,16,FALSE)="","",VLOOKUP(A272,'Débit - Abfluss'!$A$4:$Q$275,16,FALSE))</f>
        <v/>
      </c>
      <c r="AY272" s="769" t="str">
        <f>IF(VLOOKUP(A272,'Débit - Abfluss'!$A$4:$Q$275,17,FALSE)="","",VLOOKUP(A272,'Débit - Abfluss'!$A$4:$Q$275,17,FALSE))</f>
        <v>100%</v>
      </c>
      <c r="AZ272" s="749" t="str">
        <f>IF(VLOOKUP(A272,'Eclusée - Schwall-Sunk'!$A$2:$F$273,5,FALSE)="","",VLOOKUP(A272,'Eclusée - Schwall-Sunk'!$A$2:$F$273,5,FALSE))</f>
        <v/>
      </c>
      <c r="BA272" s="750" t="str">
        <f>IF(VLOOKUP(A272,'Eclusée - Schwall-Sunk'!$A$2:$F$273,6,FALSE)="","",VLOOKUP(A272,'Eclusée - Schwall-Sunk'!$A$2:$F$273,6,FALSE))</f>
        <v>Non affecté / nicht betroffen</v>
      </c>
      <c r="BB272" s="751">
        <f>IF(VLOOKUP(A272,'Revitalisation-Revitalisierung'!$A$4:$Z$275,5,FALSE)="","",VLOOKUP(A272,'Revitalisation-Revitalisierung'!$A$4:$Z$275,5,FALSE))</f>
        <v>-6.3636363636363633</v>
      </c>
      <c r="BC272" s="752">
        <f>IF(VLOOKUP(A272,'Revitalisation-Revitalisierung'!$A$4:$Z$275,6,FALSE)="","",VLOOKUP(A272,'Revitalisation-Revitalisierung'!$A$4:$Z$275,6,FALSE))</f>
        <v>0</v>
      </c>
      <c r="BD272" s="752">
        <f>IF(VLOOKUP(A272,'Revitalisation-Revitalisierung'!$A$4:$Z$275,7,FALSE)="","",VLOOKUP(A272,'Revitalisation-Revitalisierung'!$A$4:$Z$275,7,FALSE))</f>
        <v>6.3636363636363633</v>
      </c>
      <c r="BE272" s="753" t="str">
        <f>IF(VLOOKUP(A272,'Revitalisation-Revitalisierung'!$A$4:$Z$275,8,FALSE)="","",VLOOKUP(A272,'Revitalisation-Revitalisierung'!$A$4:$Z$275,8,FALSE))</f>
        <v>non nécessaire</v>
      </c>
      <c r="BF272" s="754" t="str">
        <f>IF(VLOOKUP(A272,'Revitalisation-Revitalisierung'!$A$4:$Z$275,9,FALSE)="","",VLOOKUP(A272,'Revitalisation-Revitalisierung'!$A$4:$Z$275,9,FALSE))</f>
        <v>nicht nötig</v>
      </c>
      <c r="BG272" s="754" t="str">
        <f>IF(VLOOKUP(A272,'Revitalisation-Revitalisierung'!$A$4:$Z$275,10,FALSE)="","",VLOOKUP(A272,'Revitalisation-Revitalisierung'!$A$4:$Z$275,10,FALSE))</f>
        <v>K3</v>
      </c>
      <c r="BH272" s="755" t="str">
        <f>IF(VLOOKUP(A272,'Revitalisation-Revitalisierung'!$A$4:$Z$275,11,FALSE)="","",VLOOKUP(A272,'Revitalisation-Revitalisierung'!$A$4:$Z$275,11,FALSE))</f>
        <v/>
      </c>
      <c r="BI272" s="756" t="str">
        <f>IF(VLOOKUP(A272,'Revitalisation-Revitalisierung'!$A$4:$Z$275,12,FALSE)="","",VLOOKUP(A272,'Revitalisation-Revitalisierung'!$A$4:$Z$275,12,FALSE))</f>
        <v/>
      </c>
      <c r="BJ272" s="788" t="str">
        <f>IF(VLOOKUP(A272,'Revitalisation-Revitalisierung'!$A$4:$Z$275,13,FALSE)="","",VLOOKUP(A272,'Revitalisation-Revitalisierung'!$A$4:$Z$275,13,FALSE))</f>
        <v>Non nécessaire / nicht nötig</v>
      </c>
      <c r="BK272" s="870" t="str">
        <f>IF(VLOOKUP(A272,'Revitalisation-Revitalisierung'!$A$4:$Z$275,14,FALSE)="","",VLOOKUP(A272,'Revitalisation-Revitalisierung'!$A$4:$Z$275,14,FALSE))</f>
        <v>a</v>
      </c>
      <c r="BL272" s="758" t="str">
        <f>IF(VLOOKUP(A272,'Revitalisation-Revitalisierung'!$A$4:$Z$275,15,FALSE)="","",VLOOKUP(A272,'Revitalisation-Revitalisierung'!$A$4:$Z$275,15,FALSE))</f>
        <v>keine Angaben</v>
      </c>
      <c r="BM272" s="759" t="str">
        <f>IF(VLOOKUP(A272,'Revitalisation-Revitalisierung'!$A$4:$Z$275,16,FALSE)="","",VLOOKUP(A272,'Revitalisation-Revitalisierung'!$A$4:$Z$275,16,FALSE))</f>
        <v>keine Angaben</v>
      </c>
      <c r="BN272" s="759" t="str">
        <f>IF(VLOOKUP(A272,'Revitalisation-Revitalisierung'!$A$4:$Z$275,17,FALSE)="","",VLOOKUP(A272,'Revitalisation-Revitalisierung'!$A$4:$Z$275,17,FALSE))</f>
        <v>keine Angaben</v>
      </c>
      <c r="BO272" s="760" t="str">
        <f>IF(VLOOKUP(A272,'Revitalisation-Revitalisierung'!$A$4:$Z$275,18,FALSE)="","",VLOOKUP(A272,'Revitalisation-Revitalisierung'!$A$4:$Z$275,18,FALSE))</f>
        <v/>
      </c>
      <c r="BP272" s="761" t="str">
        <f>IF(VLOOKUP(A272,'Revitalisation-Revitalisierung'!$A$4:$Z$275,19,FALSE)="","",VLOOKUP(A272,'Revitalisation-Revitalisierung'!$A$4:$Z$275,19,FALSE))</f>
        <v>Non nécessaire / nicht nötig</v>
      </c>
      <c r="BQ272" s="804" t="str">
        <f>IF(VLOOKUP(A272,'Revitalisation-Revitalisierung'!$A$4:$Z$275,20,FALSE)="","",VLOOKUP(A272,'Revitalisation-Revitalisierung'!$A$4:$Z$275,20,FALSE))</f>
        <v>a</v>
      </c>
      <c r="BR272" s="759" t="str">
        <f>IF(VLOOKUP(A272,'Revitalisation-Revitalisierung'!$A$4:$Z$275,21,FALSE)="","",VLOOKUP(A272,'Revitalisation-Revitalisierung'!$A$4:$Z$275,21,FALSE))</f>
        <v/>
      </c>
      <c r="BS272" s="762" t="str">
        <f>IF(VLOOKUP(A272,'Revitalisation-Revitalisierung'!$A$4:$Z$275,22,FALSE)="","",VLOOKUP(A272,'Revitalisation-Revitalisierung'!$A$4:$Z$275,22,FALSE))</f>
        <v/>
      </c>
      <c r="BT272" s="703" t="str">
        <f>IF(VLOOKUP(A272,'Revitalisation-Revitalisierung'!$A$4:$Z$275,23,FALSE)="","",VLOOKUP(A272,'Revitalisation-Revitalisierung'!$A$4:$Z$275,23,FALSE))</f>
        <v/>
      </c>
      <c r="BU272" s="699" t="str">
        <f>IF(VLOOKUP(A272,'Revitalisation-Revitalisierung'!$A$4:$Z$275,24,FALSE)="","",VLOOKUP(A272,'Revitalisation-Revitalisierung'!$A$4:$Z$275,24,FALSE))</f>
        <v/>
      </c>
      <c r="BV272" s="761" t="str">
        <f>IF(VLOOKUP(A272,'Revitalisation-Revitalisierung'!$A$4:$Z$275,25,FALSE)="","",VLOOKUP(A272,'Revitalisation-Revitalisierung'!$A$4:$Z$275,25,FALSE))</f>
        <v>Non nécessaire / nicht nötig</v>
      </c>
      <c r="BW272" s="871" t="str">
        <f>IF(VLOOKUP(A272,'Revitalisation-Revitalisierung'!$A$4:$AA$275,27,FALSE)="","",VLOOKUP(A272,'Revitalisation-Revitalisierung'!$A$4:$AA$275,27,FALSE))</f>
        <v>a</v>
      </c>
    </row>
    <row r="273" spans="1:75" ht="88.9" customHeight="1" x14ac:dyDescent="0.25">
      <c r="A273" s="1232">
        <v>397</v>
      </c>
      <c r="B273" s="856">
        <f>IF(VLOOKUP(A273,'Données de base - Grunddaten'!$A$2:$M$297,2,FALSE)="","",VLOOKUP(A273,'Données de base - Grunddaten'!$A$2:$M$297,2,FALSE))</f>
        <v>1</v>
      </c>
      <c r="C273" s="857" t="str">
        <f>IF(VLOOKUP(A273,'Données de base - Grunddaten'!$A$2:$M$297,3,FALSE)="","",VLOOKUP(A273,'Données de base - Grunddaten'!$A$2:$M$297,3,FALSE))</f>
        <v>Ravitschana</v>
      </c>
      <c r="D273" s="857" t="str">
        <f>IF(VLOOKUP(A273,'Données de base - Grunddaten'!$A$2:$M$297,4,FALSE)="","",VLOOKUP(A273,'Données de base - Grunddaten'!$A$2:$M$297,4,FALSE))</f>
        <v>Clemgia</v>
      </c>
      <c r="E273" s="857" t="str">
        <f>IF(VLOOKUP(A273,'Données de base - Grunddaten'!$A$2:$M$297,5,FALSE)="","",VLOOKUP(A273,'Données de base - Grunddaten'!$A$2:$M$297,5,FALSE))</f>
        <v>GR</v>
      </c>
      <c r="F273" s="857" t="str">
        <f>IF(VLOOKUP(A273,'Données de base - Grunddaten'!$A$2:$M$297,6,FALSE)="","",VLOOKUP(A273,'Données de base - Grunddaten'!$A$2:$M$297,6,FALSE))</f>
        <v>Alpes centrales orientales</v>
      </c>
      <c r="G273" s="857" t="str">
        <f>IF(VLOOKUP(A273,'Données de base - Grunddaten'!$A$2:$M$297,7,FALSE)="","",VLOOKUP(A273,'Données de base - Grunddaten'!$A$2:$M$297,7,FALSE))</f>
        <v>Subalpin sup.</v>
      </c>
      <c r="H273" s="857" t="str">
        <f>IF(VLOOKUP(A273,'Données de base - Grunddaten'!$A$2:$M$297,8,FALSE)="","",VLOOKUP(A273,'Données de base - Grunddaten'!$A$2:$M$297,8,FALSE))</f>
        <v>1700 m</v>
      </c>
      <c r="I273" s="857" t="str">
        <f>IF(VLOOKUP(A273,'Données de base - Grunddaten'!$A$2:$M$297,9,FALSE)="","",VLOOKUP(A273,'Données de base - Grunddaten'!$A$2:$M$297,9,FALSE))</f>
        <v>candidat</v>
      </c>
      <c r="J273" s="857">
        <f>IF(VLOOKUP(A273,'Données de base - Grunddaten'!$A$2:$M$297,10,FALSE)="","",VLOOKUP(A273,'Données de base - Grunddaten'!$A$2:$M$297,10,FALSE))</f>
        <v>31</v>
      </c>
      <c r="K273" s="857" t="str">
        <f>IF(VLOOKUP(A273,'Données de base - Grunddaten'!$A$2:$M$297,11,FALSE)="","",VLOOKUP(A273,'Données de base - Grunddaten'!$A$2:$M$297,11,FALSE))</f>
        <v>Cours d'eau naturels de l'étage subalpin</v>
      </c>
      <c r="L273" s="857" t="str">
        <f>IF(VLOOKUP(A273,'Données de base - Grunddaten'!$A$2:$M$297,12,FALSE)="","",VLOOKUP(A273,'Données de base - Grunddaten'!$A$2:$M$297,12,FALSE))</f>
        <v>en méandres migrants</v>
      </c>
      <c r="M273" s="858" t="str">
        <f>IF(VLOOKUP(A273,'Données de base - Grunddaten'!$A$2:$M$297,13,FALSE)="","",VLOOKUP(A273,'Données de base - Grunddaten'!$A$2:$M$297,13,FALSE))</f>
        <v>en méandres migrants</v>
      </c>
      <c r="N273" s="872" t="str">
        <f>IF(VLOOKUP(A273,'Charriage - Geschiebehaushalt'!$A$4:$R$275,5,FALSE)="","",VLOOKUP(A273,'Charriage - Geschiebehaushalt'!$A$4:$R$275,5,FALSE))</f>
        <v>pertinent</v>
      </c>
      <c r="O273" s="881" t="str">
        <f>IF(VLOOKUP(A273,'Charriage - Geschiebehaushalt'!$A$4:$R$275,6,FALSE)="","",VLOOKUP(A273,'Charriage - Geschiebehaushalt'!$A$4:$R$275,6,FALSE))</f>
        <v>non documenté</v>
      </c>
      <c r="P273" s="874" t="str">
        <f>IF(VLOOKUP(A273,'Charriage - Geschiebehaushalt'!$A$4:$R$275,7,FALSE)="","",VLOOKUP(A273,'Charriage - Geschiebehaushalt'!$A$4:$R$275,7,FALSE))</f>
        <v/>
      </c>
      <c r="Q273" s="874" t="str">
        <f>IF(VLOOKUP(A273,'Charriage - Geschiebehaushalt'!$A$4:$R$275,8,FALSE)="","",VLOOKUP(A273,'Charriage - Geschiebehaushalt'!$A$4:$R$275,8,FALSE))</f>
        <v>non documenté</v>
      </c>
      <c r="R273" s="875">
        <f>IF(VLOOKUP(A273,'Charriage - Geschiebehaushalt'!$A$4:$R$275,9,FALSE)="","",VLOOKUP(A273,'Charriage - Geschiebehaushalt'!$A$4:$R$275,9,FALSE))</f>
        <v>0.28499999999999998</v>
      </c>
      <c r="S273" s="895" t="str">
        <f>IF(VLOOKUP(A273,'Charriage - Geschiebehaushalt'!$A$4:$R$275,10,FALSE)="","",VLOOKUP(A273,'Charriage - Geschiebehaushalt'!$A$4:$R$275,10,FALSE))</f>
        <v>la remobilisation des sédiments est perturbée</v>
      </c>
      <c r="T273" s="875">
        <f>IF(VLOOKUP(A273,'Charriage - Geschiebehaushalt'!$A$4:$R$275,11,FALSE)="","",VLOOKUP(A273,'Charriage - Geschiebehaushalt'!$A$4:$R$275,11,FALSE))</f>
        <v>0.16900000000000001</v>
      </c>
      <c r="U273" s="876" t="str">
        <f>IF(VLOOKUP(A273,'Charriage - Geschiebehaushalt'!$A$4:$R$275,12,FALSE)="","",VLOOKUP(A273,'Charriage - Geschiebehaushalt'!$A$4:$R$275,12,FALSE))</f>
        <v>déficit dans les formations pionnières</v>
      </c>
      <c r="V273" s="877" t="str">
        <f>IF(VLOOKUP(A273,'Charriage - Geschiebehaushalt'!$A$4:$R$275,13,FALSE)="","",VLOOKUP(A273,'Charriage - Geschiebehaushalt'!$A$4:$R$275,13,FALSE))</f>
        <v/>
      </c>
      <c r="W273" s="877" t="str">
        <f>IF(VLOOKUP(A273,'Charriage - Geschiebehaushalt'!$A$4:$R$275,14,FALSE)="","",VLOOKUP(A273,'Charriage - Geschiebehaushalt'!$A$4:$R$275,14,FALSE))</f>
        <v/>
      </c>
      <c r="X273" s="877" t="str">
        <f>IF(VLOOKUP(A273,'Charriage - Geschiebehaushalt'!$A$4:$R$275,15,FALSE)="","",VLOOKUP(A273,'Charriage - Geschiebehaushalt'!$A$4:$R$275,15,FALSE))</f>
        <v/>
      </c>
      <c r="Y273" s="879" t="str">
        <f>IF(VLOOKUP(A273,'Charriage - Geschiebehaushalt'!$A$4:$R$275,16,FALSE)="","",VLOOKUP(A273,'Charriage - Geschiebehaushalt'!$A$4:$R$275,16,FALSE))</f>
        <v/>
      </c>
      <c r="Z273" s="763" t="str">
        <f>IF(VLOOKUP(A273,'Charriage - Geschiebehaushalt'!$A$4:$R$275,17,FALSE)="","",VLOOKUP(A273,'Charriage - Geschiebehaushalt'!$A$4:$R$275,17,FALSE))</f>
        <v>Charriage présumé naturel / Geschiebehaushalt vermutlich natürlich</v>
      </c>
      <c r="AA273" s="880" t="str">
        <f>IF(VLOOKUP(A273,'Charriage - Geschiebehaushalt'!$A$4:$R$275,18,FALSE)="","",VLOOKUP(A273,'Charriage - Geschiebehaushalt'!$A$4:$R$275,18,FALSE))</f>
        <v>b</v>
      </c>
      <c r="AB273" s="737" t="str">
        <f>IF(VLOOKUP(A273,'Charriage - Geschiebehaushalt'!$A$4:$AC$275,19,FALSE)="","",VLOOKUP(A273,'Charriage - Geschiebehaushalt'!$A$4:$AC$275,19,FALSE))</f>
        <v>-</v>
      </c>
      <c r="AC273" s="738">
        <f>IF(VLOOKUP(A273,'Charriage - Geschiebehaushalt'!$A$4:$AC$275,20,FALSE)="","",VLOOKUP(A273,'Charriage - Geschiebehaushalt'!$A$4:$AC$275,20,FALSE))</f>
        <v>0</v>
      </c>
      <c r="AD273" s="764" t="str">
        <f>IF(VLOOKUP(A273,'Charriage - Geschiebehaushalt'!$A$4:$AC$275,21,FALSE)="","",VLOOKUP(A273,'Charriage - Geschiebehaushalt'!$A$4:$AC$275,21,FALSE))</f>
        <v/>
      </c>
      <c r="AE273" s="740" t="str">
        <f>IF(VLOOKUP(A273,'Charriage - Geschiebehaushalt'!$A$4:$AC$275,22,FALSE)="","",VLOOKUP(A273,'Charriage - Geschiebehaushalt'!$A$4:$AC$275,22,FALSE))</f>
        <v>0-20%</v>
      </c>
      <c r="AF273" s="787" t="str">
        <f>IF(VLOOKUP(A273,'Charriage - Geschiebehaushalt'!$A$4:$AC$275,23,FALSE)="","",VLOOKUP(A273,'Charriage - Geschiebehaushalt'!$A$4:$AC$275,23,FALSE))</f>
        <v>b</v>
      </c>
      <c r="AG273" s="765" t="str">
        <f>IF(VLOOKUP(A273,'Charriage - Geschiebehaushalt'!$A$4:$AC$275,24,FALSE)="","",VLOOKUP(A273,'Charriage - Geschiebehaushalt'!$A$4:$AC$275,24,FALSE))</f>
        <v/>
      </c>
      <c r="AH273" s="764" t="str">
        <f>IF(VLOOKUP(A273,'Charriage - Geschiebehaushalt'!$A$4:$AC$275,25,FALSE)="","",VLOOKUP(A273,'Charriage - Geschiebehaushalt'!$A$4:$AC$275,25,FALSE))</f>
        <v/>
      </c>
      <c r="AI273" s="435" t="str">
        <f>IF(VLOOKUP(A273,'Charriage - Geschiebehaushalt'!$A$4:$AC$275,26,FALSE)="","",VLOOKUP(A273,'Charriage - Geschiebehaushalt'!$A$4:$AC$275,26,FALSE))</f>
        <v/>
      </c>
      <c r="AJ273" s="436" t="str">
        <f>IF(VLOOKUP(A273,'Charriage - Geschiebehaushalt'!$A$4:$AC$275,27,FALSE)="","",VLOOKUP(A273,'Charriage - Geschiebehaushalt'!$A$4:$AC$275,27,FALSE))</f>
        <v/>
      </c>
      <c r="AK273" s="801" t="str">
        <f>IF(VLOOKUP(A273,'Charriage - Geschiebehaushalt'!$A$4:$AC$275,28,FALSE)="","",VLOOKUP(A273,'Charriage - Geschiebehaushalt'!$A$4:$AC$275,28,FALSE))</f>
        <v>0-20%</v>
      </c>
      <c r="AL273" s="1285" t="str">
        <f>IF(VLOOKUP(A273,'Charriage - Geschiebehaushalt'!$A$4:$AD$275,30,FALSE)="","",VLOOKUP(A273,'Charriage - Geschiebehaushalt'!$A$4:$AD$275,30,FALSE))</f>
        <v>b</v>
      </c>
      <c r="AM273" s="1279" t="str">
        <f>IF(VLOOKUP(A273,'Débit - Abfluss'!$A$4:$K$275,5,FALSE)="","",VLOOKUP(A273,'Débit - Abfluss'!$A$4:$M$275,5,FALSE))</f>
        <v>non documenté</v>
      </c>
      <c r="AN273" s="868" t="str">
        <f>IF(VLOOKUP(A273,'Débit - Abfluss'!$A$4:$K$275,6,FALSE)="","",VLOOKUP(A273,'Débit - Abfluss'!$A$4:$M$275,6,FALSE))</f>
        <v>aucune information supplémentaire</v>
      </c>
      <c r="AO273" s="869" t="str">
        <f>IF(VLOOKUP(A273,'Débit - Abfluss'!$A$4:$K$275,7,FALSE)="","",VLOOKUP(A273,'Débit - Abfluss'!$A$4:$M$275,7,FALSE))</f>
        <v>aucune information supplémentaire</v>
      </c>
      <c r="AP273" s="766" t="str">
        <f>IF(VLOOKUP(A273,'Débit - Abfluss'!$A$4:$K$275,8,FALSE)="","",VLOOKUP(A273,'Débit - Abfluss'!$A$4:$M$275,8,FALSE))</f>
        <v>Régime présumé naturel (100%) / Abfluss vermutlich natürlich</v>
      </c>
      <c r="AQ273" s="742" t="str">
        <f>IF(VLOOKUP(A273,'Débit - Abfluss'!$A$4:$K$275,9,FALSE)="","",VLOOKUP(A273,'Débit - Abfluss'!$A$4:$M$275,9,FALSE))</f>
        <v>-</v>
      </c>
      <c r="AR273" s="767" t="str">
        <f>IF(VLOOKUP(A273,'Débit - Abfluss'!$A$4:$K$275,10,FALSE)="","",VLOOKUP(A273,'Débit - Abfluss'!$A$4:$M$275,10,FALSE))</f>
        <v>Régime présumé naturel (100%) / Abfluss vermutlich natürlich</v>
      </c>
      <c r="AS273" s="767" t="str">
        <f>IF(VLOOKUP(A273,'Débit - Abfluss'!$A$4:$K$275,11,FALSE)="","",VLOOKUP(A273,'Débit - Abfluss'!$A$4:$M$275,11,FALSE))</f>
        <v/>
      </c>
      <c r="AT273" s="778" t="str">
        <f>IF(VLOOKUP(A273,'Débit - Abfluss'!$A$4:$Q$275,12,FALSE)="","",VLOOKUP(A273,'Débit - Abfluss'!$A$4:$Q$275,12,FALSE))</f>
        <v/>
      </c>
      <c r="AU273" s="819" t="str">
        <f>IF(VLOOKUP(A273,'Débit - Abfluss'!$A$4:$Q$275,13,FALSE)="","",VLOOKUP(A273,'Débit - Abfluss'!$A$4:$Q$275,13,FALSE))</f>
        <v/>
      </c>
      <c r="AV273" s="820" t="str">
        <f>IF(VLOOKUP(A273,'Débit - Abfluss'!$A$4:$Q$275,14,FALSE)="","",VLOOKUP(A273,'Débit - Abfluss'!$A$4:$Q$275,14,FALSE))</f>
        <v/>
      </c>
      <c r="AW273" s="768" t="str">
        <f>IF(VLOOKUP(A273,'Débit - Abfluss'!$A$4:$Q$275,15,FALSE)="","",VLOOKUP(A273,'Débit - Abfluss'!$A$4:$Q$275,15,FALSE))</f>
        <v/>
      </c>
      <c r="AX273" s="688" t="str">
        <f>IF(VLOOKUP(A273,'Débit - Abfluss'!$A$4:$Q$275,16,FALSE)="","",VLOOKUP(A273,'Débit - Abfluss'!$A$4:$Q$275,16,FALSE))</f>
        <v/>
      </c>
      <c r="AY273" s="769" t="str">
        <f>IF(VLOOKUP(A273,'Débit - Abfluss'!$A$4:$Q$275,17,FALSE)="","",VLOOKUP(A273,'Débit - Abfluss'!$A$4:$Q$275,17,FALSE))</f>
        <v>Régime présumé naturel (100%) / Abfluss vermutlich natürlich</v>
      </c>
      <c r="AZ273" s="749" t="str">
        <f>IF(VLOOKUP(A273,'Eclusée - Schwall-Sunk'!$A$2:$F$273,5,FALSE)="","",VLOOKUP(A273,'Eclusée - Schwall-Sunk'!$A$2:$F$273,5,FALSE))</f>
        <v/>
      </c>
      <c r="BA273" s="750" t="str">
        <f>IF(VLOOKUP(A273,'Eclusée - Schwall-Sunk'!$A$2:$F$273,6,FALSE)="","",VLOOKUP(A273,'Eclusée - Schwall-Sunk'!$A$2:$F$273,6,FALSE))</f>
        <v>Non affecté / nicht betroffen</v>
      </c>
      <c r="BB273" s="751" t="str">
        <f>IF(VLOOKUP(A273,'Revitalisation-Revitalisierung'!$A$4:$Z$275,5,FALSE)="","",VLOOKUP(A273,'Revitalisation-Revitalisierung'!$A$4:$Z$275,5,FALSE))</f>
        <v/>
      </c>
      <c r="BC273" s="752" t="str">
        <f>IF(VLOOKUP(A273,'Revitalisation-Revitalisierung'!$A$4:$Z$275,6,FALSE)="","",VLOOKUP(A273,'Revitalisation-Revitalisierung'!$A$4:$Z$275,6,FALSE))</f>
        <v/>
      </c>
      <c r="BD273" s="752" t="str">
        <f>IF(VLOOKUP(A273,'Revitalisation-Revitalisierung'!$A$4:$Z$275,7,FALSE)="","",VLOOKUP(A273,'Revitalisation-Revitalisierung'!$A$4:$Z$275,7,FALSE))</f>
        <v/>
      </c>
      <c r="BE273" s="753" t="str">
        <f>IF(VLOOKUP(A273,'Revitalisation-Revitalisierung'!$A$4:$Z$275,8,FALSE)="","",VLOOKUP(A273,'Revitalisation-Revitalisierung'!$A$4:$Z$275,8,FALSE))</f>
        <v>peu nécessaire, facile</v>
      </c>
      <c r="BF273" s="754" t="str">
        <f>IF(VLOOKUP(A273,'Revitalisation-Revitalisierung'!$A$4:$Z$275,9,FALSE)="","",VLOOKUP(A273,'Revitalisation-Revitalisierung'!$A$4:$Z$275,9,FALSE))</f>
        <v>leicht</v>
      </c>
      <c r="BG273" s="754" t="str">
        <f>IF(VLOOKUP(A273,'Revitalisation-Revitalisierung'!$A$4:$Z$275,10,FALSE)="","",VLOOKUP(A273,'Revitalisation-Revitalisierung'!$A$4:$Z$275,10,FALSE))</f>
        <v/>
      </c>
      <c r="BH273" s="755" t="str">
        <f>IF(VLOOKUP(A273,'Revitalisation-Revitalisierung'!$A$4:$Z$275,11,FALSE)="","",VLOOKUP(A273,'Revitalisation-Revitalisierung'!$A$4:$Z$275,11,FALSE))</f>
        <v/>
      </c>
      <c r="BI273" s="756" t="str">
        <f>IF(VLOOKUP(A273,'Revitalisation-Revitalisierung'!$A$4:$Z$275,12,FALSE)="","",VLOOKUP(A273,'Revitalisation-Revitalisierung'!$A$4:$Z$275,12,FALSE))</f>
        <v/>
      </c>
      <c r="BJ273" s="788" t="str">
        <f>IF(VLOOKUP(A273,'Revitalisation-Revitalisierung'!$A$4:$Z$275,13,FALSE)="","",VLOOKUP(A273,'Revitalisation-Revitalisierung'!$A$4:$Z$275,13,FALSE))</f>
        <v>Non nécessaire / nicht nötig</v>
      </c>
      <c r="BK273" s="870" t="str">
        <f>IF(VLOOKUP(A273,'Revitalisation-Revitalisierung'!$A$4:$Z$275,14,FALSE)="","",VLOOKUP(A273,'Revitalisation-Revitalisierung'!$A$4:$Z$275,14,FALSE))</f>
        <v>b</v>
      </c>
      <c r="BL273" s="758" t="str">
        <f>IF(VLOOKUP(A273,'Revitalisation-Revitalisierung'!$A$4:$Z$275,15,FALSE)="","",VLOOKUP(A273,'Revitalisation-Revitalisierung'!$A$4:$Z$275,15,FALSE))</f>
        <v>gross</v>
      </c>
      <c r="BM273" s="759" t="str">
        <f>IF(VLOOKUP(A273,'Revitalisation-Revitalisierung'!$A$4:$Z$275,16,FALSE)="","",VLOOKUP(A273,'Revitalisation-Revitalisierung'!$A$4:$Z$275,16,FALSE))</f>
        <v>mittel</v>
      </c>
      <c r="BN273" s="759" t="str">
        <f>IF(VLOOKUP(A273,'Revitalisation-Revitalisierung'!$A$4:$Z$275,17,FALSE)="","",VLOOKUP(A273,'Revitalisation-Revitalisierung'!$A$4:$Z$275,17,FALSE))</f>
        <v>gering</v>
      </c>
      <c r="BO273" s="760" t="str">
        <f>IF(VLOOKUP(A273,'Revitalisation-Revitalisierung'!$A$4:$Z$275,18,FALSE)="","",VLOOKUP(A273,'Revitalisation-Revitalisierung'!$A$4:$Z$275,18,FALSE))</f>
        <v>Partiellement nécessaire, facile / teilweise nötig, einfach</v>
      </c>
      <c r="BP273" s="761" t="str">
        <f>IF(VLOOKUP(A273,'Revitalisation-Revitalisierung'!$A$4:$Z$275,19,FALSE)="","",VLOOKUP(A273,'Revitalisation-Revitalisierung'!$A$4:$Z$275,19,FALSE))</f>
        <v>Non nécessaire / nicht nötig</v>
      </c>
      <c r="BQ273" s="759" t="str">
        <f>IF(VLOOKUP(A273,'Revitalisation-Revitalisierung'!$A$4:$Z$275,20,FALSE)="","",VLOOKUP(A273,'Revitalisation-Revitalisierung'!$A$4:$Z$275,20,FALSE))</f>
        <v>a</v>
      </c>
      <c r="BR273" s="759" t="str">
        <f>IF(VLOOKUP(A273,'Revitalisation-Revitalisierung'!$A$4:$Z$275,21,FALSE)="","",VLOOKUP(A273,'Revitalisation-Revitalisierung'!$A$4:$Z$275,21,FALSE))</f>
        <v/>
      </c>
      <c r="BS273" s="762" t="str">
        <f>IF(VLOOKUP(A273,'Revitalisation-Revitalisierung'!$A$4:$Z$275,22,FALSE)="","",VLOOKUP(A273,'Revitalisation-Revitalisierung'!$A$4:$Z$275,22,FALSE))</f>
        <v/>
      </c>
      <c r="BT273" s="911" t="str">
        <f>IF(VLOOKUP(A273,'Revitalisation-Revitalisierung'!$A$4:$Z$275,23,FALSE)="","",VLOOKUP(A273,'Revitalisation-Revitalisierung'!$A$4:$Z$275,23,FALSE))</f>
        <v/>
      </c>
      <c r="BU273" s="699" t="str">
        <f>IF(VLOOKUP(A273,'Revitalisation-Revitalisierung'!$A$4:$Z$275,24,FALSE)="","",VLOOKUP(A273,'Revitalisation-Revitalisierung'!$A$4:$Z$275,24,FALSE))</f>
        <v/>
      </c>
      <c r="BV273" s="761" t="str">
        <f>IF(VLOOKUP(A273,'Revitalisation-Revitalisierung'!$A$4:$Z$275,25,FALSE)="","",VLOOKUP(A273,'Revitalisation-Revitalisierung'!$A$4:$Z$275,25,FALSE))</f>
        <v>Non nécessaire / nicht nötig</v>
      </c>
      <c r="BW273" s="871" t="str">
        <f>IF(VLOOKUP(A273,'Revitalisation-Revitalisierung'!$A$4:$AA$275,27,FALSE)="","",VLOOKUP(A273,'Revitalisation-Revitalisierung'!$A$4:$AA$275,27,FALSE))</f>
        <v>a</v>
      </c>
    </row>
    <row r="274" spans="1:75" ht="63.6" customHeight="1" x14ac:dyDescent="0.25">
      <c r="A274" s="943">
        <v>398</v>
      </c>
      <c r="B274" s="856">
        <f>IF(VLOOKUP(A274,'Données de base - Grunddaten'!$A$2:$M$297,2,FALSE)="","",VLOOKUP(A274,'Données de base - Grunddaten'!$A$2:$M$297,2,FALSE))</f>
        <v>1</v>
      </c>
      <c r="C274" s="857" t="str">
        <f>IF(VLOOKUP(A274,'Données de base - Grunddaten'!$A$2:$M$297,3,FALSE)="","",VLOOKUP(A274,'Données de base - Grunddaten'!$A$2:$M$297,3,FALSE))</f>
        <v>Lodrino–Iragna</v>
      </c>
      <c r="D274" s="857" t="str">
        <f>IF(VLOOKUP(A274,'Données de base - Grunddaten'!$A$2:$M$297,4,FALSE)="","",VLOOKUP(A274,'Données de base - Grunddaten'!$A$2:$M$297,4,FALSE))</f>
        <v>Ticino</v>
      </c>
      <c r="E274" s="857" t="str">
        <f>IF(VLOOKUP(A274,'Données de base - Grunddaten'!$A$2:$M$297,5,FALSE)="","",VLOOKUP(A274,'Données de base - Grunddaten'!$A$2:$M$297,5,FALSE))</f>
        <v>TI</v>
      </c>
      <c r="F274" s="857" t="str">
        <f>IF(VLOOKUP(A274,'Données de base - Grunddaten'!$A$2:$M$297,6,FALSE)="","",VLOOKUP(A274,'Données de base - Grunddaten'!$A$2:$M$297,6,FALSE))</f>
        <v>Alpes méridionales, Tessin méridional</v>
      </c>
      <c r="G274" s="857" t="str">
        <f>IF(VLOOKUP(A274,'Données de base - Grunddaten'!$A$2:$M$297,7,FALSE)="","",VLOOKUP(A274,'Données de base - Grunddaten'!$A$2:$M$297,7,FALSE))</f>
        <v>Collinéen</v>
      </c>
      <c r="H274" s="857" t="str">
        <f>IF(VLOOKUP(A274,'Données de base - Grunddaten'!$A$2:$M$297,8,FALSE)="","",VLOOKUP(A274,'Données de base - Grunddaten'!$A$2:$M$297,8,FALSE))</f>
        <v>270 m</v>
      </c>
      <c r="I274" s="857" t="str">
        <f>IF(VLOOKUP(A274,'Données de base - Grunddaten'!$A$2:$M$297,9,FALSE)="","",VLOOKUP(A274,'Données de base - Grunddaten'!$A$2:$M$297,9,FALSE))</f>
        <v>candidat</v>
      </c>
      <c r="J274" s="857">
        <f>IF(VLOOKUP(A274,'Données de base - Grunddaten'!$A$2:$M$297,10,FALSE)="","",VLOOKUP(A274,'Données de base - Grunddaten'!$A$2:$M$297,10,FALSE))</f>
        <v>62</v>
      </c>
      <c r="K274" s="857" t="str">
        <f>IF(VLOOKUP(A274,'Données de base - Grunddaten'!$A$2:$M$297,11,FALSE)="","",VLOOKUP(A274,'Données de base - Grunddaten'!$A$2:$M$297,11,FALSE))</f>
        <v>Cours d'eau corrigés de l'étage collinéen du Sud des Alpes</v>
      </c>
      <c r="L274" s="857" t="str">
        <f>IF(VLOOKUP(A274,'Données de base - Grunddaten'!$A$2:$M$297,12,FALSE)="","",VLOOKUP(A274,'Données de base - Grunddaten'!$A$2:$M$297,12,FALSE))</f>
        <v>en tresses</v>
      </c>
      <c r="M274" s="858" t="str">
        <f>IF(VLOOKUP(A274,'Données de base - Grunddaten'!$A$2:$M$297,13,FALSE)="","",VLOOKUP(A274,'Données de base - Grunddaten'!$A$2:$M$297,13,FALSE))</f>
        <v>cours rectiligne avec bancs alternés</v>
      </c>
      <c r="N274" s="872" t="str">
        <f>IF(VLOOKUP(A274,'Charriage - Geschiebehaushalt'!$A$4:$R$275,5,FALSE)="","",VLOOKUP(A274,'Charriage - Geschiebehaushalt'!$A$4:$R$275,5,FALSE))</f>
        <v/>
      </c>
      <c r="O274" s="881" t="str">
        <f>IF(VLOOKUP(A274,'Charriage - Geschiebehaushalt'!$A$4:$R$275,6,FALSE)="","",VLOOKUP(A274,'Charriage - Geschiebehaushalt'!$A$4:$R$275,6,FALSE))</f>
        <v>non documenté</v>
      </c>
      <c r="P274" s="874" t="str">
        <f>IF(VLOOKUP(A274,'Charriage - Geschiebehaushalt'!$A$4:$R$275,7,FALSE)="","",VLOOKUP(A274,'Charriage - Geschiebehaushalt'!$A$4:$R$275,7,FALSE))</f>
        <v/>
      </c>
      <c r="Q274" s="874" t="str">
        <f>IF(VLOOKUP(A274,'Charriage - Geschiebehaushalt'!$A$4:$R$275,8,FALSE)="","",VLOOKUP(A274,'Charriage - Geschiebehaushalt'!$A$4:$R$275,8,FALSE))</f>
        <v>non documenté</v>
      </c>
      <c r="R274" s="875">
        <f>IF(VLOOKUP(A274,'Charriage - Geschiebehaushalt'!$A$4:$R$275,9,FALSE)="","",VLOOKUP(A274,'Charriage - Geschiebehaushalt'!$A$4:$R$275,9,FALSE))</f>
        <v>1.0760000000000001</v>
      </c>
      <c r="S274" s="895" t="str">
        <f>IF(VLOOKUP(A274,'Charriage - Geschiebehaushalt'!$A$4:$R$275,10,FALSE)="","",VLOOKUP(A274,'Charriage - Geschiebehaushalt'!$A$4:$R$275,10,FALSE))</f>
        <v>la remobilisation des sédiments est perturbée</v>
      </c>
      <c r="T274" s="875">
        <f>IF(VLOOKUP(A274,'Charriage - Geschiebehaushalt'!$A$4:$R$275,11,FALSE)="","",VLOOKUP(A274,'Charriage - Geschiebehaushalt'!$A$4:$R$275,11,FALSE))</f>
        <v>0.11799999999999999</v>
      </c>
      <c r="U274" s="876" t="str">
        <f>IF(VLOOKUP(A274,'Charriage - Geschiebehaushalt'!$A$4:$R$275,12,FALSE)="","",VLOOKUP(A274,'Charriage - Geschiebehaushalt'!$A$4:$R$275,12,FALSE))</f>
        <v>déficit dans les formations pionnières</v>
      </c>
      <c r="V274" s="877" t="str">
        <f>IF(VLOOKUP(A274,'Charriage - Geschiebehaushalt'!$A$4:$R$275,13,FALSE)="","",VLOOKUP(A274,'Charriage - Geschiebehaushalt'!$A$4:$R$275,13,FALSE))</f>
        <v/>
      </c>
      <c r="W274" s="877" t="str">
        <f>IF(VLOOKUP(A274,'Charriage - Geschiebehaushalt'!$A$4:$R$275,14,FALSE)="","",VLOOKUP(A274,'Charriage - Geschiebehaushalt'!$A$4:$R$275,14,FALSE))</f>
        <v/>
      </c>
      <c r="X274" s="877" t="str">
        <f>IF(VLOOKUP(A274,'Charriage - Geschiebehaushalt'!$A$4:$R$275,15,FALSE)="","",VLOOKUP(A274,'Charriage - Geschiebehaushalt'!$A$4:$R$275,15,FALSE))</f>
        <v/>
      </c>
      <c r="Y274" s="879" t="str">
        <f>IF(VLOOKUP(A274,'Charriage - Geschiebehaushalt'!$A$4:$R$275,16,FALSE)="","",VLOOKUP(A274,'Charriage - Geschiebehaushalt'!$A$4:$R$275,16,FALSE))</f>
        <v/>
      </c>
      <c r="Z274" s="763" t="str">
        <f>IF(VLOOKUP(A274,'Charriage - Geschiebehaushalt'!$A$4:$R$275,17,FALSE)="","",VLOOKUP(A274,'Charriage - Geschiebehaushalt'!$A$4:$R$275,17,FALSE))</f>
        <v>La remobilisation des sédiments est perturbée / Mobilisierung von Geschiebe beeinträchtigt</v>
      </c>
      <c r="AA274" s="880" t="str">
        <f>IF(VLOOKUP(A274,'Charriage - Geschiebehaushalt'!$A$4:$R$275,18,FALSE)="","",VLOOKUP(A274,'Charriage - Geschiebehaushalt'!$A$4:$R$275,18,FALSE))</f>
        <v>b</v>
      </c>
      <c r="AB274" s="737" t="str">
        <f>IF(VLOOKUP(A274,'Charriage - Geschiebehaushalt'!$A$4:$AC$275,19,FALSE)="","",VLOOKUP(A274,'Charriage - Geschiebehaushalt'!$A$4:$AC$275,19,FALSE))</f>
        <v>important</v>
      </c>
      <c r="AC274" s="738">
        <f>IF(VLOOKUP(A274,'Charriage - Geschiebehaushalt'!$A$4:$AC$275,20,FALSE)="","",VLOOKUP(A274,'Charriage - Geschiebehaushalt'!$A$4:$AC$275,20,FALSE))</f>
        <v>0</v>
      </c>
      <c r="AD274" s="764" t="str">
        <f>IF(VLOOKUP(A274,'Charriage - Geschiebehaushalt'!$A$4:$AC$275,21,FALSE)="","",VLOOKUP(A274,'Charriage - Geschiebehaushalt'!$A$4:$AC$275,21,FALSE))</f>
        <v>81-100%</v>
      </c>
      <c r="AE274" s="772" t="str">
        <f>IF(VLOOKUP(A274,'Charriage - Geschiebehaushalt'!$A$4:$AC$275,22,FALSE)="","",VLOOKUP(A274,'Charriage - Geschiebehaushalt'!$A$4:$AC$275,22,FALSE))</f>
        <v>81-100%</v>
      </c>
      <c r="AF274" s="787" t="str">
        <f>IF(VLOOKUP(A274,'Charriage - Geschiebehaushalt'!$A$4:$AC$275,23,FALSE)="","",VLOOKUP(A274,'Charriage - Geschiebehaushalt'!$A$4:$AC$275,23,FALSE))</f>
        <v>c</v>
      </c>
      <c r="AG274" s="765" t="str">
        <f>IF(VLOOKUP(A274,'Charriage - Geschiebehaushalt'!$A$4:$AC$275,24,FALSE)="","",VLOOKUP(A274,'Charriage - Geschiebehaushalt'!$A$4:$AC$275,24,FALSE))</f>
        <v/>
      </c>
      <c r="AH274" s="764" t="str">
        <f>IF(VLOOKUP(A274,'Charriage - Geschiebehaushalt'!$A$4:$AC$275,25,FALSE)="","",VLOOKUP(A274,'Charriage - Geschiebehaushalt'!$A$4:$AC$275,25,FALSE))</f>
        <v/>
      </c>
      <c r="AI274" s="433" t="str">
        <f>IF(VLOOKUP(A274,'Charriage - Geschiebehaushalt'!$A$4:$AC$275,26,FALSE)="","",VLOOKUP(A274,'Charriage - Geschiebehaushalt'!$A$4:$AC$275,26,FALSE))</f>
        <v/>
      </c>
      <c r="AJ274" s="434" t="str">
        <f>IF(VLOOKUP(A274,'Charriage - Geschiebehaushalt'!$A$4:$AC$275,27,FALSE)="","",VLOOKUP(A274,'Charriage - Geschiebehaushalt'!$A$4:$AC$275,27,FALSE))</f>
        <v/>
      </c>
      <c r="AK274" s="814" t="str">
        <f>IF(VLOOKUP(A274,'Charriage - Geschiebehaushalt'!$A$4:$AC$275,28,FALSE)="","",VLOOKUP(A274,'Charriage - Geschiebehaushalt'!$A$4:$AC$275,28,FALSE))</f>
        <v>81-100%</v>
      </c>
      <c r="AL274" s="1285" t="str">
        <f>IF(VLOOKUP(A274,'Charriage - Geschiebehaushalt'!$A$4:$AD$275,30,FALSE)="","",VLOOKUP(A274,'Charriage - Geschiebehaushalt'!$A$4:$AD$275,30,FALSE))</f>
        <v>a</v>
      </c>
      <c r="AM274" s="1279" t="str">
        <f>IF(VLOOKUP(A274,'Débit - Abfluss'!$A$4:$K$275,5,FALSE)="","",VLOOKUP(A274,'Débit - Abfluss'!$A$4:$M$275,5,FALSE))</f>
        <v>81-100%</v>
      </c>
      <c r="AN274" s="909" t="str">
        <f>IF(VLOOKUP(A274,'Débit - Abfluss'!$A$4:$K$275,6,FALSE)="","",VLOOKUP(A274,'Débit - Abfluss'!$A$4:$M$275,6,FALSE))</f>
        <v/>
      </c>
      <c r="AO274" s="910" t="str">
        <f>IF(VLOOKUP(A274,'Débit - Abfluss'!$A$4:$K$275,7,FALSE)="","",VLOOKUP(A274,'Débit - Abfluss'!$A$4:$M$275,7,FALSE))</f>
        <v/>
      </c>
      <c r="AP274" s="766" t="str">
        <f>IF(VLOOKUP(A274,'Débit - Abfluss'!$A$4:$K$275,8,FALSE)="","",VLOOKUP(A274,'Débit - Abfluss'!$A$4:$M$275,8,FALSE))</f>
        <v>81-100%</v>
      </c>
      <c r="AQ274" s="678" t="str">
        <f>IF(VLOOKUP(A274,'Débit - Abfluss'!$A$4:$K$275,9,FALSE)="","",VLOOKUP(A274,'Débit - Abfluss'!$A$4:$M$275,9,FALSE))</f>
        <v>-</v>
      </c>
      <c r="AR274" s="767" t="str">
        <f>IF(VLOOKUP(A274,'Débit - Abfluss'!$A$4:$K$275,10,FALSE)="","",VLOOKUP(A274,'Débit - Abfluss'!$A$4:$M$275,10,FALSE))</f>
        <v>81-100%</v>
      </c>
      <c r="AS274" s="767" t="str">
        <f>IF(VLOOKUP(A274,'Débit - Abfluss'!$A$4:$K$275,11,FALSE)="","",VLOOKUP(A274,'Débit - Abfluss'!$A$4:$M$275,11,FALSE))</f>
        <v/>
      </c>
      <c r="AT274" s="821" t="str">
        <f>IF(VLOOKUP(A274,'Débit - Abfluss'!$A$4:$Q$275,12,FALSE)="","",VLOOKUP(A274,'Débit - Abfluss'!$A$4:$Q$275,12,FALSE))</f>
        <v/>
      </c>
      <c r="AU274" s="806" t="str">
        <f>IF(VLOOKUP(A274,'Débit - Abfluss'!$A$4:$Q$275,13,FALSE)="","",VLOOKUP(A274,'Débit - Abfluss'!$A$4:$Q$275,13,FALSE))</f>
        <v/>
      </c>
      <c r="AV274" s="746" t="str">
        <f>IF(VLOOKUP(A274,'Débit - Abfluss'!$A$4:$Q$275,14,FALSE)="","",VLOOKUP(A274,'Débit - Abfluss'!$A$4:$Q$275,14,FALSE))</f>
        <v/>
      </c>
      <c r="AW274" s="747" t="str">
        <f>IF(VLOOKUP(A274,'Débit - Abfluss'!$A$4:$Q$275,15,FALSE)="","",VLOOKUP(A274,'Débit - Abfluss'!$A$4:$Q$275,15,FALSE))</f>
        <v/>
      </c>
      <c r="AX274" s="689" t="str">
        <f>IF(VLOOKUP(A274,'Débit - Abfluss'!$A$4:$Q$275,16,FALSE)="","",VLOOKUP(A274,'Débit - Abfluss'!$A$4:$Q$275,16,FALSE))</f>
        <v/>
      </c>
      <c r="AY274" s="769" t="str">
        <f>IF(VLOOKUP(A274,'Débit - Abfluss'!$A$4:$Q$275,17,FALSE)="","",VLOOKUP(A274,'Débit - Abfluss'!$A$4:$Q$275,17,FALSE))</f>
        <v>81-100%</v>
      </c>
      <c r="AZ274" s="749" t="str">
        <f>IF(VLOOKUP(A274,'Eclusée - Schwall-Sunk'!$A$2:$F$273,5,FALSE)="","",VLOOKUP(A274,'Eclusée - Schwall-Sunk'!$A$2:$F$273,5,FALSE))</f>
        <v>force hydraulique</v>
      </c>
      <c r="BA274" s="750" t="str">
        <f>IF(VLOOKUP(A274,'Eclusée - Schwall-Sunk'!$A$2:$F$273,6,FALSE)="","",VLOOKUP(A274,'Eclusée - Schwall-Sunk'!$A$2:$F$273,6,FALSE))</f>
        <v>Potentiellement affecté / möglicherweise betroffen</v>
      </c>
      <c r="BB274" s="751" t="str">
        <f>IF(VLOOKUP(A274,'Revitalisation-Revitalisierung'!$A$4:$Z$275,5,FALSE)="","",VLOOKUP(A274,'Revitalisation-Revitalisierung'!$A$4:$Z$275,5,FALSE))</f>
        <v/>
      </c>
      <c r="BC274" s="752" t="str">
        <f>IF(VLOOKUP(A274,'Revitalisation-Revitalisierung'!$A$4:$Z$275,6,FALSE)="","",VLOOKUP(A274,'Revitalisation-Revitalisierung'!$A$4:$Z$275,6,FALSE))</f>
        <v/>
      </c>
      <c r="BD274" s="752" t="str">
        <f>IF(VLOOKUP(A274,'Revitalisation-Revitalisierung'!$A$4:$Z$275,7,FALSE)="","",VLOOKUP(A274,'Revitalisation-Revitalisierung'!$A$4:$Z$275,7,FALSE))</f>
        <v/>
      </c>
      <c r="BE274" s="753" t="str">
        <f>IF(VLOOKUP(A274,'Revitalisation-Revitalisierung'!$A$4:$Z$275,8,FALSE)="","",VLOOKUP(A274,'Revitalisation-Revitalisierung'!$A$4:$Z$275,8,FALSE))</f>
        <v>très nécessaire, difficile</v>
      </c>
      <c r="BF274" s="754" t="str">
        <f>IF(VLOOKUP(A274,'Revitalisation-Revitalisierung'!$A$4:$Z$275,9,FALSE)="","",VLOOKUP(A274,'Revitalisation-Revitalisierung'!$A$4:$Z$275,9,FALSE))</f>
        <v>schwierig</v>
      </c>
      <c r="BG274" s="754" t="str">
        <f>IF(VLOOKUP(A274,'Revitalisation-Revitalisierung'!$A$4:$Z$275,10,FALSE)="","",VLOOKUP(A274,'Revitalisation-Revitalisierung'!$A$4:$Z$275,10,FALSE))</f>
        <v/>
      </c>
      <c r="BH274" s="755" t="str">
        <f>IF(VLOOKUP(A274,'Revitalisation-Revitalisierung'!$A$4:$Z$275,11,FALSE)="","",VLOOKUP(A274,'Revitalisation-Revitalisierung'!$A$4:$Z$275,11,FALSE))</f>
        <v>très nécessaire, facile</v>
      </c>
      <c r="BI274" s="756" t="str">
        <f>IF(VLOOKUP(A274,'Revitalisation-Revitalisierung'!$A$4:$Z$275,12,FALSE)="","",VLOOKUP(A274,'Revitalisation-Revitalisierung'!$A$4:$Z$275,12,FALSE))</f>
        <v>suffit de retirer les entraves. Pas de biens dommageables au-delà des entraves</v>
      </c>
      <c r="BJ274" s="788" t="str">
        <f>IF(VLOOKUP(A274,'Revitalisation-Revitalisierung'!$A$4:$Z$275,13,FALSE)="","",VLOOKUP(A274,'Revitalisation-Revitalisierung'!$A$4:$Z$275,13,FALSE))</f>
        <v>Très nécessaire, facile / unbedingt nötig, einfach</v>
      </c>
      <c r="BK274" s="870" t="str">
        <f>IF(VLOOKUP(A274,'Revitalisation-Revitalisierung'!$A$4:$Z$275,14,FALSE)="","",VLOOKUP(A274,'Revitalisation-Revitalisierung'!$A$4:$Z$275,14,FALSE))</f>
        <v>a</v>
      </c>
      <c r="BL274" s="758" t="str">
        <f>IF(VLOOKUP(A274,'Revitalisation-Revitalisierung'!$A$4:$Z$275,15,FALSE)="","",VLOOKUP(A274,'Revitalisation-Revitalisierung'!$A$4:$Z$275,15,FALSE))</f>
        <v>important et moyen</v>
      </c>
      <c r="BM274" s="759" t="str">
        <f>IF(VLOOKUP(A274,'Revitalisation-Revitalisierung'!$A$4:$Z$275,16,FALSE)="","",VLOOKUP(A274,'Revitalisation-Revitalisierung'!$A$4:$Z$275,16,FALSE))</f>
        <v>important</v>
      </c>
      <c r="BN274" s="759" t="str">
        <f>IF(VLOOKUP(A274,'Revitalisation-Revitalisierung'!$A$4:$Z$275,17,FALSE)="","",VLOOKUP(A274,'Revitalisation-Revitalisierung'!$A$4:$Z$275,17,FALSE))</f>
        <v>important</v>
      </c>
      <c r="BO274" s="760" t="str">
        <f>IF(VLOOKUP(A274,'Revitalisation-Revitalisierung'!$A$4:$Z$275,18,FALSE)="","",VLOOKUP(A274,'Revitalisation-Revitalisierung'!$A$4:$Z$275,18,FALSE))</f>
        <v>Très nécessaire, facile / unbedingt nötig, einfach</v>
      </c>
      <c r="BP274" s="761" t="str">
        <f>IF(VLOOKUP(A274,'Revitalisation-Revitalisierung'!$A$4:$Z$275,19,FALSE)="","",VLOOKUP(A274,'Revitalisation-Revitalisierung'!$A$4:$Z$275,19,FALSE))</f>
        <v>Très nécessaire, facile / unbedingt nötig, einfach</v>
      </c>
      <c r="BQ274" s="759" t="str">
        <f>IF(VLOOKUP(A274,'Revitalisation-Revitalisierung'!$A$4:$Z$275,20,FALSE)="","",VLOOKUP(A274,'Revitalisation-Revitalisierung'!$A$4:$Z$275,20,FALSE))</f>
        <v>d</v>
      </c>
      <c r="BR274" s="759" t="str">
        <f>IF(VLOOKUP(A274,'Revitalisation-Revitalisierung'!$A$4:$Z$275,21,FALSE)="","",VLOOKUP(A274,'Revitalisation-Revitalisierung'!$A$4:$Z$275,21,FALSE))</f>
        <v/>
      </c>
      <c r="BS274" s="762" t="str">
        <f>IF(VLOOKUP(A274,'Revitalisation-Revitalisierung'!$A$4:$Z$275,22,FALSE)="","",VLOOKUP(A274,'Revitalisation-Revitalisierung'!$A$4:$Z$275,22,FALSE))</f>
        <v/>
      </c>
      <c r="BT274" s="911" t="str">
        <f>IF(VLOOKUP(A274,'Revitalisation-Revitalisierung'!$A$4:$Z$275,23,FALSE)="","",VLOOKUP(A274,'Revitalisation-Revitalisierung'!$A$4:$Z$275,23,FALSE))</f>
        <v/>
      </c>
      <c r="BU274" s="699" t="str">
        <f>IF(VLOOKUP(A274,'Revitalisation-Revitalisierung'!$A$4:$Z$275,24,FALSE)="","",VLOOKUP(A274,'Revitalisation-Revitalisierung'!$A$4:$Z$275,24,FALSE))</f>
        <v/>
      </c>
      <c r="BV274" s="761" t="str">
        <f>IF(VLOOKUP(A274,'Revitalisation-Revitalisierung'!$A$4:$Z$275,25,FALSE)="","",VLOOKUP(A274,'Revitalisation-Revitalisierung'!$A$4:$Z$275,25,FALSE))</f>
        <v>Très nécessaire, facile / unbedingt nötig, einfach</v>
      </c>
      <c r="BW274" s="871" t="str">
        <f>IF(VLOOKUP(A274,'Revitalisation-Revitalisierung'!$A$4:$AA$275,27,FALSE)="","",VLOOKUP(A274,'Revitalisation-Revitalisierung'!$A$4:$AA$275,27,FALSE))</f>
        <v>a</v>
      </c>
    </row>
    <row r="275" spans="1:75" ht="58.15" customHeight="1" thickBot="1" x14ac:dyDescent="0.3">
      <c r="A275" s="942">
        <v>399</v>
      </c>
      <c r="B275" s="856">
        <f>IF(VLOOKUP(A275,'Données de base - Grunddaten'!$A$2:$M$297,2,FALSE)="","",VLOOKUP(A275,'Données de base - Grunddaten'!$A$2:$M$297,2,FALSE))</f>
        <v>1</v>
      </c>
      <c r="C275" s="857" t="str">
        <f>IF(VLOOKUP(A275,'Données de base - Grunddaten'!$A$2:$M$297,3,FALSE)="","",VLOOKUP(A275,'Données de base - Grunddaten'!$A$2:$M$297,3,FALSE))</f>
        <v>Clairbief</v>
      </c>
      <c r="D275" s="857" t="str">
        <f>IF(VLOOKUP(A275,'Données de base - Grunddaten'!$A$2:$M$297,4,FALSE)="","",VLOOKUP(A275,'Données de base - Grunddaten'!$A$2:$M$297,4,FALSE))</f>
        <v>Le Doubs</v>
      </c>
      <c r="E275" s="857" t="str">
        <f>IF(VLOOKUP(A275,'Données de base - Grunddaten'!$A$2:$M$297,5,FALSE)="","",VLOOKUP(A275,'Données de base - Grunddaten'!$A$2:$M$297,5,FALSE))</f>
        <v>JU</v>
      </c>
      <c r="F275" s="857" t="str">
        <f>IF(VLOOKUP(A275,'Données de base - Grunddaten'!$A$2:$M$297,6,FALSE)="","",VLOOKUP(A275,'Données de base - Grunddaten'!$A$2:$M$297,6,FALSE))</f>
        <v>Jura et Randen</v>
      </c>
      <c r="G275" s="857" t="str">
        <f>IF(VLOOKUP(A275,'Données de base - Grunddaten'!$A$2:$M$297,7,FALSE)="","",VLOOKUP(A275,'Données de base - Grunddaten'!$A$2:$M$297,7,FALSE))</f>
        <v>Collinéen</v>
      </c>
      <c r="H275" s="857" t="str">
        <f>IF(VLOOKUP(A275,'Données de base - Grunddaten'!$A$2:$M$297,8,FALSE)="","",VLOOKUP(A275,'Données de base - Grunddaten'!$A$2:$M$297,8,FALSE))</f>
        <v>466 m</v>
      </c>
      <c r="I275" s="857" t="str">
        <f>IF(VLOOKUP(A275,'Données de base - Grunddaten'!$A$2:$M$297,9,FALSE)="","",VLOOKUP(A275,'Données de base - Grunddaten'!$A$2:$M$297,9,FALSE))</f>
        <v/>
      </c>
      <c r="J275" s="857">
        <f>IF(VLOOKUP(A275,'Données de base - Grunddaten'!$A$2:$M$297,10,FALSE)="","",VLOOKUP(A275,'Données de base - Grunddaten'!$A$2:$M$297,10,FALSE))</f>
        <v>83</v>
      </c>
      <c r="K275" s="857" t="str">
        <f>IF(VLOOKUP(A275,'Données de base - Grunddaten'!$A$2:$M$297,11,FALSE)="","",VLOOKUP(A275,'Données de base - Grunddaten'!$A$2:$M$297,11,FALSE))</f>
        <v>Cours d'eau jurassien</v>
      </c>
      <c r="L275" s="857" t="str">
        <f>IF(VLOOKUP(A275,'Données de base - Grunddaten'!$A$2:$M$297,12,FALSE)="","",VLOOKUP(A275,'Données de base - Grunddaten'!$A$2:$M$297,12,FALSE))</f>
        <v>en méandres</v>
      </c>
      <c r="M275" s="858" t="str">
        <f>IF(VLOOKUP(A275,'Données de base - Grunddaten'!$A$2:$M$297,13,FALSE)="","",VLOOKUP(A275,'Données de base - Grunddaten'!$A$2:$M$297,13,FALSE))</f>
        <v>en méandres</v>
      </c>
      <c r="N275" s="912" t="str">
        <f>IF(VLOOKUP(A275,'Charriage - Geschiebehaushalt'!$A$4:$R$275,5,FALSE)="","",VLOOKUP(A275,'Charriage - Geschiebehaushalt'!$A$4:$R$275,5,FALSE))</f>
        <v>pertinent</v>
      </c>
      <c r="O275" s="913" t="str">
        <f>IF(VLOOKUP(A275,'Charriage - Geschiebehaushalt'!$A$4:$R$275,6,FALSE)="","",VLOOKUP(A275,'Charriage - Geschiebehaushalt'!$A$4:$R$275,6,FALSE))</f>
        <v>non documenté</v>
      </c>
      <c r="P275" s="914" t="str">
        <f>IF(VLOOKUP(A275,'Charriage - Geschiebehaushalt'!$A$4:$R$275,7,FALSE)="","",VLOOKUP(A275,'Charriage - Geschiebehaushalt'!$A$4:$R$275,7,FALSE))</f>
        <v/>
      </c>
      <c r="Q275" s="913" t="str">
        <f>IF(VLOOKUP(A275,'Charriage - Geschiebehaushalt'!$A$4:$R$275,8,FALSE)="","",VLOOKUP(A275,'Charriage - Geschiebehaushalt'!$A$4:$R$275,8,FALSE))</f>
        <v>non documenté</v>
      </c>
      <c r="R275" s="875" t="str">
        <f>IF(VLOOKUP(A275,'Charriage - Geschiebehaushalt'!$A$4:$R$275,9,FALSE)="","",VLOOKUP(A275,'Charriage - Geschiebehaushalt'!$A$4:$R$275,9,FALSE))</f>
        <v/>
      </c>
      <c r="S275" s="895" t="str">
        <f>IF(VLOOKUP(A275,'Charriage - Geschiebehaushalt'!$A$4:$R$275,10,FALSE)="","",VLOOKUP(A275,'Charriage - Geschiebehaushalt'!$A$4:$R$275,10,FALSE))</f>
        <v/>
      </c>
      <c r="T275" s="895" t="str">
        <f>IF(VLOOKUP(A275,'Charriage - Geschiebehaushalt'!$A$4:$R$275,11,FALSE)="","",VLOOKUP(A275,'Charriage - Geschiebehaushalt'!$A$4:$R$275,11,FALSE))</f>
        <v/>
      </c>
      <c r="U275" s="895" t="str">
        <f>IF(VLOOKUP(A275,'Charriage - Geschiebehaushalt'!$A$4:$R$275,12,FALSE)="","",VLOOKUP(A275,'Charriage - Geschiebehaushalt'!$A$4:$R$275,12,FALSE))</f>
        <v/>
      </c>
      <c r="V275" s="877" t="str">
        <f>IF(VLOOKUP(A275,'Charriage - Geschiebehaushalt'!$A$4:$R$275,13,FALSE)="","",VLOOKUP(A275,'Charriage - Geschiebehaushalt'!$A$4:$R$275,13,FALSE))</f>
        <v>Charriage naturellement faible dans le Doubs</v>
      </c>
      <c r="W275" s="878" t="str">
        <f>IF(VLOOKUP(A275,'Charriage - Geschiebehaushalt'!$A$4:$R$275,14,FALSE)="","",VLOOKUP(A275,'Charriage - Geschiebehaushalt'!$A$4:$R$275,14,FALSE))</f>
        <v>charriage présumé perturbé</v>
      </c>
      <c r="X275" s="765" t="str">
        <f>IF(VLOOKUP(A275,'Charriage - Geschiebehaushalt'!$A$4:$R$275,15,FALSE)="","",VLOOKUP(A275,'Charriage - Geschiebehaushalt'!$A$4:$R$275,15,FALSE))</f>
        <v/>
      </c>
      <c r="Y275" s="915" t="str">
        <f>IF(VLOOKUP(A275,'Charriage - Geschiebehaushalt'!$A$4:$R$275,16,FALSE)="","",VLOOKUP(A275,'Charriage - Geschiebehaushalt'!$A$4:$R$275,16,FALSE))</f>
        <v/>
      </c>
      <c r="Z275" s="822" t="str">
        <f>IF(VLOOKUP(A275,'Charriage - Geschiebehaushalt'!$A$4:$R$275,17,FALSE)="","",VLOOKUP(A275,'Charriage - Geschiebehaushalt'!$A$4:$R$275,17,FALSE))</f>
        <v>Charriage présumé perturbé / Geschiebehaushalt vermutlich beeinträchtigt</v>
      </c>
      <c r="AA275" s="916" t="str">
        <f>IF(VLOOKUP(A275,'Charriage - Geschiebehaushalt'!$A$4:$R$275,18,FALSE)="","",VLOOKUP(A275,'Charriage - Geschiebehaushalt'!$A$4:$R$275,18,FALSE))</f>
        <v>b</v>
      </c>
      <c r="AB275" s="737" t="str">
        <f>IF(VLOOKUP(A275,'Charriage - Geschiebehaushalt'!$A$4:$AC$275,19,FALSE)="","",VLOOKUP(A275,'Charriage - Geschiebehaushalt'!$A$4:$AC$275,19,FALSE))</f>
        <v>51-80% (charriage présumé perturbé)</v>
      </c>
      <c r="AC275" s="738" t="str">
        <f>IF(VLOOKUP(A275,'Charriage - Geschiebehaushalt'!$A$4:$AC$275,20,FALSE)="","",VLOOKUP(A275,'Charriage - Geschiebehaushalt'!$A$4:$AC$275,20,FALSE))</f>
        <v>moyen/important</v>
      </c>
      <c r="AD275" s="823" t="str">
        <f>IF(VLOOKUP(A275,'Charriage - Geschiebehaushalt'!$A$4:$AC$275,21,FALSE)="","",VLOOKUP(A275,'Charriage - Geschiebehaushalt'!$A$4:$AC$275,21,FALSE))</f>
        <v>51-80%</v>
      </c>
      <c r="AE275" s="824" t="str">
        <f>IF(VLOOKUP(A275,'Charriage - Geschiebehaushalt'!$A$4:$AC$275,22,FALSE)="","",VLOOKUP(A275,'Charriage - Geschiebehaushalt'!$A$4:$AC$275,22,FALSE))</f>
        <v>51-80%</v>
      </c>
      <c r="AF275" s="917" t="str">
        <f>IF(VLOOKUP(A275,'Charriage - Geschiebehaushalt'!$A$4:$AC$275,23,FALSE)="","",VLOOKUP(A275,'Charriage - Geschiebehaushalt'!$A$4:$AC$275,23,FALSE))</f>
        <v>d</v>
      </c>
      <c r="AG275" s="825" t="str">
        <f>IF(VLOOKUP(A275,'Charriage - Geschiebehaushalt'!$A$4:$AC$275,24,FALSE)="","",VLOOKUP(A275,'Charriage - Geschiebehaushalt'!$A$4:$AC$275,24,FALSE))</f>
        <v/>
      </c>
      <c r="AH275" s="823" t="str">
        <f>IF(VLOOKUP(A275,'Charriage - Geschiebehaushalt'!$A$4:$AC$275,25,FALSE)="","",VLOOKUP(A275,'Charriage - Geschiebehaushalt'!$A$4:$AC$275,25,FALSE))</f>
        <v/>
      </c>
      <c r="AI275" s="445" t="str">
        <f>IF(VLOOKUP(A275,'Charriage - Geschiebehaushalt'!$A$4:$AC$275,26,FALSE)="","",VLOOKUP(A275,'Charriage - Geschiebehaushalt'!$A$4:$AC$275,26,FALSE))</f>
        <v>Notre Office propose de ramener le déficit à 21-50%, de sorte à rester cohérent avec l'influence du charriage sur les 2 autres ZA.</v>
      </c>
      <c r="AJ275" s="446" t="str">
        <f>IF(VLOOKUP(A275,'Charriage - Geschiebehaushalt'!$A$4:$AC$275,27,FALSE)="","",VLOOKUP(A275,'Charriage - Geschiebehaushalt'!$A$4:$AC$275,27,FALSE))</f>
        <v>Remarques identiques que celles formulées pour la ZA de la Réchesse.</v>
      </c>
      <c r="AK275" s="1287" t="str">
        <f>IF(VLOOKUP(A275,'Charriage - Geschiebehaushalt'!$A$4:$AC$275,28,FALSE)="","",VLOOKUP(A275,'Charriage - Geschiebehaushalt'!$A$4:$AC$275,28,FALSE))</f>
        <v>21-50%</v>
      </c>
      <c r="AL275" s="1288" t="str">
        <f>IF(VLOOKUP(A275,'Charriage - Geschiebehaushalt'!$A$4:$AD$275,30,FALSE)="","",VLOOKUP(A275,'Charriage - Geschiebehaushalt'!$A$4:$AD$275,30,FALSE))</f>
        <v>b</v>
      </c>
      <c r="AM275" s="1279" t="str">
        <f>IF(VLOOKUP(A275,'Débit - Abfluss'!$A$4:$K$275,5,FALSE)="","",VLOOKUP(A275,'Débit - Abfluss'!$A$4:$M$275,5,FALSE))</f>
        <v>81-100%</v>
      </c>
      <c r="AN275" s="868" t="str">
        <f>IF(VLOOKUP(A275,'Débit - Abfluss'!$A$4:$K$275,6,FALSE)="","",VLOOKUP(A275,'Débit - Abfluss'!$A$4:$M$275,6,FALSE))</f>
        <v/>
      </c>
      <c r="AO275" s="918" t="str">
        <f>IF(VLOOKUP(A275,'Débit - Abfluss'!$A$4:$K$275,7,FALSE)="","",VLOOKUP(A275,'Débit - Abfluss'!$A$4:$M$275,7,FALSE))</f>
        <v/>
      </c>
      <c r="AP275" s="826" t="str">
        <f>IF(VLOOKUP(A275,'Débit - Abfluss'!$A$4:$K$275,8,FALSE)="","",VLOOKUP(A275,'Débit - Abfluss'!$A$4:$M$275,8,FALSE))</f>
        <v>81-100%</v>
      </c>
      <c r="AQ275" s="827" t="str">
        <f>IF(VLOOKUP(A275,'Débit - Abfluss'!$A$4:$K$275,9,FALSE)="","",VLOOKUP(A275,'Débit - Abfluss'!$A$4:$M$275,9,FALSE))</f>
        <v>-</v>
      </c>
      <c r="AR275" s="828" t="str">
        <f>IF(VLOOKUP(A275,'Débit - Abfluss'!$A$4:$K$275,10,FALSE)="","",VLOOKUP(A275,'Débit - Abfluss'!$A$4:$M$275,10,FALSE))</f>
        <v>81-100%</v>
      </c>
      <c r="AS275" s="829" t="str">
        <f>IF(VLOOKUP(A275,'Débit - Abfluss'!$A$4:$K$275,11,FALSE)="","",VLOOKUP(A275,'Débit - Abfluss'!$A$4:$M$275,11,FALSE))</f>
        <v/>
      </c>
      <c r="AT275" s="830" t="str">
        <f>IF(VLOOKUP(A275,'Débit - Abfluss'!$A$4:$Q$275,12,FALSE)="","",VLOOKUP(A275,'Débit - Abfluss'!$A$4:$Q$275,12,FALSE))</f>
        <v>Pas d'assainissement nécessaire</v>
      </c>
      <c r="AU275" s="831" t="str">
        <f>IF(VLOOKUP(A275,'Débit - Abfluss'!$A$4:$Q$275,13,FALSE)="","",VLOOKUP(A275,'Débit - Abfluss'!$A$4:$Q$275,13,FALSE))</f>
        <v>Pas de tronçon à débit court-circuité</v>
      </c>
      <c r="AV275" s="832" t="str">
        <f>IF(VLOOKUP(A275,'Débit - Abfluss'!$A$4:$Q$275,14,FALSE)="","",VLOOKUP(A275,'Débit - Abfluss'!$A$4:$Q$275,14,FALSE))</f>
        <v/>
      </c>
      <c r="AW275" s="833" t="str">
        <f>IF(VLOOKUP(A275,'Débit - Abfluss'!$A$4:$Q$275,15,FALSE)="","",VLOOKUP(A275,'Débit - Abfluss'!$A$4:$Q$275,15,FALSE))</f>
        <v/>
      </c>
      <c r="AX275" s="690" t="str">
        <f>IF(VLOOKUP(A275,'Débit - Abfluss'!$A$4:$Q$275,16,FALSE)="","",VLOOKUP(A275,'Débit - Abfluss'!$A$4:$Q$275,16,FALSE))</f>
        <v/>
      </c>
      <c r="AY275" s="829" t="str">
        <f>IF(VLOOKUP(A275,'Débit - Abfluss'!$A$4:$Q$275,17,FALSE)="","",VLOOKUP(A275,'Débit - Abfluss'!$A$4:$Q$275,17,FALSE))</f>
        <v>81-100%</v>
      </c>
      <c r="AZ275" s="834" t="str">
        <f>IF(VLOOKUP(A275,'Eclusée - Schwall-Sunk'!$A$2:$F$273,5,FALSE)="","",VLOOKUP(A275,'Eclusée - Schwall-Sunk'!$A$2:$F$273,5,FALSE))</f>
        <v>force hydraulique</v>
      </c>
      <c r="BA275" s="750" t="str">
        <f>IF(VLOOKUP(A275,'Eclusée - Schwall-Sunk'!$A$2:$F$273,6,FALSE)="","",VLOOKUP(A275,'Eclusée - Schwall-Sunk'!$A$2:$F$273,6,FALSE))</f>
        <v>Potentiellement affecté / möglicherweise betroffen</v>
      </c>
      <c r="BB275" s="751" t="str">
        <f>IF(VLOOKUP(A275,'Revitalisation-Revitalisierung'!$A$4:$Z$275,5,FALSE)="","",VLOOKUP(A275,'Revitalisation-Revitalisierung'!$A$4:$Z$275,5,FALSE))</f>
        <v/>
      </c>
      <c r="BC275" s="752" t="str">
        <f>IF(VLOOKUP(A275,'Revitalisation-Revitalisierung'!$A$4:$Z$275,6,FALSE)="","",VLOOKUP(A275,'Revitalisation-Revitalisierung'!$A$4:$Z$275,6,FALSE))</f>
        <v/>
      </c>
      <c r="BD275" s="752" t="str">
        <f>IF(VLOOKUP(A275,'Revitalisation-Revitalisierung'!$A$4:$Z$275,7,FALSE)="","",VLOOKUP(A275,'Revitalisation-Revitalisierung'!$A$4:$Z$275,7,FALSE))</f>
        <v/>
      </c>
      <c r="BE275" s="753" t="str">
        <f>IF(VLOOKUP(A275,'Revitalisation-Revitalisierung'!$A$4:$Z$275,8,FALSE)="","",VLOOKUP(A275,'Revitalisation-Revitalisierung'!$A$4:$Z$275,8,FALSE))</f>
        <v>non nécessaire</v>
      </c>
      <c r="BF275" s="754" t="str">
        <f>IF(VLOOKUP(A275,'Revitalisation-Revitalisierung'!$A$4:$Z$275,9,FALSE)="","",VLOOKUP(A275,'Revitalisation-Revitalisierung'!$A$4:$Z$275,9,FALSE))</f>
        <v/>
      </c>
      <c r="BG275" s="754" t="str">
        <f>IF(VLOOKUP(A275,'Revitalisation-Revitalisierung'!$A$4:$Z$275,10,FALSE)="","",VLOOKUP(A275,'Revitalisation-Revitalisierung'!$A$4:$Z$275,10,FALSE))</f>
        <v>K0</v>
      </c>
      <c r="BH275" s="755" t="str">
        <f>IF(VLOOKUP(A275,'Revitalisation-Revitalisierung'!$A$4:$Z$275,11,FALSE)="","",VLOOKUP(A275,'Revitalisation-Revitalisierung'!$A$4:$Z$275,11,FALSE))</f>
        <v/>
      </c>
      <c r="BI275" s="756" t="str">
        <f>IF(VLOOKUP(A275,'Revitalisation-Revitalisierung'!$A$4:$Z$275,12,FALSE)="","",VLOOKUP(A275,'Revitalisation-Revitalisierung'!$A$4:$Z$275,12,FALSE))</f>
        <v/>
      </c>
      <c r="BJ275" s="835" t="str">
        <f>IF(VLOOKUP(A275,'Revitalisation-Revitalisierung'!$A$4:$Z$275,13,FALSE)="","",VLOOKUP(A275,'Revitalisation-Revitalisierung'!$A$4:$Z$275,13,FALSE))</f>
        <v>Très nécessaire, facile / unbedingt nötig, einfach</v>
      </c>
      <c r="BK275" s="919" t="str">
        <f>IF(VLOOKUP(A275,'Revitalisation-Revitalisierung'!$A$4:$Z$275,14,FALSE)="","",VLOOKUP(A275,'Revitalisation-Revitalisierung'!$A$4:$Z$275,14,FALSE))</f>
        <v>b</v>
      </c>
      <c r="BL275" s="836" t="str">
        <f>IF(VLOOKUP(A275,'Revitalisation-Revitalisierung'!$A$4:$Z$275,15,FALSE)="","",VLOOKUP(A275,'Revitalisation-Revitalisierung'!$A$4:$Z$275,15,FALSE))</f>
        <v>important</v>
      </c>
      <c r="BM275" s="837" t="str">
        <f>IF(VLOOKUP(A275,'Revitalisation-Revitalisierung'!$A$4:$Z$275,16,FALSE)="","",VLOOKUP(A275,'Revitalisation-Revitalisierung'!$A$4:$Z$275,16,FALSE))</f>
        <v>faible</v>
      </c>
      <c r="BN275" s="837" t="str">
        <f>IF(VLOOKUP(A275,'Revitalisation-Revitalisierung'!$A$4:$Z$275,17,FALSE)="","",VLOOKUP(A275,'Revitalisation-Revitalisierung'!$A$4:$Z$275,17,FALSE))</f>
        <v>nulle</v>
      </c>
      <c r="BO275" s="838" t="str">
        <f>IF(VLOOKUP(A275,'Revitalisation-Revitalisierung'!$A$4:$Z$275,18,FALSE)="","",VLOOKUP(A275,'Revitalisation-Revitalisierung'!$A$4:$Z$275,18,FALSE))</f>
        <v>Non nécessaire / nicht nötig</v>
      </c>
      <c r="BP275" s="839" t="str">
        <f>IF(VLOOKUP(A275,'Revitalisation-Revitalisierung'!$A$4:$Z$275,19,FALSE)="","",VLOOKUP(A275,'Revitalisation-Revitalisierung'!$A$4:$Z$275,19,FALSE))</f>
        <v>Très nécessaire, facile / unbedingt nötig, einfach</v>
      </c>
      <c r="BQ275" s="837" t="str">
        <f>IF(VLOOKUP(A275,'Revitalisation-Revitalisierung'!$A$4:$Z$275,20,FALSE)="","",VLOOKUP(A275,'Revitalisation-Revitalisierung'!$A$4:$Z$275,20,FALSE))</f>
        <v>b</v>
      </c>
      <c r="BR275" s="837" t="str">
        <f>IF(VLOOKUP(A275,'Revitalisation-Revitalisierung'!$A$4:$Z$275,21,FALSE)="","",VLOOKUP(A275,'Revitalisation-Revitalisierung'!$A$4:$Z$275,21,FALSE))</f>
        <v/>
      </c>
      <c r="BS275" s="840" t="str">
        <f>IF(VLOOKUP(A275,'Revitalisation-Revitalisierung'!$A$4:$Z$275,22,FALSE)="","",VLOOKUP(A275,'Revitalisation-Revitalisierung'!$A$4:$Z$275,22,FALSE))</f>
        <v/>
      </c>
      <c r="BT275" s="911" t="str">
        <f>IF(VLOOKUP(A275,'Revitalisation-Revitalisierung'!$A$4:$Z$275,23,FALSE)="","",VLOOKUP(A275,'Revitalisation-Revitalisierung'!$A$4:$Z$275,23,FALSE))</f>
        <v xml:space="preserve">Selon le plan de gestion, notre Office propose de laisser le besoin de revitalisation à très nécessaire </v>
      </c>
      <c r="BU275" s="713" t="str">
        <f>IF(VLOOKUP(A275,'Revitalisation-Revitalisierung'!$A$4:$Z$275,24,FALSE)="","",VLOOKUP(A275,'Revitalisation-Revitalisierung'!$A$4:$Z$275,24,FALSE))</f>
        <v>La finalisation du plan de gestion est prévue pour le début 2017. Les mesures de gestion vont dans le même sens que celles prévues dans la ZA de la Lomenne.</v>
      </c>
      <c r="BV275" s="839" t="str">
        <f>IF(VLOOKUP(A275,'Revitalisation-Revitalisierung'!$A$4:$Z$275,25,FALSE)="","",VLOOKUP(A275,'Revitalisation-Revitalisierung'!$A$4:$Z$275,25,FALSE))</f>
        <v>Très nécessaire, facile / unbedingt nötig, einfach</v>
      </c>
      <c r="BW275" s="871" t="str">
        <f>IF(VLOOKUP(A275,'Revitalisation-Revitalisierung'!$A$4:$AA$275,27,FALSE)="","",VLOOKUP(A275,'Revitalisation-Revitalisierung'!$A$4:$AA$275,27,FALSE))</f>
        <v>b</v>
      </c>
    </row>
  </sheetData>
  <autoFilter ref="A3:BW275"/>
  <sortState ref="A3:BX274">
    <sortCondition ref="BJ3:BJ274"/>
  </sortState>
  <mergeCells count="18">
    <mergeCell ref="A1:M1"/>
    <mergeCell ref="BT2:BU2"/>
    <mergeCell ref="BV2:BW2"/>
    <mergeCell ref="BL2:BO2"/>
    <mergeCell ref="BP2:BS2"/>
    <mergeCell ref="AR2:AS2"/>
    <mergeCell ref="AT2:AU2"/>
    <mergeCell ref="AV2:AW2"/>
    <mergeCell ref="AB2:AD2"/>
    <mergeCell ref="AE2:AH2"/>
    <mergeCell ref="AI2:AJ2"/>
    <mergeCell ref="AK2:AL2"/>
    <mergeCell ref="N2:AA2"/>
    <mergeCell ref="AM2:AP2"/>
    <mergeCell ref="BB2:BK2"/>
    <mergeCell ref="N1:AL1"/>
    <mergeCell ref="AM1:AY1"/>
    <mergeCell ref="BB1:BW1"/>
  </mergeCells>
  <conditionalFormatting sqref="Z276:Z1048576">
    <cfRule type="cellIs" dxfId="5661" priority="5181" stopIfTrue="1" operator="equal">
      <formula>"81 -100%"</formula>
    </cfRule>
    <cfRule type="cellIs" dxfId="5660" priority="5182" stopIfTrue="1" operator="equal">
      <formula>"0-20%"</formula>
    </cfRule>
  </conditionalFormatting>
  <conditionalFormatting sqref="I4:I275">
    <cfRule type="cellIs" dxfId="5659" priority="5170" operator="equal">
      <formula>"candidat"</formula>
    </cfRule>
  </conditionalFormatting>
  <conditionalFormatting sqref="AV50:AV54 AQ50:AQ54 AP4:AP113 AV171:AW172 AS22 AS24:AU27 AT28:AU28 AS29:AU30 AT31:AU31 AS32:AU33 AS35:AS47 AS70:AS72 AS74 AS76:AS84 AS86:AS91 AS93:AU96 AS110 AS112:AS113 AS117:AS119 AT110:AU118 AS127:AU144 AS149:AS152 AS154:AS169 AS178:AU178 AS180:AU181 AS213:AS214 AS232:AU235 AS237:AU238 AS241:AU247 AT264:AU264 AS265:AU265 AS266 AT266:AU267 AS268:AU270 AS272:AS275 AT271:AU272 AT64:AU70 AS174:AS176 AS171:AS172 AS64:AS68 AS226:AS229 AS249:AU260 AS4:AU10 AV174:AW178 AV226:AW234 AV236:AW261 AS99:AU109 AS183:AU186 AS262:AU263 AT221:AU224 AS220:AS224 AS209:AU210 AV154:AW169 AV180:AW207 AV220:AW224 AT15:AU23 AS15:AS20 AT42:AU45 AT41 AS53:AU63 AT159:AU159 AT158 AT161:AU166 AT160 AT168:AU175 AT167 AS190:AU207 AS187:AT189 AT46:AT48 AS49:AT52 AT125:AU126 AT82:AU87 AS216:AS218 AU76:AU80 AS231 AU231 AT34:AU40 AT81 AT89:AU92 AT88 AT177:AU177 AT176 AT226:AU230 AT225 AS13:AU13 AT273:AT274 AT121:AT124 AT236 AS211 AT73:AU75 AT71:AT72 AV5:AW47 AV55:AW62 AV64:AW152 AP115:AP274 AT145:AU157 AV209:AW218 AV263:AW275 AY4:BA4 BA5:BA275">
    <cfRule type="cellIs" dxfId="5658" priority="4037" stopIfTrue="1" operator="equal">
      <formula>"Régime présumé naturel (100%) / Abfluss vermutlich natürlich"</formula>
    </cfRule>
    <cfRule type="cellIs" dxfId="5657" priority="4038" stopIfTrue="1" operator="equal">
      <formula>"non pertinent / nicht relevant"</formula>
    </cfRule>
    <cfRule type="cellIs" dxfId="5656" priority="4039" stopIfTrue="1" operator="equal">
      <formula>"61-80%"</formula>
    </cfRule>
    <cfRule type="cellIs" dxfId="5655" priority="4040" stopIfTrue="1" operator="equal">
      <formula>"41-60%"</formula>
    </cfRule>
    <cfRule type="cellIs" dxfId="5654" priority="4041" stopIfTrue="1" operator="equal">
      <formula>"21-40%"</formula>
    </cfRule>
    <cfRule type="cellIs" dxfId="5653" priority="4042" stopIfTrue="1" operator="equal">
      <formula>"0-20%"</formula>
    </cfRule>
    <cfRule type="cellIs" dxfId="5652" priority="4043" stopIfTrue="1" operator="equal">
      <formula>"81-100%"</formula>
    </cfRule>
    <cfRule type="cellIs" dxfId="5651" priority="4044" stopIfTrue="1" operator="equal">
      <formula>"100%"</formula>
    </cfRule>
  </conditionalFormatting>
  <conditionalFormatting sqref="AP275">
    <cfRule type="cellIs" dxfId="5650" priority="4029" stopIfTrue="1" operator="equal">
      <formula>"Régime présumé naturel (100%) / Abfluss vermutlich natürlich"</formula>
    </cfRule>
    <cfRule type="cellIs" dxfId="5649" priority="4030" stopIfTrue="1" operator="equal">
      <formula>"non pertinent / nicht relevant"</formula>
    </cfRule>
    <cfRule type="cellIs" dxfId="5648" priority="4031" stopIfTrue="1" operator="equal">
      <formula>"61-80%"</formula>
    </cfRule>
    <cfRule type="cellIs" dxfId="5647" priority="4032" stopIfTrue="1" operator="equal">
      <formula>"41-60%"</formula>
    </cfRule>
    <cfRule type="cellIs" dxfId="5646" priority="4033" stopIfTrue="1" operator="equal">
      <formula>"21-40%"</formula>
    </cfRule>
    <cfRule type="cellIs" dxfId="5645" priority="4034" stopIfTrue="1" operator="equal">
      <formula>"0-20%"</formula>
    </cfRule>
    <cfRule type="cellIs" dxfId="5644" priority="4035" stopIfTrue="1" operator="equal">
      <formula>"81-100%"</formula>
    </cfRule>
    <cfRule type="cellIs" dxfId="5643" priority="4036" stopIfTrue="1" operator="equal">
      <formula>"100%"</formula>
    </cfRule>
  </conditionalFormatting>
  <conditionalFormatting sqref="AV49">
    <cfRule type="cellIs" dxfId="5642" priority="4013" stopIfTrue="1" operator="equal">
      <formula>"Régime présumé naturel (100%) / Abfluss vermutlich natürlich"</formula>
    </cfRule>
    <cfRule type="cellIs" dxfId="5641" priority="4014" stopIfTrue="1" operator="equal">
      <formula>"non pertinent / nicht relevant"</formula>
    </cfRule>
    <cfRule type="cellIs" dxfId="5640" priority="4015" stopIfTrue="1" operator="equal">
      <formula>"61-80%"</formula>
    </cfRule>
    <cfRule type="cellIs" dxfId="5639" priority="4016" stopIfTrue="1" operator="equal">
      <formula>"41-60%"</formula>
    </cfRule>
    <cfRule type="cellIs" dxfId="5638" priority="4017" stopIfTrue="1" operator="equal">
      <formula>"21-40%"</formula>
    </cfRule>
    <cfRule type="cellIs" dxfId="5637" priority="4018" stopIfTrue="1" operator="equal">
      <formula>"0-20%"</formula>
    </cfRule>
    <cfRule type="cellIs" dxfId="5636" priority="4019" stopIfTrue="1" operator="equal">
      <formula>"81-100%"</formula>
    </cfRule>
    <cfRule type="cellIs" dxfId="5635" priority="4020" stopIfTrue="1" operator="equal">
      <formula>"100%"</formula>
    </cfRule>
  </conditionalFormatting>
  <conditionalFormatting sqref="AV4">
    <cfRule type="cellIs" dxfId="5634" priority="4021" stopIfTrue="1" operator="equal">
      <formula>"Régime présumé naturel (100%) / Abfluss vermutlich natürlich"</formula>
    </cfRule>
    <cfRule type="cellIs" dxfId="5633" priority="4022" stopIfTrue="1" operator="equal">
      <formula>"non pertinent / nicht relevant"</formula>
    </cfRule>
    <cfRule type="cellIs" dxfId="5632" priority="4023" stopIfTrue="1" operator="equal">
      <formula>"61-80%"</formula>
    </cfRule>
    <cfRule type="cellIs" dxfId="5631" priority="4024" stopIfTrue="1" operator="equal">
      <formula>"41-60%"</formula>
    </cfRule>
    <cfRule type="cellIs" dxfId="5630" priority="4025" stopIfTrue="1" operator="equal">
      <formula>"21-40%"</formula>
    </cfRule>
    <cfRule type="cellIs" dxfId="5629" priority="4026" stopIfTrue="1" operator="equal">
      <formula>"0-20%"</formula>
    </cfRule>
    <cfRule type="cellIs" dxfId="5628" priority="4027" stopIfTrue="1" operator="equal">
      <formula>"81-100%"</formula>
    </cfRule>
    <cfRule type="cellIs" dxfId="5627" priority="4028" stopIfTrue="1" operator="equal">
      <formula>"100%"</formula>
    </cfRule>
  </conditionalFormatting>
  <conditionalFormatting sqref="AQ275 AQ272:AQ273 AQ269 AQ266 AQ262 AQ258 AQ256 AQ249:AQ254 AQ241:AQ247 AQ231:AQ235 AQ220:AQ224 AQ216:AQ218 AQ213 AQ209:AQ210 AQ179:AQ181 AQ149:AQ152 AQ147 AQ137:AQ140 AQ117:AQ119 AQ112:AQ113 AQ110 AQ99:AQ104 AQ93:AQ96 AQ86:AQ91 AQ74 AQ70:AQ72 AQ61:AQ62 AQ57:AQ58 AQ32 AQ29 AQ22 AQ13 AQ4:AQ10 AQ154:AQ169 AQ35:AQ49 AQ64:AQ68 AQ171:AQ176 AQ226:AQ229 AQ15:AQ20 AQ76:AQ84 AQ129:AQ133 AQ183:AQ207">
    <cfRule type="cellIs" dxfId="5626" priority="4005" stopIfTrue="1" operator="equal">
      <formula>"Régime présumé naturel (100%) / Abfluss vermutlich natürlich"</formula>
    </cfRule>
    <cfRule type="cellIs" dxfId="5625" priority="4006" stopIfTrue="1" operator="equal">
      <formula>"non pertinent / nicht relevant"</formula>
    </cfRule>
    <cfRule type="cellIs" dxfId="5624" priority="4007" stopIfTrue="1" operator="equal">
      <formula>"61-80%"</formula>
    </cfRule>
    <cfRule type="cellIs" dxfId="5623" priority="4008" stopIfTrue="1" operator="equal">
      <formula>"41-60%"</formula>
    </cfRule>
    <cfRule type="cellIs" dxfId="5622" priority="4009" stopIfTrue="1" operator="equal">
      <formula>"21-40%"</formula>
    </cfRule>
    <cfRule type="cellIs" dxfId="5621" priority="4010" stopIfTrue="1" operator="equal">
      <formula>"0-20%"</formula>
    </cfRule>
    <cfRule type="cellIs" dxfId="5620" priority="4011" stopIfTrue="1" operator="equal">
      <formula>"81-100%"</formula>
    </cfRule>
    <cfRule type="cellIs" dxfId="5619" priority="4012" stopIfTrue="1" operator="equal">
      <formula>"100%"</formula>
    </cfRule>
  </conditionalFormatting>
  <conditionalFormatting sqref="AQ11">
    <cfRule type="cellIs" dxfId="5618" priority="3997" stopIfTrue="1" operator="equal">
      <formula>"Régime présumé naturel (100%) / Abfluss vermutlich natürlich"</formula>
    </cfRule>
    <cfRule type="cellIs" dxfId="5617" priority="3998" stopIfTrue="1" operator="equal">
      <formula>"non pertinent / nicht relevant"</formula>
    </cfRule>
    <cfRule type="cellIs" dxfId="5616" priority="3999" stopIfTrue="1" operator="equal">
      <formula>"61-80%"</formula>
    </cfRule>
    <cfRule type="cellIs" dxfId="5615" priority="4000" stopIfTrue="1" operator="equal">
      <formula>"41-60%"</formula>
    </cfRule>
    <cfRule type="cellIs" dxfId="5614" priority="4001" stopIfTrue="1" operator="equal">
      <formula>"21-40%"</formula>
    </cfRule>
    <cfRule type="cellIs" dxfId="5613" priority="4002" stopIfTrue="1" operator="equal">
      <formula>"0-20%"</formula>
    </cfRule>
    <cfRule type="cellIs" dxfId="5612" priority="4003" stopIfTrue="1" operator="equal">
      <formula>"81-100%"</formula>
    </cfRule>
    <cfRule type="cellIs" dxfId="5611" priority="4004" stopIfTrue="1" operator="equal">
      <formula>"100%"</formula>
    </cfRule>
  </conditionalFormatting>
  <conditionalFormatting sqref="AW49">
    <cfRule type="cellIs" dxfId="5610" priority="3973" stopIfTrue="1" operator="equal">
      <formula>"Régime présumé naturel (100%) / Abfluss vermutlich natürlich"</formula>
    </cfRule>
    <cfRule type="cellIs" dxfId="5609" priority="3974" stopIfTrue="1" operator="equal">
      <formula>"non pertinent / nicht relevant"</formula>
    </cfRule>
    <cfRule type="cellIs" dxfId="5608" priority="3975" stopIfTrue="1" operator="equal">
      <formula>"61-80%"</formula>
    </cfRule>
    <cfRule type="cellIs" dxfId="5607" priority="3976" stopIfTrue="1" operator="equal">
      <formula>"41-60%"</formula>
    </cfRule>
    <cfRule type="cellIs" dxfId="5606" priority="3977" stopIfTrue="1" operator="equal">
      <formula>"21-40%"</formula>
    </cfRule>
    <cfRule type="cellIs" dxfId="5605" priority="3978" stopIfTrue="1" operator="equal">
      <formula>"0-20%"</formula>
    </cfRule>
    <cfRule type="cellIs" dxfId="5604" priority="3979" stopIfTrue="1" operator="equal">
      <formula>"81-100%"</formula>
    </cfRule>
    <cfRule type="cellIs" dxfId="5603" priority="3980" stopIfTrue="1" operator="equal">
      <formula>"100%"</formula>
    </cfRule>
  </conditionalFormatting>
  <conditionalFormatting sqref="AW50:AW54">
    <cfRule type="cellIs" dxfId="5602" priority="3989" stopIfTrue="1" operator="equal">
      <formula>"Régime présumé naturel (100%) / Abfluss vermutlich natürlich"</formula>
    </cfRule>
    <cfRule type="cellIs" dxfId="5601" priority="3990" stopIfTrue="1" operator="equal">
      <formula>"non pertinent / nicht relevant"</formula>
    </cfRule>
    <cfRule type="cellIs" dxfId="5600" priority="3991" stopIfTrue="1" operator="equal">
      <formula>"61-80%"</formula>
    </cfRule>
    <cfRule type="cellIs" dxfId="5599" priority="3992" stopIfTrue="1" operator="equal">
      <formula>"41-60%"</formula>
    </cfRule>
    <cfRule type="cellIs" dxfId="5598" priority="3993" stopIfTrue="1" operator="equal">
      <formula>"21-40%"</formula>
    </cfRule>
    <cfRule type="cellIs" dxfId="5597" priority="3994" stopIfTrue="1" operator="equal">
      <formula>"0-20%"</formula>
    </cfRule>
    <cfRule type="cellIs" dxfId="5596" priority="3995" stopIfTrue="1" operator="equal">
      <formula>"81-100%"</formula>
    </cfRule>
    <cfRule type="cellIs" dxfId="5595" priority="3996" stopIfTrue="1" operator="equal">
      <formula>"100%"</formula>
    </cfRule>
  </conditionalFormatting>
  <conditionalFormatting sqref="AW4">
    <cfRule type="cellIs" dxfId="5594" priority="3981" stopIfTrue="1" operator="equal">
      <formula>"Régime présumé naturel (100%) / Abfluss vermutlich natürlich"</formula>
    </cfRule>
    <cfRule type="cellIs" dxfId="5593" priority="3982" stopIfTrue="1" operator="equal">
      <formula>"non pertinent / nicht relevant"</formula>
    </cfRule>
    <cfRule type="cellIs" dxfId="5592" priority="3983" stopIfTrue="1" operator="equal">
      <formula>"61-80%"</formula>
    </cfRule>
    <cfRule type="cellIs" dxfId="5591" priority="3984" stopIfTrue="1" operator="equal">
      <formula>"41-60%"</formula>
    </cfRule>
    <cfRule type="cellIs" dxfId="5590" priority="3985" stopIfTrue="1" operator="equal">
      <formula>"21-40%"</formula>
    </cfRule>
    <cfRule type="cellIs" dxfId="5589" priority="3986" stopIfTrue="1" operator="equal">
      <formula>"0-20%"</formula>
    </cfRule>
    <cfRule type="cellIs" dxfId="5588" priority="3987" stopIfTrue="1" operator="equal">
      <formula>"81-100%"</formula>
    </cfRule>
    <cfRule type="cellIs" dxfId="5587" priority="3988" stopIfTrue="1" operator="equal">
      <formula>"100%"</formula>
    </cfRule>
  </conditionalFormatting>
  <conditionalFormatting sqref="AS125:AS126">
    <cfRule type="cellIs" dxfId="5586" priority="3949" stopIfTrue="1" operator="equal">
      <formula>"Régime présumé naturel (100%) / Abfluss vermutlich natürlich"</formula>
    </cfRule>
    <cfRule type="cellIs" dxfId="5585" priority="3950" stopIfTrue="1" operator="equal">
      <formula>"non pertinent / nicht relevant"</formula>
    </cfRule>
    <cfRule type="cellIs" dxfId="5584" priority="3951" stopIfTrue="1" operator="equal">
      <formula>"61-80%"</formula>
    </cfRule>
    <cfRule type="cellIs" dxfId="5583" priority="3952" stopIfTrue="1" operator="equal">
      <formula>"41-60%"</formula>
    </cfRule>
    <cfRule type="cellIs" dxfId="5582" priority="3953" stopIfTrue="1" operator="equal">
      <formula>"21-40%"</formula>
    </cfRule>
    <cfRule type="cellIs" dxfId="5581" priority="3954" stopIfTrue="1" operator="equal">
      <formula>"0-20%"</formula>
    </cfRule>
    <cfRule type="cellIs" dxfId="5580" priority="3955" stopIfTrue="1" operator="equal">
      <formula>"81-100%"</formula>
    </cfRule>
    <cfRule type="cellIs" dxfId="5579" priority="3956" stopIfTrue="1" operator="equal">
      <formula>"100%"</formula>
    </cfRule>
  </conditionalFormatting>
  <conditionalFormatting sqref="AW173">
    <cfRule type="cellIs" dxfId="5578" priority="3933" stopIfTrue="1" operator="equal">
      <formula>"Régime présumé naturel (100%) / Abfluss vermutlich natürlich"</formula>
    </cfRule>
    <cfRule type="cellIs" dxfId="5577" priority="3934" stopIfTrue="1" operator="equal">
      <formula>"non pertinent / nicht relevant"</formula>
    </cfRule>
    <cfRule type="cellIs" dxfId="5576" priority="3935" stopIfTrue="1" operator="equal">
      <formula>"61-80%"</formula>
    </cfRule>
    <cfRule type="cellIs" dxfId="5575" priority="3936" stopIfTrue="1" operator="equal">
      <formula>"41-60%"</formula>
    </cfRule>
    <cfRule type="cellIs" dxfId="5574" priority="3937" stopIfTrue="1" operator="equal">
      <formula>"21-40%"</formula>
    </cfRule>
    <cfRule type="cellIs" dxfId="5573" priority="3938" stopIfTrue="1" operator="equal">
      <formula>"0-20%"</formula>
    </cfRule>
    <cfRule type="cellIs" dxfId="5572" priority="3939" stopIfTrue="1" operator="equal">
      <formula>"81-100%"</formula>
    </cfRule>
    <cfRule type="cellIs" dxfId="5571" priority="3940" stopIfTrue="1" operator="equal">
      <formula>"100%"</formula>
    </cfRule>
  </conditionalFormatting>
  <conditionalFormatting sqref="AV48">
    <cfRule type="cellIs" dxfId="5570" priority="3965" stopIfTrue="1" operator="equal">
      <formula>"Régime présumé naturel (100%) / Abfluss vermutlich natürlich"</formula>
    </cfRule>
    <cfRule type="cellIs" dxfId="5569" priority="3966" stopIfTrue="1" operator="equal">
      <formula>"non pertinent / nicht relevant"</formula>
    </cfRule>
    <cfRule type="cellIs" dxfId="5568" priority="3967" stopIfTrue="1" operator="equal">
      <formula>"61-80%"</formula>
    </cfRule>
    <cfRule type="cellIs" dxfId="5567" priority="3968" stopIfTrue="1" operator="equal">
      <formula>"41-60%"</formula>
    </cfRule>
    <cfRule type="cellIs" dxfId="5566" priority="3969" stopIfTrue="1" operator="equal">
      <formula>"21-40%"</formula>
    </cfRule>
    <cfRule type="cellIs" dxfId="5565" priority="3970" stopIfTrue="1" operator="equal">
      <formula>"0-20%"</formula>
    </cfRule>
    <cfRule type="cellIs" dxfId="5564" priority="3971" stopIfTrue="1" operator="equal">
      <formula>"81-100%"</formula>
    </cfRule>
    <cfRule type="cellIs" dxfId="5563" priority="3972" stopIfTrue="1" operator="equal">
      <formula>"100%"</formula>
    </cfRule>
  </conditionalFormatting>
  <conditionalFormatting sqref="AW48">
    <cfRule type="cellIs" dxfId="5562" priority="3957" stopIfTrue="1" operator="equal">
      <formula>"Régime présumé naturel (100%) / Abfluss vermutlich natürlich"</formula>
    </cfRule>
    <cfRule type="cellIs" dxfId="5561" priority="3958" stopIfTrue="1" operator="equal">
      <formula>"non pertinent / nicht relevant"</formula>
    </cfRule>
    <cfRule type="cellIs" dxfId="5560" priority="3959" stopIfTrue="1" operator="equal">
      <formula>"61-80%"</formula>
    </cfRule>
    <cfRule type="cellIs" dxfId="5559" priority="3960" stopIfTrue="1" operator="equal">
      <formula>"41-60%"</formula>
    </cfRule>
    <cfRule type="cellIs" dxfId="5558" priority="3961" stopIfTrue="1" operator="equal">
      <formula>"21-40%"</formula>
    </cfRule>
    <cfRule type="cellIs" dxfId="5557" priority="3962" stopIfTrue="1" operator="equal">
      <formula>"0-20%"</formula>
    </cfRule>
    <cfRule type="cellIs" dxfId="5556" priority="3963" stopIfTrue="1" operator="equal">
      <formula>"81-100%"</formula>
    </cfRule>
    <cfRule type="cellIs" dxfId="5555" priority="3964" stopIfTrue="1" operator="equal">
      <formula>"100%"</formula>
    </cfRule>
  </conditionalFormatting>
  <conditionalFormatting sqref="AV173">
    <cfRule type="cellIs" dxfId="5554" priority="3941" stopIfTrue="1" operator="equal">
      <formula>"Régime présumé naturel (100%) / Abfluss vermutlich natürlich"</formula>
    </cfRule>
    <cfRule type="cellIs" dxfId="5553" priority="3942" stopIfTrue="1" operator="equal">
      <formula>"non pertinent / nicht relevant"</formula>
    </cfRule>
    <cfRule type="cellIs" dxfId="5552" priority="3943" stopIfTrue="1" operator="equal">
      <formula>"61-80%"</formula>
    </cfRule>
    <cfRule type="cellIs" dxfId="5551" priority="3944" stopIfTrue="1" operator="equal">
      <formula>"41-60%"</formula>
    </cfRule>
    <cfRule type="cellIs" dxfId="5550" priority="3945" stopIfTrue="1" operator="equal">
      <formula>"21-40%"</formula>
    </cfRule>
    <cfRule type="cellIs" dxfId="5549" priority="3946" stopIfTrue="1" operator="equal">
      <formula>"0-20%"</formula>
    </cfRule>
    <cfRule type="cellIs" dxfId="5548" priority="3947" stopIfTrue="1" operator="equal">
      <formula>"81-100%"</formula>
    </cfRule>
    <cfRule type="cellIs" dxfId="5547" priority="3948" stopIfTrue="1" operator="equal">
      <formula>"100%"</formula>
    </cfRule>
  </conditionalFormatting>
  <conditionalFormatting sqref="AV63:AW63">
    <cfRule type="cellIs" dxfId="5546" priority="3925" stopIfTrue="1" operator="equal">
      <formula>"Régime présumé naturel (100%) / Abfluss vermutlich natürlich"</formula>
    </cfRule>
    <cfRule type="cellIs" dxfId="5545" priority="3926" stopIfTrue="1" operator="equal">
      <formula>"non pertinent / nicht relevant"</formula>
    </cfRule>
    <cfRule type="cellIs" dxfId="5544" priority="3927" stopIfTrue="1" operator="equal">
      <formula>"61-80%"</formula>
    </cfRule>
    <cfRule type="cellIs" dxfId="5543" priority="3928" stopIfTrue="1" operator="equal">
      <formula>"41-60%"</formula>
    </cfRule>
    <cfRule type="cellIs" dxfId="5542" priority="3929" stopIfTrue="1" operator="equal">
      <formula>"21-40%"</formula>
    </cfRule>
    <cfRule type="cellIs" dxfId="5541" priority="3930" stopIfTrue="1" operator="equal">
      <formula>"0-20%"</formula>
    </cfRule>
    <cfRule type="cellIs" dxfId="5540" priority="3931" stopIfTrue="1" operator="equal">
      <formula>"81-100%"</formula>
    </cfRule>
    <cfRule type="cellIs" dxfId="5539" priority="3932" stopIfTrue="1" operator="equal">
      <formula>"100%"</formula>
    </cfRule>
  </conditionalFormatting>
  <conditionalFormatting sqref="AW170">
    <cfRule type="cellIs" dxfId="5538" priority="3909" stopIfTrue="1" operator="equal">
      <formula>"Régime présumé naturel (100%) / Abfluss vermutlich natürlich"</formula>
    </cfRule>
    <cfRule type="cellIs" dxfId="5537" priority="3910" stopIfTrue="1" operator="equal">
      <formula>"non pertinent / nicht relevant"</formula>
    </cfRule>
    <cfRule type="cellIs" dxfId="5536" priority="3911" stopIfTrue="1" operator="equal">
      <formula>"61-80%"</formula>
    </cfRule>
    <cfRule type="cellIs" dxfId="5535" priority="3912" stopIfTrue="1" operator="equal">
      <formula>"41-60%"</formula>
    </cfRule>
    <cfRule type="cellIs" dxfId="5534" priority="3913" stopIfTrue="1" operator="equal">
      <formula>"21-40%"</formula>
    </cfRule>
    <cfRule type="cellIs" dxfId="5533" priority="3914" stopIfTrue="1" operator="equal">
      <formula>"0-20%"</formula>
    </cfRule>
    <cfRule type="cellIs" dxfId="5532" priority="3915" stopIfTrue="1" operator="equal">
      <formula>"81-100%"</formula>
    </cfRule>
    <cfRule type="cellIs" dxfId="5531" priority="3916" stopIfTrue="1" operator="equal">
      <formula>"100%"</formula>
    </cfRule>
  </conditionalFormatting>
  <conditionalFormatting sqref="AV235">
    <cfRule type="cellIs" dxfId="5530" priority="3877" stopIfTrue="1" operator="equal">
      <formula>"Régime présumé naturel (100%) / Abfluss vermutlich natürlich"</formula>
    </cfRule>
    <cfRule type="cellIs" dxfId="5529" priority="3878" stopIfTrue="1" operator="equal">
      <formula>"non pertinent / nicht relevant"</formula>
    </cfRule>
    <cfRule type="cellIs" dxfId="5528" priority="3879" stopIfTrue="1" operator="equal">
      <formula>"61-80%"</formula>
    </cfRule>
    <cfRule type="cellIs" dxfId="5527" priority="3880" stopIfTrue="1" operator="equal">
      <formula>"41-60%"</formula>
    </cfRule>
    <cfRule type="cellIs" dxfId="5526" priority="3881" stopIfTrue="1" operator="equal">
      <formula>"21-40%"</formula>
    </cfRule>
    <cfRule type="cellIs" dxfId="5525" priority="3882" stopIfTrue="1" operator="equal">
      <formula>"0-20%"</formula>
    </cfRule>
    <cfRule type="cellIs" dxfId="5524" priority="3883" stopIfTrue="1" operator="equal">
      <formula>"81-100%"</formula>
    </cfRule>
    <cfRule type="cellIs" dxfId="5523" priority="3884" stopIfTrue="1" operator="equal">
      <formula>"100%"</formula>
    </cfRule>
  </conditionalFormatting>
  <conditionalFormatting sqref="AV170">
    <cfRule type="cellIs" dxfId="5522" priority="3917" stopIfTrue="1" operator="equal">
      <formula>"Régime présumé naturel (100%) / Abfluss vermutlich natürlich"</formula>
    </cfRule>
    <cfRule type="cellIs" dxfId="5521" priority="3918" stopIfTrue="1" operator="equal">
      <formula>"non pertinent / nicht relevant"</formula>
    </cfRule>
    <cfRule type="cellIs" dxfId="5520" priority="3919" stopIfTrue="1" operator="equal">
      <formula>"61-80%"</formula>
    </cfRule>
    <cfRule type="cellIs" dxfId="5519" priority="3920" stopIfTrue="1" operator="equal">
      <formula>"41-60%"</formula>
    </cfRule>
    <cfRule type="cellIs" dxfId="5518" priority="3921" stopIfTrue="1" operator="equal">
      <formula>"21-40%"</formula>
    </cfRule>
    <cfRule type="cellIs" dxfId="5517" priority="3922" stopIfTrue="1" operator="equal">
      <formula>"0-20%"</formula>
    </cfRule>
    <cfRule type="cellIs" dxfId="5516" priority="3923" stopIfTrue="1" operator="equal">
      <formula>"81-100%"</formula>
    </cfRule>
    <cfRule type="cellIs" dxfId="5515" priority="3924" stopIfTrue="1" operator="equal">
      <formula>"100%"</formula>
    </cfRule>
  </conditionalFormatting>
  <conditionalFormatting sqref="AV225:AW225">
    <cfRule type="cellIs" dxfId="5514" priority="3901" stopIfTrue="1" operator="equal">
      <formula>"Régime présumé naturel (100%) / Abfluss vermutlich natürlich"</formula>
    </cfRule>
    <cfRule type="cellIs" dxfId="5513" priority="3902" stopIfTrue="1" operator="equal">
      <formula>"non pertinent / nicht relevant"</formula>
    </cfRule>
    <cfRule type="cellIs" dxfId="5512" priority="3903" stopIfTrue="1" operator="equal">
      <formula>"61-80%"</formula>
    </cfRule>
    <cfRule type="cellIs" dxfId="5511" priority="3904" stopIfTrue="1" operator="equal">
      <formula>"41-60%"</formula>
    </cfRule>
    <cfRule type="cellIs" dxfId="5510" priority="3905" stopIfTrue="1" operator="equal">
      <formula>"21-40%"</formula>
    </cfRule>
    <cfRule type="cellIs" dxfId="5509" priority="3906" stopIfTrue="1" operator="equal">
      <formula>"0-20%"</formula>
    </cfRule>
    <cfRule type="cellIs" dxfId="5508" priority="3907" stopIfTrue="1" operator="equal">
      <formula>"81-100%"</formula>
    </cfRule>
    <cfRule type="cellIs" dxfId="5507" priority="3908" stopIfTrue="1" operator="equal">
      <formula>"100%"</formula>
    </cfRule>
  </conditionalFormatting>
  <conditionalFormatting sqref="AS225">
    <cfRule type="cellIs" dxfId="5506" priority="3893" stopIfTrue="1" operator="equal">
      <formula>"Régime présumé naturel (100%) / Abfluss vermutlich natürlich"</formula>
    </cfRule>
    <cfRule type="cellIs" dxfId="5505" priority="3894" stopIfTrue="1" operator="equal">
      <formula>"non pertinent / nicht relevant"</formula>
    </cfRule>
    <cfRule type="cellIs" dxfId="5504" priority="3895" stopIfTrue="1" operator="equal">
      <formula>"61-80%"</formula>
    </cfRule>
    <cfRule type="cellIs" dxfId="5503" priority="3896" stopIfTrue="1" operator="equal">
      <formula>"41-60%"</formula>
    </cfRule>
    <cfRule type="cellIs" dxfId="5502" priority="3897" stopIfTrue="1" operator="equal">
      <formula>"21-40%"</formula>
    </cfRule>
    <cfRule type="cellIs" dxfId="5501" priority="3898" stopIfTrue="1" operator="equal">
      <formula>"0-20%"</formula>
    </cfRule>
    <cfRule type="cellIs" dxfId="5500" priority="3899" stopIfTrue="1" operator="equal">
      <formula>"81-100%"</formula>
    </cfRule>
    <cfRule type="cellIs" dxfId="5499" priority="3900" stopIfTrue="1" operator="equal">
      <formula>"100%"</formula>
    </cfRule>
  </conditionalFormatting>
  <conditionalFormatting sqref="AW235">
    <cfRule type="cellIs" dxfId="5498" priority="3885" stopIfTrue="1" operator="equal">
      <formula>"Régime présumé naturel (100%) / Abfluss vermutlich natürlich"</formula>
    </cfRule>
    <cfRule type="cellIs" dxfId="5497" priority="3886" stopIfTrue="1" operator="equal">
      <formula>"non pertinent / nicht relevant"</formula>
    </cfRule>
    <cfRule type="cellIs" dxfId="5496" priority="3887" stopIfTrue="1" operator="equal">
      <formula>"61-80%"</formula>
    </cfRule>
    <cfRule type="cellIs" dxfId="5495" priority="3888" stopIfTrue="1" operator="equal">
      <formula>"41-60%"</formula>
    </cfRule>
    <cfRule type="cellIs" dxfId="5494" priority="3889" stopIfTrue="1" operator="equal">
      <formula>"21-40%"</formula>
    </cfRule>
    <cfRule type="cellIs" dxfId="5493" priority="3890" stopIfTrue="1" operator="equal">
      <formula>"0-20%"</formula>
    </cfRule>
    <cfRule type="cellIs" dxfId="5492" priority="3891" stopIfTrue="1" operator="equal">
      <formula>"81-100%"</formula>
    </cfRule>
    <cfRule type="cellIs" dxfId="5491" priority="3892" stopIfTrue="1" operator="equal">
      <formula>"100%"</formula>
    </cfRule>
  </conditionalFormatting>
  <conditionalFormatting sqref="AV262:AW262">
    <cfRule type="cellIs" dxfId="5490" priority="3869" stopIfTrue="1" operator="equal">
      <formula>"Régime présumé naturel (100%) / Abfluss vermutlich natürlich"</formula>
    </cfRule>
    <cfRule type="cellIs" dxfId="5489" priority="3870" stopIfTrue="1" operator="equal">
      <formula>"non pertinent / nicht relevant"</formula>
    </cfRule>
    <cfRule type="cellIs" dxfId="5488" priority="3871" stopIfTrue="1" operator="equal">
      <formula>"61-80%"</formula>
    </cfRule>
    <cfRule type="cellIs" dxfId="5487" priority="3872" stopIfTrue="1" operator="equal">
      <formula>"41-60%"</formula>
    </cfRule>
    <cfRule type="cellIs" dxfId="5486" priority="3873" stopIfTrue="1" operator="equal">
      <formula>"21-40%"</formula>
    </cfRule>
    <cfRule type="cellIs" dxfId="5485" priority="3874" stopIfTrue="1" operator="equal">
      <formula>"0-20%"</formula>
    </cfRule>
    <cfRule type="cellIs" dxfId="5484" priority="3875" stopIfTrue="1" operator="equal">
      <formula>"81-100%"</formula>
    </cfRule>
    <cfRule type="cellIs" dxfId="5483" priority="3876" stopIfTrue="1" operator="equal">
      <formula>"100%"</formula>
    </cfRule>
  </conditionalFormatting>
  <conditionalFormatting sqref="AQ271">
    <cfRule type="cellIs" dxfId="5482" priority="3861" stopIfTrue="1" operator="equal">
      <formula>"Régime présumé naturel (100%) / Abfluss vermutlich natürlich"</formula>
    </cfRule>
    <cfRule type="cellIs" dxfId="5481" priority="3862" stopIfTrue="1" operator="equal">
      <formula>"non pertinent / nicht relevant"</formula>
    </cfRule>
    <cfRule type="cellIs" dxfId="5480" priority="3863" stopIfTrue="1" operator="equal">
      <formula>"61-80%"</formula>
    </cfRule>
    <cfRule type="cellIs" dxfId="5479" priority="3864" stopIfTrue="1" operator="equal">
      <formula>"41-60%"</formula>
    </cfRule>
    <cfRule type="cellIs" dxfId="5478" priority="3865" stopIfTrue="1" operator="equal">
      <formula>"21-40%"</formula>
    </cfRule>
    <cfRule type="cellIs" dxfId="5477" priority="3866" stopIfTrue="1" operator="equal">
      <formula>"0-20%"</formula>
    </cfRule>
    <cfRule type="cellIs" dxfId="5476" priority="3867" stopIfTrue="1" operator="equal">
      <formula>"81-100%"</formula>
    </cfRule>
    <cfRule type="cellIs" dxfId="5475" priority="3868" stopIfTrue="1" operator="equal">
      <formula>"100%"</formula>
    </cfRule>
  </conditionalFormatting>
  <conditionalFormatting sqref="AT97:AU97">
    <cfRule type="cellIs" dxfId="5474" priority="3853" stopIfTrue="1" operator="equal">
      <formula>"Régime présumé naturel (100%) / Abfluss vermutlich natürlich"</formula>
    </cfRule>
    <cfRule type="cellIs" dxfId="5473" priority="3854" stopIfTrue="1" operator="equal">
      <formula>"non pertinent / nicht relevant"</formula>
    </cfRule>
    <cfRule type="cellIs" dxfId="5472" priority="3855" stopIfTrue="1" operator="equal">
      <formula>"61-80%"</formula>
    </cfRule>
    <cfRule type="cellIs" dxfId="5471" priority="3856" stopIfTrue="1" operator="equal">
      <formula>"41-60%"</formula>
    </cfRule>
    <cfRule type="cellIs" dxfId="5470" priority="3857" stopIfTrue="1" operator="equal">
      <formula>"21-40%"</formula>
    </cfRule>
    <cfRule type="cellIs" dxfId="5469" priority="3858" stopIfTrue="1" operator="equal">
      <formula>"0-20%"</formula>
    </cfRule>
    <cfRule type="cellIs" dxfId="5468" priority="3859" stopIfTrue="1" operator="equal">
      <formula>"81-100%"</formula>
    </cfRule>
    <cfRule type="cellIs" dxfId="5467" priority="3860" stopIfTrue="1" operator="equal">
      <formula>"100%"</formula>
    </cfRule>
  </conditionalFormatting>
  <conditionalFormatting sqref="AT98:AU98">
    <cfRule type="cellIs" dxfId="5466" priority="3845" stopIfTrue="1" operator="equal">
      <formula>"Régime présumé naturel (100%) / Abfluss vermutlich natürlich"</formula>
    </cfRule>
    <cfRule type="cellIs" dxfId="5465" priority="3846" stopIfTrue="1" operator="equal">
      <formula>"non pertinent / nicht relevant"</formula>
    </cfRule>
    <cfRule type="cellIs" dxfId="5464" priority="3847" stopIfTrue="1" operator="equal">
      <formula>"61-80%"</formula>
    </cfRule>
    <cfRule type="cellIs" dxfId="5463" priority="3848" stopIfTrue="1" operator="equal">
      <formula>"41-60%"</formula>
    </cfRule>
    <cfRule type="cellIs" dxfId="5462" priority="3849" stopIfTrue="1" operator="equal">
      <formula>"21-40%"</formula>
    </cfRule>
    <cfRule type="cellIs" dxfId="5461" priority="3850" stopIfTrue="1" operator="equal">
      <formula>"0-20%"</formula>
    </cfRule>
    <cfRule type="cellIs" dxfId="5460" priority="3851" stopIfTrue="1" operator="equal">
      <formula>"81-100%"</formula>
    </cfRule>
    <cfRule type="cellIs" dxfId="5459" priority="3852" stopIfTrue="1" operator="equal">
      <formula>"100%"</formula>
    </cfRule>
  </conditionalFormatting>
  <conditionalFormatting sqref="AT182:AU182">
    <cfRule type="cellIs" dxfId="5458" priority="3837" stopIfTrue="1" operator="equal">
      <formula>"Régime présumé naturel (100%) / Abfluss vermutlich natürlich"</formula>
    </cfRule>
    <cfRule type="cellIs" dxfId="5457" priority="3838" stopIfTrue="1" operator="equal">
      <formula>"non pertinent / nicht relevant"</formula>
    </cfRule>
    <cfRule type="cellIs" dxfId="5456" priority="3839" stopIfTrue="1" operator="equal">
      <formula>"61-80%"</formula>
    </cfRule>
    <cfRule type="cellIs" dxfId="5455" priority="3840" stopIfTrue="1" operator="equal">
      <formula>"41-60%"</formula>
    </cfRule>
    <cfRule type="cellIs" dxfId="5454" priority="3841" stopIfTrue="1" operator="equal">
      <formula>"21-40%"</formula>
    </cfRule>
    <cfRule type="cellIs" dxfId="5453" priority="3842" stopIfTrue="1" operator="equal">
      <formula>"0-20%"</formula>
    </cfRule>
    <cfRule type="cellIs" dxfId="5452" priority="3843" stopIfTrue="1" operator="equal">
      <formula>"81-100%"</formula>
    </cfRule>
    <cfRule type="cellIs" dxfId="5451" priority="3844" stopIfTrue="1" operator="equal">
      <formula>"100%"</formula>
    </cfRule>
  </conditionalFormatting>
  <conditionalFormatting sqref="AT261:AU261">
    <cfRule type="cellIs" dxfId="5450" priority="3829" stopIfTrue="1" operator="equal">
      <formula>"Régime présumé naturel (100%) / Abfluss vermutlich natürlich"</formula>
    </cfRule>
    <cfRule type="cellIs" dxfId="5449" priority="3830" stopIfTrue="1" operator="equal">
      <formula>"non pertinent / nicht relevant"</formula>
    </cfRule>
    <cfRule type="cellIs" dxfId="5448" priority="3831" stopIfTrue="1" operator="equal">
      <formula>"61-80%"</formula>
    </cfRule>
    <cfRule type="cellIs" dxfId="5447" priority="3832" stopIfTrue="1" operator="equal">
      <formula>"41-60%"</formula>
    </cfRule>
    <cfRule type="cellIs" dxfId="5446" priority="3833" stopIfTrue="1" operator="equal">
      <formula>"21-40%"</formula>
    </cfRule>
    <cfRule type="cellIs" dxfId="5445" priority="3834" stopIfTrue="1" operator="equal">
      <formula>"0-20%"</formula>
    </cfRule>
    <cfRule type="cellIs" dxfId="5444" priority="3835" stopIfTrue="1" operator="equal">
      <formula>"81-100%"</formula>
    </cfRule>
    <cfRule type="cellIs" dxfId="5443" priority="3836" stopIfTrue="1" operator="equal">
      <formula>"100%"</formula>
    </cfRule>
  </conditionalFormatting>
  <conditionalFormatting sqref="AV219:AW219">
    <cfRule type="cellIs" dxfId="5442" priority="3789" stopIfTrue="1" operator="equal">
      <formula>"Régime présumé naturel (100%) / Abfluss vermutlich natürlich"</formula>
    </cfRule>
    <cfRule type="cellIs" dxfId="5441" priority="3790" stopIfTrue="1" operator="equal">
      <formula>"non pertinent / nicht relevant"</formula>
    </cfRule>
    <cfRule type="cellIs" dxfId="5440" priority="3791" stopIfTrue="1" operator="equal">
      <formula>"61-80%"</formula>
    </cfRule>
    <cfRule type="cellIs" dxfId="5439" priority="3792" stopIfTrue="1" operator="equal">
      <formula>"41-60%"</formula>
    </cfRule>
    <cfRule type="cellIs" dxfId="5438" priority="3793" stopIfTrue="1" operator="equal">
      <formula>"21-40%"</formula>
    </cfRule>
    <cfRule type="cellIs" dxfId="5437" priority="3794" stopIfTrue="1" operator="equal">
      <formula>"0-20%"</formula>
    </cfRule>
    <cfRule type="cellIs" dxfId="5436" priority="3795" stopIfTrue="1" operator="equal">
      <formula>"81-100%"</formula>
    </cfRule>
    <cfRule type="cellIs" dxfId="5435" priority="3796" stopIfTrue="1" operator="equal">
      <formula>"100%"</formula>
    </cfRule>
  </conditionalFormatting>
  <conditionalFormatting sqref="AT208:AU208">
    <cfRule type="cellIs" dxfId="5434" priority="3821" stopIfTrue="1" operator="equal">
      <formula>"Régime présumé naturel (100%) / Abfluss vermutlich natürlich"</formula>
    </cfRule>
    <cfRule type="cellIs" dxfId="5433" priority="3822" stopIfTrue="1" operator="equal">
      <formula>"non pertinent / nicht relevant"</formula>
    </cfRule>
    <cfRule type="cellIs" dxfId="5432" priority="3823" stopIfTrue="1" operator="equal">
      <formula>"61-80%"</formula>
    </cfRule>
    <cfRule type="cellIs" dxfId="5431" priority="3824" stopIfTrue="1" operator="equal">
      <formula>"41-60%"</formula>
    </cfRule>
    <cfRule type="cellIs" dxfId="5430" priority="3825" stopIfTrue="1" operator="equal">
      <formula>"21-40%"</formula>
    </cfRule>
    <cfRule type="cellIs" dxfId="5429" priority="3826" stopIfTrue="1" operator="equal">
      <formula>"0-20%"</formula>
    </cfRule>
    <cfRule type="cellIs" dxfId="5428" priority="3827" stopIfTrue="1" operator="equal">
      <formula>"81-100%"</formula>
    </cfRule>
    <cfRule type="cellIs" dxfId="5427" priority="3828" stopIfTrue="1" operator="equal">
      <formula>"100%"</formula>
    </cfRule>
  </conditionalFormatting>
  <conditionalFormatting sqref="AV153:AW153">
    <cfRule type="cellIs" dxfId="5426" priority="3813" stopIfTrue="1" operator="equal">
      <formula>"Régime présumé naturel (100%) / Abfluss vermutlich natürlich"</formula>
    </cfRule>
    <cfRule type="cellIs" dxfId="5425" priority="3814" stopIfTrue="1" operator="equal">
      <formula>"non pertinent / nicht relevant"</formula>
    </cfRule>
    <cfRule type="cellIs" dxfId="5424" priority="3815" stopIfTrue="1" operator="equal">
      <formula>"61-80%"</formula>
    </cfRule>
    <cfRule type="cellIs" dxfId="5423" priority="3816" stopIfTrue="1" operator="equal">
      <formula>"41-60%"</formula>
    </cfRule>
    <cfRule type="cellIs" dxfId="5422" priority="3817" stopIfTrue="1" operator="equal">
      <formula>"21-40%"</formula>
    </cfRule>
    <cfRule type="cellIs" dxfId="5421" priority="3818" stopIfTrue="1" operator="equal">
      <formula>"0-20%"</formula>
    </cfRule>
    <cfRule type="cellIs" dxfId="5420" priority="3819" stopIfTrue="1" operator="equal">
      <formula>"81-100%"</formula>
    </cfRule>
    <cfRule type="cellIs" dxfId="5419" priority="3820" stopIfTrue="1" operator="equal">
      <formula>"100%"</formula>
    </cfRule>
  </conditionalFormatting>
  <conditionalFormatting sqref="AV179:AW179">
    <cfRule type="cellIs" dxfId="5418" priority="3805" stopIfTrue="1" operator="equal">
      <formula>"Régime présumé naturel (100%) / Abfluss vermutlich natürlich"</formula>
    </cfRule>
    <cfRule type="cellIs" dxfId="5417" priority="3806" stopIfTrue="1" operator="equal">
      <formula>"non pertinent / nicht relevant"</formula>
    </cfRule>
    <cfRule type="cellIs" dxfId="5416" priority="3807" stopIfTrue="1" operator="equal">
      <formula>"61-80%"</formula>
    </cfRule>
    <cfRule type="cellIs" dxfId="5415" priority="3808" stopIfTrue="1" operator="equal">
      <formula>"41-60%"</formula>
    </cfRule>
    <cfRule type="cellIs" dxfId="5414" priority="3809" stopIfTrue="1" operator="equal">
      <formula>"21-40%"</formula>
    </cfRule>
    <cfRule type="cellIs" dxfId="5413" priority="3810" stopIfTrue="1" operator="equal">
      <formula>"0-20%"</formula>
    </cfRule>
    <cfRule type="cellIs" dxfId="5412" priority="3811" stopIfTrue="1" operator="equal">
      <formula>"81-100%"</formula>
    </cfRule>
    <cfRule type="cellIs" dxfId="5411" priority="3812" stopIfTrue="1" operator="equal">
      <formula>"100%"</formula>
    </cfRule>
  </conditionalFormatting>
  <conditionalFormatting sqref="AV208:AW208">
    <cfRule type="cellIs" dxfId="5410" priority="3797" stopIfTrue="1" operator="equal">
      <formula>"Régime présumé naturel (100%) / Abfluss vermutlich natürlich"</formula>
    </cfRule>
    <cfRule type="cellIs" dxfId="5409" priority="3798" stopIfTrue="1" operator="equal">
      <formula>"non pertinent / nicht relevant"</formula>
    </cfRule>
    <cfRule type="cellIs" dxfId="5408" priority="3799" stopIfTrue="1" operator="equal">
      <formula>"61-80%"</formula>
    </cfRule>
    <cfRule type="cellIs" dxfId="5407" priority="3800" stopIfTrue="1" operator="equal">
      <formula>"41-60%"</formula>
    </cfRule>
    <cfRule type="cellIs" dxfId="5406" priority="3801" stopIfTrue="1" operator="equal">
      <formula>"21-40%"</formula>
    </cfRule>
    <cfRule type="cellIs" dxfId="5405" priority="3802" stopIfTrue="1" operator="equal">
      <formula>"0-20%"</formula>
    </cfRule>
    <cfRule type="cellIs" dxfId="5404" priority="3803" stopIfTrue="1" operator="equal">
      <formula>"81-100%"</formula>
    </cfRule>
    <cfRule type="cellIs" dxfId="5403" priority="3804" stopIfTrue="1" operator="equal">
      <formula>"100%"</formula>
    </cfRule>
  </conditionalFormatting>
  <conditionalFormatting sqref="AR4:AR5 AR22 AR24:AR27 AR29:AR30 AR32:AR33 AR35:AR37 AR71:AR72 AR74 AR77:AR80 AR86:AR91 AR93:AR96 AR112:AR113 AR117:AR119 AR127:AR144 AR149 AR154:AR158 AR178 AR180:AR181 AR213:AR214 AR231 AR241:AR247 AR265:AR266 AR268:AR270 AR272:AR275 AR174:AR176 AR216:AR218 AR171:AR172 AR49:AR64 AR227:AR229 AR249:AR260 AR13 AR99:AR110 AR183:AR207 AR262:AR263 AR220:AR224 AR209:AR211 AR15:AR20 AR7:AR10 AR39:AR44 AR46 AR66:AR68 AR151:AR152 AR160:AR169 AR233">
    <cfRule type="cellIs" dxfId="5402" priority="3781" stopIfTrue="1" operator="equal">
      <formula>"Régime présumé naturel (100%) / Abfluss vermutlich natürlich"</formula>
    </cfRule>
    <cfRule type="cellIs" dxfId="5401" priority="3782" stopIfTrue="1" operator="equal">
      <formula>"non pertinent / nicht relevant"</formula>
    </cfRule>
    <cfRule type="cellIs" dxfId="5400" priority="3783" stopIfTrue="1" operator="equal">
      <formula>"61-80%"</formula>
    </cfRule>
    <cfRule type="cellIs" dxfId="5399" priority="3784" stopIfTrue="1" operator="equal">
      <formula>"41-60%"</formula>
    </cfRule>
    <cfRule type="cellIs" dxfId="5398" priority="3785" stopIfTrue="1" operator="equal">
      <formula>"21-40%"</formula>
    </cfRule>
    <cfRule type="cellIs" dxfId="5397" priority="3786" stopIfTrue="1" operator="equal">
      <formula>"0-20%"</formula>
    </cfRule>
    <cfRule type="cellIs" dxfId="5396" priority="3787" stopIfTrue="1" operator="equal">
      <formula>"81-100%"</formula>
    </cfRule>
    <cfRule type="cellIs" dxfId="5395" priority="3788" stopIfTrue="1" operator="equal">
      <formula>"100%"</formula>
    </cfRule>
  </conditionalFormatting>
  <conditionalFormatting sqref="AR125:AR126">
    <cfRule type="cellIs" dxfId="5394" priority="3773" stopIfTrue="1" operator="equal">
      <formula>"Régime présumé naturel (100%) / Abfluss vermutlich natürlich"</formula>
    </cfRule>
    <cfRule type="cellIs" dxfId="5393" priority="3774" stopIfTrue="1" operator="equal">
      <formula>"non pertinent / nicht relevant"</formula>
    </cfRule>
    <cfRule type="cellIs" dxfId="5392" priority="3775" stopIfTrue="1" operator="equal">
      <formula>"61-80%"</formula>
    </cfRule>
    <cfRule type="cellIs" dxfId="5391" priority="3776" stopIfTrue="1" operator="equal">
      <formula>"41-60%"</formula>
    </cfRule>
    <cfRule type="cellIs" dxfId="5390" priority="3777" stopIfTrue="1" operator="equal">
      <formula>"21-40%"</formula>
    </cfRule>
    <cfRule type="cellIs" dxfId="5389" priority="3778" stopIfTrue="1" operator="equal">
      <formula>"0-20%"</formula>
    </cfRule>
    <cfRule type="cellIs" dxfId="5388" priority="3779" stopIfTrue="1" operator="equal">
      <formula>"81-100%"</formula>
    </cfRule>
    <cfRule type="cellIs" dxfId="5387" priority="3780" stopIfTrue="1" operator="equal">
      <formula>"100%"</formula>
    </cfRule>
  </conditionalFormatting>
  <conditionalFormatting sqref="AR225">
    <cfRule type="cellIs" dxfId="5386" priority="3765" stopIfTrue="1" operator="equal">
      <formula>"Régime présumé naturel (100%) / Abfluss vermutlich natürlich"</formula>
    </cfRule>
    <cfRule type="cellIs" dxfId="5385" priority="3766" stopIfTrue="1" operator="equal">
      <formula>"non pertinent / nicht relevant"</formula>
    </cfRule>
    <cfRule type="cellIs" dxfId="5384" priority="3767" stopIfTrue="1" operator="equal">
      <formula>"61-80%"</formula>
    </cfRule>
    <cfRule type="cellIs" dxfId="5383" priority="3768" stopIfTrue="1" operator="equal">
      <formula>"41-60%"</formula>
    </cfRule>
    <cfRule type="cellIs" dxfId="5382" priority="3769" stopIfTrue="1" operator="equal">
      <formula>"21-40%"</formula>
    </cfRule>
    <cfRule type="cellIs" dxfId="5381" priority="3770" stopIfTrue="1" operator="equal">
      <formula>"0-20%"</formula>
    </cfRule>
    <cfRule type="cellIs" dxfId="5380" priority="3771" stopIfTrue="1" operator="equal">
      <formula>"81-100%"</formula>
    </cfRule>
    <cfRule type="cellIs" dxfId="5379" priority="3772" stopIfTrue="1" operator="equal">
      <formula>"100%"</formula>
    </cfRule>
  </conditionalFormatting>
  <conditionalFormatting sqref="AT231">
    <cfRule type="cellIs" dxfId="5378" priority="3645" stopIfTrue="1" operator="equal">
      <formula>"Régime présumé naturel (100%) / Abfluss vermutlich natürlich"</formula>
    </cfRule>
    <cfRule type="cellIs" dxfId="5377" priority="3646" stopIfTrue="1" operator="equal">
      <formula>"non pertinent / nicht relevant"</formula>
    </cfRule>
    <cfRule type="cellIs" dxfId="5376" priority="3647" stopIfTrue="1" operator="equal">
      <formula>"61-80%"</formula>
    </cfRule>
    <cfRule type="cellIs" dxfId="5375" priority="3648" stopIfTrue="1" operator="equal">
      <formula>"41-60%"</formula>
    </cfRule>
    <cfRule type="cellIs" dxfId="5374" priority="3649" stopIfTrue="1" operator="equal">
      <formula>"21-40%"</formula>
    </cfRule>
    <cfRule type="cellIs" dxfId="5373" priority="3650" stopIfTrue="1" operator="equal">
      <formula>"0-20%"</formula>
    </cfRule>
    <cfRule type="cellIs" dxfId="5372" priority="3651" stopIfTrue="1" operator="equal">
      <formula>"81-100%"</formula>
    </cfRule>
    <cfRule type="cellIs" dxfId="5371" priority="3652" stopIfTrue="1" operator="equal">
      <formula>"100%"</formula>
    </cfRule>
  </conditionalFormatting>
  <conditionalFormatting sqref="AU41">
    <cfRule type="cellIs" dxfId="5370" priority="3757" stopIfTrue="1" operator="equal">
      <formula>"Régime présumé naturel (100%) / Abfluss vermutlich natürlich"</formula>
    </cfRule>
    <cfRule type="cellIs" dxfId="5369" priority="3758" stopIfTrue="1" operator="equal">
      <formula>"non pertinent / nicht relevant"</formula>
    </cfRule>
    <cfRule type="cellIs" dxfId="5368" priority="3759" stopIfTrue="1" operator="equal">
      <formula>"61-80%"</formula>
    </cfRule>
    <cfRule type="cellIs" dxfId="5367" priority="3760" stopIfTrue="1" operator="equal">
      <formula>"41-60%"</formula>
    </cfRule>
    <cfRule type="cellIs" dxfId="5366" priority="3761" stopIfTrue="1" operator="equal">
      <formula>"21-40%"</formula>
    </cfRule>
    <cfRule type="cellIs" dxfId="5365" priority="3762" stopIfTrue="1" operator="equal">
      <formula>"0-20%"</formula>
    </cfRule>
    <cfRule type="cellIs" dxfId="5364" priority="3763" stopIfTrue="1" operator="equal">
      <formula>"81-100%"</formula>
    </cfRule>
    <cfRule type="cellIs" dxfId="5363" priority="3764" stopIfTrue="1" operator="equal">
      <formula>"100%"</formula>
    </cfRule>
  </conditionalFormatting>
  <conditionalFormatting sqref="AU46">
    <cfRule type="cellIs" dxfId="5362" priority="3749" stopIfTrue="1" operator="equal">
      <formula>"Régime présumé naturel (100%) / Abfluss vermutlich natürlich"</formula>
    </cfRule>
    <cfRule type="cellIs" dxfId="5361" priority="3750" stopIfTrue="1" operator="equal">
      <formula>"non pertinent / nicht relevant"</formula>
    </cfRule>
    <cfRule type="cellIs" dxfId="5360" priority="3751" stopIfTrue="1" operator="equal">
      <formula>"61-80%"</formula>
    </cfRule>
    <cfRule type="cellIs" dxfId="5359" priority="3752" stopIfTrue="1" operator="equal">
      <formula>"41-60%"</formula>
    </cfRule>
    <cfRule type="cellIs" dxfId="5358" priority="3753" stopIfTrue="1" operator="equal">
      <formula>"21-40%"</formula>
    </cfRule>
    <cfRule type="cellIs" dxfId="5357" priority="3754" stopIfTrue="1" operator="equal">
      <formula>"0-20%"</formula>
    </cfRule>
    <cfRule type="cellIs" dxfId="5356" priority="3755" stopIfTrue="1" operator="equal">
      <formula>"81-100%"</formula>
    </cfRule>
    <cfRule type="cellIs" dxfId="5355" priority="3756" stopIfTrue="1" operator="equal">
      <formula>"100%"</formula>
    </cfRule>
  </conditionalFormatting>
  <conditionalFormatting sqref="AU47">
    <cfRule type="cellIs" dxfId="5354" priority="3741" stopIfTrue="1" operator="equal">
      <formula>"Régime présumé naturel (100%) / Abfluss vermutlich natürlich"</formula>
    </cfRule>
    <cfRule type="cellIs" dxfId="5353" priority="3742" stopIfTrue="1" operator="equal">
      <formula>"non pertinent / nicht relevant"</formula>
    </cfRule>
    <cfRule type="cellIs" dxfId="5352" priority="3743" stopIfTrue="1" operator="equal">
      <formula>"61-80%"</formula>
    </cfRule>
    <cfRule type="cellIs" dxfId="5351" priority="3744" stopIfTrue="1" operator="equal">
      <formula>"41-60%"</formula>
    </cfRule>
    <cfRule type="cellIs" dxfId="5350" priority="3745" stopIfTrue="1" operator="equal">
      <formula>"21-40%"</formula>
    </cfRule>
    <cfRule type="cellIs" dxfId="5349" priority="3746" stopIfTrue="1" operator="equal">
      <formula>"0-20%"</formula>
    </cfRule>
    <cfRule type="cellIs" dxfId="5348" priority="3747" stopIfTrue="1" operator="equal">
      <formula>"81-100%"</formula>
    </cfRule>
    <cfRule type="cellIs" dxfId="5347" priority="3748" stopIfTrue="1" operator="equal">
      <formula>"100%"</formula>
    </cfRule>
  </conditionalFormatting>
  <conditionalFormatting sqref="AU48">
    <cfRule type="cellIs" dxfId="5346" priority="3733" stopIfTrue="1" operator="equal">
      <formula>"Régime présumé naturel (100%) / Abfluss vermutlich natürlich"</formula>
    </cfRule>
    <cfRule type="cellIs" dxfId="5345" priority="3734" stopIfTrue="1" operator="equal">
      <formula>"non pertinent / nicht relevant"</formula>
    </cfRule>
    <cfRule type="cellIs" dxfId="5344" priority="3735" stopIfTrue="1" operator="equal">
      <formula>"61-80%"</formula>
    </cfRule>
    <cfRule type="cellIs" dxfId="5343" priority="3736" stopIfTrue="1" operator="equal">
      <formula>"41-60%"</formula>
    </cfRule>
    <cfRule type="cellIs" dxfId="5342" priority="3737" stopIfTrue="1" operator="equal">
      <formula>"21-40%"</formula>
    </cfRule>
    <cfRule type="cellIs" dxfId="5341" priority="3738" stopIfTrue="1" operator="equal">
      <formula>"0-20%"</formula>
    </cfRule>
    <cfRule type="cellIs" dxfId="5340" priority="3739" stopIfTrue="1" operator="equal">
      <formula>"81-100%"</formula>
    </cfRule>
    <cfRule type="cellIs" dxfId="5339" priority="3740" stopIfTrue="1" operator="equal">
      <formula>"100%"</formula>
    </cfRule>
  </conditionalFormatting>
  <conditionalFormatting sqref="AU49">
    <cfRule type="cellIs" dxfId="5338" priority="3725" stopIfTrue="1" operator="equal">
      <formula>"Régime présumé naturel (100%) / Abfluss vermutlich natürlich"</formula>
    </cfRule>
    <cfRule type="cellIs" dxfId="5337" priority="3726" stopIfTrue="1" operator="equal">
      <formula>"non pertinent / nicht relevant"</formula>
    </cfRule>
    <cfRule type="cellIs" dxfId="5336" priority="3727" stopIfTrue="1" operator="equal">
      <formula>"61-80%"</formula>
    </cfRule>
    <cfRule type="cellIs" dxfId="5335" priority="3728" stopIfTrue="1" operator="equal">
      <formula>"41-60%"</formula>
    </cfRule>
    <cfRule type="cellIs" dxfId="5334" priority="3729" stopIfTrue="1" operator="equal">
      <formula>"21-40%"</formula>
    </cfRule>
    <cfRule type="cellIs" dxfId="5333" priority="3730" stopIfTrue="1" operator="equal">
      <formula>"0-20%"</formula>
    </cfRule>
    <cfRule type="cellIs" dxfId="5332" priority="3731" stopIfTrue="1" operator="equal">
      <formula>"81-100%"</formula>
    </cfRule>
    <cfRule type="cellIs" dxfId="5331" priority="3732" stopIfTrue="1" operator="equal">
      <formula>"100%"</formula>
    </cfRule>
  </conditionalFormatting>
  <conditionalFormatting sqref="AU50">
    <cfRule type="cellIs" dxfId="5330" priority="3717" stopIfTrue="1" operator="equal">
      <formula>"Régime présumé naturel (100%) / Abfluss vermutlich natürlich"</formula>
    </cfRule>
    <cfRule type="cellIs" dxfId="5329" priority="3718" stopIfTrue="1" operator="equal">
      <formula>"non pertinent / nicht relevant"</formula>
    </cfRule>
    <cfRule type="cellIs" dxfId="5328" priority="3719" stopIfTrue="1" operator="equal">
      <formula>"61-80%"</formula>
    </cfRule>
    <cfRule type="cellIs" dxfId="5327" priority="3720" stopIfTrue="1" operator="equal">
      <formula>"41-60%"</formula>
    </cfRule>
    <cfRule type="cellIs" dxfId="5326" priority="3721" stopIfTrue="1" operator="equal">
      <formula>"21-40%"</formula>
    </cfRule>
    <cfRule type="cellIs" dxfId="5325" priority="3722" stopIfTrue="1" operator="equal">
      <formula>"0-20%"</formula>
    </cfRule>
    <cfRule type="cellIs" dxfId="5324" priority="3723" stopIfTrue="1" operator="equal">
      <formula>"81-100%"</formula>
    </cfRule>
    <cfRule type="cellIs" dxfId="5323" priority="3724" stopIfTrue="1" operator="equal">
      <formula>"100%"</formula>
    </cfRule>
  </conditionalFormatting>
  <conditionalFormatting sqref="AU52">
    <cfRule type="cellIs" dxfId="5322" priority="3709" stopIfTrue="1" operator="equal">
      <formula>"Régime présumé naturel (100%) / Abfluss vermutlich natürlich"</formula>
    </cfRule>
    <cfRule type="cellIs" dxfId="5321" priority="3710" stopIfTrue="1" operator="equal">
      <formula>"non pertinent / nicht relevant"</formula>
    </cfRule>
    <cfRule type="cellIs" dxfId="5320" priority="3711" stopIfTrue="1" operator="equal">
      <formula>"61-80%"</formula>
    </cfRule>
    <cfRule type="cellIs" dxfId="5319" priority="3712" stopIfTrue="1" operator="equal">
      <formula>"41-60%"</formula>
    </cfRule>
    <cfRule type="cellIs" dxfId="5318" priority="3713" stopIfTrue="1" operator="equal">
      <formula>"21-40%"</formula>
    </cfRule>
    <cfRule type="cellIs" dxfId="5317" priority="3714" stopIfTrue="1" operator="equal">
      <formula>"0-20%"</formula>
    </cfRule>
    <cfRule type="cellIs" dxfId="5316" priority="3715" stopIfTrue="1" operator="equal">
      <formula>"81-100%"</formula>
    </cfRule>
    <cfRule type="cellIs" dxfId="5315" priority="3716" stopIfTrue="1" operator="equal">
      <formula>"100%"</formula>
    </cfRule>
  </conditionalFormatting>
  <conditionalFormatting sqref="AU158">
    <cfRule type="cellIs" dxfId="5314" priority="3701" stopIfTrue="1" operator="equal">
      <formula>"Régime présumé naturel (100%) / Abfluss vermutlich natürlich"</formula>
    </cfRule>
    <cfRule type="cellIs" dxfId="5313" priority="3702" stopIfTrue="1" operator="equal">
      <formula>"non pertinent / nicht relevant"</formula>
    </cfRule>
    <cfRule type="cellIs" dxfId="5312" priority="3703" stopIfTrue="1" operator="equal">
      <formula>"61-80%"</formula>
    </cfRule>
    <cfRule type="cellIs" dxfId="5311" priority="3704" stopIfTrue="1" operator="equal">
      <formula>"41-60%"</formula>
    </cfRule>
    <cfRule type="cellIs" dxfId="5310" priority="3705" stopIfTrue="1" operator="equal">
      <formula>"21-40%"</formula>
    </cfRule>
    <cfRule type="cellIs" dxfId="5309" priority="3706" stopIfTrue="1" operator="equal">
      <formula>"0-20%"</formula>
    </cfRule>
    <cfRule type="cellIs" dxfId="5308" priority="3707" stopIfTrue="1" operator="equal">
      <formula>"81-100%"</formula>
    </cfRule>
    <cfRule type="cellIs" dxfId="5307" priority="3708" stopIfTrue="1" operator="equal">
      <formula>"100%"</formula>
    </cfRule>
  </conditionalFormatting>
  <conditionalFormatting sqref="AU160">
    <cfRule type="cellIs" dxfId="5306" priority="3693" stopIfTrue="1" operator="equal">
      <formula>"Régime présumé naturel (100%) / Abfluss vermutlich natürlich"</formula>
    </cfRule>
    <cfRule type="cellIs" dxfId="5305" priority="3694" stopIfTrue="1" operator="equal">
      <formula>"non pertinent / nicht relevant"</formula>
    </cfRule>
    <cfRule type="cellIs" dxfId="5304" priority="3695" stopIfTrue="1" operator="equal">
      <formula>"61-80%"</formula>
    </cfRule>
    <cfRule type="cellIs" dxfId="5303" priority="3696" stopIfTrue="1" operator="equal">
      <formula>"41-60%"</formula>
    </cfRule>
    <cfRule type="cellIs" dxfId="5302" priority="3697" stopIfTrue="1" operator="equal">
      <formula>"21-40%"</formula>
    </cfRule>
    <cfRule type="cellIs" dxfId="5301" priority="3698" stopIfTrue="1" operator="equal">
      <formula>"0-20%"</formula>
    </cfRule>
    <cfRule type="cellIs" dxfId="5300" priority="3699" stopIfTrue="1" operator="equal">
      <formula>"81-100%"</formula>
    </cfRule>
    <cfRule type="cellIs" dxfId="5299" priority="3700" stopIfTrue="1" operator="equal">
      <formula>"100%"</formula>
    </cfRule>
  </conditionalFormatting>
  <conditionalFormatting sqref="AU167">
    <cfRule type="cellIs" dxfId="5298" priority="3685" stopIfTrue="1" operator="equal">
      <formula>"Régime présumé naturel (100%) / Abfluss vermutlich natürlich"</formula>
    </cfRule>
    <cfRule type="cellIs" dxfId="5297" priority="3686" stopIfTrue="1" operator="equal">
      <formula>"non pertinent / nicht relevant"</formula>
    </cfRule>
    <cfRule type="cellIs" dxfId="5296" priority="3687" stopIfTrue="1" operator="equal">
      <formula>"61-80%"</formula>
    </cfRule>
    <cfRule type="cellIs" dxfId="5295" priority="3688" stopIfTrue="1" operator="equal">
      <formula>"41-60%"</formula>
    </cfRule>
    <cfRule type="cellIs" dxfId="5294" priority="3689" stopIfTrue="1" operator="equal">
      <formula>"21-40%"</formula>
    </cfRule>
    <cfRule type="cellIs" dxfId="5293" priority="3690" stopIfTrue="1" operator="equal">
      <formula>"0-20%"</formula>
    </cfRule>
    <cfRule type="cellIs" dxfId="5292" priority="3691" stopIfTrue="1" operator="equal">
      <formula>"81-100%"</formula>
    </cfRule>
    <cfRule type="cellIs" dxfId="5291" priority="3692" stopIfTrue="1" operator="equal">
      <formula>"100%"</formula>
    </cfRule>
  </conditionalFormatting>
  <conditionalFormatting sqref="AU187">
    <cfRule type="cellIs" dxfId="5290" priority="3677" stopIfTrue="1" operator="equal">
      <formula>"Régime présumé naturel (100%) / Abfluss vermutlich natürlich"</formula>
    </cfRule>
    <cfRule type="cellIs" dxfId="5289" priority="3678" stopIfTrue="1" operator="equal">
      <formula>"non pertinent / nicht relevant"</formula>
    </cfRule>
    <cfRule type="cellIs" dxfId="5288" priority="3679" stopIfTrue="1" operator="equal">
      <formula>"61-80%"</formula>
    </cfRule>
    <cfRule type="cellIs" dxfId="5287" priority="3680" stopIfTrue="1" operator="equal">
      <formula>"41-60%"</formula>
    </cfRule>
    <cfRule type="cellIs" dxfId="5286" priority="3681" stopIfTrue="1" operator="equal">
      <formula>"21-40%"</formula>
    </cfRule>
    <cfRule type="cellIs" dxfId="5285" priority="3682" stopIfTrue="1" operator="equal">
      <formula>"0-20%"</formula>
    </cfRule>
    <cfRule type="cellIs" dxfId="5284" priority="3683" stopIfTrue="1" operator="equal">
      <formula>"81-100%"</formula>
    </cfRule>
    <cfRule type="cellIs" dxfId="5283" priority="3684" stopIfTrue="1" operator="equal">
      <formula>"100%"</formula>
    </cfRule>
  </conditionalFormatting>
  <conditionalFormatting sqref="AU188">
    <cfRule type="cellIs" dxfId="5282" priority="3669" stopIfTrue="1" operator="equal">
      <formula>"Régime présumé naturel (100%) / Abfluss vermutlich natürlich"</formula>
    </cfRule>
    <cfRule type="cellIs" dxfId="5281" priority="3670" stopIfTrue="1" operator="equal">
      <formula>"non pertinent / nicht relevant"</formula>
    </cfRule>
    <cfRule type="cellIs" dxfId="5280" priority="3671" stopIfTrue="1" operator="equal">
      <formula>"61-80%"</formula>
    </cfRule>
    <cfRule type="cellIs" dxfId="5279" priority="3672" stopIfTrue="1" operator="equal">
      <formula>"41-60%"</formula>
    </cfRule>
    <cfRule type="cellIs" dxfId="5278" priority="3673" stopIfTrue="1" operator="equal">
      <formula>"21-40%"</formula>
    </cfRule>
    <cfRule type="cellIs" dxfId="5277" priority="3674" stopIfTrue="1" operator="equal">
      <formula>"0-20%"</formula>
    </cfRule>
    <cfRule type="cellIs" dxfId="5276" priority="3675" stopIfTrue="1" operator="equal">
      <formula>"81-100%"</formula>
    </cfRule>
    <cfRule type="cellIs" dxfId="5275" priority="3676" stopIfTrue="1" operator="equal">
      <formula>"100%"</formula>
    </cfRule>
  </conditionalFormatting>
  <conditionalFormatting sqref="AU189">
    <cfRule type="cellIs" dxfId="5274" priority="3661" stopIfTrue="1" operator="equal">
      <formula>"Régime présumé naturel (100%) / Abfluss vermutlich natürlich"</formula>
    </cfRule>
    <cfRule type="cellIs" dxfId="5273" priority="3662" stopIfTrue="1" operator="equal">
      <formula>"non pertinent / nicht relevant"</formula>
    </cfRule>
    <cfRule type="cellIs" dxfId="5272" priority="3663" stopIfTrue="1" operator="equal">
      <formula>"61-80%"</formula>
    </cfRule>
    <cfRule type="cellIs" dxfId="5271" priority="3664" stopIfTrue="1" operator="equal">
      <formula>"41-60%"</formula>
    </cfRule>
    <cfRule type="cellIs" dxfId="5270" priority="3665" stopIfTrue="1" operator="equal">
      <formula>"21-40%"</formula>
    </cfRule>
    <cfRule type="cellIs" dxfId="5269" priority="3666" stopIfTrue="1" operator="equal">
      <formula>"0-20%"</formula>
    </cfRule>
    <cfRule type="cellIs" dxfId="5268" priority="3667" stopIfTrue="1" operator="equal">
      <formula>"81-100%"</formula>
    </cfRule>
    <cfRule type="cellIs" dxfId="5267" priority="3668" stopIfTrue="1" operator="equal">
      <formula>"100%"</formula>
    </cfRule>
  </conditionalFormatting>
  <conditionalFormatting sqref="AT119:AU120">
    <cfRule type="cellIs" dxfId="5266" priority="3653" stopIfTrue="1" operator="equal">
      <formula>"Régime présumé naturel (100%) / Abfluss vermutlich natürlich"</formula>
    </cfRule>
    <cfRule type="cellIs" dxfId="5265" priority="3654" stopIfTrue="1" operator="equal">
      <formula>"non pertinent / nicht relevant"</formula>
    </cfRule>
    <cfRule type="cellIs" dxfId="5264" priority="3655" stopIfTrue="1" operator="equal">
      <formula>"61-80%"</formula>
    </cfRule>
    <cfRule type="cellIs" dxfId="5263" priority="3656" stopIfTrue="1" operator="equal">
      <formula>"41-60%"</formula>
    </cfRule>
    <cfRule type="cellIs" dxfId="5262" priority="3657" stopIfTrue="1" operator="equal">
      <formula>"21-40%"</formula>
    </cfRule>
    <cfRule type="cellIs" dxfId="5261" priority="3658" stopIfTrue="1" operator="equal">
      <formula>"0-20%"</formula>
    </cfRule>
    <cfRule type="cellIs" dxfId="5260" priority="3659" stopIfTrue="1" operator="equal">
      <formula>"81-100%"</formula>
    </cfRule>
    <cfRule type="cellIs" dxfId="5259" priority="3660" stopIfTrue="1" operator="equal">
      <formula>"100%"</formula>
    </cfRule>
  </conditionalFormatting>
  <conditionalFormatting sqref="AT14:AU14">
    <cfRule type="cellIs" dxfId="5258" priority="3637" stopIfTrue="1" operator="equal">
      <formula>"Régime présumé naturel (100%) / Abfluss vermutlich natürlich"</formula>
    </cfRule>
    <cfRule type="cellIs" dxfId="5257" priority="3638" stopIfTrue="1" operator="equal">
      <formula>"non pertinent / nicht relevant"</formula>
    </cfRule>
    <cfRule type="cellIs" dxfId="5256" priority="3639" stopIfTrue="1" operator="equal">
      <formula>"61-80%"</formula>
    </cfRule>
    <cfRule type="cellIs" dxfId="5255" priority="3640" stopIfTrue="1" operator="equal">
      <formula>"41-60%"</formula>
    </cfRule>
    <cfRule type="cellIs" dxfId="5254" priority="3641" stopIfTrue="1" operator="equal">
      <formula>"21-40%"</formula>
    </cfRule>
    <cfRule type="cellIs" dxfId="5253" priority="3642" stopIfTrue="1" operator="equal">
      <formula>"0-20%"</formula>
    </cfRule>
    <cfRule type="cellIs" dxfId="5252" priority="3643" stopIfTrue="1" operator="equal">
      <formula>"81-100%"</formula>
    </cfRule>
    <cfRule type="cellIs" dxfId="5251" priority="3644" stopIfTrue="1" operator="equal">
      <formula>"100%"</formula>
    </cfRule>
  </conditionalFormatting>
  <conditionalFormatting sqref="AT248">
    <cfRule type="cellIs" dxfId="5250" priority="3629" stopIfTrue="1" operator="equal">
      <formula>"Régime présumé naturel (100%) / Abfluss vermutlich natürlich"</formula>
    </cfRule>
    <cfRule type="cellIs" dxfId="5249" priority="3630" stopIfTrue="1" operator="equal">
      <formula>"non pertinent / nicht relevant"</formula>
    </cfRule>
    <cfRule type="cellIs" dxfId="5248" priority="3631" stopIfTrue="1" operator="equal">
      <formula>"61-80%"</formula>
    </cfRule>
    <cfRule type="cellIs" dxfId="5247" priority="3632" stopIfTrue="1" operator="equal">
      <formula>"41-60%"</formula>
    </cfRule>
    <cfRule type="cellIs" dxfId="5246" priority="3633" stopIfTrue="1" operator="equal">
      <formula>"21-40%"</formula>
    </cfRule>
    <cfRule type="cellIs" dxfId="5245" priority="3634" stopIfTrue="1" operator="equal">
      <formula>"0-20%"</formula>
    </cfRule>
    <cfRule type="cellIs" dxfId="5244" priority="3635" stopIfTrue="1" operator="equal">
      <formula>"81-100%"</formula>
    </cfRule>
    <cfRule type="cellIs" dxfId="5243" priority="3636" stopIfTrue="1" operator="equal">
      <formula>"100%"</formula>
    </cfRule>
  </conditionalFormatting>
  <conditionalFormatting sqref="AU248">
    <cfRule type="cellIs" dxfId="5242" priority="3621" stopIfTrue="1" operator="equal">
      <formula>"Régime présumé naturel (100%) / Abfluss vermutlich natürlich"</formula>
    </cfRule>
    <cfRule type="cellIs" dxfId="5241" priority="3622" stopIfTrue="1" operator="equal">
      <formula>"non pertinent / nicht relevant"</formula>
    </cfRule>
    <cfRule type="cellIs" dxfId="5240" priority="3623" stopIfTrue="1" operator="equal">
      <formula>"61-80%"</formula>
    </cfRule>
    <cfRule type="cellIs" dxfId="5239" priority="3624" stopIfTrue="1" operator="equal">
      <formula>"41-60%"</formula>
    </cfRule>
    <cfRule type="cellIs" dxfId="5238" priority="3625" stopIfTrue="1" operator="equal">
      <formula>"21-40%"</formula>
    </cfRule>
    <cfRule type="cellIs" dxfId="5237" priority="3626" stopIfTrue="1" operator="equal">
      <formula>"0-20%"</formula>
    </cfRule>
    <cfRule type="cellIs" dxfId="5236" priority="3627" stopIfTrue="1" operator="equal">
      <formula>"81-100%"</formula>
    </cfRule>
    <cfRule type="cellIs" dxfId="5235" priority="3628" stopIfTrue="1" operator="equal">
      <formula>"100%"</formula>
    </cfRule>
  </conditionalFormatting>
  <conditionalFormatting sqref="AU81">
    <cfRule type="cellIs" dxfId="5234" priority="3613" stopIfTrue="1" operator="equal">
      <formula>"Régime présumé naturel (100%) / Abfluss vermutlich natürlich"</formula>
    </cfRule>
    <cfRule type="cellIs" dxfId="5233" priority="3614" stopIfTrue="1" operator="equal">
      <formula>"non pertinent / nicht relevant"</formula>
    </cfRule>
    <cfRule type="cellIs" dxfId="5232" priority="3615" stopIfTrue="1" operator="equal">
      <formula>"61-80%"</formula>
    </cfRule>
    <cfRule type="cellIs" dxfId="5231" priority="3616" stopIfTrue="1" operator="equal">
      <formula>"41-60%"</formula>
    </cfRule>
    <cfRule type="cellIs" dxfId="5230" priority="3617" stopIfTrue="1" operator="equal">
      <formula>"21-40%"</formula>
    </cfRule>
    <cfRule type="cellIs" dxfId="5229" priority="3618" stopIfTrue="1" operator="equal">
      <formula>"0-20%"</formula>
    </cfRule>
    <cfRule type="cellIs" dxfId="5228" priority="3619" stopIfTrue="1" operator="equal">
      <formula>"81-100%"</formula>
    </cfRule>
    <cfRule type="cellIs" dxfId="5227" priority="3620" stopIfTrue="1" operator="equal">
      <formula>"100%"</formula>
    </cfRule>
  </conditionalFormatting>
  <conditionalFormatting sqref="AU88">
    <cfRule type="cellIs" dxfId="5226" priority="3605" stopIfTrue="1" operator="equal">
      <formula>"Régime présumé naturel (100%) / Abfluss vermutlich natürlich"</formula>
    </cfRule>
    <cfRule type="cellIs" dxfId="5225" priority="3606" stopIfTrue="1" operator="equal">
      <formula>"non pertinent / nicht relevant"</formula>
    </cfRule>
    <cfRule type="cellIs" dxfId="5224" priority="3607" stopIfTrue="1" operator="equal">
      <formula>"61-80%"</formula>
    </cfRule>
    <cfRule type="cellIs" dxfId="5223" priority="3608" stopIfTrue="1" operator="equal">
      <formula>"41-60%"</formula>
    </cfRule>
    <cfRule type="cellIs" dxfId="5222" priority="3609" stopIfTrue="1" operator="equal">
      <formula>"21-40%"</formula>
    </cfRule>
    <cfRule type="cellIs" dxfId="5221" priority="3610" stopIfTrue="1" operator="equal">
      <formula>"0-20%"</formula>
    </cfRule>
    <cfRule type="cellIs" dxfId="5220" priority="3611" stopIfTrue="1" operator="equal">
      <formula>"81-100%"</formula>
    </cfRule>
    <cfRule type="cellIs" dxfId="5219" priority="3612" stopIfTrue="1" operator="equal">
      <formula>"100%"</formula>
    </cfRule>
  </conditionalFormatting>
  <conditionalFormatting sqref="AU176">
    <cfRule type="cellIs" dxfId="5218" priority="3597" stopIfTrue="1" operator="equal">
      <formula>"Régime présumé naturel (100%) / Abfluss vermutlich natürlich"</formula>
    </cfRule>
    <cfRule type="cellIs" dxfId="5217" priority="3598" stopIfTrue="1" operator="equal">
      <formula>"non pertinent / nicht relevant"</formula>
    </cfRule>
    <cfRule type="cellIs" dxfId="5216" priority="3599" stopIfTrue="1" operator="equal">
      <formula>"61-80%"</formula>
    </cfRule>
    <cfRule type="cellIs" dxfId="5215" priority="3600" stopIfTrue="1" operator="equal">
      <formula>"41-60%"</formula>
    </cfRule>
    <cfRule type="cellIs" dxfId="5214" priority="3601" stopIfTrue="1" operator="equal">
      <formula>"21-40%"</formula>
    </cfRule>
    <cfRule type="cellIs" dxfId="5213" priority="3602" stopIfTrue="1" operator="equal">
      <formula>"0-20%"</formula>
    </cfRule>
    <cfRule type="cellIs" dxfId="5212" priority="3603" stopIfTrue="1" operator="equal">
      <formula>"81-100%"</formula>
    </cfRule>
    <cfRule type="cellIs" dxfId="5211" priority="3604" stopIfTrue="1" operator="equal">
      <formula>"100%"</formula>
    </cfRule>
  </conditionalFormatting>
  <conditionalFormatting sqref="AU225">
    <cfRule type="cellIs" dxfId="5210" priority="3589" stopIfTrue="1" operator="equal">
      <formula>"Régime présumé naturel (100%) / Abfluss vermutlich natürlich"</formula>
    </cfRule>
    <cfRule type="cellIs" dxfId="5209" priority="3590" stopIfTrue="1" operator="equal">
      <formula>"non pertinent / nicht relevant"</formula>
    </cfRule>
    <cfRule type="cellIs" dxfId="5208" priority="3591" stopIfTrue="1" operator="equal">
      <formula>"61-80%"</formula>
    </cfRule>
    <cfRule type="cellIs" dxfId="5207" priority="3592" stopIfTrue="1" operator="equal">
      <formula>"41-60%"</formula>
    </cfRule>
    <cfRule type="cellIs" dxfId="5206" priority="3593" stopIfTrue="1" operator="equal">
      <formula>"21-40%"</formula>
    </cfRule>
    <cfRule type="cellIs" dxfId="5205" priority="3594" stopIfTrue="1" operator="equal">
      <formula>"0-20%"</formula>
    </cfRule>
    <cfRule type="cellIs" dxfId="5204" priority="3595" stopIfTrue="1" operator="equal">
      <formula>"81-100%"</formula>
    </cfRule>
    <cfRule type="cellIs" dxfId="5203" priority="3596" stopIfTrue="1" operator="equal">
      <formula>"100%"</formula>
    </cfRule>
  </conditionalFormatting>
  <conditionalFormatting sqref="AT11">
    <cfRule type="cellIs" dxfId="5202" priority="3581" stopIfTrue="1" operator="equal">
      <formula>"Régime présumé naturel (100%) / Abfluss vermutlich natürlich"</formula>
    </cfRule>
    <cfRule type="cellIs" dxfId="5201" priority="3582" stopIfTrue="1" operator="equal">
      <formula>"non pertinent / nicht relevant"</formula>
    </cfRule>
    <cfRule type="cellIs" dxfId="5200" priority="3583" stopIfTrue="1" operator="equal">
      <formula>"61-80%"</formula>
    </cfRule>
    <cfRule type="cellIs" dxfId="5199" priority="3584" stopIfTrue="1" operator="equal">
      <formula>"41-60%"</formula>
    </cfRule>
    <cfRule type="cellIs" dxfId="5198" priority="3585" stopIfTrue="1" operator="equal">
      <formula>"21-40%"</formula>
    </cfRule>
    <cfRule type="cellIs" dxfId="5197" priority="3586" stopIfTrue="1" operator="equal">
      <formula>"0-20%"</formula>
    </cfRule>
    <cfRule type="cellIs" dxfId="5196" priority="3587" stopIfTrue="1" operator="equal">
      <formula>"81-100%"</formula>
    </cfRule>
    <cfRule type="cellIs" dxfId="5195" priority="3588" stopIfTrue="1" operator="equal">
      <formula>"100%"</formula>
    </cfRule>
  </conditionalFormatting>
  <conditionalFormatting sqref="AT12">
    <cfRule type="cellIs" dxfId="5194" priority="3573" stopIfTrue="1" operator="equal">
      <formula>"Régime présumé naturel (100%) / Abfluss vermutlich natürlich"</formula>
    </cfRule>
    <cfRule type="cellIs" dxfId="5193" priority="3574" stopIfTrue="1" operator="equal">
      <formula>"non pertinent / nicht relevant"</formula>
    </cfRule>
    <cfRule type="cellIs" dxfId="5192" priority="3575" stopIfTrue="1" operator="equal">
      <formula>"61-80%"</formula>
    </cfRule>
    <cfRule type="cellIs" dxfId="5191" priority="3576" stopIfTrue="1" operator="equal">
      <formula>"41-60%"</formula>
    </cfRule>
    <cfRule type="cellIs" dxfId="5190" priority="3577" stopIfTrue="1" operator="equal">
      <formula>"21-40%"</formula>
    </cfRule>
    <cfRule type="cellIs" dxfId="5189" priority="3578" stopIfTrue="1" operator="equal">
      <formula>"0-20%"</formula>
    </cfRule>
    <cfRule type="cellIs" dxfId="5188" priority="3579" stopIfTrue="1" operator="equal">
      <formula>"81-100%"</formula>
    </cfRule>
    <cfRule type="cellIs" dxfId="5187" priority="3580" stopIfTrue="1" operator="equal">
      <formula>"100%"</formula>
    </cfRule>
  </conditionalFormatting>
  <conditionalFormatting sqref="AU11">
    <cfRule type="cellIs" dxfId="5186" priority="3565" stopIfTrue="1" operator="equal">
      <formula>"Régime présumé naturel (100%) / Abfluss vermutlich natürlich"</formula>
    </cfRule>
    <cfRule type="cellIs" dxfId="5185" priority="3566" stopIfTrue="1" operator="equal">
      <formula>"non pertinent / nicht relevant"</formula>
    </cfRule>
    <cfRule type="cellIs" dxfId="5184" priority="3567" stopIfTrue="1" operator="equal">
      <formula>"61-80%"</formula>
    </cfRule>
    <cfRule type="cellIs" dxfId="5183" priority="3568" stopIfTrue="1" operator="equal">
      <formula>"41-60%"</formula>
    </cfRule>
    <cfRule type="cellIs" dxfId="5182" priority="3569" stopIfTrue="1" operator="equal">
      <formula>"21-40%"</formula>
    </cfRule>
    <cfRule type="cellIs" dxfId="5181" priority="3570" stopIfTrue="1" operator="equal">
      <formula>"0-20%"</formula>
    </cfRule>
    <cfRule type="cellIs" dxfId="5180" priority="3571" stopIfTrue="1" operator="equal">
      <formula>"81-100%"</formula>
    </cfRule>
    <cfRule type="cellIs" dxfId="5179" priority="3572" stopIfTrue="1" operator="equal">
      <formula>"100%"</formula>
    </cfRule>
  </conditionalFormatting>
  <conditionalFormatting sqref="AU12">
    <cfRule type="cellIs" dxfId="5178" priority="3557" stopIfTrue="1" operator="equal">
      <formula>"Régime présumé naturel (100%) / Abfluss vermutlich natürlich"</formula>
    </cfRule>
    <cfRule type="cellIs" dxfId="5177" priority="3558" stopIfTrue="1" operator="equal">
      <formula>"non pertinent / nicht relevant"</formula>
    </cfRule>
    <cfRule type="cellIs" dxfId="5176" priority="3559" stopIfTrue="1" operator="equal">
      <formula>"61-80%"</formula>
    </cfRule>
    <cfRule type="cellIs" dxfId="5175" priority="3560" stopIfTrue="1" operator="equal">
      <formula>"41-60%"</formula>
    </cfRule>
    <cfRule type="cellIs" dxfId="5174" priority="3561" stopIfTrue="1" operator="equal">
      <formula>"21-40%"</formula>
    </cfRule>
    <cfRule type="cellIs" dxfId="5173" priority="3562" stopIfTrue="1" operator="equal">
      <formula>"0-20%"</formula>
    </cfRule>
    <cfRule type="cellIs" dxfId="5172" priority="3563" stopIfTrue="1" operator="equal">
      <formula>"81-100%"</formula>
    </cfRule>
    <cfRule type="cellIs" dxfId="5171" priority="3564" stopIfTrue="1" operator="equal">
      <formula>"100%"</formula>
    </cfRule>
  </conditionalFormatting>
  <conditionalFormatting sqref="AT275">
    <cfRule type="cellIs" dxfId="5170" priority="3549" stopIfTrue="1" operator="equal">
      <formula>"Régime présumé naturel (100%) / Abfluss vermutlich natürlich"</formula>
    </cfRule>
    <cfRule type="cellIs" dxfId="5169" priority="3550" stopIfTrue="1" operator="equal">
      <formula>"non pertinent / nicht relevant"</formula>
    </cfRule>
    <cfRule type="cellIs" dxfId="5168" priority="3551" stopIfTrue="1" operator="equal">
      <formula>"61-80%"</formula>
    </cfRule>
    <cfRule type="cellIs" dxfId="5167" priority="3552" stopIfTrue="1" operator="equal">
      <formula>"41-60%"</formula>
    </cfRule>
    <cfRule type="cellIs" dxfId="5166" priority="3553" stopIfTrue="1" operator="equal">
      <formula>"21-40%"</formula>
    </cfRule>
    <cfRule type="cellIs" dxfId="5165" priority="3554" stopIfTrue="1" operator="equal">
      <formula>"0-20%"</formula>
    </cfRule>
    <cfRule type="cellIs" dxfId="5164" priority="3555" stopIfTrue="1" operator="equal">
      <formula>"81-100%"</formula>
    </cfRule>
    <cfRule type="cellIs" dxfId="5163" priority="3556" stopIfTrue="1" operator="equal">
      <formula>"100%"</formula>
    </cfRule>
  </conditionalFormatting>
  <conditionalFormatting sqref="AT76:AT80">
    <cfRule type="cellIs" dxfId="5162" priority="3533" stopIfTrue="1" operator="equal">
      <formula>"Régime présumé naturel (100%) / Abfluss vermutlich natürlich"</formula>
    </cfRule>
    <cfRule type="cellIs" dxfId="5161" priority="3534" stopIfTrue="1" operator="equal">
      <formula>"non pertinent / nicht relevant"</formula>
    </cfRule>
    <cfRule type="cellIs" dxfId="5160" priority="3535" stopIfTrue="1" operator="equal">
      <formula>"61-80%"</formula>
    </cfRule>
    <cfRule type="cellIs" dxfId="5159" priority="3536" stopIfTrue="1" operator="equal">
      <formula>"41-60%"</formula>
    </cfRule>
    <cfRule type="cellIs" dxfId="5158" priority="3537" stopIfTrue="1" operator="equal">
      <formula>"21-40%"</formula>
    </cfRule>
    <cfRule type="cellIs" dxfId="5157" priority="3538" stopIfTrue="1" operator="equal">
      <formula>"0-20%"</formula>
    </cfRule>
    <cfRule type="cellIs" dxfId="5156" priority="3539" stopIfTrue="1" operator="equal">
      <formula>"81-100%"</formula>
    </cfRule>
    <cfRule type="cellIs" dxfId="5155" priority="3540" stopIfTrue="1" operator="equal">
      <formula>"100%"</formula>
    </cfRule>
  </conditionalFormatting>
  <conditionalFormatting sqref="AU51">
    <cfRule type="cellIs" dxfId="5154" priority="3541" stopIfTrue="1" operator="equal">
      <formula>"Régime présumé naturel (100%) / Abfluss vermutlich natürlich"</formula>
    </cfRule>
    <cfRule type="cellIs" dxfId="5153" priority="3542" stopIfTrue="1" operator="equal">
      <formula>"non pertinent / nicht relevant"</formula>
    </cfRule>
    <cfRule type="cellIs" dxfId="5152" priority="3543" stopIfTrue="1" operator="equal">
      <formula>"61-80%"</formula>
    </cfRule>
    <cfRule type="cellIs" dxfId="5151" priority="3544" stopIfTrue="1" operator="equal">
      <formula>"41-60%"</formula>
    </cfRule>
    <cfRule type="cellIs" dxfId="5150" priority="3545" stopIfTrue="1" operator="equal">
      <formula>"21-40%"</formula>
    </cfRule>
    <cfRule type="cellIs" dxfId="5149" priority="3546" stopIfTrue="1" operator="equal">
      <formula>"0-20%"</formula>
    </cfRule>
    <cfRule type="cellIs" dxfId="5148" priority="3547" stopIfTrue="1" operator="equal">
      <formula>"81-100%"</formula>
    </cfRule>
    <cfRule type="cellIs" dxfId="5147" priority="3548" stopIfTrue="1" operator="equal">
      <formula>"100%"</formula>
    </cfRule>
  </conditionalFormatting>
  <conditionalFormatting sqref="AR69">
    <cfRule type="cellIs" dxfId="5146" priority="3525" stopIfTrue="1" operator="equal">
      <formula>"Régime présumé naturel (100%) / Abfluss vermutlich natürlich"</formula>
    </cfRule>
    <cfRule type="cellIs" dxfId="5145" priority="3526" stopIfTrue="1" operator="equal">
      <formula>"non pertinent / nicht relevant"</formula>
    </cfRule>
    <cfRule type="cellIs" dxfId="5144" priority="3527" stopIfTrue="1" operator="equal">
      <formula>"61-80%"</formula>
    </cfRule>
    <cfRule type="cellIs" dxfId="5143" priority="3528" stopIfTrue="1" operator="equal">
      <formula>"41-60%"</formula>
    </cfRule>
    <cfRule type="cellIs" dxfId="5142" priority="3529" stopIfTrue="1" operator="equal">
      <formula>"21-40%"</formula>
    </cfRule>
    <cfRule type="cellIs" dxfId="5141" priority="3530" stopIfTrue="1" operator="equal">
      <formula>"0-20%"</formula>
    </cfRule>
    <cfRule type="cellIs" dxfId="5140" priority="3531" stopIfTrue="1" operator="equal">
      <formula>"81-100%"</formula>
    </cfRule>
    <cfRule type="cellIs" dxfId="5139" priority="3532" stopIfTrue="1" operator="equal">
      <formula>"100%"</formula>
    </cfRule>
  </conditionalFormatting>
  <conditionalFormatting sqref="AR98">
    <cfRule type="cellIs" dxfId="5138" priority="3517" stopIfTrue="1" operator="equal">
      <formula>"Régime présumé naturel (100%) / Abfluss vermutlich natürlich"</formula>
    </cfRule>
    <cfRule type="cellIs" dxfId="5137" priority="3518" stopIfTrue="1" operator="equal">
      <formula>"non pertinent / nicht relevant"</formula>
    </cfRule>
    <cfRule type="cellIs" dxfId="5136" priority="3519" stopIfTrue="1" operator="equal">
      <formula>"61-80%"</formula>
    </cfRule>
    <cfRule type="cellIs" dxfId="5135" priority="3520" stopIfTrue="1" operator="equal">
      <formula>"41-60%"</formula>
    </cfRule>
    <cfRule type="cellIs" dxfId="5134" priority="3521" stopIfTrue="1" operator="equal">
      <formula>"21-40%"</formula>
    </cfRule>
    <cfRule type="cellIs" dxfId="5133" priority="3522" stopIfTrue="1" operator="equal">
      <formula>"0-20%"</formula>
    </cfRule>
    <cfRule type="cellIs" dxfId="5132" priority="3523" stopIfTrue="1" operator="equal">
      <formula>"81-100%"</formula>
    </cfRule>
    <cfRule type="cellIs" dxfId="5131" priority="3524" stopIfTrue="1" operator="equal">
      <formula>"100%"</formula>
    </cfRule>
  </conditionalFormatting>
  <conditionalFormatting sqref="AR111">
    <cfRule type="cellIs" dxfId="5130" priority="3509" stopIfTrue="1" operator="equal">
      <formula>"Régime présumé naturel (100%) / Abfluss vermutlich natürlich"</formula>
    </cfRule>
    <cfRule type="cellIs" dxfId="5129" priority="3510" stopIfTrue="1" operator="equal">
      <formula>"non pertinent / nicht relevant"</formula>
    </cfRule>
    <cfRule type="cellIs" dxfId="5128" priority="3511" stopIfTrue="1" operator="equal">
      <formula>"61-80%"</formula>
    </cfRule>
    <cfRule type="cellIs" dxfId="5127" priority="3512" stopIfTrue="1" operator="equal">
      <formula>"41-60%"</formula>
    </cfRule>
    <cfRule type="cellIs" dxfId="5126" priority="3513" stopIfTrue="1" operator="equal">
      <formula>"21-40%"</formula>
    </cfRule>
    <cfRule type="cellIs" dxfId="5125" priority="3514" stopIfTrue="1" operator="equal">
      <formula>"0-20%"</formula>
    </cfRule>
    <cfRule type="cellIs" dxfId="5124" priority="3515" stopIfTrue="1" operator="equal">
      <formula>"81-100%"</formula>
    </cfRule>
    <cfRule type="cellIs" dxfId="5123" priority="3516" stopIfTrue="1" operator="equal">
      <formula>"100%"</formula>
    </cfRule>
  </conditionalFormatting>
  <conditionalFormatting sqref="AR148">
    <cfRule type="cellIs" dxfId="5122" priority="3501" stopIfTrue="1" operator="equal">
      <formula>"Régime présumé naturel (100%) / Abfluss vermutlich natürlich"</formula>
    </cfRule>
    <cfRule type="cellIs" dxfId="5121" priority="3502" stopIfTrue="1" operator="equal">
      <formula>"non pertinent / nicht relevant"</formula>
    </cfRule>
    <cfRule type="cellIs" dxfId="5120" priority="3503" stopIfTrue="1" operator="equal">
      <formula>"61-80%"</formula>
    </cfRule>
    <cfRule type="cellIs" dxfId="5119" priority="3504" stopIfTrue="1" operator="equal">
      <formula>"41-60%"</formula>
    </cfRule>
    <cfRule type="cellIs" dxfId="5118" priority="3505" stopIfTrue="1" operator="equal">
      <formula>"21-40%"</formula>
    </cfRule>
    <cfRule type="cellIs" dxfId="5117" priority="3506" stopIfTrue="1" operator="equal">
      <formula>"0-20%"</formula>
    </cfRule>
    <cfRule type="cellIs" dxfId="5116" priority="3507" stopIfTrue="1" operator="equal">
      <formula>"81-100%"</formula>
    </cfRule>
    <cfRule type="cellIs" dxfId="5115" priority="3508" stopIfTrue="1" operator="equal">
      <formula>"100%"</formula>
    </cfRule>
  </conditionalFormatting>
  <conditionalFormatting sqref="AR177">
    <cfRule type="cellIs" dxfId="5114" priority="3493" stopIfTrue="1" operator="equal">
      <formula>"Régime présumé naturel (100%) / Abfluss vermutlich natürlich"</formula>
    </cfRule>
    <cfRule type="cellIs" dxfId="5113" priority="3494" stopIfTrue="1" operator="equal">
      <formula>"non pertinent / nicht relevant"</formula>
    </cfRule>
    <cfRule type="cellIs" dxfId="5112" priority="3495" stopIfTrue="1" operator="equal">
      <formula>"61-80%"</formula>
    </cfRule>
    <cfRule type="cellIs" dxfId="5111" priority="3496" stopIfTrue="1" operator="equal">
      <formula>"41-60%"</formula>
    </cfRule>
    <cfRule type="cellIs" dxfId="5110" priority="3497" stopIfTrue="1" operator="equal">
      <formula>"21-40%"</formula>
    </cfRule>
    <cfRule type="cellIs" dxfId="5109" priority="3498" stopIfTrue="1" operator="equal">
      <formula>"0-20%"</formula>
    </cfRule>
    <cfRule type="cellIs" dxfId="5108" priority="3499" stopIfTrue="1" operator="equal">
      <formula>"81-100%"</formula>
    </cfRule>
    <cfRule type="cellIs" dxfId="5107" priority="3500" stopIfTrue="1" operator="equal">
      <formula>"100%"</formula>
    </cfRule>
  </conditionalFormatting>
  <conditionalFormatting sqref="AR179">
    <cfRule type="cellIs" dxfId="5106" priority="3485" stopIfTrue="1" operator="equal">
      <formula>"Régime présumé naturel (100%) / Abfluss vermutlich natürlich"</formula>
    </cfRule>
    <cfRule type="cellIs" dxfId="5105" priority="3486" stopIfTrue="1" operator="equal">
      <formula>"non pertinent / nicht relevant"</formula>
    </cfRule>
    <cfRule type="cellIs" dxfId="5104" priority="3487" stopIfTrue="1" operator="equal">
      <formula>"61-80%"</formula>
    </cfRule>
    <cfRule type="cellIs" dxfId="5103" priority="3488" stopIfTrue="1" operator="equal">
      <formula>"41-60%"</formula>
    </cfRule>
    <cfRule type="cellIs" dxfId="5102" priority="3489" stopIfTrue="1" operator="equal">
      <formula>"21-40%"</formula>
    </cfRule>
    <cfRule type="cellIs" dxfId="5101" priority="3490" stopIfTrue="1" operator="equal">
      <formula>"0-20%"</formula>
    </cfRule>
    <cfRule type="cellIs" dxfId="5100" priority="3491" stopIfTrue="1" operator="equal">
      <formula>"81-100%"</formula>
    </cfRule>
    <cfRule type="cellIs" dxfId="5099" priority="3492" stopIfTrue="1" operator="equal">
      <formula>"100%"</formula>
    </cfRule>
  </conditionalFormatting>
  <conditionalFormatting sqref="AR230">
    <cfRule type="cellIs" dxfId="5098" priority="3477" stopIfTrue="1" operator="equal">
      <formula>"Régime présumé naturel (100%) / Abfluss vermutlich natürlich"</formula>
    </cfRule>
    <cfRule type="cellIs" dxfId="5097" priority="3478" stopIfTrue="1" operator="equal">
      <formula>"non pertinent / nicht relevant"</formula>
    </cfRule>
    <cfRule type="cellIs" dxfId="5096" priority="3479" stopIfTrue="1" operator="equal">
      <formula>"61-80%"</formula>
    </cfRule>
    <cfRule type="cellIs" dxfId="5095" priority="3480" stopIfTrue="1" operator="equal">
      <formula>"41-60%"</formula>
    </cfRule>
    <cfRule type="cellIs" dxfId="5094" priority="3481" stopIfTrue="1" operator="equal">
      <formula>"21-40%"</formula>
    </cfRule>
    <cfRule type="cellIs" dxfId="5093" priority="3482" stopIfTrue="1" operator="equal">
      <formula>"0-20%"</formula>
    </cfRule>
    <cfRule type="cellIs" dxfId="5092" priority="3483" stopIfTrue="1" operator="equal">
      <formula>"81-100%"</formula>
    </cfRule>
    <cfRule type="cellIs" dxfId="5091" priority="3484" stopIfTrue="1" operator="equal">
      <formula>"100%"</formula>
    </cfRule>
  </conditionalFormatting>
  <conditionalFormatting sqref="AR239">
    <cfRule type="cellIs" dxfId="5090" priority="3469" stopIfTrue="1" operator="equal">
      <formula>"Régime présumé naturel (100%) / Abfluss vermutlich natürlich"</formula>
    </cfRule>
    <cfRule type="cellIs" dxfId="5089" priority="3470" stopIfTrue="1" operator="equal">
      <formula>"non pertinent / nicht relevant"</formula>
    </cfRule>
    <cfRule type="cellIs" dxfId="5088" priority="3471" stopIfTrue="1" operator="equal">
      <formula>"61-80%"</formula>
    </cfRule>
    <cfRule type="cellIs" dxfId="5087" priority="3472" stopIfTrue="1" operator="equal">
      <formula>"41-60%"</formula>
    </cfRule>
    <cfRule type="cellIs" dxfId="5086" priority="3473" stopIfTrue="1" operator="equal">
      <formula>"21-40%"</formula>
    </cfRule>
    <cfRule type="cellIs" dxfId="5085" priority="3474" stopIfTrue="1" operator="equal">
      <formula>"0-20%"</formula>
    </cfRule>
    <cfRule type="cellIs" dxfId="5084" priority="3475" stopIfTrue="1" operator="equal">
      <formula>"81-100%"</formula>
    </cfRule>
    <cfRule type="cellIs" dxfId="5083" priority="3476" stopIfTrue="1" operator="equal">
      <formula>"100%"</formula>
    </cfRule>
  </conditionalFormatting>
  <conditionalFormatting sqref="AR240">
    <cfRule type="cellIs" dxfId="5082" priority="3461" stopIfTrue="1" operator="equal">
      <formula>"Régime présumé naturel (100%) / Abfluss vermutlich natürlich"</formula>
    </cfRule>
    <cfRule type="cellIs" dxfId="5081" priority="3462" stopIfTrue="1" operator="equal">
      <formula>"non pertinent / nicht relevant"</formula>
    </cfRule>
    <cfRule type="cellIs" dxfId="5080" priority="3463" stopIfTrue="1" operator="equal">
      <formula>"61-80%"</formula>
    </cfRule>
    <cfRule type="cellIs" dxfId="5079" priority="3464" stopIfTrue="1" operator="equal">
      <formula>"41-60%"</formula>
    </cfRule>
    <cfRule type="cellIs" dxfId="5078" priority="3465" stopIfTrue="1" operator="equal">
      <formula>"21-40%"</formula>
    </cfRule>
    <cfRule type="cellIs" dxfId="5077" priority="3466" stopIfTrue="1" operator="equal">
      <formula>"0-20%"</formula>
    </cfRule>
    <cfRule type="cellIs" dxfId="5076" priority="3467" stopIfTrue="1" operator="equal">
      <formula>"81-100%"</formula>
    </cfRule>
    <cfRule type="cellIs" dxfId="5075" priority="3468" stopIfTrue="1" operator="equal">
      <formula>"100%"</formula>
    </cfRule>
  </conditionalFormatting>
  <conditionalFormatting sqref="AR248">
    <cfRule type="cellIs" dxfId="5074" priority="3453" stopIfTrue="1" operator="equal">
      <formula>"Régime présumé naturel (100%) / Abfluss vermutlich natürlich"</formula>
    </cfRule>
    <cfRule type="cellIs" dxfId="5073" priority="3454" stopIfTrue="1" operator="equal">
      <formula>"non pertinent / nicht relevant"</formula>
    </cfRule>
    <cfRule type="cellIs" dxfId="5072" priority="3455" stopIfTrue="1" operator="equal">
      <formula>"61-80%"</formula>
    </cfRule>
    <cfRule type="cellIs" dxfId="5071" priority="3456" stopIfTrue="1" operator="equal">
      <formula>"41-60%"</formula>
    </cfRule>
    <cfRule type="cellIs" dxfId="5070" priority="3457" stopIfTrue="1" operator="equal">
      <formula>"21-40%"</formula>
    </cfRule>
    <cfRule type="cellIs" dxfId="5069" priority="3458" stopIfTrue="1" operator="equal">
      <formula>"0-20%"</formula>
    </cfRule>
    <cfRule type="cellIs" dxfId="5068" priority="3459" stopIfTrue="1" operator="equal">
      <formula>"81-100%"</formula>
    </cfRule>
    <cfRule type="cellIs" dxfId="5067" priority="3460" stopIfTrue="1" operator="equal">
      <formula>"100%"</formula>
    </cfRule>
  </conditionalFormatting>
  <conditionalFormatting sqref="AR261">
    <cfRule type="cellIs" dxfId="5066" priority="3445" stopIfTrue="1" operator="equal">
      <formula>"Régime présumé naturel (100%) / Abfluss vermutlich natürlich"</formula>
    </cfRule>
    <cfRule type="cellIs" dxfId="5065" priority="3446" stopIfTrue="1" operator="equal">
      <formula>"non pertinent / nicht relevant"</formula>
    </cfRule>
    <cfRule type="cellIs" dxfId="5064" priority="3447" stopIfTrue="1" operator="equal">
      <formula>"61-80%"</formula>
    </cfRule>
    <cfRule type="cellIs" dxfId="5063" priority="3448" stopIfTrue="1" operator="equal">
      <formula>"41-60%"</formula>
    </cfRule>
    <cfRule type="cellIs" dxfId="5062" priority="3449" stopIfTrue="1" operator="equal">
      <formula>"21-40%"</formula>
    </cfRule>
    <cfRule type="cellIs" dxfId="5061" priority="3450" stopIfTrue="1" operator="equal">
      <formula>"0-20%"</formula>
    </cfRule>
    <cfRule type="cellIs" dxfId="5060" priority="3451" stopIfTrue="1" operator="equal">
      <formula>"81-100%"</formula>
    </cfRule>
    <cfRule type="cellIs" dxfId="5059" priority="3452" stopIfTrue="1" operator="equal">
      <formula>"100%"</formula>
    </cfRule>
  </conditionalFormatting>
  <conditionalFormatting sqref="AR267">
    <cfRule type="cellIs" dxfId="5058" priority="3437" stopIfTrue="1" operator="equal">
      <formula>"Régime présumé naturel (100%) / Abfluss vermutlich natürlich"</formula>
    </cfRule>
    <cfRule type="cellIs" dxfId="5057" priority="3438" stopIfTrue="1" operator="equal">
      <formula>"non pertinent / nicht relevant"</formula>
    </cfRule>
    <cfRule type="cellIs" dxfId="5056" priority="3439" stopIfTrue="1" operator="equal">
      <formula>"61-80%"</formula>
    </cfRule>
    <cfRule type="cellIs" dxfId="5055" priority="3440" stopIfTrue="1" operator="equal">
      <formula>"41-60%"</formula>
    </cfRule>
    <cfRule type="cellIs" dxfId="5054" priority="3441" stopIfTrue="1" operator="equal">
      <formula>"21-40%"</formula>
    </cfRule>
    <cfRule type="cellIs" dxfId="5053" priority="3442" stopIfTrue="1" operator="equal">
      <formula>"0-20%"</formula>
    </cfRule>
    <cfRule type="cellIs" dxfId="5052" priority="3443" stopIfTrue="1" operator="equal">
      <formula>"81-100%"</formula>
    </cfRule>
    <cfRule type="cellIs" dxfId="5051" priority="3444" stopIfTrue="1" operator="equal">
      <formula>"100%"</formula>
    </cfRule>
  </conditionalFormatting>
  <conditionalFormatting sqref="AR271">
    <cfRule type="cellIs" dxfId="5050" priority="3429" stopIfTrue="1" operator="equal">
      <formula>"Régime présumé naturel (100%) / Abfluss vermutlich natürlich"</formula>
    </cfRule>
    <cfRule type="cellIs" dxfId="5049" priority="3430" stopIfTrue="1" operator="equal">
      <formula>"non pertinent / nicht relevant"</formula>
    </cfRule>
    <cfRule type="cellIs" dxfId="5048" priority="3431" stopIfTrue="1" operator="equal">
      <formula>"61-80%"</formula>
    </cfRule>
    <cfRule type="cellIs" dxfId="5047" priority="3432" stopIfTrue="1" operator="equal">
      <formula>"41-60%"</formula>
    </cfRule>
    <cfRule type="cellIs" dxfId="5046" priority="3433" stopIfTrue="1" operator="equal">
      <formula>"21-40%"</formula>
    </cfRule>
    <cfRule type="cellIs" dxfId="5045" priority="3434" stopIfTrue="1" operator="equal">
      <formula>"0-20%"</formula>
    </cfRule>
    <cfRule type="cellIs" dxfId="5044" priority="3435" stopIfTrue="1" operator="equal">
      <formula>"81-100%"</formula>
    </cfRule>
    <cfRule type="cellIs" dxfId="5043" priority="3436" stopIfTrue="1" operator="equal">
      <formula>"100%"</formula>
    </cfRule>
  </conditionalFormatting>
  <conditionalFormatting sqref="AR264">
    <cfRule type="cellIs" dxfId="5042" priority="3421" stopIfTrue="1" operator="equal">
      <formula>"Régime présumé naturel (100%) / Abfluss vermutlich natürlich"</formula>
    </cfRule>
    <cfRule type="cellIs" dxfId="5041" priority="3422" stopIfTrue="1" operator="equal">
      <formula>"non pertinent / nicht relevant"</formula>
    </cfRule>
    <cfRule type="cellIs" dxfId="5040" priority="3423" stopIfTrue="1" operator="equal">
      <formula>"61-80%"</formula>
    </cfRule>
    <cfRule type="cellIs" dxfId="5039" priority="3424" stopIfTrue="1" operator="equal">
      <formula>"41-60%"</formula>
    </cfRule>
    <cfRule type="cellIs" dxfId="5038" priority="3425" stopIfTrue="1" operator="equal">
      <formula>"21-40%"</formula>
    </cfRule>
    <cfRule type="cellIs" dxfId="5037" priority="3426" stopIfTrue="1" operator="equal">
      <formula>"0-20%"</formula>
    </cfRule>
    <cfRule type="cellIs" dxfId="5036" priority="3427" stopIfTrue="1" operator="equal">
      <formula>"81-100%"</formula>
    </cfRule>
    <cfRule type="cellIs" dxfId="5035" priority="3428" stopIfTrue="1" operator="equal">
      <formula>"100%"</formula>
    </cfRule>
  </conditionalFormatting>
  <conditionalFormatting sqref="AR215">
    <cfRule type="cellIs" dxfId="5034" priority="3413" stopIfTrue="1" operator="equal">
      <formula>"Régime présumé naturel (100%) / Abfluss vermutlich natürlich"</formula>
    </cfRule>
    <cfRule type="cellIs" dxfId="5033" priority="3414" stopIfTrue="1" operator="equal">
      <formula>"non pertinent / nicht relevant"</formula>
    </cfRule>
    <cfRule type="cellIs" dxfId="5032" priority="3415" stopIfTrue="1" operator="equal">
      <formula>"61-80%"</formula>
    </cfRule>
    <cfRule type="cellIs" dxfId="5031" priority="3416" stopIfTrue="1" operator="equal">
      <formula>"41-60%"</formula>
    </cfRule>
    <cfRule type="cellIs" dxfId="5030" priority="3417" stopIfTrue="1" operator="equal">
      <formula>"21-40%"</formula>
    </cfRule>
    <cfRule type="cellIs" dxfId="5029" priority="3418" stopIfTrue="1" operator="equal">
      <formula>"0-20%"</formula>
    </cfRule>
    <cfRule type="cellIs" dxfId="5028" priority="3419" stopIfTrue="1" operator="equal">
      <formula>"81-100%"</formula>
    </cfRule>
    <cfRule type="cellIs" dxfId="5027" priority="3420" stopIfTrue="1" operator="equal">
      <formula>"100%"</formula>
    </cfRule>
  </conditionalFormatting>
  <conditionalFormatting sqref="AR11">
    <cfRule type="cellIs" dxfId="5026" priority="3405" stopIfTrue="1" operator="equal">
      <formula>"Régime présumé naturel (100%) / Abfluss vermutlich natürlich"</formula>
    </cfRule>
    <cfRule type="cellIs" dxfId="5025" priority="3406" stopIfTrue="1" operator="equal">
      <formula>"non pertinent / nicht relevant"</formula>
    </cfRule>
    <cfRule type="cellIs" dxfId="5024" priority="3407" stopIfTrue="1" operator="equal">
      <formula>"61-80%"</formula>
    </cfRule>
    <cfRule type="cellIs" dxfId="5023" priority="3408" stopIfTrue="1" operator="equal">
      <formula>"41-60%"</formula>
    </cfRule>
    <cfRule type="cellIs" dxfId="5022" priority="3409" stopIfTrue="1" operator="equal">
      <formula>"21-40%"</formula>
    </cfRule>
    <cfRule type="cellIs" dxfId="5021" priority="3410" stopIfTrue="1" operator="equal">
      <formula>"0-20%"</formula>
    </cfRule>
    <cfRule type="cellIs" dxfId="5020" priority="3411" stopIfTrue="1" operator="equal">
      <formula>"81-100%"</formula>
    </cfRule>
    <cfRule type="cellIs" dxfId="5019" priority="3412" stopIfTrue="1" operator="equal">
      <formula>"100%"</formula>
    </cfRule>
  </conditionalFormatting>
  <conditionalFormatting sqref="AR21">
    <cfRule type="cellIs" dxfId="5018" priority="3397" stopIfTrue="1" operator="equal">
      <formula>"Régime présumé naturel (100%) / Abfluss vermutlich natürlich"</formula>
    </cfRule>
    <cfRule type="cellIs" dxfId="5017" priority="3398" stopIfTrue="1" operator="equal">
      <formula>"non pertinent / nicht relevant"</formula>
    </cfRule>
    <cfRule type="cellIs" dxfId="5016" priority="3399" stopIfTrue="1" operator="equal">
      <formula>"61-80%"</formula>
    </cfRule>
    <cfRule type="cellIs" dxfId="5015" priority="3400" stopIfTrue="1" operator="equal">
      <formula>"41-60%"</formula>
    </cfRule>
    <cfRule type="cellIs" dxfId="5014" priority="3401" stopIfTrue="1" operator="equal">
      <formula>"21-40%"</formula>
    </cfRule>
    <cfRule type="cellIs" dxfId="5013" priority="3402" stopIfTrue="1" operator="equal">
      <formula>"0-20%"</formula>
    </cfRule>
    <cfRule type="cellIs" dxfId="5012" priority="3403" stopIfTrue="1" operator="equal">
      <formula>"81-100%"</formula>
    </cfRule>
    <cfRule type="cellIs" dxfId="5011" priority="3404" stopIfTrue="1" operator="equal">
      <formula>"100%"</formula>
    </cfRule>
  </conditionalFormatting>
  <conditionalFormatting sqref="AR97">
    <cfRule type="cellIs" dxfId="5010" priority="3389" stopIfTrue="1" operator="equal">
      <formula>"Régime présumé naturel (100%) / Abfluss vermutlich natürlich"</formula>
    </cfRule>
    <cfRule type="cellIs" dxfId="5009" priority="3390" stopIfTrue="1" operator="equal">
      <formula>"non pertinent / nicht relevant"</formula>
    </cfRule>
    <cfRule type="cellIs" dxfId="5008" priority="3391" stopIfTrue="1" operator="equal">
      <formula>"61-80%"</formula>
    </cfRule>
    <cfRule type="cellIs" dxfId="5007" priority="3392" stopIfTrue="1" operator="equal">
      <formula>"41-60%"</formula>
    </cfRule>
    <cfRule type="cellIs" dxfId="5006" priority="3393" stopIfTrue="1" operator="equal">
      <formula>"21-40%"</formula>
    </cfRule>
    <cfRule type="cellIs" dxfId="5005" priority="3394" stopIfTrue="1" operator="equal">
      <formula>"0-20%"</formula>
    </cfRule>
    <cfRule type="cellIs" dxfId="5004" priority="3395" stopIfTrue="1" operator="equal">
      <formula>"81-100%"</formula>
    </cfRule>
    <cfRule type="cellIs" dxfId="5003" priority="3396" stopIfTrue="1" operator="equal">
      <formula>"100%"</formula>
    </cfRule>
  </conditionalFormatting>
  <conditionalFormatting sqref="AR121">
    <cfRule type="cellIs" dxfId="5002" priority="3381" stopIfTrue="1" operator="equal">
      <formula>"Régime présumé naturel (100%) / Abfluss vermutlich natürlich"</formula>
    </cfRule>
    <cfRule type="cellIs" dxfId="5001" priority="3382" stopIfTrue="1" operator="equal">
      <formula>"non pertinent / nicht relevant"</formula>
    </cfRule>
    <cfRule type="cellIs" dxfId="5000" priority="3383" stopIfTrue="1" operator="equal">
      <formula>"61-80%"</formula>
    </cfRule>
    <cfRule type="cellIs" dxfId="4999" priority="3384" stopIfTrue="1" operator="equal">
      <formula>"41-60%"</formula>
    </cfRule>
    <cfRule type="cellIs" dxfId="4998" priority="3385" stopIfTrue="1" operator="equal">
      <formula>"21-40%"</formula>
    </cfRule>
    <cfRule type="cellIs" dxfId="4997" priority="3386" stopIfTrue="1" operator="equal">
      <formula>"0-20%"</formula>
    </cfRule>
    <cfRule type="cellIs" dxfId="4996" priority="3387" stopIfTrue="1" operator="equal">
      <formula>"81-100%"</formula>
    </cfRule>
    <cfRule type="cellIs" dxfId="4995" priority="3388" stopIfTrue="1" operator="equal">
      <formula>"100%"</formula>
    </cfRule>
  </conditionalFormatting>
  <conditionalFormatting sqref="AR170">
    <cfRule type="cellIs" dxfId="4994" priority="3373" stopIfTrue="1" operator="equal">
      <formula>"Régime présumé naturel (100%) / Abfluss vermutlich natürlich"</formula>
    </cfRule>
    <cfRule type="cellIs" dxfId="4993" priority="3374" stopIfTrue="1" operator="equal">
      <formula>"non pertinent / nicht relevant"</formula>
    </cfRule>
    <cfRule type="cellIs" dxfId="4992" priority="3375" stopIfTrue="1" operator="equal">
      <formula>"61-80%"</formula>
    </cfRule>
    <cfRule type="cellIs" dxfId="4991" priority="3376" stopIfTrue="1" operator="equal">
      <formula>"41-60%"</formula>
    </cfRule>
    <cfRule type="cellIs" dxfId="4990" priority="3377" stopIfTrue="1" operator="equal">
      <formula>"21-40%"</formula>
    </cfRule>
    <cfRule type="cellIs" dxfId="4989" priority="3378" stopIfTrue="1" operator="equal">
      <formula>"0-20%"</formula>
    </cfRule>
    <cfRule type="cellIs" dxfId="4988" priority="3379" stopIfTrue="1" operator="equal">
      <formula>"81-100%"</formula>
    </cfRule>
    <cfRule type="cellIs" dxfId="4987" priority="3380" stopIfTrue="1" operator="equal">
      <formula>"100%"</formula>
    </cfRule>
  </conditionalFormatting>
  <conditionalFormatting sqref="AR219">
    <cfRule type="cellIs" dxfId="4986" priority="3365" stopIfTrue="1" operator="equal">
      <formula>"Régime présumé naturel (100%) / Abfluss vermutlich natürlich"</formula>
    </cfRule>
    <cfRule type="cellIs" dxfId="4985" priority="3366" stopIfTrue="1" operator="equal">
      <formula>"non pertinent / nicht relevant"</formula>
    </cfRule>
    <cfRule type="cellIs" dxfId="4984" priority="3367" stopIfTrue="1" operator="equal">
      <formula>"61-80%"</formula>
    </cfRule>
    <cfRule type="cellIs" dxfId="4983" priority="3368" stopIfTrue="1" operator="equal">
      <formula>"41-60%"</formula>
    </cfRule>
    <cfRule type="cellIs" dxfId="4982" priority="3369" stopIfTrue="1" operator="equal">
      <formula>"21-40%"</formula>
    </cfRule>
    <cfRule type="cellIs" dxfId="4981" priority="3370" stopIfTrue="1" operator="equal">
      <formula>"0-20%"</formula>
    </cfRule>
    <cfRule type="cellIs" dxfId="4980" priority="3371" stopIfTrue="1" operator="equal">
      <formula>"81-100%"</formula>
    </cfRule>
    <cfRule type="cellIs" dxfId="4979" priority="3372" stopIfTrue="1" operator="equal">
      <formula>"100%"</formula>
    </cfRule>
  </conditionalFormatting>
  <conditionalFormatting sqref="AR208">
    <cfRule type="cellIs" dxfId="4978" priority="3357" stopIfTrue="1" operator="equal">
      <formula>"Régime présumé naturel (100%) / Abfluss vermutlich natürlich"</formula>
    </cfRule>
    <cfRule type="cellIs" dxfId="4977" priority="3358" stopIfTrue="1" operator="equal">
      <formula>"non pertinent / nicht relevant"</formula>
    </cfRule>
    <cfRule type="cellIs" dxfId="4976" priority="3359" stopIfTrue="1" operator="equal">
      <formula>"61-80%"</formula>
    </cfRule>
    <cfRule type="cellIs" dxfId="4975" priority="3360" stopIfTrue="1" operator="equal">
      <formula>"41-60%"</formula>
    </cfRule>
    <cfRule type="cellIs" dxfId="4974" priority="3361" stopIfTrue="1" operator="equal">
      <formula>"21-40%"</formula>
    </cfRule>
    <cfRule type="cellIs" dxfId="4973" priority="3362" stopIfTrue="1" operator="equal">
      <formula>"0-20%"</formula>
    </cfRule>
    <cfRule type="cellIs" dxfId="4972" priority="3363" stopIfTrue="1" operator="equal">
      <formula>"81-100%"</formula>
    </cfRule>
    <cfRule type="cellIs" dxfId="4971" priority="3364" stopIfTrue="1" operator="equal">
      <formula>"100%"</formula>
    </cfRule>
  </conditionalFormatting>
  <conditionalFormatting sqref="AR173">
    <cfRule type="cellIs" dxfId="4970" priority="3349" stopIfTrue="1" operator="equal">
      <formula>"Régime présumé naturel (100%) / Abfluss vermutlich natürlich"</formula>
    </cfRule>
    <cfRule type="cellIs" dxfId="4969" priority="3350" stopIfTrue="1" operator="equal">
      <formula>"non pertinent / nicht relevant"</formula>
    </cfRule>
    <cfRule type="cellIs" dxfId="4968" priority="3351" stopIfTrue="1" operator="equal">
      <formula>"61-80%"</formula>
    </cfRule>
    <cfRule type="cellIs" dxfId="4967" priority="3352" stopIfTrue="1" operator="equal">
      <formula>"41-60%"</formula>
    </cfRule>
    <cfRule type="cellIs" dxfId="4966" priority="3353" stopIfTrue="1" operator="equal">
      <formula>"21-40%"</formula>
    </cfRule>
    <cfRule type="cellIs" dxfId="4965" priority="3354" stopIfTrue="1" operator="equal">
      <formula>"0-20%"</formula>
    </cfRule>
    <cfRule type="cellIs" dxfId="4964" priority="3355" stopIfTrue="1" operator="equal">
      <formula>"81-100%"</formula>
    </cfRule>
    <cfRule type="cellIs" dxfId="4963" priority="3356" stopIfTrue="1" operator="equal">
      <formula>"100%"</formula>
    </cfRule>
  </conditionalFormatting>
  <conditionalFormatting sqref="AR153">
    <cfRule type="cellIs" dxfId="4962" priority="3341" stopIfTrue="1" operator="equal">
      <formula>"Régime présumé naturel (100%) / Abfluss vermutlich natürlich"</formula>
    </cfRule>
    <cfRule type="cellIs" dxfId="4961" priority="3342" stopIfTrue="1" operator="equal">
      <formula>"non pertinent / nicht relevant"</formula>
    </cfRule>
    <cfRule type="cellIs" dxfId="4960" priority="3343" stopIfTrue="1" operator="equal">
      <formula>"61-80%"</formula>
    </cfRule>
    <cfRule type="cellIs" dxfId="4959" priority="3344" stopIfTrue="1" operator="equal">
      <formula>"41-60%"</formula>
    </cfRule>
    <cfRule type="cellIs" dxfId="4958" priority="3345" stopIfTrue="1" operator="equal">
      <formula>"21-40%"</formula>
    </cfRule>
    <cfRule type="cellIs" dxfId="4957" priority="3346" stopIfTrue="1" operator="equal">
      <formula>"0-20%"</formula>
    </cfRule>
    <cfRule type="cellIs" dxfId="4956" priority="3347" stopIfTrue="1" operator="equal">
      <formula>"81-100%"</formula>
    </cfRule>
    <cfRule type="cellIs" dxfId="4955" priority="3348" stopIfTrue="1" operator="equal">
      <formula>"100%"</formula>
    </cfRule>
  </conditionalFormatting>
  <conditionalFormatting sqref="AR145:AR147">
    <cfRule type="cellIs" dxfId="4954" priority="3333" stopIfTrue="1" operator="equal">
      <formula>"Régime présumé naturel (100%) / Abfluss vermutlich natürlich"</formula>
    </cfRule>
    <cfRule type="cellIs" dxfId="4953" priority="3334" stopIfTrue="1" operator="equal">
      <formula>"non pertinent / nicht relevant"</formula>
    </cfRule>
    <cfRule type="cellIs" dxfId="4952" priority="3335" stopIfTrue="1" operator="equal">
      <formula>"61-80%"</formula>
    </cfRule>
    <cfRule type="cellIs" dxfId="4951" priority="3336" stopIfTrue="1" operator="equal">
      <formula>"41-60%"</formula>
    </cfRule>
    <cfRule type="cellIs" dxfId="4950" priority="3337" stopIfTrue="1" operator="equal">
      <formula>"21-40%"</formula>
    </cfRule>
    <cfRule type="cellIs" dxfId="4949" priority="3338" stopIfTrue="1" operator="equal">
      <formula>"0-20%"</formula>
    </cfRule>
    <cfRule type="cellIs" dxfId="4948" priority="3339" stopIfTrue="1" operator="equal">
      <formula>"81-100%"</formula>
    </cfRule>
    <cfRule type="cellIs" dxfId="4947" priority="3340" stopIfTrue="1" operator="equal">
      <formula>"100%"</formula>
    </cfRule>
  </conditionalFormatting>
  <conditionalFormatting sqref="AR123">
    <cfRule type="cellIs" dxfId="4946" priority="3325" stopIfTrue="1" operator="equal">
      <formula>"Régime présumé naturel (100%) / Abfluss vermutlich natürlich"</formula>
    </cfRule>
    <cfRule type="cellIs" dxfId="4945" priority="3326" stopIfTrue="1" operator="equal">
      <formula>"non pertinent / nicht relevant"</formula>
    </cfRule>
    <cfRule type="cellIs" dxfId="4944" priority="3327" stopIfTrue="1" operator="equal">
      <formula>"61-80%"</formula>
    </cfRule>
    <cfRule type="cellIs" dxfId="4943" priority="3328" stopIfTrue="1" operator="equal">
      <formula>"41-60%"</formula>
    </cfRule>
    <cfRule type="cellIs" dxfId="4942" priority="3329" stopIfTrue="1" operator="equal">
      <formula>"21-40%"</formula>
    </cfRule>
    <cfRule type="cellIs" dxfId="4941" priority="3330" stopIfTrue="1" operator="equal">
      <formula>"0-20%"</formula>
    </cfRule>
    <cfRule type="cellIs" dxfId="4940" priority="3331" stopIfTrue="1" operator="equal">
      <formula>"81-100%"</formula>
    </cfRule>
    <cfRule type="cellIs" dxfId="4939" priority="3332" stopIfTrue="1" operator="equal">
      <formula>"100%"</formula>
    </cfRule>
  </conditionalFormatting>
  <conditionalFormatting sqref="AR115:AR116">
    <cfRule type="cellIs" dxfId="4938" priority="3317" stopIfTrue="1" operator="equal">
      <formula>"Régime présumé naturel (100%) / Abfluss vermutlich natürlich"</formula>
    </cfRule>
    <cfRule type="cellIs" dxfId="4937" priority="3318" stopIfTrue="1" operator="equal">
      <formula>"non pertinent / nicht relevant"</formula>
    </cfRule>
    <cfRule type="cellIs" dxfId="4936" priority="3319" stopIfTrue="1" operator="equal">
      <formula>"61-80%"</formula>
    </cfRule>
    <cfRule type="cellIs" dxfId="4935" priority="3320" stopIfTrue="1" operator="equal">
      <formula>"41-60%"</formula>
    </cfRule>
    <cfRule type="cellIs" dxfId="4934" priority="3321" stopIfTrue="1" operator="equal">
      <formula>"21-40%"</formula>
    </cfRule>
    <cfRule type="cellIs" dxfId="4933" priority="3322" stopIfTrue="1" operator="equal">
      <formula>"0-20%"</formula>
    </cfRule>
    <cfRule type="cellIs" dxfId="4932" priority="3323" stopIfTrue="1" operator="equal">
      <formula>"81-100%"</formula>
    </cfRule>
    <cfRule type="cellIs" dxfId="4931" priority="3324" stopIfTrue="1" operator="equal">
      <formula>"100%"</formula>
    </cfRule>
  </conditionalFormatting>
  <conditionalFormatting sqref="AR92">
    <cfRule type="cellIs" dxfId="4930" priority="3309" stopIfTrue="1" operator="equal">
      <formula>"Régime présumé naturel (100%) / Abfluss vermutlich natürlich"</formula>
    </cfRule>
    <cfRule type="cellIs" dxfId="4929" priority="3310" stopIfTrue="1" operator="equal">
      <formula>"non pertinent / nicht relevant"</formula>
    </cfRule>
    <cfRule type="cellIs" dxfId="4928" priority="3311" stopIfTrue="1" operator="equal">
      <formula>"61-80%"</formula>
    </cfRule>
    <cfRule type="cellIs" dxfId="4927" priority="3312" stopIfTrue="1" operator="equal">
      <formula>"41-60%"</formula>
    </cfRule>
    <cfRule type="cellIs" dxfId="4926" priority="3313" stopIfTrue="1" operator="equal">
      <formula>"21-40%"</formula>
    </cfRule>
    <cfRule type="cellIs" dxfId="4925" priority="3314" stopIfTrue="1" operator="equal">
      <formula>"0-20%"</formula>
    </cfRule>
    <cfRule type="cellIs" dxfId="4924" priority="3315" stopIfTrue="1" operator="equal">
      <formula>"81-100%"</formula>
    </cfRule>
    <cfRule type="cellIs" dxfId="4923" priority="3316" stopIfTrue="1" operator="equal">
      <formula>"100%"</formula>
    </cfRule>
  </conditionalFormatting>
  <conditionalFormatting sqref="AR85">
    <cfRule type="cellIs" dxfId="4922" priority="3301" stopIfTrue="1" operator="equal">
      <formula>"Régime présumé naturel (100%) / Abfluss vermutlich natürlich"</formula>
    </cfRule>
    <cfRule type="cellIs" dxfId="4921" priority="3302" stopIfTrue="1" operator="equal">
      <formula>"non pertinent / nicht relevant"</formula>
    </cfRule>
    <cfRule type="cellIs" dxfId="4920" priority="3303" stopIfTrue="1" operator="equal">
      <formula>"61-80%"</formula>
    </cfRule>
    <cfRule type="cellIs" dxfId="4919" priority="3304" stopIfTrue="1" operator="equal">
      <formula>"41-60%"</formula>
    </cfRule>
    <cfRule type="cellIs" dxfId="4918" priority="3305" stopIfTrue="1" operator="equal">
      <formula>"21-40%"</formula>
    </cfRule>
    <cfRule type="cellIs" dxfId="4917" priority="3306" stopIfTrue="1" operator="equal">
      <formula>"0-20%"</formula>
    </cfRule>
    <cfRule type="cellIs" dxfId="4916" priority="3307" stopIfTrue="1" operator="equal">
      <formula>"81-100%"</formula>
    </cfRule>
    <cfRule type="cellIs" dxfId="4915" priority="3308" stopIfTrue="1" operator="equal">
      <formula>"100%"</formula>
    </cfRule>
  </conditionalFormatting>
  <conditionalFormatting sqref="AR48">
    <cfRule type="cellIs" dxfId="4914" priority="3293" stopIfTrue="1" operator="equal">
      <formula>"Régime présumé naturel (100%) / Abfluss vermutlich natürlich"</formula>
    </cfRule>
    <cfRule type="cellIs" dxfId="4913" priority="3294" stopIfTrue="1" operator="equal">
      <formula>"non pertinent / nicht relevant"</formula>
    </cfRule>
    <cfRule type="cellIs" dxfId="4912" priority="3295" stopIfTrue="1" operator="equal">
      <formula>"61-80%"</formula>
    </cfRule>
    <cfRule type="cellIs" dxfId="4911" priority="3296" stopIfTrue="1" operator="equal">
      <formula>"41-60%"</formula>
    </cfRule>
    <cfRule type="cellIs" dxfId="4910" priority="3297" stopIfTrue="1" operator="equal">
      <formula>"21-40%"</formula>
    </cfRule>
    <cfRule type="cellIs" dxfId="4909" priority="3298" stopIfTrue="1" operator="equal">
      <formula>"0-20%"</formula>
    </cfRule>
    <cfRule type="cellIs" dxfId="4908" priority="3299" stopIfTrue="1" operator="equal">
      <formula>"81-100%"</formula>
    </cfRule>
    <cfRule type="cellIs" dxfId="4907" priority="3300" stopIfTrue="1" operator="equal">
      <formula>"100%"</formula>
    </cfRule>
  </conditionalFormatting>
  <conditionalFormatting sqref="AR31">
    <cfRule type="cellIs" dxfId="4906" priority="3285" stopIfTrue="1" operator="equal">
      <formula>"Régime présumé naturel (100%) / Abfluss vermutlich natürlich"</formula>
    </cfRule>
    <cfRule type="cellIs" dxfId="4905" priority="3286" stopIfTrue="1" operator="equal">
      <formula>"non pertinent / nicht relevant"</formula>
    </cfRule>
    <cfRule type="cellIs" dxfId="4904" priority="3287" stopIfTrue="1" operator="equal">
      <formula>"61-80%"</formula>
    </cfRule>
    <cfRule type="cellIs" dxfId="4903" priority="3288" stopIfTrue="1" operator="equal">
      <formula>"41-60%"</formula>
    </cfRule>
    <cfRule type="cellIs" dxfId="4902" priority="3289" stopIfTrue="1" operator="equal">
      <formula>"21-40%"</formula>
    </cfRule>
    <cfRule type="cellIs" dxfId="4901" priority="3290" stopIfTrue="1" operator="equal">
      <formula>"0-20%"</formula>
    </cfRule>
    <cfRule type="cellIs" dxfId="4900" priority="3291" stopIfTrue="1" operator="equal">
      <formula>"81-100%"</formula>
    </cfRule>
    <cfRule type="cellIs" dxfId="4899" priority="3292" stopIfTrue="1" operator="equal">
      <formula>"100%"</formula>
    </cfRule>
  </conditionalFormatting>
  <conditionalFormatting sqref="AR23">
    <cfRule type="cellIs" dxfId="4898" priority="3277" stopIfTrue="1" operator="equal">
      <formula>"Régime présumé naturel (100%) / Abfluss vermutlich natürlich"</formula>
    </cfRule>
    <cfRule type="cellIs" dxfId="4897" priority="3278" stopIfTrue="1" operator="equal">
      <formula>"non pertinent / nicht relevant"</formula>
    </cfRule>
    <cfRule type="cellIs" dxfId="4896" priority="3279" stopIfTrue="1" operator="equal">
      <formula>"61-80%"</formula>
    </cfRule>
    <cfRule type="cellIs" dxfId="4895" priority="3280" stopIfTrue="1" operator="equal">
      <formula>"41-60%"</formula>
    </cfRule>
    <cfRule type="cellIs" dxfId="4894" priority="3281" stopIfTrue="1" operator="equal">
      <formula>"21-40%"</formula>
    </cfRule>
    <cfRule type="cellIs" dxfId="4893" priority="3282" stopIfTrue="1" operator="equal">
      <formula>"0-20%"</formula>
    </cfRule>
    <cfRule type="cellIs" dxfId="4892" priority="3283" stopIfTrue="1" operator="equal">
      <formula>"81-100%"</formula>
    </cfRule>
    <cfRule type="cellIs" dxfId="4891" priority="3284" stopIfTrue="1" operator="equal">
      <formula>"100%"</formula>
    </cfRule>
  </conditionalFormatting>
  <conditionalFormatting sqref="AR14">
    <cfRule type="cellIs" dxfId="4890" priority="3269" stopIfTrue="1" operator="equal">
      <formula>"Régime présumé naturel (100%) / Abfluss vermutlich natürlich"</formula>
    </cfRule>
    <cfRule type="cellIs" dxfId="4889" priority="3270" stopIfTrue="1" operator="equal">
      <formula>"non pertinent / nicht relevant"</formula>
    </cfRule>
    <cfRule type="cellIs" dxfId="4888" priority="3271" stopIfTrue="1" operator="equal">
      <formula>"61-80%"</formula>
    </cfRule>
    <cfRule type="cellIs" dxfId="4887" priority="3272" stopIfTrue="1" operator="equal">
      <formula>"41-60%"</formula>
    </cfRule>
    <cfRule type="cellIs" dxfId="4886" priority="3273" stopIfTrue="1" operator="equal">
      <formula>"21-40%"</formula>
    </cfRule>
    <cfRule type="cellIs" dxfId="4885" priority="3274" stopIfTrue="1" operator="equal">
      <formula>"0-20%"</formula>
    </cfRule>
    <cfRule type="cellIs" dxfId="4884" priority="3275" stopIfTrue="1" operator="equal">
      <formula>"81-100%"</formula>
    </cfRule>
    <cfRule type="cellIs" dxfId="4883" priority="3276" stopIfTrue="1" operator="equal">
      <formula>"100%"</formula>
    </cfRule>
  </conditionalFormatting>
  <conditionalFormatting sqref="AR28">
    <cfRule type="cellIs" dxfId="4882" priority="3261" stopIfTrue="1" operator="equal">
      <formula>"Régime présumé naturel (100%) / Abfluss vermutlich natürlich"</formula>
    </cfRule>
    <cfRule type="cellIs" dxfId="4881" priority="3262" stopIfTrue="1" operator="equal">
      <formula>"non pertinent / nicht relevant"</formula>
    </cfRule>
    <cfRule type="cellIs" dxfId="4880" priority="3263" stopIfTrue="1" operator="equal">
      <formula>"61-80%"</formula>
    </cfRule>
    <cfRule type="cellIs" dxfId="4879" priority="3264" stopIfTrue="1" operator="equal">
      <formula>"41-60%"</formula>
    </cfRule>
    <cfRule type="cellIs" dxfId="4878" priority="3265" stopIfTrue="1" operator="equal">
      <formula>"21-40%"</formula>
    </cfRule>
    <cfRule type="cellIs" dxfId="4877" priority="3266" stopIfTrue="1" operator="equal">
      <formula>"0-20%"</formula>
    </cfRule>
    <cfRule type="cellIs" dxfId="4876" priority="3267" stopIfTrue="1" operator="equal">
      <formula>"81-100%"</formula>
    </cfRule>
    <cfRule type="cellIs" dxfId="4875" priority="3268" stopIfTrue="1" operator="equal">
      <formula>"100%"</formula>
    </cfRule>
  </conditionalFormatting>
  <conditionalFormatting sqref="AR34">
    <cfRule type="cellIs" dxfId="4874" priority="3253" stopIfTrue="1" operator="equal">
      <formula>"Régime présumé naturel (100%) / Abfluss vermutlich natürlich"</formula>
    </cfRule>
    <cfRule type="cellIs" dxfId="4873" priority="3254" stopIfTrue="1" operator="equal">
      <formula>"non pertinent / nicht relevant"</formula>
    </cfRule>
    <cfRule type="cellIs" dxfId="4872" priority="3255" stopIfTrue="1" operator="equal">
      <formula>"61-80%"</formula>
    </cfRule>
    <cfRule type="cellIs" dxfId="4871" priority="3256" stopIfTrue="1" operator="equal">
      <formula>"41-60%"</formula>
    </cfRule>
    <cfRule type="cellIs" dxfId="4870" priority="3257" stopIfTrue="1" operator="equal">
      <formula>"21-40%"</formula>
    </cfRule>
    <cfRule type="cellIs" dxfId="4869" priority="3258" stopIfTrue="1" operator="equal">
      <formula>"0-20%"</formula>
    </cfRule>
    <cfRule type="cellIs" dxfId="4868" priority="3259" stopIfTrue="1" operator="equal">
      <formula>"81-100%"</formula>
    </cfRule>
    <cfRule type="cellIs" dxfId="4867" priority="3260" stopIfTrue="1" operator="equal">
      <formula>"100%"</formula>
    </cfRule>
  </conditionalFormatting>
  <conditionalFormatting sqref="AP114:AR114">
    <cfRule type="cellIs" dxfId="4866" priority="3245" stopIfTrue="1" operator="equal">
      <formula>"Régime présumé naturel (100%) / Abfluss vermutlich natürlich"</formula>
    </cfRule>
    <cfRule type="cellIs" dxfId="4865" priority="3246" stopIfTrue="1" operator="equal">
      <formula>"non pertinent / nicht relevant"</formula>
    </cfRule>
    <cfRule type="cellIs" dxfId="4864" priority="3247" stopIfTrue="1" operator="equal">
      <formula>"61-80%"</formula>
    </cfRule>
    <cfRule type="cellIs" dxfId="4863" priority="3248" stopIfTrue="1" operator="equal">
      <formula>"41-60%"</formula>
    </cfRule>
    <cfRule type="cellIs" dxfId="4862" priority="3249" stopIfTrue="1" operator="equal">
      <formula>"21-40%"</formula>
    </cfRule>
    <cfRule type="cellIs" dxfId="4861" priority="3250" stopIfTrue="1" operator="equal">
      <formula>"0-20%"</formula>
    </cfRule>
    <cfRule type="cellIs" dxfId="4860" priority="3251" stopIfTrue="1" operator="equal">
      <formula>"81-100%"</formula>
    </cfRule>
    <cfRule type="cellIs" dxfId="4859" priority="3252" stopIfTrue="1" operator="equal">
      <formula>"100%"</formula>
    </cfRule>
  </conditionalFormatting>
  <conditionalFormatting sqref="AR122">
    <cfRule type="cellIs" dxfId="4858" priority="3237" stopIfTrue="1" operator="equal">
      <formula>"Régime présumé naturel (100%) / Abfluss vermutlich natürlich"</formula>
    </cfRule>
    <cfRule type="cellIs" dxfId="4857" priority="3238" stopIfTrue="1" operator="equal">
      <formula>"non pertinent / nicht relevant"</formula>
    </cfRule>
    <cfRule type="cellIs" dxfId="4856" priority="3239" stopIfTrue="1" operator="equal">
      <formula>"61-80%"</formula>
    </cfRule>
    <cfRule type="cellIs" dxfId="4855" priority="3240" stopIfTrue="1" operator="equal">
      <formula>"41-60%"</formula>
    </cfRule>
    <cfRule type="cellIs" dxfId="4854" priority="3241" stopIfTrue="1" operator="equal">
      <formula>"21-40%"</formula>
    </cfRule>
    <cfRule type="cellIs" dxfId="4853" priority="3242" stopIfTrue="1" operator="equal">
      <formula>"0-20%"</formula>
    </cfRule>
    <cfRule type="cellIs" dxfId="4852" priority="3243" stopIfTrue="1" operator="equal">
      <formula>"81-100%"</formula>
    </cfRule>
    <cfRule type="cellIs" dxfId="4851" priority="3244" stopIfTrue="1" operator="equal">
      <formula>"100%"</formula>
    </cfRule>
  </conditionalFormatting>
  <conditionalFormatting sqref="AR124">
    <cfRule type="cellIs" dxfId="4850" priority="3229" stopIfTrue="1" operator="equal">
      <formula>"Régime présumé naturel (100%) / Abfluss vermutlich natürlich"</formula>
    </cfRule>
    <cfRule type="cellIs" dxfId="4849" priority="3230" stopIfTrue="1" operator="equal">
      <formula>"non pertinent / nicht relevant"</formula>
    </cfRule>
    <cfRule type="cellIs" dxfId="4848" priority="3231" stopIfTrue="1" operator="equal">
      <formula>"61-80%"</formula>
    </cfRule>
    <cfRule type="cellIs" dxfId="4847" priority="3232" stopIfTrue="1" operator="equal">
      <formula>"41-60%"</formula>
    </cfRule>
    <cfRule type="cellIs" dxfId="4846" priority="3233" stopIfTrue="1" operator="equal">
      <formula>"21-40%"</formula>
    </cfRule>
    <cfRule type="cellIs" dxfId="4845" priority="3234" stopIfTrue="1" operator="equal">
      <formula>"0-20%"</formula>
    </cfRule>
    <cfRule type="cellIs" dxfId="4844" priority="3235" stopIfTrue="1" operator="equal">
      <formula>"81-100%"</formula>
    </cfRule>
    <cfRule type="cellIs" dxfId="4843" priority="3236" stopIfTrue="1" operator="equal">
      <formula>"100%"</formula>
    </cfRule>
  </conditionalFormatting>
  <conditionalFormatting sqref="AR182">
    <cfRule type="cellIs" dxfId="4842" priority="3221" stopIfTrue="1" operator="equal">
      <formula>"Régime présumé naturel (100%) / Abfluss vermutlich natürlich"</formula>
    </cfRule>
    <cfRule type="cellIs" dxfId="4841" priority="3222" stopIfTrue="1" operator="equal">
      <formula>"non pertinent / nicht relevant"</formula>
    </cfRule>
    <cfRule type="cellIs" dxfId="4840" priority="3223" stopIfTrue="1" operator="equal">
      <formula>"61-80%"</formula>
    </cfRule>
    <cfRule type="cellIs" dxfId="4839" priority="3224" stopIfTrue="1" operator="equal">
      <formula>"41-60%"</formula>
    </cfRule>
    <cfRule type="cellIs" dxfId="4838" priority="3225" stopIfTrue="1" operator="equal">
      <formula>"21-40%"</formula>
    </cfRule>
    <cfRule type="cellIs" dxfId="4837" priority="3226" stopIfTrue="1" operator="equal">
      <formula>"0-20%"</formula>
    </cfRule>
    <cfRule type="cellIs" dxfId="4836" priority="3227" stopIfTrue="1" operator="equal">
      <formula>"81-100%"</formula>
    </cfRule>
    <cfRule type="cellIs" dxfId="4835" priority="3228" stopIfTrue="1" operator="equal">
      <formula>"100%"</formula>
    </cfRule>
  </conditionalFormatting>
  <conditionalFormatting sqref="AX207">
    <cfRule type="cellIs" dxfId="4834" priority="3213" stopIfTrue="1" operator="equal">
      <formula>"Régime présumé naturel (100%) / Abfluss vermutlich natürlich"</formula>
    </cfRule>
    <cfRule type="cellIs" dxfId="4833" priority="3214" stopIfTrue="1" operator="equal">
      <formula>"non pertinent / nicht relevant"</formula>
    </cfRule>
    <cfRule type="cellIs" dxfId="4832" priority="3215" stopIfTrue="1" operator="equal">
      <formula>"61-80%"</formula>
    </cfRule>
    <cfRule type="cellIs" dxfId="4831" priority="3216" stopIfTrue="1" operator="equal">
      <formula>"41-60%"</formula>
    </cfRule>
    <cfRule type="cellIs" dxfId="4830" priority="3217" stopIfTrue="1" operator="equal">
      <formula>"21-40%"</formula>
    </cfRule>
    <cfRule type="cellIs" dxfId="4829" priority="3218" stopIfTrue="1" operator="equal">
      <formula>"0-20%"</formula>
    </cfRule>
    <cfRule type="cellIs" dxfId="4828" priority="3219" stopIfTrue="1" operator="equal">
      <formula>"81-100%"</formula>
    </cfRule>
    <cfRule type="cellIs" dxfId="4827" priority="3220" stopIfTrue="1" operator="equal">
      <formula>"100%"</formula>
    </cfRule>
  </conditionalFormatting>
  <conditionalFormatting sqref="AR6">
    <cfRule type="cellIs" dxfId="4826" priority="3205" stopIfTrue="1" operator="equal">
      <formula>"Régime présumé naturel (100%) / Abfluss vermutlich natürlich"</formula>
    </cfRule>
    <cfRule type="cellIs" dxfId="4825" priority="3206" stopIfTrue="1" operator="equal">
      <formula>"non pertinent / nicht relevant"</formula>
    </cfRule>
    <cfRule type="cellIs" dxfId="4824" priority="3207" stopIfTrue="1" operator="equal">
      <formula>"61-80%"</formula>
    </cfRule>
    <cfRule type="cellIs" dxfId="4823" priority="3208" stopIfTrue="1" operator="equal">
      <formula>"41-60%"</formula>
    </cfRule>
    <cfRule type="cellIs" dxfId="4822" priority="3209" stopIfTrue="1" operator="equal">
      <formula>"21-40%"</formula>
    </cfRule>
    <cfRule type="cellIs" dxfId="4821" priority="3210" stopIfTrue="1" operator="equal">
      <formula>"0-20%"</formula>
    </cfRule>
    <cfRule type="cellIs" dxfId="4820" priority="3211" stopIfTrue="1" operator="equal">
      <formula>"81-100%"</formula>
    </cfRule>
    <cfRule type="cellIs" dxfId="4819" priority="3212" stopIfTrue="1" operator="equal">
      <formula>"100%"</formula>
    </cfRule>
  </conditionalFormatting>
  <conditionalFormatting sqref="AY31">
    <cfRule type="cellIs" dxfId="4818" priority="2999" stopIfTrue="1" operator="equal">
      <formula>"Régime présumé naturel (100%) / Abfluss vermutlich natürlich"</formula>
    </cfRule>
    <cfRule type="cellIs" dxfId="4817" priority="3000" stopIfTrue="1" operator="equal">
      <formula>"non pertinent / nicht relevant"</formula>
    </cfRule>
    <cfRule type="cellIs" dxfId="4816" priority="3001" stopIfTrue="1" operator="equal">
      <formula>"61-80%"</formula>
    </cfRule>
    <cfRule type="cellIs" dxfId="4815" priority="3002" stopIfTrue="1" operator="equal">
      <formula>"41-60%"</formula>
    </cfRule>
    <cfRule type="cellIs" dxfId="4814" priority="3003" stopIfTrue="1" operator="equal">
      <formula>"21-40%"</formula>
    </cfRule>
    <cfRule type="cellIs" dxfId="4813" priority="3004" stopIfTrue="1" operator="equal">
      <formula>"0-20%"</formula>
    </cfRule>
    <cfRule type="cellIs" dxfId="4812" priority="3005" stopIfTrue="1" operator="equal">
      <formula>"81-100%"</formula>
    </cfRule>
    <cfRule type="cellIs" dxfId="4811" priority="3006" stopIfTrue="1" operator="equal">
      <formula>"100%"</formula>
    </cfRule>
  </conditionalFormatting>
  <conditionalFormatting sqref="AY184">
    <cfRule type="cellIs" dxfId="4810" priority="3199" operator="equal">
      <formula>"non pertinent / nicht relevant"</formula>
    </cfRule>
    <cfRule type="cellIs" dxfId="4809" priority="3200" operator="equal">
      <formula>"Très nécessaire, facile / unbedingt nötig, einfach"</formula>
    </cfRule>
    <cfRule type="cellIs" dxfId="4808" priority="3201" operator="equal">
      <formula>"Très nécessaire, difficile / unbedingt nötig, schwierig"</formula>
    </cfRule>
    <cfRule type="cellIs" dxfId="4807" priority="3202" operator="equal">
      <formula>"Partiellement nécessaire, facile / teilweise nötig, einfach"</formula>
    </cfRule>
    <cfRule type="cellIs" dxfId="4806" priority="3203" operator="equal">
      <formula>"Partiellement nécessaire, difficile / teilweise nötig, schwierig"</formula>
    </cfRule>
    <cfRule type="cellIs" dxfId="4805" priority="3204" operator="equal">
      <formula>"Non nécessaire / nicht nötig"</formula>
    </cfRule>
  </conditionalFormatting>
  <conditionalFormatting sqref="AY272:AY273 AY275">
    <cfRule type="cellIs" dxfId="4804" priority="3191" stopIfTrue="1" operator="equal">
      <formula>"Régime présumé naturel (100%) / Abfluss vermutlich natürlich"</formula>
    </cfRule>
    <cfRule type="cellIs" dxfId="4803" priority="3192" stopIfTrue="1" operator="equal">
      <formula>"non pertinent / nicht relevant"</formula>
    </cfRule>
    <cfRule type="cellIs" dxfId="4802" priority="3193" stopIfTrue="1" operator="equal">
      <formula>"61-80%"</formula>
    </cfRule>
    <cfRule type="cellIs" dxfId="4801" priority="3194" stopIfTrue="1" operator="equal">
      <formula>"41-60%"</formula>
    </cfRule>
    <cfRule type="cellIs" dxfId="4800" priority="3195" stopIfTrue="1" operator="equal">
      <formula>"21-40%"</formula>
    </cfRule>
    <cfRule type="cellIs" dxfId="4799" priority="3196" stopIfTrue="1" operator="equal">
      <formula>"0-20%"</formula>
    </cfRule>
    <cfRule type="cellIs" dxfId="4798" priority="3197" stopIfTrue="1" operator="equal">
      <formula>"81-100%"</formula>
    </cfRule>
    <cfRule type="cellIs" dxfId="4797" priority="3198" stopIfTrue="1" operator="equal">
      <formula>"100%"</formula>
    </cfRule>
  </conditionalFormatting>
  <conditionalFormatting sqref="AY213:AY214 AY216:AY218 AY220 AY211">
    <cfRule type="cellIs" dxfId="4796" priority="3183" stopIfTrue="1" operator="equal">
      <formula>"Régime présumé naturel (100%) / Abfluss vermutlich natürlich"</formula>
    </cfRule>
    <cfRule type="cellIs" dxfId="4795" priority="3184" stopIfTrue="1" operator="equal">
      <formula>"non pertinent / nicht relevant"</formula>
    </cfRule>
    <cfRule type="cellIs" dxfId="4794" priority="3185" stopIfTrue="1" operator="equal">
      <formula>"61-80%"</formula>
    </cfRule>
    <cfRule type="cellIs" dxfId="4793" priority="3186" stopIfTrue="1" operator="equal">
      <formula>"41-60%"</formula>
    </cfRule>
    <cfRule type="cellIs" dxfId="4792" priority="3187" stopIfTrue="1" operator="equal">
      <formula>"21-40%"</formula>
    </cfRule>
    <cfRule type="cellIs" dxfId="4791" priority="3188" stopIfTrue="1" operator="equal">
      <formula>"0-20%"</formula>
    </cfRule>
    <cfRule type="cellIs" dxfId="4790" priority="3189" stopIfTrue="1" operator="equal">
      <formula>"81-100%"</formula>
    </cfRule>
    <cfRule type="cellIs" dxfId="4789" priority="3190" stopIfTrue="1" operator="equal">
      <formula>"100%"</formula>
    </cfRule>
  </conditionalFormatting>
  <conditionalFormatting sqref="AY215">
    <cfRule type="cellIs" dxfId="4788" priority="3175" stopIfTrue="1" operator="equal">
      <formula>"Régime présumé naturel (100%) / Abfluss vermutlich natürlich"</formula>
    </cfRule>
    <cfRule type="cellIs" dxfId="4787" priority="3176" stopIfTrue="1" operator="equal">
      <formula>"non pertinent / nicht relevant"</formula>
    </cfRule>
    <cfRule type="cellIs" dxfId="4786" priority="3177" stopIfTrue="1" operator="equal">
      <formula>"61-80%"</formula>
    </cfRule>
    <cfRule type="cellIs" dxfId="4785" priority="3178" stopIfTrue="1" operator="equal">
      <formula>"41-60%"</formula>
    </cfRule>
    <cfRule type="cellIs" dxfId="4784" priority="3179" stopIfTrue="1" operator="equal">
      <formula>"21-40%"</formula>
    </cfRule>
    <cfRule type="cellIs" dxfId="4783" priority="3180" stopIfTrue="1" operator="equal">
      <formula>"0-20%"</formula>
    </cfRule>
    <cfRule type="cellIs" dxfId="4782" priority="3181" stopIfTrue="1" operator="equal">
      <formula>"81-100%"</formula>
    </cfRule>
    <cfRule type="cellIs" dxfId="4781" priority="3182" stopIfTrue="1" operator="equal">
      <formula>"100%"</formula>
    </cfRule>
  </conditionalFormatting>
  <conditionalFormatting sqref="AY219">
    <cfRule type="cellIs" dxfId="4780" priority="3167" stopIfTrue="1" operator="equal">
      <formula>"Régime présumé naturel (100%) / Abfluss vermutlich natürlich"</formula>
    </cfRule>
    <cfRule type="cellIs" dxfId="4779" priority="3168" stopIfTrue="1" operator="equal">
      <formula>"non pertinent / nicht relevant"</formula>
    </cfRule>
    <cfRule type="cellIs" dxfId="4778" priority="3169" stopIfTrue="1" operator="equal">
      <formula>"61-80%"</formula>
    </cfRule>
    <cfRule type="cellIs" dxfId="4777" priority="3170" stopIfTrue="1" operator="equal">
      <formula>"41-60%"</formula>
    </cfRule>
    <cfRule type="cellIs" dxfId="4776" priority="3171" stopIfTrue="1" operator="equal">
      <formula>"21-40%"</formula>
    </cfRule>
    <cfRule type="cellIs" dxfId="4775" priority="3172" stopIfTrue="1" operator="equal">
      <formula>"0-20%"</formula>
    </cfRule>
    <cfRule type="cellIs" dxfId="4774" priority="3173" stopIfTrue="1" operator="equal">
      <formula>"81-100%"</formula>
    </cfRule>
    <cfRule type="cellIs" dxfId="4773" priority="3174" stopIfTrue="1" operator="equal">
      <formula>"100%"</formula>
    </cfRule>
  </conditionalFormatting>
  <conditionalFormatting sqref="AY177">
    <cfRule type="cellIs" dxfId="4772" priority="3159" stopIfTrue="1" operator="equal">
      <formula>"Régime présumé naturel (100%) / Abfluss vermutlich natürlich"</formula>
    </cfRule>
    <cfRule type="cellIs" dxfId="4771" priority="3160" stopIfTrue="1" operator="equal">
      <formula>"non pertinent / nicht relevant"</formula>
    </cfRule>
    <cfRule type="cellIs" dxfId="4770" priority="3161" stopIfTrue="1" operator="equal">
      <formula>"61-80%"</formula>
    </cfRule>
    <cfRule type="cellIs" dxfId="4769" priority="3162" stopIfTrue="1" operator="equal">
      <formula>"41-60%"</formula>
    </cfRule>
    <cfRule type="cellIs" dxfId="4768" priority="3163" stopIfTrue="1" operator="equal">
      <formula>"21-40%"</formula>
    </cfRule>
    <cfRule type="cellIs" dxfId="4767" priority="3164" stopIfTrue="1" operator="equal">
      <formula>"0-20%"</formula>
    </cfRule>
    <cfRule type="cellIs" dxfId="4766" priority="3165" stopIfTrue="1" operator="equal">
      <formula>"81-100%"</formula>
    </cfRule>
    <cfRule type="cellIs" dxfId="4765" priority="3166" stopIfTrue="1" operator="equal">
      <formula>"100%"</formula>
    </cfRule>
  </conditionalFormatting>
  <conditionalFormatting sqref="AY174:AY175 AY172">
    <cfRule type="cellIs" dxfId="4764" priority="3151" stopIfTrue="1" operator="equal">
      <formula>"Régime présumé naturel (100%) / Abfluss vermutlich natürlich"</formula>
    </cfRule>
    <cfRule type="cellIs" dxfId="4763" priority="3152" stopIfTrue="1" operator="equal">
      <formula>"non pertinent / nicht relevant"</formula>
    </cfRule>
    <cfRule type="cellIs" dxfId="4762" priority="3153" stopIfTrue="1" operator="equal">
      <formula>"61-80%"</formula>
    </cfRule>
    <cfRule type="cellIs" dxfId="4761" priority="3154" stopIfTrue="1" operator="equal">
      <formula>"41-60%"</formula>
    </cfRule>
    <cfRule type="cellIs" dxfId="4760" priority="3155" stopIfTrue="1" operator="equal">
      <formula>"21-40%"</formula>
    </cfRule>
    <cfRule type="cellIs" dxfId="4759" priority="3156" stopIfTrue="1" operator="equal">
      <formula>"0-20%"</formula>
    </cfRule>
    <cfRule type="cellIs" dxfId="4758" priority="3157" stopIfTrue="1" operator="equal">
      <formula>"81-100%"</formula>
    </cfRule>
    <cfRule type="cellIs" dxfId="4757" priority="3158" stopIfTrue="1" operator="equal">
      <formula>"100%"</formula>
    </cfRule>
  </conditionalFormatting>
  <conditionalFormatting sqref="AY173">
    <cfRule type="cellIs" dxfId="4756" priority="3143" stopIfTrue="1" operator="equal">
      <formula>"Régime présumé naturel (100%) / Abfluss vermutlich natürlich"</formula>
    </cfRule>
    <cfRule type="cellIs" dxfId="4755" priority="3144" stopIfTrue="1" operator="equal">
      <formula>"non pertinent / nicht relevant"</formula>
    </cfRule>
    <cfRule type="cellIs" dxfId="4754" priority="3145" stopIfTrue="1" operator="equal">
      <formula>"61-80%"</formula>
    </cfRule>
    <cfRule type="cellIs" dxfId="4753" priority="3146" stopIfTrue="1" operator="equal">
      <formula>"41-60%"</formula>
    </cfRule>
    <cfRule type="cellIs" dxfId="4752" priority="3147" stopIfTrue="1" operator="equal">
      <formula>"21-40%"</formula>
    </cfRule>
    <cfRule type="cellIs" dxfId="4751" priority="3148" stopIfTrue="1" operator="equal">
      <formula>"0-20%"</formula>
    </cfRule>
    <cfRule type="cellIs" dxfId="4750" priority="3149" stopIfTrue="1" operator="equal">
      <formula>"81-100%"</formula>
    </cfRule>
    <cfRule type="cellIs" dxfId="4749" priority="3150" stopIfTrue="1" operator="equal">
      <formula>"100%"</formula>
    </cfRule>
  </conditionalFormatting>
  <conditionalFormatting sqref="AY161:AY169">
    <cfRule type="cellIs" dxfId="4748" priority="3135" stopIfTrue="1" operator="equal">
      <formula>"Régime présumé naturel (100%) / Abfluss vermutlich natürlich"</formula>
    </cfRule>
    <cfRule type="cellIs" dxfId="4747" priority="3136" stopIfTrue="1" operator="equal">
      <formula>"non pertinent / nicht relevant"</formula>
    </cfRule>
    <cfRule type="cellIs" dxfId="4746" priority="3137" stopIfTrue="1" operator="equal">
      <formula>"61-80%"</formula>
    </cfRule>
    <cfRule type="cellIs" dxfId="4745" priority="3138" stopIfTrue="1" operator="equal">
      <formula>"41-60%"</formula>
    </cfRule>
    <cfRule type="cellIs" dxfId="4744" priority="3139" stopIfTrue="1" operator="equal">
      <formula>"21-40%"</formula>
    </cfRule>
    <cfRule type="cellIs" dxfId="4743" priority="3140" stopIfTrue="1" operator="equal">
      <formula>"0-20%"</formula>
    </cfRule>
    <cfRule type="cellIs" dxfId="4742" priority="3141" stopIfTrue="1" operator="equal">
      <formula>"81-100%"</formula>
    </cfRule>
    <cfRule type="cellIs" dxfId="4741" priority="3142" stopIfTrue="1" operator="equal">
      <formula>"100%"</formula>
    </cfRule>
  </conditionalFormatting>
  <conditionalFormatting sqref="AY154 AY156:AY158">
    <cfRule type="cellIs" dxfId="4740" priority="3127" stopIfTrue="1" operator="equal">
      <formula>"Régime présumé naturel (100%) / Abfluss vermutlich natürlich"</formula>
    </cfRule>
    <cfRule type="cellIs" dxfId="4739" priority="3128" stopIfTrue="1" operator="equal">
      <formula>"non pertinent / nicht relevant"</formula>
    </cfRule>
    <cfRule type="cellIs" dxfId="4738" priority="3129" stopIfTrue="1" operator="equal">
      <formula>"61-80%"</formula>
    </cfRule>
    <cfRule type="cellIs" dxfId="4737" priority="3130" stopIfTrue="1" operator="equal">
      <formula>"41-60%"</formula>
    </cfRule>
    <cfRule type="cellIs" dxfId="4736" priority="3131" stopIfTrue="1" operator="equal">
      <formula>"21-40%"</formula>
    </cfRule>
    <cfRule type="cellIs" dxfId="4735" priority="3132" stopIfTrue="1" operator="equal">
      <formula>"0-20%"</formula>
    </cfRule>
    <cfRule type="cellIs" dxfId="4734" priority="3133" stopIfTrue="1" operator="equal">
      <formula>"81-100%"</formula>
    </cfRule>
    <cfRule type="cellIs" dxfId="4733" priority="3134" stopIfTrue="1" operator="equal">
      <formula>"100%"</formula>
    </cfRule>
  </conditionalFormatting>
  <conditionalFormatting sqref="AY153">
    <cfRule type="cellIs" dxfId="4732" priority="3119" stopIfTrue="1" operator="equal">
      <formula>"Régime présumé naturel (100%) / Abfluss vermutlich natürlich"</formula>
    </cfRule>
    <cfRule type="cellIs" dxfId="4731" priority="3120" stopIfTrue="1" operator="equal">
      <formula>"non pertinent / nicht relevant"</formula>
    </cfRule>
    <cfRule type="cellIs" dxfId="4730" priority="3121" stopIfTrue="1" operator="equal">
      <formula>"61-80%"</formula>
    </cfRule>
    <cfRule type="cellIs" dxfId="4729" priority="3122" stopIfTrue="1" operator="equal">
      <formula>"41-60%"</formula>
    </cfRule>
    <cfRule type="cellIs" dxfId="4728" priority="3123" stopIfTrue="1" operator="equal">
      <formula>"21-40%"</formula>
    </cfRule>
    <cfRule type="cellIs" dxfId="4727" priority="3124" stopIfTrue="1" operator="equal">
      <formula>"0-20%"</formula>
    </cfRule>
    <cfRule type="cellIs" dxfId="4726" priority="3125" stopIfTrue="1" operator="equal">
      <formula>"81-100%"</formula>
    </cfRule>
    <cfRule type="cellIs" dxfId="4725" priority="3126" stopIfTrue="1" operator="equal">
      <formula>"100%"</formula>
    </cfRule>
  </conditionalFormatting>
  <conditionalFormatting sqref="AY144">
    <cfRule type="cellIs" dxfId="4724" priority="3111" stopIfTrue="1" operator="equal">
      <formula>"Régime présumé naturel (100%) / Abfluss vermutlich natürlich"</formula>
    </cfRule>
    <cfRule type="cellIs" dxfId="4723" priority="3112" stopIfTrue="1" operator="equal">
      <formula>"non pertinent / nicht relevant"</formula>
    </cfRule>
    <cfRule type="cellIs" dxfId="4722" priority="3113" stopIfTrue="1" operator="equal">
      <formula>"61-80%"</formula>
    </cfRule>
    <cfRule type="cellIs" dxfId="4721" priority="3114" stopIfTrue="1" operator="equal">
      <formula>"41-60%"</formula>
    </cfRule>
    <cfRule type="cellIs" dxfId="4720" priority="3115" stopIfTrue="1" operator="equal">
      <formula>"21-40%"</formula>
    </cfRule>
    <cfRule type="cellIs" dxfId="4719" priority="3116" stopIfTrue="1" operator="equal">
      <formula>"0-20%"</formula>
    </cfRule>
    <cfRule type="cellIs" dxfId="4718" priority="3117" stopIfTrue="1" operator="equal">
      <formula>"81-100%"</formula>
    </cfRule>
    <cfRule type="cellIs" dxfId="4717" priority="3118" stopIfTrue="1" operator="equal">
      <formula>"100%"</formula>
    </cfRule>
  </conditionalFormatting>
  <conditionalFormatting sqref="AY145:AY147">
    <cfRule type="cellIs" dxfId="4716" priority="3103" stopIfTrue="1" operator="equal">
      <formula>"Régime présumé naturel (100%) / Abfluss vermutlich natürlich"</formula>
    </cfRule>
    <cfRule type="cellIs" dxfId="4715" priority="3104" stopIfTrue="1" operator="equal">
      <formula>"non pertinent / nicht relevant"</formula>
    </cfRule>
    <cfRule type="cellIs" dxfId="4714" priority="3105" stopIfTrue="1" operator="equal">
      <formula>"61-80%"</formula>
    </cfRule>
    <cfRule type="cellIs" dxfId="4713" priority="3106" stopIfTrue="1" operator="equal">
      <formula>"41-60%"</formula>
    </cfRule>
    <cfRule type="cellIs" dxfId="4712" priority="3107" stopIfTrue="1" operator="equal">
      <formula>"21-40%"</formula>
    </cfRule>
    <cfRule type="cellIs" dxfId="4711" priority="3108" stopIfTrue="1" operator="equal">
      <formula>"0-20%"</formula>
    </cfRule>
    <cfRule type="cellIs" dxfId="4710" priority="3109" stopIfTrue="1" operator="equal">
      <formula>"81-100%"</formula>
    </cfRule>
    <cfRule type="cellIs" dxfId="4709" priority="3110" stopIfTrue="1" operator="equal">
      <formula>"100%"</formula>
    </cfRule>
  </conditionalFormatting>
  <conditionalFormatting sqref="AY149">
    <cfRule type="cellIs" dxfId="4708" priority="3095" stopIfTrue="1" operator="equal">
      <formula>"Régime présumé naturel (100%) / Abfluss vermutlich natürlich"</formula>
    </cfRule>
    <cfRule type="cellIs" dxfId="4707" priority="3096" stopIfTrue="1" operator="equal">
      <formula>"non pertinent / nicht relevant"</formula>
    </cfRule>
    <cfRule type="cellIs" dxfId="4706" priority="3097" stopIfTrue="1" operator="equal">
      <formula>"61-80%"</formula>
    </cfRule>
    <cfRule type="cellIs" dxfId="4705" priority="3098" stopIfTrue="1" operator="equal">
      <formula>"41-60%"</formula>
    </cfRule>
    <cfRule type="cellIs" dxfId="4704" priority="3099" stopIfTrue="1" operator="equal">
      <formula>"21-40%"</formula>
    </cfRule>
    <cfRule type="cellIs" dxfId="4703" priority="3100" stopIfTrue="1" operator="equal">
      <formula>"0-20%"</formula>
    </cfRule>
    <cfRule type="cellIs" dxfId="4702" priority="3101" stopIfTrue="1" operator="equal">
      <formula>"81-100%"</formula>
    </cfRule>
    <cfRule type="cellIs" dxfId="4701" priority="3102" stopIfTrue="1" operator="equal">
      <formula>"100%"</formula>
    </cfRule>
  </conditionalFormatting>
  <conditionalFormatting sqref="AY152">
    <cfRule type="cellIs" dxfId="4700" priority="3087" stopIfTrue="1" operator="equal">
      <formula>"Régime présumé naturel (100%) / Abfluss vermutlich natürlich"</formula>
    </cfRule>
    <cfRule type="cellIs" dxfId="4699" priority="3088" stopIfTrue="1" operator="equal">
      <formula>"non pertinent / nicht relevant"</formula>
    </cfRule>
    <cfRule type="cellIs" dxfId="4698" priority="3089" stopIfTrue="1" operator="equal">
      <formula>"61-80%"</formula>
    </cfRule>
    <cfRule type="cellIs" dxfId="4697" priority="3090" stopIfTrue="1" operator="equal">
      <formula>"41-60%"</formula>
    </cfRule>
    <cfRule type="cellIs" dxfId="4696" priority="3091" stopIfTrue="1" operator="equal">
      <formula>"21-40%"</formula>
    </cfRule>
    <cfRule type="cellIs" dxfId="4695" priority="3092" stopIfTrue="1" operator="equal">
      <formula>"0-20%"</formula>
    </cfRule>
    <cfRule type="cellIs" dxfId="4694" priority="3093" stopIfTrue="1" operator="equal">
      <formula>"81-100%"</formula>
    </cfRule>
    <cfRule type="cellIs" dxfId="4693" priority="3094" stopIfTrue="1" operator="equal">
      <formula>"100%"</formula>
    </cfRule>
  </conditionalFormatting>
  <conditionalFormatting sqref="AY148">
    <cfRule type="cellIs" dxfId="4692" priority="3079" stopIfTrue="1" operator="equal">
      <formula>"Régime présumé naturel (100%) / Abfluss vermutlich natürlich"</formula>
    </cfRule>
    <cfRule type="cellIs" dxfId="4691" priority="3080" stopIfTrue="1" operator="equal">
      <formula>"non pertinent / nicht relevant"</formula>
    </cfRule>
    <cfRule type="cellIs" dxfId="4690" priority="3081" stopIfTrue="1" operator="equal">
      <formula>"61-80%"</formula>
    </cfRule>
    <cfRule type="cellIs" dxfId="4689" priority="3082" stopIfTrue="1" operator="equal">
      <formula>"41-60%"</formula>
    </cfRule>
    <cfRule type="cellIs" dxfId="4688" priority="3083" stopIfTrue="1" operator="equal">
      <formula>"21-40%"</formula>
    </cfRule>
    <cfRule type="cellIs" dxfId="4687" priority="3084" stopIfTrue="1" operator="equal">
      <formula>"0-20%"</formula>
    </cfRule>
    <cfRule type="cellIs" dxfId="4686" priority="3085" stopIfTrue="1" operator="equal">
      <formula>"81-100%"</formula>
    </cfRule>
    <cfRule type="cellIs" dxfId="4685" priority="3086" stopIfTrue="1" operator="equal">
      <formula>"100%"</formula>
    </cfRule>
  </conditionalFormatting>
  <conditionalFormatting sqref="AY151">
    <cfRule type="cellIs" dxfId="4684" priority="3071" stopIfTrue="1" operator="equal">
      <formula>"Régime présumé naturel (100%) / Abfluss vermutlich natürlich"</formula>
    </cfRule>
    <cfRule type="cellIs" dxfId="4683" priority="3072" stopIfTrue="1" operator="equal">
      <formula>"non pertinent / nicht relevant"</formula>
    </cfRule>
    <cfRule type="cellIs" dxfId="4682" priority="3073" stopIfTrue="1" operator="equal">
      <formula>"61-80%"</formula>
    </cfRule>
    <cfRule type="cellIs" dxfId="4681" priority="3074" stopIfTrue="1" operator="equal">
      <formula>"41-60%"</formula>
    </cfRule>
    <cfRule type="cellIs" dxfId="4680" priority="3075" stopIfTrue="1" operator="equal">
      <formula>"21-40%"</formula>
    </cfRule>
    <cfRule type="cellIs" dxfId="4679" priority="3076" stopIfTrue="1" operator="equal">
      <formula>"0-20%"</formula>
    </cfRule>
    <cfRule type="cellIs" dxfId="4678" priority="3077" stopIfTrue="1" operator="equal">
      <formula>"81-100%"</formula>
    </cfRule>
    <cfRule type="cellIs" dxfId="4677" priority="3078" stopIfTrue="1" operator="equal">
      <formula>"100%"</formula>
    </cfRule>
  </conditionalFormatting>
  <conditionalFormatting sqref="AY77:AY80">
    <cfRule type="cellIs" dxfId="4676" priority="3063" stopIfTrue="1" operator="equal">
      <formula>"Régime présumé naturel (100%) / Abfluss vermutlich natürlich"</formula>
    </cfRule>
    <cfRule type="cellIs" dxfId="4675" priority="3064" stopIfTrue="1" operator="equal">
      <formula>"non pertinent / nicht relevant"</formula>
    </cfRule>
    <cfRule type="cellIs" dxfId="4674" priority="3065" stopIfTrue="1" operator="equal">
      <formula>"61-80%"</formula>
    </cfRule>
    <cfRule type="cellIs" dxfId="4673" priority="3066" stopIfTrue="1" operator="equal">
      <formula>"41-60%"</formula>
    </cfRule>
    <cfRule type="cellIs" dxfId="4672" priority="3067" stopIfTrue="1" operator="equal">
      <formula>"21-40%"</formula>
    </cfRule>
    <cfRule type="cellIs" dxfId="4671" priority="3068" stopIfTrue="1" operator="equal">
      <formula>"0-20%"</formula>
    </cfRule>
    <cfRule type="cellIs" dxfId="4670" priority="3069" stopIfTrue="1" operator="equal">
      <formula>"81-100%"</formula>
    </cfRule>
    <cfRule type="cellIs" dxfId="4669" priority="3070" stopIfTrue="1" operator="equal">
      <formula>"100%"</formula>
    </cfRule>
  </conditionalFormatting>
  <conditionalFormatting sqref="AY62:AY64 AY66:AY68">
    <cfRule type="cellIs" dxfId="4668" priority="3055" stopIfTrue="1" operator="equal">
      <formula>"Régime présumé naturel (100%) / Abfluss vermutlich natürlich"</formula>
    </cfRule>
    <cfRule type="cellIs" dxfId="4667" priority="3056" stopIfTrue="1" operator="equal">
      <formula>"non pertinent / nicht relevant"</formula>
    </cfRule>
    <cfRule type="cellIs" dxfId="4666" priority="3057" stopIfTrue="1" operator="equal">
      <formula>"61-80%"</formula>
    </cfRule>
    <cfRule type="cellIs" dxfId="4665" priority="3058" stopIfTrue="1" operator="equal">
      <formula>"41-60%"</formula>
    </cfRule>
    <cfRule type="cellIs" dxfId="4664" priority="3059" stopIfTrue="1" operator="equal">
      <formula>"21-40%"</formula>
    </cfRule>
    <cfRule type="cellIs" dxfId="4663" priority="3060" stopIfTrue="1" operator="equal">
      <formula>"0-20%"</formula>
    </cfRule>
    <cfRule type="cellIs" dxfId="4662" priority="3061" stopIfTrue="1" operator="equal">
      <formula>"81-100%"</formula>
    </cfRule>
    <cfRule type="cellIs" dxfId="4661" priority="3062" stopIfTrue="1" operator="equal">
      <formula>"100%"</formula>
    </cfRule>
  </conditionalFormatting>
  <conditionalFormatting sqref="AY69">
    <cfRule type="cellIs" dxfId="4660" priority="3047" stopIfTrue="1" operator="equal">
      <formula>"Régime présumé naturel (100%) / Abfluss vermutlich natürlich"</formula>
    </cfRule>
    <cfRule type="cellIs" dxfId="4659" priority="3048" stopIfTrue="1" operator="equal">
      <formula>"non pertinent / nicht relevant"</formula>
    </cfRule>
    <cfRule type="cellIs" dxfId="4658" priority="3049" stopIfTrue="1" operator="equal">
      <formula>"61-80%"</formula>
    </cfRule>
    <cfRule type="cellIs" dxfId="4657" priority="3050" stopIfTrue="1" operator="equal">
      <formula>"41-60%"</formula>
    </cfRule>
    <cfRule type="cellIs" dxfId="4656" priority="3051" stopIfTrue="1" operator="equal">
      <formula>"21-40%"</formula>
    </cfRule>
    <cfRule type="cellIs" dxfId="4655" priority="3052" stopIfTrue="1" operator="equal">
      <formula>"0-20%"</formula>
    </cfRule>
    <cfRule type="cellIs" dxfId="4654" priority="3053" stopIfTrue="1" operator="equal">
      <formula>"81-100%"</formula>
    </cfRule>
    <cfRule type="cellIs" dxfId="4653" priority="3054" stopIfTrue="1" operator="equal">
      <formula>"100%"</formula>
    </cfRule>
  </conditionalFormatting>
  <conditionalFormatting sqref="AY49:AY61 AY46">
    <cfRule type="cellIs" dxfId="4652" priority="3039" stopIfTrue="1" operator="equal">
      <formula>"Régime présumé naturel (100%) / Abfluss vermutlich natürlich"</formula>
    </cfRule>
    <cfRule type="cellIs" dxfId="4651" priority="3040" stopIfTrue="1" operator="equal">
      <formula>"non pertinent / nicht relevant"</formula>
    </cfRule>
    <cfRule type="cellIs" dxfId="4650" priority="3041" stopIfTrue="1" operator="equal">
      <formula>"61-80%"</formula>
    </cfRule>
    <cfRule type="cellIs" dxfId="4649" priority="3042" stopIfTrue="1" operator="equal">
      <formula>"41-60%"</formula>
    </cfRule>
    <cfRule type="cellIs" dxfId="4648" priority="3043" stopIfTrue="1" operator="equal">
      <formula>"21-40%"</formula>
    </cfRule>
    <cfRule type="cellIs" dxfId="4647" priority="3044" stopIfTrue="1" operator="equal">
      <formula>"0-20%"</formula>
    </cfRule>
    <cfRule type="cellIs" dxfId="4646" priority="3045" stopIfTrue="1" operator="equal">
      <formula>"81-100%"</formula>
    </cfRule>
    <cfRule type="cellIs" dxfId="4645" priority="3046" stopIfTrue="1" operator="equal">
      <formula>"100%"</formula>
    </cfRule>
  </conditionalFormatting>
  <conditionalFormatting sqref="AY48">
    <cfRule type="cellIs" dxfId="4644" priority="3031" stopIfTrue="1" operator="equal">
      <formula>"Régime présumé naturel (100%) / Abfluss vermutlich natürlich"</formula>
    </cfRule>
    <cfRule type="cellIs" dxfId="4643" priority="3032" stopIfTrue="1" operator="equal">
      <formula>"non pertinent / nicht relevant"</formula>
    </cfRule>
    <cfRule type="cellIs" dxfId="4642" priority="3033" stopIfTrue="1" operator="equal">
      <formula>"61-80%"</formula>
    </cfRule>
    <cfRule type="cellIs" dxfId="4641" priority="3034" stopIfTrue="1" operator="equal">
      <formula>"41-60%"</formula>
    </cfRule>
    <cfRule type="cellIs" dxfId="4640" priority="3035" stopIfTrue="1" operator="equal">
      <formula>"21-40%"</formula>
    </cfRule>
    <cfRule type="cellIs" dxfId="4639" priority="3036" stopIfTrue="1" operator="equal">
      <formula>"0-20%"</formula>
    </cfRule>
    <cfRule type="cellIs" dxfId="4638" priority="3037" stopIfTrue="1" operator="equal">
      <formula>"81-100%"</formula>
    </cfRule>
    <cfRule type="cellIs" dxfId="4637" priority="3038" stopIfTrue="1" operator="equal">
      <formula>"100%"</formula>
    </cfRule>
  </conditionalFormatting>
  <conditionalFormatting sqref="AY22 AY24:AY27 AY32:AY33 AY35:AY37 AY13 AY15:AY20 AY29 AY39:AY43 AY8:AY10 AY5 AZ5:BA275">
    <cfRule type="cellIs" dxfId="4636" priority="3023" stopIfTrue="1" operator="equal">
      <formula>"Régime présumé naturel (100%) / Abfluss vermutlich natürlich"</formula>
    </cfRule>
    <cfRule type="cellIs" dxfId="4635" priority="3024" stopIfTrue="1" operator="equal">
      <formula>"non pertinent / nicht relevant"</formula>
    </cfRule>
    <cfRule type="cellIs" dxfId="4634" priority="3025" stopIfTrue="1" operator="equal">
      <formula>"61-80%"</formula>
    </cfRule>
    <cfRule type="cellIs" dxfId="4633" priority="3026" stopIfTrue="1" operator="equal">
      <formula>"41-60%"</formula>
    </cfRule>
    <cfRule type="cellIs" dxfId="4632" priority="3027" stopIfTrue="1" operator="equal">
      <formula>"21-40%"</formula>
    </cfRule>
    <cfRule type="cellIs" dxfId="4631" priority="3028" stopIfTrue="1" operator="equal">
      <formula>"0-20%"</formula>
    </cfRule>
    <cfRule type="cellIs" dxfId="4630" priority="3029" stopIfTrue="1" operator="equal">
      <formula>"81-100%"</formula>
    </cfRule>
    <cfRule type="cellIs" dxfId="4629" priority="3030" stopIfTrue="1" operator="equal">
      <formula>"100%"</formula>
    </cfRule>
  </conditionalFormatting>
  <conditionalFormatting sqref="AY11">
    <cfRule type="cellIs" dxfId="4628" priority="3015" stopIfTrue="1" operator="equal">
      <formula>"Régime présumé naturel (100%) / Abfluss vermutlich natürlich"</formula>
    </cfRule>
    <cfRule type="cellIs" dxfId="4627" priority="3016" stopIfTrue="1" operator="equal">
      <formula>"non pertinent / nicht relevant"</formula>
    </cfRule>
    <cfRule type="cellIs" dxfId="4626" priority="3017" stopIfTrue="1" operator="equal">
      <formula>"61-80%"</formula>
    </cfRule>
    <cfRule type="cellIs" dxfId="4625" priority="3018" stopIfTrue="1" operator="equal">
      <formula>"41-60%"</formula>
    </cfRule>
    <cfRule type="cellIs" dxfId="4624" priority="3019" stopIfTrue="1" operator="equal">
      <formula>"21-40%"</formula>
    </cfRule>
    <cfRule type="cellIs" dxfId="4623" priority="3020" stopIfTrue="1" operator="equal">
      <formula>"0-20%"</formula>
    </cfRule>
    <cfRule type="cellIs" dxfId="4622" priority="3021" stopIfTrue="1" operator="equal">
      <formula>"81-100%"</formula>
    </cfRule>
    <cfRule type="cellIs" dxfId="4621" priority="3022" stopIfTrue="1" operator="equal">
      <formula>"100%"</formula>
    </cfRule>
  </conditionalFormatting>
  <conditionalFormatting sqref="AY21">
    <cfRule type="cellIs" dxfId="4620" priority="3007" stopIfTrue="1" operator="equal">
      <formula>"Régime présumé naturel (100%) / Abfluss vermutlich natürlich"</formula>
    </cfRule>
    <cfRule type="cellIs" dxfId="4619" priority="3008" stopIfTrue="1" operator="equal">
      <formula>"non pertinent / nicht relevant"</formula>
    </cfRule>
    <cfRule type="cellIs" dxfId="4618" priority="3009" stopIfTrue="1" operator="equal">
      <formula>"61-80%"</formula>
    </cfRule>
    <cfRule type="cellIs" dxfId="4617" priority="3010" stopIfTrue="1" operator="equal">
      <formula>"41-60%"</formula>
    </cfRule>
    <cfRule type="cellIs" dxfId="4616" priority="3011" stopIfTrue="1" operator="equal">
      <formula>"21-40%"</formula>
    </cfRule>
    <cfRule type="cellIs" dxfId="4615" priority="3012" stopIfTrue="1" operator="equal">
      <formula>"0-20%"</formula>
    </cfRule>
    <cfRule type="cellIs" dxfId="4614" priority="3013" stopIfTrue="1" operator="equal">
      <formula>"81-100%"</formula>
    </cfRule>
    <cfRule type="cellIs" dxfId="4613" priority="3014" stopIfTrue="1" operator="equal">
      <formula>"100%"</formula>
    </cfRule>
  </conditionalFormatting>
  <conditionalFormatting sqref="AY23">
    <cfRule type="cellIs" dxfId="4612" priority="2991" stopIfTrue="1" operator="equal">
      <formula>"Régime présumé naturel (100%) / Abfluss vermutlich natürlich"</formula>
    </cfRule>
    <cfRule type="cellIs" dxfId="4611" priority="2992" stopIfTrue="1" operator="equal">
      <formula>"non pertinent / nicht relevant"</formula>
    </cfRule>
    <cfRule type="cellIs" dxfId="4610" priority="2993" stopIfTrue="1" operator="equal">
      <formula>"61-80%"</formula>
    </cfRule>
    <cfRule type="cellIs" dxfId="4609" priority="2994" stopIfTrue="1" operator="equal">
      <formula>"41-60%"</formula>
    </cfRule>
    <cfRule type="cellIs" dxfId="4608" priority="2995" stopIfTrue="1" operator="equal">
      <formula>"21-40%"</formula>
    </cfRule>
    <cfRule type="cellIs" dxfId="4607" priority="2996" stopIfTrue="1" operator="equal">
      <formula>"0-20%"</formula>
    </cfRule>
    <cfRule type="cellIs" dxfId="4606" priority="2997" stopIfTrue="1" operator="equal">
      <formula>"81-100%"</formula>
    </cfRule>
    <cfRule type="cellIs" dxfId="4605" priority="2998" stopIfTrue="1" operator="equal">
      <formula>"100%"</formula>
    </cfRule>
  </conditionalFormatting>
  <conditionalFormatting sqref="AY14">
    <cfRule type="cellIs" dxfId="4604" priority="2983" stopIfTrue="1" operator="equal">
      <formula>"Régime présumé naturel (100%) / Abfluss vermutlich natürlich"</formula>
    </cfRule>
    <cfRule type="cellIs" dxfId="4603" priority="2984" stopIfTrue="1" operator="equal">
      <formula>"non pertinent / nicht relevant"</formula>
    </cfRule>
    <cfRule type="cellIs" dxfId="4602" priority="2985" stopIfTrue="1" operator="equal">
      <formula>"61-80%"</formula>
    </cfRule>
    <cfRule type="cellIs" dxfId="4601" priority="2986" stopIfTrue="1" operator="equal">
      <formula>"41-60%"</formula>
    </cfRule>
    <cfRule type="cellIs" dxfId="4600" priority="2987" stopIfTrue="1" operator="equal">
      <formula>"21-40%"</formula>
    </cfRule>
    <cfRule type="cellIs" dxfId="4599" priority="2988" stopIfTrue="1" operator="equal">
      <formula>"0-20%"</formula>
    </cfRule>
    <cfRule type="cellIs" dxfId="4598" priority="2989" stopIfTrue="1" operator="equal">
      <formula>"81-100%"</formula>
    </cfRule>
    <cfRule type="cellIs" dxfId="4597" priority="2990" stopIfTrue="1" operator="equal">
      <formula>"100%"</formula>
    </cfRule>
  </conditionalFormatting>
  <conditionalFormatting sqref="AY28">
    <cfRule type="cellIs" dxfId="4596" priority="2975" stopIfTrue="1" operator="equal">
      <formula>"Régime présumé naturel (100%) / Abfluss vermutlich natürlich"</formula>
    </cfRule>
    <cfRule type="cellIs" dxfId="4595" priority="2976" stopIfTrue="1" operator="equal">
      <formula>"non pertinent / nicht relevant"</formula>
    </cfRule>
    <cfRule type="cellIs" dxfId="4594" priority="2977" stopIfTrue="1" operator="equal">
      <formula>"61-80%"</formula>
    </cfRule>
    <cfRule type="cellIs" dxfId="4593" priority="2978" stopIfTrue="1" operator="equal">
      <formula>"41-60%"</formula>
    </cfRule>
    <cfRule type="cellIs" dxfId="4592" priority="2979" stopIfTrue="1" operator="equal">
      <formula>"21-40%"</formula>
    </cfRule>
    <cfRule type="cellIs" dxfId="4591" priority="2980" stopIfTrue="1" operator="equal">
      <formula>"0-20%"</formula>
    </cfRule>
    <cfRule type="cellIs" dxfId="4590" priority="2981" stopIfTrue="1" operator="equal">
      <formula>"81-100%"</formula>
    </cfRule>
    <cfRule type="cellIs" dxfId="4589" priority="2982" stopIfTrue="1" operator="equal">
      <formula>"100%"</formula>
    </cfRule>
  </conditionalFormatting>
  <conditionalFormatting sqref="AY34">
    <cfRule type="cellIs" dxfId="4588" priority="2967" stopIfTrue="1" operator="equal">
      <formula>"Régime présumé naturel (100%) / Abfluss vermutlich natürlich"</formula>
    </cfRule>
    <cfRule type="cellIs" dxfId="4587" priority="2968" stopIfTrue="1" operator="equal">
      <formula>"non pertinent / nicht relevant"</formula>
    </cfRule>
    <cfRule type="cellIs" dxfId="4586" priority="2969" stopIfTrue="1" operator="equal">
      <formula>"61-80%"</formula>
    </cfRule>
    <cfRule type="cellIs" dxfId="4585" priority="2970" stopIfTrue="1" operator="equal">
      <formula>"41-60%"</formula>
    </cfRule>
    <cfRule type="cellIs" dxfId="4584" priority="2971" stopIfTrue="1" operator="equal">
      <formula>"21-40%"</formula>
    </cfRule>
    <cfRule type="cellIs" dxfId="4583" priority="2972" stopIfTrue="1" operator="equal">
      <formula>"0-20%"</formula>
    </cfRule>
    <cfRule type="cellIs" dxfId="4582" priority="2973" stopIfTrue="1" operator="equal">
      <formula>"81-100%"</formula>
    </cfRule>
    <cfRule type="cellIs" dxfId="4581" priority="2974" stopIfTrue="1" operator="equal">
      <formula>"100%"</formula>
    </cfRule>
  </conditionalFormatting>
  <conditionalFormatting sqref="AY171">
    <cfRule type="cellIs" dxfId="4580" priority="2959" stopIfTrue="1" operator="equal">
      <formula>"Régime présumé naturel (100%) / Abfluss vermutlich natürlich"</formula>
    </cfRule>
    <cfRule type="cellIs" dxfId="4579" priority="2960" stopIfTrue="1" operator="equal">
      <formula>"non pertinent / nicht relevant"</formula>
    </cfRule>
    <cfRule type="cellIs" dxfId="4578" priority="2961" stopIfTrue="1" operator="equal">
      <formula>"61-80%"</formula>
    </cfRule>
    <cfRule type="cellIs" dxfId="4577" priority="2962" stopIfTrue="1" operator="equal">
      <formula>"41-60%"</formula>
    </cfRule>
    <cfRule type="cellIs" dxfId="4576" priority="2963" stopIfTrue="1" operator="equal">
      <formula>"21-40%"</formula>
    </cfRule>
    <cfRule type="cellIs" dxfId="4575" priority="2964" stopIfTrue="1" operator="equal">
      <formula>"0-20%"</formula>
    </cfRule>
    <cfRule type="cellIs" dxfId="4574" priority="2965" stopIfTrue="1" operator="equal">
      <formula>"81-100%"</formula>
    </cfRule>
    <cfRule type="cellIs" dxfId="4573" priority="2966" stopIfTrue="1" operator="equal">
      <formula>"100%"</formula>
    </cfRule>
  </conditionalFormatting>
  <conditionalFormatting sqref="AY12">
    <cfRule type="cellIs" dxfId="4572" priority="2951" stopIfTrue="1" operator="equal">
      <formula>"Régime présumé naturel (100%) / Abfluss vermutlich natürlich"</formula>
    </cfRule>
    <cfRule type="cellIs" dxfId="4571" priority="2952" stopIfTrue="1" operator="equal">
      <formula>"non pertinent / nicht relevant"</formula>
    </cfRule>
    <cfRule type="cellIs" dxfId="4570" priority="2953" stopIfTrue="1" operator="equal">
      <formula>"61-80%"</formula>
    </cfRule>
    <cfRule type="cellIs" dxfId="4569" priority="2954" stopIfTrue="1" operator="equal">
      <formula>"41-60%"</formula>
    </cfRule>
    <cfRule type="cellIs" dxfId="4568" priority="2955" stopIfTrue="1" operator="equal">
      <formula>"21-40%"</formula>
    </cfRule>
    <cfRule type="cellIs" dxfId="4567" priority="2956" stopIfTrue="1" operator="equal">
      <formula>"0-20%"</formula>
    </cfRule>
    <cfRule type="cellIs" dxfId="4566" priority="2957" stopIfTrue="1" operator="equal">
      <formula>"81-100%"</formula>
    </cfRule>
    <cfRule type="cellIs" dxfId="4565" priority="2958" stopIfTrue="1" operator="equal">
      <formula>"100%"</formula>
    </cfRule>
  </conditionalFormatting>
  <conditionalFormatting sqref="AR12">
    <cfRule type="cellIs" dxfId="4564" priority="2943" stopIfTrue="1" operator="equal">
      <formula>"Régime présumé naturel (100%) / Abfluss vermutlich natürlich"</formula>
    </cfRule>
    <cfRule type="cellIs" dxfId="4563" priority="2944" stopIfTrue="1" operator="equal">
      <formula>"non pertinent / nicht relevant"</formula>
    </cfRule>
    <cfRule type="cellIs" dxfId="4562" priority="2945" stopIfTrue="1" operator="equal">
      <formula>"61-80%"</formula>
    </cfRule>
    <cfRule type="cellIs" dxfId="4561" priority="2946" stopIfTrue="1" operator="equal">
      <formula>"41-60%"</formula>
    </cfRule>
    <cfRule type="cellIs" dxfId="4560" priority="2947" stopIfTrue="1" operator="equal">
      <formula>"21-40%"</formula>
    </cfRule>
    <cfRule type="cellIs" dxfId="4559" priority="2948" stopIfTrue="1" operator="equal">
      <formula>"0-20%"</formula>
    </cfRule>
    <cfRule type="cellIs" dxfId="4558" priority="2949" stopIfTrue="1" operator="equal">
      <formula>"81-100%"</formula>
    </cfRule>
    <cfRule type="cellIs" dxfId="4557" priority="2950" stopIfTrue="1" operator="equal">
      <formula>"100%"</formula>
    </cfRule>
  </conditionalFormatting>
  <conditionalFormatting sqref="AR38">
    <cfRule type="cellIs" dxfId="4556" priority="2935" stopIfTrue="1" operator="equal">
      <formula>"Régime présumé naturel (100%) / Abfluss vermutlich natürlich"</formula>
    </cfRule>
    <cfRule type="cellIs" dxfId="4555" priority="2936" stopIfTrue="1" operator="equal">
      <formula>"non pertinent / nicht relevant"</formula>
    </cfRule>
    <cfRule type="cellIs" dxfId="4554" priority="2937" stopIfTrue="1" operator="equal">
      <formula>"61-80%"</formula>
    </cfRule>
    <cfRule type="cellIs" dxfId="4553" priority="2938" stopIfTrue="1" operator="equal">
      <formula>"41-60%"</formula>
    </cfRule>
    <cfRule type="cellIs" dxfId="4552" priority="2939" stopIfTrue="1" operator="equal">
      <formula>"21-40%"</formula>
    </cfRule>
    <cfRule type="cellIs" dxfId="4551" priority="2940" stopIfTrue="1" operator="equal">
      <formula>"0-20%"</formula>
    </cfRule>
    <cfRule type="cellIs" dxfId="4550" priority="2941" stopIfTrue="1" operator="equal">
      <formula>"81-100%"</formula>
    </cfRule>
    <cfRule type="cellIs" dxfId="4549" priority="2942" stopIfTrue="1" operator="equal">
      <formula>"100%"</formula>
    </cfRule>
  </conditionalFormatting>
  <conditionalFormatting sqref="AY38">
    <cfRule type="cellIs" dxfId="4548" priority="2927" stopIfTrue="1" operator="equal">
      <formula>"Régime présumé naturel (100%) / Abfluss vermutlich natürlich"</formula>
    </cfRule>
    <cfRule type="cellIs" dxfId="4547" priority="2928" stopIfTrue="1" operator="equal">
      <formula>"non pertinent / nicht relevant"</formula>
    </cfRule>
    <cfRule type="cellIs" dxfId="4546" priority="2929" stopIfTrue="1" operator="equal">
      <formula>"61-80%"</formula>
    </cfRule>
    <cfRule type="cellIs" dxfId="4545" priority="2930" stopIfTrue="1" operator="equal">
      <formula>"41-60%"</formula>
    </cfRule>
    <cfRule type="cellIs" dxfId="4544" priority="2931" stopIfTrue="1" operator="equal">
      <formula>"21-40%"</formula>
    </cfRule>
    <cfRule type="cellIs" dxfId="4543" priority="2932" stopIfTrue="1" operator="equal">
      <formula>"0-20%"</formula>
    </cfRule>
    <cfRule type="cellIs" dxfId="4542" priority="2933" stopIfTrue="1" operator="equal">
      <formula>"81-100%"</formula>
    </cfRule>
    <cfRule type="cellIs" dxfId="4541" priority="2934" stopIfTrue="1" operator="equal">
      <formula>"100%"</formula>
    </cfRule>
  </conditionalFormatting>
  <conditionalFormatting sqref="AY45">
    <cfRule type="cellIs" dxfId="4540" priority="2919" stopIfTrue="1" operator="equal">
      <formula>"Régime présumé naturel (100%) / Abfluss vermutlich natürlich"</formula>
    </cfRule>
    <cfRule type="cellIs" dxfId="4539" priority="2920" stopIfTrue="1" operator="equal">
      <formula>"non pertinent / nicht relevant"</formula>
    </cfRule>
    <cfRule type="cellIs" dxfId="4538" priority="2921" stopIfTrue="1" operator="equal">
      <formula>"61-80%"</formula>
    </cfRule>
    <cfRule type="cellIs" dxfId="4537" priority="2922" stopIfTrue="1" operator="equal">
      <formula>"41-60%"</formula>
    </cfRule>
    <cfRule type="cellIs" dxfId="4536" priority="2923" stopIfTrue="1" operator="equal">
      <formula>"21-40%"</formula>
    </cfRule>
    <cfRule type="cellIs" dxfId="4535" priority="2924" stopIfTrue="1" operator="equal">
      <formula>"0-20%"</formula>
    </cfRule>
    <cfRule type="cellIs" dxfId="4534" priority="2925" stopIfTrue="1" operator="equal">
      <formula>"81-100%"</formula>
    </cfRule>
    <cfRule type="cellIs" dxfId="4533" priority="2926" stopIfTrue="1" operator="equal">
      <formula>"100%"</formula>
    </cfRule>
  </conditionalFormatting>
  <conditionalFormatting sqref="AY47">
    <cfRule type="cellIs" dxfId="4532" priority="2911" stopIfTrue="1" operator="equal">
      <formula>"Régime présumé naturel (100%) / Abfluss vermutlich natürlich"</formula>
    </cfRule>
    <cfRule type="cellIs" dxfId="4531" priority="2912" stopIfTrue="1" operator="equal">
      <formula>"non pertinent / nicht relevant"</formula>
    </cfRule>
    <cfRule type="cellIs" dxfId="4530" priority="2913" stopIfTrue="1" operator="equal">
      <formula>"61-80%"</formula>
    </cfRule>
    <cfRule type="cellIs" dxfId="4529" priority="2914" stopIfTrue="1" operator="equal">
      <formula>"41-60%"</formula>
    </cfRule>
    <cfRule type="cellIs" dxfId="4528" priority="2915" stopIfTrue="1" operator="equal">
      <formula>"21-40%"</formula>
    </cfRule>
    <cfRule type="cellIs" dxfId="4527" priority="2916" stopIfTrue="1" operator="equal">
      <formula>"0-20%"</formula>
    </cfRule>
    <cfRule type="cellIs" dxfId="4526" priority="2917" stopIfTrue="1" operator="equal">
      <formula>"81-100%"</formula>
    </cfRule>
    <cfRule type="cellIs" dxfId="4525" priority="2918" stopIfTrue="1" operator="equal">
      <formula>"100%"</formula>
    </cfRule>
  </conditionalFormatting>
  <conditionalFormatting sqref="AR47">
    <cfRule type="cellIs" dxfId="4524" priority="2903" stopIfTrue="1" operator="equal">
      <formula>"Régime présumé naturel (100%) / Abfluss vermutlich natürlich"</formula>
    </cfRule>
    <cfRule type="cellIs" dxfId="4523" priority="2904" stopIfTrue="1" operator="equal">
      <formula>"non pertinent / nicht relevant"</formula>
    </cfRule>
    <cfRule type="cellIs" dxfId="4522" priority="2905" stopIfTrue="1" operator="equal">
      <formula>"61-80%"</formula>
    </cfRule>
    <cfRule type="cellIs" dxfId="4521" priority="2906" stopIfTrue="1" operator="equal">
      <formula>"41-60%"</formula>
    </cfRule>
    <cfRule type="cellIs" dxfId="4520" priority="2907" stopIfTrue="1" operator="equal">
      <formula>"21-40%"</formula>
    </cfRule>
    <cfRule type="cellIs" dxfId="4519" priority="2908" stopIfTrue="1" operator="equal">
      <formula>"0-20%"</formula>
    </cfRule>
    <cfRule type="cellIs" dxfId="4518" priority="2909" stopIfTrue="1" operator="equal">
      <formula>"81-100%"</formula>
    </cfRule>
    <cfRule type="cellIs" dxfId="4517" priority="2910" stopIfTrue="1" operator="equal">
      <formula>"100%"</formula>
    </cfRule>
  </conditionalFormatting>
  <conditionalFormatting sqref="AR45">
    <cfRule type="cellIs" dxfId="4516" priority="2895" stopIfTrue="1" operator="equal">
      <formula>"Régime présumé naturel (100%) / Abfluss vermutlich natürlich"</formula>
    </cfRule>
    <cfRule type="cellIs" dxfId="4515" priority="2896" stopIfTrue="1" operator="equal">
      <formula>"non pertinent / nicht relevant"</formula>
    </cfRule>
    <cfRule type="cellIs" dxfId="4514" priority="2897" stopIfTrue="1" operator="equal">
      <formula>"61-80%"</formula>
    </cfRule>
    <cfRule type="cellIs" dxfId="4513" priority="2898" stopIfTrue="1" operator="equal">
      <formula>"41-60%"</formula>
    </cfRule>
    <cfRule type="cellIs" dxfId="4512" priority="2899" stopIfTrue="1" operator="equal">
      <formula>"21-40%"</formula>
    </cfRule>
    <cfRule type="cellIs" dxfId="4511" priority="2900" stopIfTrue="1" operator="equal">
      <formula>"0-20%"</formula>
    </cfRule>
    <cfRule type="cellIs" dxfId="4510" priority="2901" stopIfTrue="1" operator="equal">
      <formula>"81-100%"</formula>
    </cfRule>
    <cfRule type="cellIs" dxfId="4509" priority="2902" stopIfTrue="1" operator="equal">
      <formula>"100%"</formula>
    </cfRule>
  </conditionalFormatting>
  <conditionalFormatting sqref="AY65">
    <cfRule type="cellIs" dxfId="4508" priority="2887" stopIfTrue="1" operator="equal">
      <formula>"Régime présumé naturel (100%) / Abfluss vermutlich natürlich"</formula>
    </cfRule>
    <cfRule type="cellIs" dxfId="4507" priority="2888" stopIfTrue="1" operator="equal">
      <formula>"non pertinent / nicht relevant"</formula>
    </cfRule>
    <cfRule type="cellIs" dxfId="4506" priority="2889" stopIfTrue="1" operator="equal">
      <formula>"61-80%"</formula>
    </cfRule>
    <cfRule type="cellIs" dxfId="4505" priority="2890" stopIfTrue="1" operator="equal">
      <formula>"41-60%"</formula>
    </cfRule>
    <cfRule type="cellIs" dxfId="4504" priority="2891" stopIfTrue="1" operator="equal">
      <formula>"21-40%"</formula>
    </cfRule>
    <cfRule type="cellIs" dxfId="4503" priority="2892" stopIfTrue="1" operator="equal">
      <formula>"0-20%"</formula>
    </cfRule>
    <cfRule type="cellIs" dxfId="4502" priority="2893" stopIfTrue="1" operator="equal">
      <formula>"81-100%"</formula>
    </cfRule>
    <cfRule type="cellIs" dxfId="4501" priority="2894" stopIfTrue="1" operator="equal">
      <formula>"100%"</formula>
    </cfRule>
  </conditionalFormatting>
  <conditionalFormatting sqref="AR65">
    <cfRule type="cellIs" dxfId="4500" priority="2879" stopIfTrue="1" operator="equal">
      <formula>"Régime présumé naturel (100%) / Abfluss vermutlich natürlich"</formula>
    </cfRule>
    <cfRule type="cellIs" dxfId="4499" priority="2880" stopIfTrue="1" operator="equal">
      <formula>"non pertinent / nicht relevant"</formula>
    </cfRule>
    <cfRule type="cellIs" dxfId="4498" priority="2881" stopIfTrue="1" operator="equal">
      <formula>"61-80%"</formula>
    </cfRule>
    <cfRule type="cellIs" dxfId="4497" priority="2882" stopIfTrue="1" operator="equal">
      <formula>"41-60%"</formula>
    </cfRule>
    <cfRule type="cellIs" dxfId="4496" priority="2883" stopIfTrue="1" operator="equal">
      <formula>"21-40%"</formula>
    </cfRule>
    <cfRule type="cellIs" dxfId="4495" priority="2884" stopIfTrue="1" operator="equal">
      <formula>"0-20%"</formula>
    </cfRule>
    <cfRule type="cellIs" dxfId="4494" priority="2885" stopIfTrue="1" operator="equal">
      <formula>"81-100%"</formula>
    </cfRule>
    <cfRule type="cellIs" dxfId="4493" priority="2886" stopIfTrue="1" operator="equal">
      <formula>"100%"</formula>
    </cfRule>
  </conditionalFormatting>
  <conditionalFormatting sqref="AR70">
    <cfRule type="cellIs" dxfId="4492" priority="2871" stopIfTrue="1" operator="equal">
      <formula>"Régime présumé naturel (100%) / Abfluss vermutlich natürlich"</formula>
    </cfRule>
    <cfRule type="cellIs" dxfId="4491" priority="2872" stopIfTrue="1" operator="equal">
      <formula>"non pertinent / nicht relevant"</formula>
    </cfRule>
    <cfRule type="cellIs" dxfId="4490" priority="2873" stopIfTrue="1" operator="equal">
      <formula>"61-80%"</formula>
    </cfRule>
    <cfRule type="cellIs" dxfId="4489" priority="2874" stopIfTrue="1" operator="equal">
      <formula>"41-60%"</formula>
    </cfRule>
    <cfRule type="cellIs" dxfId="4488" priority="2875" stopIfTrue="1" operator="equal">
      <formula>"21-40%"</formula>
    </cfRule>
    <cfRule type="cellIs" dxfId="4487" priority="2876" stopIfTrue="1" operator="equal">
      <formula>"0-20%"</formula>
    </cfRule>
    <cfRule type="cellIs" dxfId="4486" priority="2877" stopIfTrue="1" operator="equal">
      <formula>"81-100%"</formula>
    </cfRule>
    <cfRule type="cellIs" dxfId="4485" priority="2878" stopIfTrue="1" operator="equal">
      <formula>"100%"</formula>
    </cfRule>
  </conditionalFormatting>
  <conditionalFormatting sqref="AY70">
    <cfRule type="cellIs" dxfId="4484" priority="2863" stopIfTrue="1" operator="equal">
      <formula>"Régime présumé naturel (100%) / Abfluss vermutlich natürlich"</formula>
    </cfRule>
    <cfRule type="cellIs" dxfId="4483" priority="2864" stopIfTrue="1" operator="equal">
      <formula>"non pertinent / nicht relevant"</formula>
    </cfRule>
    <cfRule type="cellIs" dxfId="4482" priority="2865" stopIfTrue="1" operator="equal">
      <formula>"61-80%"</formula>
    </cfRule>
    <cfRule type="cellIs" dxfId="4481" priority="2866" stopIfTrue="1" operator="equal">
      <formula>"41-60%"</formula>
    </cfRule>
    <cfRule type="cellIs" dxfId="4480" priority="2867" stopIfTrue="1" operator="equal">
      <formula>"21-40%"</formula>
    </cfRule>
    <cfRule type="cellIs" dxfId="4479" priority="2868" stopIfTrue="1" operator="equal">
      <formula>"0-20%"</formula>
    </cfRule>
    <cfRule type="cellIs" dxfId="4478" priority="2869" stopIfTrue="1" operator="equal">
      <formula>"81-100%"</formula>
    </cfRule>
    <cfRule type="cellIs" dxfId="4477" priority="2870" stopIfTrue="1" operator="equal">
      <formula>"100%"</formula>
    </cfRule>
  </conditionalFormatting>
  <conditionalFormatting sqref="AR75">
    <cfRule type="cellIs" dxfId="4476" priority="2855" stopIfTrue="1" operator="equal">
      <formula>"Régime présumé naturel (100%) / Abfluss vermutlich natürlich"</formula>
    </cfRule>
    <cfRule type="cellIs" dxfId="4475" priority="2856" stopIfTrue="1" operator="equal">
      <formula>"non pertinent / nicht relevant"</formula>
    </cfRule>
    <cfRule type="cellIs" dxfId="4474" priority="2857" stopIfTrue="1" operator="equal">
      <formula>"61-80%"</formula>
    </cfRule>
    <cfRule type="cellIs" dxfId="4473" priority="2858" stopIfTrue="1" operator="equal">
      <formula>"41-60%"</formula>
    </cfRule>
    <cfRule type="cellIs" dxfId="4472" priority="2859" stopIfTrue="1" operator="equal">
      <formula>"21-40%"</formula>
    </cfRule>
    <cfRule type="cellIs" dxfId="4471" priority="2860" stopIfTrue="1" operator="equal">
      <formula>"0-20%"</formula>
    </cfRule>
    <cfRule type="cellIs" dxfId="4470" priority="2861" stopIfTrue="1" operator="equal">
      <formula>"81-100%"</formula>
    </cfRule>
    <cfRule type="cellIs" dxfId="4469" priority="2862" stopIfTrue="1" operator="equal">
      <formula>"100%"</formula>
    </cfRule>
  </conditionalFormatting>
  <conditionalFormatting sqref="AY75">
    <cfRule type="cellIs" dxfId="4468" priority="2847" stopIfTrue="1" operator="equal">
      <formula>"Régime présumé naturel (100%) / Abfluss vermutlich natürlich"</formula>
    </cfRule>
    <cfRule type="cellIs" dxfId="4467" priority="2848" stopIfTrue="1" operator="equal">
      <formula>"non pertinent / nicht relevant"</formula>
    </cfRule>
    <cfRule type="cellIs" dxfId="4466" priority="2849" stopIfTrue="1" operator="equal">
      <formula>"61-80%"</formula>
    </cfRule>
    <cfRule type="cellIs" dxfId="4465" priority="2850" stopIfTrue="1" operator="equal">
      <formula>"41-60%"</formula>
    </cfRule>
    <cfRule type="cellIs" dxfId="4464" priority="2851" stopIfTrue="1" operator="equal">
      <formula>"21-40%"</formula>
    </cfRule>
    <cfRule type="cellIs" dxfId="4463" priority="2852" stopIfTrue="1" operator="equal">
      <formula>"0-20%"</formula>
    </cfRule>
    <cfRule type="cellIs" dxfId="4462" priority="2853" stopIfTrue="1" operator="equal">
      <formula>"81-100%"</formula>
    </cfRule>
    <cfRule type="cellIs" dxfId="4461" priority="2854" stopIfTrue="1" operator="equal">
      <formula>"100%"</formula>
    </cfRule>
  </conditionalFormatting>
  <conditionalFormatting sqref="AR73">
    <cfRule type="cellIs" dxfId="4460" priority="2839" stopIfTrue="1" operator="equal">
      <formula>"Régime présumé naturel (100%) / Abfluss vermutlich natürlich"</formula>
    </cfRule>
    <cfRule type="cellIs" dxfId="4459" priority="2840" stopIfTrue="1" operator="equal">
      <formula>"non pertinent / nicht relevant"</formula>
    </cfRule>
    <cfRule type="cellIs" dxfId="4458" priority="2841" stopIfTrue="1" operator="equal">
      <formula>"61-80%"</formula>
    </cfRule>
    <cfRule type="cellIs" dxfId="4457" priority="2842" stopIfTrue="1" operator="equal">
      <formula>"41-60%"</formula>
    </cfRule>
    <cfRule type="cellIs" dxfId="4456" priority="2843" stopIfTrue="1" operator="equal">
      <formula>"21-40%"</formula>
    </cfRule>
    <cfRule type="cellIs" dxfId="4455" priority="2844" stopIfTrue="1" operator="equal">
      <formula>"0-20%"</formula>
    </cfRule>
    <cfRule type="cellIs" dxfId="4454" priority="2845" stopIfTrue="1" operator="equal">
      <formula>"81-100%"</formula>
    </cfRule>
    <cfRule type="cellIs" dxfId="4453" priority="2846" stopIfTrue="1" operator="equal">
      <formula>"100%"</formula>
    </cfRule>
  </conditionalFormatting>
  <conditionalFormatting sqref="AR120">
    <cfRule type="cellIs" dxfId="4452" priority="2831" stopIfTrue="1" operator="equal">
      <formula>"Régime présumé naturel (100%) / Abfluss vermutlich natürlich"</formula>
    </cfRule>
    <cfRule type="cellIs" dxfId="4451" priority="2832" stopIfTrue="1" operator="equal">
      <formula>"non pertinent / nicht relevant"</formula>
    </cfRule>
    <cfRule type="cellIs" dxfId="4450" priority="2833" stopIfTrue="1" operator="equal">
      <formula>"61-80%"</formula>
    </cfRule>
    <cfRule type="cellIs" dxfId="4449" priority="2834" stopIfTrue="1" operator="equal">
      <formula>"41-60%"</formula>
    </cfRule>
    <cfRule type="cellIs" dxfId="4448" priority="2835" stopIfTrue="1" operator="equal">
      <formula>"21-40%"</formula>
    </cfRule>
    <cfRule type="cellIs" dxfId="4447" priority="2836" stopIfTrue="1" operator="equal">
      <formula>"0-20%"</formula>
    </cfRule>
    <cfRule type="cellIs" dxfId="4446" priority="2837" stopIfTrue="1" operator="equal">
      <formula>"81-100%"</formula>
    </cfRule>
    <cfRule type="cellIs" dxfId="4445" priority="2838" stopIfTrue="1" operator="equal">
      <formula>"100%"</formula>
    </cfRule>
  </conditionalFormatting>
  <conditionalFormatting sqref="AR150">
    <cfRule type="cellIs" dxfId="4444" priority="2823" stopIfTrue="1" operator="equal">
      <formula>"Régime présumé naturel (100%) / Abfluss vermutlich natürlich"</formula>
    </cfRule>
    <cfRule type="cellIs" dxfId="4443" priority="2824" stopIfTrue="1" operator="equal">
      <formula>"non pertinent / nicht relevant"</formula>
    </cfRule>
    <cfRule type="cellIs" dxfId="4442" priority="2825" stopIfTrue="1" operator="equal">
      <formula>"61-80%"</formula>
    </cfRule>
    <cfRule type="cellIs" dxfId="4441" priority="2826" stopIfTrue="1" operator="equal">
      <formula>"41-60%"</formula>
    </cfRule>
    <cfRule type="cellIs" dxfId="4440" priority="2827" stopIfTrue="1" operator="equal">
      <formula>"21-40%"</formula>
    </cfRule>
    <cfRule type="cellIs" dxfId="4439" priority="2828" stopIfTrue="1" operator="equal">
      <formula>"0-20%"</formula>
    </cfRule>
    <cfRule type="cellIs" dxfId="4438" priority="2829" stopIfTrue="1" operator="equal">
      <formula>"81-100%"</formula>
    </cfRule>
    <cfRule type="cellIs" dxfId="4437" priority="2830" stopIfTrue="1" operator="equal">
      <formula>"100%"</formula>
    </cfRule>
  </conditionalFormatting>
  <conditionalFormatting sqref="AY189:AY207">
    <cfRule type="cellIs" dxfId="4436" priority="2815" stopIfTrue="1" operator="equal">
      <formula>"Régime présumé naturel (100%) / Abfluss vermutlich natürlich"</formula>
    </cfRule>
    <cfRule type="cellIs" dxfId="4435" priority="2816" stopIfTrue="1" operator="equal">
      <formula>"non pertinent / nicht relevant"</formula>
    </cfRule>
    <cfRule type="cellIs" dxfId="4434" priority="2817" stopIfTrue="1" operator="equal">
      <formula>"61-80%"</formula>
    </cfRule>
    <cfRule type="cellIs" dxfId="4433" priority="2818" stopIfTrue="1" operator="equal">
      <formula>"41-60%"</formula>
    </cfRule>
    <cfRule type="cellIs" dxfId="4432" priority="2819" stopIfTrue="1" operator="equal">
      <formula>"21-40%"</formula>
    </cfRule>
    <cfRule type="cellIs" dxfId="4431" priority="2820" stopIfTrue="1" operator="equal">
      <formula>"0-20%"</formula>
    </cfRule>
    <cfRule type="cellIs" dxfId="4430" priority="2821" stopIfTrue="1" operator="equal">
      <formula>"81-100%"</formula>
    </cfRule>
    <cfRule type="cellIs" dxfId="4429" priority="2822" stopIfTrue="1" operator="equal">
      <formula>"100%"</formula>
    </cfRule>
  </conditionalFormatting>
  <conditionalFormatting sqref="AR232">
    <cfRule type="cellIs" dxfId="4428" priority="2807" stopIfTrue="1" operator="equal">
      <formula>"Régime présumé naturel (100%) / Abfluss vermutlich natürlich"</formula>
    </cfRule>
    <cfRule type="cellIs" dxfId="4427" priority="2808" stopIfTrue="1" operator="equal">
      <formula>"non pertinent / nicht relevant"</formula>
    </cfRule>
    <cfRule type="cellIs" dxfId="4426" priority="2809" stopIfTrue="1" operator="equal">
      <formula>"61-80%"</formula>
    </cfRule>
    <cfRule type="cellIs" dxfId="4425" priority="2810" stopIfTrue="1" operator="equal">
      <formula>"41-60%"</formula>
    </cfRule>
    <cfRule type="cellIs" dxfId="4424" priority="2811" stopIfTrue="1" operator="equal">
      <formula>"21-40%"</formula>
    </cfRule>
    <cfRule type="cellIs" dxfId="4423" priority="2812" stopIfTrue="1" operator="equal">
      <formula>"0-20%"</formula>
    </cfRule>
    <cfRule type="cellIs" dxfId="4422" priority="2813" stopIfTrue="1" operator="equal">
      <formula>"81-100%"</formula>
    </cfRule>
    <cfRule type="cellIs" dxfId="4421" priority="2814" stopIfTrue="1" operator="equal">
      <formula>"100%"</formula>
    </cfRule>
  </conditionalFormatting>
  <conditionalFormatting sqref="AR234">
    <cfRule type="cellIs" dxfId="4420" priority="2799" stopIfTrue="1" operator="equal">
      <formula>"Régime présumé naturel (100%) / Abfluss vermutlich natürlich"</formula>
    </cfRule>
    <cfRule type="cellIs" dxfId="4419" priority="2800" stopIfTrue="1" operator="equal">
      <formula>"non pertinent / nicht relevant"</formula>
    </cfRule>
    <cfRule type="cellIs" dxfId="4418" priority="2801" stopIfTrue="1" operator="equal">
      <formula>"61-80%"</formula>
    </cfRule>
    <cfRule type="cellIs" dxfId="4417" priority="2802" stopIfTrue="1" operator="equal">
      <formula>"41-60%"</formula>
    </cfRule>
    <cfRule type="cellIs" dxfId="4416" priority="2803" stopIfTrue="1" operator="equal">
      <formula>"21-40%"</formula>
    </cfRule>
    <cfRule type="cellIs" dxfId="4415" priority="2804" stopIfTrue="1" operator="equal">
      <formula>"0-20%"</formula>
    </cfRule>
    <cfRule type="cellIs" dxfId="4414" priority="2805" stopIfTrue="1" operator="equal">
      <formula>"81-100%"</formula>
    </cfRule>
    <cfRule type="cellIs" dxfId="4413" priority="2806" stopIfTrue="1" operator="equal">
      <formula>"100%"</formula>
    </cfRule>
  </conditionalFormatting>
  <conditionalFormatting sqref="AR235">
    <cfRule type="cellIs" dxfId="4412" priority="2791" stopIfTrue="1" operator="equal">
      <formula>"Régime présumé naturel (100%) / Abfluss vermutlich natürlich"</formula>
    </cfRule>
    <cfRule type="cellIs" dxfId="4411" priority="2792" stopIfTrue="1" operator="equal">
      <formula>"non pertinent / nicht relevant"</formula>
    </cfRule>
    <cfRule type="cellIs" dxfId="4410" priority="2793" stopIfTrue="1" operator="equal">
      <formula>"61-80%"</formula>
    </cfRule>
    <cfRule type="cellIs" dxfId="4409" priority="2794" stopIfTrue="1" operator="equal">
      <formula>"41-60%"</formula>
    </cfRule>
    <cfRule type="cellIs" dxfId="4408" priority="2795" stopIfTrue="1" operator="equal">
      <formula>"21-40%"</formula>
    </cfRule>
    <cfRule type="cellIs" dxfId="4407" priority="2796" stopIfTrue="1" operator="equal">
      <formula>"0-20%"</formula>
    </cfRule>
    <cfRule type="cellIs" dxfId="4406" priority="2797" stopIfTrue="1" operator="equal">
      <formula>"81-100%"</formula>
    </cfRule>
    <cfRule type="cellIs" dxfId="4405" priority="2798" stopIfTrue="1" operator="equal">
      <formula>"100%"</formula>
    </cfRule>
  </conditionalFormatting>
  <conditionalFormatting sqref="AR236">
    <cfRule type="cellIs" dxfId="4404" priority="2783" stopIfTrue="1" operator="equal">
      <formula>"Régime présumé naturel (100%) / Abfluss vermutlich natürlich"</formula>
    </cfRule>
    <cfRule type="cellIs" dxfId="4403" priority="2784" stopIfTrue="1" operator="equal">
      <formula>"non pertinent / nicht relevant"</formula>
    </cfRule>
    <cfRule type="cellIs" dxfId="4402" priority="2785" stopIfTrue="1" operator="equal">
      <formula>"61-80%"</formula>
    </cfRule>
    <cfRule type="cellIs" dxfId="4401" priority="2786" stopIfTrue="1" operator="equal">
      <formula>"41-60%"</formula>
    </cfRule>
    <cfRule type="cellIs" dxfId="4400" priority="2787" stopIfTrue="1" operator="equal">
      <formula>"21-40%"</formula>
    </cfRule>
    <cfRule type="cellIs" dxfId="4399" priority="2788" stopIfTrue="1" operator="equal">
      <formula>"0-20%"</formula>
    </cfRule>
    <cfRule type="cellIs" dxfId="4398" priority="2789" stopIfTrue="1" operator="equal">
      <formula>"81-100%"</formula>
    </cfRule>
    <cfRule type="cellIs" dxfId="4397" priority="2790" stopIfTrue="1" operator="equal">
      <formula>"100%"</formula>
    </cfRule>
  </conditionalFormatting>
  <conditionalFormatting sqref="AR237:AR238">
    <cfRule type="cellIs" dxfId="4396" priority="2775" stopIfTrue="1" operator="equal">
      <formula>"Régime présumé naturel (100%) / Abfluss vermutlich natürlich"</formula>
    </cfRule>
    <cfRule type="cellIs" dxfId="4395" priority="2776" stopIfTrue="1" operator="equal">
      <formula>"non pertinent / nicht relevant"</formula>
    </cfRule>
    <cfRule type="cellIs" dxfId="4394" priority="2777" stopIfTrue="1" operator="equal">
      <formula>"61-80%"</formula>
    </cfRule>
    <cfRule type="cellIs" dxfId="4393" priority="2778" stopIfTrue="1" operator="equal">
      <formula>"41-60%"</formula>
    </cfRule>
    <cfRule type="cellIs" dxfId="4392" priority="2779" stopIfTrue="1" operator="equal">
      <formula>"21-40%"</formula>
    </cfRule>
    <cfRule type="cellIs" dxfId="4391" priority="2780" stopIfTrue="1" operator="equal">
      <formula>"0-20%"</formula>
    </cfRule>
    <cfRule type="cellIs" dxfId="4390" priority="2781" stopIfTrue="1" operator="equal">
      <formula>"81-100%"</formula>
    </cfRule>
    <cfRule type="cellIs" dxfId="4389" priority="2782" stopIfTrue="1" operator="equal">
      <formula>"100%"</formula>
    </cfRule>
  </conditionalFormatting>
  <conditionalFormatting sqref="AY7">
    <cfRule type="cellIs" dxfId="4388" priority="2767" stopIfTrue="1" operator="equal">
      <formula>"Régime présumé naturel (100%) / Abfluss vermutlich natürlich"</formula>
    </cfRule>
    <cfRule type="cellIs" dxfId="4387" priority="2768" stopIfTrue="1" operator="equal">
      <formula>"non pertinent / nicht relevant"</formula>
    </cfRule>
    <cfRule type="cellIs" dxfId="4386" priority="2769" stopIfTrue="1" operator="equal">
      <formula>"61-80%"</formula>
    </cfRule>
    <cfRule type="cellIs" dxfId="4385" priority="2770" stopIfTrue="1" operator="equal">
      <formula>"41-60%"</formula>
    </cfRule>
    <cfRule type="cellIs" dxfId="4384" priority="2771" stopIfTrue="1" operator="equal">
      <formula>"21-40%"</formula>
    </cfRule>
    <cfRule type="cellIs" dxfId="4383" priority="2772" stopIfTrue="1" operator="equal">
      <formula>"0-20%"</formula>
    </cfRule>
    <cfRule type="cellIs" dxfId="4382" priority="2773" stopIfTrue="1" operator="equal">
      <formula>"81-100%"</formula>
    </cfRule>
    <cfRule type="cellIs" dxfId="4381" priority="2774" stopIfTrue="1" operator="equal">
      <formula>"100%"</formula>
    </cfRule>
  </conditionalFormatting>
  <conditionalFormatting sqref="AY6">
    <cfRule type="cellIs" dxfId="4380" priority="2759" stopIfTrue="1" operator="equal">
      <formula>"Régime présumé naturel (100%) / Abfluss vermutlich natürlich"</formula>
    </cfRule>
    <cfRule type="cellIs" dxfId="4379" priority="2760" stopIfTrue="1" operator="equal">
      <formula>"non pertinent / nicht relevant"</formula>
    </cfRule>
    <cfRule type="cellIs" dxfId="4378" priority="2761" stopIfTrue="1" operator="equal">
      <formula>"61-80%"</formula>
    </cfRule>
    <cfRule type="cellIs" dxfId="4377" priority="2762" stopIfTrue="1" operator="equal">
      <formula>"41-60%"</formula>
    </cfRule>
    <cfRule type="cellIs" dxfId="4376" priority="2763" stopIfTrue="1" operator="equal">
      <formula>"21-40%"</formula>
    </cfRule>
    <cfRule type="cellIs" dxfId="4375" priority="2764" stopIfTrue="1" operator="equal">
      <formula>"0-20%"</formula>
    </cfRule>
    <cfRule type="cellIs" dxfId="4374" priority="2765" stopIfTrue="1" operator="equal">
      <formula>"81-100%"</formula>
    </cfRule>
    <cfRule type="cellIs" dxfId="4373" priority="2766" stopIfTrue="1" operator="equal">
      <formula>"100%"</formula>
    </cfRule>
  </conditionalFormatting>
  <conditionalFormatting sqref="AY74">
    <cfRule type="cellIs" dxfId="4372" priority="2751" stopIfTrue="1" operator="equal">
      <formula>"Régime présumé naturel (100%) / Abfluss vermutlich natürlich"</formula>
    </cfRule>
    <cfRule type="cellIs" dxfId="4371" priority="2752" stopIfTrue="1" operator="equal">
      <formula>"non pertinent / nicht relevant"</formula>
    </cfRule>
    <cfRule type="cellIs" dxfId="4370" priority="2753" stopIfTrue="1" operator="equal">
      <formula>"61-80%"</formula>
    </cfRule>
    <cfRule type="cellIs" dxfId="4369" priority="2754" stopIfTrue="1" operator="equal">
      <formula>"41-60%"</formula>
    </cfRule>
    <cfRule type="cellIs" dxfId="4368" priority="2755" stopIfTrue="1" operator="equal">
      <formula>"21-40%"</formula>
    </cfRule>
    <cfRule type="cellIs" dxfId="4367" priority="2756" stopIfTrue="1" operator="equal">
      <formula>"0-20%"</formula>
    </cfRule>
    <cfRule type="cellIs" dxfId="4366" priority="2757" stopIfTrue="1" operator="equal">
      <formula>"81-100%"</formula>
    </cfRule>
    <cfRule type="cellIs" dxfId="4365" priority="2758" stopIfTrue="1" operator="equal">
      <formula>"100%"</formula>
    </cfRule>
  </conditionalFormatting>
  <conditionalFormatting sqref="AY73">
    <cfRule type="cellIs" dxfId="4364" priority="2743" stopIfTrue="1" operator="equal">
      <formula>"Régime présumé naturel (100%) / Abfluss vermutlich natürlich"</formula>
    </cfRule>
    <cfRule type="cellIs" dxfId="4363" priority="2744" stopIfTrue="1" operator="equal">
      <formula>"non pertinent / nicht relevant"</formula>
    </cfRule>
    <cfRule type="cellIs" dxfId="4362" priority="2745" stopIfTrue="1" operator="equal">
      <formula>"61-80%"</formula>
    </cfRule>
    <cfRule type="cellIs" dxfId="4361" priority="2746" stopIfTrue="1" operator="equal">
      <formula>"41-60%"</formula>
    </cfRule>
    <cfRule type="cellIs" dxfId="4360" priority="2747" stopIfTrue="1" operator="equal">
      <formula>"21-40%"</formula>
    </cfRule>
    <cfRule type="cellIs" dxfId="4359" priority="2748" stopIfTrue="1" operator="equal">
      <formula>"0-20%"</formula>
    </cfRule>
    <cfRule type="cellIs" dxfId="4358" priority="2749" stopIfTrue="1" operator="equal">
      <formula>"81-100%"</formula>
    </cfRule>
    <cfRule type="cellIs" dxfId="4357" priority="2750" stopIfTrue="1" operator="equal">
      <formula>"100%"</formula>
    </cfRule>
  </conditionalFormatting>
  <conditionalFormatting sqref="AY76">
    <cfRule type="cellIs" dxfId="4356" priority="2735" stopIfTrue="1" operator="equal">
      <formula>"Régime présumé naturel (100%) / Abfluss vermutlich natürlich"</formula>
    </cfRule>
    <cfRule type="cellIs" dxfId="4355" priority="2736" stopIfTrue="1" operator="equal">
      <formula>"non pertinent / nicht relevant"</formula>
    </cfRule>
    <cfRule type="cellIs" dxfId="4354" priority="2737" stopIfTrue="1" operator="equal">
      <formula>"61-80%"</formula>
    </cfRule>
    <cfRule type="cellIs" dxfId="4353" priority="2738" stopIfTrue="1" operator="equal">
      <formula>"41-60%"</formula>
    </cfRule>
    <cfRule type="cellIs" dxfId="4352" priority="2739" stopIfTrue="1" operator="equal">
      <formula>"21-40%"</formula>
    </cfRule>
    <cfRule type="cellIs" dxfId="4351" priority="2740" stopIfTrue="1" operator="equal">
      <formula>"0-20%"</formula>
    </cfRule>
    <cfRule type="cellIs" dxfId="4350" priority="2741" stopIfTrue="1" operator="equal">
      <formula>"81-100%"</formula>
    </cfRule>
    <cfRule type="cellIs" dxfId="4349" priority="2742" stopIfTrue="1" operator="equal">
      <formula>"100%"</formula>
    </cfRule>
  </conditionalFormatting>
  <conditionalFormatting sqref="AY81:AY82">
    <cfRule type="cellIs" dxfId="4348" priority="2727" stopIfTrue="1" operator="equal">
      <formula>"Régime présumé naturel (100%) / Abfluss vermutlich natürlich"</formula>
    </cfRule>
    <cfRule type="cellIs" dxfId="4347" priority="2728" stopIfTrue="1" operator="equal">
      <formula>"non pertinent / nicht relevant"</formula>
    </cfRule>
    <cfRule type="cellIs" dxfId="4346" priority="2729" stopIfTrue="1" operator="equal">
      <formula>"61-80%"</formula>
    </cfRule>
    <cfRule type="cellIs" dxfId="4345" priority="2730" stopIfTrue="1" operator="equal">
      <formula>"41-60%"</formula>
    </cfRule>
    <cfRule type="cellIs" dxfId="4344" priority="2731" stopIfTrue="1" operator="equal">
      <formula>"21-40%"</formula>
    </cfRule>
    <cfRule type="cellIs" dxfId="4343" priority="2732" stopIfTrue="1" operator="equal">
      <formula>"0-20%"</formula>
    </cfRule>
    <cfRule type="cellIs" dxfId="4342" priority="2733" stopIfTrue="1" operator="equal">
      <formula>"81-100%"</formula>
    </cfRule>
    <cfRule type="cellIs" dxfId="4341" priority="2734" stopIfTrue="1" operator="equal">
      <formula>"100%"</formula>
    </cfRule>
  </conditionalFormatting>
  <conditionalFormatting sqref="AR76">
    <cfRule type="cellIs" dxfId="4340" priority="2719" stopIfTrue="1" operator="equal">
      <formula>"Régime présumé naturel (100%) / Abfluss vermutlich natürlich"</formula>
    </cfRule>
    <cfRule type="cellIs" dxfId="4339" priority="2720" stopIfTrue="1" operator="equal">
      <formula>"non pertinent / nicht relevant"</formula>
    </cfRule>
    <cfRule type="cellIs" dxfId="4338" priority="2721" stopIfTrue="1" operator="equal">
      <formula>"61-80%"</formula>
    </cfRule>
    <cfRule type="cellIs" dxfId="4337" priority="2722" stopIfTrue="1" operator="equal">
      <formula>"41-60%"</formula>
    </cfRule>
    <cfRule type="cellIs" dxfId="4336" priority="2723" stopIfTrue="1" operator="equal">
      <formula>"21-40%"</formula>
    </cfRule>
    <cfRule type="cellIs" dxfId="4335" priority="2724" stopIfTrue="1" operator="equal">
      <formula>"0-20%"</formula>
    </cfRule>
    <cfRule type="cellIs" dxfId="4334" priority="2725" stopIfTrue="1" operator="equal">
      <formula>"81-100%"</formula>
    </cfRule>
    <cfRule type="cellIs" dxfId="4333" priority="2726" stopIfTrue="1" operator="equal">
      <formula>"100%"</formula>
    </cfRule>
  </conditionalFormatting>
  <conditionalFormatting sqref="AR81:AR82">
    <cfRule type="cellIs" dxfId="4332" priority="2711" stopIfTrue="1" operator="equal">
      <formula>"Régime présumé naturel (100%) / Abfluss vermutlich natürlich"</formula>
    </cfRule>
    <cfRule type="cellIs" dxfId="4331" priority="2712" stopIfTrue="1" operator="equal">
      <formula>"non pertinent / nicht relevant"</formula>
    </cfRule>
    <cfRule type="cellIs" dxfId="4330" priority="2713" stopIfTrue="1" operator="equal">
      <formula>"61-80%"</formula>
    </cfRule>
    <cfRule type="cellIs" dxfId="4329" priority="2714" stopIfTrue="1" operator="equal">
      <formula>"41-60%"</formula>
    </cfRule>
    <cfRule type="cellIs" dxfId="4328" priority="2715" stopIfTrue="1" operator="equal">
      <formula>"21-40%"</formula>
    </cfRule>
    <cfRule type="cellIs" dxfId="4327" priority="2716" stopIfTrue="1" operator="equal">
      <formula>"0-20%"</formula>
    </cfRule>
    <cfRule type="cellIs" dxfId="4326" priority="2717" stopIfTrue="1" operator="equal">
      <formula>"81-100%"</formula>
    </cfRule>
    <cfRule type="cellIs" dxfId="4325" priority="2718" stopIfTrue="1" operator="equal">
      <formula>"100%"</formula>
    </cfRule>
  </conditionalFormatting>
  <conditionalFormatting sqref="AR84">
    <cfRule type="cellIs" dxfId="4324" priority="2703" stopIfTrue="1" operator="equal">
      <formula>"Régime présumé naturel (100%) / Abfluss vermutlich natürlich"</formula>
    </cfRule>
    <cfRule type="cellIs" dxfId="4323" priority="2704" stopIfTrue="1" operator="equal">
      <formula>"non pertinent / nicht relevant"</formula>
    </cfRule>
    <cfRule type="cellIs" dxfId="4322" priority="2705" stopIfTrue="1" operator="equal">
      <formula>"61-80%"</formula>
    </cfRule>
    <cfRule type="cellIs" dxfId="4321" priority="2706" stopIfTrue="1" operator="equal">
      <formula>"41-60%"</formula>
    </cfRule>
    <cfRule type="cellIs" dxfId="4320" priority="2707" stopIfTrue="1" operator="equal">
      <formula>"21-40%"</formula>
    </cfRule>
    <cfRule type="cellIs" dxfId="4319" priority="2708" stopIfTrue="1" operator="equal">
      <formula>"0-20%"</formula>
    </cfRule>
    <cfRule type="cellIs" dxfId="4318" priority="2709" stopIfTrue="1" operator="equal">
      <formula>"81-100%"</formula>
    </cfRule>
    <cfRule type="cellIs" dxfId="4317" priority="2710" stopIfTrue="1" operator="equal">
      <formula>"100%"</formula>
    </cfRule>
  </conditionalFormatting>
  <conditionalFormatting sqref="AR83">
    <cfRule type="cellIs" dxfId="4316" priority="2695" stopIfTrue="1" operator="equal">
      <formula>"Régime présumé naturel (100%) / Abfluss vermutlich natürlich"</formula>
    </cfRule>
    <cfRule type="cellIs" dxfId="4315" priority="2696" stopIfTrue="1" operator="equal">
      <formula>"non pertinent / nicht relevant"</formula>
    </cfRule>
    <cfRule type="cellIs" dxfId="4314" priority="2697" stopIfTrue="1" operator="equal">
      <formula>"61-80%"</formula>
    </cfRule>
    <cfRule type="cellIs" dxfId="4313" priority="2698" stopIfTrue="1" operator="equal">
      <formula>"41-60%"</formula>
    </cfRule>
    <cfRule type="cellIs" dxfId="4312" priority="2699" stopIfTrue="1" operator="equal">
      <formula>"21-40%"</formula>
    </cfRule>
    <cfRule type="cellIs" dxfId="4311" priority="2700" stopIfTrue="1" operator="equal">
      <formula>"0-20%"</formula>
    </cfRule>
    <cfRule type="cellIs" dxfId="4310" priority="2701" stopIfTrue="1" operator="equal">
      <formula>"81-100%"</formula>
    </cfRule>
    <cfRule type="cellIs" dxfId="4309" priority="2702" stopIfTrue="1" operator="equal">
      <formula>"100%"</formula>
    </cfRule>
  </conditionalFormatting>
  <conditionalFormatting sqref="AY83">
    <cfRule type="cellIs" dxfId="4308" priority="2687" stopIfTrue="1" operator="equal">
      <formula>"Régime présumé naturel (100%) / Abfluss vermutlich natürlich"</formula>
    </cfRule>
    <cfRule type="cellIs" dxfId="4307" priority="2688" stopIfTrue="1" operator="equal">
      <formula>"non pertinent / nicht relevant"</formula>
    </cfRule>
    <cfRule type="cellIs" dxfId="4306" priority="2689" stopIfTrue="1" operator="equal">
      <formula>"61-80%"</formula>
    </cfRule>
    <cfRule type="cellIs" dxfId="4305" priority="2690" stopIfTrue="1" operator="equal">
      <formula>"41-60%"</formula>
    </cfRule>
    <cfRule type="cellIs" dxfId="4304" priority="2691" stopIfTrue="1" operator="equal">
      <formula>"21-40%"</formula>
    </cfRule>
    <cfRule type="cellIs" dxfId="4303" priority="2692" stopIfTrue="1" operator="equal">
      <formula>"0-20%"</formula>
    </cfRule>
    <cfRule type="cellIs" dxfId="4302" priority="2693" stopIfTrue="1" operator="equal">
      <formula>"81-100%"</formula>
    </cfRule>
    <cfRule type="cellIs" dxfId="4301" priority="2694" stopIfTrue="1" operator="equal">
      <formula>"100%"</formula>
    </cfRule>
  </conditionalFormatting>
  <conditionalFormatting sqref="AY84">
    <cfRule type="cellIs" dxfId="4300" priority="2679" stopIfTrue="1" operator="equal">
      <formula>"Régime présumé naturel (100%) / Abfluss vermutlich natürlich"</formula>
    </cfRule>
    <cfRule type="cellIs" dxfId="4299" priority="2680" stopIfTrue="1" operator="equal">
      <formula>"non pertinent / nicht relevant"</formula>
    </cfRule>
    <cfRule type="cellIs" dxfId="4298" priority="2681" stopIfTrue="1" operator="equal">
      <formula>"61-80%"</formula>
    </cfRule>
    <cfRule type="cellIs" dxfId="4297" priority="2682" stopIfTrue="1" operator="equal">
      <formula>"41-60%"</formula>
    </cfRule>
    <cfRule type="cellIs" dxfId="4296" priority="2683" stopIfTrue="1" operator="equal">
      <formula>"21-40%"</formula>
    </cfRule>
    <cfRule type="cellIs" dxfId="4295" priority="2684" stopIfTrue="1" operator="equal">
      <formula>"0-20%"</formula>
    </cfRule>
    <cfRule type="cellIs" dxfId="4294" priority="2685" stopIfTrue="1" operator="equal">
      <formula>"81-100%"</formula>
    </cfRule>
    <cfRule type="cellIs" dxfId="4293" priority="2686" stopIfTrue="1" operator="equal">
      <formula>"100%"</formula>
    </cfRule>
  </conditionalFormatting>
  <conditionalFormatting sqref="AR159">
    <cfRule type="cellIs" dxfId="4292" priority="2671" stopIfTrue="1" operator="equal">
      <formula>"Régime présumé naturel (100%) / Abfluss vermutlich natürlich"</formula>
    </cfRule>
    <cfRule type="cellIs" dxfId="4291" priority="2672" stopIfTrue="1" operator="equal">
      <formula>"non pertinent / nicht relevant"</formula>
    </cfRule>
    <cfRule type="cellIs" dxfId="4290" priority="2673" stopIfTrue="1" operator="equal">
      <formula>"61-80%"</formula>
    </cfRule>
    <cfRule type="cellIs" dxfId="4289" priority="2674" stopIfTrue="1" operator="equal">
      <formula>"41-60%"</formula>
    </cfRule>
    <cfRule type="cellIs" dxfId="4288" priority="2675" stopIfTrue="1" operator="equal">
      <formula>"21-40%"</formula>
    </cfRule>
    <cfRule type="cellIs" dxfId="4287" priority="2676" stopIfTrue="1" operator="equal">
      <formula>"0-20%"</formula>
    </cfRule>
    <cfRule type="cellIs" dxfId="4286" priority="2677" stopIfTrue="1" operator="equal">
      <formula>"81-100%"</formula>
    </cfRule>
    <cfRule type="cellIs" dxfId="4285" priority="2678" stopIfTrue="1" operator="equal">
      <formula>"100%"</formula>
    </cfRule>
  </conditionalFormatting>
  <conditionalFormatting sqref="AY159">
    <cfRule type="cellIs" dxfId="4284" priority="2663" stopIfTrue="1" operator="equal">
      <formula>"Régime présumé naturel (100%) / Abfluss vermutlich natürlich"</formula>
    </cfRule>
    <cfRule type="cellIs" dxfId="4283" priority="2664" stopIfTrue="1" operator="equal">
      <formula>"non pertinent / nicht relevant"</formula>
    </cfRule>
    <cfRule type="cellIs" dxfId="4282" priority="2665" stopIfTrue="1" operator="equal">
      <formula>"61-80%"</formula>
    </cfRule>
    <cfRule type="cellIs" dxfId="4281" priority="2666" stopIfTrue="1" operator="equal">
      <formula>"41-60%"</formula>
    </cfRule>
    <cfRule type="cellIs" dxfId="4280" priority="2667" stopIfTrue="1" operator="equal">
      <formula>"21-40%"</formula>
    </cfRule>
    <cfRule type="cellIs" dxfId="4279" priority="2668" stopIfTrue="1" operator="equal">
      <formula>"0-20%"</formula>
    </cfRule>
    <cfRule type="cellIs" dxfId="4278" priority="2669" stopIfTrue="1" operator="equal">
      <formula>"81-100%"</formula>
    </cfRule>
    <cfRule type="cellIs" dxfId="4277" priority="2670" stopIfTrue="1" operator="equal">
      <formula>"100%"</formula>
    </cfRule>
  </conditionalFormatting>
  <conditionalFormatting sqref="AY142:AY143">
    <cfRule type="cellIs" dxfId="4276" priority="2655" stopIfTrue="1" operator="equal">
      <formula>"Régime présumé naturel (100%) / Abfluss vermutlich natürlich"</formula>
    </cfRule>
    <cfRule type="cellIs" dxfId="4275" priority="2656" stopIfTrue="1" operator="equal">
      <formula>"non pertinent / nicht relevant"</formula>
    </cfRule>
    <cfRule type="cellIs" dxfId="4274" priority="2657" stopIfTrue="1" operator="equal">
      <formula>"61-80%"</formula>
    </cfRule>
    <cfRule type="cellIs" dxfId="4273" priority="2658" stopIfTrue="1" operator="equal">
      <formula>"41-60%"</formula>
    </cfRule>
    <cfRule type="cellIs" dxfId="4272" priority="2659" stopIfTrue="1" operator="equal">
      <formula>"21-40%"</formula>
    </cfRule>
    <cfRule type="cellIs" dxfId="4271" priority="2660" stopIfTrue="1" operator="equal">
      <formula>"0-20%"</formula>
    </cfRule>
    <cfRule type="cellIs" dxfId="4270" priority="2661" stopIfTrue="1" operator="equal">
      <formula>"81-100%"</formula>
    </cfRule>
    <cfRule type="cellIs" dxfId="4269" priority="2662" stopIfTrue="1" operator="equal">
      <formula>"100%"</formula>
    </cfRule>
  </conditionalFormatting>
  <conditionalFormatting sqref="AY178">
    <cfRule type="cellIs" dxfId="4268" priority="2647" stopIfTrue="1" operator="equal">
      <formula>"Régime présumé naturel (100%) / Abfluss vermutlich natürlich"</formula>
    </cfRule>
    <cfRule type="cellIs" dxfId="4267" priority="2648" stopIfTrue="1" operator="equal">
      <formula>"non pertinent / nicht relevant"</formula>
    </cfRule>
    <cfRule type="cellIs" dxfId="4266" priority="2649" stopIfTrue="1" operator="equal">
      <formula>"61-80%"</formula>
    </cfRule>
    <cfRule type="cellIs" dxfId="4265" priority="2650" stopIfTrue="1" operator="equal">
      <formula>"41-60%"</formula>
    </cfRule>
    <cfRule type="cellIs" dxfId="4264" priority="2651" stopIfTrue="1" operator="equal">
      <formula>"21-40%"</formula>
    </cfRule>
    <cfRule type="cellIs" dxfId="4263" priority="2652" stopIfTrue="1" operator="equal">
      <formula>"0-20%"</formula>
    </cfRule>
    <cfRule type="cellIs" dxfId="4262" priority="2653" stopIfTrue="1" operator="equal">
      <formula>"81-100%"</formula>
    </cfRule>
    <cfRule type="cellIs" dxfId="4261" priority="2654" stopIfTrue="1" operator="equal">
      <formula>"100%"</formula>
    </cfRule>
  </conditionalFormatting>
  <conditionalFormatting sqref="AY180">
    <cfRule type="cellIs" dxfId="4260" priority="2639" stopIfTrue="1" operator="equal">
      <formula>"Régime présumé naturel (100%) / Abfluss vermutlich natürlich"</formula>
    </cfRule>
    <cfRule type="cellIs" dxfId="4259" priority="2640" stopIfTrue="1" operator="equal">
      <formula>"non pertinent / nicht relevant"</formula>
    </cfRule>
    <cfRule type="cellIs" dxfId="4258" priority="2641" stopIfTrue="1" operator="equal">
      <formula>"61-80%"</formula>
    </cfRule>
    <cfRule type="cellIs" dxfId="4257" priority="2642" stopIfTrue="1" operator="equal">
      <formula>"41-60%"</formula>
    </cfRule>
    <cfRule type="cellIs" dxfId="4256" priority="2643" stopIfTrue="1" operator="equal">
      <formula>"21-40%"</formula>
    </cfRule>
    <cfRule type="cellIs" dxfId="4255" priority="2644" stopIfTrue="1" operator="equal">
      <formula>"0-20%"</formula>
    </cfRule>
    <cfRule type="cellIs" dxfId="4254" priority="2645" stopIfTrue="1" operator="equal">
      <formula>"81-100%"</formula>
    </cfRule>
    <cfRule type="cellIs" dxfId="4253" priority="2646" stopIfTrue="1" operator="equal">
      <formula>"100%"</formula>
    </cfRule>
  </conditionalFormatting>
  <conditionalFormatting sqref="AY274">
    <cfRule type="cellIs" dxfId="4252" priority="2631" stopIfTrue="1" operator="equal">
      <formula>"Régime présumé naturel (100%) / Abfluss vermutlich natürlich"</formula>
    </cfRule>
    <cfRule type="cellIs" dxfId="4251" priority="2632" stopIfTrue="1" operator="equal">
      <formula>"non pertinent / nicht relevant"</formula>
    </cfRule>
    <cfRule type="cellIs" dxfId="4250" priority="2633" stopIfTrue="1" operator="equal">
      <formula>"61-80%"</formula>
    </cfRule>
    <cfRule type="cellIs" dxfId="4249" priority="2634" stopIfTrue="1" operator="equal">
      <formula>"41-60%"</formula>
    </cfRule>
    <cfRule type="cellIs" dxfId="4248" priority="2635" stopIfTrue="1" operator="equal">
      <formula>"21-40%"</formula>
    </cfRule>
    <cfRule type="cellIs" dxfId="4247" priority="2636" stopIfTrue="1" operator="equal">
      <formula>"0-20%"</formula>
    </cfRule>
    <cfRule type="cellIs" dxfId="4246" priority="2637" stopIfTrue="1" operator="equal">
      <formula>"81-100%"</formula>
    </cfRule>
    <cfRule type="cellIs" dxfId="4245" priority="2638" stopIfTrue="1" operator="equal">
      <formula>"100%"</formula>
    </cfRule>
  </conditionalFormatting>
  <conditionalFormatting sqref="AT239:AT240">
    <cfRule type="cellIs" dxfId="4244" priority="2623" stopIfTrue="1" operator="equal">
      <formula>"Régime présumé naturel (100%) / Abfluss vermutlich natürlich"</formula>
    </cfRule>
    <cfRule type="cellIs" dxfId="4243" priority="2624" stopIfTrue="1" operator="equal">
      <formula>"non pertinent / nicht relevant"</formula>
    </cfRule>
    <cfRule type="cellIs" dxfId="4242" priority="2625" stopIfTrue="1" operator="equal">
      <formula>"61-80%"</formula>
    </cfRule>
    <cfRule type="cellIs" dxfId="4241" priority="2626" stopIfTrue="1" operator="equal">
      <formula>"41-60%"</formula>
    </cfRule>
    <cfRule type="cellIs" dxfId="4240" priority="2627" stopIfTrue="1" operator="equal">
      <formula>"21-40%"</formula>
    </cfRule>
    <cfRule type="cellIs" dxfId="4239" priority="2628" stopIfTrue="1" operator="equal">
      <formula>"0-20%"</formula>
    </cfRule>
    <cfRule type="cellIs" dxfId="4238" priority="2629" stopIfTrue="1" operator="equal">
      <formula>"81-100%"</formula>
    </cfRule>
    <cfRule type="cellIs" dxfId="4237" priority="2630" stopIfTrue="1" operator="equal">
      <formula>"100%"</formula>
    </cfRule>
  </conditionalFormatting>
  <conditionalFormatting sqref="AT179">
    <cfRule type="cellIs" dxfId="4236" priority="2615" stopIfTrue="1" operator="equal">
      <formula>"Régime présumé naturel (100%) / Abfluss vermutlich natürlich"</formula>
    </cfRule>
    <cfRule type="cellIs" dxfId="4235" priority="2616" stopIfTrue="1" operator="equal">
      <formula>"non pertinent / nicht relevant"</formula>
    </cfRule>
    <cfRule type="cellIs" dxfId="4234" priority="2617" stopIfTrue="1" operator="equal">
      <formula>"61-80%"</formula>
    </cfRule>
    <cfRule type="cellIs" dxfId="4233" priority="2618" stopIfTrue="1" operator="equal">
      <formula>"41-60%"</formula>
    </cfRule>
    <cfRule type="cellIs" dxfId="4232" priority="2619" stopIfTrue="1" operator="equal">
      <formula>"21-40%"</formula>
    </cfRule>
    <cfRule type="cellIs" dxfId="4231" priority="2620" stopIfTrue="1" operator="equal">
      <formula>"0-20%"</formula>
    </cfRule>
    <cfRule type="cellIs" dxfId="4230" priority="2621" stopIfTrue="1" operator="equal">
      <formula>"81-100%"</formula>
    </cfRule>
    <cfRule type="cellIs" dxfId="4229" priority="2622" stopIfTrue="1" operator="equal">
      <formula>"100%"</formula>
    </cfRule>
  </conditionalFormatting>
  <conditionalFormatting sqref="AY179">
    <cfRule type="cellIs" dxfId="4228" priority="2607" stopIfTrue="1" operator="equal">
      <formula>"Régime présumé naturel (100%) / Abfluss vermutlich natürlich"</formula>
    </cfRule>
    <cfRule type="cellIs" dxfId="4227" priority="2608" stopIfTrue="1" operator="equal">
      <formula>"non pertinent / nicht relevant"</formula>
    </cfRule>
    <cfRule type="cellIs" dxfId="4226" priority="2609" stopIfTrue="1" operator="equal">
      <formula>"61-80%"</formula>
    </cfRule>
    <cfRule type="cellIs" dxfId="4225" priority="2610" stopIfTrue="1" operator="equal">
      <formula>"41-60%"</formula>
    </cfRule>
    <cfRule type="cellIs" dxfId="4224" priority="2611" stopIfTrue="1" operator="equal">
      <formula>"21-40%"</formula>
    </cfRule>
    <cfRule type="cellIs" dxfId="4223" priority="2612" stopIfTrue="1" operator="equal">
      <formula>"0-20%"</formula>
    </cfRule>
    <cfRule type="cellIs" dxfId="4222" priority="2613" stopIfTrue="1" operator="equal">
      <formula>"81-100%"</formula>
    </cfRule>
    <cfRule type="cellIs" dxfId="4221" priority="2614" stopIfTrue="1" operator="equal">
      <formula>"100%"</formula>
    </cfRule>
  </conditionalFormatting>
  <conditionalFormatting sqref="AY181">
    <cfRule type="cellIs" dxfId="4220" priority="2599" stopIfTrue="1" operator="equal">
      <formula>"Régime présumé naturel (100%) / Abfluss vermutlich natürlich"</formula>
    </cfRule>
    <cfRule type="cellIs" dxfId="4219" priority="2600" stopIfTrue="1" operator="equal">
      <formula>"non pertinent / nicht relevant"</formula>
    </cfRule>
    <cfRule type="cellIs" dxfId="4218" priority="2601" stopIfTrue="1" operator="equal">
      <formula>"61-80%"</formula>
    </cfRule>
    <cfRule type="cellIs" dxfId="4217" priority="2602" stopIfTrue="1" operator="equal">
      <formula>"41-60%"</formula>
    </cfRule>
    <cfRule type="cellIs" dxfId="4216" priority="2603" stopIfTrue="1" operator="equal">
      <formula>"21-40%"</formula>
    </cfRule>
    <cfRule type="cellIs" dxfId="4215" priority="2604" stopIfTrue="1" operator="equal">
      <formula>"0-20%"</formula>
    </cfRule>
    <cfRule type="cellIs" dxfId="4214" priority="2605" stopIfTrue="1" operator="equal">
      <formula>"81-100%"</formula>
    </cfRule>
    <cfRule type="cellIs" dxfId="4213" priority="2606" stopIfTrue="1" operator="equal">
      <formula>"100%"</formula>
    </cfRule>
  </conditionalFormatting>
  <conditionalFormatting sqref="AY182">
    <cfRule type="cellIs" dxfId="4212" priority="2591" stopIfTrue="1" operator="equal">
      <formula>"Régime présumé naturel (100%) / Abfluss vermutlich natürlich"</formula>
    </cfRule>
    <cfRule type="cellIs" dxfId="4211" priority="2592" stopIfTrue="1" operator="equal">
      <formula>"non pertinent / nicht relevant"</formula>
    </cfRule>
    <cfRule type="cellIs" dxfId="4210" priority="2593" stopIfTrue="1" operator="equal">
      <formula>"61-80%"</formula>
    </cfRule>
    <cfRule type="cellIs" dxfId="4209" priority="2594" stopIfTrue="1" operator="equal">
      <formula>"41-60%"</formula>
    </cfRule>
    <cfRule type="cellIs" dxfId="4208" priority="2595" stopIfTrue="1" operator="equal">
      <formula>"21-40%"</formula>
    </cfRule>
    <cfRule type="cellIs" dxfId="4207" priority="2596" stopIfTrue="1" operator="equal">
      <formula>"0-20%"</formula>
    </cfRule>
    <cfRule type="cellIs" dxfId="4206" priority="2597" stopIfTrue="1" operator="equal">
      <formula>"81-100%"</formula>
    </cfRule>
    <cfRule type="cellIs" dxfId="4205" priority="2598" stopIfTrue="1" operator="equal">
      <formula>"100%"</formula>
    </cfRule>
  </conditionalFormatting>
  <conditionalFormatting sqref="AY183">
    <cfRule type="cellIs" dxfId="4204" priority="2583" stopIfTrue="1" operator="equal">
      <formula>"Régime présumé naturel (100%) / Abfluss vermutlich natürlich"</formula>
    </cfRule>
    <cfRule type="cellIs" dxfId="4203" priority="2584" stopIfTrue="1" operator="equal">
      <formula>"non pertinent / nicht relevant"</formula>
    </cfRule>
    <cfRule type="cellIs" dxfId="4202" priority="2585" stopIfTrue="1" operator="equal">
      <formula>"61-80%"</formula>
    </cfRule>
    <cfRule type="cellIs" dxfId="4201" priority="2586" stopIfTrue="1" operator="equal">
      <formula>"41-60%"</formula>
    </cfRule>
    <cfRule type="cellIs" dxfId="4200" priority="2587" stopIfTrue="1" operator="equal">
      <formula>"21-40%"</formula>
    </cfRule>
    <cfRule type="cellIs" dxfId="4199" priority="2588" stopIfTrue="1" operator="equal">
      <formula>"0-20%"</formula>
    </cfRule>
    <cfRule type="cellIs" dxfId="4198" priority="2589" stopIfTrue="1" operator="equal">
      <formula>"81-100%"</formula>
    </cfRule>
    <cfRule type="cellIs" dxfId="4197" priority="2590" stopIfTrue="1" operator="equal">
      <formula>"100%"</formula>
    </cfRule>
  </conditionalFormatting>
  <conditionalFormatting sqref="AY186:AY188">
    <cfRule type="cellIs" dxfId="4196" priority="2575" stopIfTrue="1" operator="equal">
      <formula>"Régime présumé naturel (100%) / Abfluss vermutlich natürlich"</formula>
    </cfRule>
    <cfRule type="cellIs" dxfId="4195" priority="2576" stopIfTrue="1" operator="equal">
      <formula>"non pertinent / nicht relevant"</formula>
    </cfRule>
    <cfRule type="cellIs" dxfId="4194" priority="2577" stopIfTrue="1" operator="equal">
      <formula>"61-80%"</formula>
    </cfRule>
    <cfRule type="cellIs" dxfId="4193" priority="2578" stopIfTrue="1" operator="equal">
      <formula>"41-60%"</formula>
    </cfRule>
    <cfRule type="cellIs" dxfId="4192" priority="2579" stopIfTrue="1" operator="equal">
      <formula>"21-40%"</formula>
    </cfRule>
    <cfRule type="cellIs" dxfId="4191" priority="2580" stopIfTrue="1" operator="equal">
      <formula>"0-20%"</formula>
    </cfRule>
    <cfRule type="cellIs" dxfId="4190" priority="2581" stopIfTrue="1" operator="equal">
      <formula>"81-100%"</formula>
    </cfRule>
    <cfRule type="cellIs" dxfId="4189" priority="2582" stopIfTrue="1" operator="equal">
      <formula>"100%"</formula>
    </cfRule>
  </conditionalFormatting>
  <conditionalFormatting sqref="AY185">
    <cfRule type="cellIs" dxfId="4188" priority="2567" stopIfTrue="1" operator="equal">
      <formula>"Régime présumé naturel (100%) / Abfluss vermutlich natürlich"</formula>
    </cfRule>
    <cfRule type="cellIs" dxfId="4187" priority="2568" stopIfTrue="1" operator="equal">
      <formula>"non pertinent / nicht relevant"</formula>
    </cfRule>
    <cfRule type="cellIs" dxfId="4186" priority="2569" stopIfTrue="1" operator="equal">
      <formula>"61-80%"</formula>
    </cfRule>
    <cfRule type="cellIs" dxfId="4185" priority="2570" stopIfTrue="1" operator="equal">
      <formula>"41-60%"</formula>
    </cfRule>
    <cfRule type="cellIs" dxfId="4184" priority="2571" stopIfTrue="1" operator="equal">
      <formula>"21-40%"</formula>
    </cfRule>
    <cfRule type="cellIs" dxfId="4183" priority="2572" stopIfTrue="1" operator="equal">
      <formula>"0-20%"</formula>
    </cfRule>
    <cfRule type="cellIs" dxfId="4182" priority="2573" stopIfTrue="1" operator="equal">
      <formula>"81-100%"</formula>
    </cfRule>
    <cfRule type="cellIs" dxfId="4181" priority="2574" stopIfTrue="1" operator="equal">
      <formula>"100%"</formula>
    </cfRule>
  </conditionalFormatting>
  <conditionalFormatting sqref="AY208">
    <cfRule type="cellIs" dxfId="4180" priority="2559" stopIfTrue="1" operator="equal">
      <formula>"Régime présumé naturel (100%) / Abfluss vermutlich natürlich"</formula>
    </cfRule>
    <cfRule type="cellIs" dxfId="4179" priority="2560" stopIfTrue="1" operator="equal">
      <formula>"non pertinent / nicht relevant"</formula>
    </cfRule>
    <cfRule type="cellIs" dxfId="4178" priority="2561" stopIfTrue="1" operator="equal">
      <formula>"61-80%"</formula>
    </cfRule>
    <cfRule type="cellIs" dxfId="4177" priority="2562" stopIfTrue="1" operator="equal">
      <formula>"41-60%"</formula>
    </cfRule>
    <cfRule type="cellIs" dxfId="4176" priority="2563" stopIfTrue="1" operator="equal">
      <formula>"21-40%"</formula>
    </cfRule>
    <cfRule type="cellIs" dxfId="4175" priority="2564" stopIfTrue="1" operator="equal">
      <formula>"0-20%"</formula>
    </cfRule>
    <cfRule type="cellIs" dxfId="4174" priority="2565" stopIfTrue="1" operator="equal">
      <formula>"81-100%"</formula>
    </cfRule>
    <cfRule type="cellIs" dxfId="4173" priority="2566" stopIfTrue="1" operator="equal">
      <formula>"100%"</formula>
    </cfRule>
  </conditionalFormatting>
  <conditionalFormatting sqref="AY209">
    <cfRule type="cellIs" dxfId="4172" priority="2551" stopIfTrue="1" operator="equal">
      <formula>"Régime présumé naturel (100%) / Abfluss vermutlich natürlich"</formula>
    </cfRule>
    <cfRule type="cellIs" dxfId="4171" priority="2552" stopIfTrue="1" operator="equal">
      <formula>"non pertinent / nicht relevant"</formula>
    </cfRule>
    <cfRule type="cellIs" dxfId="4170" priority="2553" stopIfTrue="1" operator="equal">
      <formula>"61-80%"</formula>
    </cfRule>
    <cfRule type="cellIs" dxfId="4169" priority="2554" stopIfTrue="1" operator="equal">
      <formula>"41-60%"</formula>
    </cfRule>
    <cfRule type="cellIs" dxfId="4168" priority="2555" stopIfTrue="1" operator="equal">
      <formula>"21-40%"</formula>
    </cfRule>
    <cfRule type="cellIs" dxfId="4167" priority="2556" stopIfTrue="1" operator="equal">
      <formula>"0-20%"</formula>
    </cfRule>
    <cfRule type="cellIs" dxfId="4166" priority="2557" stopIfTrue="1" operator="equal">
      <formula>"81-100%"</formula>
    </cfRule>
    <cfRule type="cellIs" dxfId="4165" priority="2558" stopIfTrue="1" operator="equal">
      <formula>"100%"</formula>
    </cfRule>
  </conditionalFormatting>
  <conditionalFormatting sqref="AY210">
    <cfRule type="cellIs" dxfId="4164" priority="2543" stopIfTrue="1" operator="equal">
      <formula>"Régime présumé naturel (100%) / Abfluss vermutlich natürlich"</formula>
    </cfRule>
    <cfRule type="cellIs" dxfId="4163" priority="2544" stopIfTrue="1" operator="equal">
      <formula>"non pertinent / nicht relevant"</formula>
    </cfRule>
    <cfRule type="cellIs" dxfId="4162" priority="2545" stopIfTrue="1" operator="equal">
      <formula>"61-80%"</formula>
    </cfRule>
    <cfRule type="cellIs" dxfId="4161" priority="2546" stopIfTrue="1" operator="equal">
      <formula>"41-60%"</formula>
    </cfRule>
    <cfRule type="cellIs" dxfId="4160" priority="2547" stopIfTrue="1" operator="equal">
      <formula>"21-40%"</formula>
    </cfRule>
    <cfRule type="cellIs" dxfId="4159" priority="2548" stopIfTrue="1" operator="equal">
      <formula>"0-20%"</formula>
    </cfRule>
    <cfRule type="cellIs" dxfId="4158" priority="2549" stopIfTrue="1" operator="equal">
      <formula>"81-100%"</formula>
    </cfRule>
    <cfRule type="cellIs" dxfId="4157" priority="2550" stopIfTrue="1" operator="equal">
      <formula>"100%"</formula>
    </cfRule>
  </conditionalFormatting>
  <conditionalFormatting sqref="AR212">
    <cfRule type="cellIs" dxfId="4156" priority="2535" stopIfTrue="1" operator="equal">
      <formula>"Régime présumé naturel (100%) / Abfluss vermutlich natürlich"</formula>
    </cfRule>
    <cfRule type="cellIs" dxfId="4155" priority="2536" stopIfTrue="1" operator="equal">
      <formula>"non pertinent / nicht relevant"</formula>
    </cfRule>
    <cfRule type="cellIs" dxfId="4154" priority="2537" stopIfTrue="1" operator="equal">
      <formula>"61-80%"</formula>
    </cfRule>
    <cfRule type="cellIs" dxfId="4153" priority="2538" stopIfTrue="1" operator="equal">
      <formula>"41-60%"</formula>
    </cfRule>
    <cfRule type="cellIs" dxfId="4152" priority="2539" stopIfTrue="1" operator="equal">
      <formula>"21-40%"</formula>
    </cfRule>
    <cfRule type="cellIs" dxfId="4151" priority="2540" stopIfTrue="1" operator="equal">
      <formula>"0-20%"</formula>
    </cfRule>
    <cfRule type="cellIs" dxfId="4150" priority="2541" stopIfTrue="1" operator="equal">
      <formula>"81-100%"</formula>
    </cfRule>
    <cfRule type="cellIs" dxfId="4149" priority="2542" stopIfTrue="1" operator="equal">
      <formula>"100%"</formula>
    </cfRule>
  </conditionalFormatting>
  <conditionalFormatting sqref="AY212">
    <cfRule type="cellIs" dxfId="4148" priority="2527" stopIfTrue="1" operator="equal">
      <formula>"Régime présumé naturel (100%) / Abfluss vermutlich natürlich"</formula>
    </cfRule>
    <cfRule type="cellIs" dxfId="4147" priority="2528" stopIfTrue="1" operator="equal">
      <formula>"non pertinent / nicht relevant"</formula>
    </cfRule>
    <cfRule type="cellIs" dxfId="4146" priority="2529" stopIfTrue="1" operator="equal">
      <formula>"61-80%"</formula>
    </cfRule>
    <cfRule type="cellIs" dxfId="4145" priority="2530" stopIfTrue="1" operator="equal">
      <formula>"41-60%"</formula>
    </cfRule>
    <cfRule type="cellIs" dxfId="4144" priority="2531" stopIfTrue="1" operator="equal">
      <formula>"21-40%"</formula>
    </cfRule>
    <cfRule type="cellIs" dxfId="4143" priority="2532" stopIfTrue="1" operator="equal">
      <formula>"0-20%"</formula>
    </cfRule>
    <cfRule type="cellIs" dxfId="4142" priority="2533" stopIfTrue="1" operator="equal">
      <formula>"81-100%"</formula>
    </cfRule>
    <cfRule type="cellIs" dxfId="4141" priority="2534" stopIfTrue="1" operator="equal">
      <formula>"100%"</formula>
    </cfRule>
  </conditionalFormatting>
  <conditionalFormatting sqref="AR226">
    <cfRule type="cellIs" dxfId="4140" priority="2519" stopIfTrue="1" operator="equal">
      <formula>"Régime présumé naturel (100%) / Abfluss vermutlich natürlich"</formula>
    </cfRule>
    <cfRule type="cellIs" dxfId="4139" priority="2520" stopIfTrue="1" operator="equal">
      <formula>"non pertinent / nicht relevant"</formula>
    </cfRule>
    <cfRule type="cellIs" dxfId="4138" priority="2521" stopIfTrue="1" operator="equal">
      <formula>"61-80%"</formula>
    </cfRule>
    <cfRule type="cellIs" dxfId="4137" priority="2522" stopIfTrue="1" operator="equal">
      <formula>"41-60%"</formula>
    </cfRule>
    <cfRule type="cellIs" dxfId="4136" priority="2523" stopIfTrue="1" operator="equal">
      <formula>"21-40%"</formula>
    </cfRule>
    <cfRule type="cellIs" dxfId="4135" priority="2524" stopIfTrue="1" operator="equal">
      <formula>"0-20%"</formula>
    </cfRule>
    <cfRule type="cellIs" dxfId="4134" priority="2525" stopIfTrue="1" operator="equal">
      <formula>"81-100%"</formula>
    </cfRule>
    <cfRule type="cellIs" dxfId="4133" priority="2526" stopIfTrue="1" operator="equal">
      <formula>"100%"</formula>
    </cfRule>
  </conditionalFormatting>
  <conditionalFormatting sqref="AY150">
    <cfRule type="cellIs" dxfId="4132" priority="2511" stopIfTrue="1" operator="equal">
      <formula>"Régime présumé naturel (100%) / Abfluss vermutlich natürlich"</formula>
    </cfRule>
    <cfRule type="cellIs" dxfId="4131" priority="2512" stopIfTrue="1" operator="equal">
      <formula>"non pertinent / nicht relevant"</formula>
    </cfRule>
    <cfRule type="cellIs" dxfId="4130" priority="2513" stopIfTrue="1" operator="equal">
      <formula>"61-80%"</formula>
    </cfRule>
    <cfRule type="cellIs" dxfId="4129" priority="2514" stopIfTrue="1" operator="equal">
      <formula>"41-60%"</formula>
    </cfRule>
    <cfRule type="cellIs" dxfId="4128" priority="2515" stopIfTrue="1" operator="equal">
      <formula>"21-40%"</formula>
    </cfRule>
    <cfRule type="cellIs" dxfId="4127" priority="2516" stopIfTrue="1" operator="equal">
      <formula>"0-20%"</formula>
    </cfRule>
    <cfRule type="cellIs" dxfId="4126" priority="2517" stopIfTrue="1" operator="equal">
      <formula>"81-100%"</formula>
    </cfRule>
    <cfRule type="cellIs" dxfId="4125" priority="2518" stopIfTrue="1" operator="equal">
      <formula>"100%"</formula>
    </cfRule>
  </conditionalFormatting>
  <conditionalFormatting sqref="AY155">
    <cfRule type="cellIs" dxfId="4124" priority="2503" stopIfTrue="1" operator="equal">
      <formula>"Régime présumé naturel (100%) / Abfluss vermutlich natürlich"</formula>
    </cfRule>
    <cfRule type="cellIs" dxfId="4123" priority="2504" stopIfTrue="1" operator="equal">
      <formula>"non pertinent / nicht relevant"</formula>
    </cfRule>
    <cfRule type="cellIs" dxfId="4122" priority="2505" stopIfTrue="1" operator="equal">
      <formula>"61-80%"</formula>
    </cfRule>
    <cfRule type="cellIs" dxfId="4121" priority="2506" stopIfTrue="1" operator="equal">
      <formula>"41-60%"</formula>
    </cfRule>
    <cfRule type="cellIs" dxfId="4120" priority="2507" stopIfTrue="1" operator="equal">
      <formula>"21-40%"</formula>
    </cfRule>
    <cfRule type="cellIs" dxfId="4119" priority="2508" stopIfTrue="1" operator="equal">
      <formula>"0-20%"</formula>
    </cfRule>
    <cfRule type="cellIs" dxfId="4118" priority="2509" stopIfTrue="1" operator="equal">
      <formula>"81-100%"</formula>
    </cfRule>
    <cfRule type="cellIs" dxfId="4117" priority="2510" stopIfTrue="1" operator="equal">
      <formula>"100%"</formula>
    </cfRule>
  </conditionalFormatting>
  <conditionalFormatting sqref="AY160">
    <cfRule type="cellIs" dxfId="4116" priority="2495" stopIfTrue="1" operator="equal">
      <formula>"Régime présumé naturel (100%) / Abfluss vermutlich natürlich"</formula>
    </cfRule>
    <cfRule type="cellIs" dxfId="4115" priority="2496" stopIfTrue="1" operator="equal">
      <formula>"non pertinent / nicht relevant"</formula>
    </cfRule>
    <cfRule type="cellIs" dxfId="4114" priority="2497" stopIfTrue="1" operator="equal">
      <formula>"61-80%"</formula>
    </cfRule>
    <cfRule type="cellIs" dxfId="4113" priority="2498" stopIfTrue="1" operator="equal">
      <formula>"41-60%"</formula>
    </cfRule>
    <cfRule type="cellIs" dxfId="4112" priority="2499" stopIfTrue="1" operator="equal">
      <formula>"21-40%"</formula>
    </cfRule>
    <cfRule type="cellIs" dxfId="4111" priority="2500" stopIfTrue="1" operator="equal">
      <formula>"0-20%"</formula>
    </cfRule>
    <cfRule type="cellIs" dxfId="4110" priority="2501" stopIfTrue="1" operator="equal">
      <formula>"81-100%"</formula>
    </cfRule>
    <cfRule type="cellIs" dxfId="4109" priority="2502" stopIfTrue="1" operator="equal">
      <formula>"100%"</formula>
    </cfRule>
  </conditionalFormatting>
  <conditionalFormatting sqref="AT217:AU220">
    <cfRule type="cellIs" dxfId="4108" priority="2487" stopIfTrue="1" operator="equal">
      <formula>"Régime présumé naturel (100%) / Abfluss vermutlich natürlich"</formula>
    </cfRule>
    <cfRule type="cellIs" dxfId="4107" priority="2488" stopIfTrue="1" operator="equal">
      <formula>"non pertinent / nicht relevant"</formula>
    </cfRule>
    <cfRule type="cellIs" dxfId="4106" priority="2489" stopIfTrue="1" operator="equal">
      <formula>"61-80%"</formula>
    </cfRule>
    <cfRule type="cellIs" dxfId="4105" priority="2490" stopIfTrue="1" operator="equal">
      <formula>"41-60%"</formula>
    </cfRule>
    <cfRule type="cellIs" dxfId="4104" priority="2491" stopIfTrue="1" operator="equal">
      <formula>"21-40%"</formula>
    </cfRule>
    <cfRule type="cellIs" dxfId="4103" priority="2492" stopIfTrue="1" operator="equal">
      <formula>"0-20%"</formula>
    </cfRule>
    <cfRule type="cellIs" dxfId="4102" priority="2493" stopIfTrue="1" operator="equal">
      <formula>"81-100%"</formula>
    </cfRule>
    <cfRule type="cellIs" dxfId="4101" priority="2494" stopIfTrue="1" operator="equal">
      <formula>"100%"</formula>
    </cfRule>
  </conditionalFormatting>
  <conditionalFormatting sqref="AT211:AU212 AT214:AU215">
    <cfRule type="cellIs" dxfId="4100" priority="2479" stopIfTrue="1" operator="equal">
      <formula>"Régime présumé naturel (100%) / Abfluss vermutlich natürlich"</formula>
    </cfRule>
    <cfRule type="cellIs" dxfId="4099" priority="2480" stopIfTrue="1" operator="equal">
      <formula>"non pertinent / nicht relevant"</formula>
    </cfRule>
    <cfRule type="cellIs" dxfId="4098" priority="2481" stopIfTrue="1" operator="equal">
      <formula>"61-80%"</formula>
    </cfRule>
    <cfRule type="cellIs" dxfId="4097" priority="2482" stopIfTrue="1" operator="equal">
      <formula>"41-60%"</formula>
    </cfRule>
    <cfRule type="cellIs" dxfId="4096" priority="2483" stopIfTrue="1" operator="equal">
      <formula>"21-40%"</formula>
    </cfRule>
    <cfRule type="cellIs" dxfId="4095" priority="2484" stopIfTrue="1" operator="equal">
      <formula>"0-20%"</formula>
    </cfRule>
    <cfRule type="cellIs" dxfId="4094" priority="2485" stopIfTrue="1" operator="equal">
      <formula>"81-100%"</formula>
    </cfRule>
    <cfRule type="cellIs" dxfId="4093" priority="2486" stopIfTrue="1" operator="equal">
      <formula>"100%"</formula>
    </cfRule>
  </conditionalFormatting>
  <conditionalFormatting sqref="AT213:AU213">
    <cfRule type="cellIs" dxfId="4092" priority="2471" stopIfTrue="1" operator="equal">
      <formula>"Régime présumé naturel (100%) / Abfluss vermutlich natürlich"</formula>
    </cfRule>
    <cfRule type="cellIs" dxfId="4091" priority="2472" stopIfTrue="1" operator="equal">
      <formula>"non pertinent / nicht relevant"</formula>
    </cfRule>
    <cfRule type="cellIs" dxfId="4090" priority="2473" stopIfTrue="1" operator="equal">
      <formula>"61-80%"</formula>
    </cfRule>
    <cfRule type="cellIs" dxfId="4089" priority="2474" stopIfTrue="1" operator="equal">
      <formula>"41-60%"</formula>
    </cfRule>
    <cfRule type="cellIs" dxfId="4088" priority="2475" stopIfTrue="1" operator="equal">
      <formula>"21-40%"</formula>
    </cfRule>
    <cfRule type="cellIs" dxfId="4087" priority="2476" stopIfTrue="1" operator="equal">
      <formula>"0-20%"</formula>
    </cfRule>
    <cfRule type="cellIs" dxfId="4086" priority="2477" stopIfTrue="1" operator="equal">
      <formula>"81-100%"</formula>
    </cfRule>
    <cfRule type="cellIs" dxfId="4085" priority="2478" stopIfTrue="1" operator="equal">
      <formula>"100%"</formula>
    </cfRule>
  </conditionalFormatting>
  <conditionalFormatting sqref="AT216:AU216">
    <cfRule type="cellIs" dxfId="4084" priority="2463" stopIfTrue="1" operator="equal">
      <formula>"Régime présumé naturel (100%) / Abfluss vermutlich natürlich"</formula>
    </cfRule>
    <cfRule type="cellIs" dxfId="4083" priority="2464" stopIfTrue="1" operator="equal">
      <formula>"non pertinent / nicht relevant"</formula>
    </cfRule>
    <cfRule type="cellIs" dxfId="4082" priority="2465" stopIfTrue="1" operator="equal">
      <formula>"61-80%"</formula>
    </cfRule>
    <cfRule type="cellIs" dxfId="4081" priority="2466" stopIfTrue="1" operator="equal">
      <formula>"41-60%"</formula>
    </cfRule>
    <cfRule type="cellIs" dxfId="4080" priority="2467" stopIfTrue="1" operator="equal">
      <formula>"21-40%"</formula>
    </cfRule>
    <cfRule type="cellIs" dxfId="4079" priority="2468" stopIfTrue="1" operator="equal">
      <formula>"0-20%"</formula>
    </cfRule>
    <cfRule type="cellIs" dxfId="4078" priority="2469" stopIfTrue="1" operator="equal">
      <formula>"81-100%"</formula>
    </cfRule>
    <cfRule type="cellIs" dxfId="4077" priority="2470" stopIfTrue="1" operator="equal">
      <formula>"100%"</formula>
    </cfRule>
  </conditionalFormatting>
  <conditionalFormatting sqref="AY71">
    <cfRule type="cellIs" dxfId="4076" priority="2455" stopIfTrue="1" operator="equal">
      <formula>"Régime présumé naturel (100%) / Abfluss vermutlich natürlich"</formula>
    </cfRule>
    <cfRule type="cellIs" dxfId="4075" priority="2456" stopIfTrue="1" operator="equal">
      <formula>"non pertinent / nicht relevant"</formula>
    </cfRule>
    <cfRule type="cellIs" dxfId="4074" priority="2457" stopIfTrue="1" operator="equal">
      <formula>"61-80%"</formula>
    </cfRule>
    <cfRule type="cellIs" dxfId="4073" priority="2458" stopIfTrue="1" operator="equal">
      <formula>"41-60%"</formula>
    </cfRule>
    <cfRule type="cellIs" dxfId="4072" priority="2459" stopIfTrue="1" operator="equal">
      <formula>"21-40%"</formula>
    </cfRule>
    <cfRule type="cellIs" dxfId="4071" priority="2460" stopIfTrue="1" operator="equal">
      <formula>"0-20%"</formula>
    </cfRule>
    <cfRule type="cellIs" dxfId="4070" priority="2461" stopIfTrue="1" operator="equal">
      <formula>"81-100%"</formula>
    </cfRule>
    <cfRule type="cellIs" dxfId="4069" priority="2462" stopIfTrue="1" operator="equal">
      <formula>"100%"</formula>
    </cfRule>
  </conditionalFormatting>
  <conditionalFormatting sqref="AY72">
    <cfRule type="cellIs" dxfId="4068" priority="2447" stopIfTrue="1" operator="equal">
      <formula>"Régime présumé naturel (100%) / Abfluss vermutlich natürlich"</formula>
    </cfRule>
    <cfRule type="cellIs" dxfId="4067" priority="2448" stopIfTrue="1" operator="equal">
      <formula>"non pertinent / nicht relevant"</formula>
    </cfRule>
    <cfRule type="cellIs" dxfId="4066" priority="2449" stopIfTrue="1" operator="equal">
      <formula>"61-80%"</formula>
    </cfRule>
    <cfRule type="cellIs" dxfId="4065" priority="2450" stopIfTrue="1" operator="equal">
      <formula>"41-60%"</formula>
    </cfRule>
    <cfRule type="cellIs" dxfId="4064" priority="2451" stopIfTrue="1" operator="equal">
      <formula>"21-40%"</formula>
    </cfRule>
    <cfRule type="cellIs" dxfId="4063" priority="2452" stopIfTrue="1" operator="equal">
      <formula>"0-20%"</formula>
    </cfRule>
    <cfRule type="cellIs" dxfId="4062" priority="2453" stopIfTrue="1" operator="equal">
      <formula>"81-100%"</formula>
    </cfRule>
    <cfRule type="cellIs" dxfId="4061" priority="2454" stopIfTrue="1" operator="equal">
      <formula>"100%"</formula>
    </cfRule>
  </conditionalFormatting>
  <conditionalFormatting sqref="AY30">
    <cfRule type="cellIs" dxfId="4060" priority="2439" stopIfTrue="1" operator="equal">
      <formula>"Régime présumé naturel (100%) / Abfluss vermutlich natürlich"</formula>
    </cfRule>
    <cfRule type="cellIs" dxfId="4059" priority="2440" stopIfTrue="1" operator="equal">
      <formula>"non pertinent / nicht relevant"</formula>
    </cfRule>
    <cfRule type="cellIs" dxfId="4058" priority="2441" stopIfTrue="1" operator="equal">
      <formula>"61-80%"</formula>
    </cfRule>
    <cfRule type="cellIs" dxfId="4057" priority="2442" stopIfTrue="1" operator="equal">
      <formula>"41-60%"</formula>
    </cfRule>
    <cfRule type="cellIs" dxfId="4056" priority="2443" stopIfTrue="1" operator="equal">
      <formula>"21-40%"</formula>
    </cfRule>
    <cfRule type="cellIs" dxfId="4055" priority="2444" stopIfTrue="1" operator="equal">
      <formula>"0-20%"</formula>
    </cfRule>
    <cfRule type="cellIs" dxfId="4054" priority="2445" stopIfTrue="1" operator="equal">
      <formula>"81-100%"</formula>
    </cfRule>
    <cfRule type="cellIs" dxfId="4053" priority="2446" stopIfTrue="1" operator="equal">
      <formula>"100%"</formula>
    </cfRule>
  </conditionalFormatting>
  <conditionalFormatting sqref="AY44">
    <cfRule type="cellIs" dxfId="4052" priority="2431" stopIfTrue="1" operator="equal">
      <formula>"Régime présumé naturel (100%) / Abfluss vermutlich natürlich"</formula>
    </cfRule>
    <cfRule type="cellIs" dxfId="4051" priority="2432" stopIfTrue="1" operator="equal">
      <formula>"non pertinent / nicht relevant"</formula>
    </cfRule>
    <cfRule type="cellIs" dxfId="4050" priority="2433" stopIfTrue="1" operator="equal">
      <formula>"61-80%"</formula>
    </cfRule>
    <cfRule type="cellIs" dxfId="4049" priority="2434" stopIfTrue="1" operator="equal">
      <formula>"41-60%"</formula>
    </cfRule>
    <cfRule type="cellIs" dxfId="4048" priority="2435" stopIfTrue="1" operator="equal">
      <formula>"21-40%"</formula>
    </cfRule>
    <cfRule type="cellIs" dxfId="4047" priority="2436" stopIfTrue="1" operator="equal">
      <formula>"0-20%"</formula>
    </cfRule>
    <cfRule type="cellIs" dxfId="4046" priority="2437" stopIfTrue="1" operator="equal">
      <formula>"81-100%"</formula>
    </cfRule>
    <cfRule type="cellIs" dxfId="4045" priority="2438" stopIfTrue="1" operator="equal">
      <formula>"100%"</formula>
    </cfRule>
  </conditionalFormatting>
  <conditionalFormatting sqref="AX102">
    <cfRule type="cellIs" dxfId="4044" priority="2423" stopIfTrue="1" operator="equal">
      <formula>"Régime présumé naturel (100%) / Abfluss vermutlich natürlich"</formula>
    </cfRule>
    <cfRule type="cellIs" dxfId="4043" priority="2424" stopIfTrue="1" operator="equal">
      <formula>"non pertinent / nicht relevant"</formula>
    </cfRule>
    <cfRule type="cellIs" dxfId="4042" priority="2425" stopIfTrue="1" operator="equal">
      <formula>"61-80%"</formula>
    </cfRule>
    <cfRule type="cellIs" dxfId="4041" priority="2426" stopIfTrue="1" operator="equal">
      <formula>"41-60%"</formula>
    </cfRule>
    <cfRule type="cellIs" dxfId="4040" priority="2427" stopIfTrue="1" operator="equal">
      <formula>"21-40%"</formula>
    </cfRule>
    <cfRule type="cellIs" dxfId="4039" priority="2428" stopIfTrue="1" operator="equal">
      <formula>"0-20%"</formula>
    </cfRule>
    <cfRule type="cellIs" dxfId="4038" priority="2429" stopIfTrue="1" operator="equal">
      <formula>"81-100%"</formula>
    </cfRule>
    <cfRule type="cellIs" dxfId="4037" priority="2430" stopIfTrue="1" operator="equal">
      <formula>"100%"</formula>
    </cfRule>
  </conditionalFormatting>
  <conditionalFormatting sqref="AX120">
    <cfRule type="cellIs" dxfId="4036" priority="2415" stopIfTrue="1" operator="equal">
      <formula>"Régime présumé naturel (100%) / Abfluss vermutlich natürlich"</formula>
    </cfRule>
    <cfRule type="cellIs" dxfId="4035" priority="2416" stopIfTrue="1" operator="equal">
      <formula>"non pertinent / nicht relevant"</formula>
    </cfRule>
    <cfRule type="cellIs" dxfId="4034" priority="2417" stopIfTrue="1" operator="equal">
      <formula>"61-80%"</formula>
    </cfRule>
    <cfRule type="cellIs" dxfId="4033" priority="2418" stopIfTrue="1" operator="equal">
      <formula>"41-60%"</formula>
    </cfRule>
    <cfRule type="cellIs" dxfId="4032" priority="2419" stopIfTrue="1" operator="equal">
      <formula>"21-40%"</formula>
    </cfRule>
    <cfRule type="cellIs" dxfId="4031" priority="2420" stopIfTrue="1" operator="equal">
      <formula>"0-20%"</formula>
    </cfRule>
    <cfRule type="cellIs" dxfId="4030" priority="2421" stopIfTrue="1" operator="equal">
      <formula>"81-100%"</formula>
    </cfRule>
    <cfRule type="cellIs" dxfId="4029" priority="2422" stopIfTrue="1" operator="equal">
      <formula>"100%"</formula>
    </cfRule>
  </conditionalFormatting>
  <conditionalFormatting sqref="AX130">
    <cfRule type="cellIs" dxfId="4028" priority="2407" stopIfTrue="1" operator="equal">
      <formula>"Régime présumé naturel (100%) / Abfluss vermutlich natürlich"</formula>
    </cfRule>
    <cfRule type="cellIs" dxfId="4027" priority="2408" stopIfTrue="1" operator="equal">
      <formula>"non pertinent / nicht relevant"</formula>
    </cfRule>
    <cfRule type="cellIs" dxfId="4026" priority="2409" stopIfTrue="1" operator="equal">
      <formula>"61-80%"</formula>
    </cfRule>
    <cfRule type="cellIs" dxfId="4025" priority="2410" stopIfTrue="1" operator="equal">
      <formula>"41-60%"</formula>
    </cfRule>
    <cfRule type="cellIs" dxfId="4024" priority="2411" stopIfTrue="1" operator="equal">
      <formula>"21-40%"</formula>
    </cfRule>
    <cfRule type="cellIs" dxfId="4023" priority="2412" stopIfTrue="1" operator="equal">
      <formula>"0-20%"</formula>
    </cfRule>
    <cfRule type="cellIs" dxfId="4022" priority="2413" stopIfTrue="1" operator="equal">
      <formula>"81-100%"</formula>
    </cfRule>
    <cfRule type="cellIs" dxfId="4021" priority="2414" stopIfTrue="1" operator="equal">
      <formula>"100%"</formula>
    </cfRule>
  </conditionalFormatting>
  <conditionalFormatting sqref="AX184">
    <cfRule type="cellIs" dxfId="4020" priority="2399" stopIfTrue="1" operator="equal">
      <formula>"Régime présumé naturel (100%) / Abfluss vermutlich natürlich"</formula>
    </cfRule>
    <cfRule type="cellIs" dxfId="4019" priority="2400" stopIfTrue="1" operator="equal">
      <formula>"non pertinent / nicht relevant"</formula>
    </cfRule>
    <cfRule type="cellIs" dxfId="4018" priority="2401" stopIfTrue="1" operator="equal">
      <formula>"61-80%"</formula>
    </cfRule>
    <cfRule type="cellIs" dxfId="4017" priority="2402" stopIfTrue="1" operator="equal">
      <formula>"41-60%"</formula>
    </cfRule>
    <cfRule type="cellIs" dxfId="4016" priority="2403" stopIfTrue="1" operator="equal">
      <formula>"21-40%"</formula>
    </cfRule>
    <cfRule type="cellIs" dxfId="4015" priority="2404" stopIfTrue="1" operator="equal">
      <formula>"0-20%"</formula>
    </cfRule>
    <cfRule type="cellIs" dxfId="4014" priority="2405" stopIfTrue="1" operator="equal">
      <formula>"81-100%"</formula>
    </cfRule>
    <cfRule type="cellIs" dxfId="4013" priority="2406" stopIfTrue="1" operator="equal">
      <formula>"100%"</formula>
    </cfRule>
  </conditionalFormatting>
  <conditionalFormatting sqref="AX195">
    <cfRule type="cellIs" dxfId="4012" priority="2391" stopIfTrue="1" operator="equal">
      <formula>"Régime présumé naturel (100%) / Abfluss vermutlich natürlich"</formula>
    </cfRule>
    <cfRule type="cellIs" dxfId="4011" priority="2392" stopIfTrue="1" operator="equal">
      <formula>"non pertinent / nicht relevant"</formula>
    </cfRule>
    <cfRule type="cellIs" dxfId="4010" priority="2393" stopIfTrue="1" operator="equal">
      <formula>"61-80%"</formula>
    </cfRule>
    <cfRule type="cellIs" dxfId="4009" priority="2394" stopIfTrue="1" operator="equal">
      <formula>"41-60%"</formula>
    </cfRule>
    <cfRule type="cellIs" dxfId="4008" priority="2395" stopIfTrue="1" operator="equal">
      <formula>"21-40%"</formula>
    </cfRule>
    <cfRule type="cellIs" dxfId="4007" priority="2396" stopIfTrue="1" operator="equal">
      <formula>"0-20%"</formula>
    </cfRule>
    <cfRule type="cellIs" dxfId="4006" priority="2397" stopIfTrue="1" operator="equal">
      <formula>"81-100%"</formula>
    </cfRule>
    <cfRule type="cellIs" dxfId="4005" priority="2398" stopIfTrue="1" operator="equal">
      <formula>"100%"</formula>
    </cfRule>
  </conditionalFormatting>
  <conditionalFormatting sqref="AX252">
    <cfRule type="cellIs" dxfId="4004" priority="2383" stopIfTrue="1" operator="equal">
      <formula>"Régime présumé naturel (100%) / Abfluss vermutlich natürlich"</formula>
    </cfRule>
    <cfRule type="cellIs" dxfId="4003" priority="2384" stopIfTrue="1" operator="equal">
      <formula>"non pertinent / nicht relevant"</formula>
    </cfRule>
    <cfRule type="cellIs" dxfId="4002" priority="2385" stopIfTrue="1" operator="equal">
      <formula>"61-80%"</formula>
    </cfRule>
    <cfRule type="cellIs" dxfId="4001" priority="2386" stopIfTrue="1" operator="equal">
      <formula>"41-60%"</formula>
    </cfRule>
    <cfRule type="cellIs" dxfId="4000" priority="2387" stopIfTrue="1" operator="equal">
      <formula>"21-40%"</formula>
    </cfRule>
    <cfRule type="cellIs" dxfId="3999" priority="2388" stopIfTrue="1" operator="equal">
      <formula>"0-20%"</formula>
    </cfRule>
    <cfRule type="cellIs" dxfId="3998" priority="2389" stopIfTrue="1" operator="equal">
      <formula>"81-100%"</formula>
    </cfRule>
    <cfRule type="cellIs" dxfId="3997" priority="2390" stopIfTrue="1" operator="equal">
      <formula>"100%"</formula>
    </cfRule>
  </conditionalFormatting>
  <conditionalFormatting sqref="AX258">
    <cfRule type="cellIs" dxfId="3996" priority="2375" stopIfTrue="1" operator="equal">
      <formula>"Régime présumé naturel (100%) / Abfluss vermutlich natürlich"</formula>
    </cfRule>
    <cfRule type="cellIs" dxfId="3995" priority="2376" stopIfTrue="1" operator="equal">
      <formula>"non pertinent / nicht relevant"</formula>
    </cfRule>
    <cfRule type="cellIs" dxfId="3994" priority="2377" stopIfTrue="1" operator="equal">
      <formula>"61-80%"</formula>
    </cfRule>
    <cfRule type="cellIs" dxfId="3993" priority="2378" stopIfTrue="1" operator="equal">
      <formula>"41-60%"</formula>
    </cfRule>
    <cfRule type="cellIs" dxfId="3992" priority="2379" stopIfTrue="1" operator="equal">
      <formula>"21-40%"</formula>
    </cfRule>
    <cfRule type="cellIs" dxfId="3991" priority="2380" stopIfTrue="1" operator="equal">
      <formula>"0-20%"</formula>
    </cfRule>
    <cfRule type="cellIs" dxfId="3990" priority="2381" stopIfTrue="1" operator="equal">
      <formula>"81-100%"</formula>
    </cfRule>
    <cfRule type="cellIs" dxfId="3989" priority="2382" stopIfTrue="1" operator="equal">
      <formula>"100%"</formula>
    </cfRule>
  </conditionalFormatting>
  <conditionalFormatting sqref="AX259">
    <cfRule type="cellIs" dxfId="3988" priority="2367" stopIfTrue="1" operator="equal">
      <formula>"Régime présumé naturel (100%) / Abfluss vermutlich natürlich"</formula>
    </cfRule>
    <cfRule type="cellIs" dxfId="3987" priority="2368" stopIfTrue="1" operator="equal">
      <formula>"non pertinent / nicht relevant"</formula>
    </cfRule>
    <cfRule type="cellIs" dxfId="3986" priority="2369" stopIfTrue="1" operator="equal">
      <formula>"61-80%"</formula>
    </cfRule>
    <cfRule type="cellIs" dxfId="3985" priority="2370" stopIfTrue="1" operator="equal">
      <formula>"41-60%"</formula>
    </cfRule>
    <cfRule type="cellIs" dxfId="3984" priority="2371" stopIfTrue="1" operator="equal">
      <formula>"21-40%"</formula>
    </cfRule>
    <cfRule type="cellIs" dxfId="3983" priority="2372" stopIfTrue="1" operator="equal">
      <formula>"0-20%"</formula>
    </cfRule>
    <cfRule type="cellIs" dxfId="3982" priority="2373" stopIfTrue="1" operator="equal">
      <formula>"81-100%"</formula>
    </cfRule>
    <cfRule type="cellIs" dxfId="3981" priority="2374" stopIfTrue="1" operator="equal">
      <formula>"100%"</formula>
    </cfRule>
  </conditionalFormatting>
  <conditionalFormatting sqref="AX268">
    <cfRule type="cellIs" dxfId="3980" priority="2359" stopIfTrue="1" operator="equal">
      <formula>"Régime présumé naturel (100%) / Abfluss vermutlich natürlich"</formula>
    </cfRule>
    <cfRule type="cellIs" dxfId="3979" priority="2360" stopIfTrue="1" operator="equal">
      <formula>"non pertinent / nicht relevant"</formula>
    </cfRule>
    <cfRule type="cellIs" dxfId="3978" priority="2361" stopIfTrue="1" operator="equal">
      <formula>"61-80%"</formula>
    </cfRule>
    <cfRule type="cellIs" dxfId="3977" priority="2362" stopIfTrue="1" operator="equal">
      <formula>"41-60%"</formula>
    </cfRule>
    <cfRule type="cellIs" dxfId="3976" priority="2363" stopIfTrue="1" operator="equal">
      <formula>"21-40%"</formula>
    </cfRule>
    <cfRule type="cellIs" dxfId="3975" priority="2364" stopIfTrue="1" operator="equal">
      <formula>"0-20%"</formula>
    </cfRule>
    <cfRule type="cellIs" dxfId="3974" priority="2365" stopIfTrue="1" operator="equal">
      <formula>"81-100%"</formula>
    </cfRule>
    <cfRule type="cellIs" dxfId="3973" priority="2366" stopIfTrue="1" operator="equal">
      <formula>"100%"</formula>
    </cfRule>
  </conditionalFormatting>
  <conditionalFormatting sqref="AX30">
    <cfRule type="cellIs" dxfId="3972" priority="2351" stopIfTrue="1" operator="equal">
      <formula>"Régime présumé naturel (100%) / Abfluss vermutlich natürlich"</formula>
    </cfRule>
    <cfRule type="cellIs" dxfId="3971" priority="2352" stopIfTrue="1" operator="equal">
      <formula>"non pertinent / nicht relevant"</formula>
    </cfRule>
    <cfRule type="cellIs" dxfId="3970" priority="2353" stopIfTrue="1" operator="equal">
      <formula>"61-80%"</formula>
    </cfRule>
    <cfRule type="cellIs" dxfId="3969" priority="2354" stopIfTrue="1" operator="equal">
      <formula>"41-60%"</formula>
    </cfRule>
    <cfRule type="cellIs" dxfId="3968" priority="2355" stopIfTrue="1" operator="equal">
      <formula>"21-40%"</formula>
    </cfRule>
    <cfRule type="cellIs" dxfId="3967" priority="2356" stopIfTrue="1" operator="equal">
      <formula>"0-20%"</formula>
    </cfRule>
    <cfRule type="cellIs" dxfId="3966" priority="2357" stopIfTrue="1" operator="equal">
      <formula>"81-100%"</formula>
    </cfRule>
    <cfRule type="cellIs" dxfId="3965" priority="2358" stopIfTrue="1" operator="equal">
      <formula>"100%"</formula>
    </cfRule>
  </conditionalFormatting>
  <conditionalFormatting sqref="AX44">
    <cfRule type="cellIs" dxfId="3964" priority="2343" stopIfTrue="1" operator="equal">
      <formula>"Régime présumé naturel (100%) / Abfluss vermutlich natürlich"</formula>
    </cfRule>
    <cfRule type="cellIs" dxfId="3963" priority="2344" stopIfTrue="1" operator="equal">
      <formula>"non pertinent / nicht relevant"</formula>
    </cfRule>
    <cfRule type="cellIs" dxfId="3962" priority="2345" stopIfTrue="1" operator="equal">
      <formula>"61-80%"</formula>
    </cfRule>
    <cfRule type="cellIs" dxfId="3961" priority="2346" stopIfTrue="1" operator="equal">
      <formula>"41-60%"</formula>
    </cfRule>
    <cfRule type="cellIs" dxfId="3960" priority="2347" stopIfTrue="1" operator="equal">
      <formula>"21-40%"</formula>
    </cfRule>
    <cfRule type="cellIs" dxfId="3959" priority="2348" stopIfTrue="1" operator="equal">
      <formula>"0-20%"</formula>
    </cfRule>
    <cfRule type="cellIs" dxfId="3958" priority="2349" stopIfTrue="1" operator="equal">
      <formula>"81-100%"</formula>
    </cfRule>
    <cfRule type="cellIs" dxfId="3957" priority="2350" stopIfTrue="1" operator="equal">
      <formula>"100%"</formula>
    </cfRule>
  </conditionalFormatting>
  <conditionalFormatting sqref="AY88">
    <cfRule type="cellIs" dxfId="3956" priority="2335" stopIfTrue="1" operator="equal">
      <formula>"Régime présumé naturel (100%) / Abfluss vermutlich natürlich"</formula>
    </cfRule>
    <cfRule type="cellIs" dxfId="3955" priority="2336" stopIfTrue="1" operator="equal">
      <formula>"non pertinent / nicht relevant"</formula>
    </cfRule>
    <cfRule type="cellIs" dxfId="3954" priority="2337" stopIfTrue="1" operator="equal">
      <formula>"61-80%"</formula>
    </cfRule>
    <cfRule type="cellIs" dxfId="3953" priority="2338" stopIfTrue="1" operator="equal">
      <formula>"41-60%"</formula>
    </cfRule>
    <cfRule type="cellIs" dxfId="3952" priority="2339" stopIfTrue="1" operator="equal">
      <formula>"21-40%"</formula>
    </cfRule>
    <cfRule type="cellIs" dxfId="3951" priority="2340" stopIfTrue="1" operator="equal">
      <formula>"0-20%"</formula>
    </cfRule>
    <cfRule type="cellIs" dxfId="3950" priority="2341" stopIfTrue="1" operator="equal">
      <formula>"81-100%"</formula>
    </cfRule>
    <cfRule type="cellIs" dxfId="3949" priority="2342" stopIfTrue="1" operator="equal">
      <formula>"100%"</formula>
    </cfRule>
  </conditionalFormatting>
  <conditionalFormatting sqref="AY170">
    <cfRule type="cellIs" dxfId="3948" priority="2327" stopIfTrue="1" operator="equal">
      <formula>"Régime présumé naturel (100%) / Abfluss vermutlich natürlich"</formula>
    </cfRule>
    <cfRule type="cellIs" dxfId="3947" priority="2328" stopIfTrue="1" operator="equal">
      <formula>"non pertinent / nicht relevant"</formula>
    </cfRule>
    <cfRule type="cellIs" dxfId="3946" priority="2329" stopIfTrue="1" operator="equal">
      <formula>"61-80%"</formula>
    </cfRule>
    <cfRule type="cellIs" dxfId="3945" priority="2330" stopIfTrue="1" operator="equal">
      <formula>"41-60%"</formula>
    </cfRule>
    <cfRule type="cellIs" dxfId="3944" priority="2331" stopIfTrue="1" operator="equal">
      <formula>"21-40%"</formula>
    </cfRule>
    <cfRule type="cellIs" dxfId="3943" priority="2332" stopIfTrue="1" operator="equal">
      <formula>"0-20%"</formula>
    </cfRule>
    <cfRule type="cellIs" dxfId="3942" priority="2333" stopIfTrue="1" operator="equal">
      <formula>"81-100%"</formula>
    </cfRule>
    <cfRule type="cellIs" dxfId="3941" priority="2334" stopIfTrue="1" operator="equal">
      <formula>"100%"</formula>
    </cfRule>
  </conditionalFormatting>
  <conditionalFormatting sqref="AY176">
    <cfRule type="cellIs" dxfId="3940" priority="2319" stopIfTrue="1" operator="equal">
      <formula>"Régime présumé naturel (100%) / Abfluss vermutlich natürlich"</formula>
    </cfRule>
    <cfRule type="cellIs" dxfId="3939" priority="2320" stopIfTrue="1" operator="equal">
      <formula>"non pertinent / nicht relevant"</formula>
    </cfRule>
    <cfRule type="cellIs" dxfId="3938" priority="2321" stopIfTrue="1" operator="equal">
      <formula>"61-80%"</formula>
    </cfRule>
    <cfRule type="cellIs" dxfId="3937" priority="2322" stopIfTrue="1" operator="equal">
      <formula>"41-60%"</formula>
    </cfRule>
    <cfRule type="cellIs" dxfId="3936" priority="2323" stopIfTrue="1" operator="equal">
      <formula>"21-40%"</formula>
    </cfRule>
    <cfRule type="cellIs" dxfId="3935" priority="2324" stopIfTrue="1" operator="equal">
      <formula>"0-20%"</formula>
    </cfRule>
    <cfRule type="cellIs" dxfId="3934" priority="2325" stopIfTrue="1" operator="equal">
      <formula>"81-100%"</formula>
    </cfRule>
    <cfRule type="cellIs" dxfId="3933" priority="2326" stopIfTrue="1" operator="equal">
      <formula>"100%"</formula>
    </cfRule>
  </conditionalFormatting>
  <conditionalFormatting sqref="AY231 AY241:AY247 AY265:AY266 AY268:AY270 AY227:AY229 AY249:AY260 AY262:AY263 AY221:AY224 AY233">
    <cfRule type="cellIs" dxfId="3932" priority="2311" stopIfTrue="1" operator="equal">
      <formula>"Régime présumé naturel (100%) / Abfluss vermutlich natürlich"</formula>
    </cfRule>
    <cfRule type="cellIs" dxfId="3931" priority="2312" stopIfTrue="1" operator="equal">
      <formula>"non pertinent / nicht relevant"</formula>
    </cfRule>
    <cfRule type="cellIs" dxfId="3930" priority="2313" stopIfTrue="1" operator="equal">
      <formula>"61-80%"</formula>
    </cfRule>
    <cfRule type="cellIs" dxfId="3929" priority="2314" stopIfTrue="1" operator="equal">
      <formula>"41-60%"</formula>
    </cfRule>
    <cfRule type="cellIs" dxfId="3928" priority="2315" stopIfTrue="1" operator="equal">
      <formula>"21-40%"</formula>
    </cfRule>
    <cfRule type="cellIs" dxfId="3927" priority="2316" stopIfTrue="1" operator="equal">
      <formula>"0-20%"</formula>
    </cfRule>
    <cfRule type="cellIs" dxfId="3926" priority="2317" stopIfTrue="1" operator="equal">
      <formula>"81-100%"</formula>
    </cfRule>
    <cfRule type="cellIs" dxfId="3925" priority="2318" stopIfTrue="1" operator="equal">
      <formula>"100%"</formula>
    </cfRule>
  </conditionalFormatting>
  <conditionalFormatting sqref="AY225">
    <cfRule type="cellIs" dxfId="3924" priority="2303" stopIfTrue="1" operator="equal">
      <formula>"Régime présumé naturel (100%) / Abfluss vermutlich natürlich"</formula>
    </cfRule>
    <cfRule type="cellIs" dxfId="3923" priority="2304" stopIfTrue="1" operator="equal">
      <formula>"non pertinent / nicht relevant"</formula>
    </cfRule>
    <cfRule type="cellIs" dxfId="3922" priority="2305" stopIfTrue="1" operator="equal">
      <formula>"61-80%"</formula>
    </cfRule>
    <cfRule type="cellIs" dxfId="3921" priority="2306" stopIfTrue="1" operator="equal">
      <formula>"41-60%"</formula>
    </cfRule>
    <cfRule type="cellIs" dxfId="3920" priority="2307" stopIfTrue="1" operator="equal">
      <formula>"21-40%"</formula>
    </cfRule>
    <cfRule type="cellIs" dxfId="3919" priority="2308" stopIfTrue="1" operator="equal">
      <formula>"0-20%"</formula>
    </cfRule>
    <cfRule type="cellIs" dxfId="3918" priority="2309" stopIfTrue="1" operator="equal">
      <formula>"81-100%"</formula>
    </cfRule>
    <cfRule type="cellIs" dxfId="3917" priority="2310" stopIfTrue="1" operator="equal">
      <formula>"100%"</formula>
    </cfRule>
  </conditionalFormatting>
  <conditionalFormatting sqref="AY230">
    <cfRule type="cellIs" dxfId="3916" priority="2295" stopIfTrue="1" operator="equal">
      <formula>"Régime présumé naturel (100%) / Abfluss vermutlich natürlich"</formula>
    </cfRule>
    <cfRule type="cellIs" dxfId="3915" priority="2296" stopIfTrue="1" operator="equal">
      <formula>"non pertinent / nicht relevant"</formula>
    </cfRule>
    <cfRule type="cellIs" dxfId="3914" priority="2297" stopIfTrue="1" operator="equal">
      <formula>"61-80%"</formula>
    </cfRule>
    <cfRule type="cellIs" dxfId="3913" priority="2298" stopIfTrue="1" operator="equal">
      <formula>"41-60%"</formula>
    </cfRule>
    <cfRule type="cellIs" dxfId="3912" priority="2299" stopIfTrue="1" operator="equal">
      <formula>"21-40%"</formula>
    </cfRule>
    <cfRule type="cellIs" dxfId="3911" priority="2300" stopIfTrue="1" operator="equal">
      <formula>"0-20%"</formula>
    </cfRule>
    <cfRule type="cellIs" dxfId="3910" priority="2301" stopIfTrue="1" operator="equal">
      <formula>"81-100%"</formula>
    </cfRule>
    <cfRule type="cellIs" dxfId="3909" priority="2302" stopIfTrue="1" operator="equal">
      <formula>"100%"</formula>
    </cfRule>
  </conditionalFormatting>
  <conditionalFormatting sqref="AY239">
    <cfRule type="cellIs" dxfId="3908" priority="2287" stopIfTrue="1" operator="equal">
      <formula>"Régime présumé naturel (100%) / Abfluss vermutlich natürlich"</formula>
    </cfRule>
    <cfRule type="cellIs" dxfId="3907" priority="2288" stopIfTrue="1" operator="equal">
      <formula>"non pertinent / nicht relevant"</formula>
    </cfRule>
    <cfRule type="cellIs" dxfId="3906" priority="2289" stopIfTrue="1" operator="equal">
      <formula>"61-80%"</formula>
    </cfRule>
    <cfRule type="cellIs" dxfId="3905" priority="2290" stopIfTrue="1" operator="equal">
      <formula>"41-60%"</formula>
    </cfRule>
    <cfRule type="cellIs" dxfId="3904" priority="2291" stopIfTrue="1" operator="equal">
      <formula>"21-40%"</formula>
    </cfRule>
    <cfRule type="cellIs" dxfId="3903" priority="2292" stopIfTrue="1" operator="equal">
      <formula>"0-20%"</formula>
    </cfRule>
    <cfRule type="cellIs" dxfId="3902" priority="2293" stopIfTrue="1" operator="equal">
      <formula>"81-100%"</formula>
    </cfRule>
    <cfRule type="cellIs" dxfId="3901" priority="2294" stopIfTrue="1" operator="equal">
      <formula>"100%"</formula>
    </cfRule>
  </conditionalFormatting>
  <conditionalFormatting sqref="AY240">
    <cfRule type="cellIs" dxfId="3900" priority="2279" stopIfTrue="1" operator="equal">
      <formula>"Régime présumé naturel (100%) / Abfluss vermutlich natürlich"</formula>
    </cfRule>
    <cfRule type="cellIs" dxfId="3899" priority="2280" stopIfTrue="1" operator="equal">
      <formula>"non pertinent / nicht relevant"</formula>
    </cfRule>
    <cfRule type="cellIs" dxfId="3898" priority="2281" stopIfTrue="1" operator="equal">
      <formula>"61-80%"</formula>
    </cfRule>
    <cfRule type="cellIs" dxfId="3897" priority="2282" stopIfTrue="1" operator="equal">
      <formula>"41-60%"</formula>
    </cfRule>
    <cfRule type="cellIs" dxfId="3896" priority="2283" stopIfTrue="1" operator="equal">
      <formula>"21-40%"</formula>
    </cfRule>
    <cfRule type="cellIs" dxfId="3895" priority="2284" stopIfTrue="1" operator="equal">
      <formula>"0-20%"</formula>
    </cfRule>
    <cfRule type="cellIs" dxfId="3894" priority="2285" stopIfTrue="1" operator="equal">
      <formula>"81-100%"</formula>
    </cfRule>
    <cfRule type="cellIs" dxfId="3893" priority="2286" stopIfTrue="1" operator="equal">
      <formula>"100%"</formula>
    </cfRule>
  </conditionalFormatting>
  <conditionalFormatting sqref="AY248">
    <cfRule type="cellIs" dxfId="3892" priority="2271" stopIfTrue="1" operator="equal">
      <formula>"Régime présumé naturel (100%) / Abfluss vermutlich natürlich"</formula>
    </cfRule>
    <cfRule type="cellIs" dxfId="3891" priority="2272" stopIfTrue="1" operator="equal">
      <formula>"non pertinent / nicht relevant"</formula>
    </cfRule>
    <cfRule type="cellIs" dxfId="3890" priority="2273" stopIfTrue="1" operator="equal">
      <formula>"61-80%"</formula>
    </cfRule>
    <cfRule type="cellIs" dxfId="3889" priority="2274" stopIfTrue="1" operator="equal">
      <formula>"41-60%"</formula>
    </cfRule>
    <cfRule type="cellIs" dxfId="3888" priority="2275" stopIfTrue="1" operator="equal">
      <formula>"21-40%"</formula>
    </cfRule>
    <cfRule type="cellIs" dxfId="3887" priority="2276" stopIfTrue="1" operator="equal">
      <formula>"0-20%"</formula>
    </cfRule>
    <cfRule type="cellIs" dxfId="3886" priority="2277" stopIfTrue="1" operator="equal">
      <formula>"81-100%"</formula>
    </cfRule>
    <cfRule type="cellIs" dxfId="3885" priority="2278" stopIfTrue="1" operator="equal">
      <formula>"100%"</formula>
    </cfRule>
  </conditionalFormatting>
  <conditionalFormatting sqref="AY261">
    <cfRule type="cellIs" dxfId="3884" priority="2263" stopIfTrue="1" operator="equal">
      <formula>"Régime présumé naturel (100%) / Abfluss vermutlich natürlich"</formula>
    </cfRule>
    <cfRule type="cellIs" dxfId="3883" priority="2264" stopIfTrue="1" operator="equal">
      <formula>"non pertinent / nicht relevant"</formula>
    </cfRule>
    <cfRule type="cellIs" dxfId="3882" priority="2265" stopIfTrue="1" operator="equal">
      <formula>"61-80%"</formula>
    </cfRule>
    <cfRule type="cellIs" dxfId="3881" priority="2266" stopIfTrue="1" operator="equal">
      <formula>"41-60%"</formula>
    </cfRule>
    <cfRule type="cellIs" dxfId="3880" priority="2267" stopIfTrue="1" operator="equal">
      <formula>"21-40%"</formula>
    </cfRule>
    <cfRule type="cellIs" dxfId="3879" priority="2268" stopIfTrue="1" operator="equal">
      <formula>"0-20%"</formula>
    </cfRule>
    <cfRule type="cellIs" dxfId="3878" priority="2269" stopIfTrue="1" operator="equal">
      <formula>"81-100%"</formula>
    </cfRule>
    <cfRule type="cellIs" dxfId="3877" priority="2270" stopIfTrue="1" operator="equal">
      <formula>"100%"</formula>
    </cfRule>
  </conditionalFormatting>
  <conditionalFormatting sqref="AY267">
    <cfRule type="cellIs" dxfId="3876" priority="2255" stopIfTrue="1" operator="equal">
      <formula>"Régime présumé naturel (100%) / Abfluss vermutlich natürlich"</formula>
    </cfRule>
    <cfRule type="cellIs" dxfId="3875" priority="2256" stopIfTrue="1" operator="equal">
      <formula>"non pertinent / nicht relevant"</formula>
    </cfRule>
    <cfRule type="cellIs" dxfId="3874" priority="2257" stopIfTrue="1" operator="equal">
      <formula>"61-80%"</formula>
    </cfRule>
    <cfRule type="cellIs" dxfId="3873" priority="2258" stopIfTrue="1" operator="equal">
      <formula>"41-60%"</formula>
    </cfRule>
    <cfRule type="cellIs" dxfId="3872" priority="2259" stopIfTrue="1" operator="equal">
      <formula>"21-40%"</formula>
    </cfRule>
    <cfRule type="cellIs" dxfId="3871" priority="2260" stopIfTrue="1" operator="equal">
      <formula>"0-20%"</formula>
    </cfRule>
    <cfRule type="cellIs" dxfId="3870" priority="2261" stopIfTrue="1" operator="equal">
      <formula>"81-100%"</formula>
    </cfRule>
    <cfRule type="cellIs" dxfId="3869" priority="2262" stopIfTrue="1" operator="equal">
      <formula>"100%"</formula>
    </cfRule>
  </conditionalFormatting>
  <conditionalFormatting sqref="AY271">
    <cfRule type="cellIs" dxfId="3868" priority="2247" stopIfTrue="1" operator="equal">
      <formula>"Régime présumé naturel (100%) / Abfluss vermutlich natürlich"</formula>
    </cfRule>
    <cfRule type="cellIs" dxfId="3867" priority="2248" stopIfTrue="1" operator="equal">
      <formula>"non pertinent / nicht relevant"</formula>
    </cfRule>
    <cfRule type="cellIs" dxfId="3866" priority="2249" stopIfTrue="1" operator="equal">
      <formula>"61-80%"</formula>
    </cfRule>
    <cfRule type="cellIs" dxfId="3865" priority="2250" stopIfTrue="1" operator="equal">
      <formula>"41-60%"</formula>
    </cfRule>
    <cfRule type="cellIs" dxfId="3864" priority="2251" stopIfTrue="1" operator="equal">
      <formula>"21-40%"</formula>
    </cfRule>
    <cfRule type="cellIs" dxfId="3863" priority="2252" stopIfTrue="1" operator="equal">
      <formula>"0-20%"</formula>
    </cfRule>
    <cfRule type="cellIs" dxfId="3862" priority="2253" stopIfTrue="1" operator="equal">
      <formula>"81-100%"</formula>
    </cfRule>
    <cfRule type="cellIs" dxfId="3861" priority="2254" stopIfTrue="1" operator="equal">
      <formula>"100%"</formula>
    </cfRule>
  </conditionalFormatting>
  <conditionalFormatting sqref="AY264">
    <cfRule type="cellIs" dxfId="3860" priority="2239" stopIfTrue="1" operator="equal">
      <formula>"Régime présumé naturel (100%) / Abfluss vermutlich natürlich"</formula>
    </cfRule>
    <cfRule type="cellIs" dxfId="3859" priority="2240" stopIfTrue="1" operator="equal">
      <formula>"non pertinent / nicht relevant"</formula>
    </cfRule>
    <cfRule type="cellIs" dxfId="3858" priority="2241" stopIfTrue="1" operator="equal">
      <formula>"61-80%"</formula>
    </cfRule>
    <cfRule type="cellIs" dxfId="3857" priority="2242" stopIfTrue="1" operator="equal">
      <formula>"41-60%"</formula>
    </cfRule>
    <cfRule type="cellIs" dxfId="3856" priority="2243" stopIfTrue="1" operator="equal">
      <formula>"21-40%"</formula>
    </cfRule>
    <cfRule type="cellIs" dxfId="3855" priority="2244" stopIfTrue="1" operator="equal">
      <formula>"0-20%"</formula>
    </cfRule>
    <cfRule type="cellIs" dxfId="3854" priority="2245" stopIfTrue="1" operator="equal">
      <formula>"81-100%"</formula>
    </cfRule>
    <cfRule type="cellIs" dxfId="3853" priority="2246" stopIfTrue="1" operator="equal">
      <formula>"100%"</formula>
    </cfRule>
  </conditionalFormatting>
  <conditionalFormatting sqref="AY232">
    <cfRule type="cellIs" dxfId="3852" priority="2231" stopIfTrue="1" operator="equal">
      <formula>"Régime présumé naturel (100%) / Abfluss vermutlich natürlich"</formula>
    </cfRule>
    <cfRule type="cellIs" dxfId="3851" priority="2232" stopIfTrue="1" operator="equal">
      <formula>"non pertinent / nicht relevant"</formula>
    </cfRule>
    <cfRule type="cellIs" dxfId="3850" priority="2233" stopIfTrue="1" operator="equal">
      <formula>"61-80%"</formula>
    </cfRule>
    <cfRule type="cellIs" dxfId="3849" priority="2234" stopIfTrue="1" operator="equal">
      <formula>"41-60%"</formula>
    </cfRule>
    <cfRule type="cellIs" dxfId="3848" priority="2235" stopIfTrue="1" operator="equal">
      <formula>"21-40%"</formula>
    </cfRule>
    <cfRule type="cellIs" dxfId="3847" priority="2236" stopIfTrue="1" operator="equal">
      <formula>"0-20%"</formula>
    </cfRule>
    <cfRule type="cellIs" dxfId="3846" priority="2237" stopIfTrue="1" operator="equal">
      <formula>"81-100%"</formula>
    </cfRule>
    <cfRule type="cellIs" dxfId="3845" priority="2238" stopIfTrue="1" operator="equal">
      <formula>"100%"</formula>
    </cfRule>
  </conditionalFormatting>
  <conditionalFormatting sqref="AY234">
    <cfRule type="cellIs" dxfId="3844" priority="2223" stopIfTrue="1" operator="equal">
      <formula>"Régime présumé naturel (100%) / Abfluss vermutlich natürlich"</formula>
    </cfRule>
    <cfRule type="cellIs" dxfId="3843" priority="2224" stopIfTrue="1" operator="equal">
      <formula>"non pertinent / nicht relevant"</formula>
    </cfRule>
    <cfRule type="cellIs" dxfId="3842" priority="2225" stopIfTrue="1" operator="equal">
      <formula>"61-80%"</formula>
    </cfRule>
    <cfRule type="cellIs" dxfId="3841" priority="2226" stopIfTrue="1" operator="equal">
      <formula>"41-60%"</formula>
    </cfRule>
    <cfRule type="cellIs" dxfId="3840" priority="2227" stopIfTrue="1" operator="equal">
      <formula>"21-40%"</formula>
    </cfRule>
    <cfRule type="cellIs" dxfId="3839" priority="2228" stopIfTrue="1" operator="equal">
      <formula>"0-20%"</formula>
    </cfRule>
    <cfRule type="cellIs" dxfId="3838" priority="2229" stopIfTrue="1" operator="equal">
      <formula>"81-100%"</formula>
    </cfRule>
    <cfRule type="cellIs" dxfId="3837" priority="2230" stopIfTrue="1" operator="equal">
      <formula>"100%"</formula>
    </cfRule>
  </conditionalFormatting>
  <conditionalFormatting sqref="AY235">
    <cfRule type="cellIs" dxfId="3836" priority="2215" stopIfTrue="1" operator="equal">
      <formula>"Régime présumé naturel (100%) / Abfluss vermutlich natürlich"</formula>
    </cfRule>
    <cfRule type="cellIs" dxfId="3835" priority="2216" stopIfTrue="1" operator="equal">
      <formula>"non pertinent / nicht relevant"</formula>
    </cfRule>
    <cfRule type="cellIs" dxfId="3834" priority="2217" stopIfTrue="1" operator="equal">
      <formula>"61-80%"</formula>
    </cfRule>
    <cfRule type="cellIs" dxfId="3833" priority="2218" stopIfTrue="1" operator="equal">
      <formula>"41-60%"</formula>
    </cfRule>
    <cfRule type="cellIs" dxfId="3832" priority="2219" stopIfTrue="1" operator="equal">
      <formula>"21-40%"</formula>
    </cfRule>
    <cfRule type="cellIs" dxfId="3831" priority="2220" stopIfTrue="1" operator="equal">
      <formula>"0-20%"</formula>
    </cfRule>
    <cfRule type="cellIs" dxfId="3830" priority="2221" stopIfTrue="1" operator="equal">
      <formula>"81-100%"</formula>
    </cfRule>
    <cfRule type="cellIs" dxfId="3829" priority="2222" stopIfTrue="1" operator="equal">
      <formula>"100%"</formula>
    </cfRule>
  </conditionalFormatting>
  <conditionalFormatting sqref="AY236">
    <cfRule type="cellIs" dxfId="3828" priority="2207" stopIfTrue="1" operator="equal">
      <formula>"Régime présumé naturel (100%) / Abfluss vermutlich natürlich"</formula>
    </cfRule>
    <cfRule type="cellIs" dxfId="3827" priority="2208" stopIfTrue="1" operator="equal">
      <formula>"non pertinent / nicht relevant"</formula>
    </cfRule>
    <cfRule type="cellIs" dxfId="3826" priority="2209" stopIfTrue="1" operator="equal">
      <formula>"61-80%"</formula>
    </cfRule>
    <cfRule type="cellIs" dxfId="3825" priority="2210" stopIfTrue="1" operator="equal">
      <formula>"41-60%"</formula>
    </cfRule>
    <cfRule type="cellIs" dxfId="3824" priority="2211" stopIfTrue="1" operator="equal">
      <formula>"21-40%"</formula>
    </cfRule>
    <cfRule type="cellIs" dxfId="3823" priority="2212" stopIfTrue="1" operator="equal">
      <formula>"0-20%"</formula>
    </cfRule>
    <cfRule type="cellIs" dxfId="3822" priority="2213" stopIfTrue="1" operator="equal">
      <formula>"81-100%"</formula>
    </cfRule>
    <cfRule type="cellIs" dxfId="3821" priority="2214" stopIfTrue="1" operator="equal">
      <formula>"100%"</formula>
    </cfRule>
  </conditionalFormatting>
  <conditionalFormatting sqref="AY237:AY238">
    <cfRule type="cellIs" dxfId="3820" priority="2199" stopIfTrue="1" operator="equal">
      <formula>"Régime présumé naturel (100%) / Abfluss vermutlich natürlich"</formula>
    </cfRule>
    <cfRule type="cellIs" dxfId="3819" priority="2200" stopIfTrue="1" operator="equal">
      <formula>"non pertinent / nicht relevant"</formula>
    </cfRule>
    <cfRule type="cellIs" dxfId="3818" priority="2201" stopIfTrue="1" operator="equal">
      <formula>"61-80%"</formula>
    </cfRule>
    <cfRule type="cellIs" dxfId="3817" priority="2202" stopIfTrue="1" operator="equal">
      <formula>"41-60%"</formula>
    </cfRule>
    <cfRule type="cellIs" dxfId="3816" priority="2203" stopIfTrue="1" operator="equal">
      <formula>"21-40%"</formula>
    </cfRule>
    <cfRule type="cellIs" dxfId="3815" priority="2204" stopIfTrue="1" operator="equal">
      <formula>"0-20%"</formula>
    </cfRule>
    <cfRule type="cellIs" dxfId="3814" priority="2205" stopIfTrue="1" operator="equal">
      <formula>"81-100%"</formula>
    </cfRule>
    <cfRule type="cellIs" dxfId="3813" priority="2206" stopIfTrue="1" operator="equal">
      <formula>"100%"</formula>
    </cfRule>
  </conditionalFormatting>
  <conditionalFormatting sqref="AY226">
    <cfRule type="cellIs" dxfId="3812" priority="2191" stopIfTrue="1" operator="equal">
      <formula>"Régime présumé naturel (100%) / Abfluss vermutlich natürlich"</formula>
    </cfRule>
    <cfRule type="cellIs" dxfId="3811" priority="2192" stopIfTrue="1" operator="equal">
      <formula>"non pertinent / nicht relevant"</formula>
    </cfRule>
    <cfRule type="cellIs" dxfId="3810" priority="2193" stopIfTrue="1" operator="equal">
      <formula>"61-80%"</formula>
    </cfRule>
    <cfRule type="cellIs" dxfId="3809" priority="2194" stopIfTrue="1" operator="equal">
      <formula>"41-60%"</formula>
    </cfRule>
    <cfRule type="cellIs" dxfId="3808" priority="2195" stopIfTrue="1" operator="equal">
      <formula>"21-40%"</formula>
    </cfRule>
    <cfRule type="cellIs" dxfId="3807" priority="2196" stopIfTrue="1" operator="equal">
      <formula>"0-20%"</formula>
    </cfRule>
    <cfRule type="cellIs" dxfId="3806" priority="2197" stopIfTrue="1" operator="equal">
      <formula>"81-100%"</formula>
    </cfRule>
    <cfRule type="cellIs" dxfId="3805" priority="2198" stopIfTrue="1" operator="equal">
      <formula>"100%"</formula>
    </cfRule>
  </conditionalFormatting>
  <conditionalFormatting sqref="AY86:AY87">
    <cfRule type="cellIs" dxfId="3804" priority="2183" stopIfTrue="1" operator="equal">
      <formula>"Régime présumé naturel (100%) / Abfluss vermutlich natürlich"</formula>
    </cfRule>
    <cfRule type="cellIs" dxfId="3803" priority="2184" stopIfTrue="1" operator="equal">
      <formula>"non pertinent / nicht relevant"</formula>
    </cfRule>
    <cfRule type="cellIs" dxfId="3802" priority="2185" stopIfTrue="1" operator="equal">
      <formula>"61-80%"</formula>
    </cfRule>
    <cfRule type="cellIs" dxfId="3801" priority="2186" stopIfTrue="1" operator="equal">
      <formula>"41-60%"</formula>
    </cfRule>
    <cfRule type="cellIs" dxfId="3800" priority="2187" stopIfTrue="1" operator="equal">
      <formula>"21-40%"</formula>
    </cfRule>
    <cfRule type="cellIs" dxfId="3799" priority="2188" stopIfTrue="1" operator="equal">
      <formula>"0-20%"</formula>
    </cfRule>
    <cfRule type="cellIs" dxfId="3798" priority="2189" stopIfTrue="1" operator="equal">
      <formula>"81-100%"</formula>
    </cfRule>
    <cfRule type="cellIs" dxfId="3797" priority="2190" stopIfTrue="1" operator="equal">
      <formula>"100%"</formula>
    </cfRule>
  </conditionalFormatting>
  <conditionalFormatting sqref="AY85">
    <cfRule type="cellIs" dxfId="3796" priority="2175" stopIfTrue="1" operator="equal">
      <formula>"Régime présumé naturel (100%) / Abfluss vermutlich natürlich"</formula>
    </cfRule>
    <cfRule type="cellIs" dxfId="3795" priority="2176" stopIfTrue="1" operator="equal">
      <formula>"non pertinent / nicht relevant"</formula>
    </cfRule>
    <cfRule type="cellIs" dxfId="3794" priority="2177" stopIfTrue="1" operator="equal">
      <formula>"61-80%"</formula>
    </cfRule>
    <cfRule type="cellIs" dxfId="3793" priority="2178" stopIfTrue="1" operator="equal">
      <formula>"41-60%"</formula>
    </cfRule>
    <cfRule type="cellIs" dxfId="3792" priority="2179" stopIfTrue="1" operator="equal">
      <formula>"21-40%"</formula>
    </cfRule>
    <cfRule type="cellIs" dxfId="3791" priority="2180" stopIfTrue="1" operator="equal">
      <formula>"0-20%"</formula>
    </cfRule>
    <cfRule type="cellIs" dxfId="3790" priority="2181" stopIfTrue="1" operator="equal">
      <formula>"81-100%"</formula>
    </cfRule>
    <cfRule type="cellIs" dxfId="3789" priority="2182" stopIfTrue="1" operator="equal">
      <formula>"100%"</formula>
    </cfRule>
  </conditionalFormatting>
  <conditionalFormatting sqref="AY89:AY91 AY93:AY96 AY112:AY113 AY117:AY119 AY127:AY141 AY99:AY110">
    <cfRule type="cellIs" dxfId="3788" priority="2167" stopIfTrue="1" operator="equal">
      <formula>"Régime présumé naturel (100%) / Abfluss vermutlich natürlich"</formula>
    </cfRule>
    <cfRule type="cellIs" dxfId="3787" priority="2168" stopIfTrue="1" operator="equal">
      <formula>"non pertinent / nicht relevant"</formula>
    </cfRule>
    <cfRule type="cellIs" dxfId="3786" priority="2169" stopIfTrue="1" operator="equal">
      <formula>"61-80%"</formula>
    </cfRule>
    <cfRule type="cellIs" dxfId="3785" priority="2170" stopIfTrue="1" operator="equal">
      <formula>"41-60%"</formula>
    </cfRule>
    <cfRule type="cellIs" dxfId="3784" priority="2171" stopIfTrue="1" operator="equal">
      <formula>"21-40%"</formula>
    </cfRule>
    <cfRule type="cellIs" dxfId="3783" priority="2172" stopIfTrue="1" operator="equal">
      <formula>"0-20%"</formula>
    </cfRule>
    <cfRule type="cellIs" dxfId="3782" priority="2173" stopIfTrue="1" operator="equal">
      <formula>"81-100%"</formula>
    </cfRule>
    <cfRule type="cellIs" dxfId="3781" priority="2174" stopIfTrue="1" operator="equal">
      <formula>"100%"</formula>
    </cfRule>
  </conditionalFormatting>
  <conditionalFormatting sqref="AY125:AY126">
    <cfRule type="cellIs" dxfId="3780" priority="2159" stopIfTrue="1" operator="equal">
      <formula>"Régime présumé naturel (100%) / Abfluss vermutlich natürlich"</formula>
    </cfRule>
    <cfRule type="cellIs" dxfId="3779" priority="2160" stopIfTrue="1" operator="equal">
      <formula>"non pertinent / nicht relevant"</formula>
    </cfRule>
    <cfRule type="cellIs" dxfId="3778" priority="2161" stopIfTrue="1" operator="equal">
      <formula>"61-80%"</formula>
    </cfRule>
    <cfRule type="cellIs" dxfId="3777" priority="2162" stopIfTrue="1" operator="equal">
      <formula>"41-60%"</formula>
    </cfRule>
    <cfRule type="cellIs" dxfId="3776" priority="2163" stopIfTrue="1" operator="equal">
      <formula>"21-40%"</formula>
    </cfRule>
    <cfRule type="cellIs" dxfId="3775" priority="2164" stopIfTrue="1" operator="equal">
      <formula>"0-20%"</formula>
    </cfRule>
    <cfRule type="cellIs" dxfId="3774" priority="2165" stopIfTrue="1" operator="equal">
      <formula>"81-100%"</formula>
    </cfRule>
    <cfRule type="cellIs" dxfId="3773" priority="2166" stopIfTrue="1" operator="equal">
      <formula>"100%"</formula>
    </cfRule>
  </conditionalFormatting>
  <conditionalFormatting sqref="AY98">
    <cfRule type="cellIs" dxfId="3772" priority="2151" stopIfTrue="1" operator="equal">
      <formula>"Régime présumé naturel (100%) / Abfluss vermutlich natürlich"</formula>
    </cfRule>
    <cfRule type="cellIs" dxfId="3771" priority="2152" stopIfTrue="1" operator="equal">
      <formula>"non pertinent / nicht relevant"</formula>
    </cfRule>
    <cfRule type="cellIs" dxfId="3770" priority="2153" stopIfTrue="1" operator="equal">
      <formula>"61-80%"</formula>
    </cfRule>
    <cfRule type="cellIs" dxfId="3769" priority="2154" stopIfTrue="1" operator="equal">
      <formula>"41-60%"</formula>
    </cfRule>
    <cfRule type="cellIs" dxfId="3768" priority="2155" stopIfTrue="1" operator="equal">
      <formula>"21-40%"</formula>
    </cfRule>
    <cfRule type="cellIs" dxfId="3767" priority="2156" stopIfTrue="1" operator="equal">
      <formula>"0-20%"</formula>
    </cfRule>
    <cfRule type="cellIs" dxfId="3766" priority="2157" stopIfTrue="1" operator="equal">
      <formula>"81-100%"</formula>
    </cfRule>
    <cfRule type="cellIs" dxfId="3765" priority="2158" stopIfTrue="1" operator="equal">
      <formula>"100%"</formula>
    </cfRule>
  </conditionalFormatting>
  <conditionalFormatting sqref="AY111">
    <cfRule type="cellIs" dxfId="3764" priority="2143" stopIfTrue="1" operator="equal">
      <formula>"Régime présumé naturel (100%) / Abfluss vermutlich natürlich"</formula>
    </cfRule>
    <cfRule type="cellIs" dxfId="3763" priority="2144" stopIfTrue="1" operator="equal">
      <formula>"non pertinent / nicht relevant"</formula>
    </cfRule>
    <cfRule type="cellIs" dxfId="3762" priority="2145" stopIfTrue="1" operator="equal">
      <formula>"61-80%"</formula>
    </cfRule>
    <cfRule type="cellIs" dxfId="3761" priority="2146" stopIfTrue="1" operator="equal">
      <formula>"41-60%"</formula>
    </cfRule>
    <cfRule type="cellIs" dxfId="3760" priority="2147" stopIfTrue="1" operator="equal">
      <formula>"21-40%"</formula>
    </cfRule>
    <cfRule type="cellIs" dxfId="3759" priority="2148" stopIfTrue="1" operator="equal">
      <formula>"0-20%"</formula>
    </cfRule>
    <cfRule type="cellIs" dxfId="3758" priority="2149" stopIfTrue="1" operator="equal">
      <formula>"81-100%"</formula>
    </cfRule>
    <cfRule type="cellIs" dxfId="3757" priority="2150" stopIfTrue="1" operator="equal">
      <formula>"100%"</formula>
    </cfRule>
  </conditionalFormatting>
  <conditionalFormatting sqref="AY97">
    <cfRule type="cellIs" dxfId="3756" priority="2135" stopIfTrue="1" operator="equal">
      <formula>"Régime présumé naturel (100%) / Abfluss vermutlich natürlich"</formula>
    </cfRule>
    <cfRule type="cellIs" dxfId="3755" priority="2136" stopIfTrue="1" operator="equal">
      <formula>"non pertinent / nicht relevant"</formula>
    </cfRule>
    <cfRule type="cellIs" dxfId="3754" priority="2137" stopIfTrue="1" operator="equal">
      <formula>"61-80%"</formula>
    </cfRule>
    <cfRule type="cellIs" dxfId="3753" priority="2138" stopIfTrue="1" operator="equal">
      <formula>"41-60%"</formula>
    </cfRule>
    <cfRule type="cellIs" dxfId="3752" priority="2139" stopIfTrue="1" operator="equal">
      <formula>"21-40%"</formula>
    </cfRule>
    <cfRule type="cellIs" dxfId="3751" priority="2140" stopIfTrue="1" operator="equal">
      <formula>"0-20%"</formula>
    </cfRule>
    <cfRule type="cellIs" dxfId="3750" priority="2141" stopIfTrue="1" operator="equal">
      <formula>"81-100%"</formula>
    </cfRule>
    <cfRule type="cellIs" dxfId="3749" priority="2142" stopIfTrue="1" operator="equal">
      <formula>"100%"</formula>
    </cfRule>
  </conditionalFormatting>
  <conditionalFormatting sqref="AY121">
    <cfRule type="cellIs" dxfId="3748" priority="2127" stopIfTrue="1" operator="equal">
      <formula>"Régime présumé naturel (100%) / Abfluss vermutlich natürlich"</formula>
    </cfRule>
    <cfRule type="cellIs" dxfId="3747" priority="2128" stopIfTrue="1" operator="equal">
      <formula>"non pertinent / nicht relevant"</formula>
    </cfRule>
    <cfRule type="cellIs" dxfId="3746" priority="2129" stopIfTrue="1" operator="equal">
      <formula>"61-80%"</formula>
    </cfRule>
    <cfRule type="cellIs" dxfId="3745" priority="2130" stopIfTrue="1" operator="equal">
      <formula>"41-60%"</formula>
    </cfRule>
    <cfRule type="cellIs" dxfId="3744" priority="2131" stopIfTrue="1" operator="equal">
      <formula>"21-40%"</formula>
    </cfRule>
    <cfRule type="cellIs" dxfId="3743" priority="2132" stopIfTrue="1" operator="equal">
      <formula>"0-20%"</formula>
    </cfRule>
    <cfRule type="cellIs" dxfId="3742" priority="2133" stopIfTrue="1" operator="equal">
      <formula>"81-100%"</formula>
    </cfRule>
    <cfRule type="cellIs" dxfId="3741" priority="2134" stopIfTrue="1" operator="equal">
      <formula>"100%"</formula>
    </cfRule>
  </conditionalFormatting>
  <conditionalFormatting sqref="AY123">
    <cfRule type="cellIs" dxfId="3740" priority="2119" stopIfTrue="1" operator="equal">
      <formula>"Régime présumé naturel (100%) / Abfluss vermutlich natürlich"</formula>
    </cfRule>
    <cfRule type="cellIs" dxfId="3739" priority="2120" stopIfTrue="1" operator="equal">
      <formula>"non pertinent / nicht relevant"</formula>
    </cfRule>
    <cfRule type="cellIs" dxfId="3738" priority="2121" stopIfTrue="1" operator="equal">
      <formula>"61-80%"</formula>
    </cfRule>
    <cfRule type="cellIs" dxfId="3737" priority="2122" stopIfTrue="1" operator="equal">
      <formula>"41-60%"</formula>
    </cfRule>
    <cfRule type="cellIs" dxfId="3736" priority="2123" stopIfTrue="1" operator="equal">
      <formula>"21-40%"</formula>
    </cfRule>
    <cfRule type="cellIs" dxfId="3735" priority="2124" stopIfTrue="1" operator="equal">
      <formula>"0-20%"</formula>
    </cfRule>
    <cfRule type="cellIs" dxfId="3734" priority="2125" stopIfTrue="1" operator="equal">
      <formula>"81-100%"</formula>
    </cfRule>
    <cfRule type="cellIs" dxfId="3733" priority="2126" stopIfTrue="1" operator="equal">
      <formula>"100%"</formula>
    </cfRule>
  </conditionalFormatting>
  <conditionalFormatting sqref="AY115:AY116">
    <cfRule type="cellIs" dxfId="3732" priority="2111" stopIfTrue="1" operator="equal">
      <formula>"Régime présumé naturel (100%) / Abfluss vermutlich natürlich"</formula>
    </cfRule>
    <cfRule type="cellIs" dxfId="3731" priority="2112" stopIfTrue="1" operator="equal">
      <formula>"non pertinent / nicht relevant"</formula>
    </cfRule>
    <cfRule type="cellIs" dxfId="3730" priority="2113" stopIfTrue="1" operator="equal">
      <formula>"61-80%"</formula>
    </cfRule>
    <cfRule type="cellIs" dxfId="3729" priority="2114" stopIfTrue="1" operator="equal">
      <formula>"41-60%"</formula>
    </cfRule>
    <cfRule type="cellIs" dxfId="3728" priority="2115" stopIfTrue="1" operator="equal">
      <formula>"21-40%"</formula>
    </cfRule>
    <cfRule type="cellIs" dxfId="3727" priority="2116" stopIfTrue="1" operator="equal">
      <formula>"0-20%"</formula>
    </cfRule>
    <cfRule type="cellIs" dxfId="3726" priority="2117" stopIfTrue="1" operator="equal">
      <formula>"81-100%"</formula>
    </cfRule>
    <cfRule type="cellIs" dxfId="3725" priority="2118" stopIfTrue="1" operator="equal">
      <formula>"100%"</formula>
    </cfRule>
  </conditionalFormatting>
  <conditionalFormatting sqref="AY92">
    <cfRule type="cellIs" dxfId="3724" priority="2103" stopIfTrue="1" operator="equal">
      <formula>"Régime présumé naturel (100%) / Abfluss vermutlich natürlich"</formula>
    </cfRule>
    <cfRule type="cellIs" dxfId="3723" priority="2104" stopIfTrue="1" operator="equal">
      <formula>"non pertinent / nicht relevant"</formula>
    </cfRule>
    <cfRule type="cellIs" dxfId="3722" priority="2105" stopIfTrue="1" operator="equal">
      <formula>"61-80%"</formula>
    </cfRule>
    <cfRule type="cellIs" dxfId="3721" priority="2106" stopIfTrue="1" operator="equal">
      <formula>"41-60%"</formula>
    </cfRule>
    <cfRule type="cellIs" dxfId="3720" priority="2107" stopIfTrue="1" operator="equal">
      <formula>"21-40%"</formula>
    </cfRule>
    <cfRule type="cellIs" dxfId="3719" priority="2108" stopIfTrue="1" operator="equal">
      <formula>"0-20%"</formula>
    </cfRule>
    <cfRule type="cellIs" dxfId="3718" priority="2109" stopIfTrue="1" operator="equal">
      <formula>"81-100%"</formula>
    </cfRule>
    <cfRule type="cellIs" dxfId="3717" priority="2110" stopIfTrue="1" operator="equal">
      <formula>"100%"</formula>
    </cfRule>
  </conditionalFormatting>
  <conditionalFormatting sqref="AY114">
    <cfRule type="cellIs" dxfId="3716" priority="2095" stopIfTrue="1" operator="equal">
      <formula>"Régime présumé naturel (100%) / Abfluss vermutlich natürlich"</formula>
    </cfRule>
    <cfRule type="cellIs" dxfId="3715" priority="2096" stopIfTrue="1" operator="equal">
      <formula>"non pertinent / nicht relevant"</formula>
    </cfRule>
    <cfRule type="cellIs" dxfId="3714" priority="2097" stopIfTrue="1" operator="equal">
      <formula>"61-80%"</formula>
    </cfRule>
    <cfRule type="cellIs" dxfId="3713" priority="2098" stopIfTrue="1" operator="equal">
      <formula>"41-60%"</formula>
    </cfRule>
    <cfRule type="cellIs" dxfId="3712" priority="2099" stopIfTrue="1" operator="equal">
      <formula>"21-40%"</formula>
    </cfRule>
    <cfRule type="cellIs" dxfId="3711" priority="2100" stopIfTrue="1" operator="equal">
      <formula>"0-20%"</formula>
    </cfRule>
    <cfRule type="cellIs" dxfId="3710" priority="2101" stopIfTrue="1" operator="equal">
      <formula>"81-100%"</formula>
    </cfRule>
    <cfRule type="cellIs" dxfId="3709" priority="2102" stopIfTrue="1" operator="equal">
      <formula>"100%"</formula>
    </cfRule>
  </conditionalFormatting>
  <conditionalFormatting sqref="AY122">
    <cfRule type="cellIs" dxfId="3708" priority="2087" stopIfTrue="1" operator="equal">
      <formula>"Régime présumé naturel (100%) / Abfluss vermutlich natürlich"</formula>
    </cfRule>
    <cfRule type="cellIs" dxfId="3707" priority="2088" stopIfTrue="1" operator="equal">
      <formula>"non pertinent / nicht relevant"</formula>
    </cfRule>
    <cfRule type="cellIs" dxfId="3706" priority="2089" stopIfTrue="1" operator="equal">
      <formula>"61-80%"</formula>
    </cfRule>
    <cfRule type="cellIs" dxfId="3705" priority="2090" stopIfTrue="1" operator="equal">
      <formula>"41-60%"</formula>
    </cfRule>
    <cfRule type="cellIs" dxfId="3704" priority="2091" stopIfTrue="1" operator="equal">
      <formula>"21-40%"</formula>
    </cfRule>
    <cfRule type="cellIs" dxfId="3703" priority="2092" stopIfTrue="1" operator="equal">
      <formula>"0-20%"</formula>
    </cfRule>
    <cfRule type="cellIs" dxfId="3702" priority="2093" stopIfTrue="1" operator="equal">
      <formula>"81-100%"</formula>
    </cfRule>
    <cfRule type="cellIs" dxfId="3701" priority="2094" stopIfTrue="1" operator="equal">
      <formula>"100%"</formula>
    </cfRule>
  </conditionalFormatting>
  <conditionalFormatting sqref="AY124">
    <cfRule type="cellIs" dxfId="3700" priority="2079" stopIfTrue="1" operator="equal">
      <formula>"Régime présumé naturel (100%) / Abfluss vermutlich natürlich"</formula>
    </cfRule>
    <cfRule type="cellIs" dxfId="3699" priority="2080" stopIfTrue="1" operator="equal">
      <formula>"non pertinent / nicht relevant"</formula>
    </cfRule>
    <cfRule type="cellIs" dxfId="3698" priority="2081" stopIfTrue="1" operator="equal">
      <formula>"61-80%"</formula>
    </cfRule>
    <cfRule type="cellIs" dxfId="3697" priority="2082" stopIfTrue="1" operator="equal">
      <formula>"41-60%"</formula>
    </cfRule>
    <cfRule type="cellIs" dxfId="3696" priority="2083" stopIfTrue="1" operator="equal">
      <formula>"21-40%"</formula>
    </cfRule>
    <cfRule type="cellIs" dxfId="3695" priority="2084" stopIfTrue="1" operator="equal">
      <formula>"0-20%"</formula>
    </cfRule>
    <cfRule type="cellIs" dxfId="3694" priority="2085" stopIfTrue="1" operator="equal">
      <formula>"81-100%"</formula>
    </cfRule>
    <cfRule type="cellIs" dxfId="3693" priority="2086" stopIfTrue="1" operator="equal">
      <formula>"100%"</formula>
    </cfRule>
  </conditionalFormatting>
  <conditionalFormatting sqref="AY120">
    <cfRule type="cellIs" dxfId="3692" priority="2071" stopIfTrue="1" operator="equal">
      <formula>"Régime présumé naturel (100%) / Abfluss vermutlich natürlich"</formula>
    </cfRule>
    <cfRule type="cellIs" dxfId="3691" priority="2072" stopIfTrue="1" operator="equal">
      <formula>"non pertinent / nicht relevant"</formula>
    </cfRule>
    <cfRule type="cellIs" dxfId="3690" priority="2073" stopIfTrue="1" operator="equal">
      <formula>"61-80%"</formula>
    </cfRule>
    <cfRule type="cellIs" dxfId="3689" priority="2074" stopIfTrue="1" operator="equal">
      <formula>"41-60%"</formula>
    </cfRule>
    <cfRule type="cellIs" dxfId="3688" priority="2075" stopIfTrue="1" operator="equal">
      <formula>"21-40%"</formula>
    </cfRule>
    <cfRule type="cellIs" dxfId="3687" priority="2076" stopIfTrue="1" operator="equal">
      <formula>"0-20%"</formula>
    </cfRule>
    <cfRule type="cellIs" dxfId="3686" priority="2077" stopIfTrue="1" operator="equal">
      <formula>"81-100%"</formula>
    </cfRule>
    <cfRule type="cellIs" dxfId="3685" priority="2078" stopIfTrue="1" operator="equal">
      <formula>"100%"</formula>
    </cfRule>
  </conditionalFormatting>
  <conditionalFormatting sqref="BJ4:BJ274">
    <cfRule type="cellIs" dxfId="3684" priority="2065" stopIfTrue="1" operator="equal">
      <formula>"non pertinent / nicht relevant"</formula>
    </cfRule>
    <cfRule type="cellIs" dxfId="3683" priority="2066" stopIfTrue="1" operator="equal">
      <formula>"Très nécessaire, difficile / unbedingt nötig, schwierig"</formula>
    </cfRule>
    <cfRule type="cellIs" dxfId="3682" priority="2067" stopIfTrue="1" operator="equal">
      <formula>"Partiellement nécessaire, facile / teilweise nötig, einfach"</formula>
    </cfRule>
    <cfRule type="cellIs" dxfId="3681" priority="2068" stopIfTrue="1" operator="equal">
      <formula>"Partiellement nécessaire, difficile / teilweise nötig, schwierig"</formula>
    </cfRule>
    <cfRule type="cellIs" dxfId="3680" priority="2069" stopIfTrue="1" operator="equal">
      <formula>"Très nécessaire, facile / unbedingt nötig, einfach"</formula>
    </cfRule>
    <cfRule type="cellIs" dxfId="3679" priority="2070" stopIfTrue="1" operator="equal">
      <formula>"Non nécessaire / nicht nötig"</formula>
    </cfRule>
  </conditionalFormatting>
  <conditionalFormatting sqref="BO202 BO203:BP230 BO243 BO244:BP269 BO4:BP45 BO46:BO47 BO68:BP71 BO67 BO73:BP105 BO72 BO107:BP130 BO106 BO132:BP135 BO131 BO137:BP174 BO136 BO176:BP176 BO175 BO178:BP201 BO177 BO232:BP235 BO231 BO237:BP242 BO236 BO271:BP274 BO270 BO48:BP66">
    <cfRule type="cellIs" dxfId="3678" priority="2059" operator="equal">
      <formula>"non pertinent / nicht relevant"</formula>
    </cfRule>
    <cfRule type="cellIs" dxfId="3677" priority="2060" operator="equal">
      <formula>"Très nécessaire, facile / unbedingt nötig, einfach"</formula>
    </cfRule>
    <cfRule type="cellIs" dxfId="3676" priority="2061" operator="equal">
      <formula>"Très nécessaire, difficile / unbedingt nötig, schwierig"</formula>
    </cfRule>
    <cfRule type="cellIs" dxfId="3675" priority="2062" operator="equal">
      <formula>"Partiellement nécessaire, facile / teilweise nötig, einfach"</formula>
    </cfRule>
    <cfRule type="cellIs" dxfId="3674" priority="2063" operator="equal">
      <formula>"Partiellement nécessaire, difficile / teilweise nötig, schwierig"</formula>
    </cfRule>
    <cfRule type="cellIs" dxfId="3673" priority="2064" operator="equal">
      <formula>"Non nécessaire / nicht nötig"</formula>
    </cfRule>
  </conditionalFormatting>
  <conditionalFormatting sqref="BJ275">
    <cfRule type="cellIs" dxfId="3672" priority="2053" stopIfTrue="1" operator="equal">
      <formula>"non pertinent / nicht relevant"</formula>
    </cfRule>
    <cfRule type="cellIs" dxfId="3671" priority="2054" stopIfTrue="1" operator="equal">
      <formula>"Très nécessaire, difficile / unbedingt nötig, schwierig"</formula>
    </cfRule>
    <cfRule type="cellIs" dxfId="3670" priority="2055" stopIfTrue="1" operator="equal">
      <formula>"Partiellement nécessaire, facile / teilweise nötig, einfach"</formula>
    </cfRule>
    <cfRule type="cellIs" dxfId="3669" priority="2056" stopIfTrue="1" operator="equal">
      <formula>"Partiellement nécessaire, difficile / teilweise nötig, schwierig"</formula>
    </cfRule>
    <cfRule type="cellIs" dxfId="3668" priority="2057" stopIfTrue="1" operator="equal">
      <formula>"Très nécessaire, facile / unbedingt nötig, einfach"</formula>
    </cfRule>
    <cfRule type="cellIs" dxfId="3667" priority="2058" stopIfTrue="1" operator="equal">
      <formula>"Non nécessaire / nicht nötig"</formula>
    </cfRule>
  </conditionalFormatting>
  <conditionalFormatting sqref="BO275:BP275">
    <cfRule type="cellIs" dxfId="3666" priority="2047" operator="equal">
      <formula>"non pertinent / nicht relevant"</formula>
    </cfRule>
    <cfRule type="cellIs" dxfId="3665" priority="2048" operator="equal">
      <formula>"Très nécessaire, facile / unbedingt nötig, einfach"</formula>
    </cfRule>
    <cfRule type="cellIs" dxfId="3664" priority="2049" operator="equal">
      <formula>"Très nécessaire, difficile / unbedingt nötig, schwierig"</formula>
    </cfRule>
    <cfRule type="cellIs" dxfId="3663" priority="2050" operator="equal">
      <formula>"Partiellement nécessaire, facile / teilweise nötig, einfach"</formula>
    </cfRule>
    <cfRule type="cellIs" dxfId="3662" priority="2051" operator="equal">
      <formula>"Partiellement nécessaire, difficile / teilweise nötig, schwierig"</formula>
    </cfRule>
    <cfRule type="cellIs" dxfId="3661" priority="2052" operator="equal">
      <formula>"Non nécessaire / nicht nötig"</formula>
    </cfRule>
  </conditionalFormatting>
  <conditionalFormatting sqref="BT76">
    <cfRule type="cellIs" dxfId="3660" priority="2041" operator="equal">
      <formula>"non pertinent / nicht relevant"</formula>
    </cfRule>
    <cfRule type="cellIs" dxfId="3659" priority="2042" operator="equal">
      <formula>"Très nécessaire, facile / unbedingt nötig, einfach"</formula>
    </cfRule>
    <cfRule type="cellIs" dxfId="3658" priority="2043" operator="equal">
      <formula>"Très nécessaire, difficile / unbedingt nötig, schwierig"</formula>
    </cfRule>
    <cfRule type="cellIs" dxfId="3657" priority="2044" operator="equal">
      <formula>"Partiellement nécessaire, facile / teilweise nötig, einfach"</formula>
    </cfRule>
    <cfRule type="cellIs" dxfId="3656" priority="2045" operator="equal">
      <formula>"Partiellement nécessaire, difficile / teilweise nötig, schwierig"</formula>
    </cfRule>
    <cfRule type="cellIs" dxfId="3655" priority="2046" operator="equal">
      <formula>"Non nécessaire / nicht nötig"</formula>
    </cfRule>
  </conditionalFormatting>
  <conditionalFormatting sqref="BT217">
    <cfRule type="cellIs" dxfId="3654" priority="2035" operator="equal">
      <formula>"non pertinent / nicht relevant"</formula>
    </cfRule>
    <cfRule type="cellIs" dxfId="3653" priority="2036" operator="equal">
      <formula>"Très nécessaire, facile / unbedingt nötig, einfach"</formula>
    </cfRule>
    <cfRule type="cellIs" dxfId="3652" priority="2037" operator="equal">
      <formula>"Très nécessaire, difficile / unbedingt nötig, schwierig"</formula>
    </cfRule>
    <cfRule type="cellIs" dxfId="3651" priority="2038" operator="equal">
      <formula>"Partiellement nécessaire, facile / teilweise nötig, einfach"</formula>
    </cfRule>
    <cfRule type="cellIs" dxfId="3650" priority="2039" operator="equal">
      <formula>"Partiellement nécessaire, difficile / teilweise nötig, schwierig"</formula>
    </cfRule>
    <cfRule type="cellIs" dxfId="3649" priority="2040" operator="equal">
      <formula>"Non nécessaire / nicht nötig"</formula>
    </cfRule>
  </conditionalFormatting>
  <conditionalFormatting sqref="BT218">
    <cfRule type="cellIs" dxfId="3648" priority="2029" operator="equal">
      <formula>"non pertinent / nicht relevant"</formula>
    </cfRule>
    <cfRule type="cellIs" dxfId="3647" priority="2030" operator="equal">
      <formula>"Très nécessaire, facile / unbedingt nötig, einfach"</formula>
    </cfRule>
    <cfRule type="cellIs" dxfId="3646" priority="2031" operator="equal">
      <formula>"Très nécessaire, difficile / unbedingt nötig, schwierig"</formula>
    </cfRule>
    <cfRule type="cellIs" dxfId="3645" priority="2032" operator="equal">
      <formula>"Partiellement nécessaire, facile / teilweise nötig, einfach"</formula>
    </cfRule>
    <cfRule type="cellIs" dxfId="3644" priority="2033" operator="equal">
      <formula>"Partiellement nécessaire, difficile / teilweise nötig, schwierig"</formula>
    </cfRule>
    <cfRule type="cellIs" dxfId="3643" priority="2034" operator="equal">
      <formula>"Non nécessaire / nicht nötig"</formula>
    </cfRule>
  </conditionalFormatting>
  <conditionalFormatting sqref="BT219">
    <cfRule type="cellIs" dxfId="3642" priority="2023" operator="equal">
      <formula>"non pertinent / nicht relevant"</formula>
    </cfRule>
    <cfRule type="cellIs" dxfId="3641" priority="2024" operator="equal">
      <formula>"Très nécessaire, facile / unbedingt nötig, einfach"</formula>
    </cfRule>
    <cfRule type="cellIs" dxfId="3640" priority="2025" operator="equal">
      <formula>"Très nécessaire, difficile / unbedingt nötig, schwierig"</formula>
    </cfRule>
    <cfRule type="cellIs" dxfId="3639" priority="2026" operator="equal">
      <formula>"Partiellement nécessaire, facile / teilweise nötig, einfach"</formula>
    </cfRule>
    <cfRule type="cellIs" dxfId="3638" priority="2027" operator="equal">
      <formula>"Partiellement nécessaire, difficile / teilweise nötig, schwierig"</formula>
    </cfRule>
    <cfRule type="cellIs" dxfId="3637" priority="2028" operator="equal">
      <formula>"Non nécessaire / nicht nötig"</formula>
    </cfRule>
  </conditionalFormatting>
  <conditionalFormatting sqref="BT220">
    <cfRule type="cellIs" dxfId="3636" priority="2017" operator="equal">
      <formula>"non pertinent / nicht relevant"</formula>
    </cfRule>
    <cfRule type="cellIs" dxfId="3635" priority="2018" operator="equal">
      <formula>"Très nécessaire, facile / unbedingt nötig, einfach"</formula>
    </cfRule>
    <cfRule type="cellIs" dxfId="3634" priority="2019" operator="equal">
      <formula>"Très nécessaire, difficile / unbedingt nötig, schwierig"</formula>
    </cfRule>
    <cfRule type="cellIs" dxfId="3633" priority="2020" operator="equal">
      <formula>"Partiellement nécessaire, facile / teilweise nötig, einfach"</formula>
    </cfRule>
    <cfRule type="cellIs" dxfId="3632" priority="2021" operator="equal">
      <formula>"Partiellement nécessaire, difficile / teilweise nötig, schwierig"</formula>
    </cfRule>
    <cfRule type="cellIs" dxfId="3631" priority="2022" operator="equal">
      <formula>"Non nécessaire / nicht nötig"</formula>
    </cfRule>
  </conditionalFormatting>
  <conditionalFormatting sqref="BT77">
    <cfRule type="cellIs" dxfId="3630" priority="2011" operator="equal">
      <formula>"non pertinent / nicht relevant"</formula>
    </cfRule>
    <cfRule type="cellIs" dxfId="3629" priority="2012" operator="equal">
      <formula>"Très nécessaire, facile / unbedingt nötig, einfach"</formula>
    </cfRule>
    <cfRule type="cellIs" dxfId="3628" priority="2013" operator="equal">
      <formula>"Très nécessaire, difficile / unbedingt nötig, schwierig"</formula>
    </cfRule>
    <cfRule type="cellIs" dxfId="3627" priority="2014" operator="equal">
      <formula>"Partiellement nécessaire, facile / teilweise nötig, einfach"</formula>
    </cfRule>
    <cfRule type="cellIs" dxfId="3626" priority="2015" operator="equal">
      <formula>"Partiellement nécessaire, difficile / teilweise nötig, schwierig"</formula>
    </cfRule>
    <cfRule type="cellIs" dxfId="3625" priority="2016" operator="equal">
      <formula>"Non nécessaire / nicht nötig"</formula>
    </cfRule>
  </conditionalFormatting>
  <conditionalFormatting sqref="BT78">
    <cfRule type="cellIs" dxfId="3624" priority="2005" stopIfTrue="1" operator="equal">
      <formula>"non pertinent / nicht relevant"</formula>
    </cfRule>
    <cfRule type="cellIs" dxfId="3623" priority="2006" stopIfTrue="1" operator="equal">
      <formula>"Très nécessaire, difficile / unbedingt nötig, schwierig"</formula>
    </cfRule>
    <cfRule type="cellIs" dxfId="3622" priority="2007" stopIfTrue="1" operator="equal">
      <formula>"Partiellement nécessaire, facile / teilweise nötig, einfach"</formula>
    </cfRule>
    <cfRule type="cellIs" dxfId="3621" priority="2008" stopIfTrue="1" operator="equal">
      <formula>"Partiellement nécessaire, difficile / teilweise nötig, schwierig"</formula>
    </cfRule>
    <cfRule type="cellIs" dxfId="3620" priority="2009" stopIfTrue="1" operator="equal">
      <formula>"Très nécessaire, facile / unbedingt nötig, einfach"</formula>
    </cfRule>
    <cfRule type="cellIs" dxfId="3619" priority="2010" stopIfTrue="1" operator="equal">
      <formula>"Non nécessaire / nicht nötig"</formula>
    </cfRule>
  </conditionalFormatting>
  <conditionalFormatting sqref="BT79">
    <cfRule type="cellIs" dxfId="3618" priority="1999" operator="equal">
      <formula>"non pertinent / nicht relevant"</formula>
    </cfRule>
    <cfRule type="cellIs" dxfId="3617" priority="2000" operator="equal">
      <formula>"Très nécessaire, facile / unbedingt nötig, einfach"</formula>
    </cfRule>
    <cfRule type="cellIs" dxfId="3616" priority="2001" operator="equal">
      <formula>"Très nécessaire, difficile / unbedingt nötig, schwierig"</formula>
    </cfRule>
    <cfRule type="cellIs" dxfId="3615" priority="2002" operator="equal">
      <formula>"Partiellement nécessaire, facile / teilweise nötig, einfach"</formula>
    </cfRule>
    <cfRule type="cellIs" dxfId="3614" priority="2003" operator="equal">
      <formula>"Partiellement nécessaire, difficile / teilweise nötig, schwierig"</formula>
    </cfRule>
    <cfRule type="cellIs" dxfId="3613" priority="2004" operator="equal">
      <formula>"Non nécessaire / nicht nötig"</formula>
    </cfRule>
  </conditionalFormatting>
  <conditionalFormatting sqref="BT80">
    <cfRule type="cellIs" dxfId="3612" priority="1993" operator="equal">
      <formula>"non pertinent / nicht relevant"</formula>
    </cfRule>
    <cfRule type="cellIs" dxfId="3611" priority="1994" operator="equal">
      <formula>"Très nécessaire, facile / unbedingt nötig, einfach"</formula>
    </cfRule>
    <cfRule type="cellIs" dxfId="3610" priority="1995" operator="equal">
      <formula>"Très nécessaire, difficile / unbedingt nötig, schwierig"</formula>
    </cfRule>
    <cfRule type="cellIs" dxfId="3609" priority="1996" operator="equal">
      <formula>"Partiellement nécessaire, facile / teilweise nötig, einfach"</formula>
    </cfRule>
    <cfRule type="cellIs" dxfId="3608" priority="1997" operator="equal">
      <formula>"Partiellement nécessaire, difficile / teilweise nötig, schwierig"</formula>
    </cfRule>
    <cfRule type="cellIs" dxfId="3607" priority="1998" operator="equal">
      <formula>"Non nécessaire / nicht nötig"</formula>
    </cfRule>
  </conditionalFormatting>
  <conditionalFormatting sqref="BT231">
    <cfRule type="cellIs" dxfId="3606" priority="1987" operator="equal">
      <formula>"non pertinent / nicht relevant"</formula>
    </cfRule>
    <cfRule type="cellIs" dxfId="3605" priority="1988" operator="equal">
      <formula>"Très nécessaire, facile / unbedingt nötig, einfach"</formula>
    </cfRule>
    <cfRule type="cellIs" dxfId="3604" priority="1989" operator="equal">
      <formula>"Très nécessaire, difficile / unbedingt nötig, schwierig"</formula>
    </cfRule>
    <cfRule type="cellIs" dxfId="3603" priority="1990" operator="equal">
      <formula>"Partiellement nécessaire, facile / teilweise nötig, einfach"</formula>
    </cfRule>
    <cfRule type="cellIs" dxfId="3602" priority="1991" operator="equal">
      <formula>"Partiellement nécessaire, difficile / teilweise nötig, schwierig"</formula>
    </cfRule>
    <cfRule type="cellIs" dxfId="3601" priority="1992" operator="equal">
      <formula>"Non nécessaire / nicht nötig"</formula>
    </cfRule>
  </conditionalFormatting>
  <conditionalFormatting sqref="BP67">
    <cfRule type="cellIs" dxfId="3600" priority="1981" operator="equal">
      <formula>"non pertinent / nicht relevant"</formula>
    </cfRule>
    <cfRule type="cellIs" dxfId="3599" priority="1982" operator="equal">
      <formula>"Très nécessaire, facile / unbedingt nötig, einfach"</formula>
    </cfRule>
    <cfRule type="cellIs" dxfId="3598" priority="1983" operator="equal">
      <formula>"Très nécessaire, difficile / unbedingt nötig, schwierig"</formula>
    </cfRule>
    <cfRule type="cellIs" dxfId="3597" priority="1984" operator="equal">
      <formula>"Partiellement nécessaire, facile / teilweise nötig, einfach"</formula>
    </cfRule>
    <cfRule type="cellIs" dxfId="3596" priority="1985" operator="equal">
      <formula>"Partiellement nécessaire, difficile / teilweise nötig, schwierig"</formula>
    </cfRule>
    <cfRule type="cellIs" dxfId="3595" priority="1986" operator="equal">
      <formula>"Non nécessaire / nicht nötig"</formula>
    </cfRule>
  </conditionalFormatting>
  <conditionalFormatting sqref="BP72">
    <cfRule type="cellIs" dxfId="3594" priority="1975" operator="equal">
      <formula>"non pertinent / nicht relevant"</formula>
    </cfRule>
    <cfRule type="cellIs" dxfId="3593" priority="1976" operator="equal">
      <formula>"Très nécessaire, facile / unbedingt nötig, einfach"</formula>
    </cfRule>
    <cfRule type="cellIs" dxfId="3592" priority="1977" operator="equal">
      <formula>"Très nécessaire, difficile / unbedingt nötig, schwierig"</formula>
    </cfRule>
    <cfRule type="cellIs" dxfId="3591" priority="1978" operator="equal">
      <formula>"Partiellement nécessaire, facile / teilweise nötig, einfach"</formula>
    </cfRule>
    <cfRule type="cellIs" dxfId="3590" priority="1979" operator="equal">
      <formula>"Partiellement nécessaire, difficile / teilweise nötig, schwierig"</formula>
    </cfRule>
    <cfRule type="cellIs" dxfId="3589" priority="1980" operator="equal">
      <formula>"Non nécessaire / nicht nötig"</formula>
    </cfRule>
  </conditionalFormatting>
  <conditionalFormatting sqref="BT156">
    <cfRule type="cellIs" dxfId="3588" priority="1969" operator="equal">
      <formula>"non pertinent / nicht relevant"</formula>
    </cfRule>
    <cfRule type="cellIs" dxfId="3587" priority="1970" operator="equal">
      <formula>"Très nécessaire, facile / unbedingt nötig, einfach"</formula>
    </cfRule>
    <cfRule type="cellIs" dxfId="3586" priority="1971" operator="equal">
      <formula>"Très nécessaire, difficile / unbedingt nötig, schwierig"</formula>
    </cfRule>
    <cfRule type="cellIs" dxfId="3585" priority="1972" operator="equal">
      <formula>"Partiellement nécessaire, facile / teilweise nötig, einfach"</formula>
    </cfRule>
    <cfRule type="cellIs" dxfId="3584" priority="1973" operator="equal">
      <formula>"Partiellement nécessaire, difficile / teilweise nötig, schwierig"</formula>
    </cfRule>
    <cfRule type="cellIs" dxfId="3583" priority="1974" operator="equal">
      <formula>"Non nécessaire / nicht nötig"</formula>
    </cfRule>
  </conditionalFormatting>
  <conditionalFormatting sqref="BT157">
    <cfRule type="cellIs" dxfId="3582" priority="1963" operator="equal">
      <formula>"non pertinent / nicht relevant"</formula>
    </cfRule>
    <cfRule type="cellIs" dxfId="3581" priority="1964" operator="equal">
      <formula>"Très nécessaire, facile / unbedingt nötig, einfach"</formula>
    </cfRule>
    <cfRule type="cellIs" dxfId="3580" priority="1965" operator="equal">
      <formula>"Très nécessaire, difficile / unbedingt nötig, schwierig"</formula>
    </cfRule>
    <cfRule type="cellIs" dxfId="3579" priority="1966" operator="equal">
      <formula>"Partiellement nécessaire, facile / teilweise nötig, einfach"</formula>
    </cfRule>
    <cfRule type="cellIs" dxfId="3578" priority="1967" operator="equal">
      <formula>"Partiellement nécessaire, difficile / teilweise nötig, schwierig"</formula>
    </cfRule>
    <cfRule type="cellIs" dxfId="3577" priority="1968" operator="equal">
      <formula>"Non nécessaire / nicht nötig"</formula>
    </cfRule>
  </conditionalFormatting>
  <conditionalFormatting sqref="BP175">
    <cfRule type="cellIs" dxfId="3576" priority="1957" operator="equal">
      <formula>"non pertinent / nicht relevant"</formula>
    </cfRule>
    <cfRule type="cellIs" dxfId="3575" priority="1958" operator="equal">
      <formula>"Très nécessaire, facile / unbedingt nötig, einfach"</formula>
    </cfRule>
    <cfRule type="cellIs" dxfId="3574" priority="1959" operator="equal">
      <formula>"Très nécessaire, difficile / unbedingt nötig, schwierig"</formula>
    </cfRule>
    <cfRule type="cellIs" dxfId="3573" priority="1960" operator="equal">
      <formula>"Partiellement nécessaire, facile / teilweise nötig, einfach"</formula>
    </cfRule>
    <cfRule type="cellIs" dxfId="3572" priority="1961" operator="equal">
      <formula>"Partiellement nécessaire, difficile / teilweise nötig, schwierig"</formula>
    </cfRule>
    <cfRule type="cellIs" dxfId="3571" priority="1962" operator="equal">
      <formula>"Non nécessaire / nicht nötig"</formula>
    </cfRule>
  </conditionalFormatting>
  <conditionalFormatting sqref="BP177">
    <cfRule type="cellIs" dxfId="3570" priority="1951" operator="equal">
      <formula>"non pertinent / nicht relevant"</formula>
    </cfRule>
    <cfRule type="cellIs" dxfId="3569" priority="1952" operator="equal">
      <formula>"Très nécessaire, facile / unbedingt nötig, einfach"</formula>
    </cfRule>
    <cfRule type="cellIs" dxfId="3568" priority="1953" operator="equal">
      <formula>"Très nécessaire, difficile / unbedingt nötig, schwierig"</formula>
    </cfRule>
    <cfRule type="cellIs" dxfId="3567" priority="1954" operator="equal">
      <formula>"Partiellement nécessaire, facile / teilweise nötig, einfach"</formula>
    </cfRule>
    <cfRule type="cellIs" dxfId="3566" priority="1955" operator="equal">
      <formula>"Partiellement nécessaire, difficile / teilweise nötig, schwierig"</formula>
    </cfRule>
    <cfRule type="cellIs" dxfId="3565" priority="1956" operator="equal">
      <formula>"Non nécessaire / nicht nötig"</formula>
    </cfRule>
  </conditionalFormatting>
  <conditionalFormatting sqref="BP47">
    <cfRule type="cellIs" dxfId="3564" priority="1945" operator="equal">
      <formula>"non pertinent / nicht relevant"</formula>
    </cfRule>
    <cfRule type="cellIs" dxfId="3563" priority="1946" operator="equal">
      <formula>"Très nécessaire, facile / unbedingt nötig, einfach"</formula>
    </cfRule>
    <cfRule type="cellIs" dxfId="3562" priority="1947" operator="equal">
      <formula>"Très nécessaire, difficile / unbedingt nötig, schwierig"</formula>
    </cfRule>
    <cfRule type="cellIs" dxfId="3561" priority="1948" operator="equal">
      <formula>"Partiellement nécessaire, facile / teilweise nötig, einfach"</formula>
    </cfRule>
    <cfRule type="cellIs" dxfId="3560" priority="1949" operator="equal">
      <formula>"Partiellement nécessaire, difficile / teilweise nötig, schwierig"</formula>
    </cfRule>
    <cfRule type="cellIs" dxfId="3559" priority="1950" operator="equal">
      <formula>"Non nécessaire / nicht nötig"</formula>
    </cfRule>
  </conditionalFormatting>
  <conditionalFormatting sqref="BV6">
    <cfRule type="cellIs" dxfId="3558" priority="1633" operator="equal">
      <formula>"non pertinent / nicht relevant"</formula>
    </cfRule>
    <cfRule type="cellIs" dxfId="3557" priority="1634" operator="equal">
      <formula>"Très nécessaire, facile / unbedingt nötig, einfach"</formula>
    </cfRule>
    <cfRule type="cellIs" dxfId="3556" priority="1635" operator="equal">
      <formula>"Très nécessaire, difficile / unbedingt nötig, schwierig"</formula>
    </cfRule>
    <cfRule type="cellIs" dxfId="3555" priority="1636" operator="equal">
      <formula>"Partiellement nécessaire, facile / teilweise nötig, einfach"</formula>
    </cfRule>
    <cfRule type="cellIs" dxfId="3554" priority="1637" operator="equal">
      <formula>"Partiellement nécessaire, difficile / teilweise nötig, schwierig"</formula>
    </cfRule>
    <cfRule type="cellIs" dxfId="3553" priority="1638" operator="equal">
      <formula>"Non nécessaire / nicht nötig"</formula>
    </cfRule>
  </conditionalFormatting>
  <conditionalFormatting sqref="BV17:BV18">
    <cfRule type="cellIs" dxfId="3552" priority="1939" operator="equal">
      <formula>"non pertinent / nicht relevant"</formula>
    </cfRule>
    <cfRule type="cellIs" dxfId="3551" priority="1940" operator="equal">
      <formula>"Très nécessaire, facile / unbedingt nötig, einfach"</formula>
    </cfRule>
    <cfRule type="cellIs" dxfId="3550" priority="1941" operator="equal">
      <formula>"Très nécessaire, difficile / unbedingt nötig, schwierig"</formula>
    </cfRule>
    <cfRule type="cellIs" dxfId="3549" priority="1942" operator="equal">
      <formula>"Partiellement nécessaire, facile / teilweise nötig, einfach"</formula>
    </cfRule>
    <cfRule type="cellIs" dxfId="3548" priority="1943" operator="equal">
      <formula>"Partiellement nécessaire, difficile / teilweise nötig, schwierig"</formula>
    </cfRule>
    <cfRule type="cellIs" dxfId="3547" priority="1944" operator="equal">
      <formula>"Non nécessaire / nicht nötig"</formula>
    </cfRule>
  </conditionalFormatting>
  <conditionalFormatting sqref="BV19">
    <cfRule type="cellIs" dxfId="3546" priority="1933" operator="equal">
      <formula>"non pertinent / nicht relevant"</formula>
    </cfRule>
    <cfRule type="cellIs" dxfId="3545" priority="1934" operator="equal">
      <formula>"Très nécessaire, facile / unbedingt nötig, einfach"</formula>
    </cfRule>
    <cfRule type="cellIs" dxfId="3544" priority="1935" operator="equal">
      <formula>"Très nécessaire, difficile / unbedingt nötig, schwierig"</formula>
    </cfRule>
    <cfRule type="cellIs" dxfId="3543" priority="1936" operator="equal">
      <formula>"Partiellement nécessaire, facile / teilweise nötig, einfach"</formula>
    </cfRule>
    <cfRule type="cellIs" dxfId="3542" priority="1937" operator="equal">
      <formula>"Partiellement nécessaire, difficile / teilweise nötig, schwierig"</formula>
    </cfRule>
    <cfRule type="cellIs" dxfId="3541" priority="1938" operator="equal">
      <formula>"Non nécessaire / nicht nötig"</formula>
    </cfRule>
  </conditionalFormatting>
  <conditionalFormatting sqref="BV22">
    <cfRule type="cellIs" dxfId="3540" priority="1927" operator="equal">
      <formula>"non pertinent / nicht relevant"</formula>
    </cfRule>
    <cfRule type="cellIs" dxfId="3539" priority="1928" operator="equal">
      <formula>"Très nécessaire, facile / unbedingt nötig, einfach"</formula>
    </cfRule>
    <cfRule type="cellIs" dxfId="3538" priority="1929" operator="equal">
      <formula>"Très nécessaire, difficile / unbedingt nötig, schwierig"</formula>
    </cfRule>
    <cfRule type="cellIs" dxfId="3537" priority="1930" operator="equal">
      <formula>"Partiellement nécessaire, facile / teilweise nötig, einfach"</formula>
    </cfRule>
    <cfRule type="cellIs" dxfId="3536" priority="1931" operator="equal">
      <formula>"Partiellement nécessaire, difficile / teilweise nötig, schwierig"</formula>
    </cfRule>
    <cfRule type="cellIs" dxfId="3535" priority="1932" operator="equal">
      <formula>"Non nécessaire / nicht nötig"</formula>
    </cfRule>
  </conditionalFormatting>
  <conditionalFormatting sqref="BV23">
    <cfRule type="cellIs" dxfId="3534" priority="1921" operator="equal">
      <formula>"non pertinent / nicht relevant"</formula>
    </cfRule>
    <cfRule type="cellIs" dxfId="3533" priority="1922" operator="equal">
      <formula>"Très nécessaire, facile / unbedingt nötig, einfach"</formula>
    </cfRule>
    <cfRule type="cellIs" dxfId="3532" priority="1923" operator="equal">
      <formula>"Très nécessaire, difficile / unbedingt nötig, schwierig"</formula>
    </cfRule>
    <cfRule type="cellIs" dxfId="3531" priority="1924" operator="equal">
      <formula>"Partiellement nécessaire, facile / teilweise nötig, einfach"</formula>
    </cfRule>
    <cfRule type="cellIs" dxfId="3530" priority="1925" operator="equal">
      <formula>"Partiellement nécessaire, difficile / teilweise nötig, schwierig"</formula>
    </cfRule>
    <cfRule type="cellIs" dxfId="3529" priority="1926" operator="equal">
      <formula>"Non nécessaire / nicht nötig"</formula>
    </cfRule>
  </conditionalFormatting>
  <conditionalFormatting sqref="BV26">
    <cfRule type="cellIs" dxfId="3528" priority="1915" operator="equal">
      <formula>"non pertinent / nicht relevant"</formula>
    </cfRule>
    <cfRule type="cellIs" dxfId="3527" priority="1916" operator="equal">
      <formula>"Très nécessaire, facile / unbedingt nötig, einfach"</formula>
    </cfRule>
    <cfRule type="cellIs" dxfId="3526" priority="1917" operator="equal">
      <formula>"Très nécessaire, difficile / unbedingt nötig, schwierig"</formula>
    </cfRule>
    <cfRule type="cellIs" dxfId="3525" priority="1918" operator="equal">
      <formula>"Partiellement nécessaire, facile / teilweise nötig, einfach"</formula>
    </cfRule>
    <cfRule type="cellIs" dxfId="3524" priority="1919" operator="equal">
      <formula>"Partiellement nécessaire, difficile / teilweise nötig, schwierig"</formula>
    </cfRule>
    <cfRule type="cellIs" dxfId="3523" priority="1920" operator="equal">
      <formula>"Non nécessaire / nicht nötig"</formula>
    </cfRule>
  </conditionalFormatting>
  <conditionalFormatting sqref="BV27">
    <cfRule type="cellIs" dxfId="3522" priority="1909" operator="equal">
      <formula>"non pertinent / nicht relevant"</formula>
    </cfRule>
    <cfRule type="cellIs" dxfId="3521" priority="1910" operator="equal">
      <formula>"Très nécessaire, facile / unbedingt nötig, einfach"</formula>
    </cfRule>
    <cfRule type="cellIs" dxfId="3520" priority="1911" operator="equal">
      <formula>"Très nécessaire, difficile / unbedingt nötig, schwierig"</formula>
    </cfRule>
    <cfRule type="cellIs" dxfId="3519" priority="1912" operator="equal">
      <formula>"Partiellement nécessaire, facile / teilweise nötig, einfach"</formula>
    </cfRule>
    <cfRule type="cellIs" dxfId="3518" priority="1913" operator="equal">
      <formula>"Partiellement nécessaire, difficile / teilweise nötig, schwierig"</formula>
    </cfRule>
    <cfRule type="cellIs" dxfId="3517" priority="1914" operator="equal">
      <formula>"Non nécessaire / nicht nötig"</formula>
    </cfRule>
  </conditionalFormatting>
  <conditionalFormatting sqref="BV31">
    <cfRule type="cellIs" dxfId="3516" priority="1903" operator="equal">
      <formula>"non pertinent / nicht relevant"</formula>
    </cfRule>
    <cfRule type="cellIs" dxfId="3515" priority="1904" operator="equal">
      <formula>"Très nécessaire, facile / unbedingt nötig, einfach"</formula>
    </cfRule>
    <cfRule type="cellIs" dxfId="3514" priority="1905" operator="equal">
      <formula>"Très nécessaire, difficile / unbedingt nötig, schwierig"</formula>
    </cfRule>
    <cfRule type="cellIs" dxfId="3513" priority="1906" operator="equal">
      <formula>"Partiellement nécessaire, facile / teilweise nötig, einfach"</formula>
    </cfRule>
    <cfRule type="cellIs" dxfId="3512" priority="1907" operator="equal">
      <formula>"Partiellement nécessaire, difficile / teilweise nötig, schwierig"</formula>
    </cfRule>
    <cfRule type="cellIs" dxfId="3511" priority="1908" operator="equal">
      <formula>"Non nécessaire / nicht nötig"</formula>
    </cfRule>
  </conditionalFormatting>
  <conditionalFormatting sqref="BV33">
    <cfRule type="cellIs" dxfId="3510" priority="1897" operator="equal">
      <formula>"non pertinent / nicht relevant"</formula>
    </cfRule>
    <cfRule type="cellIs" dxfId="3509" priority="1898" operator="equal">
      <formula>"Très nécessaire, facile / unbedingt nötig, einfach"</formula>
    </cfRule>
    <cfRule type="cellIs" dxfId="3508" priority="1899" operator="equal">
      <formula>"Très nécessaire, difficile / unbedingt nötig, schwierig"</formula>
    </cfRule>
    <cfRule type="cellIs" dxfId="3507" priority="1900" operator="equal">
      <formula>"Partiellement nécessaire, facile / teilweise nötig, einfach"</formula>
    </cfRule>
    <cfRule type="cellIs" dxfId="3506" priority="1901" operator="equal">
      <formula>"Partiellement nécessaire, difficile / teilweise nötig, schwierig"</formula>
    </cfRule>
    <cfRule type="cellIs" dxfId="3505" priority="1902" operator="equal">
      <formula>"Non nécessaire / nicht nötig"</formula>
    </cfRule>
  </conditionalFormatting>
  <conditionalFormatting sqref="BV34">
    <cfRule type="cellIs" dxfId="3504" priority="1891" operator="equal">
      <formula>"non pertinent / nicht relevant"</formula>
    </cfRule>
    <cfRule type="cellIs" dxfId="3503" priority="1892" operator="equal">
      <formula>"Très nécessaire, facile / unbedingt nötig, einfach"</formula>
    </cfRule>
    <cfRule type="cellIs" dxfId="3502" priority="1893" operator="equal">
      <formula>"Très nécessaire, difficile / unbedingt nötig, schwierig"</formula>
    </cfRule>
    <cfRule type="cellIs" dxfId="3501" priority="1894" operator="equal">
      <formula>"Partiellement nécessaire, facile / teilweise nötig, einfach"</formula>
    </cfRule>
    <cfRule type="cellIs" dxfId="3500" priority="1895" operator="equal">
      <formula>"Partiellement nécessaire, difficile / teilweise nötig, schwierig"</formula>
    </cfRule>
    <cfRule type="cellIs" dxfId="3499" priority="1896" operator="equal">
      <formula>"Non nécessaire / nicht nötig"</formula>
    </cfRule>
  </conditionalFormatting>
  <conditionalFormatting sqref="BV35">
    <cfRule type="cellIs" dxfId="3498" priority="1885" operator="equal">
      <formula>"non pertinent / nicht relevant"</formula>
    </cfRule>
    <cfRule type="cellIs" dxfId="3497" priority="1886" operator="equal">
      <formula>"Très nécessaire, facile / unbedingt nötig, einfach"</formula>
    </cfRule>
    <cfRule type="cellIs" dxfId="3496" priority="1887" operator="equal">
      <formula>"Très nécessaire, difficile / unbedingt nötig, schwierig"</formula>
    </cfRule>
    <cfRule type="cellIs" dxfId="3495" priority="1888" operator="equal">
      <formula>"Partiellement nécessaire, facile / teilweise nötig, einfach"</formula>
    </cfRule>
    <cfRule type="cellIs" dxfId="3494" priority="1889" operator="equal">
      <formula>"Partiellement nécessaire, difficile / teilweise nötig, schwierig"</formula>
    </cfRule>
    <cfRule type="cellIs" dxfId="3493" priority="1890" operator="equal">
      <formula>"Non nécessaire / nicht nötig"</formula>
    </cfRule>
  </conditionalFormatting>
  <conditionalFormatting sqref="BV36">
    <cfRule type="cellIs" dxfId="3492" priority="1879" operator="equal">
      <formula>"non pertinent / nicht relevant"</formula>
    </cfRule>
    <cfRule type="cellIs" dxfId="3491" priority="1880" operator="equal">
      <formula>"Très nécessaire, facile / unbedingt nötig, einfach"</formula>
    </cfRule>
    <cfRule type="cellIs" dxfId="3490" priority="1881" operator="equal">
      <formula>"Très nécessaire, difficile / unbedingt nötig, schwierig"</formula>
    </cfRule>
    <cfRule type="cellIs" dxfId="3489" priority="1882" operator="equal">
      <formula>"Partiellement nécessaire, facile / teilweise nötig, einfach"</formula>
    </cfRule>
    <cfRule type="cellIs" dxfId="3488" priority="1883" operator="equal">
      <formula>"Partiellement nécessaire, difficile / teilweise nötig, schwierig"</formula>
    </cfRule>
    <cfRule type="cellIs" dxfId="3487" priority="1884" operator="equal">
      <formula>"Non nécessaire / nicht nötig"</formula>
    </cfRule>
  </conditionalFormatting>
  <conditionalFormatting sqref="BV45">
    <cfRule type="cellIs" dxfId="3486" priority="1873" operator="equal">
      <formula>"non pertinent / nicht relevant"</formula>
    </cfRule>
    <cfRule type="cellIs" dxfId="3485" priority="1874" operator="equal">
      <formula>"Très nécessaire, facile / unbedingt nötig, einfach"</formula>
    </cfRule>
    <cfRule type="cellIs" dxfId="3484" priority="1875" operator="equal">
      <formula>"Très nécessaire, difficile / unbedingt nötig, schwierig"</formula>
    </cfRule>
    <cfRule type="cellIs" dxfId="3483" priority="1876" operator="equal">
      <formula>"Partiellement nécessaire, facile / teilweise nötig, einfach"</formula>
    </cfRule>
    <cfRule type="cellIs" dxfId="3482" priority="1877" operator="equal">
      <formula>"Partiellement nécessaire, difficile / teilweise nötig, schwierig"</formula>
    </cfRule>
    <cfRule type="cellIs" dxfId="3481" priority="1878" operator="equal">
      <formula>"Non nécessaire / nicht nötig"</formula>
    </cfRule>
  </conditionalFormatting>
  <conditionalFormatting sqref="BV44">
    <cfRule type="cellIs" dxfId="3480" priority="1867" operator="equal">
      <formula>"non pertinent / nicht relevant"</formula>
    </cfRule>
    <cfRule type="cellIs" dxfId="3479" priority="1868" operator="equal">
      <formula>"Très nécessaire, facile / unbedingt nötig, einfach"</formula>
    </cfRule>
    <cfRule type="cellIs" dxfId="3478" priority="1869" operator="equal">
      <formula>"Très nécessaire, difficile / unbedingt nötig, schwierig"</formula>
    </cfRule>
    <cfRule type="cellIs" dxfId="3477" priority="1870" operator="equal">
      <formula>"Partiellement nécessaire, facile / teilweise nötig, einfach"</formula>
    </cfRule>
    <cfRule type="cellIs" dxfId="3476" priority="1871" operator="equal">
      <formula>"Partiellement nécessaire, difficile / teilweise nötig, schwierig"</formula>
    </cfRule>
    <cfRule type="cellIs" dxfId="3475" priority="1872" operator="equal">
      <formula>"Non nécessaire / nicht nötig"</formula>
    </cfRule>
  </conditionalFormatting>
  <conditionalFormatting sqref="BV48:BV55">
    <cfRule type="cellIs" dxfId="3474" priority="1861" operator="equal">
      <formula>"non pertinent / nicht relevant"</formula>
    </cfRule>
    <cfRule type="cellIs" dxfId="3473" priority="1862" operator="equal">
      <formula>"Très nécessaire, facile / unbedingt nötig, einfach"</formula>
    </cfRule>
    <cfRule type="cellIs" dxfId="3472" priority="1863" operator="equal">
      <formula>"Très nécessaire, difficile / unbedingt nötig, schwierig"</formula>
    </cfRule>
    <cfRule type="cellIs" dxfId="3471" priority="1864" operator="equal">
      <formula>"Partiellement nécessaire, facile / teilweise nötig, einfach"</formula>
    </cfRule>
    <cfRule type="cellIs" dxfId="3470" priority="1865" operator="equal">
      <formula>"Partiellement nécessaire, difficile / teilweise nötig, schwierig"</formula>
    </cfRule>
    <cfRule type="cellIs" dxfId="3469" priority="1866" operator="equal">
      <formula>"Non nécessaire / nicht nötig"</formula>
    </cfRule>
  </conditionalFormatting>
  <conditionalFormatting sqref="BV58">
    <cfRule type="cellIs" dxfId="3468" priority="1855" operator="equal">
      <formula>"non pertinent / nicht relevant"</formula>
    </cfRule>
    <cfRule type="cellIs" dxfId="3467" priority="1856" operator="equal">
      <formula>"Très nécessaire, facile / unbedingt nötig, einfach"</formula>
    </cfRule>
    <cfRule type="cellIs" dxfId="3466" priority="1857" operator="equal">
      <formula>"Très nécessaire, difficile / unbedingt nötig, schwierig"</formula>
    </cfRule>
    <cfRule type="cellIs" dxfId="3465" priority="1858" operator="equal">
      <formula>"Partiellement nécessaire, facile / teilweise nötig, einfach"</formula>
    </cfRule>
    <cfRule type="cellIs" dxfId="3464" priority="1859" operator="equal">
      <formula>"Partiellement nécessaire, difficile / teilweise nötig, schwierig"</formula>
    </cfRule>
    <cfRule type="cellIs" dxfId="3463" priority="1860" operator="equal">
      <formula>"Non nécessaire / nicht nötig"</formula>
    </cfRule>
  </conditionalFormatting>
  <conditionalFormatting sqref="BV59">
    <cfRule type="cellIs" dxfId="3462" priority="1849" operator="equal">
      <formula>"non pertinent / nicht relevant"</formula>
    </cfRule>
    <cfRule type="cellIs" dxfId="3461" priority="1850" operator="equal">
      <formula>"Très nécessaire, facile / unbedingt nötig, einfach"</formula>
    </cfRule>
    <cfRule type="cellIs" dxfId="3460" priority="1851" operator="equal">
      <formula>"Très nécessaire, difficile / unbedingt nötig, schwierig"</formula>
    </cfRule>
    <cfRule type="cellIs" dxfId="3459" priority="1852" operator="equal">
      <formula>"Partiellement nécessaire, facile / teilweise nötig, einfach"</formula>
    </cfRule>
    <cfRule type="cellIs" dxfId="3458" priority="1853" operator="equal">
      <formula>"Partiellement nécessaire, difficile / teilweise nötig, schwierig"</formula>
    </cfRule>
    <cfRule type="cellIs" dxfId="3457" priority="1854" operator="equal">
      <formula>"Non nécessaire / nicht nötig"</formula>
    </cfRule>
  </conditionalFormatting>
  <conditionalFormatting sqref="BV60">
    <cfRule type="cellIs" dxfId="3456" priority="1843" operator="equal">
      <formula>"non pertinent / nicht relevant"</formula>
    </cfRule>
    <cfRule type="cellIs" dxfId="3455" priority="1844" operator="equal">
      <formula>"Très nécessaire, facile / unbedingt nötig, einfach"</formula>
    </cfRule>
    <cfRule type="cellIs" dxfId="3454" priority="1845" operator="equal">
      <formula>"Très nécessaire, difficile / unbedingt nötig, schwierig"</formula>
    </cfRule>
    <cfRule type="cellIs" dxfId="3453" priority="1846" operator="equal">
      <formula>"Partiellement nécessaire, facile / teilweise nötig, einfach"</formula>
    </cfRule>
    <cfRule type="cellIs" dxfId="3452" priority="1847" operator="equal">
      <formula>"Partiellement nécessaire, difficile / teilweise nötig, schwierig"</formula>
    </cfRule>
    <cfRule type="cellIs" dxfId="3451" priority="1848" operator="equal">
      <formula>"Non nécessaire / nicht nötig"</formula>
    </cfRule>
  </conditionalFormatting>
  <conditionalFormatting sqref="BV62">
    <cfRule type="cellIs" dxfId="3450" priority="1837" operator="equal">
      <formula>"non pertinent / nicht relevant"</formula>
    </cfRule>
    <cfRule type="cellIs" dxfId="3449" priority="1838" operator="equal">
      <formula>"Très nécessaire, facile / unbedingt nötig, einfach"</formula>
    </cfRule>
    <cfRule type="cellIs" dxfId="3448" priority="1839" operator="equal">
      <formula>"Très nécessaire, difficile / unbedingt nötig, schwierig"</formula>
    </cfRule>
    <cfRule type="cellIs" dxfId="3447" priority="1840" operator="equal">
      <formula>"Partiellement nécessaire, facile / teilweise nötig, einfach"</formula>
    </cfRule>
    <cfRule type="cellIs" dxfId="3446" priority="1841" operator="equal">
      <formula>"Partiellement nécessaire, difficile / teilweise nötig, schwierig"</formula>
    </cfRule>
    <cfRule type="cellIs" dxfId="3445" priority="1842" operator="equal">
      <formula>"Non nécessaire / nicht nötig"</formula>
    </cfRule>
  </conditionalFormatting>
  <conditionalFormatting sqref="BV63">
    <cfRule type="cellIs" dxfId="3444" priority="1831" operator="equal">
      <formula>"non pertinent / nicht relevant"</formula>
    </cfRule>
    <cfRule type="cellIs" dxfId="3443" priority="1832" operator="equal">
      <formula>"Très nécessaire, facile / unbedingt nötig, einfach"</formula>
    </cfRule>
    <cfRule type="cellIs" dxfId="3442" priority="1833" operator="equal">
      <formula>"Très nécessaire, difficile / unbedingt nötig, schwierig"</formula>
    </cfRule>
    <cfRule type="cellIs" dxfId="3441" priority="1834" operator="equal">
      <formula>"Partiellement nécessaire, facile / teilweise nötig, einfach"</formula>
    </cfRule>
    <cfRule type="cellIs" dxfId="3440" priority="1835" operator="equal">
      <formula>"Partiellement nécessaire, difficile / teilweise nötig, schwierig"</formula>
    </cfRule>
    <cfRule type="cellIs" dxfId="3439" priority="1836" operator="equal">
      <formula>"Non nécessaire / nicht nötig"</formula>
    </cfRule>
  </conditionalFormatting>
  <conditionalFormatting sqref="BV64">
    <cfRule type="cellIs" dxfId="3438" priority="1825" operator="equal">
      <formula>"non pertinent / nicht relevant"</formula>
    </cfRule>
    <cfRule type="cellIs" dxfId="3437" priority="1826" operator="equal">
      <formula>"Très nécessaire, facile / unbedingt nötig, einfach"</formula>
    </cfRule>
    <cfRule type="cellIs" dxfId="3436" priority="1827" operator="equal">
      <formula>"Très nécessaire, difficile / unbedingt nötig, schwierig"</formula>
    </cfRule>
    <cfRule type="cellIs" dxfId="3435" priority="1828" operator="equal">
      <formula>"Partiellement nécessaire, facile / teilweise nötig, einfach"</formula>
    </cfRule>
    <cfRule type="cellIs" dxfId="3434" priority="1829" operator="equal">
      <formula>"Partiellement nécessaire, difficile / teilweise nötig, schwierig"</formula>
    </cfRule>
    <cfRule type="cellIs" dxfId="3433" priority="1830" operator="equal">
      <formula>"Non nécessaire / nicht nötig"</formula>
    </cfRule>
  </conditionalFormatting>
  <conditionalFormatting sqref="BV66">
    <cfRule type="cellIs" dxfId="3432" priority="1819" operator="equal">
      <formula>"non pertinent / nicht relevant"</formula>
    </cfRule>
    <cfRule type="cellIs" dxfId="3431" priority="1820" operator="equal">
      <formula>"Très nécessaire, facile / unbedingt nötig, einfach"</formula>
    </cfRule>
    <cfRule type="cellIs" dxfId="3430" priority="1821" operator="equal">
      <formula>"Très nécessaire, difficile / unbedingt nötig, schwierig"</formula>
    </cfRule>
    <cfRule type="cellIs" dxfId="3429" priority="1822" operator="equal">
      <formula>"Partiellement nécessaire, facile / teilweise nötig, einfach"</formula>
    </cfRule>
    <cfRule type="cellIs" dxfId="3428" priority="1823" operator="equal">
      <formula>"Partiellement nécessaire, difficile / teilweise nötig, schwierig"</formula>
    </cfRule>
    <cfRule type="cellIs" dxfId="3427" priority="1824" operator="equal">
      <formula>"Non nécessaire / nicht nötig"</formula>
    </cfRule>
  </conditionalFormatting>
  <conditionalFormatting sqref="BV71">
    <cfRule type="cellIs" dxfId="3426" priority="1813" operator="equal">
      <formula>"non pertinent / nicht relevant"</formula>
    </cfRule>
    <cfRule type="cellIs" dxfId="3425" priority="1814" operator="equal">
      <formula>"Très nécessaire, facile / unbedingt nötig, einfach"</formula>
    </cfRule>
    <cfRule type="cellIs" dxfId="3424" priority="1815" operator="equal">
      <formula>"Très nécessaire, difficile / unbedingt nötig, schwierig"</formula>
    </cfRule>
    <cfRule type="cellIs" dxfId="3423" priority="1816" operator="equal">
      <formula>"Partiellement nécessaire, facile / teilweise nötig, einfach"</formula>
    </cfRule>
    <cfRule type="cellIs" dxfId="3422" priority="1817" operator="equal">
      <formula>"Partiellement nécessaire, difficile / teilweise nötig, schwierig"</formula>
    </cfRule>
    <cfRule type="cellIs" dxfId="3421" priority="1818" operator="equal">
      <formula>"Non nécessaire / nicht nötig"</formula>
    </cfRule>
  </conditionalFormatting>
  <conditionalFormatting sqref="BV74">
    <cfRule type="cellIs" dxfId="3420" priority="1807" operator="equal">
      <formula>"non pertinent / nicht relevant"</formula>
    </cfRule>
    <cfRule type="cellIs" dxfId="3419" priority="1808" operator="equal">
      <formula>"Très nécessaire, facile / unbedingt nötig, einfach"</formula>
    </cfRule>
    <cfRule type="cellIs" dxfId="3418" priority="1809" operator="equal">
      <formula>"Très nécessaire, difficile / unbedingt nötig, schwierig"</formula>
    </cfRule>
    <cfRule type="cellIs" dxfId="3417" priority="1810" operator="equal">
      <formula>"Partiellement nécessaire, facile / teilweise nötig, einfach"</formula>
    </cfRule>
    <cfRule type="cellIs" dxfId="3416" priority="1811" operator="equal">
      <formula>"Partiellement nécessaire, difficile / teilweise nötig, schwierig"</formula>
    </cfRule>
    <cfRule type="cellIs" dxfId="3415" priority="1812" operator="equal">
      <formula>"Non nécessaire / nicht nötig"</formula>
    </cfRule>
  </conditionalFormatting>
  <conditionalFormatting sqref="BV76:BV80">
    <cfRule type="cellIs" dxfId="3414" priority="1801" operator="equal">
      <formula>"non pertinent / nicht relevant"</formula>
    </cfRule>
    <cfRule type="cellIs" dxfId="3413" priority="1802" operator="equal">
      <formula>"Très nécessaire, facile / unbedingt nötig, einfach"</formula>
    </cfRule>
    <cfRule type="cellIs" dxfId="3412" priority="1803" operator="equal">
      <formula>"Très nécessaire, difficile / unbedingt nötig, schwierig"</formula>
    </cfRule>
    <cfRule type="cellIs" dxfId="3411" priority="1804" operator="equal">
      <formula>"Partiellement nécessaire, facile / teilweise nötig, einfach"</formula>
    </cfRule>
    <cfRule type="cellIs" dxfId="3410" priority="1805" operator="equal">
      <formula>"Partiellement nécessaire, difficile / teilweise nötig, schwierig"</formula>
    </cfRule>
    <cfRule type="cellIs" dxfId="3409" priority="1806" operator="equal">
      <formula>"Non nécessaire / nicht nötig"</formula>
    </cfRule>
  </conditionalFormatting>
  <conditionalFormatting sqref="BV82:BV85">
    <cfRule type="cellIs" dxfId="3408" priority="1795" operator="equal">
      <formula>"non pertinent / nicht relevant"</formula>
    </cfRule>
    <cfRule type="cellIs" dxfId="3407" priority="1796" operator="equal">
      <formula>"Très nécessaire, facile / unbedingt nötig, einfach"</formula>
    </cfRule>
    <cfRule type="cellIs" dxfId="3406" priority="1797" operator="equal">
      <formula>"Très nécessaire, difficile / unbedingt nötig, schwierig"</formula>
    </cfRule>
    <cfRule type="cellIs" dxfId="3405" priority="1798" operator="equal">
      <formula>"Partiellement nécessaire, facile / teilweise nötig, einfach"</formula>
    </cfRule>
    <cfRule type="cellIs" dxfId="3404" priority="1799" operator="equal">
      <formula>"Partiellement nécessaire, difficile / teilweise nötig, schwierig"</formula>
    </cfRule>
    <cfRule type="cellIs" dxfId="3403" priority="1800" operator="equal">
      <formula>"Non nécessaire / nicht nötig"</formula>
    </cfRule>
  </conditionalFormatting>
  <conditionalFormatting sqref="BV146">
    <cfRule type="cellIs" dxfId="3402" priority="1789" operator="equal">
      <formula>"non pertinent / nicht relevant"</formula>
    </cfRule>
    <cfRule type="cellIs" dxfId="3401" priority="1790" operator="equal">
      <formula>"Très nécessaire, facile / unbedingt nötig, einfach"</formula>
    </cfRule>
    <cfRule type="cellIs" dxfId="3400" priority="1791" operator="equal">
      <formula>"Très nécessaire, difficile / unbedingt nötig, schwierig"</formula>
    </cfRule>
    <cfRule type="cellIs" dxfId="3399" priority="1792" operator="equal">
      <formula>"Partiellement nécessaire, facile / teilweise nötig, einfach"</formula>
    </cfRule>
    <cfRule type="cellIs" dxfId="3398" priority="1793" operator="equal">
      <formula>"Partiellement nécessaire, difficile / teilweise nötig, schwierig"</formula>
    </cfRule>
    <cfRule type="cellIs" dxfId="3397" priority="1794" operator="equal">
      <formula>"Non nécessaire / nicht nötig"</formula>
    </cfRule>
  </conditionalFormatting>
  <conditionalFormatting sqref="BV147">
    <cfRule type="cellIs" dxfId="3396" priority="1783" operator="equal">
      <formula>"non pertinent / nicht relevant"</formula>
    </cfRule>
    <cfRule type="cellIs" dxfId="3395" priority="1784" operator="equal">
      <formula>"Très nécessaire, facile / unbedingt nötig, einfach"</formula>
    </cfRule>
    <cfRule type="cellIs" dxfId="3394" priority="1785" operator="equal">
      <formula>"Très nécessaire, difficile / unbedingt nötig, schwierig"</formula>
    </cfRule>
    <cfRule type="cellIs" dxfId="3393" priority="1786" operator="equal">
      <formula>"Partiellement nécessaire, facile / teilweise nötig, einfach"</formula>
    </cfRule>
    <cfRule type="cellIs" dxfId="3392" priority="1787" operator="equal">
      <formula>"Partiellement nécessaire, difficile / teilweise nötig, schwierig"</formula>
    </cfRule>
    <cfRule type="cellIs" dxfId="3391" priority="1788" operator="equal">
      <formula>"Non nécessaire / nicht nötig"</formula>
    </cfRule>
  </conditionalFormatting>
  <conditionalFormatting sqref="BV148:BV151">
    <cfRule type="cellIs" dxfId="3390" priority="1777" operator="equal">
      <formula>"non pertinent / nicht relevant"</formula>
    </cfRule>
    <cfRule type="cellIs" dxfId="3389" priority="1778" operator="equal">
      <formula>"Très nécessaire, facile / unbedingt nötig, einfach"</formula>
    </cfRule>
    <cfRule type="cellIs" dxfId="3388" priority="1779" operator="equal">
      <formula>"Très nécessaire, difficile / unbedingt nötig, schwierig"</formula>
    </cfRule>
    <cfRule type="cellIs" dxfId="3387" priority="1780" operator="equal">
      <formula>"Partiellement nécessaire, facile / teilweise nötig, einfach"</formula>
    </cfRule>
    <cfRule type="cellIs" dxfId="3386" priority="1781" operator="equal">
      <formula>"Partiellement nécessaire, difficile / teilweise nötig, schwierig"</formula>
    </cfRule>
    <cfRule type="cellIs" dxfId="3385" priority="1782" operator="equal">
      <formula>"Non nécessaire / nicht nötig"</formula>
    </cfRule>
  </conditionalFormatting>
  <conditionalFormatting sqref="BV154">
    <cfRule type="cellIs" dxfId="3384" priority="1771" operator="equal">
      <formula>"non pertinent / nicht relevant"</formula>
    </cfRule>
    <cfRule type="cellIs" dxfId="3383" priority="1772" operator="equal">
      <formula>"Très nécessaire, facile / unbedingt nötig, einfach"</formula>
    </cfRule>
    <cfRule type="cellIs" dxfId="3382" priority="1773" operator="equal">
      <formula>"Très nécessaire, difficile / unbedingt nötig, schwierig"</formula>
    </cfRule>
    <cfRule type="cellIs" dxfId="3381" priority="1774" operator="equal">
      <formula>"Partiellement nécessaire, facile / teilweise nötig, einfach"</formula>
    </cfRule>
    <cfRule type="cellIs" dxfId="3380" priority="1775" operator="equal">
      <formula>"Partiellement nécessaire, difficile / teilweise nötig, schwierig"</formula>
    </cfRule>
    <cfRule type="cellIs" dxfId="3379" priority="1776" operator="equal">
      <formula>"Non nécessaire / nicht nötig"</formula>
    </cfRule>
  </conditionalFormatting>
  <conditionalFormatting sqref="BV155">
    <cfRule type="cellIs" dxfId="3378" priority="1765" operator="equal">
      <formula>"non pertinent / nicht relevant"</formula>
    </cfRule>
    <cfRule type="cellIs" dxfId="3377" priority="1766" operator="equal">
      <formula>"Très nécessaire, facile / unbedingt nötig, einfach"</formula>
    </cfRule>
    <cfRule type="cellIs" dxfId="3376" priority="1767" operator="equal">
      <formula>"Très nécessaire, difficile / unbedingt nötig, schwierig"</formula>
    </cfRule>
    <cfRule type="cellIs" dxfId="3375" priority="1768" operator="equal">
      <formula>"Partiellement nécessaire, facile / teilweise nötig, einfach"</formula>
    </cfRule>
    <cfRule type="cellIs" dxfId="3374" priority="1769" operator="equal">
      <formula>"Partiellement nécessaire, difficile / teilweise nötig, schwierig"</formula>
    </cfRule>
    <cfRule type="cellIs" dxfId="3373" priority="1770" operator="equal">
      <formula>"Non nécessaire / nicht nötig"</formula>
    </cfRule>
  </conditionalFormatting>
  <conditionalFormatting sqref="BV156">
    <cfRule type="cellIs" dxfId="3372" priority="1759" operator="equal">
      <formula>"non pertinent / nicht relevant"</formula>
    </cfRule>
    <cfRule type="cellIs" dxfId="3371" priority="1760" operator="equal">
      <formula>"Très nécessaire, facile / unbedingt nötig, einfach"</formula>
    </cfRule>
    <cfRule type="cellIs" dxfId="3370" priority="1761" operator="equal">
      <formula>"Très nécessaire, difficile / unbedingt nötig, schwierig"</formula>
    </cfRule>
    <cfRule type="cellIs" dxfId="3369" priority="1762" operator="equal">
      <formula>"Partiellement nécessaire, facile / teilweise nötig, einfach"</formula>
    </cfRule>
    <cfRule type="cellIs" dxfId="3368" priority="1763" operator="equal">
      <formula>"Partiellement nécessaire, difficile / teilweise nötig, schwierig"</formula>
    </cfRule>
    <cfRule type="cellIs" dxfId="3367" priority="1764" operator="equal">
      <formula>"Non nécessaire / nicht nötig"</formula>
    </cfRule>
  </conditionalFormatting>
  <conditionalFormatting sqref="BV157">
    <cfRule type="cellIs" dxfId="3366" priority="1753" operator="equal">
      <formula>"non pertinent / nicht relevant"</formula>
    </cfRule>
    <cfRule type="cellIs" dxfId="3365" priority="1754" operator="equal">
      <formula>"Très nécessaire, facile / unbedingt nötig, einfach"</formula>
    </cfRule>
    <cfRule type="cellIs" dxfId="3364" priority="1755" operator="equal">
      <formula>"Très nécessaire, difficile / unbedingt nötig, schwierig"</formula>
    </cfRule>
    <cfRule type="cellIs" dxfId="3363" priority="1756" operator="equal">
      <formula>"Partiellement nécessaire, facile / teilweise nötig, einfach"</formula>
    </cfRule>
    <cfRule type="cellIs" dxfId="3362" priority="1757" operator="equal">
      <formula>"Partiellement nécessaire, difficile / teilweise nötig, schwierig"</formula>
    </cfRule>
    <cfRule type="cellIs" dxfId="3361" priority="1758" operator="equal">
      <formula>"Non nécessaire / nicht nötig"</formula>
    </cfRule>
  </conditionalFormatting>
  <conditionalFormatting sqref="BV158:BV166">
    <cfRule type="cellIs" dxfId="3360" priority="1747" operator="equal">
      <formula>"non pertinent / nicht relevant"</formula>
    </cfRule>
    <cfRule type="cellIs" dxfId="3359" priority="1748" operator="equal">
      <formula>"Très nécessaire, facile / unbedingt nötig, einfach"</formula>
    </cfRule>
    <cfRule type="cellIs" dxfId="3358" priority="1749" operator="equal">
      <formula>"Très nécessaire, difficile / unbedingt nötig, schwierig"</formula>
    </cfRule>
    <cfRule type="cellIs" dxfId="3357" priority="1750" operator="equal">
      <formula>"Partiellement nécessaire, facile / teilweise nötig, einfach"</formula>
    </cfRule>
    <cfRule type="cellIs" dxfId="3356" priority="1751" operator="equal">
      <formula>"Partiellement nécessaire, difficile / teilweise nötig, schwierig"</formula>
    </cfRule>
    <cfRule type="cellIs" dxfId="3355" priority="1752" operator="equal">
      <formula>"Non nécessaire / nicht nötig"</formula>
    </cfRule>
  </conditionalFormatting>
  <conditionalFormatting sqref="BV167">
    <cfRule type="cellIs" dxfId="3354" priority="1741" operator="equal">
      <formula>"non pertinent / nicht relevant"</formula>
    </cfRule>
    <cfRule type="cellIs" dxfId="3353" priority="1742" operator="equal">
      <formula>"Très nécessaire, facile / unbedingt nötig, einfach"</formula>
    </cfRule>
    <cfRule type="cellIs" dxfId="3352" priority="1743" operator="equal">
      <formula>"Très nécessaire, difficile / unbedingt nötig, schwierig"</formula>
    </cfRule>
    <cfRule type="cellIs" dxfId="3351" priority="1744" operator="equal">
      <formula>"Partiellement nécessaire, facile / teilweise nötig, einfach"</formula>
    </cfRule>
    <cfRule type="cellIs" dxfId="3350" priority="1745" operator="equal">
      <formula>"Partiellement nécessaire, difficile / teilweise nötig, schwierig"</formula>
    </cfRule>
    <cfRule type="cellIs" dxfId="3349" priority="1746" operator="equal">
      <formula>"Non nécessaire / nicht nötig"</formula>
    </cfRule>
  </conditionalFormatting>
  <conditionalFormatting sqref="BV170">
    <cfRule type="cellIs" dxfId="3348" priority="1735" operator="equal">
      <formula>"non pertinent / nicht relevant"</formula>
    </cfRule>
    <cfRule type="cellIs" dxfId="3347" priority="1736" operator="equal">
      <formula>"Très nécessaire, facile / unbedingt nötig, einfach"</formula>
    </cfRule>
    <cfRule type="cellIs" dxfId="3346" priority="1737" operator="equal">
      <formula>"Très nécessaire, difficile / unbedingt nötig, schwierig"</formula>
    </cfRule>
    <cfRule type="cellIs" dxfId="3345" priority="1738" operator="equal">
      <formula>"Partiellement nécessaire, facile / teilweise nötig, einfach"</formula>
    </cfRule>
    <cfRule type="cellIs" dxfId="3344" priority="1739" operator="equal">
      <formula>"Partiellement nécessaire, difficile / teilweise nötig, schwierig"</formula>
    </cfRule>
    <cfRule type="cellIs" dxfId="3343" priority="1740" operator="equal">
      <formula>"Non nécessaire / nicht nötig"</formula>
    </cfRule>
  </conditionalFormatting>
  <conditionalFormatting sqref="BV171:BV174">
    <cfRule type="cellIs" dxfId="3342" priority="1729" operator="equal">
      <formula>"non pertinent / nicht relevant"</formula>
    </cfRule>
    <cfRule type="cellIs" dxfId="3341" priority="1730" operator="equal">
      <formula>"Très nécessaire, facile / unbedingt nötig, einfach"</formula>
    </cfRule>
    <cfRule type="cellIs" dxfId="3340" priority="1731" operator="equal">
      <formula>"Très nécessaire, difficile / unbedingt nötig, schwierig"</formula>
    </cfRule>
    <cfRule type="cellIs" dxfId="3339" priority="1732" operator="equal">
      <formula>"Partiellement nécessaire, facile / teilweise nötig, einfach"</formula>
    </cfRule>
    <cfRule type="cellIs" dxfId="3338" priority="1733" operator="equal">
      <formula>"Partiellement nécessaire, difficile / teilweise nötig, schwierig"</formula>
    </cfRule>
    <cfRule type="cellIs" dxfId="3337" priority="1734" operator="equal">
      <formula>"Non nécessaire / nicht nötig"</formula>
    </cfRule>
  </conditionalFormatting>
  <conditionalFormatting sqref="BV175">
    <cfRule type="cellIs" dxfId="3336" priority="1723" operator="equal">
      <formula>"non pertinent / nicht relevant"</formula>
    </cfRule>
    <cfRule type="cellIs" dxfId="3335" priority="1724" operator="equal">
      <formula>"Très nécessaire, facile / unbedingt nötig, einfach"</formula>
    </cfRule>
    <cfRule type="cellIs" dxfId="3334" priority="1725" operator="equal">
      <formula>"Très nécessaire, difficile / unbedingt nötig, schwierig"</formula>
    </cfRule>
    <cfRule type="cellIs" dxfId="3333" priority="1726" operator="equal">
      <formula>"Partiellement nécessaire, facile / teilweise nötig, einfach"</formula>
    </cfRule>
    <cfRule type="cellIs" dxfId="3332" priority="1727" operator="equal">
      <formula>"Partiellement nécessaire, difficile / teilweise nötig, schwierig"</formula>
    </cfRule>
    <cfRule type="cellIs" dxfId="3331" priority="1728" operator="equal">
      <formula>"Non nécessaire / nicht nötig"</formula>
    </cfRule>
  </conditionalFormatting>
  <conditionalFormatting sqref="BV181:BV199 BV201:BV206 BV208:BV212">
    <cfRule type="cellIs" dxfId="3330" priority="1717" operator="equal">
      <formula>"non pertinent / nicht relevant"</formula>
    </cfRule>
    <cfRule type="cellIs" dxfId="3329" priority="1718" operator="equal">
      <formula>"Très nécessaire, facile / unbedingt nötig, einfach"</formula>
    </cfRule>
    <cfRule type="cellIs" dxfId="3328" priority="1719" operator="equal">
      <formula>"Très nécessaire, difficile / unbedingt nötig, schwierig"</formula>
    </cfRule>
    <cfRule type="cellIs" dxfId="3327" priority="1720" operator="equal">
      <formula>"Partiellement nécessaire, facile / teilweise nötig, einfach"</formula>
    </cfRule>
    <cfRule type="cellIs" dxfId="3326" priority="1721" operator="equal">
      <formula>"Partiellement nécessaire, difficile / teilweise nötig, schwierig"</formula>
    </cfRule>
    <cfRule type="cellIs" dxfId="3325" priority="1722" operator="equal">
      <formula>"Non nécessaire / nicht nötig"</formula>
    </cfRule>
  </conditionalFormatting>
  <conditionalFormatting sqref="BV177">
    <cfRule type="cellIs" dxfId="3324" priority="1711" operator="equal">
      <formula>"non pertinent / nicht relevant"</formula>
    </cfRule>
    <cfRule type="cellIs" dxfId="3323" priority="1712" operator="equal">
      <formula>"Très nécessaire, facile / unbedingt nötig, einfach"</formula>
    </cfRule>
    <cfRule type="cellIs" dxfId="3322" priority="1713" operator="equal">
      <formula>"Très nécessaire, difficile / unbedingt nötig, schwierig"</formula>
    </cfRule>
    <cfRule type="cellIs" dxfId="3321" priority="1714" operator="equal">
      <formula>"Partiellement nécessaire, facile / teilweise nötig, einfach"</formula>
    </cfRule>
    <cfRule type="cellIs" dxfId="3320" priority="1715" operator="equal">
      <formula>"Partiellement nécessaire, difficile / teilweise nötig, schwierig"</formula>
    </cfRule>
    <cfRule type="cellIs" dxfId="3319" priority="1716" operator="equal">
      <formula>"Non nécessaire / nicht nötig"</formula>
    </cfRule>
  </conditionalFormatting>
  <conditionalFormatting sqref="BV213:BV223">
    <cfRule type="cellIs" dxfId="3318" priority="1705" operator="equal">
      <formula>"non pertinent / nicht relevant"</formula>
    </cfRule>
    <cfRule type="cellIs" dxfId="3317" priority="1706" operator="equal">
      <formula>"Très nécessaire, facile / unbedingt nötig, einfach"</formula>
    </cfRule>
    <cfRule type="cellIs" dxfId="3316" priority="1707" operator="equal">
      <formula>"Très nécessaire, difficile / unbedingt nötig, schwierig"</formula>
    </cfRule>
    <cfRule type="cellIs" dxfId="3315" priority="1708" operator="equal">
      <formula>"Partiellement nécessaire, facile / teilweise nötig, einfach"</formula>
    </cfRule>
    <cfRule type="cellIs" dxfId="3314" priority="1709" operator="equal">
      <formula>"Partiellement nécessaire, difficile / teilweise nötig, schwierig"</formula>
    </cfRule>
    <cfRule type="cellIs" dxfId="3313" priority="1710" operator="equal">
      <formula>"Non nécessaire / nicht nötig"</formula>
    </cfRule>
  </conditionalFormatting>
  <conditionalFormatting sqref="BV272:BV273">
    <cfRule type="cellIs" dxfId="3312" priority="1699" operator="equal">
      <formula>"non pertinent / nicht relevant"</formula>
    </cfRule>
    <cfRule type="cellIs" dxfId="3311" priority="1700" operator="equal">
      <formula>"Très nécessaire, facile / unbedingt nötig, einfach"</formula>
    </cfRule>
    <cfRule type="cellIs" dxfId="3310" priority="1701" operator="equal">
      <formula>"Très nécessaire, difficile / unbedingt nötig, schwierig"</formula>
    </cfRule>
    <cfRule type="cellIs" dxfId="3309" priority="1702" operator="equal">
      <formula>"Partiellement nécessaire, facile / teilweise nötig, einfach"</formula>
    </cfRule>
    <cfRule type="cellIs" dxfId="3308" priority="1703" operator="equal">
      <formula>"Partiellement nécessaire, difficile / teilweise nötig, schwierig"</formula>
    </cfRule>
    <cfRule type="cellIs" dxfId="3307" priority="1704" operator="equal">
      <formula>"Non nécessaire / nicht nötig"</formula>
    </cfRule>
  </conditionalFormatting>
  <conditionalFormatting sqref="BV275">
    <cfRule type="cellIs" dxfId="3306" priority="1693" operator="equal">
      <formula>"non pertinent / nicht relevant"</formula>
    </cfRule>
    <cfRule type="cellIs" dxfId="3305" priority="1694" operator="equal">
      <formula>"Très nécessaire, facile / unbedingt nötig, einfach"</formula>
    </cfRule>
    <cfRule type="cellIs" dxfId="3304" priority="1695" operator="equal">
      <formula>"Très nécessaire, difficile / unbedingt nötig, schwierig"</formula>
    </cfRule>
    <cfRule type="cellIs" dxfId="3303" priority="1696" operator="equal">
      <formula>"Partiellement nécessaire, facile / teilweise nötig, einfach"</formula>
    </cfRule>
    <cfRule type="cellIs" dxfId="3302" priority="1697" operator="equal">
      <formula>"Partiellement nécessaire, difficile / teilweise nötig, schwierig"</formula>
    </cfRule>
    <cfRule type="cellIs" dxfId="3301" priority="1698" operator="equal">
      <formula>"Non nécessaire / nicht nötig"</formula>
    </cfRule>
  </conditionalFormatting>
  <conditionalFormatting sqref="BV32">
    <cfRule type="cellIs" dxfId="3300" priority="1687" operator="equal">
      <formula>"non pertinent / nicht relevant"</formula>
    </cfRule>
    <cfRule type="cellIs" dxfId="3299" priority="1688" operator="equal">
      <formula>"Très nécessaire, facile / unbedingt nötig, einfach"</formula>
    </cfRule>
    <cfRule type="cellIs" dxfId="3298" priority="1689" operator="equal">
      <formula>"Très nécessaire, difficile / unbedingt nötig, schwierig"</formula>
    </cfRule>
    <cfRule type="cellIs" dxfId="3297" priority="1690" operator="equal">
      <formula>"Partiellement nécessaire, facile / teilweise nötig, einfach"</formula>
    </cfRule>
    <cfRule type="cellIs" dxfId="3296" priority="1691" operator="equal">
      <formula>"Partiellement nécessaire, difficile / teilweise nötig, schwierig"</formula>
    </cfRule>
    <cfRule type="cellIs" dxfId="3295" priority="1692" operator="equal">
      <formula>"Non nécessaire / nicht nötig"</formula>
    </cfRule>
  </conditionalFormatting>
  <conditionalFormatting sqref="BV14">
    <cfRule type="cellIs" dxfId="3294" priority="1681" operator="equal">
      <formula>"non pertinent / nicht relevant"</formula>
    </cfRule>
    <cfRule type="cellIs" dxfId="3293" priority="1682" operator="equal">
      <formula>"Très nécessaire, facile / unbedingt nötig, einfach"</formula>
    </cfRule>
    <cfRule type="cellIs" dxfId="3292" priority="1683" operator="equal">
      <formula>"Très nécessaire, difficile / unbedingt nötig, schwierig"</formula>
    </cfRule>
    <cfRule type="cellIs" dxfId="3291" priority="1684" operator="equal">
      <formula>"Partiellement nécessaire, facile / teilweise nötig, einfach"</formula>
    </cfRule>
    <cfRule type="cellIs" dxfId="3290" priority="1685" operator="equal">
      <formula>"Partiellement nécessaire, difficile / teilweise nötig, schwierig"</formula>
    </cfRule>
    <cfRule type="cellIs" dxfId="3289" priority="1686" operator="equal">
      <formula>"Non nécessaire / nicht nötig"</formula>
    </cfRule>
  </conditionalFormatting>
  <conditionalFormatting sqref="BV13">
    <cfRule type="cellIs" dxfId="3288" priority="1675" operator="equal">
      <formula>"non pertinent / nicht relevant"</formula>
    </cfRule>
    <cfRule type="cellIs" dxfId="3287" priority="1676" operator="equal">
      <formula>"Très nécessaire, facile / unbedingt nötig, einfach"</formula>
    </cfRule>
    <cfRule type="cellIs" dxfId="3286" priority="1677" operator="equal">
      <formula>"Très nécessaire, difficile / unbedingt nötig, schwierig"</formula>
    </cfRule>
    <cfRule type="cellIs" dxfId="3285" priority="1678" operator="equal">
      <formula>"Partiellement nécessaire, facile / teilweise nötig, einfach"</formula>
    </cfRule>
    <cfRule type="cellIs" dxfId="3284" priority="1679" operator="equal">
      <formula>"Partiellement nécessaire, difficile / teilweise nötig, schwierig"</formula>
    </cfRule>
    <cfRule type="cellIs" dxfId="3283" priority="1680" operator="equal">
      <formula>"Non nécessaire / nicht nötig"</formula>
    </cfRule>
  </conditionalFormatting>
  <conditionalFormatting sqref="BV10">
    <cfRule type="cellIs" dxfId="3282" priority="1669" operator="equal">
      <formula>"non pertinent / nicht relevant"</formula>
    </cfRule>
    <cfRule type="cellIs" dxfId="3281" priority="1670" operator="equal">
      <formula>"Très nécessaire, facile / unbedingt nötig, einfach"</formula>
    </cfRule>
    <cfRule type="cellIs" dxfId="3280" priority="1671" operator="equal">
      <formula>"Très nécessaire, difficile / unbedingt nötig, schwierig"</formula>
    </cfRule>
    <cfRule type="cellIs" dxfId="3279" priority="1672" operator="equal">
      <formula>"Partiellement nécessaire, facile / teilweise nötig, einfach"</formula>
    </cfRule>
    <cfRule type="cellIs" dxfId="3278" priority="1673" operator="equal">
      <formula>"Partiellement nécessaire, difficile / teilweise nötig, schwierig"</formula>
    </cfRule>
    <cfRule type="cellIs" dxfId="3277" priority="1674" operator="equal">
      <formula>"Non nécessaire / nicht nötig"</formula>
    </cfRule>
  </conditionalFormatting>
  <conditionalFormatting sqref="BV9">
    <cfRule type="cellIs" dxfId="3276" priority="1663" operator="equal">
      <formula>"non pertinent / nicht relevant"</formula>
    </cfRule>
    <cfRule type="cellIs" dxfId="3275" priority="1664" operator="equal">
      <formula>"Très nécessaire, facile / unbedingt nötig, einfach"</formula>
    </cfRule>
    <cfRule type="cellIs" dxfId="3274" priority="1665" operator="equal">
      <formula>"Très nécessaire, difficile / unbedingt nötig, schwierig"</formula>
    </cfRule>
    <cfRule type="cellIs" dxfId="3273" priority="1666" operator="equal">
      <formula>"Partiellement nécessaire, facile / teilweise nötig, einfach"</formula>
    </cfRule>
    <cfRule type="cellIs" dxfId="3272" priority="1667" operator="equal">
      <formula>"Partiellement nécessaire, difficile / teilweise nötig, schwierig"</formula>
    </cfRule>
    <cfRule type="cellIs" dxfId="3271" priority="1668" operator="equal">
      <formula>"Non nécessaire / nicht nötig"</formula>
    </cfRule>
  </conditionalFormatting>
  <conditionalFormatting sqref="BV8">
    <cfRule type="cellIs" dxfId="3270" priority="1657" operator="equal">
      <formula>"non pertinent / nicht relevant"</formula>
    </cfRule>
    <cfRule type="cellIs" dxfId="3269" priority="1658" operator="equal">
      <formula>"Très nécessaire, facile / unbedingt nötig, einfach"</formula>
    </cfRule>
    <cfRule type="cellIs" dxfId="3268" priority="1659" operator="equal">
      <formula>"Très nécessaire, difficile / unbedingt nötig, schwierig"</formula>
    </cfRule>
    <cfRule type="cellIs" dxfId="3267" priority="1660" operator="equal">
      <formula>"Partiellement nécessaire, facile / teilweise nötig, einfach"</formula>
    </cfRule>
    <cfRule type="cellIs" dxfId="3266" priority="1661" operator="equal">
      <formula>"Partiellement nécessaire, difficile / teilweise nötig, schwierig"</formula>
    </cfRule>
    <cfRule type="cellIs" dxfId="3265" priority="1662" operator="equal">
      <formula>"Non nécessaire / nicht nötig"</formula>
    </cfRule>
  </conditionalFormatting>
  <conditionalFormatting sqref="BV5">
    <cfRule type="cellIs" dxfId="3264" priority="1651" operator="equal">
      <formula>"non pertinent / nicht relevant"</formula>
    </cfRule>
    <cfRule type="cellIs" dxfId="3263" priority="1652" operator="equal">
      <formula>"Très nécessaire, facile / unbedingt nötig, einfach"</formula>
    </cfRule>
    <cfRule type="cellIs" dxfId="3262" priority="1653" operator="equal">
      <formula>"Très nécessaire, difficile / unbedingt nötig, schwierig"</formula>
    </cfRule>
    <cfRule type="cellIs" dxfId="3261" priority="1654" operator="equal">
      <formula>"Partiellement nécessaire, facile / teilweise nötig, einfach"</formula>
    </cfRule>
    <cfRule type="cellIs" dxfId="3260" priority="1655" operator="equal">
      <formula>"Partiellement nécessaire, difficile / teilweise nötig, schwierig"</formula>
    </cfRule>
    <cfRule type="cellIs" dxfId="3259" priority="1656" operator="equal">
      <formula>"Non nécessaire / nicht nötig"</formula>
    </cfRule>
  </conditionalFormatting>
  <conditionalFormatting sqref="BV4">
    <cfRule type="cellIs" dxfId="3258" priority="1645" operator="equal">
      <formula>"non pertinent / nicht relevant"</formula>
    </cfRule>
    <cfRule type="cellIs" dxfId="3257" priority="1646" operator="equal">
      <formula>"Très nécessaire, facile / unbedingt nötig, einfach"</formula>
    </cfRule>
    <cfRule type="cellIs" dxfId="3256" priority="1647" operator="equal">
      <formula>"Très nécessaire, difficile / unbedingt nötig, schwierig"</formula>
    </cfRule>
    <cfRule type="cellIs" dxfId="3255" priority="1648" operator="equal">
      <formula>"Partiellement nécessaire, facile / teilweise nötig, einfach"</formula>
    </cfRule>
    <cfRule type="cellIs" dxfId="3254" priority="1649" operator="equal">
      <formula>"Partiellement nécessaire, difficile / teilweise nötig, schwierig"</formula>
    </cfRule>
    <cfRule type="cellIs" dxfId="3253" priority="1650" operator="equal">
      <formula>"Non nécessaire / nicht nötig"</formula>
    </cfRule>
  </conditionalFormatting>
  <conditionalFormatting sqref="BV65">
    <cfRule type="cellIs" dxfId="3252" priority="1639" operator="equal">
      <formula>"non pertinent / nicht relevant"</formula>
    </cfRule>
    <cfRule type="cellIs" dxfId="3251" priority="1640" operator="equal">
      <formula>"Très nécessaire, facile / unbedingt nötig, einfach"</formula>
    </cfRule>
    <cfRule type="cellIs" dxfId="3250" priority="1641" operator="equal">
      <formula>"Très nécessaire, difficile / unbedingt nötig, schwierig"</formula>
    </cfRule>
    <cfRule type="cellIs" dxfId="3249" priority="1642" operator="equal">
      <formula>"Partiellement nécessaire, facile / teilweise nötig, einfach"</formula>
    </cfRule>
    <cfRule type="cellIs" dxfId="3248" priority="1643" operator="equal">
      <formula>"Partiellement nécessaire, difficile / teilweise nötig, schwierig"</formula>
    </cfRule>
    <cfRule type="cellIs" dxfId="3247" priority="1644" operator="equal">
      <formula>"Non nécessaire / nicht nötig"</formula>
    </cfRule>
  </conditionalFormatting>
  <conditionalFormatting sqref="BP46">
    <cfRule type="cellIs" dxfId="3246" priority="1627" operator="equal">
      <formula>"non pertinent / nicht relevant"</formula>
    </cfRule>
    <cfRule type="cellIs" dxfId="3245" priority="1628" operator="equal">
      <formula>"Très nécessaire, facile / unbedingt nötig, einfach"</formula>
    </cfRule>
    <cfRule type="cellIs" dxfId="3244" priority="1629" operator="equal">
      <formula>"Très nécessaire, difficile / unbedingt nötig, schwierig"</formula>
    </cfRule>
    <cfRule type="cellIs" dxfId="3243" priority="1630" operator="equal">
      <formula>"Partiellement nécessaire, facile / teilweise nötig, einfach"</formula>
    </cfRule>
    <cfRule type="cellIs" dxfId="3242" priority="1631" operator="equal">
      <formula>"Partiellement nécessaire, difficile / teilweise nötig, schwierig"</formula>
    </cfRule>
    <cfRule type="cellIs" dxfId="3241" priority="1632" operator="equal">
      <formula>"Non nécessaire / nicht nötig"</formula>
    </cfRule>
  </conditionalFormatting>
  <conditionalFormatting sqref="BV46">
    <cfRule type="cellIs" dxfId="3240" priority="1621" operator="equal">
      <formula>"non pertinent / nicht relevant"</formula>
    </cfRule>
    <cfRule type="cellIs" dxfId="3239" priority="1622" operator="equal">
      <formula>"Très nécessaire, facile / unbedingt nötig, einfach"</formula>
    </cfRule>
    <cfRule type="cellIs" dxfId="3238" priority="1623" operator="equal">
      <formula>"Très nécessaire, difficile / unbedingt nötig, schwierig"</formula>
    </cfRule>
    <cfRule type="cellIs" dxfId="3237" priority="1624" operator="equal">
      <formula>"Partiellement nécessaire, facile / teilweise nötig, einfach"</formula>
    </cfRule>
    <cfRule type="cellIs" dxfId="3236" priority="1625" operator="equal">
      <formula>"Partiellement nécessaire, difficile / teilweise nötig, schwierig"</formula>
    </cfRule>
    <cfRule type="cellIs" dxfId="3235" priority="1626" operator="equal">
      <formula>"Non nécessaire / nicht nötig"</formula>
    </cfRule>
  </conditionalFormatting>
  <conditionalFormatting sqref="BP243">
    <cfRule type="cellIs" dxfId="3234" priority="1615" stopIfTrue="1" operator="equal">
      <formula>"non pertinent / nicht relevant"</formula>
    </cfRule>
    <cfRule type="cellIs" dxfId="3233" priority="1616" stopIfTrue="1" operator="equal">
      <formula>"Très nécessaire, difficile / unbedingt nötig, schwierig"</formula>
    </cfRule>
    <cfRule type="cellIs" dxfId="3232" priority="1617" stopIfTrue="1" operator="equal">
      <formula>"Partiellement nécessaire, facile / teilweise nötig, einfach"</formula>
    </cfRule>
    <cfRule type="cellIs" dxfId="3231" priority="1618" stopIfTrue="1" operator="equal">
      <formula>"Partiellement nécessaire, difficile / teilweise nötig, schwierig"</formula>
    </cfRule>
    <cfRule type="cellIs" dxfId="3230" priority="1619" stopIfTrue="1" operator="equal">
      <formula>"Très nécessaire, facile / unbedingt nötig, einfach"</formula>
    </cfRule>
    <cfRule type="cellIs" dxfId="3229" priority="1620" stopIfTrue="1" operator="equal">
      <formula>"Non nécessaire / nicht nötig"</formula>
    </cfRule>
  </conditionalFormatting>
  <conditionalFormatting sqref="BP236">
    <cfRule type="cellIs" dxfId="3228" priority="1609" operator="equal">
      <formula>"non pertinent / nicht relevant"</formula>
    </cfRule>
    <cfRule type="cellIs" dxfId="3227" priority="1610" operator="equal">
      <formula>"Très nécessaire, facile / unbedingt nötig, einfach"</formula>
    </cfRule>
    <cfRule type="cellIs" dxfId="3226" priority="1611" operator="equal">
      <formula>"Très nécessaire, difficile / unbedingt nötig, schwierig"</formula>
    </cfRule>
    <cfRule type="cellIs" dxfId="3225" priority="1612" operator="equal">
      <formula>"Partiellement nécessaire, facile / teilweise nötig, einfach"</formula>
    </cfRule>
    <cfRule type="cellIs" dxfId="3224" priority="1613" operator="equal">
      <formula>"Partiellement nécessaire, difficile / teilweise nötig, schwierig"</formula>
    </cfRule>
    <cfRule type="cellIs" dxfId="3223" priority="1614" operator="equal">
      <formula>"Non nécessaire / nicht nötig"</formula>
    </cfRule>
  </conditionalFormatting>
  <conditionalFormatting sqref="BV274">
    <cfRule type="cellIs" dxfId="3222" priority="1603" operator="equal">
      <formula>"non pertinent / nicht relevant"</formula>
    </cfRule>
    <cfRule type="cellIs" dxfId="3221" priority="1604" operator="equal">
      <formula>"Très nécessaire, facile / unbedingt nötig, einfach"</formula>
    </cfRule>
    <cfRule type="cellIs" dxfId="3220" priority="1605" operator="equal">
      <formula>"Très nécessaire, difficile / unbedingt nötig, schwierig"</formula>
    </cfRule>
    <cfRule type="cellIs" dxfId="3219" priority="1606" operator="equal">
      <formula>"Partiellement nécessaire, facile / teilweise nötig, einfach"</formula>
    </cfRule>
    <cfRule type="cellIs" dxfId="3218" priority="1607" operator="equal">
      <formula>"Partiellement nécessaire, difficile / teilweise nötig, schwierig"</formula>
    </cfRule>
    <cfRule type="cellIs" dxfId="3217" priority="1608" operator="equal">
      <formula>"Non nécessaire / nicht nötig"</formula>
    </cfRule>
  </conditionalFormatting>
  <conditionalFormatting sqref="BV178:BV179">
    <cfRule type="cellIs" dxfId="3216" priority="1597" operator="equal">
      <formula>"non pertinent / nicht relevant"</formula>
    </cfRule>
    <cfRule type="cellIs" dxfId="3215" priority="1598" operator="equal">
      <formula>"Très nécessaire, facile / unbedingt nötig, einfach"</formula>
    </cfRule>
    <cfRule type="cellIs" dxfId="3214" priority="1599" operator="equal">
      <formula>"Très nécessaire, difficile / unbedingt nötig, schwierig"</formula>
    </cfRule>
    <cfRule type="cellIs" dxfId="3213" priority="1600" operator="equal">
      <formula>"Partiellement nécessaire, facile / teilweise nötig, einfach"</formula>
    </cfRule>
    <cfRule type="cellIs" dxfId="3212" priority="1601" operator="equal">
      <formula>"Partiellement nécessaire, difficile / teilweise nötig, schwierig"</formula>
    </cfRule>
    <cfRule type="cellIs" dxfId="3211" priority="1602" operator="equal">
      <formula>"Non nécessaire / nicht nötig"</formula>
    </cfRule>
  </conditionalFormatting>
  <conditionalFormatting sqref="BT236">
    <cfRule type="cellIs" dxfId="3210" priority="1591" operator="equal">
      <formula>"non pertinent / nicht relevant"</formula>
    </cfRule>
    <cfRule type="cellIs" dxfId="3209" priority="1592" operator="equal">
      <formula>"Très nécessaire, facile / unbedingt nötig, einfach"</formula>
    </cfRule>
    <cfRule type="cellIs" dxfId="3208" priority="1593" operator="equal">
      <formula>"Très nécessaire, difficile / unbedingt nötig, schwierig"</formula>
    </cfRule>
    <cfRule type="cellIs" dxfId="3207" priority="1594" operator="equal">
      <formula>"Partiellement nécessaire, facile / teilweise nötig, einfach"</formula>
    </cfRule>
    <cfRule type="cellIs" dxfId="3206" priority="1595" operator="equal">
      <formula>"Partiellement nécessaire, difficile / teilweise nötig, schwierig"</formula>
    </cfRule>
    <cfRule type="cellIs" dxfId="3205" priority="1596" operator="equal">
      <formula>"Non nécessaire / nicht nötig"</formula>
    </cfRule>
  </conditionalFormatting>
  <conditionalFormatting sqref="BT243">
    <cfRule type="cellIs" dxfId="3204" priority="1585" operator="equal">
      <formula>"non pertinent / nicht relevant"</formula>
    </cfRule>
    <cfRule type="cellIs" dxfId="3203" priority="1586" operator="equal">
      <formula>"Très nécessaire, facile / unbedingt nötig, einfach"</formula>
    </cfRule>
    <cfRule type="cellIs" dxfId="3202" priority="1587" operator="equal">
      <formula>"Très nécessaire, difficile / unbedingt nötig, schwierig"</formula>
    </cfRule>
    <cfRule type="cellIs" dxfId="3201" priority="1588" operator="equal">
      <formula>"Partiellement nécessaire, facile / teilweise nötig, einfach"</formula>
    </cfRule>
    <cfRule type="cellIs" dxfId="3200" priority="1589" operator="equal">
      <formula>"Partiellement nécessaire, difficile / teilweise nötig, schwierig"</formula>
    </cfRule>
    <cfRule type="cellIs" dxfId="3199" priority="1590" operator="equal">
      <formula>"Non nécessaire / nicht nötig"</formula>
    </cfRule>
  </conditionalFormatting>
  <conditionalFormatting sqref="BP106">
    <cfRule type="cellIs" dxfId="3198" priority="1579" operator="equal">
      <formula>"non pertinent / nicht relevant"</formula>
    </cfRule>
    <cfRule type="cellIs" dxfId="3197" priority="1580" operator="equal">
      <formula>"Très nécessaire, facile / unbedingt nötig, einfach"</formula>
    </cfRule>
    <cfRule type="cellIs" dxfId="3196" priority="1581" operator="equal">
      <formula>"Très nécessaire, difficile / unbedingt nötig, schwierig"</formula>
    </cfRule>
    <cfRule type="cellIs" dxfId="3195" priority="1582" operator="equal">
      <formula>"Partiellement nécessaire, facile / teilweise nötig, einfach"</formula>
    </cfRule>
    <cfRule type="cellIs" dxfId="3194" priority="1583" operator="equal">
      <formula>"Partiellement nécessaire, difficile / teilweise nötig, schwierig"</formula>
    </cfRule>
    <cfRule type="cellIs" dxfId="3193" priority="1584" operator="equal">
      <formula>"Non nécessaire / nicht nötig"</formula>
    </cfRule>
  </conditionalFormatting>
  <conditionalFormatting sqref="BP136">
    <cfRule type="cellIs" dxfId="3192" priority="1573" operator="equal">
      <formula>"non pertinent / nicht relevant"</formula>
    </cfRule>
    <cfRule type="cellIs" dxfId="3191" priority="1574" operator="equal">
      <formula>"Très nécessaire, facile / unbedingt nötig, einfach"</formula>
    </cfRule>
    <cfRule type="cellIs" dxfId="3190" priority="1575" operator="equal">
      <formula>"Très nécessaire, difficile / unbedingt nötig, schwierig"</formula>
    </cfRule>
    <cfRule type="cellIs" dxfId="3189" priority="1576" operator="equal">
      <formula>"Partiellement nécessaire, facile / teilweise nötig, einfach"</formula>
    </cfRule>
    <cfRule type="cellIs" dxfId="3188" priority="1577" operator="equal">
      <formula>"Partiellement nécessaire, difficile / teilweise nötig, schwierig"</formula>
    </cfRule>
    <cfRule type="cellIs" dxfId="3187" priority="1578" operator="equal">
      <formula>"Non nécessaire / nicht nötig"</formula>
    </cfRule>
  </conditionalFormatting>
  <conditionalFormatting sqref="BP202">
    <cfRule type="cellIs" dxfId="3186" priority="1567" operator="equal">
      <formula>"non pertinent / nicht relevant"</formula>
    </cfRule>
    <cfRule type="cellIs" dxfId="3185" priority="1568" operator="equal">
      <formula>"Très nécessaire, facile / unbedingt nötig, einfach"</formula>
    </cfRule>
    <cfRule type="cellIs" dxfId="3184" priority="1569" operator="equal">
      <formula>"Très nécessaire, difficile / unbedingt nötig, schwierig"</formula>
    </cfRule>
    <cfRule type="cellIs" dxfId="3183" priority="1570" operator="equal">
      <formula>"Partiellement nécessaire, facile / teilweise nötig, einfach"</formula>
    </cfRule>
    <cfRule type="cellIs" dxfId="3182" priority="1571" operator="equal">
      <formula>"Partiellement nécessaire, difficile / teilweise nötig, schwierig"</formula>
    </cfRule>
    <cfRule type="cellIs" dxfId="3181" priority="1572" operator="equal">
      <formula>"Non nécessaire / nicht nötig"</formula>
    </cfRule>
  </conditionalFormatting>
  <conditionalFormatting sqref="BT200">
    <cfRule type="cellIs" dxfId="3180" priority="1561" operator="equal">
      <formula>"non pertinent / nicht relevant"</formula>
    </cfRule>
    <cfRule type="cellIs" dxfId="3179" priority="1562" operator="equal">
      <formula>"Très nécessaire, facile / unbedingt nötig, einfach"</formula>
    </cfRule>
    <cfRule type="cellIs" dxfId="3178" priority="1563" operator="equal">
      <formula>"Très nécessaire, difficile / unbedingt nötig, schwierig"</formula>
    </cfRule>
    <cfRule type="cellIs" dxfId="3177" priority="1564" operator="equal">
      <formula>"Partiellement nécessaire, facile / teilweise nötig, einfach"</formula>
    </cfRule>
    <cfRule type="cellIs" dxfId="3176" priority="1565" operator="equal">
      <formula>"Partiellement nécessaire, difficile / teilweise nötig, schwierig"</formula>
    </cfRule>
    <cfRule type="cellIs" dxfId="3175" priority="1566" operator="equal">
      <formula>"Non nécessaire / nicht nötig"</formula>
    </cfRule>
  </conditionalFormatting>
  <conditionalFormatting sqref="BT207">
    <cfRule type="cellIs" dxfId="3174" priority="1555" operator="equal">
      <formula>"non pertinent / nicht relevant"</formula>
    </cfRule>
    <cfRule type="cellIs" dxfId="3173" priority="1556" operator="equal">
      <formula>"Très nécessaire, facile / unbedingt nötig, einfach"</formula>
    </cfRule>
    <cfRule type="cellIs" dxfId="3172" priority="1557" operator="equal">
      <formula>"Très nécessaire, difficile / unbedingt nötig, schwierig"</formula>
    </cfRule>
    <cfRule type="cellIs" dxfId="3171" priority="1558" operator="equal">
      <formula>"Partiellement nécessaire, facile / teilweise nötig, einfach"</formula>
    </cfRule>
    <cfRule type="cellIs" dxfId="3170" priority="1559" operator="equal">
      <formula>"Partiellement nécessaire, difficile / teilweise nötig, schwierig"</formula>
    </cfRule>
    <cfRule type="cellIs" dxfId="3169" priority="1560" operator="equal">
      <formula>"Non nécessaire / nicht nötig"</formula>
    </cfRule>
  </conditionalFormatting>
  <conditionalFormatting sqref="BT149:BT150">
    <cfRule type="cellIs" dxfId="3168" priority="1549" operator="equal">
      <formula>"non pertinent / nicht relevant"</formula>
    </cfRule>
    <cfRule type="cellIs" dxfId="3167" priority="1550" operator="equal">
      <formula>"Très nécessaire, facile / unbedingt nötig, einfach"</formula>
    </cfRule>
    <cfRule type="cellIs" dxfId="3166" priority="1551" operator="equal">
      <formula>"Très nécessaire, difficile / unbedingt nötig, schwierig"</formula>
    </cfRule>
    <cfRule type="cellIs" dxfId="3165" priority="1552" operator="equal">
      <formula>"Partiellement nécessaire, facile / teilweise nötig, einfach"</formula>
    </cfRule>
    <cfRule type="cellIs" dxfId="3164" priority="1553" operator="equal">
      <formula>"Partiellement nécessaire, difficile / teilweise nötig, schwierig"</formula>
    </cfRule>
    <cfRule type="cellIs" dxfId="3163" priority="1554" operator="equal">
      <formula>"Non nécessaire / nicht nötig"</formula>
    </cfRule>
  </conditionalFormatting>
  <conditionalFormatting sqref="BT151">
    <cfRule type="cellIs" dxfId="3162" priority="1543" operator="equal">
      <formula>"non pertinent / nicht relevant"</formula>
    </cfRule>
    <cfRule type="cellIs" dxfId="3161" priority="1544" operator="equal">
      <formula>"Très nécessaire, facile / unbedingt nötig, einfach"</formula>
    </cfRule>
    <cfRule type="cellIs" dxfId="3160" priority="1545" operator="equal">
      <formula>"Très nécessaire, difficile / unbedingt nötig, schwierig"</formula>
    </cfRule>
    <cfRule type="cellIs" dxfId="3159" priority="1546" operator="equal">
      <formula>"Partiellement nécessaire, facile / teilweise nötig, einfach"</formula>
    </cfRule>
    <cfRule type="cellIs" dxfId="3158" priority="1547" operator="equal">
      <formula>"Partiellement nécessaire, difficile / teilweise nötig, schwierig"</formula>
    </cfRule>
    <cfRule type="cellIs" dxfId="3157" priority="1548" operator="equal">
      <formula>"Non nécessaire / nicht nötig"</formula>
    </cfRule>
  </conditionalFormatting>
  <conditionalFormatting sqref="BT153">
    <cfRule type="cellIs" dxfId="3156" priority="1537" operator="equal">
      <formula>"non pertinent / nicht relevant"</formula>
    </cfRule>
    <cfRule type="cellIs" dxfId="3155" priority="1538" operator="equal">
      <formula>"Très nécessaire, facile / unbedingt nötig, einfach"</formula>
    </cfRule>
    <cfRule type="cellIs" dxfId="3154" priority="1539" operator="equal">
      <formula>"Très nécessaire, difficile / unbedingt nötig, schwierig"</formula>
    </cfRule>
    <cfRule type="cellIs" dxfId="3153" priority="1540" operator="equal">
      <formula>"Partiellement nécessaire, facile / teilweise nötig, einfach"</formula>
    </cfRule>
    <cfRule type="cellIs" dxfId="3152" priority="1541" operator="equal">
      <formula>"Partiellement nécessaire, difficile / teilweise nötig, schwierig"</formula>
    </cfRule>
    <cfRule type="cellIs" dxfId="3151" priority="1542" operator="equal">
      <formula>"Non nécessaire / nicht nötig"</formula>
    </cfRule>
  </conditionalFormatting>
  <conditionalFormatting sqref="BT154">
    <cfRule type="cellIs" dxfId="3150" priority="1531" operator="equal">
      <formula>"non pertinent / nicht relevant"</formula>
    </cfRule>
    <cfRule type="cellIs" dxfId="3149" priority="1532" operator="equal">
      <formula>"Très nécessaire, facile / unbedingt nötig, einfach"</formula>
    </cfRule>
    <cfRule type="cellIs" dxfId="3148" priority="1533" operator="equal">
      <formula>"Très nécessaire, difficile / unbedingt nötig, schwierig"</formula>
    </cfRule>
    <cfRule type="cellIs" dxfId="3147" priority="1534" operator="equal">
      <formula>"Partiellement nécessaire, facile / teilweise nötig, einfach"</formula>
    </cfRule>
    <cfRule type="cellIs" dxfId="3146" priority="1535" operator="equal">
      <formula>"Partiellement nécessaire, difficile / teilweise nötig, schwierig"</formula>
    </cfRule>
    <cfRule type="cellIs" dxfId="3145" priority="1536" operator="equal">
      <formula>"Non nécessaire / nicht nötig"</formula>
    </cfRule>
  </conditionalFormatting>
  <conditionalFormatting sqref="BV153">
    <cfRule type="cellIs" dxfId="3144" priority="1525" operator="equal">
      <formula>"non pertinent / nicht relevant"</formula>
    </cfRule>
    <cfRule type="cellIs" dxfId="3143" priority="1526" operator="equal">
      <formula>"Très nécessaire, facile / unbedingt nötig, einfach"</formula>
    </cfRule>
    <cfRule type="cellIs" dxfId="3142" priority="1527" operator="equal">
      <formula>"Très nécessaire, difficile / unbedingt nötig, schwierig"</formula>
    </cfRule>
    <cfRule type="cellIs" dxfId="3141" priority="1528" operator="equal">
      <formula>"Partiellement nécessaire, facile / teilweise nötig, einfach"</formula>
    </cfRule>
    <cfRule type="cellIs" dxfId="3140" priority="1529" operator="equal">
      <formula>"Partiellement nécessaire, difficile / teilweise nötig, schwierig"</formula>
    </cfRule>
    <cfRule type="cellIs" dxfId="3139" priority="1530" operator="equal">
      <formula>"Non nécessaire / nicht nötig"</formula>
    </cfRule>
  </conditionalFormatting>
  <conditionalFormatting sqref="BT148">
    <cfRule type="cellIs" dxfId="3138" priority="1519" operator="equal">
      <formula>"non pertinent / nicht relevant"</formula>
    </cfRule>
    <cfRule type="cellIs" dxfId="3137" priority="1520" operator="equal">
      <formula>"Très nécessaire, facile / unbedingt nötig, einfach"</formula>
    </cfRule>
    <cfRule type="cellIs" dxfId="3136" priority="1521" operator="equal">
      <formula>"Très nécessaire, difficile / unbedingt nötig, schwierig"</formula>
    </cfRule>
    <cfRule type="cellIs" dxfId="3135" priority="1522" operator="equal">
      <formula>"Partiellement nécessaire, facile / teilweise nötig, einfach"</formula>
    </cfRule>
    <cfRule type="cellIs" dxfId="3134" priority="1523" operator="equal">
      <formula>"Partiellement nécessaire, difficile / teilweise nötig, schwierig"</formula>
    </cfRule>
    <cfRule type="cellIs" dxfId="3133" priority="1524" operator="equal">
      <formula>"Non nécessaire / nicht nötig"</formula>
    </cfRule>
  </conditionalFormatting>
  <conditionalFormatting sqref="BT147">
    <cfRule type="cellIs" dxfId="3132" priority="1513" operator="equal">
      <formula>"non pertinent / nicht relevant"</formula>
    </cfRule>
    <cfRule type="cellIs" dxfId="3131" priority="1514" operator="equal">
      <formula>"Très nécessaire, facile / unbedingt nötig, einfach"</formula>
    </cfRule>
    <cfRule type="cellIs" dxfId="3130" priority="1515" operator="equal">
      <formula>"Très nécessaire, difficile / unbedingt nötig, schwierig"</formula>
    </cfRule>
    <cfRule type="cellIs" dxfId="3129" priority="1516" operator="equal">
      <formula>"Partiellement nécessaire, facile / teilweise nötig, einfach"</formula>
    </cfRule>
    <cfRule type="cellIs" dxfId="3128" priority="1517" operator="equal">
      <formula>"Partiellement nécessaire, difficile / teilweise nötig, schwierig"</formula>
    </cfRule>
    <cfRule type="cellIs" dxfId="3127" priority="1518" operator="equal">
      <formula>"Non nécessaire / nicht nötig"</formula>
    </cfRule>
  </conditionalFormatting>
  <conditionalFormatting sqref="BT38:BT39">
    <cfRule type="cellIs" dxfId="3126" priority="1507" operator="equal">
      <formula>"non pertinent / nicht relevant"</formula>
    </cfRule>
    <cfRule type="cellIs" dxfId="3125" priority="1508" operator="equal">
      <formula>"Très nécessaire, facile / unbedingt nötig, einfach"</formula>
    </cfRule>
    <cfRule type="cellIs" dxfId="3124" priority="1509" operator="equal">
      <formula>"Très nécessaire, difficile / unbedingt nötig, schwierig"</formula>
    </cfRule>
    <cfRule type="cellIs" dxfId="3123" priority="1510" operator="equal">
      <formula>"Partiellement nécessaire, facile / teilweise nötig, einfach"</formula>
    </cfRule>
    <cfRule type="cellIs" dxfId="3122" priority="1511" operator="equal">
      <formula>"Partiellement nécessaire, difficile / teilweise nötig, schwierig"</formula>
    </cfRule>
    <cfRule type="cellIs" dxfId="3121" priority="1512" operator="equal">
      <formula>"Non nécessaire / nicht nötig"</formula>
    </cfRule>
  </conditionalFormatting>
  <conditionalFormatting sqref="BT26">
    <cfRule type="cellIs" dxfId="3120" priority="1501" operator="equal">
      <formula>"non pertinent / nicht relevant"</formula>
    </cfRule>
    <cfRule type="cellIs" dxfId="3119" priority="1502" operator="equal">
      <formula>"Très nécessaire, facile / unbedingt nötig, einfach"</formula>
    </cfRule>
    <cfRule type="cellIs" dxfId="3118" priority="1503" operator="equal">
      <formula>"Très nécessaire, difficile / unbedingt nötig, schwierig"</formula>
    </cfRule>
    <cfRule type="cellIs" dxfId="3117" priority="1504" operator="equal">
      <formula>"Partiellement nécessaire, facile / teilweise nötig, einfach"</formula>
    </cfRule>
    <cfRule type="cellIs" dxfId="3116" priority="1505" operator="equal">
      <formula>"Partiellement nécessaire, difficile / teilweise nötig, schwierig"</formula>
    </cfRule>
    <cfRule type="cellIs" dxfId="3115" priority="1506" operator="equal">
      <formula>"Non nécessaire / nicht nötig"</formula>
    </cfRule>
  </conditionalFormatting>
  <conditionalFormatting sqref="BT8">
    <cfRule type="cellIs" dxfId="3114" priority="1495" operator="equal">
      <formula>"non pertinent / nicht relevant"</formula>
    </cfRule>
    <cfRule type="cellIs" dxfId="3113" priority="1496" operator="equal">
      <formula>"Très nécessaire, facile / unbedingt nötig, einfach"</formula>
    </cfRule>
    <cfRule type="cellIs" dxfId="3112" priority="1497" operator="equal">
      <formula>"Très nécessaire, difficile / unbedingt nötig, schwierig"</formula>
    </cfRule>
    <cfRule type="cellIs" dxfId="3111" priority="1498" operator="equal">
      <formula>"Partiellement nécessaire, facile / teilweise nötig, einfach"</formula>
    </cfRule>
    <cfRule type="cellIs" dxfId="3110" priority="1499" operator="equal">
      <formula>"Partiellement nécessaire, difficile / teilweise nötig, schwierig"</formula>
    </cfRule>
    <cfRule type="cellIs" dxfId="3109" priority="1500" operator="equal">
      <formula>"Non nécessaire / nicht nötig"</formula>
    </cfRule>
  </conditionalFormatting>
  <conditionalFormatting sqref="BT7">
    <cfRule type="cellIs" dxfId="3108" priority="1489" stopIfTrue="1" operator="equal">
      <formula>"non pertinent / nicht relevant"</formula>
    </cfRule>
    <cfRule type="cellIs" dxfId="3107" priority="1490" stopIfTrue="1" operator="equal">
      <formula>"Très nécessaire, difficile / unbedingt nötig, schwierig"</formula>
    </cfRule>
    <cfRule type="cellIs" dxfId="3106" priority="1491" stopIfTrue="1" operator="equal">
      <formula>"Partiellement nécessaire, facile / teilweise nötig, einfach"</formula>
    </cfRule>
    <cfRule type="cellIs" dxfId="3105" priority="1492" stopIfTrue="1" operator="equal">
      <formula>"Partiellement nécessaire, difficile / teilweise nötig, schwierig"</formula>
    </cfRule>
    <cfRule type="cellIs" dxfId="3104" priority="1493" stopIfTrue="1" operator="equal">
      <formula>"Très nécessaire, facile / unbedingt nötig, einfach"</formula>
    </cfRule>
    <cfRule type="cellIs" dxfId="3103" priority="1494" stopIfTrue="1" operator="equal">
      <formula>"Non nécessaire / nicht nötig"</formula>
    </cfRule>
  </conditionalFormatting>
  <conditionalFormatting sqref="BV7">
    <cfRule type="cellIs" dxfId="3102" priority="1483" stopIfTrue="1" operator="equal">
      <formula>"non pertinent / nicht relevant"</formula>
    </cfRule>
    <cfRule type="cellIs" dxfId="3101" priority="1484" stopIfTrue="1" operator="equal">
      <formula>"Très nécessaire, difficile / unbedingt nötig, schwierig"</formula>
    </cfRule>
    <cfRule type="cellIs" dxfId="3100" priority="1485" stopIfTrue="1" operator="equal">
      <formula>"Partiellement nécessaire, facile / teilweise nötig, einfach"</formula>
    </cfRule>
    <cfRule type="cellIs" dxfId="3099" priority="1486" stopIfTrue="1" operator="equal">
      <formula>"Partiellement nécessaire, difficile / teilweise nötig, schwierig"</formula>
    </cfRule>
    <cfRule type="cellIs" dxfId="3098" priority="1487" stopIfTrue="1" operator="equal">
      <formula>"Très nécessaire, facile / unbedingt nötig, einfach"</formula>
    </cfRule>
    <cfRule type="cellIs" dxfId="3097" priority="1488" stopIfTrue="1" operator="equal">
      <formula>"Non nécessaire / nicht nötig"</formula>
    </cfRule>
  </conditionalFormatting>
  <conditionalFormatting sqref="BT6">
    <cfRule type="cellIs" dxfId="3096" priority="1477" operator="equal">
      <formula>"non pertinent / nicht relevant"</formula>
    </cfRule>
    <cfRule type="cellIs" dxfId="3095" priority="1478" operator="equal">
      <formula>"Très nécessaire, facile / unbedingt nötig, einfach"</formula>
    </cfRule>
    <cfRule type="cellIs" dxfId="3094" priority="1479" operator="equal">
      <formula>"Très nécessaire, difficile / unbedingt nötig, schwierig"</formula>
    </cfRule>
    <cfRule type="cellIs" dxfId="3093" priority="1480" operator="equal">
      <formula>"Partiellement nécessaire, facile / teilweise nötig, einfach"</formula>
    </cfRule>
    <cfRule type="cellIs" dxfId="3092" priority="1481" operator="equal">
      <formula>"Partiellement nécessaire, difficile / teilweise nötig, schwierig"</formula>
    </cfRule>
    <cfRule type="cellIs" dxfId="3091" priority="1482" operator="equal">
      <formula>"Non nécessaire / nicht nötig"</formula>
    </cfRule>
  </conditionalFormatting>
  <conditionalFormatting sqref="BT5">
    <cfRule type="cellIs" dxfId="3090" priority="1471" operator="equal">
      <formula>"non pertinent / nicht relevant"</formula>
    </cfRule>
    <cfRule type="cellIs" dxfId="3089" priority="1472" operator="equal">
      <formula>"Très nécessaire, facile / unbedingt nötig, einfach"</formula>
    </cfRule>
    <cfRule type="cellIs" dxfId="3088" priority="1473" operator="equal">
      <formula>"Très nécessaire, difficile / unbedingt nötig, schwierig"</formula>
    </cfRule>
    <cfRule type="cellIs" dxfId="3087" priority="1474" operator="equal">
      <formula>"Partiellement nécessaire, facile / teilweise nötig, einfach"</formula>
    </cfRule>
    <cfRule type="cellIs" dxfId="3086" priority="1475" operator="equal">
      <formula>"Partiellement nécessaire, difficile / teilweise nötig, schwierig"</formula>
    </cfRule>
    <cfRule type="cellIs" dxfId="3085" priority="1476" operator="equal">
      <formula>"Non nécessaire / nicht nötig"</formula>
    </cfRule>
  </conditionalFormatting>
  <conditionalFormatting sqref="BT4">
    <cfRule type="cellIs" dxfId="3084" priority="1465" operator="equal">
      <formula>"non pertinent / nicht relevant"</formula>
    </cfRule>
    <cfRule type="cellIs" dxfId="3083" priority="1466" operator="equal">
      <formula>"Très nécessaire, facile / unbedingt nötig, einfach"</formula>
    </cfRule>
    <cfRule type="cellIs" dxfId="3082" priority="1467" operator="equal">
      <formula>"Très nécessaire, difficile / unbedingt nötig, schwierig"</formula>
    </cfRule>
    <cfRule type="cellIs" dxfId="3081" priority="1468" operator="equal">
      <formula>"Partiellement nécessaire, facile / teilweise nötig, einfach"</formula>
    </cfRule>
    <cfRule type="cellIs" dxfId="3080" priority="1469" operator="equal">
      <formula>"Partiellement nécessaire, difficile / teilweise nötig, schwierig"</formula>
    </cfRule>
    <cfRule type="cellIs" dxfId="3079" priority="1470" operator="equal">
      <formula>"Non nécessaire / nicht nötig"</formula>
    </cfRule>
  </conditionalFormatting>
  <conditionalFormatting sqref="BP131">
    <cfRule type="cellIs" dxfId="3078" priority="1459" operator="equal">
      <formula>"non pertinent / nicht relevant"</formula>
    </cfRule>
    <cfRule type="cellIs" dxfId="3077" priority="1460" operator="equal">
      <formula>"Très nécessaire, facile / unbedingt nötig, einfach"</formula>
    </cfRule>
    <cfRule type="cellIs" dxfId="3076" priority="1461" operator="equal">
      <formula>"Très nécessaire, difficile / unbedingt nötig, schwierig"</formula>
    </cfRule>
    <cfRule type="cellIs" dxfId="3075" priority="1462" operator="equal">
      <formula>"Partiellement nécessaire, facile / teilweise nötig, einfach"</formula>
    </cfRule>
    <cfRule type="cellIs" dxfId="3074" priority="1463" operator="equal">
      <formula>"Partiellement nécessaire, difficile / teilweise nötig, schwierig"</formula>
    </cfRule>
    <cfRule type="cellIs" dxfId="3073" priority="1464" operator="equal">
      <formula>"Non nécessaire / nicht nötig"</formula>
    </cfRule>
  </conditionalFormatting>
  <conditionalFormatting sqref="BT155">
    <cfRule type="cellIs" dxfId="3072" priority="1453" operator="equal">
      <formula>"non pertinent / nicht relevant"</formula>
    </cfRule>
    <cfRule type="cellIs" dxfId="3071" priority="1454" operator="equal">
      <formula>"Très nécessaire, facile / unbedingt nötig, einfach"</formula>
    </cfRule>
    <cfRule type="cellIs" dxfId="3070" priority="1455" operator="equal">
      <formula>"Très nécessaire, difficile / unbedingt nötig, schwierig"</formula>
    </cfRule>
    <cfRule type="cellIs" dxfId="3069" priority="1456" operator="equal">
      <formula>"Partiellement nécessaire, facile / teilweise nötig, einfach"</formula>
    </cfRule>
    <cfRule type="cellIs" dxfId="3068" priority="1457" operator="equal">
      <formula>"Partiellement nécessaire, difficile / teilweise nötig, schwierig"</formula>
    </cfRule>
    <cfRule type="cellIs" dxfId="3067" priority="1458" operator="equal">
      <formula>"Non nécessaire / nicht nötig"</formula>
    </cfRule>
  </conditionalFormatting>
  <conditionalFormatting sqref="BV168">
    <cfRule type="cellIs" dxfId="3066" priority="1447" operator="equal">
      <formula>"non pertinent / nicht relevant"</formula>
    </cfRule>
    <cfRule type="cellIs" dxfId="3065" priority="1448" operator="equal">
      <formula>"Très nécessaire, facile / unbedingt nötig, einfach"</formula>
    </cfRule>
    <cfRule type="cellIs" dxfId="3064" priority="1449" operator="equal">
      <formula>"Très nécessaire, difficile / unbedingt nötig, schwierig"</formula>
    </cfRule>
    <cfRule type="cellIs" dxfId="3063" priority="1450" operator="equal">
      <formula>"Partiellement nécessaire, facile / teilweise nötig, einfach"</formula>
    </cfRule>
    <cfRule type="cellIs" dxfId="3062" priority="1451" operator="equal">
      <formula>"Partiellement nécessaire, difficile / teilweise nötig, schwierig"</formula>
    </cfRule>
    <cfRule type="cellIs" dxfId="3061" priority="1452" operator="equal">
      <formula>"Non nécessaire / nicht nötig"</formula>
    </cfRule>
  </conditionalFormatting>
  <conditionalFormatting sqref="BT168">
    <cfRule type="cellIs" dxfId="3060" priority="1441" operator="equal">
      <formula>"non pertinent / nicht relevant"</formula>
    </cfRule>
    <cfRule type="cellIs" dxfId="3059" priority="1442" operator="equal">
      <formula>"Très nécessaire, facile / unbedingt nötig, einfach"</formula>
    </cfRule>
    <cfRule type="cellIs" dxfId="3058" priority="1443" operator="equal">
      <formula>"Très nécessaire, difficile / unbedingt nötig, schwierig"</formula>
    </cfRule>
    <cfRule type="cellIs" dxfId="3057" priority="1444" operator="equal">
      <formula>"Partiellement nécessaire, facile / teilweise nötig, einfach"</formula>
    </cfRule>
    <cfRule type="cellIs" dxfId="3056" priority="1445" operator="equal">
      <formula>"Partiellement nécessaire, difficile / teilweise nötig, schwierig"</formula>
    </cfRule>
    <cfRule type="cellIs" dxfId="3055" priority="1446" operator="equal">
      <formula>"Non nécessaire / nicht nötig"</formula>
    </cfRule>
  </conditionalFormatting>
  <conditionalFormatting sqref="BT27">
    <cfRule type="cellIs" dxfId="3054" priority="1435" operator="equal">
      <formula>"non pertinent / nicht relevant"</formula>
    </cfRule>
    <cfRule type="cellIs" dxfId="3053" priority="1436" operator="equal">
      <formula>"Très nécessaire, facile / unbedingt nötig, einfach"</formula>
    </cfRule>
    <cfRule type="cellIs" dxfId="3052" priority="1437" operator="equal">
      <formula>"Très nécessaire, difficile / unbedingt nötig, schwierig"</formula>
    </cfRule>
    <cfRule type="cellIs" dxfId="3051" priority="1438" operator="equal">
      <formula>"Partiellement nécessaire, facile / teilweise nötig, einfach"</formula>
    </cfRule>
    <cfRule type="cellIs" dxfId="3050" priority="1439" operator="equal">
      <formula>"Partiellement nécessaire, difficile / teilweise nötig, schwierig"</formula>
    </cfRule>
    <cfRule type="cellIs" dxfId="3049" priority="1440" operator="equal">
      <formula>"Non nécessaire / nicht nötig"</formula>
    </cfRule>
  </conditionalFormatting>
  <conditionalFormatting sqref="BV20">
    <cfRule type="cellIs" dxfId="3048" priority="1429" operator="equal">
      <formula>"non pertinent / nicht relevant"</formula>
    </cfRule>
    <cfRule type="cellIs" dxfId="3047" priority="1430" operator="equal">
      <formula>"Très nécessaire, facile / unbedingt nötig, einfach"</formula>
    </cfRule>
    <cfRule type="cellIs" dxfId="3046" priority="1431" operator="equal">
      <formula>"Très nécessaire, difficile / unbedingt nötig, schwierig"</formula>
    </cfRule>
    <cfRule type="cellIs" dxfId="3045" priority="1432" operator="equal">
      <formula>"Partiellement nécessaire, facile / teilweise nötig, einfach"</formula>
    </cfRule>
    <cfRule type="cellIs" dxfId="3044" priority="1433" operator="equal">
      <formula>"Partiellement nécessaire, difficile / teilweise nötig, schwierig"</formula>
    </cfRule>
    <cfRule type="cellIs" dxfId="3043" priority="1434" operator="equal">
      <formula>"Non nécessaire / nicht nötig"</formula>
    </cfRule>
  </conditionalFormatting>
  <conditionalFormatting sqref="BV21">
    <cfRule type="cellIs" dxfId="3042" priority="1423" operator="equal">
      <formula>"non pertinent / nicht relevant"</formula>
    </cfRule>
    <cfRule type="cellIs" dxfId="3041" priority="1424" operator="equal">
      <formula>"Très nécessaire, facile / unbedingt nötig, einfach"</formula>
    </cfRule>
    <cfRule type="cellIs" dxfId="3040" priority="1425" operator="equal">
      <formula>"Très nécessaire, difficile / unbedingt nötig, schwierig"</formula>
    </cfRule>
    <cfRule type="cellIs" dxfId="3039" priority="1426" operator="equal">
      <formula>"Partiellement nécessaire, facile / teilweise nötig, einfach"</formula>
    </cfRule>
    <cfRule type="cellIs" dxfId="3038" priority="1427" operator="equal">
      <formula>"Partiellement nécessaire, difficile / teilweise nötig, schwierig"</formula>
    </cfRule>
    <cfRule type="cellIs" dxfId="3037" priority="1428" operator="equal">
      <formula>"Non nécessaire / nicht nötig"</formula>
    </cfRule>
  </conditionalFormatting>
  <conditionalFormatting sqref="BV24">
    <cfRule type="cellIs" dxfId="3036" priority="1417" operator="equal">
      <formula>"non pertinent / nicht relevant"</formula>
    </cfRule>
    <cfRule type="cellIs" dxfId="3035" priority="1418" operator="equal">
      <formula>"Très nécessaire, facile / unbedingt nötig, einfach"</formula>
    </cfRule>
    <cfRule type="cellIs" dxfId="3034" priority="1419" operator="equal">
      <formula>"Très nécessaire, difficile / unbedingt nötig, schwierig"</formula>
    </cfRule>
    <cfRule type="cellIs" dxfId="3033" priority="1420" operator="equal">
      <formula>"Partiellement nécessaire, facile / teilweise nötig, einfach"</formula>
    </cfRule>
    <cfRule type="cellIs" dxfId="3032" priority="1421" operator="equal">
      <formula>"Partiellement nécessaire, difficile / teilweise nötig, schwierig"</formula>
    </cfRule>
    <cfRule type="cellIs" dxfId="3031" priority="1422" operator="equal">
      <formula>"Non nécessaire / nicht nötig"</formula>
    </cfRule>
  </conditionalFormatting>
  <conditionalFormatting sqref="BV25">
    <cfRule type="cellIs" dxfId="3030" priority="1411" operator="equal">
      <formula>"non pertinent / nicht relevant"</formula>
    </cfRule>
    <cfRule type="cellIs" dxfId="3029" priority="1412" operator="equal">
      <formula>"Très nécessaire, facile / unbedingt nötig, einfach"</formula>
    </cfRule>
    <cfRule type="cellIs" dxfId="3028" priority="1413" operator="equal">
      <formula>"Très nécessaire, difficile / unbedingt nötig, schwierig"</formula>
    </cfRule>
    <cfRule type="cellIs" dxfId="3027" priority="1414" operator="equal">
      <formula>"Partiellement nécessaire, facile / teilweise nötig, einfach"</formula>
    </cfRule>
    <cfRule type="cellIs" dxfId="3026" priority="1415" operator="equal">
      <formula>"Partiellement nécessaire, difficile / teilweise nötig, schwierig"</formula>
    </cfRule>
    <cfRule type="cellIs" dxfId="3025" priority="1416" operator="equal">
      <formula>"Non nécessaire / nicht nötig"</formula>
    </cfRule>
  </conditionalFormatting>
  <conditionalFormatting sqref="BV28">
    <cfRule type="cellIs" dxfId="3024" priority="1405" operator="equal">
      <formula>"non pertinent / nicht relevant"</formula>
    </cfRule>
    <cfRule type="cellIs" dxfId="3023" priority="1406" operator="equal">
      <formula>"Très nécessaire, facile / unbedingt nötig, einfach"</formula>
    </cfRule>
    <cfRule type="cellIs" dxfId="3022" priority="1407" operator="equal">
      <formula>"Très nécessaire, difficile / unbedingt nötig, schwierig"</formula>
    </cfRule>
    <cfRule type="cellIs" dxfId="3021" priority="1408" operator="equal">
      <formula>"Partiellement nécessaire, facile / teilweise nötig, einfach"</formula>
    </cfRule>
    <cfRule type="cellIs" dxfId="3020" priority="1409" operator="equal">
      <formula>"Partiellement nécessaire, difficile / teilweise nötig, schwierig"</formula>
    </cfRule>
    <cfRule type="cellIs" dxfId="3019" priority="1410" operator="equal">
      <formula>"Non nécessaire / nicht nötig"</formula>
    </cfRule>
  </conditionalFormatting>
  <conditionalFormatting sqref="BV30">
    <cfRule type="cellIs" dxfId="3018" priority="1399" operator="equal">
      <formula>"non pertinent / nicht relevant"</formula>
    </cfRule>
    <cfRule type="cellIs" dxfId="3017" priority="1400" operator="equal">
      <formula>"Très nécessaire, facile / unbedingt nötig, einfach"</formula>
    </cfRule>
    <cfRule type="cellIs" dxfId="3016" priority="1401" operator="equal">
      <formula>"Très nécessaire, difficile / unbedingt nötig, schwierig"</formula>
    </cfRule>
    <cfRule type="cellIs" dxfId="3015" priority="1402" operator="equal">
      <formula>"Partiellement nécessaire, facile / teilweise nötig, einfach"</formula>
    </cfRule>
    <cfRule type="cellIs" dxfId="3014" priority="1403" operator="equal">
      <formula>"Partiellement nécessaire, difficile / teilweise nötig, schwierig"</formula>
    </cfRule>
    <cfRule type="cellIs" dxfId="3013" priority="1404" operator="equal">
      <formula>"Non nécessaire / nicht nötig"</formula>
    </cfRule>
  </conditionalFormatting>
  <conditionalFormatting sqref="BV37">
    <cfRule type="cellIs" dxfId="3012" priority="1393" operator="equal">
      <formula>"non pertinent / nicht relevant"</formula>
    </cfRule>
    <cfRule type="cellIs" dxfId="3011" priority="1394" operator="equal">
      <formula>"Très nécessaire, facile / unbedingt nötig, einfach"</formula>
    </cfRule>
    <cfRule type="cellIs" dxfId="3010" priority="1395" operator="equal">
      <formula>"Très nécessaire, difficile / unbedingt nötig, schwierig"</formula>
    </cfRule>
    <cfRule type="cellIs" dxfId="3009" priority="1396" operator="equal">
      <formula>"Partiellement nécessaire, facile / teilweise nötig, einfach"</formula>
    </cfRule>
    <cfRule type="cellIs" dxfId="3008" priority="1397" operator="equal">
      <formula>"Partiellement nécessaire, difficile / teilweise nötig, schwierig"</formula>
    </cfRule>
    <cfRule type="cellIs" dxfId="3007" priority="1398" operator="equal">
      <formula>"Non nécessaire / nicht nötig"</formula>
    </cfRule>
  </conditionalFormatting>
  <conditionalFormatting sqref="BV39">
    <cfRule type="cellIs" dxfId="3006" priority="1387" operator="equal">
      <formula>"non pertinent / nicht relevant"</formula>
    </cfRule>
    <cfRule type="cellIs" dxfId="3005" priority="1388" operator="equal">
      <formula>"Très nécessaire, facile / unbedingt nötig, einfach"</formula>
    </cfRule>
    <cfRule type="cellIs" dxfId="3004" priority="1389" operator="equal">
      <formula>"Très nécessaire, difficile / unbedingt nötig, schwierig"</formula>
    </cfRule>
    <cfRule type="cellIs" dxfId="3003" priority="1390" operator="equal">
      <formula>"Partiellement nécessaire, facile / teilweise nötig, einfach"</formula>
    </cfRule>
    <cfRule type="cellIs" dxfId="3002" priority="1391" operator="equal">
      <formula>"Partiellement nécessaire, difficile / teilweise nötig, schwierig"</formula>
    </cfRule>
    <cfRule type="cellIs" dxfId="3001" priority="1392" operator="equal">
      <formula>"Non nécessaire / nicht nötig"</formula>
    </cfRule>
  </conditionalFormatting>
  <conditionalFormatting sqref="BV40">
    <cfRule type="cellIs" dxfId="3000" priority="1381" operator="equal">
      <formula>"non pertinent / nicht relevant"</formula>
    </cfRule>
    <cfRule type="cellIs" dxfId="2999" priority="1382" operator="equal">
      <formula>"Très nécessaire, facile / unbedingt nötig, einfach"</formula>
    </cfRule>
    <cfRule type="cellIs" dxfId="2998" priority="1383" operator="equal">
      <formula>"Très nécessaire, difficile / unbedingt nötig, schwierig"</formula>
    </cfRule>
    <cfRule type="cellIs" dxfId="2997" priority="1384" operator="equal">
      <formula>"Partiellement nécessaire, facile / teilweise nötig, einfach"</formula>
    </cfRule>
    <cfRule type="cellIs" dxfId="2996" priority="1385" operator="equal">
      <formula>"Partiellement nécessaire, difficile / teilweise nötig, schwierig"</formula>
    </cfRule>
    <cfRule type="cellIs" dxfId="2995" priority="1386" operator="equal">
      <formula>"Non nécessaire / nicht nötig"</formula>
    </cfRule>
  </conditionalFormatting>
  <conditionalFormatting sqref="BV42">
    <cfRule type="cellIs" dxfId="2994" priority="1375" operator="equal">
      <formula>"non pertinent / nicht relevant"</formula>
    </cfRule>
    <cfRule type="cellIs" dxfId="2993" priority="1376" operator="equal">
      <formula>"Très nécessaire, facile / unbedingt nötig, einfach"</formula>
    </cfRule>
    <cfRule type="cellIs" dxfId="2992" priority="1377" operator="equal">
      <formula>"Très nécessaire, difficile / unbedingt nötig, schwierig"</formula>
    </cfRule>
    <cfRule type="cellIs" dxfId="2991" priority="1378" operator="equal">
      <formula>"Partiellement nécessaire, facile / teilweise nötig, einfach"</formula>
    </cfRule>
    <cfRule type="cellIs" dxfId="2990" priority="1379" operator="equal">
      <formula>"Partiellement nécessaire, difficile / teilweise nötig, schwierig"</formula>
    </cfRule>
    <cfRule type="cellIs" dxfId="2989" priority="1380" operator="equal">
      <formula>"Non nécessaire / nicht nötig"</formula>
    </cfRule>
  </conditionalFormatting>
  <conditionalFormatting sqref="BV43">
    <cfRule type="cellIs" dxfId="2988" priority="1369" operator="equal">
      <formula>"non pertinent / nicht relevant"</formula>
    </cfRule>
    <cfRule type="cellIs" dxfId="2987" priority="1370" operator="equal">
      <formula>"Très nécessaire, facile / unbedingt nötig, einfach"</formula>
    </cfRule>
    <cfRule type="cellIs" dxfId="2986" priority="1371" operator="equal">
      <formula>"Très nécessaire, difficile / unbedingt nötig, schwierig"</formula>
    </cfRule>
    <cfRule type="cellIs" dxfId="2985" priority="1372" operator="equal">
      <formula>"Partiellement nécessaire, facile / teilweise nötig, einfach"</formula>
    </cfRule>
    <cfRule type="cellIs" dxfId="2984" priority="1373" operator="equal">
      <formula>"Partiellement nécessaire, difficile / teilweise nötig, schwierig"</formula>
    </cfRule>
    <cfRule type="cellIs" dxfId="2983" priority="1374" operator="equal">
      <formula>"Non nécessaire / nicht nötig"</formula>
    </cfRule>
  </conditionalFormatting>
  <conditionalFormatting sqref="BV47">
    <cfRule type="cellIs" dxfId="2982" priority="1363" operator="equal">
      <formula>"non pertinent / nicht relevant"</formula>
    </cfRule>
    <cfRule type="cellIs" dxfId="2981" priority="1364" operator="equal">
      <formula>"Très nécessaire, facile / unbedingt nötig, einfach"</formula>
    </cfRule>
    <cfRule type="cellIs" dxfId="2980" priority="1365" operator="equal">
      <formula>"Très nécessaire, difficile / unbedingt nötig, schwierig"</formula>
    </cfRule>
    <cfRule type="cellIs" dxfId="2979" priority="1366" operator="equal">
      <formula>"Partiellement nécessaire, facile / teilweise nötig, einfach"</formula>
    </cfRule>
    <cfRule type="cellIs" dxfId="2978" priority="1367" operator="equal">
      <formula>"Partiellement nécessaire, difficile / teilweise nötig, schwierig"</formula>
    </cfRule>
    <cfRule type="cellIs" dxfId="2977" priority="1368" operator="equal">
      <formula>"Non nécessaire / nicht nötig"</formula>
    </cfRule>
  </conditionalFormatting>
  <conditionalFormatting sqref="BV56">
    <cfRule type="cellIs" dxfId="2976" priority="1357" stopIfTrue="1" operator="equal">
      <formula>"non pertinent / nicht relevant"</formula>
    </cfRule>
    <cfRule type="cellIs" dxfId="2975" priority="1358" stopIfTrue="1" operator="equal">
      <formula>"Très nécessaire, difficile / unbedingt nötig, schwierig"</formula>
    </cfRule>
    <cfRule type="cellIs" dxfId="2974" priority="1359" stopIfTrue="1" operator="equal">
      <formula>"Partiellement nécessaire, facile / teilweise nötig, einfach"</formula>
    </cfRule>
    <cfRule type="cellIs" dxfId="2973" priority="1360" stopIfTrue="1" operator="equal">
      <formula>"Partiellement nécessaire, difficile / teilweise nötig, schwierig"</formula>
    </cfRule>
    <cfRule type="cellIs" dxfId="2972" priority="1361" stopIfTrue="1" operator="equal">
      <formula>"Très nécessaire, facile / unbedingt nötig, einfach"</formula>
    </cfRule>
    <cfRule type="cellIs" dxfId="2971" priority="1362" stopIfTrue="1" operator="equal">
      <formula>"Non nécessaire / nicht nötig"</formula>
    </cfRule>
  </conditionalFormatting>
  <conditionalFormatting sqref="BV57">
    <cfRule type="cellIs" dxfId="2970" priority="1351" operator="equal">
      <formula>"non pertinent / nicht relevant"</formula>
    </cfRule>
    <cfRule type="cellIs" dxfId="2969" priority="1352" operator="equal">
      <formula>"Très nécessaire, facile / unbedingt nötig, einfach"</formula>
    </cfRule>
    <cfRule type="cellIs" dxfId="2968" priority="1353" operator="equal">
      <formula>"Très nécessaire, difficile / unbedingt nötig, schwierig"</formula>
    </cfRule>
    <cfRule type="cellIs" dxfId="2967" priority="1354" operator="equal">
      <formula>"Partiellement nécessaire, facile / teilweise nötig, einfach"</formula>
    </cfRule>
    <cfRule type="cellIs" dxfId="2966" priority="1355" operator="equal">
      <formula>"Partiellement nécessaire, difficile / teilweise nötig, schwierig"</formula>
    </cfRule>
    <cfRule type="cellIs" dxfId="2965" priority="1356" operator="equal">
      <formula>"Non nécessaire / nicht nötig"</formula>
    </cfRule>
  </conditionalFormatting>
  <conditionalFormatting sqref="BV61">
    <cfRule type="cellIs" dxfId="2964" priority="1345" operator="equal">
      <formula>"non pertinent / nicht relevant"</formula>
    </cfRule>
    <cfRule type="cellIs" dxfId="2963" priority="1346" operator="equal">
      <formula>"Très nécessaire, facile / unbedingt nötig, einfach"</formula>
    </cfRule>
    <cfRule type="cellIs" dxfId="2962" priority="1347" operator="equal">
      <formula>"Très nécessaire, difficile / unbedingt nötig, schwierig"</formula>
    </cfRule>
    <cfRule type="cellIs" dxfId="2961" priority="1348" operator="equal">
      <formula>"Partiellement nécessaire, facile / teilweise nötig, einfach"</formula>
    </cfRule>
    <cfRule type="cellIs" dxfId="2960" priority="1349" operator="equal">
      <formula>"Partiellement nécessaire, difficile / teilweise nötig, schwierig"</formula>
    </cfRule>
    <cfRule type="cellIs" dxfId="2959" priority="1350" operator="equal">
      <formula>"Non nécessaire / nicht nötig"</formula>
    </cfRule>
  </conditionalFormatting>
  <conditionalFormatting sqref="BV81">
    <cfRule type="cellIs" dxfId="2958" priority="1339" operator="equal">
      <formula>"non pertinent / nicht relevant"</formula>
    </cfRule>
    <cfRule type="cellIs" dxfId="2957" priority="1340" operator="equal">
      <formula>"Très nécessaire, facile / unbedingt nötig, einfach"</formula>
    </cfRule>
    <cfRule type="cellIs" dxfId="2956" priority="1341" operator="equal">
      <formula>"Très nécessaire, difficile / unbedingt nötig, schwierig"</formula>
    </cfRule>
    <cfRule type="cellIs" dxfId="2955" priority="1342" operator="equal">
      <formula>"Partiellement nécessaire, facile / teilweise nötig, einfach"</formula>
    </cfRule>
    <cfRule type="cellIs" dxfId="2954" priority="1343" operator="equal">
      <formula>"Partiellement nécessaire, difficile / teilweise nötig, schwierig"</formula>
    </cfRule>
    <cfRule type="cellIs" dxfId="2953" priority="1344" operator="equal">
      <formula>"Non nécessaire / nicht nötig"</formula>
    </cfRule>
  </conditionalFormatting>
  <conditionalFormatting sqref="BV67">
    <cfRule type="cellIs" dxfId="2952" priority="1333" operator="equal">
      <formula>"non pertinent / nicht relevant"</formula>
    </cfRule>
    <cfRule type="cellIs" dxfId="2951" priority="1334" operator="equal">
      <formula>"Très nécessaire, facile / unbedingt nötig, einfach"</formula>
    </cfRule>
    <cfRule type="cellIs" dxfId="2950" priority="1335" operator="equal">
      <formula>"Très nécessaire, difficile / unbedingt nötig, schwierig"</formula>
    </cfRule>
    <cfRule type="cellIs" dxfId="2949" priority="1336" operator="equal">
      <formula>"Partiellement nécessaire, facile / teilweise nötig, einfach"</formula>
    </cfRule>
    <cfRule type="cellIs" dxfId="2948" priority="1337" operator="equal">
      <formula>"Partiellement nécessaire, difficile / teilweise nötig, schwierig"</formula>
    </cfRule>
    <cfRule type="cellIs" dxfId="2947" priority="1338" operator="equal">
      <formula>"Non nécessaire / nicht nötig"</formula>
    </cfRule>
  </conditionalFormatting>
  <conditionalFormatting sqref="BV69">
    <cfRule type="cellIs" dxfId="2946" priority="1327" operator="equal">
      <formula>"non pertinent / nicht relevant"</formula>
    </cfRule>
    <cfRule type="cellIs" dxfId="2945" priority="1328" operator="equal">
      <formula>"Très nécessaire, facile / unbedingt nötig, einfach"</formula>
    </cfRule>
    <cfRule type="cellIs" dxfId="2944" priority="1329" operator="equal">
      <formula>"Très nécessaire, difficile / unbedingt nötig, schwierig"</formula>
    </cfRule>
    <cfRule type="cellIs" dxfId="2943" priority="1330" operator="equal">
      <formula>"Partiellement nécessaire, facile / teilweise nötig, einfach"</formula>
    </cfRule>
    <cfRule type="cellIs" dxfId="2942" priority="1331" operator="equal">
      <formula>"Partiellement nécessaire, difficile / teilweise nötig, schwierig"</formula>
    </cfRule>
    <cfRule type="cellIs" dxfId="2941" priority="1332" operator="equal">
      <formula>"Non nécessaire / nicht nötig"</formula>
    </cfRule>
  </conditionalFormatting>
  <conditionalFormatting sqref="BV70">
    <cfRule type="cellIs" dxfId="2940" priority="1321" stopIfTrue="1" operator="equal">
      <formula>"non pertinent / nicht relevant"</formula>
    </cfRule>
    <cfRule type="cellIs" dxfId="2939" priority="1322" stopIfTrue="1" operator="equal">
      <formula>"Très nécessaire, difficile / unbedingt nötig, schwierig"</formula>
    </cfRule>
    <cfRule type="cellIs" dxfId="2938" priority="1323" stopIfTrue="1" operator="equal">
      <formula>"Partiellement nécessaire, facile / teilweise nötig, einfach"</formula>
    </cfRule>
    <cfRule type="cellIs" dxfId="2937" priority="1324" stopIfTrue="1" operator="equal">
      <formula>"Partiellement nécessaire, difficile / teilweise nötig, schwierig"</formula>
    </cfRule>
    <cfRule type="cellIs" dxfId="2936" priority="1325" stopIfTrue="1" operator="equal">
      <formula>"Très nécessaire, facile / unbedingt nötig, einfach"</formula>
    </cfRule>
    <cfRule type="cellIs" dxfId="2935" priority="1326" stopIfTrue="1" operator="equal">
      <formula>"Non nécessaire / nicht nötig"</formula>
    </cfRule>
  </conditionalFormatting>
  <conditionalFormatting sqref="BV72">
    <cfRule type="cellIs" dxfId="2934" priority="1315" operator="equal">
      <formula>"non pertinent / nicht relevant"</formula>
    </cfRule>
    <cfRule type="cellIs" dxfId="2933" priority="1316" operator="equal">
      <formula>"Très nécessaire, facile / unbedingt nötig, einfach"</formula>
    </cfRule>
    <cfRule type="cellIs" dxfId="2932" priority="1317" operator="equal">
      <formula>"Très nécessaire, difficile / unbedingt nötig, schwierig"</formula>
    </cfRule>
    <cfRule type="cellIs" dxfId="2931" priority="1318" operator="equal">
      <formula>"Partiellement nécessaire, facile / teilweise nötig, einfach"</formula>
    </cfRule>
    <cfRule type="cellIs" dxfId="2930" priority="1319" operator="equal">
      <formula>"Partiellement nécessaire, difficile / teilweise nötig, schwierig"</formula>
    </cfRule>
    <cfRule type="cellIs" dxfId="2929" priority="1320" operator="equal">
      <formula>"Non nécessaire / nicht nötig"</formula>
    </cfRule>
  </conditionalFormatting>
  <conditionalFormatting sqref="BV73">
    <cfRule type="cellIs" dxfId="2928" priority="1309" operator="equal">
      <formula>"non pertinent / nicht relevant"</formula>
    </cfRule>
    <cfRule type="cellIs" dxfId="2927" priority="1310" operator="equal">
      <formula>"Très nécessaire, facile / unbedingt nötig, einfach"</formula>
    </cfRule>
    <cfRule type="cellIs" dxfId="2926" priority="1311" operator="equal">
      <formula>"Très nécessaire, difficile / unbedingt nötig, schwierig"</formula>
    </cfRule>
    <cfRule type="cellIs" dxfId="2925" priority="1312" operator="equal">
      <formula>"Partiellement nécessaire, facile / teilweise nötig, einfach"</formula>
    </cfRule>
    <cfRule type="cellIs" dxfId="2924" priority="1313" operator="equal">
      <formula>"Partiellement nécessaire, difficile / teilweise nötig, schwierig"</formula>
    </cfRule>
    <cfRule type="cellIs" dxfId="2923" priority="1314" operator="equal">
      <formula>"Non nécessaire / nicht nötig"</formula>
    </cfRule>
  </conditionalFormatting>
  <conditionalFormatting sqref="BV75">
    <cfRule type="cellIs" dxfId="2922" priority="1303" stopIfTrue="1" operator="equal">
      <formula>"non pertinent / nicht relevant"</formula>
    </cfRule>
    <cfRule type="cellIs" dxfId="2921" priority="1304" stopIfTrue="1" operator="equal">
      <formula>"Très nécessaire, difficile / unbedingt nötig, schwierig"</formula>
    </cfRule>
    <cfRule type="cellIs" dxfId="2920" priority="1305" stopIfTrue="1" operator="equal">
      <formula>"Partiellement nécessaire, facile / teilweise nötig, einfach"</formula>
    </cfRule>
    <cfRule type="cellIs" dxfId="2919" priority="1306" stopIfTrue="1" operator="equal">
      <formula>"Partiellement nécessaire, difficile / teilweise nötig, schwierig"</formula>
    </cfRule>
    <cfRule type="cellIs" dxfId="2918" priority="1307" stopIfTrue="1" operator="equal">
      <formula>"Très nécessaire, facile / unbedingt nötig, einfach"</formula>
    </cfRule>
    <cfRule type="cellIs" dxfId="2917" priority="1308" stopIfTrue="1" operator="equal">
      <formula>"Non nécessaire / nicht nötig"</formula>
    </cfRule>
  </conditionalFormatting>
  <conditionalFormatting sqref="BV86:BV105 BV107:BV130 BV132:BV135 BV137:BV142">
    <cfRule type="cellIs" dxfId="2916" priority="1297" operator="equal">
      <formula>"non pertinent / nicht relevant"</formula>
    </cfRule>
    <cfRule type="cellIs" dxfId="2915" priority="1298" operator="equal">
      <formula>"Très nécessaire, facile / unbedingt nötig, einfach"</formula>
    </cfRule>
    <cfRule type="cellIs" dxfId="2914" priority="1299" operator="equal">
      <formula>"Très nécessaire, difficile / unbedingt nötig, schwierig"</formula>
    </cfRule>
    <cfRule type="cellIs" dxfId="2913" priority="1300" operator="equal">
      <formula>"Partiellement nécessaire, facile / teilweise nötig, einfach"</formula>
    </cfRule>
    <cfRule type="cellIs" dxfId="2912" priority="1301" operator="equal">
      <formula>"Partiellement nécessaire, difficile / teilweise nötig, schwierig"</formula>
    </cfRule>
    <cfRule type="cellIs" dxfId="2911" priority="1302" operator="equal">
      <formula>"Non nécessaire / nicht nötig"</formula>
    </cfRule>
  </conditionalFormatting>
  <conditionalFormatting sqref="BV106">
    <cfRule type="cellIs" dxfId="2910" priority="1291" operator="equal">
      <formula>"non pertinent / nicht relevant"</formula>
    </cfRule>
    <cfRule type="cellIs" dxfId="2909" priority="1292" operator="equal">
      <formula>"Très nécessaire, facile / unbedingt nötig, einfach"</formula>
    </cfRule>
    <cfRule type="cellIs" dxfId="2908" priority="1293" operator="equal">
      <formula>"Très nécessaire, difficile / unbedingt nötig, schwierig"</formula>
    </cfRule>
    <cfRule type="cellIs" dxfId="2907" priority="1294" operator="equal">
      <formula>"Partiellement nécessaire, facile / teilweise nötig, einfach"</formula>
    </cfRule>
    <cfRule type="cellIs" dxfId="2906" priority="1295" operator="equal">
      <formula>"Partiellement nécessaire, difficile / teilweise nötig, schwierig"</formula>
    </cfRule>
    <cfRule type="cellIs" dxfId="2905" priority="1296" operator="equal">
      <formula>"Non nécessaire / nicht nötig"</formula>
    </cfRule>
  </conditionalFormatting>
  <conditionalFormatting sqref="BV136">
    <cfRule type="cellIs" dxfId="2904" priority="1285" operator="equal">
      <formula>"non pertinent / nicht relevant"</formula>
    </cfRule>
    <cfRule type="cellIs" dxfId="2903" priority="1286" operator="equal">
      <formula>"Très nécessaire, facile / unbedingt nötig, einfach"</formula>
    </cfRule>
    <cfRule type="cellIs" dxfId="2902" priority="1287" operator="equal">
      <formula>"Très nécessaire, difficile / unbedingt nötig, schwierig"</formula>
    </cfRule>
    <cfRule type="cellIs" dxfId="2901" priority="1288" operator="equal">
      <formula>"Partiellement nécessaire, facile / teilweise nötig, einfach"</formula>
    </cfRule>
    <cfRule type="cellIs" dxfId="2900" priority="1289" operator="equal">
      <formula>"Partiellement nécessaire, difficile / teilweise nötig, schwierig"</formula>
    </cfRule>
    <cfRule type="cellIs" dxfId="2899" priority="1290" operator="equal">
      <formula>"Non nécessaire / nicht nötig"</formula>
    </cfRule>
  </conditionalFormatting>
  <conditionalFormatting sqref="BV131">
    <cfRule type="cellIs" dxfId="2898" priority="1279" operator="equal">
      <formula>"non pertinent / nicht relevant"</formula>
    </cfRule>
    <cfRule type="cellIs" dxfId="2897" priority="1280" operator="equal">
      <formula>"Très nécessaire, facile / unbedingt nötig, einfach"</formula>
    </cfRule>
    <cfRule type="cellIs" dxfId="2896" priority="1281" operator="equal">
      <formula>"Très nécessaire, difficile / unbedingt nötig, schwierig"</formula>
    </cfRule>
    <cfRule type="cellIs" dxfId="2895" priority="1282" operator="equal">
      <formula>"Partiellement nécessaire, facile / teilweise nötig, einfach"</formula>
    </cfRule>
    <cfRule type="cellIs" dxfId="2894" priority="1283" operator="equal">
      <formula>"Partiellement nécessaire, difficile / teilweise nötig, schwierig"</formula>
    </cfRule>
    <cfRule type="cellIs" dxfId="2893" priority="1284" operator="equal">
      <formula>"Non nécessaire / nicht nötig"</formula>
    </cfRule>
  </conditionalFormatting>
  <conditionalFormatting sqref="BV143">
    <cfRule type="cellIs" dxfId="2892" priority="1273" operator="equal">
      <formula>"non pertinent / nicht relevant"</formula>
    </cfRule>
    <cfRule type="cellIs" dxfId="2891" priority="1274" operator="equal">
      <formula>"Très nécessaire, facile / unbedingt nötig, einfach"</formula>
    </cfRule>
    <cfRule type="cellIs" dxfId="2890" priority="1275" operator="equal">
      <formula>"Très nécessaire, difficile / unbedingt nötig, schwierig"</formula>
    </cfRule>
    <cfRule type="cellIs" dxfId="2889" priority="1276" operator="equal">
      <formula>"Partiellement nécessaire, facile / teilweise nötig, einfach"</formula>
    </cfRule>
    <cfRule type="cellIs" dxfId="2888" priority="1277" operator="equal">
      <formula>"Partiellement nécessaire, difficile / teilweise nötig, schwierig"</formula>
    </cfRule>
    <cfRule type="cellIs" dxfId="2887" priority="1278" operator="equal">
      <formula>"Non nécessaire / nicht nötig"</formula>
    </cfRule>
  </conditionalFormatting>
  <conditionalFormatting sqref="BV144">
    <cfRule type="cellIs" dxfId="2886" priority="1267" stopIfTrue="1" operator="equal">
      <formula>"non pertinent / nicht relevant"</formula>
    </cfRule>
    <cfRule type="cellIs" dxfId="2885" priority="1268" stopIfTrue="1" operator="equal">
      <formula>"Très nécessaire, difficile / unbedingt nötig, schwierig"</formula>
    </cfRule>
    <cfRule type="cellIs" dxfId="2884" priority="1269" stopIfTrue="1" operator="equal">
      <formula>"Partiellement nécessaire, facile / teilweise nötig, einfach"</formula>
    </cfRule>
    <cfRule type="cellIs" dxfId="2883" priority="1270" stopIfTrue="1" operator="equal">
      <formula>"Partiellement nécessaire, difficile / teilweise nötig, schwierig"</formula>
    </cfRule>
    <cfRule type="cellIs" dxfId="2882" priority="1271" stopIfTrue="1" operator="equal">
      <formula>"Très nécessaire, facile / unbedingt nötig, einfach"</formula>
    </cfRule>
    <cfRule type="cellIs" dxfId="2881" priority="1272" stopIfTrue="1" operator="equal">
      <formula>"Non nécessaire / nicht nötig"</formula>
    </cfRule>
  </conditionalFormatting>
  <conditionalFormatting sqref="BV145">
    <cfRule type="cellIs" dxfId="2880" priority="1261" stopIfTrue="1" operator="equal">
      <formula>"non pertinent / nicht relevant"</formula>
    </cfRule>
    <cfRule type="cellIs" dxfId="2879" priority="1262" stopIfTrue="1" operator="equal">
      <formula>"Très nécessaire, difficile / unbedingt nötig, schwierig"</formula>
    </cfRule>
    <cfRule type="cellIs" dxfId="2878" priority="1263" stopIfTrue="1" operator="equal">
      <formula>"Partiellement nécessaire, facile / teilweise nötig, einfach"</formula>
    </cfRule>
    <cfRule type="cellIs" dxfId="2877" priority="1264" stopIfTrue="1" operator="equal">
      <formula>"Partiellement nécessaire, difficile / teilweise nötig, schwierig"</formula>
    </cfRule>
    <cfRule type="cellIs" dxfId="2876" priority="1265" stopIfTrue="1" operator="equal">
      <formula>"Très nécessaire, facile / unbedingt nötig, einfach"</formula>
    </cfRule>
    <cfRule type="cellIs" dxfId="2875" priority="1266" stopIfTrue="1" operator="equal">
      <formula>"Non nécessaire / nicht nötig"</formula>
    </cfRule>
  </conditionalFormatting>
  <conditionalFormatting sqref="BV152">
    <cfRule type="cellIs" dxfId="2874" priority="1255" operator="equal">
      <formula>"non pertinent / nicht relevant"</formula>
    </cfRule>
    <cfRule type="cellIs" dxfId="2873" priority="1256" operator="equal">
      <formula>"Très nécessaire, facile / unbedingt nötig, einfach"</formula>
    </cfRule>
    <cfRule type="cellIs" dxfId="2872" priority="1257" operator="equal">
      <formula>"Très nécessaire, difficile / unbedingt nötig, schwierig"</formula>
    </cfRule>
    <cfRule type="cellIs" dxfId="2871" priority="1258" operator="equal">
      <formula>"Partiellement nécessaire, facile / teilweise nötig, einfach"</formula>
    </cfRule>
    <cfRule type="cellIs" dxfId="2870" priority="1259" operator="equal">
      <formula>"Partiellement nécessaire, difficile / teilweise nötig, schwierig"</formula>
    </cfRule>
    <cfRule type="cellIs" dxfId="2869" priority="1260" operator="equal">
      <formula>"Non nécessaire / nicht nötig"</formula>
    </cfRule>
  </conditionalFormatting>
  <conditionalFormatting sqref="BV169">
    <cfRule type="cellIs" dxfId="2868" priority="1249" operator="equal">
      <formula>"non pertinent / nicht relevant"</formula>
    </cfRule>
    <cfRule type="cellIs" dxfId="2867" priority="1250" operator="equal">
      <formula>"Très nécessaire, facile / unbedingt nötig, einfach"</formula>
    </cfRule>
    <cfRule type="cellIs" dxfId="2866" priority="1251" operator="equal">
      <formula>"Très nécessaire, difficile / unbedingt nötig, schwierig"</formula>
    </cfRule>
    <cfRule type="cellIs" dxfId="2865" priority="1252" operator="equal">
      <formula>"Partiellement nécessaire, facile / teilweise nötig, einfach"</formula>
    </cfRule>
    <cfRule type="cellIs" dxfId="2864" priority="1253" operator="equal">
      <formula>"Partiellement nécessaire, difficile / teilweise nötig, schwierig"</formula>
    </cfRule>
    <cfRule type="cellIs" dxfId="2863" priority="1254" operator="equal">
      <formula>"Non nécessaire / nicht nötig"</formula>
    </cfRule>
  </conditionalFormatting>
  <conditionalFormatting sqref="BV180">
    <cfRule type="cellIs" dxfId="2862" priority="1243" operator="equal">
      <formula>"non pertinent / nicht relevant"</formula>
    </cfRule>
    <cfRule type="cellIs" dxfId="2861" priority="1244" operator="equal">
      <formula>"Très nécessaire, facile / unbedingt nötig, einfach"</formula>
    </cfRule>
    <cfRule type="cellIs" dxfId="2860" priority="1245" operator="equal">
      <formula>"Très nécessaire, difficile / unbedingt nötig, schwierig"</formula>
    </cfRule>
    <cfRule type="cellIs" dxfId="2859" priority="1246" operator="equal">
      <formula>"Partiellement nécessaire, facile / teilweise nötig, einfach"</formula>
    </cfRule>
    <cfRule type="cellIs" dxfId="2858" priority="1247" operator="equal">
      <formula>"Partiellement nécessaire, difficile / teilweise nötig, schwierig"</formula>
    </cfRule>
    <cfRule type="cellIs" dxfId="2857" priority="1248" operator="equal">
      <formula>"Non nécessaire / nicht nötig"</formula>
    </cfRule>
  </conditionalFormatting>
  <conditionalFormatting sqref="BV224:BV230 BV244:BV248 BV232:BV235 BV237:BV242">
    <cfRule type="cellIs" dxfId="2856" priority="1237" operator="equal">
      <formula>"non pertinent / nicht relevant"</formula>
    </cfRule>
    <cfRule type="cellIs" dxfId="2855" priority="1238" operator="equal">
      <formula>"Très nécessaire, facile / unbedingt nötig, einfach"</formula>
    </cfRule>
    <cfRule type="cellIs" dxfId="2854" priority="1239" operator="equal">
      <formula>"Très nécessaire, difficile / unbedingt nötig, schwierig"</formula>
    </cfRule>
    <cfRule type="cellIs" dxfId="2853" priority="1240" operator="equal">
      <formula>"Partiellement nécessaire, facile / teilweise nötig, einfach"</formula>
    </cfRule>
    <cfRule type="cellIs" dxfId="2852" priority="1241" operator="equal">
      <formula>"Partiellement nécessaire, difficile / teilweise nötig, schwierig"</formula>
    </cfRule>
    <cfRule type="cellIs" dxfId="2851" priority="1242" operator="equal">
      <formula>"Non nécessaire / nicht nötig"</formula>
    </cfRule>
  </conditionalFormatting>
  <conditionalFormatting sqref="BV243">
    <cfRule type="cellIs" dxfId="2850" priority="1231" stopIfTrue="1" operator="equal">
      <formula>"non pertinent / nicht relevant"</formula>
    </cfRule>
    <cfRule type="cellIs" dxfId="2849" priority="1232" stopIfTrue="1" operator="equal">
      <formula>"Très nécessaire, difficile / unbedingt nötig, schwierig"</formula>
    </cfRule>
    <cfRule type="cellIs" dxfId="2848" priority="1233" stopIfTrue="1" operator="equal">
      <formula>"Partiellement nécessaire, facile / teilweise nötig, einfach"</formula>
    </cfRule>
    <cfRule type="cellIs" dxfId="2847" priority="1234" stopIfTrue="1" operator="equal">
      <formula>"Partiellement nécessaire, difficile / teilweise nötig, schwierig"</formula>
    </cfRule>
    <cfRule type="cellIs" dxfId="2846" priority="1235" stopIfTrue="1" operator="equal">
      <formula>"Très nécessaire, facile / unbedingt nötig, einfach"</formula>
    </cfRule>
    <cfRule type="cellIs" dxfId="2845" priority="1236" stopIfTrue="1" operator="equal">
      <formula>"Non nécessaire / nicht nötig"</formula>
    </cfRule>
  </conditionalFormatting>
  <conditionalFormatting sqref="BV236">
    <cfRule type="cellIs" dxfId="2844" priority="1225" operator="equal">
      <formula>"non pertinent / nicht relevant"</formula>
    </cfRule>
    <cfRule type="cellIs" dxfId="2843" priority="1226" operator="equal">
      <formula>"Très nécessaire, facile / unbedingt nötig, einfach"</formula>
    </cfRule>
    <cfRule type="cellIs" dxfId="2842" priority="1227" operator="equal">
      <formula>"Très nécessaire, difficile / unbedingt nötig, schwierig"</formula>
    </cfRule>
    <cfRule type="cellIs" dxfId="2841" priority="1228" operator="equal">
      <formula>"Partiellement nécessaire, facile / teilweise nötig, einfach"</formula>
    </cfRule>
    <cfRule type="cellIs" dxfId="2840" priority="1229" operator="equal">
      <formula>"Partiellement nécessaire, difficile / teilweise nötig, schwierig"</formula>
    </cfRule>
    <cfRule type="cellIs" dxfId="2839" priority="1230" operator="equal">
      <formula>"Non nécessaire / nicht nötig"</formula>
    </cfRule>
  </conditionalFormatting>
  <conditionalFormatting sqref="BP270">
    <cfRule type="cellIs" dxfId="2838" priority="1219" operator="equal">
      <formula>"non pertinent / nicht relevant"</formula>
    </cfRule>
    <cfRule type="cellIs" dxfId="2837" priority="1220" operator="equal">
      <formula>"Très nécessaire, facile / unbedingt nötig, einfach"</formula>
    </cfRule>
    <cfRule type="cellIs" dxfId="2836" priority="1221" operator="equal">
      <formula>"Très nécessaire, difficile / unbedingt nötig, schwierig"</formula>
    </cfRule>
    <cfRule type="cellIs" dxfId="2835" priority="1222" operator="equal">
      <formula>"Partiellement nécessaire, facile / teilweise nötig, einfach"</formula>
    </cfRule>
    <cfRule type="cellIs" dxfId="2834" priority="1223" operator="equal">
      <formula>"Partiellement nécessaire, difficile / teilweise nötig, schwierig"</formula>
    </cfRule>
    <cfRule type="cellIs" dxfId="2833" priority="1224" operator="equal">
      <formula>"Non nécessaire / nicht nötig"</formula>
    </cfRule>
  </conditionalFormatting>
  <conditionalFormatting sqref="BV249:BV269 BV271">
    <cfRule type="cellIs" dxfId="2832" priority="1213" operator="equal">
      <formula>"non pertinent / nicht relevant"</formula>
    </cfRule>
    <cfRule type="cellIs" dxfId="2831" priority="1214" operator="equal">
      <formula>"Très nécessaire, facile / unbedingt nötig, einfach"</formula>
    </cfRule>
    <cfRule type="cellIs" dxfId="2830" priority="1215" operator="equal">
      <formula>"Très nécessaire, difficile / unbedingt nötig, schwierig"</formula>
    </cfRule>
    <cfRule type="cellIs" dxfId="2829" priority="1216" operator="equal">
      <formula>"Partiellement nécessaire, facile / teilweise nötig, einfach"</formula>
    </cfRule>
    <cfRule type="cellIs" dxfId="2828" priority="1217" operator="equal">
      <formula>"Partiellement nécessaire, difficile / teilweise nötig, schwierig"</formula>
    </cfRule>
    <cfRule type="cellIs" dxfId="2827" priority="1218" operator="equal">
      <formula>"Non nécessaire / nicht nötig"</formula>
    </cfRule>
  </conditionalFormatting>
  <conditionalFormatting sqref="BV270">
    <cfRule type="cellIs" dxfId="2826" priority="1207" operator="equal">
      <formula>"non pertinent / nicht relevant"</formula>
    </cfRule>
    <cfRule type="cellIs" dxfId="2825" priority="1208" operator="equal">
      <formula>"Très nécessaire, facile / unbedingt nötig, einfach"</formula>
    </cfRule>
    <cfRule type="cellIs" dxfId="2824" priority="1209" operator="equal">
      <formula>"Très nécessaire, difficile / unbedingt nötig, schwierig"</formula>
    </cfRule>
    <cfRule type="cellIs" dxfId="2823" priority="1210" operator="equal">
      <formula>"Partiellement nécessaire, facile / teilweise nötig, einfach"</formula>
    </cfRule>
    <cfRule type="cellIs" dxfId="2822" priority="1211" operator="equal">
      <formula>"Partiellement nécessaire, difficile / teilweise nötig, schwierig"</formula>
    </cfRule>
    <cfRule type="cellIs" dxfId="2821" priority="1212" operator="equal">
      <formula>"Non nécessaire / nicht nötig"</formula>
    </cfRule>
  </conditionalFormatting>
  <conditionalFormatting sqref="BV12">
    <cfRule type="cellIs" dxfId="2820" priority="1201" stopIfTrue="1" operator="equal">
      <formula>"non pertinent / nicht relevant"</formula>
    </cfRule>
    <cfRule type="cellIs" dxfId="2819" priority="1202" stopIfTrue="1" operator="equal">
      <formula>"Très nécessaire, difficile / unbedingt nötig, schwierig"</formula>
    </cfRule>
    <cfRule type="cellIs" dxfId="2818" priority="1203" stopIfTrue="1" operator="equal">
      <formula>"Partiellement nécessaire, facile / teilweise nötig, einfach"</formula>
    </cfRule>
    <cfRule type="cellIs" dxfId="2817" priority="1204" stopIfTrue="1" operator="equal">
      <formula>"Partiellement nécessaire, difficile / teilweise nötig, schwierig"</formula>
    </cfRule>
    <cfRule type="cellIs" dxfId="2816" priority="1205" stopIfTrue="1" operator="equal">
      <formula>"Très nécessaire, facile / unbedingt nötig, einfach"</formula>
    </cfRule>
    <cfRule type="cellIs" dxfId="2815" priority="1206" stopIfTrue="1" operator="equal">
      <formula>"Non nécessaire / nicht nötig"</formula>
    </cfRule>
  </conditionalFormatting>
  <conditionalFormatting sqref="BV11">
    <cfRule type="cellIs" dxfId="2814" priority="1195" operator="equal">
      <formula>"non pertinent / nicht relevant"</formula>
    </cfRule>
    <cfRule type="cellIs" dxfId="2813" priority="1196" operator="equal">
      <formula>"Très nécessaire, facile / unbedingt nötig, einfach"</formula>
    </cfRule>
    <cfRule type="cellIs" dxfId="2812" priority="1197" operator="equal">
      <formula>"Très nécessaire, difficile / unbedingt nötig, schwierig"</formula>
    </cfRule>
    <cfRule type="cellIs" dxfId="2811" priority="1198" operator="equal">
      <formula>"Partiellement nécessaire, facile / teilweise nötig, einfach"</formula>
    </cfRule>
    <cfRule type="cellIs" dxfId="2810" priority="1199" operator="equal">
      <formula>"Partiellement nécessaire, difficile / teilweise nötig, schwierig"</formula>
    </cfRule>
    <cfRule type="cellIs" dxfId="2809" priority="1200" operator="equal">
      <formula>"Non nécessaire / nicht nötig"</formula>
    </cfRule>
  </conditionalFormatting>
  <conditionalFormatting sqref="BV15:BV16">
    <cfRule type="cellIs" dxfId="2808" priority="1189" stopIfTrue="1" operator="equal">
      <formula>"non pertinent / nicht relevant"</formula>
    </cfRule>
    <cfRule type="cellIs" dxfId="2807" priority="1190" stopIfTrue="1" operator="equal">
      <formula>"Très nécessaire, difficile / unbedingt nötig, schwierig"</formula>
    </cfRule>
    <cfRule type="cellIs" dxfId="2806" priority="1191" stopIfTrue="1" operator="equal">
      <formula>"Partiellement nécessaire, facile / teilweise nötig, einfach"</formula>
    </cfRule>
    <cfRule type="cellIs" dxfId="2805" priority="1192" stopIfTrue="1" operator="equal">
      <formula>"Partiellement nécessaire, difficile / teilweise nötig, schwierig"</formula>
    </cfRule>
    <cfRule type="cellIs" dxfId="2804" priority="1193" stopIfTrue="1" operator="equal">
      <formula>"Très nécessaire, facile / unbedingt nötig, einfach"</formula>
    </cfRule>
    <cfRule type="cellIs" dxfId="2803" priority="1194" stopIfTrue="1" operator="equal">
      <formula>"Non nécessaire / nicht nötig"</formula>
    </cfRule>
  </conditionalFormatting>
  <conditionalFormatting sqref="BV29">
    <cfRule type="cellIs" dxfId="2802" priority="1183" operator="equal">
      <formula>"non pertinent / nicht relevant"</formula>
    </cfRule>
    <cfRule type="cellIs" dxfId="2801" priority="1184" operator="equal">
      <formula>"Très nécessaire, facile / unbedingt nötig, einfach"</formula>
    </cfRule>
    <cfRule type="cellIs" dxfId="2800" priority="1185" operator="equal">
      <formula>"Très nécessaire, difficile / unbedingt nötig, schwierig"</formula>
    </cfRule>
    <cfRule type="cellIs" dxfId="2799" priority="1186" operator="equal">
      <formula>"Partiellement nécessaire, facile / teilweise nötig, einfach"</formula>
    </cfRule>
    <cfRule type="cellIs" dxfId="2798" priority="1187" operator="equal">
      <formula>"Partiellement nécessaire, difficile / teilweise nötig, schwierig"</formula>
    </cfRule>
    <cfRule type="cellIs" dxfId="2797" priority="1188" operator="equal">
      <formula>"Non nécessaire / nicht nötig"</formula>
    </cfRule>
  </conditionalFormatting>
  <conditionalFormatting sqref="BV38">
    <cfRule type="cellIs" dxfId="2796" priority="1177" stopIfTrue="1" operator="equal">
      <formula>"non pertinent / nicht relevant"</formula>
    </cfRule>
    <cfRule type="cellIs" dxfId="2795" priority="1178" stopIfTrue="1" operator="equal">
      <formula>"Très nécessaire, difficile / unbedingt nötig, schwierig"</formula>
    </cfRule>
    <cfRule type="cellIs" dxfId="2794" priority="1179" stopIfTrue="1" operator="equal">
      <formula>"Partiellement nécessaire, facile / teilweise nötig, einfach"</formula>
    </cfRule>
    <cfRule type="cellIs" dxfId="2793" priority="1180" stopIfTrue="1" operator="equal">
      <formula>"Partiellement nécessaire, difficile / teilweise nötig, schwierig"</formula>
    </cfRule>
    <cfRule type="cellIs" dxfId="2792" priority="1181" stopIfTrue="1" operator="equal">
      <formula>"Très nécessaire, facile / unbedingt nötig, einfach"</formula>
    </cfRule>
    <cfRule type="cellIs" dxfId="2791" priority="1182" stopIfTrue="1" operator="equal">
      <formula>"Non nécessaire / nicht nötig"</formula>
    </cfRule>
  </conditionalFormatting>
  <conditionalFormatting sqref="BV41">
    <cfRule type="cellIs" dxfId="2790" priority="1171" operator="equal">
      <formula>"non pertinent / nicht relevant"</formula>
    </cfRule>
    <cfRule type="cellIs" dxfId="2789" priority="1172" operator="equal">
      <formula>"Très nécessaire, facile / unbedingt nötig, einfach"</formula>
    </cfRule>
    <cfRule type="cellIs" dxfId="2788" priority="1173" operator="equal">
      <formula>"Très nécessaire, difficile / unbedingt nötig, schwierig"</formula>
    </cfRule>
    <cfRule type="cellIs" dxfId="2787" priority="1174" operator="equal">
      <formula>"Partiellement nécessaire, facile / teilweise nötig, einfach"</formula>
    </cfRule>
    <cfRule type="cellIs" dxfId="2786" priority="1175" operator="equal">
      <formula>"Partiellement nécessaire, difficile / teilweise nötig, schwierig"</formula>
    </cfRule>
    <cfRule type="cellIs" dxfId="2785" priority="1176" operator="equal">
      <formula>"Non nécessaire / nicht nötig"</formula>
    </cfRule>
  </conditionalFormatting>
  <conditionalFormatting sqref="BV68">
    <cfRule type="cellIs" dxfId="2784" priority="1165" operator="equal">
      <formula>"non pertinent / nicht relevant"</formula>
    </cfRule>
    <cfRule type="cellIs" dxfId="2783" priority="1166" operator="equal">
      <formula>"Très nécessaire, facile / unbedingt nötig, einfach"</formula>
    </cfRule>
    <cfRule type="cellIs" dxfId="2782" priority="1167" operator="equal">
      <formula>"Très nécessaire, difficile / unbedingt nötig, schwierig"</formula>
    </cfRule>
    <cfRule type="cellIs" dxfId="2781" priority="1168" operator="equal">
      <formula>"Partiellement nécessaire, facile / teilweise nötig, einfach"</formula>
    </cfRule>
    <cfRule type="cellIs" dxfId="2780" priority="1169" operator="equal">
      <formula>"Partiellement nécessaire, difficile / teilweise nötig, schwierig"</formula>
    </cfRule>
    <cfRule type="cellIs" dxfId="2779" priority="1170" operator="equal">
      <formula>"Non nécessaire / nicht nötig"</formula>
    </cfRule>
  </conditionalFormatting>
  <conditionalFormatting sqref="BV176">
    <cfRule type="cellIs" dxfId="2778" priority="1159" operator="equal">
      <formula>"non pertinent / nicht relevant"</formula>
    </cfRule>
    <cfRule type="cellIs" dxfId="2777" priority="1160" operator="equal">
      <formula>"Très nécessaire, facile / unbedingt nötig, einfach"</formula>
    </cfRule>
    <cfRule type="cellIs" dxfId="2776" priority="1161" operator="equal">
      <formula>"Très nécessaire, difficile / unbedingt nötig, schwierig"</formula>
    </cfRule>
    <cfRule type="cellIs" dxfId="2775" priority="1162" operator="equal">
      <formula>"Partiellement nécessaire, facile / teilweise nötig, einfach"</formula>
    </cfRule>
    <cfRule type="cellIs" dxfId="2774" priority="1163" operator="equal">
      <formula>"Partiellement nécessaire, difficile / teilweise nötig, schwierig"</formula>
    </cfRule>
    <cfRule type="cellIs" dxfId="2773" priority="1164" operator="equal">
      <formula>"Non nécessaire / nicht nötig"</formula>
    </cfRule>
  </conditionalFormatting>
  <conditionalFormatting sqref="BV200">
    <cfRule type="cellIs" dxfId="2772" priority="1153" operator="equal">
      <formula>"non pertinent / nicht relevant"</formula>
    </cfRule>
    <cfRule type="cellIs" dxfId="2771" priority="1154" operator="equal">
      <formula>"Très nécessaire, facile / unbedingt nötig, einfach"</formula>
    </cfRule>
    <cfRule type="cellIs" dxfId="2770" priority="1155" operator="equal">
      <formula>"Très nécessaire, difficile / unbedingt nötig, schwierig"</formula>
    </cfRule>
    <cfRule type="cellIs" dxfId="2769" priority="1156" operator="equal">
      <formula>"Partiellement nécessaire, facile / teilweise nötig, einfach"</formula>
    </cfRule>
    <cfRule type="cellIs" dxfId="2768" priority="1157" operator="equal">
      <formula>"Partiellement nécessaire, difficile / teilweise nötig, schwierig"</formula>
    </cfRule>
    <cfRule type="cellIs" dxfId="2767" priority="1158" operator="equal">
      <formula>"Non nécessaire / nicht nötig"</formula>
    </cfRule>
  </conditionalFormatting>
  <conditionalFormatting sqref="BV207">
    <cfRule type="cellIs" dxfId="2766" priority="1147" operator="equal">
      <formula>"non pertinent / nicht relevant"</formula>
    </cfRule>
    <cfRule type="cellIs" dxfId="2765" priority="1148" operator="equal">
      <formula>"Très nécessaire, facile / unbedingt nötig, einfach"</formula>
    </cfRule>
    <cfRule type="cellIs" dxfId="2764" priority="1149" operator="equal">
      <formula>"Très nécessaire, difficile / unbedingt nötig, schwierig"</formula>
    </cfRule>
    <cfRule type="cellIs" dxfId="2763" priority="1150" operator="equal">
      <formula>"Partiellement nécessaire, facile / teilweise nötig, einfach"</formula>
    </cfRule>
    <cfRule type="cellIs" dxfId="2762" priority="1151" operator="equal">
      <formula>"Partiellement nécessaire, difficile / teilweise nötig, schwierig"</formula>
    </cfRule>
    <cfRule type="cellIs" dxfId="2761" priority="1152" operator="equal">
      <formula>"Non nécessaire / nicht nötig"</formula>
    </cfRule>
  </conditionalFormatting>
  <conditionalFormatting sqref="BP231">
    <cfRule type="cellIs" dxfId="2760" priority="1141" operator="equal">
      <formula>"non pertinent / nicht relevant"</formula>
    </cfRule>
    <cfRule type="cellIs" dxfId="2759" priority="1142" operator="equal">
      <formula>"Très nécessaire, facile / unbedingt nötig, einfach"</formula>
    </cfRule>
    <cfRule type="cellIs" dxfId="2758" priority="1143" operator="equal">
      <formula>"Très nécessaire, difficile / unbedingt nötig, schwierig"</formula>
    </cfRule>
    <cfRule type="cellIs" dxfId="2757" priority="1144" operator="equal">
      <formula>"Partiellement nécessaire, facile / teilweise nötig, einfach"</formula>
    </cfRule>
    <cfRule type="cellIs" dxfId="2756" priority="1145" operator="equal">
      <formula>"Partiellement nécessaire, difficile / teilweise nötig, schwierig"</formula>
    </cfRule>
    <cfRule type="cellIs" dxfId="2755" priority="1146" operator="equal">
      <formula>"Non nécessaire / nicht nötig"</formula>
    </cfRule>
  </conditionalFormatting>
  <conditionalFormatting sqref="BV231">
    <cfRule type="cellIs" dxfId="2754" priority="1135" operator="equal">
      <formula>"non pertinent / nicht relevant"</formula>
    </cfRule>
    <cfRule type="cellIs" dxfId="2753" priority="1136" operator="equal">
      <formula>"Très nécessaire, facile / unbedingt nötig, einfach"</formula>
    </cfRule>
    <cfRule type="cellIs" dxfId="2752" priority="1137" operator="equal">
      <formula>"Très nécessaire, difficile / unbedingt nötig, schwierig"</formula>
    </cfRule>
    <cfRule type="cellIs" dxfId="2751" priority="1138" operator="equal">
      <formula>"Partiellement nécessaire, facile / teilweise nötig, einfach"</formula>
    </cfRule>
    <cfRule type="cellIs" dxfId="2750" priority="1139" operator="equal">
      <formula>"Partiellement nécessaire, difficile / teilweise nötig, schwierig"</formula>
    </cfRule>
    <cfRule type="cellIs" dxfId="2749" priority="1140" operator="equal">
      <formula>"Non nécessaire / nicht nötig"</formula>
    </cfRule>
  </conditionalFormatting>
  <conditionalFormatting sqref="Z4:Z274">
    <cfRule type="cellIs" dxfId="2748" priority="1124" stopIfTrue="1" operator="equal">
      <formula>"Charriage présumé faiblement perturbé / Geschiebe vermutlich leicht beeinträchtigt"</formula>
    </cfRule>
    <cfRule type="cellIs" dxfId="2747" priority="1125" stopIfTrue="1" operator="equal">
      <formula>"La remobilisation des sédiments est perturbée / Mobilisierung von Geschiebe beeinträchtigt"</formula>
    </cfRule>
    <cfRule type="cellIs" dxfId="2746" priority="1126" stopIfTrue="1" operator="equal">
      <formula>"Problème lié à un manque de charriage ou à un manque de remobilisation des sédiments / Problem aufgrund Geschiebemangels bzw. mangelnder Mobilisierung von Geschiebe"</formula>
    </cfRule>
    <cfRule type="cellIs" dxfId="2745" priority="1127" stopIfTrue="1" operator="equal">
      <formula>"Déficit non apparent en charriage ou en remobilisation des sédiments / kein sichtbares Defizit beim Geschiebehaushalt bzw. bei der Mobilisierung von Geschiebe"</formula>
    </cfRule>
    <cfRule type="cellIs" dxfId="2744" priority="1128" stopIfTrue="1" operator="equal">
      <formula>"Charriage présumé perturbé / Geschiebehaushalt vermutlich beeinträchtigt"</formula>
    </cfRule>
    <cfRule type="cellIs" dxfId="2743" priority="1129" stopIfTrue="1" operator="equal">
      <formula>"Charriage présumé naturel / Geschiebehaushalt vermutlich natürlich"</formula>
    </cfRule>
    <cfRule type="cellIs" dxfId="2742" priority="1130" stopIfTrue="1" operator="equal">
      <formula>"non pertinent / nicht relevant"</formula>
    </cfRule>
    <cfRule type="cellIs" dxfId="2741" priority="1131" stopIfTrue="1" operator="equal">
      <formula>"21-50%"</formula>
    </cfRule>
    <cfRule type="cellIs" dxfId="2740" priority="1132" stopIfTrue="1" operator="equal">
      <formula>"51-80%"</formula>
    </cfRule>
  </conditionalFormatting>
  <conditionalFormatting sqref="Z4:Z274">
    <cfRule type="cellIs" dxfId="2739" priority="1133" stopIfTrue="1" operator="equal">
      <formula>"81 -100%"</formula>
    </cfRule>
    <cfRule type="cellIs" dxfId="2738" priority="1134" stopIfTrue="1" operator="equal">
      <formula>"0-20%"</formula>
    </cfRule>
  </conditionalFormatting>
  <conditionalFormatting sqref="AD105">
    <cfRule type="cellIs" dxfId="2737" priority="1113" stopIfTrue="1" operator="equal">
      <formula>"Charriage présumé faiblement perturbé / Geschiebe vermutlich leicht beeinträchtigt"</formula>
    </cfRule>
    <cfRule type="cellIs" dxfId="2736" priority="1114" stopIfTrue="1" operator="equal">
      <formula>"La remobilisation des sédiments est perturbée / Mobilisierung von Geschiebe beeinträchtigt"</formula>
    </cfRule>
    <cfRule type="cellIs" dxfId="2735" priority="1115" stopIfTrue="1" operator="equal">
      <formula>"Problème lié à un manque de charriage ou à un manque de remobilisation des sédiments / Problem aufgrund Geschiebemangels bzw. mangelnder Mobilisierung von Geschiebe"</formula>
    </cfRule>
    <cfRule type="cellIs" dxfId="2734" priority="1116" stopIfTrue="1" operator="equal">
      <formula>"Déficit non apparent en charriage ou en remobilisation des sédiments / kein sichtbares Defizit beim Geschiebehaushalt bzw. bei der Mobilisierung von Geschiebe"</formula>
    </cfRule>
    <cfRule type="cellIs" dxfId="2733" priority="1117" stopIfTrue="1" operator="equal">
      <formula>"Charriage présumé perturbé / Geschiebehaushalt vermutlich beeinträchtigt"</formula>
    </cfRule>
    <cfRule type="cellIs" dxfId="2732" priority="1118" stopIfTrue="1" operator="equal">
      <formula>"Charriage présumé naturel / Geschiebehaushalt vermutlich natürlich"</formula>
    </cfRule>
    <cfRule type="cellIs" dxfId="2731" priority="1119" stopIfTrue="1" operator="equal">
      <formula>"non pertinent / nicht relevant"</formula>
    </cfRule>
    <cfRule type="cellIs" dxfId="2730" priority="1120" stopIfTrue="1" operator="equal">
      <formula>"21-50%"</formula>
    </cfRule>
    <cfRule type="cellIs" dxfId="2729" priority="1121" stopIfTrue="1" operator="equal">
      <formula>"51-80%"</formula>
    </cfRule>
  </conditionalFormatting>
  <conditionalFormatting sqref="AD105">
    <cfRule type="cellIs" dxfId="2728" priority="1122" stopIfTrue="1" operator="equal">
      <formula>"81 -100%"</formula>
    </cfRule>
    <cfRule type="cellIs" dxfId="2727" priority="1123" stopIfTrue="1" operator="equal">
      <formula>"0-20%"</formula>
    </cfRule>
  </conditionalFormatting>
  <conditionalFormatting sqref="AD106">
    <cfRule type="cellIs" dxfId="2726" priority="1102" stopIfTrue="1" operator="equal">
      <formula>"Charriage présumé faiblement perturbé / Geschiebe vermutlich leicht beeinträchtigt"</formula>
    </cfRule>
    <cfRule type="cellIs" dxfId="2725" priority="1103" stopIfTrue="1" operator="equal">
      <formula>"La remobilisation des sédiments est perturbée / Mobilisierung von Geschiebe beeinträchtigt"</formula>
    </cfRule>
    <cfRule type="cellIs" dxfId="2724" priority="1104" stopIfTrue="1" operator="equal">
      <formula>"Problème lié à un manque de charriage ou à un manque de remobilisation des sédiments / Problem aufgrund Geschiebemangels bzw. mangelnder Mobilisierung von Geschiebe"</formula>
    </cfRule>
    <cfRule type="cellIs" dxfId="2723" priority="1105" stopIfTrue="1" operator="equal">
      <formula>"Déficit non apparent en charriage ou en remobilisation des sédiments / kein sichtbares Defizit beim Geschiebehaushalt bzw. bei der Mobilisierung von Geschiebe"</formula>
    </cfRule>
    <cfRule type="cellIs" dxfId="2722" priority="1106" stopIfTrue="1" operator="equal">
      <formula>"Charriage présumé perturbé / Geschiebehaushalt vermutlich beeinträchtigt"</formula>
    </cfRule>
    <cfRule type="cellIs" dxfId="2721" priority="1107" stopIfTrue="1" operator="equal">
      <formula>"Charriage présumé naturel / Geschiebehaushalt vermutlich natürlich"</formula>
    </cfRule>
    <cfRule type="cellIs" dxfId="2720" priority="1108" stopIfTrue="1" operator="equal">
      <formula>"non pertinent / nicht relevant"</formula>
    </cfRule>
    <cfRule type="cellIs" dxfId="2719" priority="1109" stopIfTrue="1" operator="equal">
      <formula>"21-50%"</formula>
    </cfRule>
    <cfRule type="cellIs" dxfId="2718" priority="1110" stopIfTrue="1" operator="equal">
      <formula>"51-80%"</formula>
    </cfRule>
  </conditionalFormatting>
  <conditionalFormatting sqref="AD106">
    <cfRule type="cellIs" dxfId="2717" priority="1111" stopIfTrue="1" operator="equal">
      <formula>"81 -100%"</formula>
    </cfRule>
    <cfRule type="cellIs" dxfId="2716" priority="1112" stopIfTrue="1" operator="equal">
      <formula>"0-20%"</formula>
    </cfRule>
  </conditionalFormatting>
  <conditionalFormatting sqref="AD107">
    <cfRule type="cellIs" dxfId="2715" priority="1091" stopIfTrue="1" operator="equal">
      <formula>"Charriage présumé faiblement perturbé / Geschiebe vermutlich leicht beeinträchtigt"</formula>
    </cfRule>
    <cfRule type="cellIs" dxfId="2714" priority="1092" stopIfTrue="1" operator="equal">
      <formula>"La remobilisation des sédiments est perturbée / Mobilisierung von Geschiebe beeinträchtigt"</formula>
    </cfRule>
    <cfRule type="cellIs" dxfId="2713" priority="1093" stopIfTrue="1" operator="equal">
      <formula>"Problème lié à un manque de charriage ou à un manque de remobilisation des sédiments / Problem aufgrund Geschiebemangels bzw. mangelnder Mobilisierung von Geschiebe"</formula>
    </cfRule>
    <cfRule type="cellIs" dxfId="2712" priority="1094" stopIfTrue="1" operator="equal">
      <formula>"Déficit non apparent en charriage ou en remobilisation des sédiments / kein sichtbares Defizit beim Geschiebehaushalt bzw. bei der Mobilisierung von Geschiebe"</formula>
    </cfRule>
    <cfRule type="cellIs" dxfId="2711" priority="1095" stopIfTrue="1" operator="equal">
      <formula>"Charriage présumé perturbé / Geschiebehaushalt vermutlich beeinträchtigt"</formula>
    </cfRule>
    <cfRule type="cellIs" dxfId="2710" priority="1096" stopIfTrue="1" operator="equal">
      <formula>"Charriage présumé naturel / Geschiebehaushalt vermutlich natürlich"</formula>
    </cfRule>
    <cfRule type="cellIs" dxfId="2709" priority="1097" stopIfTrue="1" operator="equal">
      <formula>"non pertinent / nicht relevant"</formula>
    </cfRule>
    <cfRule type="cellIs" dxfId="2708" priority="1098" stopIfTrue="1" operator="equal">
      <formula>"21-50%"</formula>
    </cfRule>
    <cfRule type="cellIs" dxfId="2707" priority="1099" stopIfTrue="1" operator="equal">
      <formula>"51-80%"</formula>
    </cfRule>
  </conditionalFormatting>
  <conditionalFormatting sqref="AD107">
    <cfRule type="cellIs" dxfId="2706" priority="1100" stopIfTrue="1" operator="equal">
      <formula>"81 -100%"</formula>
    </cfRule>
    <cfRule type="cellIs" dxfId="2705" priority="1101" stopIfTrue="1" operator="equal">
      <formula>"0-20%"</formula>
    </cfRule>
  </conditionalFormatting>
  <conditionalFormatting sqref="AD108">
    <cfRule type="cellIs" dxfId="2704" priority="1080" stopIfTrue="1" operator="equal">
      <formula>"Charriage présumé faiblement perturbé / Geschiebe vermutlich leicht beeinträchtigt"</formula>
    </cfRule>
    <cfRule type="cellIs" dxfId="2703" priority="1081" stopIfTrue="1" operator="equal">
      <formula>"La remobilisation des sédiments est perturbée / Mobilisierung von Geschiebe beeinträchtigt"</formula>
    </cfRule>
    <cfRule type="cellIs" dxfId="2702" priority="1082" stopIfTrue="1" operator="equal">
      <formula>"Problème lié à un manque de charriage ou à un manque de remobilisation des sédiments / Problem aufgrund Geschiebemangels bzw. mangelnder Mobilisierung von Geschiebe"</formula>
    </cfRule>
    <cfRule type="cellIs" dxfId="2701" priority="1083" stopIfTrue="1" operator="equal">
      <formula>"Déficit non apparent en charriage ou en remobilisation des sédiments / kein sichtbares Defizit beim Geschiebehaushalt bzw. bei der Mobilisierung von Geschiebe"</formula>
    </cfRule>
    <cfRule type="cellIs" dxfId="2700" priority="1084" stopIfTrue="1" operator="equal">
      <formula>"Charriage présumé perturbé / Geschiebehaushalt vermutlich beeinträchtigt"</formula>
    </cfRule>
    <cfRule type="cellIs" dxfId="2699" priority="1085" stopIfTrue="1" operator="equal">
      <formula>"Charriage présumé naturel / Geschiebehaushalt vermutlich natürlich"</formula>
    </cfRule>
    <cfRule type="cellIs" dxfId="2698" priority="1086" stopIfTrue="1" operator="equal">
      <formula>"non pertinent / nicht relevant"</formula>
    </cfRule>
    <cfRule type="cellIs" dxfId="2697" priority="1087" stopIfTrue="1" operator="equal">
      <formula>"21-50%"</formula>
    </cfRule>
    <cfRule type="cellIs" dxfId="2696" priority="1088" stopIfTrue="1" operator="equal">
      <formula>"51-80%"</formula>
    </cfRule>
  </conditionalFormatting>
  <conditionalFormatting sqref="AD108">
    <cfRule type="cellIs" dxfId="2695" priority="1089" stopIfTrue="1" operator="equal">
      <formula>"81 -100%"</formula>
    </cfRule>
    <cfRule type="cellIs" dxfId="2694" priority="1090" stopIfTrue="1" operator="equal">
      <formula>"0-20%"</formula>
    </cfRule>
  </conditionalFormatting>
  <conditionalFormatting sqref="AD109">
    <cfRule type="cellIs" dxfId="2693" priority="1069" stopIfTrue="1" operator="equal">
      <formula>"Charriage présumé faiblement perturbé / Geschiebe vermutlich leicht beeinträchtigt"</formula>
    </cfRule>
    <cfRule type="cellIs" dxfId="2692" priority="1070" stopIfTrue="1" operator="equal">
      <formula>"La remobilisation des sédiments est perturbée / Mobilisierung von Geschiebe beeinträchtigt"</formula>
    </cfRule>
    <cfRule type="cellIs" dxfId="2691" priority="1071" stopIfTrue="1" operator="equal">
      <formula>"Problème lié à un manque de charriage ou à un manque de remobilisation des sédiments / Problem aufgrund Geschiebemangels bzw. mangelnder Mobilisierung von Geschiebe"</formula>
    </cfRule>
    <cfRule type="cellIs" dxfId="2690" priority="1072" stopIfTrue="1" operator="equal">
      <formula>"Déficit non apparent en charriage ou en remobilisation des sédiments / kein sichtbares Defizit beim Geschiebehaushalt bzw. bei der Mobilisierung von Geschiebe"</formula>
    </cfRule>
    <cfRule type="cellIs" dxfId="2689" priority="1073" stopIfTrue="1" operator="equal">
      <formula>"Charriage présumé perturbé / Geschiebehaushalt vermutlich beeinträchtigt"</formula>
    </cfRule>
    <cfRule type="cellIs" dxfId="2688" priority="1074" stopIfTrue="1" operator="equal">
      <formula>"Charriage présumé naturel / Geschiebehaushalt vermutlich natürlich"</formula>
    </cfRule>
    <cfRule type="cellIs" dxfId="2687" priority="1075" stopIfTrue="1" operator="equal">
      <formula>"non pertinent / nicht relevant"</formula>
    </cfRule>
    <cfRule type="cellIs" dxfId="2686" priority="1076" stopIfTrue="1" operator="equal">
      <formula>"21-50%"</formula>
    </cfRule>
    <cfRule type="cellIs" dxfId="2685" priority="1077" stopIfTrue="1" operator="equal">
      <formula>"51-80%"</formula>
    </cfRule>
  </conditionalFormatting>
  <conditionalFormatting sqref="AD109">
    <cfRule type="cellIs" dxfId="2684" priority="1078" stopIfTrue="1" operator="equal">
      <formula>"81 -100%"</formula>
    </cfRule>
    <cfRule type="cellIs" dxfId="2683" priority="1079" stopIfTrue="1" operator="equal">
      <formula>"0-20%"</formula>
    </cfRule>
  </conditionalFormatting>
  <conditionalFormatting sqref="AD111">
    <cfRule type="cellIs" dxfId="2682" priority="1058" stopIfTrue="1" operator="equal">
      <formula>"Charriage présumé faiblement perturbé / Geschiebe vermutlich leicht beeinträchtigt"</formula>
    </cfRule>
    <cfRule type="cellIs" dxfId="2681" priority="1059" stopIfTrue="1" operator="equal">
      <formula>"La remobilisation des sédiments est perturbée / Mobilisierung von Geschiebe beeinträchtigt"</formula>
    </cfRule>
    <cfRule type="cellIs" dxfId="2680" priority="1060" stopIfTrue="1" operator="equal">
      <formula>"Problème lié à un manque de charriage ou à un manque de remobilisation des sédiments / Problem aufgrund Geschiebemangels bzw. mangelnder Mobilisierung von Geschiebe"</formula>
    </cfRule>
    <cfRule type="cellIs" dxfId="2679" priority="1061" stopIfTrue="1" operator="equal">
      <formula>"Déficit non apparent en charriage ou en remobilisation des sédiments / kein sichtbares Defizit beim Geschiebehaushalt bzw. bei der Mobilisierung von Geschiebe"</formula>
    </cfRule>
    <cfRule type="cellIs" dxfId="2678" priority="1062" stopIfTrue="1" operator="equal">
      <formula>"Charriage présumé perturbé / Geschiebehaushalt vermutlich beeinträchtigt"</formula>
    </cfRule>
    <cfRule type="cellIs" dxfId="2677" priority="1063" stopIfTrue="1" operator="equal">
      <formula>"Charriage présumé naturel / Geschiebehaushalt vermutlich natürlich"</formula>
    </cfRule>
    <cfRule type="cellIs" dxfId="2676" priority="1064" stopIfTrue="1" operator="equal">
      <formula>"non pertinent / nicht relevant"</formula>
    </cfRule>
    <cfRule type="cellIs" dxfId="2675" priority="1065" stopIfTrue="1" operator="equal">
      <formula>"21-50%"</formula>
    </cfRule>
    <cfRule type="cellIs" dxfId="2674" priority="1066" stopIfTrue="1" operator="equal">
      <formula>"51-80%"</formula>
    </cfRule>
  </conditionalFormatting>
  <conditionalFormatting sqref="AD111">
    <cfRule type="cellIs" dxfId="2673" priority="1067" stopIfTrue="1" operator="equal">
      <formula>"81 -100%"</formula>
    </cfRule>
    <cfRule type="cellIs" dxfId="2672" priority="1068" stopIfTrue="1" operator="equal">
      <formula>"0-20%"</formula>
    </cfRule>
  </conditionalFormatting>
  <conditionalFormatting sqref="AD112">
    <cfRule type="cellIs" dxfId="2671" priority="1047" stopIfTrue="1" operator="equal">
      <formula>"Charriage présumé faiblement perturbé / Geschiebe vermutlich leicht beeinträchtigt"</formula>
    </cfRule>
    <cfRule type="cellIs" dxfId="2670" priority="1048" stopIfTrue="1" operator="equal">
      <formula>"La remobilisation des sédiments est perturbée / Mobilisierung von Geschiebe beeinträchtigt"</formula>
    </cfRule>
    <cfRule type="cellIs" dxfId="2669" priority="1049" stopIfTrue="1" operator="equal">
      <formula>"Problème lié à un manque de charriage ou à un manque de remobilisation des sédiments / Problem aufgrund Geschiebemangels bzw. mangelnder Mobilisierung von Geschiebe"</formula>
    </cfRule>
    <cfRule type="cellIs" dxfId="2668" priority="1050" stopIfTrue="1" operator="equal">
      <formula>"Déficit non apparent en charriage ou en remobilisation des sédiments / kein sichtbares Defizit beim Geschiebehaushalt bzw. bei der Mobilisierung von Geschiebe"</formula>
    </cfRule>
    <cfRule type="cellIs" dxfId="2667" priority="1051" stopIfTrue="1" operator="equal">
      <formula>"Charriage présumé perturbé / Geschiebehaushalt vermutlich beeinträchtigt"</formula>
    </cfRule>
    <cfRule type="cellIs" dxfId="2666" priority="1052" stopIfTrue="1" operator="equal">
      <formula>"Charriage présumé naturel / Geschiebehaushalt vermutlich natürlich"</formula>
    </cfRule>
    <cfRule type="cellIs" dxfId="2665" priority="1053" stopIfTrue="1" operator="equal">
      <formula>"non pertinent / nicht relevant"</formula>
    </cfRule>
    <cfRule type="cellIs" dxfId="2664" priority="1054" stopIfTrue="1" operator="equal">
      <formula>"21-50%"</formula>
    </cfRule>
    <cfRule type="cellIs" dxfId="2663" priority="1055" stopIfTrue="1" operator="equal">
      <formula>"51-80%"</formula>
    </cfRule>
  </conditionalFormatting>
  <conditionalFormatting sqref="AD112">
    <cfRule type="cellIs" dxfId="2662" priority="1056" stopIfTrue="1" operator="equal">
      <formula>"81 -100%"</formula>
    </cfRule>
    <cfRule type="cellIs" dxfId="2661" priority="1057" stopIfTrue="1" operator="equal">
      <formula>"0-20%"</formula>
    </cfRule>
  </conditionalFormatting>
  <conditionalFormatting sqref="AD113">
    <cfRule type="cellIs" dxfId="2660" priority="1036" stopIfTrue="1" operator="equal">
      <formula>"Charriage présumé faiblement perturbé / Geschiebe vermutlich leicht beeinträchtigt"</formula>
    </cfRule>
    <cfRule type="cellIs" dxfId="2659" priority="1037" stopIfTrue="1" operator="equal">
      <formula>"La remobilisation des sédiments est perturbée / Mobilisierung von Geschiebe beeinträchtigt"</formula>
    </cfRule>
    <cfRule type="cellIs" dxfId="2658" priority="1038" stopIfTrue="1" operator="equal">
      <formula>"Problème lié à un manque de charriage ou à un manque de remobilisation des sédiments / Problem aufgrund Geschiebemangels bzw. mangelnder Mobilisierung von Geschiebe"</formula>
    </cfRule>
    <cfRule type="cellIs" dxfId="2657" priority="1039" stopIfTrue="1" operator="equal">
      <formula>"Déficit non apparent en charriage ou en remobilisation des sédiments / kein sichtbares Defizit beim Geschiebehaushalt bzw. bei der Mobilisierung von Geschiebe"</formula>
    </cfRule>
    <cfRule type="cellIs" dxfId="2656" priority="1040" stopIfTrue="1" operator="equal">
      <formula>"Charriage présumé perturbé / Geschiebehaushalt vermutlich beeinträchtigt"</formula>
    </cfRule>
    <cfRule type="cellIs" dxfId="2655" priority="1041" stopIfTrue="1" operator="equal">
      <formula>"Charriage présumé naturel / Geschiebehaushalt vermutlich natürlich"</formula>
    </cfRule>
    <cfRule type="cellIs" dxfId="2654" priority="1042" stopIfTrue="1" operator="equal">
      <formula>"non pertinent / nicht relevant"</formula>
    </cfRule>
    <cfRule type="cellIs" dxfId="2653" priority="1043" stopIfTrue="1" operator="equal">
      <formula>"21-50%"</formula>
    </cfRule>
    <cfRule type="cellIs" dxfId="2652" priority="1044" stopIfTrue="1" operator="equal">
      <formula>"51-80%"</formula>
    </cfRule>
  </conditionalFormatting>
  <conditionalFormatting sqref="AD113">
    <cfRule type="cellIs" dxfId="2651" priority="1045" stopIfTrue="1" operator="equal">
      <formula>"81 -100%"</formula>
    </cfRule>
    <cfRule type="cellIs" dxfId="2650" priority="1046" stopIfTrue="1" operator="equal">
      <formula>"0-20%"</formula>
    </cfRule>
  </conditionalFormatting>
  <conditionalFormatting sqref="AD114">
    <cfRule type="cellIs" dxfId="2649" priority="1025" stopIfTrue="1" operator="equal">
      <formula>"Charriage présumé faiblement perturbé / Geschiebe vermutlich leicht beeinträchtigt"</formula>
    </cfRule>
    <cfRule type="cellIs" dxfId="2648" priority="1026" stopIfTrue="1" operator="equal">
      <formula>"La remobilisation des sédiments est perturbée / Mobilisierung von Geschiebe beeinträchtigt"</formula>
    </cfRule>
    <cfRule type="cellIs" dxfId="2647" priority="1027" stopIfTrue="1" operator="equal">
      <formula>"Problème lié à un manque de charriage ou à un manque de remobilisation des sédiments / Problem aufgrund Geschiebemangels bzw. mangelnder Mobilisierung von Geschiebe"</formula>
    </cfRule>
    <cfRule type="cellIs" dxfId="2646" priority="1028" stopIfTrue="1" operator="equal">
      <formula>"Déficit non apparent en charriage ou en remobilisation des sédiments / kein sichtbares Defizit beim Geschiebehaushalt bzw. bei der Mobilisierung von Geschiebe"</formula>
    </cfRule>
    <cfRule type="cellIs" dxfId="2645" priority="1029" stopIfTrue="1" operator="equal">
      <formula>"Charriage présumé perturbé / Geschiebehaushalt vermutlich beeinträchtigt"</formula>
    </cfRule>
    <cfRule type="cellIs" dxfId="2644" priority="1030" stopIfTrue="1" operator="equal">
      <formula>"Charriage présumé naturel / Geschiebehaushalt vermutlich natürlich"</formula>
    </cfRule>
    <cfRule type="cellIs" dxfId="2643" priority="1031" stopIfTrue="1" operator="equal">
      <formula>"non pertinent / nicht relevant"</formula>
    </cfRule>
    <cfRule type="cellIs" dxfId="2642" priority="1032" stopIfTrue="1" operator="equal">
      <formula>"21-50%"</formula>
    </cfRule>
    <cfRule type="cellIs" dxfId="2641" priority="1033" stopIfTrue="1" operator="equal">
      <formula>"51-80%"</formula>
    </cfRule>
  </conditionalFormatting>
  <conditionalFormatting sqref="AD114">
    <cfRule type="cellIs" dxfId="2640" priority="1034" stopIfTrue="1" operator="equal">
      <formula>"81 -100%"</formula>
    </cfRule>
    <cfRule type="cellIs" dxfId="2639" priority="1035" stopIfTrue="1" operator="equal">
      <formula>"0-20%"</formula>
    </cfRule>
  </conditionalFormatting>
  <conditionalFormatting sqref="AD214">
    <cfRule type="cellIs" dxfId="2638" priority="1014" stopIfTrue="1" operator="equal">
      <formula>"Charriage présumé faiblement perturbé / Geschiebe vermutlich leicht beeinträchtigt"</formula>
    </cfRule>
    <cfRule type="cellIs" dxfId="2637" priority="1015" stopIfTrue="1" operator="equal">
      <formula>"La remobilisation des sédiments est perturbée / Mobilisierung von Geschiebe beeinträchtigt"</formula>
    </cfRule>
    <cfRule type="cellIs" dxfId="2636" priority="1016" stopIfTrue="1" operator="equal">
      <formula>"Problème lié à un manque de charriage ou à un manque de remobilisation des sédiments / Problem aufgrund Geschiebemangels bzw. mangelnder Mobilisierung von Geschiebe"</formula>
    </cfRule>
    <cfRule type="cellIs" dxfId="2635" priority="1017" stopIfTrue="1" operator="equal">
      <formula>"Déficit non apparent en charriage ou en remobilisation des sédiments / kein sichtbares Defizit beim Geschiebehaushalt bzw. bei der Mobilisierung von Geschiebe"</formula>
    </cfRule>
    <cfRule type="cellIs" dxfId="2634" priority="1018" stopIfTrue="1" operator="equal">
      <formula>"Charriage présumé perturbé / Geschiebehaushalt vermutlich beeinträchtigt"</formula>
    </cfRule>
    <cfRule type="cellIs" dxfId="2633" priority="1019" stopIfTrue="1" operator="equal">
      <formula>"Charriage présumé naturel / Geschiebehaushalt vermutlich natürlich"</formula>
    </cfRule>
    <cfRule type="cellIs" dxfId="2632" priority="1020" stopIfTrue="1" operator="equal">
      <formula>"non pertinent / nicht relevant"</formula>
    </cfRule>
    <cfRule type="cellIs" dxfId="2631" priority="1021" stopIfTrue="1" operator="equal">
      <formula>"21-50%"</formula>
    </cfRule>
    <cfRule type="cellIs" dxfId="2630" priority="1022" stopIfTrue="1" operator="equal">
      <formula>"51-80%"</formula>
    </cfRule>
  </conditionalFormatting>
  <conditionalFormatting sqref="AD214">
    <cfRule type="cellIs" dxfId="2629" priority="1023" stopIfTrue="1" operator="equal">
      <formula>"81 -100%"</formula>
    </cfRule>
    <cfRule type="cellIs" dxfId="2628" priority="1024" stopIfTrue="1" operator="equal">
      <formula>"0-20%"</formula>
    </cfRule>
  </conditionalFormatting>
  <conditionalFormatting sqref="AD237">
    <cfRule type="cellIs" dxfId="2627" priority="1003" stopIfTrue="1" operator="equal">
      <formula>"Charriage présumé faiblement perturbé / Geschiebe vermutlich leicht beeinträchtigt"</formula>
    </cfRule>
    <cfRule type="cellIs" dxfId="2626" priority="1004" stopIfTrue="1" operator="equal">
      <formula>"La remobilisation des sédiments est perturbée / Mobilisierung von Geschiebe beeinträchtigt"</formula>
    </cfRule>
    <cfRule type="cellIs" dxfId="2625" priority="1005" stopIfTrue="1" operator="equal">
      <formula>"Problème lié à un manque de charriage ou à un manque de remobilisation des sédiments / Problem aufgrund Geschiebemangels bzw. mangelnder Mobilisierung von Geschiebe"</formula>
    </cfRule>
    <cfRule type="cellIs" dxfId="2624" priority="1006" stopIfTrue="1" operator="equal">
      <formula>"Déficit non apparent en charriage ou en remobilisation des sédiments / kein sichtbares Defizit beim Geschiebehaushalt bzw. bei der Mobilisierung von Geschiebe"</formula>
    </cfRule>
    <cfRule type="cellIs" dxfId="2623" priority="1007" stopIfTrue="1" operator="equal">
      <formula>"Charriage présumé perturbé / Geschiebehaushalt vermutlich beeinträchtigt"</formula>
    </cfRule>
    <cfRule type="cellIs" dxfId="2622" priority="1008" stopIfTrue="1" operator="equal">
      <formula>"Charriage présumé naturel / Geschiebehaushalt vermutlich natürlich"</formula>
    </cfRule>
    <cfRule type="cellIs" dxfId="2621" priority="1009" stopIfTrue="1" operator="equal">
      <formula>"non pertinent / nicht relevant"</formula>
    </cfRule>
    <cfRule type="cellIs" dxfId="2620" priority="1010" stopIfTrue="1" operator="equal">
      <formula>"21-50%"</formula>
    </cfRule>
    <cfRule type="cellIs" dxfId="2619" priority="1011" stopIfTrue="1" operator="equal">
      <formula>"51-80%"</formula>
    </cfRule>
  </conditionalFormatting>
  <conditionalFormatting sqref="AD237">
    <cfRule type="cellIs" dxfId="2618" priority="1012" stopIfTrue="1" operator="equal">
      <formula>"81 -100%"</formula>
    </cfRule>
    <cfRule type="cellIs" dxfId="2617" priority="1013" stopIfTrue="1" operator="equal">
      <formula>"0-20%"</formula>
    </cfRule>
  </conditionalFormatting>
  <conditionalFormatting sqref="AD238">
    <cfRule type="cellIs" dxfId="2616" priority="992" stopIfTrue="1" operator="equal">
      <formula>"Charriage présumé faiblement perturbé / Geschiebe vermutlich leicht beeinträchtigt"</formula>
    </cfRule>
    <cfRule type="cellIs" dxfId="2615" priority="993" stopIfTrue="1" operator="equal">
      <formula>"La remobilisation des sédiments est perturbée / Mobilisierung von Geschiebe beeinträchtigt"</formula>
    </cfRule>
    <cfRule type="cellIs" dxfId="2614" priority="994" stopIfTrue="1" operator="equal">
      <formula>"Problème lié à un manque de charriage ou à un manque de remobilisation des sédiments / Problem aufgrund Geschiebemangels bzw. mangelnder Mobilisierung von Geschiebe"</formula>
    </cfRule>
    <cfRule type="cellIs" dxfId="2613" priority="995" stopIfTrue="1" operator="equal">
      <formula>"Déficit non apparent en charriage ou en remobilisation des sédiments / kein sichtbares Defizit beim Geschiebehaushalt bzw. bei der Mobilisierung von Geschiebe"</formula>
    </cfRule>
    <cfRule type="cellIs" dxfId="2612" priority="996" stopIfTrue="1" operator="equal">
      <formula>"Charriage présumé perturbé / Geschiebehaushalt vermutlich beeinträchtigt"</formula>
    </cfRule>
    <cfRule type="cellIs" dxfId="2611" priority="997" stopIfTrue="1" operator="equal">
      <formula>"Charriage présumé naturel / Geschiebehaushalt vermutlich natürlich"</formula>
    </cfRule>
    <cfRule type="cellIs" dxfId="2610" priority="998" stopIfTrue="1" operator="equal">
      <formula>"non pertinent / nicht relevant"</formula>
    </cfRule>
    <cfRule type="cellIs" dxfId="2609" priority="999" stopIfTrue="1" operator="equal">
      <formula>"21-50%"</formula>
    </cfRule>
    <cfRule type="cellIs" dxfId="2608" priority="1000" stopIfTrue="1" operator="equal">
      <formula>"51-80%"</formula>
    </cfRule>
  </conditionalFormatting>
  <conditionalFormatting sqref="AD238">
    <cfRule type="cellIs" dxfId="2607" priority="1001" stopIfTrue="1" operator="equal">
      <formula>"81 -100%"</formula>
    </cfRule>
    <cfRule type="cellIs" dxfId="2606" priority="1002" stopIfTrue="1" operator="equal">
      <formula>"0-20%"</formula>
    </cfRule>
  </conditionalFormatting>
  <conditionalFormatting sqref="AD231">
    <cfRule type="cellIs" dxfId="2605" priority="981" stopIfTrue="1" operator="equal">
      <formula>"Charriage présumé faiblement perturbé / Geschiebe vermutlich leicht beeinträchtigt"</formula>
    </cfRule>
    <cfRule type="cellIs" dxfId="2604" priority="982" stopIfTrue="1" operator="equal">
      <formula>"La remobilisation des sédiments est perturbée / Mobilisierung von Geschiebe beeinträchtigt"</formula>
    </cfRule>
    <cfRule type="cellIs" dxfId="2603" priority="983" stopIfTrue="1" operator="equal">
      <formula>"Problème lié à un manque de charriage ou à un manque de remobilisation des sédiments / Problem aufgrund Geschiebemangels bzw. mangelnder Mobilisierung von Geschiebe"</formula>
    </cfRule>
    <cfRule type="cellIs" dxfId="2602" priority="984" stopIfTrue="1" operator="equal">
      <formula>"Déficit non apparent en charriage ou en remobilisation des sédiments / kein sichtbares Defizit beim Geschiebehaushalt bzw. bei der Mobilisierung von Geschiebe"</formula>
    </cfRule>
    <cfRule type="cellIs" dxfId="2601" priority="985" stopIfTrue="1" operator="equal">
      <formula>"Charriage présumé perturbé / Geschiebehaushalt vermutlich beeinträchtigt"</formula>
    </cfRule>
    <cfRule type="cellIs" dxfId="2600" priority="986" stopIfTrue="1" operator="equal">
      <formula>"Charriage présumé naturel / Geschiebehaushalt vermutlich natürlich"</formula>
    </cfRule>
    <cfRule type="cellIs" dxfId="2599" priority="987" stopIfTrue="1" operator="equal">
      <formula>"non pertinent / nicht relevant"</formula>
    </cfRule>
    <cfRule type="cellIs" dxfId="2598" priority="988" stopIfTrue="1" operator="equal">
      <formula>"21-50%"</formula>
    </cfRule>
    <cfRule type="cellIs" dxfId="2597" priority="989" stopIfTrue="1" operator="equal">
      <formula>"51-80%"</formula>
    </cfRule>
  </conditionalFormatting>
  <conditionalFormatting sqref="AD231">
    <cfRule type="cellIs" dxfId="2596" priority="990" stopIfTrue="1" operator="equal">
      <formula>"81 -100%"</formula>
    </cfRule>
    <cfRule type="cellIs" dxfId="2595" priority="991" stopIfTrue="1" operator="equal">
      <formula>"0-20%"</formula>
    </cfRule>
  </conditionalFormatting>
  <conditionalFormatting sqref="AD178">
    <cfRule type="cellIs" dxfId="2594" priority="970" stopIfTrue="1" operator="equal">
      <formula>"Charriage présumé faiblement perturbé / Geschiebe vermutlich leicht beeinträchtigt"</formula>
    </cfRule>
    <cfRule type="cellIs" dxfId="2593" priority="971" stopIfTrue="1" operator="equal">
      <formula>"La remobilisation des sédiments est perturbée / Mobilisierung von Geschiebe beeinträchtigt"</formula>
    </cfRule>
    <cfRule type="cellIs" dxfId="2592" priority="972" stopIfTrue="1" operator="equal">
      <formula>"Problème lié à un manque de charriage ou à un manque de remobilisation des sédiments / Problem aufgrund Geschiebemangels bzw. mangelnder Mobilisierung von Geschiebe"</formula>
    </cfRule>
    <cfRule type="cellIs" dxfId="2591" priority="973" stopIfTrue="1" operator="equal">
      <formula>"Déficit non apparent en charriage ou en remobilisation des sédiments / kein sichtbares Defizit beim Geschiebehaushalt bzw. bei der Mobilisierung von Geschiebe"</formula>
    </cfRule>
    <cfRule type="cellIs" dxfId="2590" priority="974" stopIfTrue="1" operator="equal">
      <formula>"Charriage présumé perturbé / Geschiebehaushalt vermutlich beeinträchtigt"</formula>
    </cfRule>
    <cfRule type="cellIs" dxfId="2589" priority="975" stopIfTrue="1" operator="equal">
      <formula>"Charriage présumé naturel / Geschiebehaushalt vermutlich natürlich"</formula>
    </cfRule>
    <cfRule type="cellIs" dxfId="2588" priority="976" stopIfTrue="1" operator="equal">
      <formula>"non pertinent / nicht relevant"</formula>
    </cfRule>
    <cfRule type="cellIs" dxfId="2587" priority="977" stopIfTrue="1" operator="equal">
      <formula>"21-50%"</formula>
    </cfRule>
    <cfRule type="cellIs" dxfId="2586" priority="978" stopIfTrue="1" operator="equal">
      <formula>"51-80%"</formula>
    </cfRule>
  </conditionalFormatting>
  <conditionalFormatting sqref="AD178">
    <cfRule type="cellIs" dxfId="2585" priority="979" stopIfTrue="1" operator="equal">
      <formula>"81 -100%"</formula>
    </cfRule>
    <cfRule type="cellIs" dxfId="2584" priority="980" stopIfTrue="1" operator="equal">
      <formula>"0-20%"</formula>
    </cfRule>
  </conditionalFormatting>
  <conditionalFormatting sqref="AD142">
    <cfRule type="cellIs" dxfId="2583" priority="959" stopIfTrue="1" operator="equal">
      <formula>"Charriage présumé faiblement perturbé / Geschiebe vermutlich leicht beeinträchtigt"</formula>
    </cfRule>
    <cfRule type="cellIs" dxfId="2582" priority="960" stopIfTrue="1" operator="equal">
      <formula>"La remobilisation des sédiments est perturbée / Mobilisierung von Geschiebe beeinträchtigt"</formula>
    </cfRule>
    <cfRule type="cellIs" dxfId="2581" priority="961" stopIfTrue="1" operator="equal">
      <formula>"Problème lié à un manque de charriage ou à un manque de remobilisation des sédiments / Problem aufgrund Geschiebemangels bzw. mangelnder Mobilisierung von Geschiebe"</formula>
    </cfRule>
    <cfRule type="cellIs" dxfId="2580" priority="962" stopIfTrue="1" operator="equal">
      <formula>"Déficit non apparent en charriage ou en remobilisation des sédiments / kein sichtbares Defizit beim Geschiebehaushalt bzw. bei der Mobilisierung von Geschiebe"</formula>
    </cfRule>
    <cfRule type="cellIs" dxfId="2579" priority="963" stopIfTrue="1" operator="equal">
      <formula>"Charriage présumé perturbé / Geschiebehaushalt vermutlich beeinträchtigt"</formula>
    </cfRule>
    <cfRule type="cellIs" dxfId="2578" priority="964" stopIfTrue="1" operator="equal">
      <formula>"Charriage présumé naturel / Geschiebehaushalt vermutlich natürlich"</formula>
    </cfRule>
    <cfRule type="cellIs" dxfId="2577" priority="965" stopIfTrue="1" operator="equal">
      <formula>"non pertinent / nicht relevant"</formula>
    </cfRule>
    <cfRule type="cellIs" dxfId="2576" priority="966" stopIfTrue="1" operator="equal">
      <formula>"21-50%"</formula>
    </cfRule>
    <cfRule type="cellIs" dxfId="2575" priority="967" stopIfTrue="1" operator="equal">
      <formula>"51-80%"</formula>
    </cfRule>
  </conditionalFormatting>
  <conditionalFormatting sqref="AD142">
    <cfRule type="cellIs" dxfId="2574" priority="968" stopIfTrue="1" operator="equal">
      <formula>"81 -100%"</formula>
    </cfRule>
    <cfRule type="cellIs" dxfId="2573" priority="969" stopIfTrue="1" operator="equal">
      <formula>"0-20%"</formula>
    </cfRule>
  </conditionalFormatting>
  <conditionalFormatting sqref="AD141">
    <cfRule type="cellIs" dxfId="2572" priority="948" stopIfTrue="1" operator="equal">
      <formula>"Charriage présumé faiblement perturbé / Geschiebe vermutlich leicht beeinträchtigt"</formula>
    </cfRule>
    <cfRule type="cellIs" dxfId="2571" priority="949" stopIfTrue="1" operator="equal">
      <formula>"La remobilisation des sédiments est perturbée / Mobilisierung von Geschiebe beeinträchtigt"</formula>
    </cfRule>
    <cfRule type="cellIs" dxfId="2570" priority="950" stopIfTrue="1" operator="equal">
      <formula>"Problème lié à un manque de charriage ou à un manque de remobilisation des sédiments / Problem aufgrund Geschiebemangels bzw. mangelnder Mobilisierung von Geschiebe"</formula>
    </cfRule>
    <cfRule type="cellIs" dxfId="2569" priority="951" stopIfTrue="1" operator="equal">
      <formula>"Déficit non apparent en charriage ou en remobilisation des sédiments / kein sichtbares Defizit beim Geschiebehaushalt bzw. bei der Mobilisierung von Geschiebe"</formula>
    </cfRule>
    <cfRule type="cellIs" dxfId="2568" priority="952" stopIfTrue="1" operator="equal">
      <formula>"Charriage présumé perturbé / Geschiebehaushalt vermutlich beeinträchtigt"</formula>
    </cfRule>
    <cfRule type="cellIs" dxfId="2567" priority="953" stopIfTrue="1" operator="equal">
      <formula>"Charriage présumé naturel / Geschiebehaushalt vermutlich natürlich"</formula>
    </cfRule>
    <cfRule type="cellIs" dxfId="2566" priority="954" stopIfTrue="1" operator="equal">
      <formula>"non pertinent / nicht relevant"</formula>
    </cfRule>
    <cfRule type="cellIs" dxfId="2565" priority="955" stopIfTrue="1" operator="equal">
      <formula>"21-50%"</formula>
    </cfRule>
    <cfRule type="cellIs" dxfId="2564" priority="956" stopIfTrue="1" operator="equal">
      <formula>"51-80%"</formula>
    </cfRule>
  </conditionalFormatting>
  <conditionalFormatting sqref="AD141">
    <cfRule type="cellIs" dxfId="2563" priority="957" stopIfTrue="1" operator="equal">
      <formula>"81 -100%"</formula>
    </cfRule>
    <cfRule type="cellIs" dxfId="2562" priority="958" stopIfTrue="1" operator="equal">
      <formula>"0-20%"</formula>
    </cfRule>
  </conditionalFormatting>
  <conditionalFormatting sqref="AD130">
    <cfRule type="cellIs" dxfId="2561" priority="937" stopIfTrue="1" operator="equal">
      <formula>"Charriage présumé faiblement perturbé / Geschiebe vermutlich leicht beeinträchtigt"</formula>
    </cfRule>
    <cfRule type="cellIs" dxfId="2560" priority="938" stopIfTrue="1" operator="equal">
      <formula>"La remobilisation des sédiments est perturbée / Mobilisierung von Geschiebe beeinträchtigt"</formula>
    </cfRule>
    <cfRule type="cellIs" dxfId="2559" priority="939" stopIfTrue="1" operator="equal">
      <formula>"Problème lié à un manque de charriage ou à un manque de remobilisation des sédiments / Problem aufgrund Geschiebemangels bzw. mangelnder Mobilisierung von Geschiebe"</formula>
    </cfRule>
    <cfRule type="cellIs" dxfId="2558" priority="940" stopIfTrue="1" operator="equal">
      <formula>"Déficit non apparent en charriage ou en remobilisation des sédiments / kein sichtbares Defizit beim Geschiebehaushalt bzw. bei der Mobilisierung von Geschiebe"</formula>
    </cfRule>
    <cfRule type="cellIs" dxfId="2557" priority="941" stopIfTrue="1" operator="equal">
      <formula>"Charriage présumé perturbé / Geschiebehaushalt vermutlich beeinträchtigt"</formula>
    </cfRule>
    <cfRule type="cellIs" dxfId="2556" priority="942" stopIfTrue="1" operator="equal">
      <formula>"Charriage présumé naturel / Geschiebehaushalt vermutlich natürlich"</formula>
    </cfRule>
    <cfRule type="cellIs" dxfId="2555" priority="943" stopIfTrue="1" operator="equal">
      <formula>"non pertinent / nicht relevant"</formula>
    </cfRule>
    <cfRule type="cellIs" dxfId="2554" priority="944" stopIfTrue="1" operator="equal">
      <formula>"21-50%"</formula>
    </cfRule>
    <cfRule type="cellIs" dxfId="2553" priority="945" stopIfTrue="1" operator="equal">
      <formula>"51-80%"</formula>
    </cfRule>
  </conditionalFormatting>
  <conditionalFormatting sqref="AD130">
    <cfRule type="cellIs" dxfId="2552" priority="946" stopIfTrue="1" operator="equal">
      <formula>"81 -100%"</formula>
    </cfRule>
    <cfRule type="cellIs" dxfId="2551" priority="947" stopIfTrue="1" operator="equal">
      <formula>"0-20%"</formula>
    </cfRule>
  </conditionalFormatting>
  <conditionalFormatting sqref="AD129">
    <cfRule type="cellIs" dxfId="2550" priority="926" stopIfTrue="1" operator="equal">
      <formula>"Charriage présumé faiblement perturbé / Geschiebe vermutlich leicht beeinträchtigt"</formula>
    </cfRule>
    <cfRule type="cellIs" dxfId="2549" priority="927" stopIfTrue="1" operator="equal">
      <formula>"La remobilisation des sédiments est perturbée / Mobilisierung von Geschiebe beeinträchtigt"</formula>
    </cfRule>
    <cfRule type="cellIs" dxfId="2548" priority="928" stopIfTrue="1" operator="equal">
      <formula>"Problème lié à un manque de charriage ou à un manque de remobilisation des sédiments / Problem aufgrund Geschiebemangels bzw. mangelnder Mobilisierung von Geschiebe"</formula>
    </cfRule>
    <cfRule type="cellIs" dxfId="2547" priority="929" stopIfTrue="1" operator="equal">
      <formula>"Déficit non apparent en charriage ou en remobilisation des sédiments / kein sichtbares Defizit beim Geschiebehaushalt bzw. bei der Mobilisierung von Geschiebe"</formula>
    </cfRule>
    <cfRule type="cellIs" dxfId="2546" priority="930" stopIfTrue="1" operator="equal">
      <formula>"Charriage présumé perturbé / Geschiebehaushalt vermutlich beeinträchtigt"</formula>
    </cfRule>
    <cfRule type="cellIs" dxfId="2545" priority="931" stopIfTrue="1" operator="equal">
      <formula>"Charriage présumé naturel / Geschiebehaushalt vermutlich natürlich"</formula>
    </cfRule>
    <cfRule type="cellIs" dxfId="2544" priority="932" stopIfTrue="1" operator="equal">
      <formula>"non pertinent / nicht relevant"</formula>
    </cfRule>
    <cfRule type="cellIs" dxfId="2543" priority="933" stopIfTrue="1" operator="equal">
      <formula>"21-50%"</formula>
    </cfRule>
    <cfRule type="cellIs" dxfId="2542" priority="934" stopIfTrue="1" operator="equal">
      <formula>"51-80%"</formula>
    </cfRule>
  </conditionalFormatting>
  <conditionalFormatting sqref="AD129">
    <cfRule type="cellIs" dxfId="2541" priority="935" stopIfTrue="1" operator="equal">
      <formula>"81 -100%"</formula>
    </cfRule>
    <cfRule type="cellIs" dxfId="2540" priority="936" stopIfTrue="1" operator="equal">
      <formula>"0-20%"</formula>
    </cfRule>
  </conditionalFormatting>
  <conditionalFormatting sqref="AD128">
    <cfRule type="cellIs" dxfId="2539" priority="915" stopIfTrue="1" operator="equal">
      <formula>"Charriage présumé faiblement perturbé / Geschiebe vermutlich leicht beeinträchtigt"</formula>
    </cfRule>
    <cfRule type="cellIs" dxfId="2538" priority="916" stopIfTrue="1" operator="equal">
      <formula>"La remobilisation des sédiments est perturbée / Mobilisierung von Geschiebe beeinträchtigt"</formula>
    </cfRule>
    <cfRule type="cellIs" dxfId="2537" priority="917" stopIfTrue="1" operator="equal">
      <formula>"Problème lié à un manque de charriage ou à un manque de remobilisation des sédiments / Problem aufgrund Geschiebemangels bzw. mangelnder Mobilisierung von Geschiebe"</formula>
    </cfRule>
    <cfRule type="cellIs" dxfId="2536" priority="918" stopIfTrue="1" operator="equal">
      <formula>"Déficit non apparent en charriage ou en remobilisation des sédiments / kein sichtbares Defizit beim Geschiebehaushalt bzw. bei der Mobilisierung von Geschiebe"</formula>
    </cfRule>
    <cfRule type="cellIs" dxfId="2535" priority="919" stopIfTrue="1" operator="equal">
      <formula>"Charriage présumé perturbé / Geschiebehaushalt vermutlich beeinträchtigt"</formula>
    </cfRule>
    <cfRule type="cellIs" dxfId="2534" priority="920" stopIfTrue="1" operator="equal">
      <formula>"Charriage présumé naturel / Geschiebehaushalt vermutlich natürlich"</formula>
    </cfRule>
    <cfRule type="cellIs" dxfId="2533" priority="921" stopIfTrue="1" operator="equal">
      <formula>"non pertinent / nicht relevant"</formula>
    </cfRule>
    <cfRule type="cellIs" dxfId="2532" priority="922" stopIfTrue="1" operator="equal">
      <formula>"21-50%"</formula>
    </cfRule>
    <cfRule type="cellIs" dxfId="2531" priority="923" stopIfTrue="1" operator="equal">
      <formula>"51-80%"</formula>
    </cfRule>
  </conditionalFormatting>
  <conditionalFormatting sqref="AD128">
    <cfRule type="cellIs" dxfId="2530" priority="924" stopIfTrue="1" operator="equal">
      <formula>"81 -100%"</formula>
    </cfRule>
    <cfRule type="cellIs" dxfId="2529" priority="925" stopIfTrue="1" operator="equal">
      <formula>"0-20%"</formula>
    </cfRule>
  </conditionalFormatting>
  <conditionalFormatting sqref="AD127">
    <cfRule type="cellIs" dxfId="2528" priority="904" stopIfTrue="1" operator="equal">
      <formula>"Charriage présumé faiblement perturbé / Geschiebe vermutlich leicht beeinträchtigt"</formula>
    </cfRule>
    <cfRule type="cellIs" dxfId="2527" priority="905" stopIfTrue="1" operator="equal">
      <formula>"La remobilisation des sédiments est perturbée / Mobilisierung von Geschiebe beeinträchtigt"</formula>
    </cfRule>
    <cfRule type="cellIs" dxfId="2526" priority="906" stopIfTrue="1" operator="equal">
      <formula>"Problème lié à un manque de charriage ou à un manque de remobilisation des sédiments / Problem aufgrund Geschiebemangels bzw. mangelnder Mobilisierung von Geschiebe"</formula>
    </cfRule>
    <cfRule type="cellIs" dxfId="2525" priority="907" stopIfTrue="1" operator="equal">
      <formula>"Déficit non apparent en charriage ou en remobilisation des sédiments / kein sichtbares Defizit beim Geschiebehaushalt bzw. bei der Mobilisierung von Geschiebe"</formula>
    </cfRule>
    <cfRule type="cellIs" dxfId="2524" priority="908" stopIfTrue="1" operator="equal">
      <formula>"Charriage présumé perturbé / Geschiebehaushalt vermutlich beeinträchtigt"</formula>
    </cfRule>
    <cfRule type="cellIs" dxfId="2523" priority="909" stopIfTrue="1" operator="equal">
      <formula>"Charriage présumé naturel / Geschiebehaushalt vermutlich natürlich"</formula>
    </cfRule>
    <cfRule type="cellIs" dxfId="2522" priority="910" stopIfTrue="1" operator="equal">
      <formula>"non pertinent / nicht relevant"</formula>
    </cfRule>
    <cfRule type="cellIs" dxfId="2521" priority="911" stopIfTrue="1" operator="equal">
      <formula>"21-50%"</formula>
    </cfRule>
    <cfRule type="cellIs" dxfId="2520" priority="912" stopIfTrue="1" operator="equal">
      <formula>"51-80%"</formula>
    </cfRule>
  </conditionalFormatting>
  <conditionalFormatting sqref="AD127">
    <cfRule type="cellIs" dxfId="2519" priority="913" stopIfTrue="1" operator="equal">
      <formula>"81 -100%"</formula>
    </cfRule>
    <cfRule type="cellIs" dxfId="2518" priority="914" stopIfTrue="1" operator="equal">
      <formula>"0-20%"</formula>
    </cfRule>
  </conditionalFormatting>
  <conditionalFormatting sqref="AD126">
    <cfRule type="cellIs" dxfId="2517" priority="893" stopIfTrue="1" operator="equal">
      <formula>"Charriage présumé faiblement perturbé / Geschiebe vermutlich leicht beeinträchtigt"</formula>
    </cfRule>
    <cfRule type="cellIs" dxfId="2516" priority="894" stopIfTrue="1" operator="equal">
      <formula>"La remobilisation des sédiments est perturbée / Mobilisierung von Geschiebe beeinträchtigt"</formula>
    </cfRule>
    <cfRule type="cellIs" dxfId="2515" priority="895" stopIfTrue="1" operator="equal">
      <formula>"Problème lié à un manque de charriage ou à un manque de remobilisation des sédiments / Problem aufgrund Geschiebemangels bzw. mangelnder Mobilisierung von Geschiebe"</formula>
    </cfRule>
    <cfRule type="cellIs" dxfId="2514" priority="896" stopIfTrue="1" operator="equal">
      <formula>"Déficit non apparent en charriage ou en remobilisation des sédiments / kein sichtbares Defizit beim Geschiebehaushalt bzw. bei der Mobilisierung von Geschiebe"</formula>
    </cfRule>
    <cfRule type="cellIs" dxfId="2513" priority="897" stopIfTrue="1" operator="equal">
      <formula>"Charriage présumé perturbé / Geschiebehaushalt vermutlich beeinträchtigt"</formula>
    </cfRule>
    <cfRule type="cellIs" dxfId="2512" priority="898" stopIfTrue="1" operator="equal">
      <formula>"Charriage présumé naturel / Geschiebehaushalt vermutlich natürlich"</formula>
    </cfRule>
    <cfRule type="cellIs" dxfId="2511" priority="899" stopIfTrue="1" operator="equal">
      <formula>"non pertinent / nicht relevant"</formula>
    </cfRule>
    <cfRule type="cellIs" dxfId="2510" priority="900" stopIfTrue="1" operator="equal">
      <formula>"21-50%"</formula>
    </cfRule>
    <cfRule type="cellIs" dxfId="2509" priority="901" stopIfTrue="1" operator="equal">
      <formula>"51-80%"</formula>
    </cfRule>
  </conditionalFormatting>
  <conditionalFormatting sqref="AD126">
    <cfRule type="cellIs" dxfId="2508" priority="902" stopIfTrue="1" operator="equal">
      <formula>"81 -100%"</formula>
    </cfRule>
    <cfRule type="cellIs" dxfId="2507" priority="903" stopIfTrue="1" operator="equal">
      <formula>"0-20%"</formula>
    </cfRule>
  </conditionalFormatting>
  <conditionalFormatting sqref="AD124">
    <cfRule type="cellIs" dxfId="2506" priority="882" stopIfTrue="1" operator="equal">
      <formula>"Charriage présumé faiblement perturbé / Geschiebe vermutlich leicht beeinträchtigt"</formula>
    </cfRule>
    <cfRule type="cellIs" dxfId="2505" priority="883" stopIfTrue="1" operator="equal">
      <formula>"La remobilisation des sédiments est perturbée / Mobilisierung von Geschiebe beeinträchtigt"</formula>
    </cfRule>
    <cfRule type="cellIs" dxfId="2504" priority="884" stopIfTrue="1" operator="equal">
      <formula>"Problème lié à un manque de charriage ou à un manque de remobilisation des sédiments / Problem aufgrund Geschiebemangels bzw. mangelnder Mobilisierung von Geschiebe"</formula>
    </cfRule>
    <cfRule type="cellIs" dxfId="2503" priority="885" stopIfTrue="1" operator="equal">
      <formula>"Déficit non apparent en charriage ou en remobilisation des sédiments / kein sichtbares Defizit beim Geschiebehaushalt bzw. bei der Mobilisierung von Geschiebe"</formula>
    </cfRule>
    <cfRule type="cellIs" dxfId="2502" priority="886" stopIfTrue="1" operator="equal">
      <formula>"Charriage présumé perturbé / Geschiebehaushalt vermutlich beeinträchtigt"</formula>
    </cfRule>
    <cfRule type="cellIs" dxfId="2501" priority="887" stopIfTrue="1" operator="equal">
      <formula>"Charriage présumé naturel / Geschiebehaushalt vermutlich natürlich"</formula>
    </cfRule>
    <cfRule type="cellIs" dxfId="2500" priority="888" stopIfTrue="1" operator="equal">
      <formula>"non pertinent / nicht relevant"</formula>
    </cfRule>
    <cfRule type="cellIs" dxfId="2499" priority="889" stopIfTrue="1" operator="equal">
      <formula>"21-50%"</formula>
    </cfRule>
    <cfRule type="cellIs" dxfId="2498" priority="890" stopIfTrue="1" operator="equal">
      <formula>"51-80%"</formula>
    </cfRule>
  </conditionalFormatting>
  <conditionalFormatting sqref="AD124">
    <cfRule type="cellIs" dxfId="2497" priority="891" stopIfTrue="1" operator="equal">
      <formula>"81 -100%"</formula>
    </cfRule>
    <cfRule type="cellIs" dxfId="2496" priority="892" stopIfTrue="1" operator="equal">
      <formula>"0-20%"</formula>
    </cfRule>
  </conditionalFormatting>
  <conditionalFormatting sqref="AD121">
    <cfRule type="cellIs" dxfId="2495" priority="871" stopIfTrue="1" operator="equal">
      <formula>"Charriage présumé faiblement perturbé / Geschiebe vermutlich leicht beeinträchtigt"</formula>
    </cfRule>
    <cfRule type="cellIs" dxfId="2494" priority="872" stopIfTrue="1" operator="equal">
      <formula>"La remobilisation des sédiments est perturbée / Mobilisierung von Geschiebe beeinträchtigt"</formula>
    </cfRule>
    <cfRule type="cellIs" dxfId="2493" priority="873" stopIfTrue="1" operator="equal">
      <formula>"Problème lié à un manque de charriage ou à un manque de remobilisation des sédiments / Problem aufgrund Geschiebemangels bzw. mangelnder Mobilisierung von Geschiebe"</formula>
    </cfRule>
    <cfRule type="cellIs" dxfId="2492" priority="874" stopIfTrue="1" operator="equal">
      <formula>"Déficit non apparent en charriage ou en remobilisation des sédiments / kein sichtbares Defizit beim Geschiebehaushalt bzw. bei der Mobilisierung von Geschiebe"</formula>
    </cfRule>
    <cfRule type="cellIs" dxfId="2491" priority="875" stopIfTrue="1" operator="equal">
      <formula>"Charriage présumé perturbé / Geschiebehaushalt vermutlich beeinträchtigt"</formula>
    </cfRule>
    <cfRule type="cellIs" dxfId="2490" priority="876" stopIfTrue="1" operator="equal">
      <formula>"Charriage présumé naturel / Geschiebehaushalt vermutlich natürlich"</formula>
    </cfRule>
    <cfRule type="cellIs" dxfId="2489" priority="877" stopIfTrue="1" operator="equal">
      <formula>"non pertinent / nicht relevant"</formula>
    </cfRule>
    <cfRule type="cellIs" dxfId="2488" priority="878" stopIfTrue="1" operator="equal">
      <formula>"21-50%"</formula>
    </cfRule>
    <cfRule type="cellIs" dxfId="2487" priority="879" stopIfTrue="1" operator="equal">
      <formula>"51-80%"</formula>
    </cfRule>
  </conditionalFormatting>
  <conditionalFormatting sqref="AD121">
    <cfRule type="cellIs" dxfId="2486" priority="880" stopIfTrue="1" operator="equal">
      <formula>"81 -100%"</formula>
    </cfRule>
    <cfRule type="cellIs" dxfId="2485" priority="881" stopIfTrue="1" operator="equal">
      <formula>"0-20%"</formula>
    </cfRule>
  </conditionalFormatting>
  <conditionalFormatting sqref="AD122">
    <cfRule type="cellIs" dxfId="2484" priority="860" stopIfTrue="1" operator="equal">
      <formula>"Charriage présumé faiblement perturbé / Geschiebe vermutlich leicht beeinträchtigt"</formula>
    </cfRule>
    <cfRule type="cellIs" dxfId="2483" priority="861" stopIfTrue="1" operator="equal">
      <formula>"La remobilisation des sédiments est perturbée / Mobilisierung von Geschiebe beeinträchtigt"</formula>
    </cfRule>
    <cfRule type="cellIs" dxfId="2482" priority="862" stopIfTrue="1" operator="equal">
      <formula>"Problème lié à un manque de charriage ou à un manque de remobilisation des sédiments / Problem aufgrund Geschiebemangels bzw. mangelnder Mobilisierung von Geschiebe"</formula>
    </cfRule>
    <cfRule type="cellIs" dxfId="2481" priority="863" stopIfTrue="1" operator="equal">
      <formula>"Déficit non apparent en charriage ou en remobilisation des sédiments / kein sichtbares Defizit beim Geschiebehaushalt bzw. bei der Mobilisierung von Geschiebe"</formula>
    </cfRule>
    <cfRule type="cellIs" dxfId="2480" priority="864" stopIfTrue="1" operator="equal">
      <formula>"Charriage présumé perturbé / Geschiebehaushalt vermutlich beeinträchtigt"</formula>
    </cfRule>
    <cfRule type="cellIs" dxfId="2479" priority="865" stopIfTrue="1" operator="equal">
      <formula>"Charriage présumé naturel / Geschiebehaushalt vermutlich natürlich"</formula>
    </cfRule>
    <cfRule type="cellIs" dxfId="2478" priority="866" stopIfTrue="1" operator="equal">
      <formula>"non pertinent / nicht relevant"</formula>
    </cfRule>
    <cfRule type="cellIs" dxfId="2477" priority="867" stopIfTrue="1" operator="equal">
      <formula>"21-50%"</formula>
    </cfRule>
    <cfRule type="cellIs" dxfId="2476" priority="868" stopIfTrue="1" operator="equal">
      <formula>"51-80%"</formula>
    </cfRule>
  </conditionalFormatting>
  <conditionalFormatting sqref="AD122">
    <cfRule type="cellIs" dxfId="2475" priority="869" stopIfTrue="1" operator="equal">
      <formula>"81 -100%"</formula>
    </cfRule>
    <cfRule type="cellIs" dxfId="2474" priority="870" stopIfTrue="1" operator="equal">
      <formula>"0-20%"</formula>
    </cfRule>
  </conditionalFormatting>
  <conditionalFormatting sqref="AD123">
    <cfRule type="cellIs" dxfId="2473" priority="849" stopIfTrue="1" operator="equal">
      <formula>"Charriage présumé faiblement perturbé / Geschiebe vermutlich leicht beeinträchtigt"</formula>
    </cfRule>
    <cfRule type="cellIs" dxfId="2472" priority="850" stopIfTrue="1" operator="equal">
      <formula>"La remobilisation des sédiments est perturbée / Mobilisierung von Geschiebe beeinträchtigt"</formula>
    </cfRule>
    <cfRule type="cellIs" dxfId="2471" priority="851" stopIfTrue="1" operator="equal">
      <formula>"Problème lié à un manque de charriage ou à un manque de remobilisation des sédiments / Problem aufgrund Geschiebemangels bzw. mangelnder Mobilisierung von Geschiebe"</formula>
    </cfRule>
    <cfRule type="cellIs" dxfId="2470" priority="852" stopIfTrue="1" operator="equal">
      <formula>"Déficit non apparent en charriage ou en remobilisation des sédiments / kein sichtbares Defizit beim Geschiebehaushalt bzw. bei der Mobilisierung von Geschiebe"</formula>
    </cfRule>
    <cfRule type="cellIs" dxfId="2469" priority="853" stopIfTrue="1" operator="equal">
      <formula>"Charriage présumé perturbé / Geschiebehaushalt vermutlich beeinträchtigt"</formula>
    </cfRule>
    <cfRule type="cellIs" dxfId="2468" priority="854" stopIfTrue="1" operator="equal">
      <formula>"Charriage présumé naturel / Geschiebehaushalt vermutlich natürlich"</formula>
    </cfRule>
    <cfRule type="cellIs" dxfId="2467" priority="855" stopIfTrue="1" operator="equal">
      <formula>"non pertinent / nicht relevant"</formula>
    </cfRule>
    <cfRule type="cellIs" dxfId="2466" priority="856" stopIfTrue="1" operator="equal">
      <formula>"21-50%"</formula>
    </cfRule>
    <cfRule type="cellIs" dxfId="2465" priority="857" stopIfTrue="1" operator="equal">
      <formula>"51-80%"</formula>
    </cfRule>
  </conditionalFormatting>
  <conditionalFormatting sqref="AD123">
    <cfRule type="cellIs" dxfId="2464" priority="858" stopIfTrue="1" operator="equal">
      <formula>"81 -100%"</formula>
    </cfRule>
    <cfRule type="cellIs" dxfId="2463" priority="859" stopIfTrue="1" operator="equal">
      <formula>"0-20%"</formula>
    </cfRule>
  </conditionalFormatting>
  <conditionalFormatting sqref="AD179">
    <cfRule type="cellIs" dxfId="2462" priority="838" stopIfTrue="1" operator="equal">
      <formula>"Charriage présumé faiblement perturbé / Geschiebe vermutlich leicht beeinträchtigt"</formula>
    </cfRule>
    <cfRule type="cellIs" dxfId="2461" priority="839" stopIfTrue="1" operator="equal">
      <formula>"La remobilisation des sédiments est perturbée / Mobilisierung von Geschiebe beeinträchtigt"</formula>
    </cfRule>
    <cfRule type="cellIs" dxfId="2460" priority="840" stopIfTrue="1" operator="equal">
      <formula>"Problème lié à un manque de charriage ou à un manque de remobilisation des sédiments / Problem aufgrund Geschiebemangels bzw. mangelnder Mobilisierung von Geschiebe"</formula>
    </cfRule>
    <cfRule type="cellIs" dxfId="2459" priority="841" stopIfTrue="1" operator="equal">
      <formula>"Déficit non apparent en charriage ou en remobilisation des sédiments / kein sichtbares Defizit beim Geschiebehaushalt bzw. bei der Mobilisierung von Geschiebe"</formula>
    </cfRule>
    <cfRule type="cellIs" dxfId="2458" priority="842" stopIfTrue="1" operator="equal">
      <formula>"Charriage présumé perturbé / Geschiebehaushalt vermutlich beeinträchtigt"</formula>
    </cfRule>
    <cfRule type="cellIs" dxfId="2457" priority="843" stopIfTrue="1" operator="equal">
      <formula>"Charriage présumé naturel / Geschiebehaushalt vermutlich natürlich"</formula>
    </cfRule>
    <cfRule type="cellIs" dxfId="2456" priority="844" stopIfTrue="1" operator="equal">
      <formula>"non pertinent / nicht relevant"</formula>
    </cfRule>
    <cfRule type="cellIs" dxfId="2455" priority="845" stopIfTrue="1" operator="equal">
      <formula>"21-50%"</formula>
    </cfRule>
    <cfRule type="cellIs" dxfId="2454" priority="846" stopIfTrue="1" operator="equal">
      <formula>"51-80%"</formula>
    </cfRule>
  </conditionalFormatting>
  <conditionalFormatting sqref="AD179">
    <cfRule type="cellIs" dxfId="2453" priority="847" stopIfTrue="1" operator="equal">
      <formula>"81 -100%"</formula>
    </cfRule>
    <cfRule type="cellIs" dxfId="2452" priority="848" stopIfTrue="1" operator="equal">
      <formula>"0-20%"</formula>
    </cfRule>
  </conditionalFormatting>
  <conditionalFormatting sqref="AD243">
    <cfRule type="cellIs" dxfId="2451" priority="827" stopIfTrue="1" operator="equal">
      <formula>"Charriage présumé faiblement perturbé / Geschiebe vermutlich leicht beeinträchtigt"</formula>
    </cfRule>
    <cfRule type="cellIs" dxfId="2450" priority="828" stopIfTrue="1" operator="equal">
      <formula>"La remobilisation des sédiments est perturbée / Mobilisierung von Geschiebe beeinträchtigt"</formula>
    </cfRule>
    <cfRule type="cellIs" dxfId="2449" priority="829" stopIfTrue="1" operator="equal">
      <formula>"Problème lié à un manque de charriage ou à un manque de remobilisation des sédiments / Problem aufgrund Geschiebemangels bzw. mangelnder Mobilisierung von Geschiebe"</formula>
    </cfRule>
    <cfRule type="cellIs" dxfId="2448" priority="830" stopIfTrue="1" operator="equal">
      <formula>"Déficit non apparent en charriage ou en remobilisation des sédiments / kein sichtbares Defizit beim Geschiebehaushalt bzw. bei der Mobilisierung von Geschiebe"</formula>
    </cfRule>
    <cfRule type="cellIs" dxfId="2447" priority="831" stopIfTrue="1" operator="equal">
      <formula>"Charriage présumé perturbé / Geschiebehaushalt vermutlich beeinträchtigt"</formula>
    </cfRule>
    <cfRule type="cellIs" dxfId="2446" priority="832" stopIfTrue="1" operator="equal">
      <formula>"Charriage présumé naturel / Geschiebehaushalt vermutlich natürlich"</formula>
    </cfRule>
    <cfRule type="cellIs" dxfId="2445" priority="833" stopIfTrue="1" operator="equal">
      <formula>"non pertinent / nicht relevant"</formula>
    </cfRule>
    <cfRule type="cellIs" dxfId="2444" priority="834" stopIfTrue="1" operator="equal">
      <formula>"21-50%"</formula>
    </cfRule>
    <cfRule type="cellIs" dxfId="2443" priority="835" stopIfTrue="1" operator="equal">
      <formula>"51-80%"</formula>
    </cfRule>
  </conditionalFormatting>
  <conditionalFormatting sqref="AD243">
    <cfRule type="cellIs" dxfId="2442" priority="836" stopIfTrue="1" operator="equal">
      <formula>"81 -100%"</formula>
    </cfRule>
    <cfRule type="cellIs" dxfId="2441" priority="837" stopIfTrue="1" operator="equal">
      <formula>"0-20%"</formula>
    </cfRule>
  </conditionalFormatting>
  <conditionalFormatting sqref="AD115">
    <cfRule type="cellIs" dxfId="2440" priority="816" stopIfTrue="1" operator="equal">
      <formula>"Charriage présumé faiblement perturbé / Geschiebe vermutlich leicht beeinträchtigt"</formula>
    </cfRule>
    <cfRule type="cellIs" dxfId="2439" priority="817" stopIfTrue="1" operator="equal">
      <formula>"La remobilisation des sédiments est perturbée / Mobilisierung von Geschiebe beeinträchtigt"</formula>
    </cfRule>
    <cfRule type="cellIs" dxfId="2438" priority="818" stopIfTrue="1" operator="equal">
      <formula>"Problème lié à un manque de charriage ou à un manque de remobilisation des sédiments / Problem aufgrund Geschiebemangels bzw. mangelnder Mobilisierung von Geschiebe"</formula>
    </cfRule>
    <cfRule type="cellIs" dxfId="2437" priority="819" stopIfTrue="1" operator="equal">
      <formula>"Déficit non apparent en charriage ou en remobilisation des sédiments / kein sichtbares Defizit beim Geschiebehaushalt bzw. bei der Mobilisierung von Geschiebe"</formula>
    </cfRule>
    <cfRule type="cellIs" dxfId="2436" priority="820" stopIfTrue="1" operator="equal">
      <formula>"Charriage présumé perturbé / Geschiebehaushalt vermutlich beeinträchtigt"</formula>
    </cfRule>
    <cfRule type="cellIs" dxfId="2435" priority="821" stopIfTrue="1" operator="equal">
      <formula>"Charriage présumé naturel / Geschiebehaushalt vermutlich natürlich"</formula>
    </cfRule>
    <cfRule type="cellIs" dxfId="2434" priority="822" stopIfTrue="1" operator="equal">
      <formula>"non pertinent / nicht relevant"</formula>
    </cfRule>
    <cfRule type="cellIs" dxfId="2433" priority="823" stopIfTrue="1" operator="equal">
      <formula>"21-50%"</formula>
    </cfRule>
    <cfRule type="cellIs" dxfId="2432" priority="824" stopIfTrue="1" operator="equal">
      <formula>"51-80%"</formula>
    </cfRule>
  </conditionalFormatting>
  <conditionalFormatting sqref="AD115">
    <cfRule type="cellIs" dxfId="2431" priority="825" stopIfTrue="1" operator="equal">
      <formula>"81 -100%"</formula>
    </cfRule>
    <cfRule type="cellIs" dxfId="2430" priority="826" stopIfTrue="1" operator="equal">
      <formula>"0-20%"</formula>
    </cfRule>
  </conditionalFormatting>
  <conditionalFormatting sqref="AD116">
    <cfRule type="cellIs" dxfId="2429" priority="805" stopIfTrue="1" operator="equal">
      <formula>"Charriage présumé faiblement perturbé / Geschiebe vermutlich leicht beeinträchtigt"</formula>
    </cfRule>
    <cfRule type="cellIs" dxfId="2428" priority="806" stopIfTrue="1" operator="equal">
      <formula>"La remobilisation des sédiments est perturbée / Mobilisierung von Geschiebe beeinträchtigt"</formula>
    </cfRule>
    <cfRule type="cellIs" dxfId="2427" priority="807" stopIfTrue="1" operator="equal">
      <formula>"Problème lié à un manque de charriage ou à un manque de remobilisation des sédiments / Problem aufgrund Geschiebemangels bzw. mangelnder Mobilisierung von Geschiebe"</formula>
    </cfRule>
    <cfRule type="cellIs" dxfId="2426" priority="808" stopIfTrue="1" operator="equal">
      <formula>"Déficit non apparent en charriage ou en remobilisation des sédiments / kein sichtbares Defizit beim Geschiebehaushalt bzw. bei der Mobilisierung von Geschiebe"</formula>
    </cfRule>
    <cfRule type="cellIs" dxfId="2425" priority="809" stopIfTrue="1" operator="equal">
      <formula>"Charriage présumé perturbé / Geschiebehaushalt vermutlich beeinträchtigt"</formula>
    </cfRule>
    <cfRule type="cellIs" dxfId="2424" priority="810" stopIfTrue="1" operator="equal">
      <formula>"Charriage présumé naturel / Geschiebehaushalt vermutlich natürlich"</formula>
    </cfRule>
    <cfRule type="cellIs" dxfId="2423" priority="811" stopIfTrue="1" operator="equal">
      <formula>"non pertinent / nicht relevant"</formula>
    </cfRule>
    <cfRule type="cellIs" dxfId="2422" priority="812" stopIfTrue="1" operator="equal">
      <formula>"21-50%"</formula>
    </cfRule>
    <cfRule type="cellIs" dxfId="2421" priority="813" stopIfTrue="1" operator="equal">
      <formula>"51-80%"</formula>
    </cfRule>
  </conditionalFormatting>
  <conditionalFormatting sqref="AD116">
    <cfRule type="cellIs" dxfId="2420" priority="814" stopIfTrue="1" operator="equal">
      <formula>"81 -100%"</formula>
    </cfRule>
    <cfRule type="cellIs" dxfId="2419" priority="815" stopIfTrue="1" operator="equal">
      <formula>"0-20%"</formula>
    </cfRule>
  </conditionalFormatting>
  <conditionalFormatting sqref="AD117">
    <cfRule type="cellIs" dxfId="2418" priority="794" stopIfTrue="1" operator="equal">
      <formula>"Charriage présumé faiblement perturbé / Geschiebe vermutlich leicht beeinträchtigt"</formula>
    </cfRule>
    <cfRule type="cellIs" dxfId="2417" priority="795" stopIfTrue="1" operator="equal">
      <formula>"La remobilisation des sédiments est perturbée / Mobilisierung von Geschiebe beeinträchtigt"</formula>
    </cfRule>
    <cfRule type="cellIs" dxfId="2416" priority="796" stopIfTrue="1" operator="equal">
      <formula>"Problème lié à un manque de charriage ou à un manque de remobilisation des sédiments / Problem aufgrund Geschiebemangels bzw. mangelnder Mobilisierung von Geschiebe"</formula>
    </cfRule>
    <cfRule type="cellIs" dxfId="2415" priority="797" stopIfTrue="1" operator="equal">
      <formula>"Déficit non apparent en charriage ou en remobilisation des sédiments / kein sichtbares Defizit beim Geschiebehaushalt bzw. bei der Mobilisierung von Geschiebe"</formula>
    </cfRule>
    <cfRule type="cellIs" dxfId="2414" priority="798" stopIfTrue="1" operator="equal">
      <formula>"Charriage présumé perturbé / Geschiebehaushalt vermutlich beeinträchtigt"</formula>
    </cfRule>
    <cfRule type="cellIs" dxfId="2413" priority="799" stopIfTrue="1" operator="equal">
      <formula>"Charriage présumé naturel / Geschiebehaushalt vermutlich natürlich"</formula>
    </cfRule>
    <cfRule type="cellIs" dxfId="2412" priority="800" stopIfTrue="1" operator="equal">
      <formula>"non pertinent / nicht relevant"</formula>
    </cfRule>
    <cfRule type="cellIs" dxfId="2411" priority="801" stopIfTrue="1" operator="equal">
      <formula>"21-50%"</formula>
    </cfRule>
    <cfRule type="cellIs" dxfId="2410" priority="802" stopIfTrue="1" operator="equal">
      <formula>"51-80%"</formula>
    </cfRule>
  </conditionalFormatting>
  <conditionalFormatting sqref="AD117">
    <cfRule type="cellIs" dxfId="2409" priority="803" stopIfTrue="1" operator="equal">
      <formula>"81 -100%"</formula>
    </cfRule>
    <cfRule type="cellIs" dxfId="2408" priority="804" stopIfTrue="1" operator="equal">
      <formula>"0-20%"</formula>
    </cfRule>
  </conditionalFormatting>
  <conditionalFormatting sqref="AD118">
    <cfRule type="cellIs" dxfId="2407" priority="783" stopIfTrue="1" operator="equal">
      <formula>"Charriage présumé faiblement perturbé / Geschiebe vermutlich leicht beeinträchtigt"</formula>
    </cfRule>
    <cfRule type="cellIs" dxfId="2406" priority="784" stopIfTrue="1" operator="equal">
      <formula>"La remobilisation des sédiments est perturbée / Mobilisierung von Geschiebe beeinträchtigt"</formula>
    </cfRule>
    <cfRule type="cellIs" dxfId="2405" priority="785" stopIfTrue="1" operator="equal">
      <formula>"Problème lié à un manque de charriage ou à un manque de remobilisation des sédiments / Problem aufgrund Geschiebemangels bzw. mangelnder Mobilisierung von Geschiebe"</formula>
    </cfRule>
    <cfRule type="cellIs" dxfId="2404" priority="786" stopIfTrue="1" operator="equal">
      <formula>"Déficit non apparent en charriage ou en remobilisation des sédiments / kein sichtbares Defizit beim Geschiebehaushalt bzw. bei der Mobilisierung von Geschiebe"</formula>
    </cfRule>
    <cfRule type="cellIs" dxfId="2403" priority="787" stopIfTrue="1" operator="equal">
      <formula>"Charriage présumé perturbé / Geschiebehaushalt vermutlich beeinträchtigt"</formula>
    </cfRule>
    <cfRule type="cellIs" dxfId="2402" priority="788" stopIfTrue="1" operator="equal">
      <formula>"Charriage présumé naturel / Geschiebehaushalt vermutlich natürlich"</formula>
    </cfRule>
    <cfRule type="cellIs" dxfId="2401" priority="789" stopIfTrue="1" operator="equal">
      <formula>"non pertinent / nicht relevant"</formula>
    </cfRule>
    <cfRule type="cellIs" dxfId="2400" priority="790" stopIfTrue="1" operator="equal">
      <formula>"21-50%"</formula>
    </cfRule>
    <cfRule type="cellIs" dxfId="2399" priority="791" stopIfTrue="1" operator="equal">
      <formula>"51-80%"</formula>
    </cfRule>
  </conditionalFormatting>
  <conditionalFormatting sqref="AD118">
    <cfRule type="cellIs" dxfId="2398" priority="792" stopIfTrue="1" operator="equal">
      <formula>"81 -100%"</formula>
    </cfRule>
    <cfRule type="cellIs" dxfId="2397" priority="793" stopIfTrue="1" operator="equal">
      <formula>"0-20%"</formula>
    </cfRule>
  </conditionalFormatting>
  <conditionalFormatting sqref="AE178">
    <cfRule type="cellIs" dxfId="2396" priority="772" stopIfTrue="1" operator="equal">
      <formula>"Charriage présumé faiblement perturbé / Geschiebe vermutlich leicht beeinträchtigt"</formula>
    </cfRule>
    <cfRule type="cellIs" dxfId="2395" priority="773" stopIfTrue="1" operator="equal">
      <formula>"La remobilisation des sédiments est perturbée / Mobilisierung von Geschiebe beeinträchtigt"</formula>
    </cfRule>
    <cfRule type="cellIs" dxfId="2394" priority="774" stopIfTrue="1" operator="equal">
      <formula>"Problème lié à un manque de charriage ou à un manque de remobilisation des sédiments / Problem aufgrund Geschiebemangels bzw. mangelnder Mobilisierung von Geschiebe"</formula>
    </cfRule>
    <cfRule type="cellIs" dxfId="2393" priority="775" stopIfTrue="1" operator="equal">
      <formula>"Déficit non apparent en charriage ou en remobilisation des sédiments / kein sichtbares Defizit beim Geschiebehaushalt bzw. bei der Mobilisierung von Geschiebe"</formula>
    </cfRule>
    <cfRule type="cellIs" dxfId="2392" priority="776" stopIfTrue="1" operator="equal">
      <formula>"Charriage présumé perturbé / Geschiebehaushalt vermutlich beeinträchtigt"</formula>
    </cfRule>
    <cfRule type="cellIs" dxfId="2391" priority="777" stopIfTrue="1" operator="equal">
      <formula>"Charriage présumé naturel / Geschiebehaushalt vermutlich natürlich"</formula>
    </cfRule>
    <cfRule type="cellIs" dxfId="2390" priority="778" stopIfTrue="1" operator="equal">
      <formula>"non pertinent / nicht relevant"</formula>
    </cfRule>
    <cfRule type="cellIs" dxfId="2389" priority="779" stopIfTrue="1" operator="equal">
      <formula>"21-50%"</formula>
    </cfRule>
    <cfRule type="cellIs" dxfId="2388" priority="780" stopIfTrue="1" operator="equal">
      <formula>"51-80%"</formula>
    </cfRule>
  </conditionalFormatting>
  <conditionalFormatting sqref="AE178">
    <cfRule type="cellIs" dxfId="2387" priority="781" stopIfTrue="1" operator="equal">
      <formula>"81 -100%"</formula>
    </cfRule>
    <cfRule type="cellIs" dxfId="2386" priority="782" stopIfTrue="1" operator="equal">
      <formula>"0-20%"</formula>
    </cfRule>
  </conditionalFormatting>
  <conditionalFormatting sqref="AD236">
    <cfRule type="cellIs" dxfId="2385" priority="761" stopIfTrue="1" operator="equal">
      <formula>"Charriage présumé faiblement perturbé / Geschiebe vermutlich leicht beeinträchtigt"</formula>
    </cfRule>
    <cfRule type="cellIs" dxfId="2384" priority="762" stopIfTrue="1" operator="equal">
      <formula>"La remobilisation des sédiments est perturbée / Mobilisierung von Geschiebe beeinträchtigt"</formula>
    </cfRule>
    <cfRule type="cellIs" dxfId="2383" priority="763" stopIfTrue="1" operator="equal">
      <formula>"Problème lié à un manque de charriage ou à un manque de remobilisation des sédiments / Problem aufgrund Geschiebemangels bzw. mangelnder Mobilisierung von Geschiebe"</formula>
    </cfRule>
    <cfRule type="cellIs" dxfId="2382" priority="764" stopIfTrue="1" operator="equal">
      <formula>"Déficit non apparent en charriage ou en remobilisation des sédiments / kein sichtbares Defizit beim Geschiebehaushalt bzw. bei der Mobilisierung von Geschiebe"</formula>
    </cfRule>
    <cfRule type="cellIs" dxfId="2381" priority="765" stopIfTrue="1" operator="equal">
      <formula>"Charriage présumé perturbé / Geschiebehaushalt vermutlich beeinträchtigt"</formula>
    </cfRule>
    <cfRule type="cellIs" dxfId="2380" priority="766" stopIfTrue="1" operator="equal">
      <formula>"Charriage présumé naturel / Geschiebehaushalt vermutlich natürlich"</formula>
    </cfRule>
    <cfRule type="cellIs" dxfId="2379" priority="767" stopIfTrue="1" operator="equal">
      <formula>"non pertinent / nicht relevant"</formula>
    </cfRule>
    <cfRule type="cellIs" dxfId="2378" priority="768" stopIfTrue="1" operator="equal">
      <formula>"21-50%"</formula>
    </cfRule>
    <cfRule type="cellIs" dxfId="2377" priority="769" stopIfTrue="1" operator="equal">
      <formula>"51-80%"</formula>
    </cfRule>
  </conditionalFormatting>
  <conditionalFormatting sqref="AD236">
    <cfRule type="cellIs" dxfId="2376" priority="770" stopIfTrue="1" operator="equal">
      <formula>"81-100%"</formula>
    </cfRule>
    <cfRule type="cellIs" dxfId="2375" priority="771" stopIfTrue="1" operator="equal">
      <formula>"0-20%"</formula>
    </cfRule>
  </conditionalFormatting>
  <conditionalFormatting sqref="AD4:AE9 AD79:AD143 AD58:AE78 AD10:AD57 AE79 AD144:AE274">
    <cfRule type="cellIs" dxfId="2374" priority="756" operator="equal">
      <formula>"non pertinent / nicht relevant"</formula>
    </cfRule>
    <cfRule type="cellIs" dxfId="2373" priority="757" operator="equal">
      <formula>"81-100%"</formula>
    </cfRule>
    <cfRule type="cellIs" dxfId="2372" priority="758" operator="equal">
      <formula>"51-80%"</formula>
    </cfRule>
    <cfRule type="cellIs" dxfId="2371" priority="759" operator="equal">
      <formula>"21-50%"</formula>
    </cfRule>
    <cfRule type="cellIs" dxfId="2370" priority="760" operator="equal">
      <formula>"0-20%"</formula>
    </cfRule>
  </conditionalFormatting>
  <conditionalFormatting sqref="Z275">
    <cfRule type="cellIs" dxfId="2369" priority="745" stopIfTrue="1" operator="equal">
      <formula>"Charriage présumé faiblement perturbé / Geschiebe vermutlich leicht beeinträchtigt"</formula>
    </cfRule>
    <cfRule type="cellIs" dxfId="2368" priority="746" stopIfTrue="1" operator="equal">
      <formula>"La remobilisation des sédiments est perturbée / Mobilisierung von Geschiebe beeinträchtigt"</formula>
    </cfRule>
    <cfRule type="cellIs" dxfId="2367" priority="747" stopIfTrue="1" operator="equal">
      <formula>"Problème lié à un manque de charriage ou à un manque de remobilisation des sédiments / Problem aufgrund Geschiebemangels bzw. mangelnder Mobilisierung von Geschiebe"</formula>
    </cfRule>
    <cfRule type="cellIs" dxfId="2366" priority="748" stopIfTrue="1" operator="equal">
      <formula>"Déficit non apparent en charriage ou en remobilisation des sédiments / kein sichtbares Defizit beim Geschiebehaushalt bzw. bei der Mobilisierung von Geschiebe"</formula>
    </cfRule>
    <cfRule type="cellIs" dxfId="2365" priority="749" stopIfTrue="1" operator="equal">
      <formula>"Charriage présumé perturbé / Geschiebehaushalt vermutlich beeinträchtigt"</formula>
    </cfRule>
    <cfRule type="cellIs" dxfId="2364" priority="750" stopIfTrue="1" operator="equal">
      <formula>"Charriage présumé naturel / Geschiebehaushalt vermutlich natürlich"</formula>
    </cfRule>
    <cfRule type="cellIs" dxfId="2363" priority="751" stopIfTrue="1" operator="equal">
      <formula>"non pertinent / nicht relevant"</formula>
    </cfRule>
    <cfRule type="cellIs" dxfId="2362" priority="752" stopIfTrue="1" operator="equal">
      <formula>"21-50%"</formula>
    </cfRule>
    <cfRule type="cellIs" dxfId="2361" priority="753" stopIfTrue="1" operator="equal">
      <formula>"51-80%"</formula>
    </cfRule>
  </conditionalFormatting>
  <conditionalFormatting sqref="Z275">
    <cfRule type="cellIs" dxfId="2360" priority="754" stopIfTrue="1" operator="equal">
      <formula>"81 -100%"</formula>
    </cfRule>
    <cfRule type="cellIs" dxfId="2359" priority="755" stopIfTrue="1" operator="equal">
      <formula>"0-20%"</formula>
    </cfRule>
  </conditionalFormatting>
  <conditionalFormatting sqref="AD275:AE275">
    <cfRule type="cellIs" dxfId="2358" priority="740" operator="equal">
      <formula>"non pertinent / nicht relevant"</formula>
    </cfRule>
    <cfRule type="cellIs" dxfId="2357" priority="741" operator="equal">
      <formula>"81-100%"</formula>
    </cfRule>
    <cfRule type="cellIs" dxfId="2356" priority="742" operator="equal">
      <formula>"51-80%"</formula>
    </cfRule>
    <cfRule type="cellIs" dxfId="2355" priority="743" operator="equal">
      <formula>"21-50%"</formula>
    </cfRule>
    <cfRule type="cellIs" dxfId="2354" priority="744" operator="equal">
      <formula>"0-20%"</formula>
    </cfRule>
  </conditionalFormatting>
  <conditionalFormatting sqref="AE80:AE142">
    <cfRule type="cellIs" dxfId="2353" priority="735" operator="equal">
      <formula>"non pertinent / nicht relevant"</formula>
    </cfRule>
    <cfRule type="cellIs" dxfId="2352" priority="736" operator="equal">
      <formula>"81-100%"</formula>
    </cfRule>
    <cfRule type="cellIs" dxfId="2351" priority="737" operator="equal">
      <formula>"51-80%"</formula>
    </cfRule>
    <cfRule type="cellIs" dxfId="2350" priority="738" operator="equal">
      <formula>"21-50%"</formula>
    </cfRule>
    <cfRule type="cellIs" dxfId="2349" priority="739" operator="equal">
      <formula>"0-20%"</formula>
    </cfRule>
  </conditionalFormatting>
  <conditionalFormatting sqref="AE11:AE17">
    <cfRule type="cellIs" dxfId="2348" priority="730" operator="equal">
      <formula>"non pertinent / nicht relevant"</formula>
    </cfRule>
    <cfRule type="cellIs" dxfId="2347" priority="731" operator="equal">
      <formula>"81-100%"</formula>
    </cfRule>
    <cfRule type="cellIs" dxfId="2346" priority="732" operator="equal">
      <formula>"51-80%"</formula>
    </cfRule>
    <cfRule type="cellIs" dxfId="2345" priority="733" operator="equal">
      <formula>"21-50%"</formula>
    </cfRule>
    <cfRule type="cellIs" dxfId="2344" priority="734" operator="equal">
      <formula>"0-20%"</formula>
    </cfRule>
  </conditionalFormatting>
  <conditionalFormatting sqref="AE22:AE57">
    <cfRule type="cellIs" dxfId="2343" priority="725" operator="equal">
      <formula>"non pertinent / nicht relevant"</formula>
    </cfRule>
    <cfRule type="cellIs" dxfId="2342" priority="726" operator="equal">
      <formula>"81-100%"</formula>
    </cfRule>
    <cfRule type="cellIs" dxfId="2341" priority="727" operator="equal">
      <formula>"51-80%"</formula>
    </cfRule>
    <cfRule type="cellIs" dxfId="2340" priority="728" operator="equal">
      <formula>"21-50%"</formula>
    </cfRule>
    <cfRule type="cellIs" dxfId="2339" priority="729" operator="equal">
      <formula>"0-20%"</formula>
    </cfRule>
  </conditionalFormatting>
  <conditionalFormatting sqref="AE18">
    <cfRule type="cellIs" dxfId="2338" priority="720" operator="equal">
      <formula>"non pertinent / nicht relevant"</formula>
    </cfRule>
    <cfRule type="cellIs" dxfId="2337" priority="721" operator="equal">
      <formula>"81-100%"</formula>
    </cfRule>
    <cfRule type="cellIs" dxfId="2336" priority="722" operator="equal">
      <formula>"51-80%"</formula>
    </cfRule>
    <cfRule type="cellIs" dxfId="2335" priority="723" operator="equal">
      <formula>"21-50%"</formula>
    </cfRule>
    <cfRule type="cellIs" dxfId="2334" priority="724" operator="equal">
      <formula>"0-20%"</formula>
    </cfRule>
  </conditionalFormatting>
  <conditionalFormatting sqref="AE19:AE20">
    <cfRule type="cellIs" dxfId="2333" priority="715" operator="equal">
      <formula>"non pertinent / nicht relevant"</formula>
    </cfRule>
    <cfRule type="cellIs" dxfId="2332" priority="716" operator="equal">
      <formula>"81-100%"</formula>
    </cfRule>
    <cfRule type="cellIs" dxfId="2331" priority="717" operator="equal">
      <formula>"51-80%"</formula>
    </cfRule>
    <cfRule type="cellIs" dxfId="2330" priority="718" operator="equal">
      <formula>"21-50%"</formula>
    </cfRule>
    <cfRule type="cellIs" dxfId="2329" priority="719" operator="equal">
      <formula>"0-20%"</formula>
    </cfRule>
  </conditionalFormatting>
  <conditionalFormatting sqref="AE21">
    <cfRule type="cellIs" dxfId="2328" priority="710" operator="equal">
      <formula>"non pertinent / nicht relevant"</formula>
    </cfRule>
    <cfRule type="cellIs" dxfId="2327" priority="711" operator="equal">
      <formula>"81-100%"</formula>
    </cfRule>
    <cfRule type="cellIs" dxfId="2326" priority="712" operator="equal">
      <formula>"51-80%"</formula>
    </cfRule>
    <cfRule type="cellIs" dxfId="2325" priority="713" operator="equal">
      <formula>"21-50%"</formula>
    </cfRule>
    <cfRule type="cellIs" dxfId="2324" priority="714" operator="equal">
      <formula>"0-20%"</formula>
    </cfRule>
  </conditionalFormatting>
  <conditionalFormatting sqref="AE143">
    <cfRule type="cellIs" dxfId="2323" priority="705" operator="equal">
      <formula>"non pertinent / nicht relevant"</formula>
    </cfRule>
    <cfRule type="cellIs" dxfId="2322" priority="706" operator="equal">
      <formula>"81-100%"</formula>
    </cfRule>
    <cfRule type="cellIs" dxfId="2321" priority="707" operator="equal">
      <formula>"51-80%"</formula>
    </cfRule>
    <cfRule type="cellIs" dxfId="2320" priority="708" operator="equal">
      <formula>"21-50%"</formula>
    </cfRule>
    <cfRule type="cellIs" dxfId="2319" priority="709" operator="equal">
      <formula>"0-20%"</formula>
    </cfRule>
  </conditionalFormatting>
  <conditionalFormatting sqref="AE10">
    <cfRule type="cellIs" dxfId="2318" priority="700" operator="equal">
      <formula>"non pertinent / nicht relevant"</formula>
    </cfRule>
    <cfRule type="cellIs" dxfId="2317" priority="701" operator="equal">
      <formula>"81-100%"</formula>
    </cfRule>
    <cfRule type="cellIs" dxfId="2316" priority="702" operator="equal">
      <formula>"51-80%"</formula>
    </cfRule>
    <cfRule type="cellIs" dxfId="2315" priority="703" operator="equal">
      <formula>"21-50%"</formula>
    </cfRule>
    <cfRule type="cellIs" dxfId="2314" priority="704" operator="equal">
      <formula>"0-20%"</formula>
    </cfRule>
  </conditionalFormatting>
  <conditionalFormatting sqref="AI147">
    <cfRule type="cellIs" dxfId="2313" priority="695" operator="equal">
      <formula>"non pertinent / nicht relevant"</formula>
    </cfRule>
    <cfRule type="cellIs" dxfId="2312" priority="696" operator="equal">
      <formula>"81-100%"</formula>
    </cfRule>
    <cfRule type="cellIs" dxfId="2311" priority="697" operator="equal">
      <formula>"51-80%"</formula>
    </cfRule>
    <cfRule type="cellIs" dxfId="2310" priority="698" operator="equal">
      <formula>"21-50%"</formula>
    </cfRule>
    <cfRule type="cellIs" dxfId="2309" priority="699" operator="equal">
      <formula>"0-20%"</formula>
    </cfRule>
  </conditionalFormatting>
  <conditionalFormatting sqref="AI148">
    <cfRule type="cellIs" dxfId="2308" priority="690" operator="equal">
      <formula>"non pertinent / nicht relevant"</formula>
    </cfRule>
    <cfRule type="cellIs" dxfId="2307" priority="691" operator="equal">
      <formula>"81-100%"</formula>
    </cfRule>
    <cfRule type="cellIs" dxfId="2306" priority="692" operator="equal">
      <formula>"51-80%"</formula>
    </cfRule>
    <cfRule type="cellIs" dxfId="2305" priority="693" operator="equal">
      <formula>"21-50%"</formula>
    </cfRule>
    <cfRule type="cellIs" dxfId="2304" priority="694" operator="equal">
      <formula>"0-20%"</formula>
    </cfRule>
  </conditionalFormatting>
  <conditionalFormatting sqref="AI149">
    <cfRule type="cellIs" dxfId="2303" priority="685" operator="equal">
      <formula>"non pertinent / nicht relevant"</formula>
    </cfRule>
    <cfRule type="cellIs" dxfId="2302" priority="686" operator="equal">
      <formula>"81-100%"</formula>
    </cfRule>
    <cfRule type="cellIs" dxfId="2301" priority="687" operator="equal">
      <formula>"51-80%"</formula>
    </cfRule>
    <cfRule type="cellIs" dxfId="2300" priority="688" operator="equal">
      <formula>"21-50%"</formula>
    </cfRule>
    <cfRule type="cellIs" dxfId="2299" priority="689" operator="equal">
      <formula>"0-20%"</formula>
    </cfRule>
  </conditionalFormatting>
  <conditionalFormatting sqref="AI150">
    <cfRule type="cellIs" dxfId="2298" priority="680" operator="equal">
      <formula>"non pertinent / nicht relevant"</formula>
    </cfRule>
    <cfRule type="cellIs" dxfId="2297" priority="681" operator="equal">
      <formula>"81-100%"</formula>
    </cfRule>
    <cfRule type="cellIs" dxfId="2296" priority="682" operator="equal">
      <formula>"51-80%"</formula>
    </cfRule>
    <cfRule type="cellIs" dxfId="2295" priority="683" operator="equal">
      <formula>"21-50%"</formula>
    </cfRule>
    <cfRule type="cellIs" dxfId="2294" priority="684" operator="equal">
      <formula>"0-20%"</formula>
    </cfRule>
  </conditionalFormatting>
  <conditionalFormatting sqref="AI151">
    <cfRule type="cellIs" dxfId="2293" priority="675" operator="equal">
      <formula>"non pertinent / nicht relevant"</formula>
    </cfRule>
    <cfRule type="cellIs" dxfId="2292" priority="676" operator="equal">
      <formula>"81-100%"</formula>
    </cfRule>
    <cfRule type="cellIs" dxfId="2291" priority="677" operator="equal">
      <formula>"51-80%"</formula>
    </cfRule>
    <cfRule type="cellIs" dxfId="2290" priority="678" operator="equal">
      <formula>"21-50%"</formula>
    </cfRule>
    <cfRule type="cellIs" dxfId="2289" priority="679" operator="equal">
      <formula>"0-20%"</formula>
    </cfRule>
  </conditionalFormatting>
  <conditionalFormatting sqref="AI153">
    <cfRule type="cellIs" dxfId="2288" priority="670" operator="equal">
      <formula>"non pertinent / nicht relevant"</formula>
    </cfRule>
    <cfRule type="cellIs" dxfId="2287" priority="671" operator="equal">
      <formula>"81-100%"</formula>
    </cfRule>
    <cfRule type="cellIs" dxfId="2286" priority="672" operator="equal">
      <formula>"51-80%"</formula>
    </cfRule>
    <cfRule type="cellIs" dxfId="2285" priority="673" operator="equal">
      <formula>"21-50%"</formula>
    </cfRule>
    <cfRule type="cellIs" dxfId="2284" priority="674" operator="equal">
      <formula>"0-20%"</formula>
    </cfRule>
  </conditionalFormatting>
  <conditionalFormatting sqref="AI154">
    <cfRule type="cellIs" dxfId="2283" priority="665" operator="equal">
      <formula>"non pertinent / nicht relevant"</formula>
    </cfRule>
    <cfRule type="cellIs" dxfId="2282" priority="666" operator="equal">
      <formula>"81-100%"</formula>
    </cfRule>
    <cfRule type="cellIs" dxfId="2281" priority="667" operator="equal">
      <formula>"51-80%"</formula>
    </cfRule>
    <cfRule type="cellIs" dxfId="2280" priority="668" operator="equal">
      <formula>"21-50%"</formula>
    </cfRule>
    <cfRule type="cellIs" dxfId="2279" priority="669" operator="equal">
      <formula>"0-20%"</formula>
    </cfRule>
  </conditionalFormatting>
  <conditionalFormatting sqref="AI155">
    <cfRule type="cellIs" dxfId="2278" priority="660" operator="equal">
      <formula>"non pertinent / nicht relevant"</formula>
    </cfRule>
    <cfRule type="cellIs" dxfId="2277" priority="661" operator="equal">
      <formula>"81-100%"</formula>
    </cfRule>
    <cfRule type="cellIs" dxfId="2276" priority="662" operator="equal">
      <formula>"51-80%"</formula>
    </cfRule>
    <cfRule type="cellIs" dxfId="2275" priority="663" operator="equal">
      <formula>"21-50%"</formula>
    </cfRule>
    <cfRule type="cellIs" dxfId="2274" priority="664" operator="equal">
      <formula>"0-20%"</formula>
    </cfRule>
  </conditionalFormatting>
  <conditionalFormatting sqref="AI156">
    <cfRule type="cellIs" dxfId="2273" priority="655" operator="equal">
      <formula>"non pertinent / nicht relevant"</formula>
    </cfRule>
    <cfRule type="cellIs" dxfId="2272" priority="656" operator="equal">
      <formula>"81-100%"</formula>
    </cfRule>
    <cfRule type="cellIs" dxfId="2271" priority="657" operator="equal">
      <formula>"51-80%"</formula>
    </cfRule>
    <cfRule type="cellIs" dxfId="2270" priority="658" operator="equal">
      <formula>"21-50%"</formula>
    </cfRule>
    <cfRule type="cellIs" dxfId="2269" priority="659" operator="equal">
      <formula>"0-20%"</formula>
    </cfRule>
  </conditionalFormatting>
  <conditionalFormatting sqref="AI157">
    <cfRule type="cellIs" dxfId="2268" priority="650" operator="equal">
      <formula>"non pertinent / nicht relevant"</formula>
    </cfRule>
    <cfRule type="cellIs" dxfId="2267" priority="651" operator="equal">
      <formula>"81-100%"</formula>
    </cfRule>
    <cfRule type="cellIs" dxfId="2266" priority="652" operator="equal">
      <formula>"51-80%"</formula>
    </cfRule>
    <cfRule type="cellIs" dxfId="2265" priority="653" operator="equal">
      <formula>"21-50%"</formula>
    </cfRule>
    <cfRule type="cellIs" dxfId="2264" priority="654" operator="equal">
      <formula>"0-20%"</formula>
    </cfRule>
  </conditionalFormatting>
  <conditionalFormatting sqref="AK18">
    <cfRule type="cellIs" dxfId="2263" priority="565" operator="equal">
      <formula>"non pertinent / nicht relevant"</formula>
    </cfRule>
    <cfRule type="cellIs" dxfId="2262" priority="566" operator="equal">
      <formula>"81-100%"</formula>
    </cfRule>
    <cfRule type="cellIs" dxfId="2261" priority="567" operator="equal">
      <formula>"51-80%"</formula>
    </cfRule>
    <cfRule type="cellIs" dxfId="2260" priority="568" operator="equal">
      <formula>"21-50%"</formula>
    </cfRule>
    <cfRule type="cellIs" dxfId="2259" priority="569" operator="equal">
      <formula>"0-20%"</formula>
    </cfRule>
  </conditionalFormatting>
  <conditionalFormatting sqref="AK9">
    <cfRule type="cellIs" dxfId="2258" priority="625" operator="equal">
      <formula>"non pertinent / nicht relevant"</formula>
    </cfRule>
    <cfRule type="cellIs" dxfId="2257" priority="626" operator="equal">
      <formula>"81-100%"</formula>
    </cfRule>
    <cfRule type="cellIs" dxfId="2256" priority="627" operator="equal">
      <formula>"51-80%"</formula>
    </cfRule>
    <cfRule type="cellIs" dxfId="2255" priority="628" operator="equal">
      <formula>"21-50%"</formula>
    </cfRule>
    <cfRule type="cellIs" dxfId="2254" priority="629" operator="equal">
      <formula>"0-20%"</formula>
    </cfRule>
  </conditionalFormatting>
  <conditionalFormatting sqref="AK10">
    <cfRule type="cellIs" dxfId="2253" priority="620" operator="equal">
      <formula>"non pertinent / nicht relevant"</formula>
    </cfRule>
    <cfRule type="cellIs" dxfId="2252" priority="621" operator="equal">
      <formula>"81-100%"</formula>
    </cfRule>
    <cfRule type="cellIs" dxfId="2251" priority="622" operator="equal">
      <formula>"51-80%"</formula>
    </cfRule>
    <cfRule type="cellIs" dxfId="2250" priority="623" operator="equal">
      <formula>"21-50%"</formula>
    </cfRule>
    <cfRule type="cellIs" dxfId="2249" priority="624" operator="equal">
      <formula>"0-20%"</formula>
    </cfRule>
  </conditionalFormatting>
  <conditionalFormatting sqref="AK11">
    <cfRule type="cellIs" dxfId="2248" priority="615" operator="equal">
      <formula>"non pertinent / nicht relevant"</formula>
    </cfRule>
    <cfRule type="cellIs" dxfId="2247" priority="616" operator="equal">
      <formula>"81-100%"</formula>
    </cfRule>
    <cfRule type="cellIs" dxfId="2246" priority="617" operator="equal">
      <formula>"51-80%"</formula>
    </cfRule>
    <cfRule type="cellIs" dxfId="2245" priority="618" operator="equal">
      <formula>"21-50%"</formula>
    </cfRule>
    <cfRule type="cellIs" dxfId="2244" priority="619" operator="equal">
      <formula>"0-20%"</formula>
    </cfRule>
  </conditionalFormatting>
  <conditionalFormatting sqref="AK13">
    <cfRule type="cellIs" dxfId="2243" priority="610" operator="equal">
      <formula>"non pertinent / nicht relevant"</formula>
    </cfRule>
    <cfRule type="cellIs" dxfId="2242" priority="611" operator="equal">
      <formula>"81-100%"</formula>
    </cfRule>
    <cfRule type="cellIs" dxfId="2241" priority="612" operator="equal">
      <formula>"51-80%"</formula>
    </cfRule>
    <cfRule type="cellIs" dxfId="2240" priority="613" operator="equal">
      <formula>"21-50%"</formula>
    </cfRule>
    <cfRule type="cellIs" dxfId="2239" priority="614" operator="equal">
      <formula>"0-20%"</formula>
    </cfRule>
  </conditionalFormatting>
  <conditionalFormatting sqref="AK45">
    <cfRule type="cellIs" dxfId="2238" priority="605" operator="equal">
      <formula>"non pertinent / nicht relevant"</formula>
    </cfRule>
    <cfRule type="cellIs" dxfId="2237" priority="606" operator="equal">
      <formula>"81-100%"</formula>
    </cfRule>
    <cfRule type="cellIs" dxfId="2236" priority="607" operator="equal">
      <formula>"51-80%"</formula>
    </cfRule>
    <cfRule type="cellIs" dxfId="2235" priority="608" operator="equal">
      <formula>"21-50%"</formula>
    </cfRule>
    <cfRule type="cellIs" dxfId="2234" priority="609" operator="equal">
      <formula>"0-20%"</formula>
    </cfRule>
  </conditionalFormatting>
  <conditionalFormatting sqref="AK69">
    <cfRule type="cellIs" dxfId="2233" priority="600" operator="equal">
      <formula>"non pertinent / nicht relevant"</formula>
    </cfRule>
    <cfRule type="cellIs" dxfId="2232" priority="601" operator="equal">
      <formula>"81-100%"</formula>
    </cfRule>
    <cfRule type="cellIs" dxfId="2231" priority="602" operator="equal">
      <formula>"51-80%"</formula>
    </cfRule>
    <cfRule type="cellIs" dxfId="2230" priority="603" operator="equal">
      <formula>"21-50%"</formula>
    </cfRule>
    <cfRule type="cellIs" dxfId="2229" priority="604" operator="equal">
      <formula>"0-20%"</formula>
    </cfRule>
  </conditionalFormatting>
  <conditionalFormatting sqref="AK70">
    <cfRule type="cellIs" dxfId="2228" priority="595" operator="equal">
      <formula>"non pertinent / nicht relevant"</formula>
    </cfRule>
    <cfRule type="cellIs" dxfId="2227" priority="596" operator="equal">
      <formula>"81-100%"</formula>
    </cfRule>
    <cfRule type="cellIs" dxfId="2226" priority="597" operator="equal">
      <formula>"51-80%"</formula>
    </cfRule>
    <cfRule type="cellIs" dxfId="2225" priority="598" operator="equal">
      <formula>"21-50%"</formula>
    </cfRule>
    <cfRule type="cellIs" dxfId="2224" priority="599" operator="equal">
      <formula>"0-20%"</formula>
    </cfRule>
  </conditionalFormatting>
  <conditionalFormatting sqref="AK72">
    <cfRule type="cellIs" dxfId="2223" priority="590" operator="equal">
      <formula>"non pertinent / nicht relevant"</formula>
    </cfRule>
    <cfRule type="cellIs" dxfId="2222" priority="591" operator="equal">
      <formula>"81-100%"</formula>
    </cfRule>
    <cfRule type="cellIs" dxfId="2221" priority="592" operator="equal">
      <formula>"51-80%"</formula>
    </cfRule>
    <cfRule type="cellIs" dxfId="2220" priority="593" operator="equal">
      <formula>"21-50%"</formula>
    </cfRule>
    <cfRule type="cellIs" dxfId="2219" priority="594" operator="equal">
      <formula>"0-20%"</formula>
    </cfRule>
  </conditionalFormatting>
  <conditionalFormatting sqref="AK73">
    <cfRule type="cellIs" dxfId="2218" priority="585" operator="equal">
      <formula>"non pertinent / nicht relevant"</formula>
    </cfRule>
    <cfRule type="cellIs" dxfId="2217" priority="586" operator="equal">
      <formula>"81-100%"</formula>
    </cfRule>
    <cfRule type="cellIs" dxfId="2216" priority="587" operator="equal">
      <formula>"51-80%"</formula>
    </cfRule>
    <cfRule type="cellIs" dxfId="2215" priority="588" operator="equal">
      <formula>"21-50%"</formula>
    </cfRule>
    <cfRule type="cellIs" dxfId="2214" priority="589" operator="equal">
      <formula>"0-20%"</formula>
    </cfRule>
  </conditionalFormatting>
  <conditionalFormatting sqref="AK12">
    <cfRule type="cellIs" dxfId="2213" priority="580" operator="equal">
      <formula>"non pertinent / nicht relevant"</formula>
    </cfRule>
    <cfRule type="cellIs" dxfId="2212" priority="581" operator="equal">
      <formula>"81-100%"</formula>
    </cfRule>
    <cfRule type="cellIs" dxfId="2211" priority="582" operator="equal">
      <formula>"51-80%"</formula>
    </cfRule>
    <cfRule type="cellIs" dxfId="2210" priority="583" operator="equal">
      <formula>"21-50%"</formula>
    </cfRule>
    <cfRule type="cellIs" dxfId="2209" priority="584" operator="equal">
      <formula>"0-20%"</formula>
    </cfRule>
  </conditionalFormatting>
  <conditionalFormatting sqref="AK14">
    <cfRule type="cellIs" dxfId="2208" priority="575" operator="equal">
      <formula>"non pertinent / nicht relevant"</formula>
    </cfRule>
    <cfRule type="cellIs" dxfId="2207" priority="576" operator="equal">
      <formula>"81-100%"</formula>
    </cfRule>
    <cfRule type="cellIs" dxfId="2206" priority="577" operator="equal">
      <formula>"51-80%"</formula>
    </cfRule>
    <cfRule type="cellIs" dxfId="2205" priority="578" operator="equal">
      <formula>"21-50%"</formula>
    </cfRule>
    <cfRule type="cellIs" dxfId="2204" priority="579" operator="equal">
      <formula>"0-20%"</formula>
    </cfRule>
  </conditionalFormatting>
  <conditionalFormatting sqref="AK17">
    <cfRule type="cellIs" dxfId="2203" priority="570" operator="equal">
      <formula>"non pertinent / nicht relevant"</formula>
    </cfRule>
    <cfRule type="cellIs" dxfId="2202" priority="571" operator="equal">
      <formula>"81-100%"</formula>
    </cfRule>
    <cfRule type="cellIs" dxfId="2201" priority="572" operator="equal">
      <formula>"51-80%"</formula>
    </cfRule>
    <cfRule type="cellIs" dxfId="2200" priority="573" operator="equal">
      <formula>"21-50%"</formula>
    </cfRule>
    <cfRule type="cellIs" dxfId="2199" priority="574" operator="equal">
      <formula>"0-20%"</formula>
    </cfRule>
  </conditionalFormatting>
  <conditionalFormatting sqref="AK146">
    <cfRule type="cellIs" dxfId="2198" priority="95" operator="equal">
      <formula>"non pertinent / nicht relevant"</formula>
    </cfRule>
    <cfRule type="cellIs" dxfId="2197" priority="96" operator="equal">
      <formula>"81-100%"</formula>
    </cfRule>
    <cfRule type="cellIs" dxfId="2196" priority="97" operator="equal">
      <formula>"51-80%"</formula>
    </cfRule>
    <cfRule type="cellIs" dxfId="2195" priority="98" operator="equal">
      <formula>"21-50%"</formula>
    </cfRule>
    <cfRule type="cellIs" dxfId="2194" priority="99" operator="equal">
      <formula>"0-20%"</formula>
    </cfRule>
  </conditionalFormatting>
  <conditionalFormatting sqref="AK21">
    <cfRule type="cellIs" dxfId="2193" priority="560" operator="equal">
      <formula>"non pertinent / nicht relevant"</formula>
    </cfRule>
    <cfRule type="cellIs" dxfId="2192" priority="561" operator="equal">
      <formula>"81-100%"</formula>
    </cfRule>
    <cfRule type="cellIs" dxfId="2191" priority="562" operator="equal">
      <formula>"51-80%"</formula>
    </cfRule>
    <cfRule type="cellIs" dxfId="2190" priority="563" operator="equal">
      <formula>"21-50%"</formula>
    </cfRule>
    <cfRule type="cellIs" dxfId="2189" priority="564" operator="equal">
      <formula>"0-20%"</formula>
    </cfRule>
  </conditionalFormatting>
  <conditionalFormatting sqref="AK19">
    <cfRule type="cellIs" dxfId="2188" priority="555" operator="equal">
      <formula>"non pertinent / nicht relevant"</formula>
    </cfRule>
    <cfRule type="cellIs" dxfId="2187" priority="556" operator="equal">
      <formula>"81-100%"</formula>
    </cfRule>
    <cfRule type="cellIs" dxfId="2186" priority="557" operator="equal">
      <formula>"51-80%"</formula>
    </cfRule>
    <cfRule type="cellIs" dxfId="2185" priority="558" operator="equal">
      <formula>"21-50%"</formula>
    </cfRule>
    <cfRule type="cellIs" dxfId="2184" priority="559" operator="equal">
      <formula>"0-20%"</formula>
    </cfRule>
  </conditionalFormatting>
  <conditionalFormatting sqref="AK20">
    <cfRule type="cellIs" dxfId="2183" priority="550" operator="equal">
      <formula>"non pertinent / nicht relevant"</formula>
    </cfRule>
    <cfRule type="cellIs" dxfId="2182" priority="551" operator="equal">
      <formula>"81-100%"</formula>
    </cfRule>
    <cfRule type="cellIs" dxfId="2181" priority="552" operator="equal">
      <formula>"51-80%"</formula>
    </cfRule>
    <cfRule type="cellIs" dxfId="2180" priority="553" operator="equal">
      <formula>"21-50%"</formula>
    </cfRule>
    <cfRule type="cellIs" dxfId="2179" priority="554" operator="equal">
      <formula>"0-20%"</formula>
    </cfRule>
  </conditionalFormatting>
  <conditionalFormatting sqref="AK22">
    <cfRule type="cellIs" dxfId="2178" priority="545" operator="equal">
      <formula>"non pertinent / nicht relevant"</formula>
    </cfRule>
    <cfRule type="cellIs" dxfId="2177" priority="546" operator="equal">
      <formula>"81-100%"</formula>
    </cfRule>
    <cfRule type="cellIs" dxfId="2176" priority="547" operator="equal">
      <formula>"51-80%"</formula>
    </cfRule>
    <cfRule type="cellIs" dxfId="2175" priority="548" operator="equal">
      <formula>"21-50%"</formula>
    </cfRule>
    <cfRule type="cellIs" dxfId="2174" priority="549" operator="equal">
      <formula>"0-20%"</formula>
    </cfRule>
  </conditionalFormatting>
  <conditionalFormatting sqref="AK23">
    <cfRule type="cellIs" dxfId="2173" priority="540" operator="equal">
      <formula>"non pertinent / nicht relevant"</formula>
    </cfRule>
    <cfRule type="cellIs" dxfId="2172" priority="541" operator="equal">
      <formula>"81-100%"</formula>
    </cfRule>
    <cfRule type="cellIs" dxfId="2171" priority="542" operator="equal">
      <formula>"51-80%"</formula>
    </cfRule>
    <cfRule type="cellIs" dxfId="2170" priority="543" operator="equal">
      <formula>"21-50%"</formula>
    </cfRule>
    <cfRule type="cellIs" dxfId="2169" priority="544" operator="equal">
      <formula>"0-20%"</formula>
    </cfRule>
  </conditionalFormatting>
  <conditionalFormatting sqref="AK24">
    <cfRule type="cellIs" dxfId="2168" priority="535" operator="equal">
      <formula>"non pertinent / nicht relevant"</formula>
    </cfRule>
    <cfRule type="cellIs" dxfId="2167" priority="536" operator="equal">
      <formula>"81-100%"</formula>
    </cfRule>
    <cfRule type="cellIs" dxfId="2166" priority="537" operator="equal">
      <formula>"51-80%"</formula>
    </cfRule>
    <cfRule type="cellIs" dxfId="2165" priority="538" operator="equal">
      <formula>"21-50%"</formula>
    </cfRule>
    <cfRule type="cellIs" dxfId="2164" priority="539" operator="equal">
      <formula>"0-20%"</formula>
    </cfRule>
  </conditionalFormatting>
  <conditionalFormatting sqref="AK25">
    <cfRule type="cellIs" dxfId="2163" priority="530" operator="equal">
      <formula>"non pertinent / nicht relevant"</formula>
    </cfRule>
    <cfRule type="cellIs" dxfId="2162" priority="531" operator="equal">
      <formula>"81-100%"</formula>
    </cfRule>
    <cfRule type="cellIs" dxfId="2161" priority="532" operator="equal">
      <formula>"51-80%"</formula>
    </cfRule>
    <cfRule type="cellIs" dxfId="2160" priority="533" operator="equal">
      <formula>"21-50%"</formula>
    </cfRule>
    <cfRule type="cellIs" dxfId="2159" priority="534" operator="equal">
      <formula>"0-20%"</formula>
    </cfRule>
  </conditionalFormatting>
  <conditionalFormatting sqref="AK26">
    <cfRule type="cellIs" dxfId="2158" priority="525" operator="equal">
      <formula>"non pertinent / nicht relevant"</formula>
    </cfRule>
    <cfRule type="cellIs" dxfId="2157" priority="526" operator="equal">
      <formula>"81-100%"</formula>
    </cfRule>
    <cfRule type="cellIs" dxfId="2156" priority="527" operator="equal">
      <formula>"51-80%"</formula>
    </cfRule>
    <cfRule type="cellIs" dxfId="2155" priority="528" operator="equal">
      <formula>"21-50%"</formula>
    </cfRule>
    <cfRule type="cellIs" dxfId="2154" priority="529" operator="equal">
      <formula>"0-20%"</formula>
    </cfRule>
  </conditionalFormatting>
  <conditionalFormatting sqref="AK27">
    <cfRule type="cellIs" dxfId="2153" priority="520" operator="equal">
      <formula>"non pertinent / nicht relevant"</formula>
    </cfRule>
    <cfRule type="cellIs" dxfId="2152" priority="521" operator="equal">
      <formula>"81-100%"</formula>
    </cfRule>
    <cfRule type="cellIs" dxfId="2151" priority="522" operator="equal">
      <formula>"51-80%"</formula>
    </cfRule>
    <cfRule type="cellIs" dxfId="2150" priority="523" operator="equal">
      <formula>"21-50%"</formula>
    </cfRule>
    <cfRule type="cellIs" dxfId="2149" priority="524" operator="equal">
      <formula>"0-20%"</formula>
    </cfRule>
  </conditionalFormatting>
  <conditionalFormatting sqref="AK29">
    <cfRule type="cellIs" dxfId="2148" priority="515" operator="equal">
      <formula>"non pertinent / nicht relevant"</formula>
    </cfRule>
    <cfRule type="cellIs" dxfId="2147" priority="516" operator="equal">
      <formula>"81-100%"</formula>
    </cfRule>
    <cfRule type="cellIs" dxfId="2146" priority="517" operator="equal">
      <formula>"51-80%"</formula>
    </cfRule>
    <cfRule type="cellIs" dxfId="2145" priority="518" operator="equal">
      <formula>"21-50%"</formula>
    </cfRule>
    <cfRule type="cellIs" dxfId="2144" priority="519" operator="equal">
      <formula>"0-20%"</formula>
    </cfRule>
  </conditionalFormatting>
  <conditionalFormatting sqref="AK30">
    <cfRule type="cellIs" dxfId="2143" priority="510" operator="equal">
      <formula>"non pertinent / nicht relevant"</formula>
    </cfRule>
    <cfRule type="cellIs" dxfId="2142" priority="511" operator="equal">
      <formula>"81-100%"</formula>
    </cfRule>
    <cfRule type="cellIs" dxfId="2141" priority="512" operator="equal">
      <formula>"51-80%"</formula>
    </cfRule>
    <cfRule type="cellIs" dxfId="2140" priority="513" operator="equal">
      <formula>"21-50%"</formula>
    </cfRule>
    <cfRule type="cellIs" dxfId="2139" priority="514" operator="equal">
      <formula>"0-20%"</formula>
    </cfRule>
  </conditionalFormatting>
  <conditionalFormatting sqref="AK28">
    <cfRule type="cellIs" dxfId="2138" priority="505" operator="equal">
      <formula>"non pertinent / nicht relevant"</formula>
    </cfRule>
    <cfRule type="cellIs" dxfId="2137" priority="506" operator="equal">
      <formula>"81-100%"</formula>
    </cfRule>
    <cfRule type="cellIs" dxfId="2136" priority="507" operator="equal">
      <formula>"51-80%"</formula>
    </cfRule>
    <cfRule type="cellIs" dxfId="2135" priority="508" operator="equal">
      <formula>"21-50%"</formula>
    </cfRule>
    <cfRule type="cellIs" dxfId="2134" priority="509" operator="equal">
      <formula>"0-20%"</formula>
    </cfRule>
  </conditionalFormatting>
  <conditionalFormatting sqref="AK31">
    <cfRule type="cellIs" dxfId="2133" priority="500" operator="equal">
      <formula>"non pertinent / nicht relevant"</formula>
    </cfRule>
    <cfRule type="cellIs" dxfId="2132" priority="501" operator="equal">
      <formula>"81-100%"</formula>
    </cfRule>
    <cfRule type="cellIs" dxfId="2131" priority="502" operator="equal">
      <formula>"51-80%"</formula>
    </cfRule>
    <cfRule type="cellIs" dxfId="2130" priority="503" operator="equal">
      <formula>"21-50%"</formula>
    </cfRule>
    <cfRule type="cellIs" dxfId="2129" priority="504" operator="equal">
      <formula>"0-20%"</formula>
    </cfRule>
  </conditionalFormatting>
  <conditionalFormatting sqref="AK33">
    <cfRule type="cellIs" dxfId="2128" priority="495" operator="equal">
      <formula>"non pertinent / nicht relevant"</formula>
    </cfRule>
    <cfRule type="cellIs" dxfId="2127" priority="496" operator="equal">
      <formula>"81-100%"</formula>
    </cfRule>
    <cfRule type="cellIs" dxfId="2126" priority="497" operator="equal">
      <formula>"51-80%"</formula>
    </cfRule>
    <cfRule type="cellIs" dxfId="2125" priority="498" operator="equal">
      <formula>"21-50%"</formula>
    </cfRule>
    <cfRule type="cellIs" dxfId="2124" priority="499" operator="equal">
      <formula>"0-20%"</formula>
    </cfRule>
  </conditionalFormatting>
  <conditionalFormatting sqref="AK34">
    <cfRule type="cellIs" dxfId="2123" priority="490" operator="equal">
      <formula>"non pertinent / nicht relevant"</formula>
    </cfRule>
    <cfRule type="cellIs" dxfId="2122" priority="491" operator="equal">
      <formula>"81-100%"</formula>
    </cfRule>
    <cfRule type="cellIs" dxfId="2121" priority="492" operator="equal">
      <formula>"51-80%"</formula>
    </cfRule>
    <cfRule type="cellIs" dxfId="2120" priority="493" operator="equal">
      <formula>"21-50%"</formula>
    </cfRule>
    <cfRule type="cellIs" dxfId="2119" priority="494" operator="equal">
      <formula>"0-20%"</formula>
    </cfRule>
  </conditionalFormatting>
  <conditionalFormatting sqref="AK35">
    <cfRule type="cellIs" dxfId="2118" priority="485" operator="equal">
      <formula>"non pertinent / nicht relevant"</formula>
    </cfRule>
    <cfRule type="cellIs" dxfId="2117" priority="486" operator="equal">
      <formula>"81-100%"</formula>
    </cfRule>
    <cfRule type="cellIs" dxfId="2116" priority="487" operator="equal">
      <formula>"51-80%"</formula>
    </cfRule>
    <cfRule type="cellIs" dxfId="2115" priority="488" operator="equal">
      <formula>"21-50%"</formula>
    </cfRule>
    <cfRule type="cellIs" dxfId="2114" priority="489" operator="equal">
      <formula>"0-20%"</formula>
    </cfRule>
  </conditionalFormatting>
  <conditionalFormatting sqref="AK36">
    <cfRule type="cellIs" dxfId="2113" priority="480" operator="equal">
      <formula>"non pertinent / nicht relevant"</formula>
    </cfRule>
    <cfRule type="cellIs" dxfId="2112" priority="481" operator="equal">
      <formula>"81-100%"</formula>
    </cfRule>
    <cfRule type="cellIs" dxfId="2111" priority="482" operator="equal">
      <formula>"51-80%"</formula>
    </cfRule>
    <cfRule type="cellIs" dxfId="2110" priority="483" operator="equal">
      <formula>"21-50%"</formula>
    </cfRule>
    <cfRule type="cellIs" dxfId="2109" priority="484" operator="equal">
      <formula>"0-20%"</formula>
    </cfRule>
  </conditionalFormatting>
  <conditionalFormatting sqref="AK37">
    <cfRule type="cellIs" dxfId="2108" priority="475" operator="equal">
      <formula>"non pertinent / nicht relevant"</formula>
    </cfRule>
    <cfRule type="cellIs" dxfId="2107" priority="476" operator="equal">
      <formula>"81-100%"</formula>
    </cfRule>
    <cfRule type="cellIs" dxfId="2106" priority="477" operator="equal">
      <formula>"51-80%"</formula>
    </cfRule>
    <cfRule type="cellIs" dxfId="2105" priority="478" operator="equal">
      <formula>"21-50%"</formula>
    </cfRule>
    <cfRule type="cellIs" dxfId="2104" priority="479" operator="equal">
      <formula>"0-20%"</formula>
    </cfRule>
  </conditionalFormatting>
  <conditionalFormatting sqref="AK32">
    <cfRule type="cellIs" dxfId="2103" priority="470" operator="equal">
      <formula>"non pertinent / nicht relevant"</formula>
    </cfRule>
    <cfRule type="cellIs" dxfId="2102" priority="471" operator="equal">
      <formula>"81-100%"</formula>
    </cfRule>
    <cfRule type="cellIs" dxfId="2101" priority="472" operator="equal">
      <formula>"51-80%"</formula>
    </cfRule>
    <cfRule type="cellIs" dxfId="2100" priority="473" operator="equal">
      <formula>"21-50%"</formula>
    </cfRule>
    <cfRule type="cellIs" dxfId="2099" priority="474" operator="equal">
      <formula>"0-20%"</formula>
    </cfRule>
  </conditionalFormatting>
  <conditionalFormatting sqref="AK39">
    <cfRule type="cellIs" dxfId="2098" priority="465" operator="equal">
      <formula>"non pertinent / nicht relevant"</formula>
    </cfRule>
    <cfRule type="cellIs" dxfId="2097" priority="466" operator="equal">
      <formula>"81-100%"</formula>
    </cfRule>
    <cfRule type="cellIs" dxfId="2096" priority="467" operator="equal">
      <formula>"51-80%"</formula>
    </cfRule>
    <cfRule type="cellIs" dxfId="2095" priority="468" operator="equal">
      <formula>"21-50%"</formula>
    </cfRule>
    <cfRule type="cellIs" dxfId="2094" priority="469" operator="equal">
      <formula>"0-20%"</formula>
    </cfRule>
  </conditionalFormatting>
  <conditionalFormatting sqref="AK40">
    <cfRule type="cellIs" dxfId="2093" priority="460" operator="equal">
      <formula>"non pertinent / nicht relevant"</formula>
    </cfRule>
    <cfRule type="cellIs" dxfId="2092" priority="461" operator="equal">
      <formula>"81-100%"</formula>
    </cfRule>
    <cfRule type="cellIs" dxfId="2091" priority="462" operator="equal">
      <formula>"51-80%"</formula>
    </cfRule>
    <cfRule type="cellIs" dxfId="2090" priority="463" operator="equal">
      <formula>"21-50%"</formula>
    </cfRule>
    <cfRule type="cellIs" dxfId="2089" priority="464" operator="equal">
      <formula>"0-20%"</formula>
    </cfRule>
  </conditionalFormatting>
  <conditionalFormatting sqref="AK42">
    <cfRule type="cellIs" dxfId="2088" priority="455" operator="equal">
      <formula>"non pertinent / nicht relevant"</formula>
    </cfRule>
    <cfRule type="cellIs" dxfId="2087" priority="456" operator="equal">
      <formula>"81-100%"</formula>
    </cfRule>
    <cfRule type="cellIs" dxfId="2086" priority="457" operator="equal">
      <formula>"51-80%"</formula>
    </cfRule>
    <cfRule type="cellIs" dxfId="2085" priority="458" operator="equal">
      <formula>"21-50%"</formula>
    </cfRule>
    <cfRule type="cellIs" dxfId="2084" priority="459" operator="equal">
      <formula>"0-20%"</formula>
    </cfRule>
  </conditionalFormatting>
  <conditionalFormatting sqref="AK43">
    <cfRule type="cellIs" dxfId="2083" priority="450" operator="equal">
      <formula>"non pertinent / nicht relevant"</formula>
    </cfRule>
    <cfRule type="cellIs" dxfId="2082" priority="451" operator="equal">
      <formula>"81-100%"</formula>
    </cfRule>
    <cfRule type="cellIs" dxfId="2081" priority="452" operator="equal">
      <formula>"51-80%"</formula>
    </cfRule>
    <cfRule type="cellIs" dxfId="2080" priority="453" operator="equal">
      <formula>"21-50%"</formula>
    </cfRule>
    <cfRule type="cellIs" dxfId="2079" priority="454" operator="equal">
      <formula>"0-20%"</formula>
    </cfRule>
  </conditionalFormatting>
  <conditionalFormatting sqref="AK49">
    <cfRule type="cellIs" dxfId="2078" priority="445" operator="equal">
      <formula>"non pertinent / nicht relevant"</formula>
    </cfRule>
    <cfRule type="cellIs" dxfId="2077" priority="446" operator="equal">
      <formula>"81-100%"</formula>
    </cfRule>
    <cfRule type="cellIs" dxfId="2076" priority="447" operator="equal">
      <formula>"51-80%"</formula>
    </cfRule>
    <cfRule type="cellIs" dxfId="2075" priority="448" operator="equal">
      <formula>"21-50%"</formula>
    </cfRule>
    <cfRule type="cellIs" dxfId="2074" priority="449" operator="equal">
      <formula>"0-20%"</formula>
    </cfRule>
  </conditionalFormatting>
  <conditionalFormatting sqref="AK50">
    <cfRule type="cellIs" dxfId="2073" priority="440" operator="equal">
      <formula>"non pertinent / nicht relevant"</formula>
    </cfRule>
    <cfRule type="cellIs" dxfId="2072" priority="441" operator="equal">
      <formula>"81-100%"</formula>
    </cfRule>
    <cfRule type="cellIs" dxfId="2071" priority="442" operator="equal">
      <formula>"51-80%"</formula>
    </cfRule>
    <cfRule type="cellIs" dxfId="2070" priority="443" operator="equal">
      <formula>"21-50%"</formula>
    </cfRule>
    <cfRule type="cellIs" dxfId="2069" priority="444" operator="equal">
      <formula>"0-20%"</formula>
    </cfRule>
  </conditionalFormatting>
  <conditionalFormatting sqref="AK52">
    <cfRule type="cellIs" dxfId="2068" priority="435" operator="equal">
      <formula>"non pertinent / nicht relevant"</formula>
    </cfRule>
    <cfRule type="cellIs" dxfId="2067" priority="436" operator="equal">
      <formula>"81-100%"</formula>
    </cfRule>
    <cfRule type="cellIs" dxfId="2066" priority="437" operator="equal">
      <formula>"51-80%"</formula>
    </cfRule>
    <cfRule type="cellIs" dxfId="2065" priority="438" operator="equal">
      <formula>"21-50%"</formula>
    </cfRule>
    <cfRule type="cellIs" dxfId="2064" priority="439" operator="equal">
      <formula>"0-20%"</formula>
    </cfRule>
  </conditionalFormatting>
  <conditionalFormatting sqref="AK55">
    <cfRule type="cellIs" dxfId="2063" priority="430" operator="equal">
      <formula>"non pertinent / nicht relevant"</formula>
    </cfRule>
    <cfRule type="cellIs" dxfId="2062" priority="431" operator="equal">
      <formula>"81-100%"</formula>
    </cfRule>
    <cfRule type="cellIs" dxfId="2061" priority="432" operator="equal">
      <formula>"51-80%"</formula>
    </cfRule>
    <cfRule type="cellIs" dxfId="2060" priority="433" operator="equal">
      <formula>"21-50%"</formula>
    </cfRule>
    <cfRule type="cellIs" dxfId="2059" priority="434" operator="equal">
      <formula>"0-20%"</formula>
    </cfRule>
  </conditionalFormatting>
  <conditionalFormatting sqref="AK56">
    <cfRule type="cellIs" dxfId="2058" priority="425" operator="equal">
      <formula>"non pertinent / nicht relevant"</formula>
    </cfRule>
    <cfRule type="cellIs" dxfId="2057" priority="426" operator="equal">
      <formula>"81-100%"</formula>
    </cfRule>
    <cfRule type="cellIs" dxfId="2056" priority="427" operator="equal">
      <formula>"51-80%"</formula>
    </cfRule>
    <cfRule type="cellIs" dxfId="2055" priority="428" operator="equal">
      <formula>"21-50%"</formula>
    </cfRule>
    <cfRule type="cellIs" dxfId="2054" priority="429" operator="equal">
      <formula>"0-20%"</formula>
    </cfRule>
  </conditionalFormatting>
  <conditionalFormatting sqref="AK57">
    <cfRule type="cellIs" dxfId="2053" priority="420" operator="equal">
      <formula>"non pertinent / nicht relevant"</formula>
    </cfRule>
    <cfRule type="cellIs" dxfId="2052" priority="421" operator="equal">
      <formula>"81-100%"</formula>
    </cfRule>
    <cfRule type="cellIs" dxfId="2051" priority="422" operator="equal">
      <formula>"51-80%"</formula>
    </cfRule>
    <cfRule type="cellIs" dxfId="2050" priority="423" operator="equal">
      <formula>"21-50%"</formula>
    </cfRule>
    <cfRule type="cellIs" dxfId="2049" priority="424" operator="equal">
      <formula>"0-20%"</formula>
    </cfRule>
  </conditionalFormatting>
  <conditionalFormatting sqref="AK58:AK64">
    <cfRule type="cellIs" dxfId="2048" priority="415" operator="equal">
      <formula>"non pertinent / nicht relevant"</formula>
    </cfRule>
    <cfRule type="cellIs" dxfId="2047" priority="416" operator="equal">
      <formula>"81-100%"</formula>
    </cfRule>
    <cfRule type="cellIs" dxfId="2046" priority="417" operator="equal">
      <formula>"51-80%"</formula>
    </cfRule>
    <cfRule type="cellIs" dxfId="2045" priority="418" operator="equal">
      <formula>"21-50%"</formula>
    </cfRule>
    <cfRule type="cellIs" dxfId="2044" priority="419" operator="equal">
      <formula>"0-20%"</formula>
    </cfRule>
  </conditionalFormatting>
  <conditionalFormatting sqref="AK53">
    <cfRule type="cellIs" dxfId="2043" priority="410" operator="equal">
      <formula>"non pertinent / nicht relevant"</formula>
    </cfRule>
    <cfRule type="cellIs" dxfId="2042" priority="411" operator="equal">
      <formula>"81-100%"</formula>
    </cfRule>
    <cfRule type="cellIs" dxfId="2041" priority="412" operator="equal">
      <formula>"51-80%"</formula>
    </cfRule>
    <cfRule type="cellIs" dxfId="2040" priority="413" operator="equal">
      <formula>"21-50%"</formula>
    </cfRule>
    <cfRule type="cellIs" dxfId="2039" priority="414" operator="equal">
      <formula>"0-20%"</formula>
    </cfRule>
  </conditionalFormatting>
  <conditionalFormatting sqref="AK54">
    <cfRule type="cellIs" dxfId="2038" priority="405" operator="equal">
      <formula>"non pertinent / nicht relevant"</formula>
    </cfRule>
    <cfRule type="cellIs" dxfId="2037" priority="406" operator="equal">
      <formula>"81-100%"</formula>
    </cfRule>
    <cfRule type="cellIs" dxfId="2036" priority="407" operator="equal">
      <formula>"51-80%"</formula>
    </cfRule>
    <cfRule type="cellIs" dxfId="2035" priority="408" operator="equal">
      <formula>"21-50%"</formula>
    </cfRule>
    <cfRule type="cellIs" dxfId="2034" priority="409" operator="equal">
      <formula>"0-20%"</formula>
    </cfRule>
  </conditionalFormatting>
  <conditionalFormatting sqref="AK51">
    <cfRule type="cellIs" dxfId="2033" priority="400" operator="equal">
      <formula>"non pertinent / nicht relevant"</formula>
    </cfRule>
    <cfRule type="cellIs" dxfId="2032" priority="401" operator="equal">
      <formula>"81-100%"</formula>
    </cfRule>
    <cfRule type="cellIs" dxfId="2031" priority="402" operator="equal">
      <formula>"51-80%"</formula>
    </cfRule>
    <cfRule type="cellIs" dxfId="2030" priority="403" operator="equal">
      <formula>"21-50%"</formula>
    </cfRule>
    <cfRule type="cellIs" dxfId="2029" priority="404" operator="equal">
      <formula>"0-20%"</formula>
    </cfRule>
  </conditionalFormatting>
  <conditionalFormatting sqref="AK47">
    <cfRule type="cellIs" dxfId="2028" priority="395" operator="equal">
      <formula>"non pertinent / nicht relevant"</formula>
    </cfRule>
    <cfRule type="cellIs" dxfId="2027" priority="396" operator="equal">
      <formula>"81-100%"</formula>
    </cfRule>
    <cfRule type="cellIs" dxfId="2026" priority="397" operator="equal">
      <formula>"51-80%"</formula>
    </cfRule>
    <cfRule type="cellIs" dxfId="2025" priority="398" operator="equal">
      <formula>"21-50%"</formula>
    </cfRule>
    <cfRule type="cellIs" dxfId="2024" priority="399" operator="equal">
      <formula>"0-20%"</formula>
    </cfRule>
  </conditionalFormatting>
  <conditionalFormatting sqref="AK48">
    <cfRule type="cellIs" dxfId="2023" priority="390" operator="equal">
      <formula>"non pertinent / nicht relevant"</formula>
    </cfRule>
    <cfRule type="cellIs" dxfId="2022" priority="391" operator="equal">
      <formula>"81-100%"</formula>
    </cfRule>
    <cfRule type="cellIs" dxfId="2021" priority="392" operator="equal">
      <formula>"51-80%"</formula>
    </cfRule>
    <cfRule type="cellIs" dxfId="2020" priority="393" operator="equal">
      <formula>"21-50%"</formula>
    </cfRule>
    <cfRule type="cellIs" dxfId="2019" priority="394" operator="equal">
      <formula>"0-20%"</formula>
    </cfRule>
  </conditionalFormatting>
  <conditionalFormatting sqref="AK66">
    <cfRule type="cellIs" dxfId="2018" priority="385" operator="equal">
      <formula>"non pertinent / nicht relevant"</formula>
    </cfRule>
    <cfRule type="cellIs" dxfId="2017" priority="386" operator="equal">
      <formula>"81-100%"</formula>
    </cfRule>
    <cfRule type="cellIs" dxfId="2016" priority="387" operator="equal">
      <formula>"51-80%"</formula>
    </cfRule>
    <cfRule type="cellIs" dxfId="2015" priority="388" operator="equal">
      <formula>"21-50%"</formula>
    </cfRule>
    <cfRule type="cellIs" dxfId="2014" priority="389" operator="equal">
      <formula>"0-20%"</formula>
    </cfRule>
  </conditionalFormatting>
  <conditionalFormatting sqref="AK67">
    <cfRule type="cellIs" dxfId="2013" priority="380" operator="equal">
      <formula>"non pertinent / nicht relevant"</formula>
    </cfRule>
    <cfRule type="cellIs" dxfId="2012" priority="381" operator="equal">
      <formula>"81-100%"</formula>
    </cfRule>
    <cfRule type="cellIs" dxfId="2011" priority="382" operator="equal">
      <formula>"51-80%"</formula>
    </cfRule>
    <cfRule type="cellIs" dxfId="2010" priority="383" operator="equal">
      <formula>"21-50%"</formula>
    </cfRule>
    <cfRule type="cellIs" dxfId="2009" priority="384" operator="equal">
      <formula>"0-20%"</formula>
    </cfRule>
  </conditionalFormatting>
  <conditionalFormatting sqref="AK68">
    <cfRule type="cellIs" dxfId="2008" priority="375" operator="equal">
      <formula>"non pertinent / nicht relevant"</formula>
    </cfRule>
    <cfRule type="cellIs" dxfId="2007" priority="376" operator="equal">
      <formula>"81-100%"</formula>
    </cfRule>
    <cfRule type="cellIs" dxfId="2006" priority="377" operator="equal">
      <formula>"51-80%"</formula>
    </cfRule>
    <cfRule type="cellIs" dxfId="2005" priority="378" operator="equal">
      <formula>"21-50%"</formula>
    </cfRule>
    <cfRule type="cellIs" dxfId="2004" priority="379" operator="equal">
      <formula>"0-20%"</formula>
    </cfRule>
  </conditionalFormatting>
  <conditionalFormatting sqref="AK75">
    <cfRule type="cellIs" dxfId="2003" priority="370" operator="equal">
      <formula>"non pertinent / nicht relevant"</formula>
    </cfRule>
    <cfRule type="cellIs" dxfId="2002" priority="371" operator="equal">
      <formula>"81-100%"</formula>
    </cfRule>
    <cfRule type="cellIs" dxfId="2001" priority="372" operator="equal">
      <formula>"51-80%"</formula>
    </cfRule>
    <cfRule type="cellIs" dxfId="2000" priority="373" operator="equal">
      <formula>"21-50%"</formula>
    </cfRule>
    <cfRule type="cellIs" dxfId="1999" priority="374" operator="equal">
      <formula>"0-20%"</formula>
    </cfRule>
  </conditionalFormatting>
  <conditionalFormatting sqref="AK78">
    <cfRule type="cellIs" dxfId="1998" priority="365" operator="equal">
      <formula>"non pertinent / nicht relevant"</formula>
    </cfRule>
    <cfRule type="cellIs" dxfId="1997" priority="366" operator="equal">
      <formula>"81-100%"</formula>
    </cfRule>
    <cfRule type="cellIs" dxfId="1996" priority="367" operator="equal">
      <formula>"51-80%"</formula>
    </cfRule>
    <cfRule type="cellIs" dxfId="1995" priority="368" operator="equal">
      <formula>"21-50%"</formula>
    </cfRule>
    <cfRule type="cellIs" dxfId="1994" priority="369" operator="equal">
      <formula>"0-20%"</formula>
    </cfRule>
  </conditionalFormatting>
  <conditionalFormatting sqref="AK79">
    <cfRule type="cellIs" dxfId="1993" priority="360" operator="equal">
      <formula>"non pertinent / nicht relevant"</formula>
    </cfRule>
    <cfRule type="cellIs" dxfId="1992" priority="361" operator="equal">
      <formula>"81-100%"</formula>
    </cfRule>
    <cfRule type="cellIs" dxfId="1991" priority="362" operator="equal">
      <formula>"51-80%"</formula>
    </cfRule>
    <cfRule type="cellIs" dxfId="1990" priority="363" operator="equal">
      <formula>"21-50%"</formula>
    </cfRule>
    <cfRule type="cellIs" dxfId="1989" priority="364" operator="equal">
      <formula>"0-20%"</formula>
    </cfRule>
  </conditionalFormatting>
  <conditionalFormatting sqref="AK80">
    <cfRule type="cellIs" dxfId="1988" priority="355" operator="equal">
      <formula>"non pertinent / nicht relevant"</formula>
    </cfRule>
    <cfRule type="cellIs" dxfId="1987" priority="356" operator="equal">
      <formula>"81-100%"</formula>
    </cfRule>
    <cfRule type="cellIs" dxfId="1986" priority="357" operator="equal">
      <formula>"51-80%"</formula>
    </cfRule>
    <cfRule type="cellIs" dxfId="1985" priority="358" operator="equal">
      <formula>"21-50%"</formula>
    </cfRule>
    <cfRule type="cellIs" dxfId="1984" priority="359" operator="equal">
      <formula>"0-20%"</formula>
    </cfRule>
  </conditionalFormatting>
  <conditionalFormatting sqref="AK77">
    <cfRule type="cellIs" dxfId="1983" priority="350" operator="equal">
      <formula>"non pertinent / nicht relevant"</formula>
    </cfRule>
    <cfRule type="cellIs" dxfId="1982" priority="351" operator="equal">
      <formula>"81-100%"</formula>
    </cfRule>
    <cfRule type="cellIs" dxfId="1981" priority="352" operator="equal">
      <formula>"51-80%"</formula>
    </cfRule>
    <cfRule type="cellIs" dxfId="1980" priority="353" operator="equal">
      <formula>"21-50%"</formula>
    </cfRule>
    <cfRule type="cellIs" dxfId="1979" priority="354" operator="equal">
      <formula>"0-20%"</formula>
    </cfRule>
  </conditionalFormatting>
  <conditionalFormatting sqref="AK81">
    <cfRule type="cellIs" dxfId="1978" priority="345" operator="equal">
      <formula>"non pertinent / nicht relevant"</formula>
    </cfRule>
    <cfRule type="cellIs" dxfId="1977" priority="346" operator="equal">
      <formula>"81-100%"</formula>
    </cfRule>
    <cfRule type="cellIs" dxfId="1976" priority="347" operator="equal">
      <formula>"51-80%"</formula>
    </cfRule>
    <cfRule type="cellIs" dxfId="1975" priority="348" operator="equal">
      <formula>"21-50%"</formula>
    </cfRule>
    <cfRule type="cellIs" dxfId="1974" priority="349" operator="equal">
      <formula>"0-20%"</formula>
    </cfRule>
  </conditionalFormatting>
  <conditionalFormatting sqref="AK147">
    <cfRule type="cellIs" dxfId="1973" priority="340" operator="equal">
      <formula>"non pertinent / nicht relevant"</formula>
    </cfRule>
    <cfRule type="cellIs" dxfId="1972" priority="341" operator="equal">
      <formula>"81-100%"</formula>
    </cfRule>
    <cfRule type="cellIs" dxfId="1971" priority="342" operator="equal">
      <formula>"51-80%"</formula>
    </cfRule>
    <cfRule type="cellIs" dxfId="1970" priority="343" operator="equal">
      <formula>"21-50%"</formula>
    </cfRule>
    <cfRule type="cellIs" dxfId="1969" priority="344" operator="equal">
      <formula>"0-20%"</formula>
    </cfRule>
  </conditionalFormatting>
  <conditionalFormatting sqref="AK148">
    <cfRule type="cellIs" dxfId="1968" priority="335" operator="equal">
      <formula>"non pertinent / nicht relevant"</formula>
    </cfRule>
    <cfRule type="cellIs" dxfId="1967" priority="336" operator="equal">
      <formula>"81-100%"</formula>
    </cfRule>
    <cfRule type="cellIs" dxfId="1966" priority="337" operator="equal">
      <formula>"51-80%"</formula>
    </cfRule>
    <cfRule type="cellIs" dxfId="1965" priority="338" operator="equal">
      <formula>"21-50%"</formula>
    </cfRule>
    <cfRule type="cellIs" dxfId="1964" priority="339" operator="equal">
      <formula>"0-20%"</formula>
    </cfRule>
  </conditionalFormatting>
  <conditionalFormatting sqref="AK149">
    <cfRule type="cellIs" dxfId="1963" priority="330" operator="equal">
      <formula>"non pertinent / nicht relevant"</formula>
    </cfRule>
    <cfRule type="cellIs" dxfId="1962" priority="331" operator="equal">
      <formula>"81-100%"</formula>
    </cfRule>
    <cfRule type="cellIs" dxfId="1961" priority="332" operator="equal">
      <formula>"51-80%"</formula>
    </cfRule>
    <cfRule type="cellIs" dxfId="1960" priority="333" operator="equal">
      <formula>"21-50%"</formula>
    </cfRule>
    <cfRule type="cellIs" dxfId="1959" priority="334" operator="equal">
      <formula>"0-20%"</formula>
    </cfRule>
  </conditionalFormatting>
  <conditionalFormatting sqref="AK150">
    <cfRule type="cellIs" dxfId="1958" priority="325" operator="equal">
      <formula>"non pertinent / nicht relevant"</formula>
    </cfRule>
    <cfRule type="cellIs" dxfId="1957" priority="326" operator="equal">
      <formula>"81-100%"</formula>
    </cfRule>
    <cfRule type="cellIs" dxfId="1956" priority="327" operator="equal">
      <formula>"51-80%"</formula>
    </cfRule>
    <cfRule type="cellIs" dxfId="1955" priority="328" operator="equal">
      <formula>"21-50%"</formula>
    </cfRule>
    <cfRule type="cellIs" dxfId="1954" priority="329" operator="equal">
      <formula>"0-20%"</formula>
    </cfRule>
  </conditionalFormatting>
  <conditionalFormatting sqref="AK151">
    <cfRule type="cellIs" dxfId="1953" priority="320" operator="equal">
      <formula>"non pertinent / nicht relevant"</formula>
    </cfRule>
    <cfRule type="cellIs" dxfId="1952" priority="321" operator="equal">
      <formula>"81-100%"</formula>
    </cfRule>
    <cfRule type="cellIs" dxfId="1951" priority="322" operator="equal">
      <formula>"51-80%"</formula>
    </cfRule>
    <cfRule type="cellIs" dxfId="1950" priority="323" operator="equal">
      <formula>"21-50%"</formula>
    </cfRule>
    <cfRule type="cellIs" dxfId="1949" priority="324" operator="equal">
      <formula>"0-20%"</formula>
    </cfRule>
  </conditionalFormatting>
  <conditionalFormatting sqref="AK153">
    <cfRule type="cellIs" dxfId="1948" priority="315" operator="equal">
      <formula>"non pertinent / nicht relevant"</formula>
    </cfRule>
    <cfRule type="cellIs" dxfId="1947" priority="316" operator="equal">
      <formula>"81-100%"</formula>
    </cfRule>
    <cfRule type="cellIs" dxfId="1946" priority="317" operator="equal">
      <formula>"51-80%"</formula>
    </cfRule>
    <cfRule type="cellIs" dxfId="1945" priority="318" operator="equal">
      <formula>"21-50%"</formula>
    </cfRule>
    <cfRule type="cellIs" dxfId="1944" priority="319" operator="equal">
      <formula>"0-20%"</formula>
    </cfRule>
  </conditionalFormatting>
  <conditionalFormatting sqref="AK155">
    <cfRule type="cellIs" dxfId="1943" priority="310" operator="equal">
      <formula>"non pertinent / nicht relevant"</formula>
    </cfRule>
    <cfRule type="cellIs" dxfId="1942" priority="311" operator="equal">
      <formula>"81-100%"</formula>
    </cfRule>
    <cfRule type="cellIs" dxfId="1941" priority="312" operator="equal">
      <formula>"51-80%"</formula>
    </cfRule>
    <cfRule type="cellIs" dxfId="1940" priority="313" operator="equal">
      <formula>"21-50%"</formula>
    </cfRule>
    <cfRule type="cellIs" dxfId="1939" priority="314" operator="equal">
      <formula>"0-20%"</formula>
    </cfRule>
  </conditionalFormatting>
  <conditionalFormatting sqref="AK156">
    <cfRule type="cellIs" dxfId="1938" priority="305" operator="equal">
      <formula>"non pertinent / nicht relevant"</formula>
    </cfRule>
    <cfRule type="cellIs" dxfId="1937" priority="306" operator="equal">
      <formula>"81-100%"</formula>
    </cfRule>
    <cfRule type="cellIs" dxfId="1936" priority="307" operator="equal">
      <formula>"51-80%"</formula>
    </cfRule>
    <cfRule type="cellIs" dxfId="1935" priority="308" operator="equal">
      <formula>"21-50%"</formula>
    </cfRule>
    <cfRule type="cellIs" dxfId="1934" priority="309" operator="equal">
      <formula>"0-20%"</formula>
    </cfRule>
  </conditionalFormatting>
  <conditionalFormatting sqref="AK157">
    <cfRule type="cellIs" dxfId="1933" priority="300" operator="equal">
      <formula>"non pertinent / nicht relevant"</formula>
    </cfRule>
    <cfRule type="cellIs" dxfId="1932" priority="301" operator="equal">
      <formula>"81-100%"</formula>
    </cfRule>
    <cfRule type="cellIs" dxfId="1931" priority="302" operator="equal">
      <formula>"51-80%"</formula>
    </cfRule>
    <cfRule type="cellIs" dxfId="1930" priority="303" operator="equal">
      <formula>"21-50%"</formula>
    </cfRule>
    <cfRule type="cellIs" dxfId="1929" priority="304" operator="equal">
      <formula>"0-20%"</formula>
    </cfRule>
  </conditionalFormatting>
  <conditionalFormatting sqref="AK159">
    <cfRule type="cellIs" dxfId="1928" priority="295" operator="equal">
      <formula>"non pertinent / nicht relevant"</formula>
    </cfRule>
    <cfRule type="cellIs" dxfId="1927" priority="296" operator="equal">
      <formula>"81-100%"</formula>
    </cfRule>
    <cfRule type="cellIs" dxfId="1926" priority="297" operator="equal">
      <formula>"51-80%"</formula>
    </cfRule>
    <cfRule type="cellIs" dxfId="1925" priority="298" operator="equal">
      <formula>"21-50%"</formula>
    </cfRule>
    <cfRule type="cellIs" dxfId="1924" priority="299" operator="equal">
      <formula>"0-20%"</formula>
    </cfRule>
  </conditionalFormatting>
  <conditionalFormatting sqref="AK160">
    <cfRule type="cellIs" dxfId="1923" priority="290" operator="equal">
      <formula>"non pertinent / nicht relevant"</formula>
    </cfRule>
    <cfRule type="cellIs" dxfId="1922" priority="291" operator="equal">
      <formula>"81-100%"</formula>
    </cfRule>
    <cfRule type="cellIs" dxfId="1921" priority="292" operator="equal">
      <formula>"51-80%"</formula>
    </cfRule>
    <cfRule type="cellIs" dxfId="1920" priority="293" operator="equal">
      <formula>"21-50%"</formula>
    </cfRule>
    <cfRule type="cellIs" dxfId="1919" priority="294" operator="equal">
      <formula>"0-20%"</formula>
    </cfRule>
  </conditionalFormatting>
  <conditionalFormatting sqref="AK161">
    <cfRule type="cellIs" dxfId="1918" priority="285" operator="equal">
      <formula>"non pertinent / nicht relevant"</formula>
    </cfRule>
    <cfRule type="cellIs" dxfId="1917" priority="286" operator="equal">
      <formula>"81-100%"</formula>
    </cfRule>
    <cfRule type="cellIs" dxfId="1916" priority="287" operator="equal">
      <formula>"51-80%"</formula>
    </cfRule>
    <cfRule type="cellIs" dxfId="1915" priority="288" operator="equal">
      <formula>"21-50%"</formula>
    </cfRule>
    <cfRule type="cellIs" dxfId="1914" priority="289" operator="equal">
      <formula>"0-20%"</formula>
    </cfRule>
  </conditionalFormatting>
  <conditionalFormatting sqref="AK71">
    <cfRule type="cellIs" dxfId="1913" priority="280" operator="equal">
      <formula>"non pertinent / nicht relevant"</formula>
    </cfRule>
    <cfRule type="cellIs" dxfId="1912" priority="281" operator="equal">
      <formula>"81-100%"</formula>
    </cfRule>
    <cfRule type="cellIs" dxfId="1911" priority="282" operator="equal">
      <formula>"51-80%"</formula>
    </cfRule>
    <cfRule type="cellIs" dxfId="1910" priority="283" operator="equal">
      <formula>"21-50%"</formula>
    </cfRule>
    <cfRule type="cellIs" dxfId="1909" priority="284" operator="equal">
      <formula>"0-20%"</formula>
    </cfRule>
  </conditionalFormatting>
  <conditionalFormatting sqref="AK6">
    <cfRule type="cellIs" dxfId="1908" priority="275" operator="equal">
      <formula>"non pertinent / nicht relevant"</formula>
    </cfRule>
    <cfRule type="cellIs" dxfId="1907" priority="276" operator="equal">
      <formula>"81-100%"</formula>
    </cfRule>
    <cfRule type="cellIs" dxfId="1906" priority="277" operator="equal">
      <formula>"51-80%"</formula>
    </cfRule>
    <cfRule type="cellIs" dxfId="1905" priority="278" operator="equal">
      <formula>"21-50%"</formula>
    </cfRule>
    <cfRule type="cellIs" dxfId="1904" priority="279" operator="equal">
      <formula>"0-20%"</formula>
    </cfRule>
  </conditionalFormatting>
  <conditionalFormatting sqref="AK38">
    <cfRule type="cellIs" dxfId="1903" priority="270" operator="equal">
      <formula>"non pertinent / nicht relevant"</formula>
    </cfRule>
    <cfRule type="cellIs" dxfId="1902" priority="271" operator="equal">
      <formula>"81-100%"</formula>
    </cfRule>
    <cfRule type="cellIs" dxfId="1901" priority="272" operator="equal">
      <formula>"51-80%"</formula>
    </cfRule>
    <cfRule type="cellIs" dxfId="1900" priority="273" operator="equal">
      <formula>"21-50%"</formula>
    </cfRule>
    <cfRule type="cellIs" dxfId="1899" priority="274" operator="equal">
      <formula>"0-20%"</formula>
    </cfRule>
  </conditionalFormatting>
  <conditionalFormatting sqref="AK41">
    <cfRule type="cellIs" dxfId="1898" priority="265" operator="equal">
      <formula>"non pertinent / nicht relevant"</formula>
    </cfRule>
    <cfRule type="cellIs" dxfId="1897" priority="266" operator="equal">
      <formula>"81-100%"</formula>
    </cfRule>
    <cfRule type="cellIs" dxfId="1896" priority="267" operator="equal">
      <formula>"51-80%"</formula>
    </cfRule>
    <cfRule type="cellIs" dxfId="1895" priority="268" operator="equal">
      <formula>"21-50%"</formula>
    </cfRule>
    <cfRule type="cellIs" dxfId="1894" priority="269" operator="equal">
      <formula>"0-20%"</formula>
    </cfRule>
  </conditionalFormatting>
  <conditionalFormatting sqref="AK44">
    <cfRule type="cellIs" dxfId="1893" priority="260" operator="equal">
      <formula>"non pertinent / nicht relevant"</formula>
    </cfRule>
    <cfRule type="cellIs" dxfId="1892" priority="261" operator="equal">
      <formula>"81-100%"</formula>
    </cfRule>
    <cfRule type="cellIs" dxfId="1891" priority="262" operator="equal">
      <formula>"51-80%"</formula>
    </cfRule>
    <cfRule type="cellIs" dxfId="1890" priority="263" operator="equal">
      <formula>"21-50%"</formula>
    </cfRule>
    <cfRule type="cellIs" dxfId="1889" priority="264" operator="equal">
      <formula>"0-20%"</formula>
    </cfRule>
  </conditionalFormatting>
  <conditionalFormatting sqref="AK46">
    <cfRule type="cellIs" dxfId="1888" priority="255" operator="equal">
      <formula>"non pertinent / nicht relevant"</formula>
    </cfRule>
    <cfRule type="cellIs" dxfId="1887" priority="256" operator="equal">
      <formula>"81-100%"</formula>
    </cfRule>
    <cfRule type="cellIs" dxfId="1886" priority="257" operator="equal">
      <formula>"51-80%"</formula>
    </cfRule>
    <cfRule type="cellIs" dxfId="1885" priority="258" operator="equal">
      <formula>"21-50%"</formula>
    </cfRule>
    <cfRule type="cellIs" dxfId="1884" priority="259" operator="equal">
      <formula>"0-20%"</formula>
    </cfRule>
  </conditionalFormatting>
  <conditionalFormatting sqref="AK65">
    <cfRule type="cellIs" dxfId="1883" priority="250" operator="equal">
      <formula>"non pertinent / nicht relevant"</formula>
    </cfRule>
    <cfRule type="cellIs" dxfId="1882" priority="251" operator="equal">
      <formula>"81-100%"</formula>
    </cfRule>
    <cfRule type="cellIs" dxfId="1881" priority="252" operator="equal">
      <formula>"51-80%"</formula>
    </cfRule>
    <cfRule type="cellIs" dxfId="1880" priority="253" operator="equal">
      <formula>"21-50%"</formula>
    </cfRule>
    <cfRule type="cellIs" dxfId="1879" priority="254" operator="equal">
      <formula>"0-20%"</formula>
    </cfRule>
  </conditionalFormatting>
  <conditionalFormatting sqref="AK74">
    <cfRule type="cellIs" dxfId="1878" priority="245" operator="equal">
      <formula>"non pertinent / nicht relevant"</formula>
    </cfRule>
    <cfRule type="cellIs" dxfId="1877" priority="246" operator="equal">
      <formula>"81-100%"</formula>
    </cfRule>
    <cfRule type="cellIs" dxfId="1876" priority="247" operator="equal">
      <formula>"51-80%"</formula>
    </cfRule>
    <cfRule type="cellIs" dxfId="1875" priority="248" operator="equal">
      <formula>"21-50%"</formula>
    </cfRule>
    <cfRule type="cellIs" dxfId="1874" priority="249" operator="equal">
      <formula>"0-20%"</formula>
    </cfRule>
  </conditionalFormatting>
  <conditionalFormatting sqref="AK76">
    <cfRule type="cellIs" dxfId="1873" priority="240" operator="equal">
      <formula>"non pertinent / nicht relevant"</formula>
    </cfRule>
    <cfRule type="cellIs" dxfId="1872" priority="241" operator="equal">
      <formula>"81-100%"</formula>
    </cfRule>
    <cfRule type="cellIs" dxfId="1871" priority="242" operator="equal">
      <formula>"51-80%"</formula>
    </cfRule>
    <cfRule type="cellIs" dxfId="1870" priority="243" operator="equal">
      <formula>"21-50%"</formula>
    </cfRule>
    <cfRule type="cellIs" dxfId="1869" priority="244" operator="equal">
      <formula>"0-20%"</formula>
    </cfRule>
  </conditionalFormatting>
  <conditionalFormatting sqref="AK152">
    <cfRule type="cellIs" dxfId="1868" priority="235" operator="equal">
      <formula>"non pertinent / nicht relevant"</formula>
    </cfRule>
    <cfRule type="cellIs" dxfId="1867" priority="236" operator="equal">
      <formula>"81-100%"</formula>
    </cfRule>
    <cfRule type="cellIs" dxfId="1866" priority="237" operator="equal">
      <formula>"51-80%"</formula>
    </cfRule>
    <cfRule type="cellIs" dxfId="1865" priority="238" operator="equal">
      <formula>"21-50%"</formula>
    </cfRule>
    <cfRule type="cellIs" dxfId="1864" priority="239" operator="equal">
      <formula>"0-20%"</formula>
    </cfRule>
  </conditionalFormatting>
  <conditionalFormatting sqref="AK162">
    <cfRule type="cellIs" dxfId="1863" priority="230" operator="equal">
      <formula>"non pertinent / nicht relevant"</formula>
    </cfRule>
    <cfRule type="cellIs" dxfId="1862" priority="231" operator="equal">
      <formula>"81-100%"</formula>
    </cfRule>
    <cfRule type="cellIs" dxfId="1861" priority="232" operator="equal">
      <formula>"51-80%"</formula>
    </cfRule>
    <cfRule type="cellIs" dxfId="1860" priority="233" operator="equal">
      <formula>"21-50%"</formula>
    </cfRule>
    <cfRule type="cellIs" dxfId="1859" priority="234" operator="equal">
      <formula>"0-20%"</formula>
    </cfRule>
  </conditionalFormatting>
  <conditionalFormatting sqref="AK163">
    <cfRule type="cellIs" dxfId="1858" priority="225" operator="equal">
      <formula>"non pertinent / nicht relevant"</formula>
    </cfRule>
    <cfRule type="cellIs" dxfId="1857" priority="226" operator="equal">
      <formula>"81-100%"</formula>
    </cfRule>
    <cfRule type="cellIs" dxfId="1856" priority="227" operator="equal">
      <formula>"51-80%"</formula>
    </cfRule>
    <cfRule type="cellIs" dxfId="1855" priority="228" operator="equal">
      <formula>"21-50%"</formula>
    </cfRule>
    <cfRule type="cellIs" dxfId="1854" priority="229" operator="equal">
      <formula>"0-20%"</formula>
    </cfRule>
  </conditionalFormatting>
  <conditionalFormatting sqref="AK164">
    <cfRule type="cellIs" dxfId="1853" priority="220" operator="equal">
      <formula>"non pertinent / nicht relevant"</formula>
    </cfRule>
    <cfRule type="cellIs" dxfId="1852" priority="221" operator="equal">
      <formula>"81-100%"</formula>
    </cfRule>
    <cfRule type="cellIs" dxfId="1851" priority="222" operator="equal">
      <formula>"51-80%"</formula>
    </cfRule>
    <cfRule type="cellIs" dxfId="1850" priority="223" operator="equal">
      <formula>"21-50%"</formula>
    </cfRule>
    <cfRule type="cellIs" dxfId="1849" priority="224" operator="equal">
      <formula>"0-20%"</formula>
    </cfRule>
  </conditionalFormatting>
  <conditionalFormatting sqref="AK167">
    <cfRule type="cellIs" dxfId="1848" priority="215" operator="equal">
      <formula>"non pertinent / nicht relevant"</formula>
    </cfRule>
    <cfRule type="cellIs" dxfId="1847" priority="216" operator="equal">
      <formula>"81-100%"</formula>
    </cfRule>
    <cfRule type="cellIs" dxfId="1846" priority="217" operator="equal">
      <formula>"51-80%"</formula>
    </cfRule>
    <cfRule type="cellIs" dxfId="1845" priority="218" operator="equal">
      <formula>"21-50%"</formula>
    </cfRule>
    <cfRule type="cellIs" dxfId="1844" priority="219" operator="equal">
      <formula>"0-20%"</formula>
    </cfRule>
  </conditionalFormatting>
  <conditionalFormatting sqref="AK172">
    <cfRule type="cellIs" dxfId="1843" priority="210" operator="equal">
      <formula>"non pertinent / nicht relevant"</formula>
    </cfRule>
    <cfRule type="cellIs" dxfId="1842" priority="211" operator="equal">
      <formula>"81-100%"</formula>
    </cfRule>
    <cfRule type="cellIs" dxfId="1841" priority="212" operator="equal">
      <formula>"51-80%"</formula>
    </cfRule>
    <cfRule type="cellIs" dxfId="1840" priority="213" operator="equal">
      <formula>"21-50%"</formula>
    </cfRule>
    <cfRule type="cellIs" dxfId="1839" priority="214" operator="equal">
      <formula>"0-20%"</formula>
    </cfRule>
  </conditionalFormatting>
  <conditionalFormatting sqref="AK173">
    <cfRule type="cellIs" dxfId="1838" priority="205" operator="equal">
      <formula>"non pertinent / nicht relevant"</formula>
    </cfRule>
    <cfRule type="cellIs" dxfId="1837" priority="206" operator="equal">
      <formula>"81-100%"</formula>
    </cfRule>
    <cfRule type="cellIs" dxfId="1836" priority="207" operator="equal">
      <formula>"51-80%"</formula>
    </cfRule>
    <cfRule type="cellIs" dxfId="1835" priority="208" operator="equal">
      <formula>"21-50%"</formula>
    </cfRule>
    <cfRule type="cellIs" dxfId="1834" priority="209" operator="equal">
      <formula>"0-20%"</formula>
    </cfRule>
  </conditionalFormatting>
  <conditionalFormatting sqref="AK166">
    <cfRule type="cellIs" dxfId="1833" priority="200" operator="equal">
      <formula>"non pertinent / nicht relevant"</formula>
    </cfRule>
    <cfRule type="cellIs" dxfId="1832" priority="201" operator="equal">
      <formula>"81-100%"</formula>
    </cfRule>
    <cfRule type="cellIs" dxfId="1831" priority="202" operator="equal">
      <formula>"51-80%"</formula>
    </cfRule>
    <cfRule type="cellIs" dxfId="1830" priority="203" operator="equal">
      <formula>"21-50%"</formula>
    </cfRule>
    <cfRule type="cellIs" dxfId="1829" priority="204" operator="equal">
      <formula>"0-20%"</formula>
    </cfRule>
  </conditionalFormatting>
  <conditionalFormatting sqref="AK171">
    <cfRule type="cellIs" dxfId="1828" priority="195" operator="equal">
      <formula>"non pertinent / nicht relevant"</formula>
    </cfRule>
    <cfRule type="cellIs" dxfId="1827" priority="196" operator="equal">
      <formula>"81-100%"</formula>
    </cfRule>
    <cfRule type="cellIs" dxfId="1826" priority="197" operator="equal">
      <formula>"51-80%"</formula>
    </cfRule>
    <cfRule type="cellIs" dxfId="1825" priority="198" operator="equal">
      <formula>"21-50%"</formula>
    </cfRule>
    <cfRule type="cellIs" dxfId="1824" priority="199" operator="equal">
      <formula>"0-20%"</formula>
    </cfRule>
  </conditionalFormatting>
  <conditionalFormatting sqref="AK174">
    <cfRule type="cellIs" dxfId="1823" priority="190" operator="equal">
      <formula>"non pertinent / nicht relevant"</formula>
    </cfRule>
    <cfRule type="cellIs" dxfId="1822" priority="191" operator="equal">
      <formula>"81-100%"</formula>
    </cfRule>
    <cfRule type="cellIs" dxfId="1821" priority="192" operator="equal">
      <formula>"51-80%"</formula>
    </cfRule>
    <cfRule type="cellIs" dxfId="1820" priority="193" operator="equal">
      <formula>"21-50%"</formula>
    </cfRule>
    <cfRule type="cellIs" dxfId="1819" priority="194" operator="equal">
      <formula>"0-20%"</formula>
    </cfRule>
  </conditionalFormatting>
  <conditionalFormatting sqref="AK175">
    <cfRule type="cellIs" dxfId="1818" priority="185" operator="equal">
      <formula>"non pertinent / nicht relevant"</formula>
    </cfRule>
    <cfRule type="cellIs" dxfId="1817" priority="186" operator="equal">
      <formula>"81-100%"</formula>
    </cfRule>
    <cfRule type="cellIs" dxfId="1816" priority="187" operator="equal">
      <formula>"51-80%"</formula>
    </cfRule>
    <cfRule type="cellIs" dxfId="1815" priority="188" operator="equal">
      <formula>"21-50%"</formula>
    </cfRule>
    <cfRule type="cellIs" dxfId="1814" priority="189" operator="equal">
      <formula>"0-20%"</formula>
    </cfRule>
  </conditionalFormatting>
  <conditionalFormatting sqref="AK176">
    <cfRule type="cellIs" dxfId="1813" priority="180" operator="equal">
      <formula>"non pertinent / nicht relevant"</formula>
    </cfRule>
    <cfRule type="cellIs" dxfId="1812" priority="181" operator="equal">
      <formula>"81-100%"</formula>
    </cfRule>
    <cfRule type="cellIs" dxfId="1811" priority="182" operator="equal">
      <formula>"51-80%"</formula>
    </cfRule>
    <cfRule type="cellIs" dxfId="1810" priority="183" operator="equal">
      <formula>"21-50%"</formula>
    </cfRule>
    <cfRule type="cellIs" dxfId="1809" priority="184" operator="equal">
      <formula>"0-20%"</formula>
    </cfRule>
  </conditionalFormatting>
  <conditionalFormatting sqref="AK213">
    <cfRule type="cellIs" dxfId="1808" priority="175" operator="equal">
      <formula>"non pertinent / nicht relevant"</formula>
    </cfRule>
    <cfRule type="cellIs" dxfId="1807" priority="176" operator="equal">
      <formula>"81-100%"</formula>
    </cfRule>
    <cfRule type="cellIs" dxfId="1806" priority="177" operator="equal">
      <formula>"51-80%"</formula>
    </cfRule>
    <cfRule type="cellIs" dxfId="1805" priority="178" operator="equal">
      <formula>"21-50%"</formula>
    </cfRule>
    <cfRule type="cellIs" dxfId="1804" priority="179" operator="equal">
      <formula>"0-20%"</formula>
    </cfRule>
  </conditionalFormatting>
  <conditionalFormatting sqref="AK219">
    <cfRule type="cellIs" dxfId="1803" priority="155" operator="equal">
      <formula>"non pertinent / nicht relevant"</formula>
    </cfRule>
    <cfRule type="cellIs" dxfId="1802" priority="156" operator="equal">
      <formula>"81-100%"</formula>
    </cfRule>
    <cfRule type="cellIs" dxfId="1801" priority="157" operator="equal">
      <formula>"51-80%"</formula>
    </cfRule>
    <cfRule type="cellIs" dxfId="1800" priority="158" operator="equal">
      <formula>"21-50%"</formula>
    </cfRule>
    <cfRule type="cellIs" dxfId="1799" priority="159" operator="equal">
      <formula>"0-20%"</formula>
    </cfRule>
  </conditionalFormatting>
  <conditionalFormatting sqref="AK214">
    <cfRule type="cellIs" dxfId="1798" priority="170" operator="equal">
      <formula>"non pertinent / nicht relevant"</formula>
    </cfRule>
    <cfRule type="cellIs" dxfId="1797" priority="171" operator="equal">
      <formula>"81-100%"</formula>
    </cfRule>
    <cfRule type="cellIs" dxfId="1796" priority="172" operator="equal">
      <formula>"51-80%"</formula>
    </cfRule>
    <cfRule type="cellIs" dxfId="1795" priority="173" operator="equal">
      <formula>"21-50%"</formula>
    </cfRule>
    <cfRule type="cellIs" dxfId="1794" priority="174" operator="equal">
      <formula>"0-20%"</formula>
    </cfRule>
  </conditionalFormatting>
  <conditionalFormatting sqref="AK215:AK218">
    <cfRule type="cellIs" dxfId="1793" priority="165" operator="equal">
      <formula>"non pertinent / nicht relevant"</formula>
    </cfRule>
    <cfRule type="cellIs" dxfId="1792" priority="166" operator="equal">
      <formula>"81-100%"</formula>
    </cfRule>
    <cfRule type="cellIs" dxfId="1791" priority="167" operator="equal">
      <formula>"51-80%"</formula>
    </cfRule>
    <cfRule type="cellIs" dxfId="1790" priority="168" operator="equal">
      <formula>"21-50%"</formula>
    </cfRule>
    <cfRule type="cellIs" dxfId="1789" priority="169" operator="equal">
      <formula>"0-20%"</formula>
    </cfRule>
  </conditionalFormatting>
  <conditionalFormatting sqref="AK220:AK222">
    <cfRule type="cellIs" dxfId="1788" priority="160" operator="equal">
      <formula>"non pertinent / nicht relevant"</formula>
    </cfRule>
    <cfRule type="cellIs" dxfId="1787" priority="161" operator="equal">
      <formula>"81-100%"</formula>
    </cfRule>
    <cfRule type="cellIs" dxfId="1786" priority="162" operator="equal">
      <formula>"51-80%"</formula>
    </cfRule>
    <cfRule type="cellIs" dxfId="1785" priority="163" operator="equal">
      <formula>"21-50%"</formula>
    </cfRule>
    <cfRule type="cellIs" dxfId="1784" priority="164" operator="equal">
      <formula>"0-20%"</formula>
    </cfRule>
  </conditionalFormatting>
  <conditionalFormatting sqref="AK223">
    <cfRule type="cellIs" dxfId="1783" priority="150" operator="equal">
      <formula>"non pertinent / nicht relevant"</formula>
    </cfRule>
    <cfRule type="cellIs" dxfId="1782" priority="151" operator="equal">
      <formula>"81-100%"</formula>
    </cfRule>
    <cfRule type="cellIs" dxfId="1781" priority="152" operator="equal">
      <formula>"51-80%"</formula>
    </cfRule>
    <cfRule type="cellIs" dxfId="1780" priority="153" operator="equal">
      <formula>"21-50%"</formula>
    </cfRule>
    <cfRule type="cellIs" dxfId="1779" priority="154" operator="equal">
      <formula>"0-20%"</formula>
    </cfRule>
  </conditionalFormatting>
  <conditionalFormatting sqref="AK273">
    <cfRule type="cellIs" dxfId="1778" priority="145" operator="equal">
      <formula>"non pertinent / nicht relevant"</formula>
    </cfRule>
    <cfRule type="cellIs" dxfId="1777" priority="146" operator="equal">
      <formula>"81-100%"</formula>
    </cfRule>
    <cfRule type="cellIs" dxfId="1776" priority="147" operator="equal">
      <formula>"51-80%"</formula>
    </cfRule>
    <cfRule type="cellIs" dxfId="1775" priority="148" operator="equal">
      <formula>"21-50%"</formula>
    </cfRule>
    <cfRule type="cellIs" dxfId="1774" priority="149" operator="equal">
      <formula>"0-20%"</formula>
    </cfRule>
  </conditionalFormatting>
  <conditionalFormatting sqref="AK274">
    <cfRule type="cellIs" dxfId="1773" priority="140" operator="equal">
      <formula>"non pertinent / nicht relevant"</formula>
    </cfRule>
    <cfRule type="cellIs" dxfId="1772" priority="141" operator="equal">
      <formula>"81-100%"</formula>
    </cfRule>
    <cfRule type="cellIs" dxfId="1771" priority="142" operator="equal">
      <formula>"51-80%"</formula>
    </cfRule>
    <cfRule type="cellIs" dxfId="1770" priority="143" operator="equal">
      <formula>"21-50%"</formula>
    </cfRule>
    <cfRule type="cellIs" dxfId="1769" priority="144" operator="equal">
      <formula>"0-20%"</formula>
    </cfRule>
  </conditionalFormatting>
  <conditionalFormatting sqref="AK275">
    <cfRule type="cellIs" dxfId="1768" priority="135" operator="equal">
      <formula>"non pertinent / nicht relevant"</formula>
    </cfRule>
    <cfRule type="cellIs" dxfId="1767" priority="136" operator="equal">
      <formula>"81-100%"</formula>
    </cfRule>
    <cfRule type="cellIs" dxfId="1766" priority="137" operator="equal">
      <formula>"51-80%"</formula>
    </cfRule>
    <cfRule type="cellIs" dxfId="1765" priority="138" operator="equal">
      <formula>"21-50%"</formula>
    </cfRule>
    <cfRule type="cellIs" dxfId="1764" priority="139" operator="equal">
      <formula>"0-20%"</formula>
    </cfRule>
  </conditionalFormatting>
  <conditionalFormatting sqref="AK272">
    <cfRule type="cellIs" dxfId="1763" priority="130" operator="equal">
      <formula>"non pertinent / nicht relevant"</formula>
    </cfRule>
    <cfRule type="cellIs" dxfId="1762" priority="131" operator="equal">
      <formula>"81-100%"</formula>
    </cfRule>
    <cfRule type="cellIs" dxfId="1761" priority="132" operator="equal">
      <formula>"51-80%"</formula>
    </cfRule>
    <cfRule type="cellIs" dxfId="1760" priority="133" operator="equal">
      <formula>"21-50%"</formula>
    </cfRule>
    <cfRule type="cellIs" dxfId="1759" priority="134" operator="equal">
      <formula>"0-20%"</formula>
    </cfRule>
  </conditionalFormatting>
  <conditionalFormatting sqref="AK177">
    <cfRule type="cellIs" dxfId="1758" priority="125" operator="equal">
      <formula>"non pertinent / nicht relevant"</formula>
    </cfRule>
    <cfRule type="cellIs" dxfId="1757" priority="126" operator="equal">
      <formula>"81-100%"</formula>
    </cfRule>
    <cfRule type="cellIs" dxfId="1756" priority="127" operator="equal">
      <formula>"51-80%"</formula>
    </cfRule>
    <cfRule type="cellIs" dxfId="1755" priority="128" operator="equal">
      <formula>"21-50%"</formula>
    </cfRule>
    <cfRule type="cellIs" dxfId="1754" priority="129" operator="equal">
      <formula>"0-20%"</formula>
    </cfRule>
  </conditionalFormatting>
  <conditionalFormatting sqref="AK178">
    <cfRule type="cellIs" dxfId="1753" priority="120" operator="equal">
      <formula>"non pertinent / nicht relevant"</formula>
    </cfRule>
    <cfRule type="cellIs" dxfId="1752" priority="121" operator="equal">
      <formula>"81-100%"</formula>
    </cfRule>
    <cfRule type="cellIs" dxfId="1751" priority="122" operator="equal">
      <formula>"51-80%"</formula>
    </cfRule>
    <cfRule type="cellIs" dxfId="1750" priority="123" operator="equal">
      <formula>"21-50%"</formula>
    </cfRule>
    <cfRule type="cellIs" dxfId="1749" priority="124" operator="equal">
      <formula>"0-20%"</formula>
    </cfRule>
  </conditionalFormatting>
  <conditionalFormatting sqref="AK179">
    <cfRule type="cellIs" dxfId="1748" priority="115" operator="equal">
      <formula>"non pertinent / nicht relevant"</formula>
    </cfRule>
    <cfRule type="cellIs" dxfId="1747" priority="116" operator="equal">
      <formula>"81-100%"</formula>
    </cfRule>
    <cfRule type="cellIs" dxfId="1746" priority="117" operator="equal">
      <formula>"51-80%"</formula>
    </cfRule>
    <cfRule type="cellIs" dxfId="1745" priority="118" operator="equal">
      <formula>"21-50%"</formula>
    </cfRule>
    <cfRule type="cellIs" dxfId="1744" priority="119" operator="equal">
      <formula>"0-20%"</formula>
    </cfRule>
  </conditionalFormatting>
  <conditionalFormatting sqref="AK180">
    <cfRule type="cellIs" dxfId="1743" priority="110" operator="equal">
      <formula>"non pertinent / nicht relevant"</formula>
    </cfRule>
    <cfRule type="cellIs" dxfId="1742" priority="111" operator="equal">
      <formula>"81-100%"</formula>
    </cfRule>
    <cfRule type="cellIs" dxfId="1741" priority="112" operator="equal">
      <formula>"51-80%"</formula>
    </cfRule>
    <cfRule type="cellIs" dxfId="1740" priority="113" operator="equal">
      <formula>"21-50%"</formula>
    </cfRule>
    <cfRule type="cellIs" dxfId="1739" priority="114" operator="equal">
      <formula>"0-20%"</formula>
    </cfRule>
  </conditionalFormatting>
  <conditionalFormatting sqref="AK145">
    <cfRule type="cellIs" dxfId="1738" priority="105" operator="equal">
      <formula>"non pertinent / nicht relevant"</formula>
    </cfRule>
    <cfRule type="cellIs" dxfId="1737" priority="106" operator="equal">
      <formula>"81-100%"</formula>
    </cfRule>
    <cfRule type="cellIs" dxfId="1736" priority="107" operator="equal">
      <formula>"51-80%"</formula>
    </cfRule>
    <cfRule type="cellIs" dxfId="1735" priority="108" operator="equal">
      <formula>"21-50%"</formula>
    </cfRule>
    <cfRule type="cellIs" dxfId="1734" priority="109" operator="equal">
      <formula>"0-20%"</formula>
    </cfRule>
  </conditionalFormatting>
  <conditionalFormatting sqref="AK144">
    <cfRule type="cellIs" dxfId="1733" priority="100" operator="equal">
      <formula>"non pertinent / nicht relevant"</formula>
    </cfRule>
    <cfRule type="cellIs" dxfId="1732" priority="101" operator="equal">
      <formula>"81-100%"</formula>
    </cfRule>
    <cfRule type="cellIs" dxfId="1731" priority="102" operator="equal">
      <formula>"51-80%"</formula>
    </cfRule>
    <cfRule type="cellIs" dxfId="1730" priority="103" operator="equal">
      <formula>"21-50%"</formula>
    </cfRule>
    <cfRule type="cellIs" dxfId="1729" priority="104" operator="equal">
      <formula>"0-20%"</formula>
    </cfRule>
  </conditionalFormatting>
  <conditionalFormatting sqref="AK15">
    <cfRule type="cellIs" dxfId="1728" priority="90" operator="equal">
      <formula>"non pertinent / nicht relevant"</formula>
    </cfRule>
    <cfRule type="cellIs" dxfId="1727" priority="91" operator="equal">
      <formula>"81-100%"</formula>
    </cfRule>
    <cfRule type="cellIs" dxfId="1726" priority="92" operator="equal">
      <formula>"51-80%"</formula>
    </cfRule>
    <cfRule type="cellIs" dxfId="1725" priority="93" operator="equal">
      <formula>"21-50%"</formula>
    </cfRule>
    <cfRule type="cellIs" dxfId="1724" priority="94" operator="equal">
      <formula>"0-20%"</formula>
    </cfRule>
  </conditionalFormatting>
  <conditionalFormatting sqref="AK16">
    <cfRule type="cellIs" dxfId="1723" priority="85" operator="equal">
      <formula>"non pertinent / nicht relevant"</formula>
    </cfRule>
    <cfRule type="cellIs" dxfId="1722" priority="86" operator="equal">
      <formula>"81-100%"</formula>
    </cfRule>
    <cfRule type="cellIs" dxfId="1721" priority="87" operator="equal">
      <formula>"51-80%"</formula>
    </cfRule>
    <cfRule type="cellIs" dxfId="1720" priority="88" operator="equal">
      <formula>"21-50%"</formula>
    </cfRule>
    <cfRule type="cellIs" dxfId="1719" priority="89" operator="equal">
      <formula>"0-20%"</formula>
    </cfRule>
  </conditionalFormatting>
  <conditionalFormatting sqref="AK168">
    <cfRule type="cellIs" dxfId="1718" priority="80" operator="equal">
      <formula>"non pertinent / nicht relevant"</formula>
    </cfRule>
    <cfRule type="cellIs" dxfId="1717" priority="81" operator="equal">
      <formula>"81-100%"</formula>
    </cfRule>
    <cfRule type="cellIs" dxfId="1716" priority="82" operator="equal">
      <formula>"51-80%"</formula>
    </cfRule>
    <cfRule type="cellIs" dxfId="1715" priority="83" operator="equal">
      <formula>"21-50%"</formula>
    </cfRule>
    <cfRule type="cellIs" dxfId="1714" priority="84" operator="equal">
      <formula>"0-20%"</formula>
    </cfRule>
  </conditionalFormatting>
  <conditionalFormatting sqref="AK169">
    <cfRule type="cellIs" dxfId="1713" priority="75" operator="equal">
      <formula>"non pertinent / nicht relevant"</formula>
    </cfRule>
    <cfRule type="cellIs" dxfId="1712" priority="76" operator="equal">
      <formula>"81-100%"</formula>
    </cfRule>
    <cfRule type="cellIs" dxfId="1711" priority="77" operator="equal">
      <formula>"51-80%"</formula>
    </cfRule>
    <cfRule type="cellIs" dxfId="1710" priority="78" operator="equal">
      <formula>"21-50%"</formula>
    </cfRule>
    <cfRule type="cellIs" dxfId="1709" priority="79" operator="equal">
      <formula>"0-20%"</formula>
    </cfRule>
  </conditionalFormatting>
  <conditionalFormatting sqref="AK170">
    <cfRule type="cellIs" dxfId="1708" priority="70" operator="equal">
      <formula>"non pertinent / nicht relevant"</formula>
    </cfRule>
    <cfRule type="cellIs" dxfId="1707" priority="71" operator="equal">
      <formula>"81-100%"</formula>
    </cfRule>
    <cfRule type="cellIs" dxfId="1706" priority="72" operator="equal">
      <formula>"51-80%"</formula>
    </cfRule>
    <cfRule type="cellIs" dxfId="1705" priority="73" operator="equal">
      <formula>"21-50%"</formula>
    </cfRule>
    <cfRule type="cellIs" dxfId="1704" priority="74" operator="equal">
      <formula>"0-20%"</formula>
    </cfRule>
  </conditionalFormatting>
  <conditionalFormatting sqref="AK4">
    <cfRule type="cellIs" dxfId="1703" priority="645" operator="equal">
      <formula>"non pertinent / nicht relevant"</formula>
    </cfRule>
    <cfRule type="cellIs" dxfId="1702" priority="646" operator="equal">
      <formula>"81-100%"</formula>
    </cfRule>
    <cfRule type="cellIs" dxfId="1701" priority="647" operator="equal">
      <formula>"51-80%"</formula>
    </cfRule>
    <cfRule type="cellIs" dxfId="1700" priority="648" operator="equal">
      <formula>"21-50%"</formula>
    </cfRule>
    <cfRule type="cellIs" dxfId="1699" priority="649" operator="equal">
      <formula>"0-20%"</formula>
    </cfRule>
  </conditionalFormatting>
  <conditionalFormatting sqref="AK5">
    <cfRule type="cellIs" dxfId="1698" priority="640" operator="equal">
      <formula>"non pertinent / nicht relevant"</formula>
    </cfRule>
    <cfRule type="cellIs" dxfId="1697" priority="641" operator="equal">
      <formula>"81-100%"</formula>
    </cfRule>
    <cfRule type="cellIs" dxfId="1696" priority="642" operator="equal">
      <formula>"51-80%"</formula>
    </cfRule>
    <cfRule type="cellIs" dxfId="1695" priority="643" operator="equal">
      <formula>"21-50%"</formula>
    </cfRule>
    <cfRule type="cellIs" dxfId="1694" priority="644" operator="equal">
      <formula>"0-20%"</formula>
    </cfRule>
  </conditionalFormatting>
  <conditionalFormatting sqref="AK7">
    <cfRule type="cellIs" dxfId="1693" priority="635" operator="equal">
      <formula>"non pertinent / nicht relevant"</formula>
    </cfRule>
    <cfRule type="cellIs" dxfId="1692" priority="636" operator="equal">
      <formula>"81-100%"</formula>
    </cfRule>
    <cfRule type="cellIs" dxfId="1691" priority="637" operator="equal">
      <formula>"51-80%"</formula>
    </cfRule>
    <cfRule type="cellIs" dxfId="1690" priority="638" operator="equal">
      <formula>"21-50%"</formula>
    </cfRule>
    <cfRule type="cellIs" dxfId="1689" priority="639" operator="equal">
      <formula>"0-20%"</formula>
    </cfRule>
  </conditionalFormatting>
  <conditionalFormatting sqref="AK8">
    <cfRule type="cellIs" dxfId="1688" priority="630" operator="equal">
      <formula>"non pertinent / nicht relevant"</formula>
    </cfRule>
    <cfRule type="cellIs" dxfId="1687" priority="631" operator="equal">
      <formula>"81-100%"</formula>
    </cfRule>
    <cfRule type="cellIs" dxfId="1686" priority="632" operator="equal">
      <formula>"51-80%"</formula>
    </cfRule>
    <cfRule type="cellIs" dxfId="1685" priority="633" operator="equal">
      <formula>"21-50%"</formula>
    </cfRule>
    <cfRule type="cellIs" dxfId="1684" priority="634" operator="equal">
      <formula>"0-20%"</formula>
    </cfRule>
  </conditionalFormatting>
  <conditionalFormatting sqref="AK202:AK212">
    <cfRule type="cellIs" dxfId="1683" priority="65" operator="equal">
      <formula>"non pertinent / nicht relevant"</formula>
    </cfRule>
    <cfRule type="cellIs" dxfId="1682" priority="66" operator="equal">
      <formula>"81-100%"</formula>
    </cfRule>
    <cfRule type="cellIs" dxfId="1681" priority="67" operator="equal">
      <formula>"51-80%"</formula>
    </cfRule>
    <cfRule type="cellIs" dxfId="1680" priority="68" operator="equal">
      <formula>"21-50%"</formula>
    </cfRule>
    <cfRule type="cellIs" dxfId="1679" priority="69" operator="equal">
      <formula>"0-20%"</formula>
    </cfRule>
  </conditionalFormatting>
  <conditionalFormatting sqref="AK197:AK201">
    <cfRule type="cellIs" dxfId="1678" priority="60" operator="equal">
      <formula>"non pertinent / nicht relevant"</formula>
    </cfRule>
    <cfRule type="cellIs" dxfId="1677" priority="61" operator="equal">
      <formula>"81-100%"</formula>
    </cfRule>
    <cfRule type="cellIs" dxfId="1676" priority="62" operator="equal">
      <formula>"51-80%"</formula>
    </cfRule>
    <cfRule type="cellIs" dxfId="1675" priority="63" operator="equal">
      <formula>"21-50%"</formula>
    </cfRule>
    <cfRule type="cellIs" dxfId="1674" priority="64" operator="equal">
      <formula>"0-20%"</formula>
    </cfRule>
  </conditionalFormatting>
  <conditionalFormatting sqref="AK185:AK193">
    <cfRule type="cellIs" dxfId="1673" priority="55" operator="equal">
      <formula>"non pertinent / nicht relevant"</formula>
    </cfRule>
    <cfRule type="cellIs" dxfId="1672" priority="56" operator="equal">
      <formula>"81-100%"</formula>
    </cfRule>
    <cfRule type="cellIs" dxfId="1671" priority="57" operator="equal">
      <formula>"51-80%"</formula>
    </cfRule>
    <cfRule type="cellIs" dxfId="1670" priority="58" operator="equal">
      <formula>"21-50%"</formula>
    </cfRule>
    <cfRule type="cellIs" dxfId="1669" priority="59" operator="equal">
      <formula>"0-20%"</formula>
    </cfRule>
  </conditionalFormatting>
  <conditionalFormatting sqref="AK181:AK184">
    <cfRule type="cellIs" dxfId="1668" priority="50" operator="equal">
      <formula>"non pertinent / nicht relevant"</formula>
    </cfRule>
    <cfRule type="cellIs" dxfId="1667" priority="51" operator="equal">
      <formula>"81-100%"</formula>
    </cfRule>
    <cfRule type="cellIs" dxfId="1666" priority="52" operator="equal">
      <formula>"51-80%"</formula>
    </cfRule>
    <cfRule type="cellIs" dxfId="1665" priority="53" operator="equal">
      <formula>"21-50%"</formula>
    </cfRule>
    <cfRule type="cellIs" dxfId="1664" priority="54" operator="equal">
      <formula>"0-20%"</formula>
    </cfRule>
  </conditionalFormatting>
  <conditionalFormatting sqref="AK196">
    <cfRule type="cellIs" dxfId="1663" priority="45" operator="equal">
      <formula>"non pertinent / nicht relevant"</formula>
    </cfRule>
    <cfRule type="cellIs" dxfId="1662" priority="46" operator="equal">
      <formula>"81-100%"</formula>
    </cfRule>
    <cfRule type="cellIs" dxfId="1661" priority="47" operator="equal">
      <formula>"51-80%"</formula>
    </cfRule>
    <cfRule type="cellIs" dxfId="1660" priority="48" operator="equal">
      <formula>"21-50%"</formula>
    </cfRule>
    <cfRule type="cellIs" dxfId="1659" priority="49" operator="equal">
      <formula>"0-20%"</formula>
    </cfRule>
  </conditionalFormatting>
  <conditionalFormatting sqref="AK194:AK195">
    <cfRule type="cellIs" dxfId="1658" priority="40" operator="equal">
      <formula>"non pertinent / nicht relevant"</formula>
    </cfRule>
    <cfRule type="cellIs" dxfId="1657" priority="41" operator="equal">
      <formula>"81-100%"</formula>
    </cfRule>
    <cfRule type="cellIs" dxfId="1656" priority="42" operator="equal">
      <formula>"51-80%"</formula>
    </cfRule>
    <cfRule type="cellIs" dxfId="1655" priority="43" operator="equal">
      <formula>"21-50%"</formula>
    </cfRule>
    <cfRule type="cellIs" dxfId="1654" priority="44" operator="equal">
      <formula>"0-20%"</formula>
    </cfRule>
  </conditionalFormatting>
  <conditionalFormatting sqref="AK154">
    <cfRule type="cellIs" dxfId="1653" priority="35" operator="equal">
      <formula>"non pertinent / nicht relevant"</formula>
    </cfRule>
    <cfRule type="cellIs" dxfId="1652" priority="36" operator="equal">
      <formula>"81-100%"</formula>
    </cfRule>
    <cfRule type="cellIs" dxfId="1651" priority="37" operator="equal">
      <formula>"51-80%"</formula>
    </cfRule>
    <cfRule type="cellIs" dxfId="1650" priority="38" operator="equal">
      <formula>"21-50%"</formula>
    </cfRule>
    <cfRule type="cellIs" dxfId="1649" priority="39" operator="equal">
      <formula>"0-20%"</formula>
    </cfRule>
  </conditionalFormatting>
  <conditionalFormatting sqref="AK158">
    <cfRule type="cellIs" dxfId="1648" priority="30" operator="equal">
      <formula>"non pertinent / nicht relevant"</formula>
    </cfRule>
    <cfRule type="cellIs" dxfId="1647" priority="31" operator="equal">
      <formula>"81-100%"</formula>
    </cfRule>
    <cfRule type="cellIs" dxfId="1646" priority="32" operator="equal">
      <formula>"51-80%"</formula>
    </cfRule>
    <cfRule type="cellIs" dxfId="1645" priority="33" operator="equal">
      <formula>"21-50%"</formula>
    </cfRule>
    <cfRule type="cellIs" dxfId="1644" priority="34" operator="equal">
      <formula>"0-20%"</formula>
    </cfRule>
  </conditionalFormatting>
  <conditionalFormatting sqref="AK165">
    <cfRule type="cellIs" dxfId="1643" priority="25" operator="equal">
      <formula>"non pertinent / nicht relevant"</formula>
    </cfRule>
    <cfRule type="cellIs" dxfId="1642" priority="26" operator="equal">
      <formula>"81-100%"</formula>
    </cfRule>
    <cfRule type="cellIs" dxfId="1641" priority="27" operator="equal">
      <formula>"51-80%"</formula>
    </cfRule>
    <cfRule type="cellIs" dxfId="1640" priority="28" operator="equal">
      <formula>"21-50%"</formula>
    </cfRule>
    <cfRule type="cellIs" dxfId="1639" priority="29" operator="equal">
      <formula>"0-20%"</formula>
    </cfRule>
  </conditionalFormatting>
  <conditionalFormatting sqref="AK224:AK271">
    <cfRule type="cellIs" dxfId="1638" priority="20" operator="equal">
      <formula>"non pertinent / nicht relevant"</formula>
    </cfRule>
    <cfRule type="cellIs" dxfId="1637" priority="21" operator="equal">
      <formula>"81-100%"</formula>
    </cfRule>
    <cfRule type="cellIs" dxfId="1636" priority="22" operator="equal">
      <formula>"51-80%"</formula>
    </cfRule>
    <cfRule type="cellIs" dxfId="1635" priority="23" operator="equal">
      <formula>"21-50%"</formula>
    </cfRule>
    <cfRule type="cellIs" dxfId="1634" priority="24" operator="equal">
      <formula>"0-20%"</formula>
    </cfRule>
  </conditionalFormatting>
  <conditionalFormatting sqref="AK82:AK142">
    <cfRule type="cellIs" dxfId="1633" priority="15" operator="equal">
      <formula>"non pertinent / nicht relevant"</formula>
    </cfRule>
    <cfRule type="cellIs" dxfId="1632" priority="16" operator="equal">
      <formula>"81-100%"</formula>
    </cfRule>
    <cfRule type="cellIs" dxfId="1631" priority="17" operator="equal">
      <formula>"51-80%"</formula>
    </cfRule>
    <cfRule type="cellIs" dxfId="1630" priority="18" operator="equal">
      <formula>"21-50%"</formula>
    </cfRule>
    <cfRule type="cellIs" dxfId="1629" priority="19" operator="equal">
      <formula>"0-20%"</formula>
    </cfRule>
  </conditionalFormatting>
  <conditionalFormatting sqref="AK143">
    <cfRule type="cellIs" dxfId="1628" priority="10" operator="equal">
      <formula>"non pertinent / nicht relevant"</formula>
    </cfRule>
    <cfRule type="cellIs" dxfId="1627" priority="11" operator="equal">
      <formula>"81-100%"</formula>
    </cfRule>
    <cfRule type="cellIs" dxfId="1626" priority="12" operator="equal">
      <formula>"51-80%"</formula>
    </cfRule>
    <cfRule type="cellIs" dxfId="1625" priority="13" operator="equal">
      <formula>"21-50%"</formula>
    </cfRule>
    <cfRule type="cellIs" dxfId="1624" priority="14" operator="equal">
      <formula>"0-20%"</formula>
    </cfRule>
  </conditionalFormatting>
  <conditionalFormatting sqref="AZ4:BA275">
    <cfRule type="cellIs" dxfId="1623" priority="7" operator="equal">
      <formula>"Potentiellement affecté / möglicherweise betroffen"</formula>
    </cfRule>
    <cfRule type="cellIs" dxfId="1622" priority="8" operator="equal">
      <formula>"Potentiellement affecté mais non plausible / möglicherweise betroffen aber nicht nachweisbar"</formula>
    </cfRule>
    <cfRule type="cellIs" dxfId="1621" priority="9" operator="equal">
      <formula>"Non affecté / nicht betroffen"</formula>
    </cfRule>
  </conditionalFormatting>
  <conditionalFormatting sqref="AL3 BJ1:BJ1048576 BO1:BO1048576 BV1:BV1048576">
    <cfRule type="cellIs" dxfId="1620" priority="5" operator="equal">
      <formula>"Très nécessaire, facile"</formula>
    </cfRule>
    <cfRule type="cellIs" dxfId="1619" priority="6" operator="equal">
      <formula>"Partiellement nécessaire, difficile"</formula>
    </cfRule>
  </conditionalFormatting>
  <conditionalFormatting sqref="BJ1:BJ1048576 BO1:BO1048576 BV1:BV1048576">
    <cfRule type="cellIs" dxfId="1618" priority="2" operator="equal">
      <formula>"Très nécessaire, difficile"</formula>
    </cfRule>
    <cfRule type="cellIs" dxfId="1617" priority="3" operator="equal">
      <formula>"Partiellement nécessaire, facile"</formula>
    </cfRule>
    <cfRule type="cellIs" dxfId="1616" priority="4" operator="equal">
      <formula>"Non nécessaire"</formula>
    </cfRule>
  </conditionalFormatting>
  <conditionalFormatting sqref="AY1:AY1048576">
    <cfRule type="cellIs" dxfId="1615" priority="1" operator="equal">
      <formula>1</formula>
    </cfRule>
  </conditionalFormatting>
  <pageMargins left="0.7" right="0.7"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304"/>
  <sheetViews>
    <sheetView topLeftCell="A21" zoomScaleNormal="100" workbookViewId="0">
      <selection activeCell="B30" sqref="B30"/>
    </sheetView>
  </sheetViews>
  <sheetFormatPr baseColWidth="10" defaultRowHeight="15" x14ac:dyDescent="0.25"/>
  <cols>
    <col min="1" max="1" width="7.85546875" customWidth="1"/>
    <col min="2" max="2" width="23" customWidth="1"/>
    <col min="3" max="3" width="13.5703125" style="1" customWidth="1"/>
    <col min="4" max="4" width="7.7109375" customWidth="1"/>
    <col min="5" max="5" width="8.85546875" customWidth="1"/>
    <col min="6" max="6" width="3.5703125" customWidth="1"/>
    <col min="9" max="9" width="8.85546875" customWidth="1"/>
    <col min="10" max="10" width="4.7109375" customWidth="1"/>
  </cols>
  <sheetData>
    <row r="1" spans="1:10" ht="33.75" customHeight="1" thickBot="1" x14ac:dyDescent="0.3">
      <c r="A1" s="362" t="s">
        <v>1837</v>
      </c>
      <c r="B1" s="363"/>
      <c r="C1" s="364"/>
      <c r="D1" s="363"/>
      <c r="E1" s="363"/>
      <c r="F1" s="363"/>
      <c r="G1" s="363"/>
      <c r="H1" s="363"/>
      <c r="I1" s="363"/>
      <c r="J1" s="365"/>
    </row>
    <row r="2" spans="1:10" ht="20.100000000000001" customHeight="1" thickBot="1" x14ac:dyDescent="0.3"/>
    <row r="3" spans="1:10" ht="20.100000000000001" customHeight="1" x14ac:dyDescent="0.25">
      <c r="A3" s="366" t="s">
        <v>709</v>
      </c>
      <c r="B3" s="367"/>
      <c r="C3" s="368"/>
      <c r="D3" s="367"/>
      <c r="E3" s="367"/>
      <c r="F3" s="367"/>
      <c r="G3" s="367"/>
      <c r="H3" s="367"/>
      <c r="I3" s="367"/>
      <c r="J3" s="369"/>
    </row>
    <row r="4" spans="1:10" s="374" customFormat="1" ht="20.100000000000001" customHeight="1" x14ac:dyDescent="0.25">
      <c r="A4" s="370" t="s">
        <v>1586</v>
      </c>
      <c r="B4" s="371"/>
      <c r="C4" s="371"/>
      <c r="D4" s="371"/>
      <c r="E4" s="371"/>
      <c r="F4" s="371"/>
      <c r="G4" s="371"/>
      <c r="H4" s="371"/>
      <c r="I4" s="372"/>
      <c r="J4" s="373"/>
    </row>
    <row r="5" spans="1:10" s="374" customFormat="1" ht="20.100000000000001" customHeight="1" x14ac:dyDescent="0.25">
      <c r="A5" s="370" t="s">
        <v>1587</v>
      </c>
      <c r="B5" s="371"/>
      <c r="C5" s="371"/>
      <c r="D5" s="371"/>
      <c r="E5" s="371"/>
      <c r="F5" s="371"/>
      <c r="G5" s="371"/>
      <c r="H5" s="371"/>
      <c r="I5" s="375"/>
      <c r="J5" s="376"/>
    </row>
    <row r="6" spans="1:10" s="374" customFormat="1" ht="20.100000000000001" customHeight="1" x14ac:dyDescent="0.25">
      <c r="A6" s="370" t="s">
        <v>1588</v>
      </c>
      <c r="B6" s="371"/>
      <c r="C6" s="371"/>
      <c r="D6" s="371"/>
      <c r="E6" s="371"/>
      <c r="F6" s="371"/>
      <c r="G6" s="371"/>
      <c r="H6" s="371"/>
      <c r="I6" s="377"/>
      <c r="J6" s="378"/>
    </row>
    <row r="7" spans="1:10" s="374" customFormat="1" ht="20.100000000000001" customHeight="1" x14ac:dyDescent="0.25">
      <c r="A7" s="370" t="s">
        <v>1589</v>
      </c>
      <c r="B7" s="371"/>
      <c r="C7" s="371"/>
      <c r="D7" s="371"/>
      <c r="E7" s="371"/>
      <c r="F7" s="371"/>
      <c r="G7" s="371"/>
      <c r="H7" s="371"/>
      <c r="I7" s="379"/>
      <c r="J7" s="380"/>
    </row>
    <row r="8" spans="1:10" s="374" customFormat="1" ht="20.100000000000001" customHeight="1" thickBot="1" x14ac:dyDescent="0.3">
      <c r="A8" s="381" t="s">
        <v>1590</v>
      </c>
      <c r="B8" s="382"/>
      <c r="C8" s="382"/>
      <c r="D8" s="382"/>
      <c r="E8" s="382"/>
      <c r="F8" s="382"/>
      <c r="G8" s="382"/>
      <c r="H8" s="382"/>
      <c r="I8" s="383"/>
      <c r="J8" s="384"/>
    </row>
    <row r="9" spans="1:10" ht="20.100000000000001" customHeight="1" thickBot="1" x14ac:dyDescent="0.3"/>
    <row r="10" spans="1:10" ht="20.100000000000001" customHeight="1" x14ac:dyDescent="0.25">
      <c r="A10" s="366" t="s">
        <v>710</v>
      </c>
      <c r="B10" s="367"/>
      <c r="C10" s="368"/>
      <c r="D10" s="367"/>
      <c r="E10" s="367"/>
      <c r="F10" s="367"/>
      <c r="G10" s="367"/>
      <c r="H10" s="367"/>
      <c r="I10" s="367"/>
      <c r="J10" s="369"/>
    </row>
    <row r="11" spans="1:10" ht="20.100000000000001" customHeight="1" x14ac:dyDescent="0.25">
      <c r="A11" s="370" t="s">
        <v>1534</v>
      </c>
      <c r="B11" s="385"/>
      <c r="C11" s="386"/>
      <c r="D11" s="385"/>
      <c r="E11" s="385"/>
      <c r="F11" s="385"/>
      <c r="G11" s="385"/>
      <c r="H11" s="385"/>
      <c r="I11" s="372"/>
      <c r="J11" s="373"/>
    </row>
    <row r="12" spans="1:10" ht="20.100000000000001" customHeight="1" x14ac:dyDescent="0.25">
      <c r="A12" s="370" t="s">
        <v>1591</v>
      </c>
      <c r="B12" s="385"/>
      <c r="C12" s="386"/>
      <c r="D12" s="385"/>
      <c r="E12" s="385"/>
      <c r="F12" s="385"/>
      <c r="G12" s="385"/>
      <c r="H12" s="385"/>
      <c r="I12" s="375"/>
      <c r="J12" s="376"/>
    </row>
    <row r="13" spans="1:10" ht="20.100000000000001" customHeight="1" x14ac:dyDescent="0.25">
      <c r="A13" s="370" t="s">
        <v>1592</v>
      </c>
      <c r="B13" s="385"/>
      <c r="C13" s="386"/>
      <c r="D13" s="385"/>
      <c r="E13" s="385"/>
      <c r="F13" s="385"/>
      <c r="G13" s="385"/>
      <c r="H13" s="385"/>
      <c r="I13" s="377"/>
      <c r="J13" s="378"/>
    </row>
    <row r="14" spans="1:10" ht="20.100000000000001" customHeight="1" x14ac:dyDescent="0.25">
      <c r="A14" s="370" t="s">
        <v>1593</v>
      </c>
      <c r="B14" s="385"/>
      <c r="C14" s="386"/>
      <c r="D14" s="385"/>
      <c r="E14" s="385"/>
      <c r="F14" s="385"/>
      <c r="G14" s="385"/>
      <c r="H14" s="385"/>
      <c r="I14" s="379"/>
      <c r="J14" s="380"/>
    </row>
    <row r="15" spans="1:10" ht="20.100000000000001" customHeight="1" x14ac:dyDescent="0.25">
      <c r="A15" s="370" t="s">
        <v>1594</v>
      </c>
      <c r="B15" s="385"/>
      <c r="C15" s="386"/>
      <c r="D15" s="385"/>
      <c r="E15" s="385"/>
      <c r="F15" s="385"/>
      <c r="G15" s="385"/>
      <c r="H15" s="385"/>
      <c r="I15" s="387"/>
      <c r="J15" s="388"/>
    </row>
    <row r="16" spans="1:10" ht="20.100000000000001" customHeight="1" thickBot="1" x14ac:dyDescent="0.3">
      <c r="A16" s="381" t="s">
        <v>1595</v>
      </c>
      <c r="B16" s="389"/>
      <c r="C16" s="390"/>
      <c r="D16" s="389"/>
      <c r="E16" s="389"/>
      <c r="F16" s="389"/>
      <c r="G16" s="389"/>
      <c r="H16" s="389"/>
      <c r="I16" s="383"/>
      <c r="J16" s="384"/>
    </row>
    <row r="17" spans="1:11" ht="20.100000000000001" customHeight="1" thickBot="1" x14ac:dyDescent="0.3"/>
    <row r="18" spans="1:11" ht="20.100000000000001" customHeight="1" x14ac:dyDescent="0.25">
      <c r="A18" s="366" t="s">
        <v>711</v>
      </c>
      <c r="B18" s="367"/>
      <c r="C18" s="368"/>
      <c r="D18" s="367"/>
      <c r="E18" s="367"/>
      <c r="F18" s="367"/>
      <c r="G18" s="367"/>
      <c r="H18" s="367"/>
      <c r="I18" s="367"/>
      <c r="J18" s="369"/>
    </row>
    <row r="19" spans="1:11" ht="20.100000000000001" customHeight="1" x14ac:dyDescent="0.25">
      <c r="A19" s="370" t="s">
        <v>722</v>
      </c>
      <c r="B19" s="385"/>
      <c r="C19" s="386"/>
      <c r="D19" s="385"/>
      <c r="E19" s="385"/>
      <c r="F19" s="385"/>
      <c r="G19" s="385"/>
      <c r="H19" s="385"/>
      <c r="I19" s="375"/>
      <c r="J19" s="376"/>
    </row>
    <row r="20" spans="1:11" ht="20.100000000000001" customHeight="1" x14ac:dyDescent="0.25">
      <c r="A20" s="370" t="s">
        <v>719</v>
      </c>
      <c r="B20" s="385"/>
      <c r="C20" s="386"/>
      <c r="D20" s="385"/>
      <c r="E20" s="385"/>
      <c r="F20" s="385"/>
      <c r="G20" s="385"/>
      <c r="H20" s="385"/>
      <c r="I20" s="379"/>
      <c r="J20" s="380"/>
    </row>
    <row r="21" spans="1:11" ht="20.100000000000001" customHeight="1" thickBot="1" x14ac:dyDescent="0.3">
      <c r="A21" s="381" t="s">
        <v>767</v>
      </c>
      <c r="B21" s="389"/>
      <c r="C21" s="390"/>
      <c r="D21" s="389"/>
      <c r="E21" s="389"/>
      <c r="F21" s="389"/>
      <c r="G21" s="389"/>
      <c r="H21" s="389"/>
      <c r="I21" s="383"/>
      <c r="J21" s="384"/>
    </row>
    <row r="22" spans="1:11" ht="20.100000000000001" customHeight="1" thickBot="1" x14ac:dyDescent="0.3"/>
    <row r="23" spans="1:11" ht="20.100000000000001" customHeight="1" x14ac:dyDescent="0.25">
      <c r="A23" s="366" t="s">
        <v>712</v>
      </c>
      <c r="B23" s="391"/>
      <c r="C23" s="392"/>
      <c r="D23" s="391"/>
      <c r="E23" s="391"/>
      <c r="F23" s="391"/>
      <c r="G23" s="391"/>
      <c r="H23" s="391"/>
      <c r="I23" s="391"/>
      <c r="J23" s="393"/>
    </row>
    <row r="24" spans="1:11" ht="20.100000000000001" customHeight="1" x14ac:dyDescent="0.25">
      <c r="A24" s="370" t="s">
        <v>1534</v>
      </c>
      <c r="B24" s="385"/>
      <c r="C24" s="386"/>
      <c r="D24" s="385"/>
      <c r="E24" s="385"/>
      <c r="F24" s="385"/>
      <c r="G24" s="385"/>
      <c r="H24" s="385"/>
      <c r="I24" s="372"/>
      <c r="J24" s="373"/>
    </row>
    <row r="25" spans="1:11" ht="20.100000000000001" customHeight="1" x14ac:dyDescent="0.25">
      <c r="A25" s="370" t="s">
        <v>1596</v>
      </c>
      <c r="B25" s="385"/>
      <c r="C25" s="386"/>
      <c r="D25" s="385"/>
      <c r="E25" s="385"/>
      <c r="F25" s="385"/>
      <c r="G25" s="385"/>
      <c r="H25" s="385"/>
      <c r="I25" s="375"/>
      <c r="J25" s="376"/>
    </row>
    <row r="26" spans="1:11" ht="20.100000000000001" customHeight="1" x14ac:dyDescent="0.25">
      <c r="A26" s="370" t="s">
        <v>723</v>
      </c>
      <c r="B26" s="385"/>
      <c r="C26" s="386"/>
      <c r="D26" s="385"/>
      <c r="E26" s="385"/>
      <c r="F26" s="385"/>
      <c r="G26" s="385"/>
      <c r="H26" s="385"/>
      <c r="I26" s="377"/>
      <c r="J26" s="378"/>
    </row>
    <row r="27" spans="1:11" ht="20.100000000000001" customHeight="1" x14ac:dyDescent="0.25">
      <c r="A27" s="370" t="s">
        <v>720</v>
      </c>
      <c r="B27" s="385"/>
      <c r="C27" s="386"/>
      <c r="D27" s="385"/>
      <c r="E27" s="385"/>
      <c r="F27" s="385"/>
      <c r="G27" s="385"/>
      <c r="H27" s="385"/>
      <c r="I27" s="379"/>
      <c r="J27" s="380"/>
    </row>
    <row r="28" spans="1:11" ht="20.100000000000001" customHeight="1" x14ac:dyDescent="0.25">
      <c r="A28" s="370" t="s">
        <v>738</v>
      </c>
      <c r="B28" s="385"/>
      <c r="C28" s="386"/>
      <c r="D28" s="385"/>
      <c r="E28" s="385"/>
      <c r="F28" s="385"/>
      <c r="G28" s="385"/>
      <c r="H28" s="385"/>
      <c r="I28" s="387"/>
      <c r="J28" s="388"/>
    </row>
    <row r="29" spans="1:11" ht="20.100000000000001" customHeight="1" thickBot="1" x14ac:dyDescent="0.3">
      <c r="A29" s="381" t="s">
        <v>737</v>
      </c>
      <c r="B29" s="389"/>
      <c r="C29" s="390"/>
      <c r="D29" s="389"/>
      <c r="E29" s="389"/>
      <c r="F29" s="389"/>
      <c r="G29" s="389"/>
      <c r="H29" s="389"/>
      <c r="I29" s="383"/>
      <c r="J29" s="384"/>
    </row>
    <row r="31" spans="1:11" ht="20.100000000000001" customHeight="1" thickBot="1" x14ac:dyDescent="0.3"/>
    <row r="32" spans="1:11" ht="38.25" customHeight="1" x14ac:dyDescent="0.25">
      <c r="A32" s="394" t="s">
        <v>1053</v>
      </c>
      <c r="B32" s="395" t="s">
        <v>21</v>
      </c>
      <c r="C32" s="395" t="s">
        <v>22</v>
      </c>
      <c r="D32" s="396" t="s">
        <v>20</v>
      </c>
      <c r="E32" s="1396" t="s">
        <v>709</v>
      </c>
      <c r="F32" s="1397"/>
      <c r="G32" s="397" t="s">
        <v>710</v>
      </c>
      <c r="H32" s="397" t="s">
        <v>711</v>
      </c>
      <c r="I32" s="1396" t="s">
        <v>712</v>
      </c>
      <c r="J32" s="1397"/>
      <c r="K32" s="398"/>
    </row>
    <row r="33" spans="1:11" ht="20.100000000000001" customHeight="1" x14ac:dyDescent="0.25">
      <c r="A33" s="926">
        <v>2</v>
      </c>
      <c r="B33" s="400" t="s">
        <v>36</v>
      </c>
      <c r="C33" s="400" t="s">
        <v>37</v>
      </c>
      <c r="D33" s="401" t="s">
        <v>35</v>
      </c>
      <c r="E33" s="402" t="str">
        <f>IF(VLOOKUP(A33,'Charriage - Geschiebehaushalt'!$A$4:$AC$275,28,FALSE)="","",VLOOKUP(A33,'Charriage - Geschiebehaushalt'!$A$4:$AC$275,28,FALSE))</f>
        <v>81-100%</v>
      </c>
      <c r="F33" s="403" t="str">
        <f>IF(VLOOKUP(A33,'Charriage - Geschiebehaushalt'!$A$4:$AD$275,30,FALSE)="","",VLOOKUP(A33,'Charriage - Geschiebehaushalt'!$A$4:$AD$275,30,FALSE))</f>
        <v>a</v>
      </c>
      <c r="G33" s="330" t="str">
        <f>IF(VLOOKUP(A33,'Débit - Abfluss'!$A$4:$AD$275,17,FALSE)="","",VLOOKUP(A33,'Débit - Abfluss'!$A$4:$AD$275,17,FALSE))</f>
        <v>81-100%</v>
      </c>
      <c r="H33" s="404" t="str">
        <f>IF(VLOOKUP(A33,'Eclusée - Schwall-Sunk'!$A$2:$F$273,6,FALSE)="","",VLOOKUP(A33,'Eclusée - Schwall-Sunk'!$A$2:$F$273,6,FALSE))</f>
        <v>Potentiellement affecté mais non plausible / möglicherweise betroffen aber nicht nachweisbar</v>
      </c>
      <c r="I33" s="405" t="str">
        <f>IF(VLOOKUP(A33,'Revitalisation-Revitalisierung'!$A$4:$Z$275,25,FALSE)="","",VLOOKUP(A33,'Revitalisation-Revitalisierung'!$A$4:$Z$275,25,FALSE))</f>
        <v>Non nécessaire / nicht nötig</v>
      </c>
      <c r="J33" s="406" t="str">
        <f>IF(VLOOKUP(A33,'Revitalisation-Revitalisierung'!$A$4:$AA$275,27,FALSE)="","",VLOOKUP(A33,'Revitalisation-Revitalisierung'!$A$4:$AA$275,27,FALSE))</f>
        <v>b</v>
      </c>
      <c r="K33" s="407"/>
    </row>
    <row r="34" spans="1:11" ht="20.100000000000001" customHeight="1" x14ac:dyDescent="0.25">
      <c r="A34" s="926">
        <v>3</v>
      </c>
      <c r="B34" s="400" t="s">
        <v>46</v>
      </c>
      <c r="C34" s="400" t="s">
        <v>37</v>
      </c>
      <c r="D34" s="401" t="s">
        <v>35</v>
      </c>
      <c r="E34" s="402" t="str">
        <f>IF(VLOOKUP(A34,'Charriage - Geschiebehaushalt'!$A$4:$AC$275,28,FALSE)="","",VLOOKUP(A34,'Charriage - Geschiebehaushalt'!$A$4:$AC$275,28,FALSE))</f>
        <v>81-100%</v>
      </c>
      <c r="F34" s="403" t="str">
        <f>IF(VLOOKUP(A34,'Charriage - Geschiebehaushalt'!$A$4:$AD$275,30,FALSE)="","",VLOOKUP(A34,'Charriage - Geschiebehaushalt'!$A$4:$AD$275,30,FALSE))</f>
        <v>a</v>
      </c>
      <c r="G34" s="330" t="str">
        <f>IF(VLOOKUP(A34,'Débit - Abfluss'!$A$4:$AD$275,17,FALSE)="","",VLOOKUP(A34,'Débit - Abfluss'!$A$4:$AD$275,17,FALSE))</f>
        <v>81-100%</v>
      </c>
      <c r="H34" s="404" t="str">
        <f>IF(VLOOKUP(A34,'Eclusée - Schwall-Sunk'!$A$2:$F$273,6,FALSE)="","",VLOOKUP(A34,'Eclusée - Schwall-Sunk'!$A$2:$F$273,6,FALSE))</f>
        <v>Non affecté / nicht betroffen</v>
      </c>
      <c r="I34" s="405" t="str">
        <f>IF(VLOOKUP(A34,'Revitalisation-Revitalisierung'!$A$4:$Z$275,25,FALSE)="","",VLOOKUP(A34,'Revitalisation-Revitalisierung'!$A$4:$Z$275,25,FALSE))</f>
        <v>Partiellement nécessaire, difficile / teilweise nötig, schwierig</v>
      </c>
      <c r="J34" s="406" t="str">
        <f>IF(VLOOKUP(A34,'Revitalisation-Revitalisierung'!$A$4:$AA$275,27,FALSE)="","",VLOOKUP(A34,'Revitalisation-Revitalisierung'!$A$4:$AA$275,27,FALSE))</f>
        <v>b</v>
      </c>
      <c r="K34" s="407"/>
    </row>
    <row r="35" spans="1:11" ht="20.100000000000001" customHeight="1" x14ac:dyDescent="0.25">
      <c r="A35" s="926">
        <v>4</v>
      </c>
      <c r="B35" s="400" t="s">
        <v>440</v>
      </c>
      <c r="C35" s="400" t="s">
        <v>441</v>
      </c>
      <c r="D35" s="401" t="s">
        <v>439</v>
      </c>
      <c r="E35" s="402" t="str">
        <f>IF(VLOOKUP(A35,'Charriage - Geschiebehaushalt'!$A$4:$AC$275,28,FALSE)="","",VLOOKUP(A35,'Charriage - Geschiebehaushalt'!$A$4:$AC$275,28,FALSE))</f>
        <v>0-20%</v>
      </c>
      <c r="F35" s="403" t="str">
        <f>IF(VLOOKUP(A35,'Charriage - Geschiebehaushalt'!$A$4:$AD$275,30,FALSE)="","",VLOOKUP(A35,'Charriage - Geschiebehaushalt'!$A$4:$AD$275,30,FALSE))</f>
        <v>a</v>
      </c>
      <c r="G35" s="330" t="str">
        <f>IF(VLOOKUP(A35,'Débit - Abfluss'!$A$4:$AD$275,17,FALSE)="","",VLOOKUP(A35,'Débit - Abfluss'!$A$4:$AD$275,17,FALSE))</f>
        <v>100%</v>
      </c>
      <c r="H35" s="404" t="str">
        <f>IF(VLOOKUP(A35,'Eclusée - Schwall-Sunk'!$A$2:$F$273,6,FALSE)="","",VLOOKUP(A35,'Eclusée - Schwall-Sunk'!$A$2:$F$273,6,FALSE))</f>
        <v>Non affecté / nicht betroffen</v>
      </c>
      <c r="I35" s="405" t="str">
        <f>IF(VLOOKUP(A35,'Revitalisation-Revitalisierung'!$A$4:$Z$275,25,FALSE)="","",VLOOKUP(A35,'Revitalisation-Revitalisierung'!$A$4:$Z$275,25,FALSE))</f>
        <v>Non nécessaire / nicht nötig</v>
      </c>
      <c r="J35" s="406" t="str">
        <f>IF(VLOOKUP(A35,'Revitalisation-Revitalisierung'!$A$4:$AA$275,27,FALSE)="","",VLOOKUP(A35,'Revitalisation-Revitalisierung'!$A$4:$AA$275,27,FALSE))</f>
        <v>a</v>
      </c>
      <c r="K35" s="407"/>
    </row>
    <row r="36" spans="1:11" ht="20.100000000000001" customHeight="1" x14ac:dyDescent="0.25">
      <c r="A36" s="926">
        <v>5</v>
      </c>
      <c r="B36" s="400" t="s">
        <v>449</v>
      </c>
      <c r="C36" s="400" t="s">
        <v>450</v>
      </c>
      <c r="D36" s="401" t="s">
        <v>448</v>
      </c>
      <c r="E36" s="402" t="str">
        <f>IF(VLOOKUP(A36,'Charriage - Geschiebehaushalt'!$A$4:$AC$275,28,FALSE)="","",VLOOKUP(A36,'Charriage - Geschiebehaushalt'!$A$4:$AC$275,28,FALSE))</f>
        <v>21-50%</v>
      </c>
      <c r="F36" s="403" t="str">
        <f>IF(VLOOKUP(A36,'Charriage - Geschiebehaushalt'!$A$4:$AD$275,30,FALSE)="","",VLOOKUP(A36,'Charriage - Geschiebehaushalt'!$A$4:$AD$275,30,FALSE))</f>
        <v>a</v>
      </c>
      <c r="G36" s="330" t="str">
        <f>IF(VLOOKUP(A36,'Débit - Abfluss'!$A$4:$AD$275,17,FALSE)="","",VLOOKUP(A36,'Débit - Abfluss'!$A$4:$AD$275,17,FALSE))</f>
        <v>81-100%</v>
      </c>
      <c r="H36" s="404" t="str">
        <f>IF(VLOOKUP(A36,'Eclusée - Schwall-Sunk'!$A$2:$F$273,6,FALSE)="","",VLOOKUP(A36,'Eclusée - Schwall-Sunk'!$A$2:$F$273,6,FALSE))</f>
        <v>Potentiellement affecté mais non plausible / möglicherweise betroffen aber nicht nachweisbar</v>
      </c>
      <c r="I36" s="405" t="str">
        <f>IF(VLOOKUP(A36,'Revitalisation-Revitalisierung'!$A$4:$Z$275,25,FALSE)="","",VLOOKUP(A36,'Revitalisation-Revitalisierung'!$A$4:$Z$275,25,FALSE))</f>
        <v>Partiellement nécessaire, facile / teilweise nötig, einfach</v>
      </c>
      <c r="J36" s="406" t="str">
        <f>IF(VLOOKUP(A36,'Revitalisation-Revitalisierung'!$A$4:$AA$275,27,FALSE)="","",VLOOKUP(A36,'Revitalisation-Revitalisierung'!$A$4:$AA$275,27,FALSE))</f>
        <v>a</v>
      </c>
      <c r="K36" s="407"/>
    </row>
    <row r="37" spans="1:11" ht="20.100000000000001" customHeight="1" x14ac:dyDescent="0.25">
      <c r="A37" s="926">
        <v>6</v>
      </c>
      <c r="B37" s="400" t="s">
        <v>473</v>
      </c>
      <c r="C37" s="400" t="s">
        <v>417</v>
      </c>
      <c r="D37" s="401" t="s">
        <v>472</v>
      </c>
      <c r="E37" s="402" t="str">
        <f>IF(VLOOKUP(A37,'Charriage - Geschiebehaushalt'!$A$4:$AC$275,28,FALSE)="","",VLOOKUP(A37,'Charriage - Geschiebehaushalt'!$A$4:$AC$275,28,FALSE))</f>
        <v>0-20%</v>
      </c>
      <c r="F37" s="403" t="str">
        <f>IF(VLOOKUP(A37,'Charriage - Geschiebehaushalt'!$A$4:$AD$275,30,FALSE)="","",VLOOKUP(A37,'Charriage - Geschiebehaushalt'!$A$4:$AD$275,30,FALSE))</f>
        <v>a</v>
      </c>
      <c r="G37" s="330" t="str">
        <f>IF(VLOOKUP(A37,'Débit - Abfluss'!$A$4:$AD$275,17,FALSE)="","",VLOOKUP(A37,'Débit - Abfluss'!$A$4:$AD$275,17,FALSE))</f>
        <v>100%</v>
      </c>
      <c r="H37" s="404" t="str">
        <f>IF(VLOOKUP(A37,'Eclusée - Schwall-Sunk'!$A$2:$F$273,6,FALSE)="","",VLOOKUP(A37,'Eclusée - Schwall-Sunk'!$A$2:$F$273,6,FALSE))</f>
        <v>Potentiellement affecté mais non plausible / möglicherweise betroffen aber nicht nachweisbar</v>
      </c>
      <c r="I37" s="405" t="str">
        <f>IF(VLOOKUP(A37,'Revitalisation-Revitalisierung'!$A$4:$Z$275,25,FALSE)="","",VLOOKUP(A37,'Revitalisation-Revitalisierung'!$A$4:$Z$275,25,FALSE))</f>
        <v>Non nécessaire / nicht nötig</v>
      </c>
      <c r="J37" s="406" t="str">
        <f>IF(VLOOKUP(A37,'Revitalisation-Revitalisierung'!$A$4:$AA$275,27,FALSE)="","",VLOOKUP(A37,'Revitalisation-Revitalisierung'!$A$4:$AA$275,27,FALSE))</f>
        <v>b</v>
      </c>
      <c r="K37" s="407"/>
    </row>
    <row r="38" spans="1:11" ht="20.100000000000001" customHeight="1" x14ac:dyDescent="0.25">
      <c r="A38" s="926">
        <v>7</v>
      </c>
      <c r="B38" s="400" t="s">
        <v>476</v>
      </c>
      <c r="C38" s="400" t="s">
        <v>417</v>
      </c>
      <c r="D38" s="401" t="s">
        <v>472</v>
      </c>
      <c r="E38" s="402" t="str">
        <f>IF(VLOOKUP(A38,'Charriage - Geschiebehaushalt'!$A$4:$AC$275,28,FALSE)="","",VLOOKUP(A38,'Charriage - Geschiebehaushalt'!$A$4:$AC$275,28,FALSE))</f>
        <v>0-20%</v>
      </c>
      <c r="F38" s="403" t="str">
        <f>IF(VLOOKUP(A38,'Charriage - Geschiebehaushalt'!$A$4:$AD$275,30,FALSE)="","",VLOOKUP(A38,'Charriage - Geschiebehaushalt'!$A$4:$AD$275,30,FALSE))</f>
        <v>a</v>
      </c>
      <c r="G38" s="330" t="str">
        <f>IF(VLOOKUP(A38,'Débit - Abfluss'!$A$4:$AD$275,17,FALSE)="","",VLOOKUP(A38,'Débit - Abfluss'!$A$4:$AD$275,17,FALSE))</f>
        <v>100%</v>
      </c>
      <c r="H38" s="404" t="str">
        <f>IF(VLOOKUP(A38,'Eclusée - Schwall-Sunk'!$A$2:$F$273,6,FALSE)="","",VLOOKUP(A38,'Eclusée - Schwall-Sunk'!$A$2:$F$273,6,FALSE))</f>
        <v>Potentiellement affecté mais non plausible / möglicherweise betroffen aber nicht nachweisbar</v>
      </c>
      <c r="I38" s="405" t="str">
        <f>IF(VLOOKUP(A38,'Revitalisation-Revitalisierung'!$A$4:$Z$275,25,FALSE)="","",VLOOKUP(A38,'Revitalisation-Revitalisierung'!$A$4:$Z$275,25,FALSE))</f>
        <v>Très nécessaire, facile / unbedingt nötig, einfach</v>
      </c>
      <c r="J38" s="406" t="str">
        <f>IF(VLOOKUP(A38,'Revitalisation-Revitalisierung'!$A$4:$AA$275,27,FALSE)="","",VLOOKUP(A38,'Revitalisation-Revitalisierung'!$A$4:$AA$275,27,FALSE))</f>
        <v>a</v>
      </c>
      <c r="K38" s="407"/>
    </row>
    <row r="39" spans="1:11" ht="20.100000000000001" customHeight="1" x14ac:dyDescent="0.25">
      <c r="A39" s="926">
        <v>8</v>
      </c>
      <c r="B39" s="400" t="s">
        <v>478</v>
      </c>
      <c r="C39" s="400" t="s">
        <v>479</v>
      </c>
      <c r="D39" s="401" t="s">
        <v>472</v>
      </c>
      <c r="E39" s="402" t="str">
        <f>IF(VLOOKUP(A39,'Charriage - Geschiebehaushalt'!$A$4:$AC$275,28,FALSE)="","",VLOOKUP(A39,'Charriage - Geschiebehaushalt'!$A$4:$AC$275,28,FALSE))</f>
        <v>0-20%</v>
      </c>
      <c r="F39" s="403" t="str">
        <f>IF(VLOOKUP(A39,'Charriage - Geschiebehaushalt'!$A$4:$AD$275,30,FALSE)="","",VLOOKUP(A39,'Charriage - Geschiebehaushalt'!$A$4:$AD$275,30,FALSE))</f>
        <v>a</v>
      </c>
      <c r="G39" s="330" t="str">
        <f>IF(VLOOKUP(A39,'Débit - Abfluss'!$A$4:$AD$275,17,FALSE)="","",VLOOKUP(A39,'Débit - Abfluss'!$A$4:$AD$275,17,FALSE))</f>
        <v>100%</v>
      </c>
      <c r="H39" s="404" t="str">
        <f>IF(VLOOKUP(A39,'Eclusée - Schwall-Sunk'!$A$2:$F$273,6,FALSE)="","",VLOOKUP(A39,'Eclusée - Schwall-Sunk'!$A$2:$F$273,6,FALSE))</f>
        <v>Potentiellement affecté mais non plausible / möglicherweise betroffen aber nicht nachweisbar</v>
      </c>
      <c r="I39" s="405" t="str">
        <f>IF(VLOOKUP(A39,'Revitalisation-Revitalisierung'!$A$4:$Z$275,25,FALSE)="","",VLOOKUP(A39,'Revitalisation-Revitalisierung'!$A$4:$Z$275,25,FALSE))</f>
        <v>Très nécessaire, facile / unbedingt nötig, einfach</v>
      </c>
      <c r="J39" s="406" t="str">
        <f>IF(VLOOKUP(A39,'Revitalisation-Revitalisierung'!$A$4:$AA$275,27,FALSE)="","",VLOOKUP(A39,'Revitalisation-Revitalisierung'!$A$4:$AA$275,27,FALSE))</f>
        <v>a</v>
      </c>
      <c r="K39" s="407"/>
    </row>
    <row r="40" spans="1:11" ht="20.100000000000001" customHeight="1" x14ac:dyDescent="0.25">
      <c r="A40" s="926">
        <v>9</v>
      </c>
      <c r="B40" s="400" t="s">
        <v>480</v>
      </c>
      <c r="C40" s="400" t="s">
        <v>417</v>
      </c>
      <c r="D40" s="401">
        <v>0</v>
      </c>
      <c r="E40" s="402" t="str">
        <f>IF(VLOOKUP(A40,'Charriage - Geschiebehaushalt'!$A$4:$AC$275,28,FALSE)="","",VLOOKUP(A40,'Charriage - Geschiebehaushalt'!$A$4:$AC$275,28,FALSE))</f>
        <v>0-20%</v>
      </c>
      <c r="F40" s="403" t="str">
        <f>IF(VLOOKUP(A40,'Charriage - Geschiebehaushalt'!$A$4:$AD$275,30,FALSE)="","",VLOOKUP(A40,'Charriage - Geschiebehaushalt'!$A$4:$AD$275,30,FALSE))</f>
        <v>a</v>
      </c>
      <c r="G40" s="330" t="str">
        <f>IF(VLOOKUP(A40,'Débit - Abfluss'!$A$4:$AD$275,17,FALSE)="","",VLOOKUP(A40,'Débit - Abfluss'!$A$4:$AD$275,17,FALSE))</f>
        <v>81-100%</v>
      </c>
      <c r="H40" s="404" t="str">
        <f>IF(VLOOKUP(A40,'Eclusée - Schwall-Sunk'!$A$2:$F$273,6,FALSE)="","",VLOOKUP(A40,'Eclusée - Schwall-Sunk'!$A$2:$F$273,6,FALSE))</f>
        <v>Potentiellement affecté mais non plausible / möglicherweise betroffen aber nicht nachweisbar</v>
      </c>
      <c r="I40" s="405" t="str">
        <f>IF(VLOOKUP(A40,'Revitalisation-Revitalisierung'!$A$4:$Z$275,25,FALSE)="","",VLOOKUP(A40,'Revitalisation-Revitalisierung'!$A$4:$Z$275,25,FALSE))</f>
        <v>Très nécessaire, facile / unbedingt nötig, einfach</v>
      </c>
      <c r="J40" s="406" t="str">
        <f>IF(VLOOKUP(A40,'Revitalisation-Revitalisierung'!$A$4:$AA$275,27,FALSE)="","",VLOOKUP(A40,'Revitalisation-Revitalisierung'!$A$4:$AA$275,27,FALSE))</f>
        <v>a</v>
      </c>
      <c r="K40" s="407"/>
    </row>
    <row r="41" spans="1:11" ht="20.100000000000001" customHeight="1" x14ac:dyDescent="0.25">
      <c r="A41" s="926">
        <v>11</v>
      </c>
      <c r="B41" s="400" t="s">
        <v>481</v>
      </c>
      <c r="C41" s="400" t="s">
        <v>417</v>
      </c>
      <c r="D41" s="401" t="s">
        <v>472</v>
      </c>
      <c r="E41" s="402" t="str">
        <f>IF(VLOOKUP(A41,'Charriage - Geschiebehaushalt'!$A$4:$AC$275,28,FALSE)="","",VLOOKUP(A41,'Charriage - Geschiebehaushalt'!$A$4:$AC$275,28,FALSE))</f>
        <v>0-20%</v>
      </c>
      <c r="F41" s="403" t="str">
        <f>IF(VLOOKUP(A41,'Charriage - Geschiebehaushalt'!$A$4:$AD$275,30,FALSE)="","",VLOOKUP(A41,'Charriage - Geschiebehaushalt'!$A$4:$AD$275,30,FALSE))</f>
        <v>a</v>
      </c>
      <c r="G41" s="330" t="str">
        <f>IF(VLOOKUP(A41,'Débit - Abfluss'!$A$4:$AD$275,17,FALSE)="","",VLOOKUP(A41,'Débit - Abfluss'!$A$4:$AD$275,17,FALSE))</f>
        <v>41-60%</v>
      </c>
      <c r="H41" s="404" t="str">
        <f>IF(VLOOKUP(A41,'Eclusée - Schwall-Sunk'!$A$2:$F$273,6,FALSE)="","",VLOOKUP(A41,'Eclusée - Schwall-Sunk'!$A$2:$F$273,6,FALSE))</f>
        <v>Non affecté / nicht betroffen</v>
      </c>
      <c r="I41" s="405" t="str">
        <f>IF(VLOOKUP(A41,'Revitalisation-Revitalisierung'!$A$4:$Z$275,25,FALSE)="","",VLOOKUP(A41,'Revitalisation-Revitalisierung'!$A$4:$Z$275,25,FALSE))</f>
        <v>Partiellement nécessaire, difficile</v>
      </c>
      <c r="J41" s="406" t="str">
        <f>IF(VLOOKUP(A41,'Revitalisation-Revitalisierung'!$A$4:$AA$275,27,FALSE)="","",VLOOKUP(A41,'Revitalisation-Revitalisierung'!$A$4:$AA$275,27,FALSE))</f>
        <v>a</v>
      </c>
      <c r="K41" s="407"/>
    </row>
    <row r="42" spans="1:11" ht="20.100000000000001" customHeight="1" x14ac:dyDescent="0.25">
      <c r="A42" s="926">
        <v>12</v>
      </c>
      <c r="B42" s="400" t="s">
        <v>436</v>
      </c>
      <c r="C42" s="400" t="s">
        <v>417</v>
      </c>
      <c r="D42" s="401" t="s">
        <v>435</v>
      </c>
      <c r="E42" s="402" t="str">
        <f>IF(VLOOKUP(A42,'Charriage - Geschiebehaushalt'!$A$4:$AC$275,28,FALSE)="","",VLOOKUP(A42,'Charriage - Geschiebehaushalt'!$A$4:$AC$275,28,FALSE))</f>
        <v>0-20%</v>
      </c>
      <c r="F42" s="403" t="str">
        <f>IF(VLOOKUP(A42,'Charriage - Geschiebehaushalt'!$A$4:$AD$275,30,FALSE)="","",VLOOKUP(A42,'Charriage - Geschiebehaushalt'!$A$4:$AD$275,30,FALSE))</f>
        <v>a</v>
      </c>
      <c r="G42" s="330" t="str">
        <f>IF(VLOOKUP(A42,'Débit - Abfluss'!$A$4:$AD$275,17,FALSE)="","",VLOOKUP(A42,'Débit - Abfluss'!$A$4:$AD$275,17,FALSE))</f>
        <v>100%</v>
      </c>
      <c r="H42" s="404" t="str">
        <f>IF(VLOOKUP(A42,'Eclusée - Schwall-Sunk'!$A$2:$F$273,6,FALSE)="","",VLOOKUP(A42,'Eclusée - Schwall-Sunk'!$A$2:$F$273,6,FALSE))</f>
        <v>Non affecté / nicht betroffen</v>
      </c>
      <c r="I42" s="405" t="str">
        <f>IF(VLOOKUP(A42,'Revitalisation-Revitalisierung'!$A$4:$Z$275,25,FALSE)="","",VLOOKUP(A42,'Revitalisation-Revitalisierung'!$A$4:$Z$275,25,FALSE))</f>
        <v>Très nécessaire, facile / unbedingt nötig, einfach</v>
      </c>
      <c r="J42" s="406" t="str">
        <f>IF(VLOOKUP(A42,'Revitalisation-Revitalisierung'!$A$4:$AA$275,27,FALSE)="","",VLOOKUP(A42,'Revitalisation-Revitalisierung'!$A$4:$AA$275,27,FALSE))</f>
        <v>a</v>
      </c>
      <c r="K42" s="407"/>
    </row>
    <row r="43" spans="1:11" ht="20.100000000000001" customHeight="1" x14ac:dyDescent="0.25">
      <c r="A43" s="926">
        <v>14</v>
      </c>
      <c r="B43" s="400" t="s">
        <v>411</v>
      </c>
      <c r="C43" s="400" t="s">
        <v>412</v>
      </c>
      <c r="D43" s="401" t="s">
        <v>410</v>
      </c>
      <c r="E43" s="402" t="str">
        <f>IF(VLOOKUP(A43,'Charriage - Geschiebehaushalt'!$A$4:$AC$275,28,FALSE)="","",VLOOKUP(A43,'Charriage - Geschiebehaushalt'!$A$4:$AC$275,28,FALSE))</f>
        <v>81-100%</v>
      </c>
      <c r="F43" s="403" t="str">
        <f>IF(VLOOKUP(A43,'Charriage - Geschiebehaushalt'!$A$4:$AD$275,30,FALSE)="","",VLOOKUP(A43,'Charriage - Geschiebehaushalt'!$A$4:$AD$275,30,FALSE))</f>
        <v>b</v>
      </c>
      <c r="G43" s="330" t="str">
        <f>IF(VLOOKUP(A43,'Débit - Abfluss'!$A$4:$AD$275,17,FALSE)="","",VLOOKUP(A43,'Débit - Abfluss'!$A$4:$AD$275,17,FALSE))</f>
        <v>0-20%</v>
      </c>
      <c r="H43" s="404" t="str">
        <f>IF(VLOOKUP(A43,'Eclusée - Schwall-Sunk'!$A$2:$F$273,6,FALSE)="","",VLOOKUP(A43,'Eclusée - Schwall-Sunk'!$A$2:$F$273,6,FALSE))</f>
        <v>Non affecté / nicht betroffen</v>
      </c>
      <c r="I43" s="405" t="str">
        <f>IF(VLOOKUP(A43,'Revitalisation-Revitalisierung'!$A$4:$Z$275,25,FALSE)="","",VLOOKUP(A43,'Revitalisation-Revitalisierung'!$A$4:$Z$275,25,FALSE))</f>
        <v>Partiellement nécessaire, difficile / teilweise nötig, schwierig</v>
      </c>
      <c r="J43" s="406" t="str">
        <f>IF(VLOOKUP(A43,'Revitalisation-Revitalisierung'!$A$4:$AA$275,27,FALSE)="","",VLOOKUP(A43,'Revitalisation-Revitalisierung'!$A$4:$AA$275,27,FALSE))</f>
        <v>a</v>
      </c>
      <c r="K43" s="407"/>
    </row>
    <row r="44" spans="1:11" ht="20.100000000000001" customHeight="1" x14ac:dyDescent="0.25">
      <c r="A44" s="926">
        <v>16</v>
      </c>
      <c r="B44" s="400" t="s">
        <v>416</v>
      </c>
      <c r="C44" s="400" t="s">
        <v>417</v>
      </c>
      <c r="D44" s="401" t="s">
        <v>410</v>
      </c>
      <c r="E44" s="402" t="str">
        <f>IF(VLOOKUP(A44,'Charriage - Geschiebehaushalt'!$A$4:$AC$275,28,FALSE)="","",VLOOKUP(A44,'Charriage - Geschiebehaushalt'!$A$4:$AC$275,28,FALSE))</f>
        <v>0-20%</v>
      </c>
      <c r="F44" s="403" t="str">
        <f>IF(VLOOKUP(A44,'Charriage - Geschiebehaushalt'!$A$4:$AD$275,30,FALSE)="","",VLOOKUP(A44,'Charriage - Geschiebehaushalt'!$A$4:$AD$275,30,FALSE))</f>
        <v>a</v>
      </c>
      <c r="G44" s="330" t="str">
        <f>IF(VLOOKUP(A44,'Débit - Abfluss'!$A$4:$AD$275,17,FALSE)="","",VLOOKUP(A44,'Débit - Abfluss'!$A$4:$AD$275,17,FALSE))</f>
        <v>100%</v>
      </c>
      <c r="H44" s="404" t="str">
        <f>IF(VLOOKUP(A44,'Eclusée - Schwall-Sunk'!$A$2:$F$273,6,FALSE)="","",VLOOKUP(A44,'Eclusée - Schwall-Sunk'!$A$2:$F$273,6,FALSE))</f>
        <v>Non affecté / nicht betroffen</v>
      </c>
      <c r="I44" s="405" t="str">
        <f>IF(VLOOKUP(A44,'Revitalisation-Revitalisierung'!$A$4:$Z$275,25,FALSE)="","",VLOOKUP(A44,'Revitalisation-Revitalisierung'!$A$4:$Z$275,25,FALSE))</f>
        <v>Très nécessaire, facile / unbedingt nötig, einfach</v>
      </c>
      <c r="J44" s="406" t="str">
        <f>IF(VLOOKUP(A44,'Revitalisation-Revitalisierung'!$A$4:$AA$275,27,FALSE)="","",VLOOKUP(A44,'Revitalisation-Revitalisierung'!$A$4:$AA$275,27,FALSE))</f>
        <v>a</v>
      </c>
      <c r="K44" s="407"/>
    </row>
    <row r="45" spans="1:11" ht="20.100000000000001" customHeight="1" x14ac:dyDescent="0.25">
      <c r="A45" s="926">
        <v>18</v>
      </c>
      <c r="B45" s="400" t="s">
        <v>419</v>
      </c>
      <c r="C45" s="400" t="s">
        <v>417</v>
      </c>
      <c r="D45" s="401" t="s">
        <v>410</v>
      </c>
      <c r="E45" s="402" t="str">
        <f>IF(VLOOKUP(A45,'Charriage - Geschiebehaushalt'!$A$4:$AC$275,28,FALSE)="","",VLOOKUP(A45,'Charriage - Geschiebehaushalt'!$A$4:$AC$275,28,FALSE))</f>
        <v>0-20%</v>
      </c>
      <c r="F45" s="403" t="str">
        <f>IF(VLOOKUP(A45,'Charriage - Geschiebehaushalt'!$A$4:$AD$275,30,FALSE)="","",VLOOKUP(A45,'Charriage - Geschiebehaushalt'!$A$4:$AD$275,30,FALSE))</f>
        <v>a</v>
      </c>
      <c r="G45" s="330" t="str">
        <f>IF(VLOOKUP(A45,'Débit - Abfluss'!$A$4:$AD$275,17,FALSE)="","",VLOOKUP(A45,'Débit - Abfluss'!$A$4:$AD$275,17,FALSE))</f>
        <v>100%</v>
      </c>
      <c r="H45" s="404" t="str">
        <f>IF(VLOOKUP(A45,'Eclusée - Schwall-Sunk'!$A$2:$F$273,6,FALSE)="","",VLOOKUP(A45,'Eclusée - Schwall-Sunk'!$A$2:$F$273,6,FALSE))</f>
        <v>Non affecté / nicht betroffen</v>
      </c>
      <c r="I45" s="405" t="str">
        <f>IF(VLOOKUP(A45,'Revitalisation-Revitalisierung'!$A$4:$Z$275,25,FALSE)="","",VLOOKUP(A45,'Revitalisation-Revitalisierung'!$A$4:$Z$275,25,FALSE))</f>
        <v>Très nécessaire, facile</v>
      </c>
      <c r="J45" s="406" t="str">
        <f>IF(VLOOKUP(A45,'Revitalisation-Revitalisierung'!$A$4:$AA$275,27,FALSE)="","",VLOOKUP(A45,'Revitalisation-Revitalisierung'!$A$4:$AA$275,27,FALSE))</f>
        <v>a</v>
      </c>
      <c r="K45" s="407"/>
    </row>
    <row r="46" spans="1:11" ht="20.100000000000001" customHeight="1" x14ac:dyDescent="0.25">
      <c r="A46" s="926">
        <v>19</v>
      </c>
      <c r="B46" s="400" t="s">
        <v>420</v>
      </c>
      <c r="C46" s="400" t="s">
        <v>421</v>
      </c>
      <c r="D46" s="401" t="s">
        <v>410</v>
      </c>
      <c r="E46" s="402" t="str">
        <f>IF(VLOOKUP(A46,'Charriage - Geschiebehaushalt'!$A$4:$AC$275,28,FALSE)="","",VLOOKUP(A46,'Charriage - Geschiebehaushalt'!$A$4:$AC$275,28,FALSE))</f>
        <v>0-20%</v>
      </c>
      <c r="F46" s="403" t="str">
        <f>IF(VLOOKUP(A46,'Charriage - Geschiebehaushalt'!$A$4:$AD$275,30,FALSE)="","",VLOOKUP(A46,'Charriage - Geschiebehaushalt'!$A$4:$AD$275,30,FALSE))</f>
        <v>a</v>
      </c>
      <c r="G46" s="330" t="str">
        <f>IF(VLOOKUP(A46,'Débit - Abfluss'!$A$4:$AD$275,17,FALSE)="","",VLOOKUP(A46,'Débit - Abfluss'!$A$4:$AD$275,17,FALSE))</f>
        <v>100%</v>
      </c>
      <c r="H46" s="404" t="str">
        <f>IF(VLOOKUP(A46,'Eclusée - Schwall-Sunk'!$A$2:$F$273,6,FALSE)="","",VLOOKUP(A46,'Eclusée - Schwall-Sunk'!$A$2:$F$273,6,FALSE))</f>
        <v>Non affecté / nicht betroffen</v>
      </c>
      <c r="I46" s="405" t="str">
        <f>IF(VLOOKUP(A46,'Revitalisation-Revitalisierung'!$A$4:$Z$275,25,FALSE)="","",VLOOKUP(A46,'Revitalisation-Revitalisierung'!$A$4:$Z$275,25,FALSE))</f>
        <v>Très nécessaire, difficile</v>
      </c>
      <c r="J46" s="406" t="str">
        <f>IF(VLOOKUP(A46,'Revitalisation-Revitalisierung'!$A$4:$AA$275,27,FALSE)="","",VLOOKUP(A46,'Revitalisation-Revitalisierung'!$A$4:$AA$275,27,FALSE))</f>
        <v>a</v>
      </c>
      <c r="K46" s="407"/>
    </row>
    <row r="47" spans="1:11" ht="20.100000000000001" customHeight="1" x14ac:dyDescent="0.25">
      <c r="A47" s="1233">
        <v>22</v>
      </c>
      <c r="B47" s="409" t="s">
        <v>275</v>
      </c>
      <c r="C47" s="410" t="s">
        <v>37</v>
      </c>
      <c r="D47" s="411" t="s">
        <v>274</v>
      </c>
      <c r="E47" s="402" t="str">
        <f>IF(VLOOKUP(A47,'Charriage - Geschiebehaushalt'!$A$4:$AC$275,28,FALSE)="","",VLOOKUP(A47,'Charriage - Geschiebehaushalt'!$A$4:$AC$275,28,FALSE))</f>
        <v>21-50%</v>
      </c>
      <c r="F47" s="403" t="str">
        <f>IF(VLOOKUP(A47,'Charriage - Geschiebehaushalt'!$A$4:$AD$275,30,FALSE)="","",VLOOKUP(A47,'Charriage - Geschiebehaushalt'!$A$4:$AD$275,30,FALSE))</f>
        <v>a</v>
      </c>
      <c r="G47" s="330" t="str">
        <f>IF(VLOOKUP(A47,'Débit - Abfluss'!$A$4:$AD$275,17,FALSE)="","",VLOOKUP(A47,'Débit - Abfluss'!$A$4:$AD$275,17,FALSE))</f>
        <v>81-100%</v>
      </c>
      <c r="H47" s="404" t="str">
        <f>IF(VLOOKUP(A47,'Eclusée - Schwall-Sunk'!$A$2:$F$273,6,FALSE)="","",VLOOKUP(A47,'Eclusée - Schwall-Sunk'!$A$2:$F$273,6,FALSE))</f>
        <v>Potentiellement affecté / möglicherweise betroffen</v>
      </c>
      <c r="I47" s="405" t="str">
        <f>IF(VLOOKUP(A47,'Revitalisation-Revitalisierung'!$A$4:$Z$275,25,FALSE)="","",VLOOKUP(A47,'Revitalisation-Revitalisierung'!$A$4:$Z$275,25,FALSE))</f>
        <v>Partiellement nécessaire, facile</v>
      </c>
      <c r="J47" s="406" t="str">
        <f>IF(VLOOKUP(A47,'Revitalisation-Revitalisierung'!$A$4:$AA$275,27,FALSE)="","",VLOOKUP(A47,'Revitalisation-Revitalisierung'!$A$4:$AA$275,27,FALSE))</f>
        <v>a</v>
      </c>
      <c r="K47" s="407"/>
    </row>
    <row r="48" spans="1:11" ht="20.100000000000001" customHeight="1" x14ac:dyDescent="0.25">
      <c r="A48" s="1233">
        <v>25</v>
      </c>
      <c r="B48" s="409" t="s">
        <v>277</v>
      </c>
      <c r="C48" s="410" t="s">
        <v>37</v>
      </c>
      <c r="D48" s="411" t="s">
        <v>274</v>
      </c>
      <c r="E48" s="402" t="str">
        <f>IF(VLOOKUP(A48,'Charriage - Geschiebehaushalt'!$A$4:$AC$275,28,FALSE)="","",VLOOKUP(A48,'Charriage - Geschiebehaushalt'!$A$4:$AC$275,28,FALSE))</f>
        <v>21-50%</v>
      </c>
      <c r="F48" s="403" t="str">
        <f>IF(VLOOKUP(A48,'Charriage - Geschiebehaushalt'!$A$4:$AD$275,30,FALSE)="","",VLOOKUP(A48,'Charriage - Geschiebehaushalt'!$A$4:$AD$275,30,FALSE))</f>
        <v>a</v>
      </c>
      <c r="G48" s="330" t="str">
        <f>IF(VLOOKUP(A48,'Débit - Abfluss'!$A$4:$AD$275,17,FALSE)="","",VLOOKUP(A48,'Débit - Abfluss'!$A$4:$AD$275,17,FALSE))</f>
        <v>81-100%</v>
      </c>
      <c r="H48" s="404" t="str">
        <f>IF(VLOOKUP(A48,'Eclusée - Schwall-Sunk'!$A$2:$F$273,6,FALSE)="","",VLOOKUP(A48,'Eclusée - Schwall-Sunk'!$A$2:$F$273,6,FALSE))</f>
        <v>Potentiellement affecté / möglicherweise betroffen</v>
      </c>
      <c r="I48" s="405" t="str">
        <f>IF(VLOOKUP(A48,'Revitalisation-Revitalisierung'!$A$4:$Z$275,25,FALSE)="","",VLOOKUP(A48,'Revitalisation-Revitalisierung'!$A$4:$Z$275,25,FALSE))</f>
        <v>Très nécessaire, facile</v>
      </c>
      <c r="J48" s="406" t="str">
        <f>IF(VLOOKUP(A48,'Revitalisation-Revitalisierung'!$A$4:$AA$275,27,FALSE)="","",VLOOKUP(A48,'Revitalisation-Revitalisierung'!$A$4:$AA$275,27,FALSE))</f>
        <v>a</v>
      </c>
      <c r="K48" s="407"/>
    </row>
    <row r="49" spans="1:11" ht="20.100000000000001" customHeight="1" x14ac:dyDescent="0.25">
      <c r="A49" s="928">
        <v>27</v>
      </c>
      <c r="B49" s="400" t="s">
        <v>278</v>
      </c>
      <c r="C49" s="400" t="s">
        <v>279</v>
      </c>
      <c r="D49" s="401" t="s">
        <v>274</v>
      </c>
      <c r="E49" s="402" t="str">
        <f>IF(VLOOKUP(A49,'Charriage - Geschiebehaushalt'!$A$4:$AC$275,28,FALSE)="","",VLOOKUP(A49,'Charriage - Geschiebehaushalt'!$A$4:$AC$275,28,FALSE))</f>
        <v>21-50%</v>
      </c>
      <c r="F49" s="403" t="str">
        <f>IF(VLOOKUP(A49,'Charriage - Geschiebehaushalt'!$A$4:$AD$275,30,FALSE)="","",VLOOKUP(A49,'Charriage - Geschiebehaushalt'!$A$4:$AD$275,30,FALSE))</f>
        <v>a</v>
      </c>
      <c r="G49" s="330" t="str">
        <f>IF(VLOOKUP(A49,'Débit - Abfluss'!$A$4:$AD$275,17,FALSE)="","",VLOOKUP(A49,'Débit - Abfluss'!$A$4:$AD$275,17,FALSE))</f>
        <v>81-100%</v>
      </c>
      <c r="H49" s="404" t="str">
        <f>IF(VLOOKUP(A49,'Eclusée - Schwall-Sunk'!$A$2:$F$273,6,FALSE)="","",VLOOKUP(A49,'Eclusée - Schwall-Sunk'!$A$2:$F$273,6,FALSE))</f>
        <v>Potentiellement affecté / möglicherweise betroffen</v>
      </c>
      <c r="I49" s="405" t="str">
        <f>IF(VLOOKUP(A49,'Revitalisation-Revitalisierung'!$A$4:$Z$275,25,FALSE)="","",VLOOKUP(A49,'Revitalisation-Revitalisierung'!$A$4:$Z$275,25,FALSE))</f>
        <v>Partiellement nécessaire, facile</v>
      </c>
      <c r="J49" s="406" t="str">
        <f>IF(VLOOKUP(A49,'Revitalisation-Revitalisierung'!$A$4:$AA$275,27,FALSE)="","",VLOOKUP(A49,'Revitalisation-Revitalisierung'!$A$4:$AA$275,27,FALSE))</f>
        <v>a</v>
      </c>
      <c r="K49" s="407"/>
    </row>
    <row r="50" spans="1:11" ht="20.100000000000001" customHeight="1" x14ac:dyDescent="0.25">
      <c r="A50" s="928">
        <v>28</v>
      </c>
      <c r="B50" s="400" t="s">
        <v>281</v>
      </c>
      <c r="C50" s="400" t="s">
        <v>282</v>
      </c>
      <c r="D50" s="401" t="s">
        <v>274</v>
      </c>
      <c r="E50" s="402" t="str">
        <f>IF(VLOOKUP(A50,'Charriage - Geschiebehaushalt'!$A$4:$AC$275,28,FALSE)="","",VLOOKUP(A50,'Charriage - Geschiebehaushalt'!$A$4:$AC$275,28,FALSE))</f>
        <v>21-50%</v>
      </c>
      <c r="F50" s="403" t="str">
        <f>IF(VLOOKUP(A50,'Charriage - Geschiebehaushalt'!$A$4:$AD$275,30,FALSE)="","",VLOOKUP(A50,'Charriage - Geschiebehaushalt'!$A$4:$AD$275,30,FALSE))</f>
        <v>a</v>
      </c>
      <c r="G50" s="330" t="str">
        <f>IF(VLOOKUP(A50,'Débit - Abfluss'!$A$4:$AD$275,17,FALSE)="","",VLOOKUP(A50,'Débit - Abfluss'!$A$4:$AD$275,17,FALSE))</f>
        <v>0-20%</v>
      </c>
      <c r="H50" s="404" t="str">
        <f>IF(VLOOKUP(A50,'Eclusée - Schwall-Sunk'!$A$2:$F$273,6,FALSE)="","",VLOOKUP(A50,'Eclusée - Schwall-Sunk'!$A$2:$F$273,6,FALSE))</f>
        <v>Potentiellement affecté / möglicherweise betroffen</v>
      </c>
      <c r="I50" s="405" t="str">
        <f>IF(VLOOKUP(A50,'Revitalisation-Revitalisierung'!$A$4:$Z$275,25,FALSE)="","",VLOOKUP(A50,'Revitalisation-Revitalisierung'!$A$4:$Z$275,25,FALSE))</f>
        <v>Très nécessaire, difficile / unbedingt nötig, schwierig</v>
      </c>
      <c r="J50" s="406" t="str">
        <f>IF(VLOOKUP(A50,'Revitalisation-Revitalisierung'!$A$4:$AA$275,27,FALSE)="","",VLOOKUP(A50,'Revitalisation-Revitalisierung'!$A$4:$AA$275,27,FALSE))</f>
        <v>a</v>
      </c>
      <c r="K50" s="407"/>
    </row>
    <row r="51" spans="1:11" ht="20.100000000000001" customHeight="1" x14ac:dyDescent="0.25">
      <c r="A51" s="926">
        <v>29</v>
      </c>
      <c r="B51" s="400" t="s">
        <v>283</v>
      </c>
      <c r="C51" s="400" t="s">
        <v>284</v>
      </c>
      <c r="D51" s="401" t="s">
        <v>274</v>
      </c>
      <c r="E51" s="402" t="str">
        <f>IF(VLOOKUP(A51,'Charriage - Geschiebehaushalt'!$A$4:$AC$275,28,FALSE)="","",VLOOKUP(A51,'Charriage - Geschiebehaushalt'!$A$4:$AC$275,28,FALSE))</f>
        <v>21-50%</v>
      </c>
      <c r="F51" s="403" t="str">
        <f>IF(VLOOKUP(A51,'Charriage - Geschiebehaushalt'!$A$4:$AD$275,30,FALSE)="","",VLOOKUP(A51,'Charriage - Geschiebehaushalt'!$A$4:$AD$275,30,FALSE))</f>
        <v>a</v>
      </c>
      <c r="G51" s="330" t="str">
        <f>IF(VLOOKUP(A51,'Débit - Abfluss'!$A$4:$AD$275,17,FALSE)="","",VLOOKUP(A51,'Débit - Abfluss'!$A$4:$AD$275,17,FALSE))</f>
        <v>81-100%</v>
      </c>
      <c r="H51" s="404" t="str">
        <f>IF(VLOOKUP(A51,'Eclusée - Schwall-Sunk'!$A$2:$F$273,6,FALSE)="","",VLOOKUP(A51,'Eclusée - Schwall-Sunk'!$A$2:$F$273,6,FALSE))</f>
        <v>Potentiellement affecté / möglicherweise betroffen</v>
      </c>
      <c r="I51" s="405" t="str">
        <f>IF(VLOOKUP(A51,'Revitalisation-Revitalisierung'!$A$4:$Z$275,25,FALSE)="","",VLOOKUP(A51,'Revitalisation-Revitalisierung'!$A$4:$Z$275,25,FALSE))</f>
        <v>Partiellement nécessaire, facile / teilweise nötig, einfach</v>
      </c>
      <c r="J51" s="406" t="str">
        <f>IF(VLOOKUP(A51,'Revitalisation-Revitalisierung'!$A$4:$AA$275,27,FALSE)="","",VLOOKUP(A51,'Revitalisation-Revitalisierung'!$A$4:$AA$275,27,FALSE))</f>
        <v>a</v>
      </c>
      <c r="K51" s="407"/>
    </row>
    <row r="52" spans="1:11" ht="20.100000000000001" customHeight="1" x14ac:dyDescent="0.25">
      <c r="A52" s="926">
        <v>30</v>
      </c>
      <c r="B52" s="400" t="s">
        <v>285</v>
      </c>
      <c r="C52" s="400" t="s">
        <v>284</v>
      </c>
      <c r="D52" s="401" t="s">
        <v>274</v>
      </c>
      <c r="E52" s="402" t="str">
        <f>IF(VLOOKUP(A52,'Charriage - Geschiebehaushalt'!$A$4:$AC$275,28,FALSE)="","",VLOOKUP(A52,'Charriage - Geschiebehaushalt'!$A$4:$AC$275,28,FALSE))</f>
        <v>21-50%</v>
      </c>
      <c r="F52" s="403" t="str">
        <f>IF(VLOOKUP(A52,'Charriage - Geschiebehaushalt'!$A$4:$AD$275,30,FALSE)="","",VLOOKUP(A52,'Charriage - Geschiebehaushalt'!$A$4:$AD$275,30,FALSE))</f>
        <v>a</v>
      </c>
      <c r="G52" s="330" t="str">
        <f>IF(VLOOKUP(A52,'Débit - Abfluss'!$A$4:$AD$275,17,FALSE)="","",VLOOKUP(A52,'Débit - Abfluss'!$A$4:$AD$275,17,FALSE))</f>
        <v>21-40%</v>
      </c>
      <c r="H52" s="404" t="str">
        <f>IF(VLOOKUP(A52,'Eclusée - Schwall-Sunk'!$A$2:$F$273,6,FALSE)="","",VLOOKUP(A52,'Eclusée - Schwall-Sunk'!$A$2:$F$273,6,FALSE))</f>
        <v>Non affecté / nicht betroffen</v>
      </c>
      <c r="I52" s="405" t="str">
        <f>IF(VLOOKUP(A52,'Revitalisation-Revitalisierung'!$A$4:$Z$275,25,FALSE)="","",VLOOKUP(A52,'Revitalisation-Revitalisierung'!$A$4:$Z$275,25,FALSE))</f>
        <v>Très nécessaire, facile / unbedingt nötig, einfach</v>
      </c>
      <c r="J52" s="406" t="str">
        <f>IF(VLOOKUP(A52,'Revitalisation-Revitalisierung'!$A$4:$AA$275,27,FALSE)="","",VLOOKUP(A52,'Revitalisation-Revitalisierung'!$A$4:$AA$275,27,FALSE))</f>
        <v>a</v>
      </c>
      <c r="K52" s="407"/>
    </row>
    <row r="53" spans="1:11" ht="20.100000000000001" customHeight="1" x14ac:dyDescent="0.25">
      <c r="A53" s="926">
        <v>31</v>
      </c>
      <c r="B53" s="400" t="s">
        <v>286</v>
      </c>
      <c r="C53" s="400" t="s">
        <v>284</v>
      </c>
      <c r="D53" s="401" t="s">
        <v>274</v>
      </c>
      <c r="E53" s="402" t="str">
        <f>IF(VLOOKUP(A53,'Charriage - Geschiebehaushalt'!$A$4:$AC$275,28,FALSE)="","",VLOOKUP(A53,'Charriage - Geschiebehaushalt'!$A$4:$AC$275,28,FALSE))</f>
        <v>21-50%</v>
      </c>
      <c r="F53" s="403" t="str">
        <f>IF(VLOOKUP(A53,'Charriage - Geschiebehaushalt'!$A$4:$AD$275,30,FALSE)="","",VLOOKUP(A53,'Charriage - Geschiebehaushalt'!$A$4:$AD$275,30,FALSE))</f>
        <v>a</v>
      </c>
      <c r="G53" s="330" t="str">
        <f>IF(VLOOKUP(A53,'Débit - Abfluss'!$A$4:$AD$275,17,FALSE)="","",VLOOKUP(A53,'Débit - Abfluss'!$A$4:$AD$275,17,FALSE))</f>
        <v>0-20%</v>
      </c>
      <c r="H53" s="404" t="str">
        <f>IF(VLOOKUP(A53,'Eclusée - Schwall-Sunk'!$A$2:$F$273,6,FALSE)="","",VLOOKUP(A53,'Eclusée - Schwall-Sunk'!$A$2:$F$273,6,FALSE))</f>
        <v>Non affecté / nicht betroffen</v>
      </c>
      <c r="I53" s="405" t="str">
        <f>IF(VLOOKUP(A53,'Revitalisation-Revitalisierung'!$A$4:$Z$275,25,FALSE)="","",VLOOKUP(A53,'Revitalisation-Revitalisierung'!$A$4:$Z$275,25,FALSE))</f>
        <v>Partiellement nécessaire, facile / teilweise nötig, einfach</v>
      </c>
      <c r="J53" s="406" t="str">
        <f>IF(VLOOKUP(A53,'Revitalisation-Revitalisierung'!$A$4:$AA$275,27,FALSE)="","",VLOOKUP(A53,'Revitalisation-Revitalisierung'!$A$4:$AA$275,27,FALSE))</f>
        <v>a</v>
      </c>
      <c r="K53" s="407"/>
    </row>
    <row r="54" spans="1:11" ht="20.100000000000001" customHeight="1" x14ac:dyDescent="0.25">
      <c r="A54" s="926">
        <v>32</v>
      </c>
      <c r="B54" s="400" t="s">
        <v>288</v>
      </c>
      <c r="C54" s="400" t="s">
        <v>284</v>
      </c>
      <c r="D54" s="401" t="s">
        <v>274</v>
      </c>
      <c r="E54" s="402" t="str">
        <f>IF(VLOOKUP(A54,'Charriage - Geschiebehaushalt'!$A$4:$AC$275,28,FALSE)="","",VLOOKUP(A54,'Charriage - Geschiebehaushalt'!$A$4:$AC$275,28,FALSE))</f>
        <v>21-50%</v>
      </c>
      <c r="F54" s="403" t="str">
        <f>IF(VLOOKUP(A54,'Charriage - Geschiebehaushalt'!$A$4:$AD$275,30,FALSE)="","",VLOOKUP(A54,'Charriage - Geschiebehaushalt'!$A$4:$AD$275,30,FALSE))</f>
        <v>a</v>
      </c>
      <c r="G54" s="330" t="str">
        <f>IF(VLOOKUP(A54,'Débit - Abfluss'!$A$4:$AD$275,17,FALSE)="","",VLOOKUP(A54,'Débit - Abfluss'!$A$4:$AD$275,17,FALSE))</f>
        <v>0-20%</v>
      </c>
      <c r="H54" s="404" t="str">
        <f>IF(VLOOKUP(A54,'Eclusée - Schwall-Sunk'!$A$2:$F$273,6,FALSE)="","",VLOOKUP(A54,'Eclusée - Schwall-Sunk'!$A$2:$F$273,6,FALSE))</f>
        <v>Non affecté / nicht betroffen</v>
      </c>
      <c r="I54" s="405" t="str">
        <f>IF(VLOOKUP(A54,'Revitalisation-Revitalisierung'!$A$4:$Z$275,25,FALSE)="","",VLOOKUP(A54,'Revitalisation-Revitalisierung'!$A$4:$Z$275,25,FALSE))</f>
        <v>Très nécessaire, difficile / unbedingt nötig, schwierig</v>
      </c>
      <c r="J54" s="406" t="str">
        <f>IF(VLOOKUP(A54,'Revitalisation-Revitalisierung'!$A$4:$AA$275,27,FALSE)="","",VLOOKUP(A54,'Revitalisation-Revitalisierung'!$A$4:$AA$275,27,FALSE))</f>
        <v>a</v>
      </c>
      <c r="K54" s="407"/>
    </row>
    <row r="55" spans="1:11" ht="20.100000000000001" customHeight="1" x14ac:dyDescent="0.25">
      <c r="A55" s="926">
        <v>33</v>
      </c>
      <c r="B55" s="400" t="s">
        <v>290</v>
      </c>
      <c r="C55" s="400" t="s">
        <v>284</v>
      </c>
      <c r="D55" s="401" t="s">
        <v>274</v>
      </c>
      <c r="E55" s="402" t="str">
        <f>IF(VLOOKUP(A55,'Charriage - Geschiebehaushalt'!$A$4:$AC$275,28,FALSE)="","",VLOOKUP(A55,'Charriage - Geschiebehaushalt'!$A$4:$AC$275,28,FALSE))</f>
        <v>21-50%</v>
      </c>
      <c r="F55" s="403" t="str">
        <f>IF(VLOOKUP(A55,'Charriage - Geschiebehaushalt'!$A$4:$AD$275,30,FALSE)="","",VLOOKUP(A55,'Charriage - Geschiebehaushalt'!$A$4:$AD$275,30,FALSE))</f>
        <v>a</v>
      </c>
      <c r="G55" s="330" t="str">
        <f>IF(VLOOKUP(A55,'Débit - Abfluss'!$A$4:$AD$275,17,FALSE)="","",VLOOKUP(A55,'Débit - Abfluss'!$A$4:$AD$275,17,FALSE))</f>
        <v>0-20%</v>
      </c>
      <c r="H55" s="404" t="str">
        <f>IF(VLOOKUP(A55,'Eclusée - Schwall-Sunk'!$A$2:$F$273,6,FALSE)="","",VLOOKUP(A55,'Eclusée - Schwall-Sunk'!$A$2:$F$273,6,FALSE))</f>
        <v>Non affecté / nicht betroffen</v>
      </c>
      <c r="I55" s="405" t="str">
        <f>IF(VLOOKUP(A55,'Revitalisation-Revitalisierung'!$A$4:$Z$275,25,FALSE)="","",VLOOKUP(A55,'Revitalisation-Revitalisierung'!$A$4:$Z$275,25,FALSE))</f>
        <v>Partiellement nécessaire, facile / teilweise nötig, einfach</v>
      </c>
      <c r="J55" s="406" t="str">
        <f>IF(VLOOKUP(A55,'Revitalisation-Revitalisierung'!$A$4:$AA$275,27,FALSE)="","",VLOOKUP(A55,'Revitalisation-Revitalisierung'!$A$4:$AA$275,27,FALSE))</f>
        <v>a</v>
      </c>
      <c r="K55" s="407"/>
    </row>
    <row r="56" spans="1:11" ht="20.100000000000001" customHeight="1" x14ac:dyDescent="0.25">
      <c r="A56" s="926">
        <v>34</v>
      </c>
      <c r="B56" s="400" t="s">
        <v>291</v>
      </c>
      <c r="C56" s="400" t="s">
        <v>284</v>
      </c>
      <c r="D56" s="401" t="s">
        <v>274</v>
      </c>
      <c r="E56" s="402" t="str">
        <f>IF(VLOOKUP(A56,'Charriage - Geschiebehaushalt'!$A$4:$AC$275,28,FALSE)="","",VLOOKUP(A56,'Charriage - Geschiebehaushalt'!$A$4:$AC$275,28,FALSE))</f>
        <v>21-50%</v>
      </c>
      <c r="F56" s="403" t="str">
        <f>IF(VLOOKUP(A56,'Charriage - Geschiebehaushalt'!$A$4:$AD$275,30,FALSE)="","",VLOOKUP(A56,'Charriage - Geschiebehaushalt'!$A$4:$AD$275,30,FALSE))</f>
        <v>a</v>
      </c>
      <c r="G56" s="330" t="str">
        <f>IF(VLOOKUP(A56,'Débit - Abfluss'!$A$4:$AD$275,17,FALSE)="","",VLOOKUP(A56,'Débit - Abfluss'!$A$4:$AD$275,17,FALSE))</f>
        <v>0-20%</v>
      </c>
      <c r="H56" s="404" t="str">
        <f>IF(VLOOKUP(A56,'Eclusée - Schwall-Sunk'!$A$2:$F$273,6,FALSE)="","",VLOOKUP(A56,'Eclusée - Schwall-Sunk'!$A$2:$F$273,6,FALSE))</f>
        <v>Non affecté / nicht betroffen</v>
      </c>
      <c r="I56" s="405" t="str">
        <f>IF(VLOOKUP(A56,'Revitalisation-Revitalisierung'!$A$4:$Z$275,25,FALSE)="","",VLOOKUP(A56,'Revitalisation-Revitalisierung'!$A$4:$Z$275,25,FALSE))</f>
        <v>Non nécessaire / nicht nötig</v>
      </c>
      <c r="J56" s="406" t="str">
        <f>IF(VLOOKUP(A56,'Revitalisation-Revitalisierung'!$A$4:$AA$275,27,FALSE)="","",VLOOKUP(A56,'Revitalisation-Revitalisierung'!$A$4:$AA$275,27,FALSE))</f>
        <v>a</v>
      </c>
      <c r="K56" s="407"/>
    </row>
    <row r="57" spans="1:11" ht="20.100000000000001" customHeight="1" x14ac:dyDescent="0.25">
      <c r="A57" s="926">
        <v>35</v>
      </c>
      <c r="B57" s="400" t="s">
        <v>292</v>
      </c>
      <c r="C57" s="400" t="s">
        <v>284</v>
      </c>
      <c r="D57" s="401" t="s">
        <v>274</v>
      </c>
      <c r="E57" s="402" t="str">
        <f>IF(VLOOKUP(A57,'Charriage - Geschiebehaushalt'!$A$4:$AC$275,28,FALSE)="","",VLOOKUP(A57,'Charriage - Geschiebehaushalt'!$A$4:$AC$275,28,FALSE))</f>
        <v>21-50%</v>
      </c>
      <c r="F57" s="403" t="str">
        <f>IF(VLOOKUP(A57,'Charriage - Geschiebehaushalt'!$A$4:$AD$275,30,FALSE)="","",VLOOKUP(A57,'Charriage - Geschiebehaushalt'!$A$4:$AD$275,30,FALSE))</f>
        <v>a</v>
      </c>
      <c r="G57" s="330" t="str">
        <f>IF(VLOOKUP(A57,'Débit - Abfluss'!$A$4:$AD$275,17,FALSE)="","",VLOOKUP(A57,'Débit - Abfluss'!$A$4:$AD$275,17,FALSE))</f>
        <v>21-40%</v>
      </c>
      <c r="H57" s="404" t="str">
        <f>IF(VLOOKUP(A57,'Eclusée - Schwall-Sunk'!$A$2:$F$273,6,FALSE)="","",VLOOKUP(A57,'Eclusée - Schwall-Sunk'!$A$2:$F$273,6,FALSE))</f>
        <v>Non affecté / nicht betroffen</v>
      </c>
      <c r="I57" s="405" t="str">
        <f>IF(VLOOKUP(A57,'Revitalisation-Revitalisierung'!$A$4:$Z$275,25,FALSE)="","",VLOOKUP(A57,'Revitalisation-Revitalisierung'!$A$4:$Z$275,25,FALSE))</f>
        <v>Très nécessaire, difficile</v>
      </c>
      <c r="J57" s="406" t="str">
        <f>IF(VLOOKUP(A57,'Revitalisation-Revitalisierung'!$A$4:$AA$275,27,FALSE)="","",VLOOKUP(A57,'Revitalisation-Revitalisierung'!$A$4:$AA$275,27,FALSE))</f>
        <v>a</v>
      </c>
      <c r="K57" s="407"/>
    </row>
    <row r="58" spans="1:11" ht="20.100000000000001" customHeight="1" x14ac:dyDescent="0.25">
      <c r="A58" s="926">
        <v>36</v>
      </c>
      <c r="B58" s="400" t="s">
        <v>49</v>
      </c>
      <c r="C58" s="400" t="s">
        <v>50</v>
      </c>
      <c r="D58" s="401" t="s">
        <v>35</v>
      </c>
      <c r="E58" s="402" t="str">
        <f>IF(VLOOKUP(A58,'Charriage - Geschiebehaushalt'!$A$4:$AC$275,28,FALSE)="","",VLOOKUP(A58,'Charriage - Geschiebehaushalt'!$A$4:$AC$275,28,FALSE))</f>
        <v>non pertinent / nicht relevant</v>
      </c>
      <c r="F58" s="403" t="str">
        <f>IF(VLOOKUP(A58,'Charriage - Geschiebehaushalt'!$A$4:$AD$275,30,FALSE)="","",VLOOKUP(A58,'Charriage - Geschiebehaushalt'!$A$4:$AD$275,30,FALSE))</f>
        <v>a</v>
      </c>
      <c r="G58" s="330" t="str">
        <f>IF(VLOOKUP(A58,'Débit - Abfluss'!$A$4:$AD$275,17,FALSE)="","",VLOOKUP(A58,'Débit - Abfluss'!$A$4:$AD$275,17,FALSE))</f>
        <v>non pertinent / nicht relevant</v>
      </c>
      <c r="H58" s="404" t="str">
        <f>IF(VLOOKUP(A58,'Eclusée - Schwall-Sunk'!$A$2:$F$273,6,FALSE)="","",VLOOKUP(A58,'Eclusée - Schwall-Sunk'!$A$2:$F$273,6,FALSE))</f>
        <v>Potentiellement affecté mais non plausible / möglicherweise betroffen aber nicht nachweisbar</v>
      </c>
      <c r="I58" s="405" t="str">
        <f>IF(VLOOKUP(A58,'Revitalisation-Revitalisierung'!$A$4:$Z$275,25,FALSE)="","",VLOOKUP(A58,'Revitalisation-Revitalisierung'!$A$4:$Z$275,25,FALSE))</f>
        <v>Partiellement nécessaire, facile</v>
      </c>
      <c r="J58" s="406" t="str">
        <f>IF(VLOOKUP(A58,'Revitalisation-Revitalisierung'!$A$4:$AA$275,27,FALSE)="","",VLOOKUP(A58,'Revitalisation-Revitalisierung'!$A$4:$AA$275,27,FALSE))</f>
        <v>b</v>
      </c>
      <c r="K58" s="407"/>
    </row>
    <row r="59" spans="1:11" ht="20.100000000000001" customHeight="1" x14ac:dyDescent="0.25">
      <c r="A59" s="926">
        <v>37</v>
      </c>
      <c r="B59" s="400" t="s">
        <v>56</v>
      </c>
      <c r="C59" s="400" t="s">
        <v>57</v>
      </c>
      <c r="D59" s="401" t="s">
        <v>35</v>
      </c>
      <c r="E59" s="402" t="str">
        <f>IF(VLOOKUP(A59,'Charriage - Geschiebehaushalt'!$A$4:$AC$275,28,FALSE)="","",VLOOKUP(A59,'Charriage - Geschiebehaushalt'!$A$4:$AC$275,28,FALSE))</f>
        <v>81-100%</v>
      </c>
      <c r="F59" s="403" t="str">
        <f>IF(VLOOKUP(A59,'Charriage - Geschiebehaushalt'!$A$4:$AD$275,30,FALSE)="","",VLOOKUP(A59,'Charriage - Geschiebehaushalt'!$A$4:$AD$275,30,FALSE))</f>
        <v>a</v>
      </c>
      <c r="G59" s="330" t="str">
        <f>IF(VLOOKUP(A59,'Débit - Abfluss'!$A$4:$AD$275,17,FALSE)="","",VLOOKUP(A59,'Débit - Abfluss'!$A$4:$AD$275,17,FALSE))</f>
        <v>41-60%</v>
      </c>
      <c r="H59" s="404" t="str">
        <f>IF(VLOOKUP(A59,'Eclusée - Schwall-Sunk'!$A$2:$F$273,6,FALSE)="","",VLOOKUP(A59,'Eclusée - Schwall-Sunk'!$A$2:$F$273,6,FALSE))</f>
        <v>Non affecté / nicht betroffen</v>
      </c>
      <c r="I59" s="405" t="str">
        <f>IF(VLOOKUP(A59,'Revitalisation-Revitalisierung'!$A$4:$Z$275,25,FALSE)="","",VLOOKUP(A59,'Revitalisation-Revitalisierung'!$A$4:$Z$275,25,FALSE))</f>
        <v>Partiellement nécessaire, difficile</v>
      </c>
      <c r="J59" s="406" t="str">
        <f>IF(VLOOKUP(A59,'Revitalisation-Revitalisierung'!$A$4:$AA$275,27,FALSE)="","",VLOOKUP(A59,'Revitalisation-Revitalisierung'!$A$4:$AA$275,27,FALSE))</f>
        <v>b</v>
      </c>
      <c r="K59" s="407"/>
    </row>
    <row r="60" spans="1:11" ht="20.100000000000001" customHeight="1" x14ac:dyDescent="0.25">
      <c r="A60" s="926">
        <v>40</v>
      </c>
      <c r="B60" s="400" t="s">
        <v>60</v>
      </c>
      <c r="C60" s="400" t="s">
        <v>50</v>
      </c>
      <c r="D60" s="401" t="s">
        <v>35</v>
      </c>
      <c r="E60" s="402" t="str">
        <f>IF(VLOOKUP(A60,'Charriage - Geschiebehaushalt'!$A$4:$AC$275,28,FALSE)="","",VLOOKUP(A60,'Charriage - Geschiebehaushalt'!$A$4:$AC$275,28,FALSE))</f>
        <v>81-100%</v>
      </c>
      <c r="F60" s="403" t="str">
        <f>IF(VLOOKUP(A60,'Charriage - Geschiebehaushalt'!$A$4:$AD$275,30,FALSE)="","",VLOOKUP(A60,'Charriage - Geschiebehaushalt'!$A$4:$AD$275,30,FALSE))</f>
        <v>a</v>
      </c>
      <c r="G60" s="330" t="str">
        <f>IF(VLOOKUP(A60,'Débit - Abfluss'!$A$4:$AD$275,17,FALSE)="","",VLOOKUP(A60,'Débit - Abfluss'!$A$4:$AD$275,17,FALSE))</f>
        <v>0-20%</v>
      </c>
      <c r="H60" s="404" t="str">
        <f>IF(VLOOKUP(A60,'Eclusée - Schwall-Sunk'!$A$2:$F$273,6,FALSE)="","",VLOOKUP(A60,'Eclusée - Schwall-Sunk'!$A$2:$F$273,6,FALSE))</f>
        <v>Non affecté / nicht betroffen</v>
      </c>
      <c r="I60" s="405" t="str">
        <f>IF(VLOOKUP(A60,'Revitalisation-Revitalisierung'!$A$4:$Z$275,25,FALSE)="","",VLOOKUP(A60,'Revitalisation-Revitalisierung'!$A$4:$Z$275,25,FALSE))</f>
        <v>Très nécessaire, facile / unbedingt nötig, einfach</v>
      </c>
      <c r="J60" s="406" t="str">
        <f>IF(VLOOKUP(A60,'Revitalisation-Revitalisierung'!$A$4:$AA$275,27,FALSE)="","",VLOOKUP(A60,'Revitalisation-Revitalisierung'!$A$4:$AA$275,27,FALSE))</f>
        <v>b</v>
      </c>
      <c r="K60" s="407"/>
    </row>
    <row r="61" spans="1:11" ht="20.100000000000001" customHeight="1" x14ac:dyDescent="0.25">
      <c r="A61" s="926">
        <v>44</v>
      </c>
      <c r="B61" s="400" t="s">
        <v>93</v>
      </c>
      <c r="C61" s="400" t="s">
        <v>94</v>
      </c>
      <c r="D61" s="401" t="s">
        <v>92</v>
      </c>
      <c r="E61" s="402" t="str">
        <f>IF(VLOOKUP(A61,'Charriage - Geschiebehaushalt'!$A$4:$AC$275,28,FALSE)="","",VLOOKUP(A61,'Charriage - Geschiebehaushalt'!$A$4:$AC$275,28,FALSE))</f>
        <v>21-50%</v>
      </c>
      <c r="F61" s="403" t="str">
        <f>IF(VLOOKUP(A61,'Charriage - Geschiebehaushalt'!$A$4:$AD$275,30,FALSE)="","",VLOOKUP(A61,'Charriage - Geschiebehaushalt'!$A$4:$AD$275,30,FALSE))</f>
        <v>a</v>
      </c>
      <c r="G61" s="330" t="str">
        <f>IF(VLOOKUP(A61,'Débit - Abfluss'!$A$4:$AD$275,17,FALSE)="","",VLOOKUP(A61,'Débit - Abfluss'!$A$4:$AD$275,17,FALSE))</f>
        <v>100%</v>
      </c>
      <c r="H61" s="404" t="str">
        <f>IF(VLOOKUP(A61,'Eclusée - Schwall-Sunk'!$A$2:$F$273,6,FALSE)="","",VLOOKUP(A61,'Eclusée - Schwall-Sunk'!$A$2:$F$273,6,FALSE))</f>
        <v>Non affecté / nicht betroffen</v>
      </c>
      <c r="I61" s="405" t="str">
        <f>IF(VLOOKUP(A61,'Revitalisation-Revitalisierung'!$A$4:$Z$275,25,FALSE)="","",VLOOKUP(A61,'Revitalisation-Revitalisierung'!$A$4:$Z$275,25,FALSE))</f>
        <v>Très nécessaire, difficile / unbedingt nötig, schwierig</v>
      </c>
      <c r="J61" s="406" t="str">
        <f>IF(VLOOKUP(A61,'Revitalisation-Revitalisierung'!$A$4:$AA$275,27,FALSE)="","",VLOOKUP(A61,'Revitalisation-Revitalisierung'!$A$4:$AA$275,27,FALSE))</f>
        <v>a</v>
      </c>
      <c r="K61" s="407"/>
    </row>
    <row r="62" spans="1:11" ht="20.100000000000001" customHeight="1" x14ac:dyDescent="0.25">
      <c r="A62" s="926">
        <v>45</v>
      </c>
      <c r="B62" s="400" t="s">
        <v>455</v>
      </c>
      <c r="C62" s="400" t="s">
        <v>456</v>
      </c>
      <c r="D62" s="401" t="s">
        <v>454</v>
      </c>
      <c r="E62" s="402" t="str">
        <f>IF(VLOOKUP(A62,'Charriage - Geschiebehaushalt'!$A$4:$AC$275,28,FALSE)="","",VLOOKUP(A62,'Charriage - Geschiebehaushalt'!$A$4:$AC$275,28,FALSE))</f>
        <v>51-80%</v>
      </c>
      <c r="F62" s="403" t="str">
        <f>IF(VLOOKUP(A62,'Charriage - Geschiebehaushalt'!$A$4:$AD$275,30,FALSE)="","",VLOOKUP(A62,'Charriage - Geschiebehaushalt'!$A$4:$AD$275,30,FALSE))</f>
        <v>a</v>
      </c>
      <c r="G62" s="330" t="str">
        <f>IF(VLOOKUP(A62,'Débit - Abfluss'!$A$4:$AD$275,17,FALSE)="","",VLOOKUP(A62,'Débit - Abfluss'!$A$4:$AD$275,17,FALSE))</f>
        <v>61-80%</v>
      </c>
      <c r="H62" s="404" t="str">
        <f>IF(VLOOKUP(A62,'Eclusée - Schwall-Sunk'!$A$2:$F$273,6,FALSE)="","",VLOOKUP(A62,'Eclusée - Schwall-Sunk'!$A$2:$F$273,6,FALSE))</f>
        <v>Non affecté / nicht betroffen</v>
      </c>
      <c r="I62" s="405" t="str">
        <f>IF(VLOOKUP(A62,'Revitalisation-Revitalisierung'!$A$4:$Z$275,25,FALSE)="","",VLOOKUP(A62,'Revitalisation-Revitalisierung'!$A$4:$Z$275,25,FALSE))</f>
        <v>Très nécessaire, facile / unbedingt nötig, einfach</v>
      </c>
      <c r="J62" s="406" t="str">
        <f>IF(VLOOKUP(A62,'Revitalisation-Revitalisierung'!$A$4:$AA$275,27,FALSE)="","",VLOOKUP(A62,'Revitalisation-Revitalisierung'!$A$4:$AA$275,27,FALSE))</f>
        <v>a</v>
      </c>
      <c r="K62" s="407"/>
    </row>
    <row r="63" spans="1:11" ht="20.100000000000001" customHeight="1" x14ac:dyDescent="0.25">
      <c r="A63" s="926">
        <v>46</v>
      </c>
      <c r="B63" s="400" t="s">
        <v>97</v>
      </c>
      <c r="C63" s="400" t="s">
        <v>94</v>
      </c>
      <c r="D63" s="401" t="s">
        <v>92</v>
      </c>
      <c r="E63" s="402" t="str">
        <f>IF(VLOOKUP(A63,'Charriage - Geschiebehaushalt'!$A$4:$AC$275,28,FALSE)="","",VLOOKUP(A63,'Charriage - Geschiebehaushalt'!$A$4:$AC$275,28,FALSE))</f>
        <v>21-50%</v>
      </c>
      <c r="F63" s="403" t="str">
        <f>IF(VLOOKUP(A63,'Charriage - Geschiebehaushalt'!$A$4:$AD$275,30,FALSE)="","",VLOOKUP(A63,'Charriage - Geschiebehaushalt'!$A$4:$AD$275,30,FALSE))</f>
        <v>a</v>
      </c>
      <c r="G63" s="330" t="str">
        <f>IF(VLOOKUP(A63,'Débit - Abfluss'!$A$4:$AD$275,17,FALSE)="","",VLOOKUP(A63,'Débit - Abfluss'!$A$4:$AD$275,17,FALSE))</f>
        <v>41-60%</v>
      </c>
      <c r="H63" s="404" t="str">
        <f>IF(VLOOKUP(A63,'Eclusée - Schwall-Sunk'!$A$2:$F$273,6,FALSE)="","",VLOOKUP(A63,'Eclusée - Schwall-Sunk'!$A$2:$F$273,6,FALSE))</f>
        <v>Non affecté / nicht betroffen</v>
      </c>
      <c r="I63" s="405" t="str">
        <f>IF(VLOOKUP(A63,'Revitalisation-Revitalisierung'!$A$4:$Z$275,25,FALSE)="","",VLOOKUP(A63,'Revitalisation-Revitalisierung'!$A$4:$Z$275,25,FALSE))</f>
        <v>Très nécessaire, difficile / unbedingt nötig, schwierig</v>
      </c>
      <c r="J63" s="406" t="str">
        <f>IF(VLOOKUP(A63,'Revitalisation-Revitalisierung'!$A$4:$AA$275,27,FALSE)="","",VLOOKUP(A63,'Revitalisation-Revitalisierung'!$A$4:$AA$275,27,FALSE))</f>
        <v>a</v>
      </c>
      <c r="K63" s="407"/>
    </row>
    <row r="64" spans="1:11" ht="20.100000000000001" customHeight="1" x14ac:dyDescent="0.25">
      <c r="A64" s="927">
        <v>47.1</v>
      </c>
      <c r="B64" s="400" t="s">
        <v>98</v>
      </c>
      <c r="C64" s="400" t="s">
        <v>50</v>
      </c>
      <c r="D64" s="401" t="s">
        <v>92</v>
      </c>
      <c r="E64" s="402" t="str">
        <f>IF(VLOOKUP(A64,'Charriage - Geschiebehaushalt'!$A$4:$AC$275,28,FALSE)="","",VLOOKUP(A64,'Charriage - Geschiebehaushalt'!$A$4:$AC$275,28,FALSE))</f>
        <v>0-20%</v>
      </c>
      <c r="F64" s="403" t="str">
        <f>IF(VLOOKUP(A64,'Charriage - Geschiebehaushalt'!$A$4:$AD$275,30,FALSE)="","",VLOOKUP(A64,'Charriage - Geschiebehaushalt'!$A$4:$AD$275,30,FALSE))</f>
        <v>a</v>
      </c>
      <c r="G64" s="330" t="str">
        <f>IF(VLOOKUP(A64,'Débit - Abfluss'!$A$4:$AD$275,17,FALSE)="","",VLOOKUP(A64,'Débit - Abfluss'!$A$4:$AD$275,17,FALSE))</f>
        <v>81-100%</v>
      </c>
      <c r="H64" s="404" t="str">
        <f>IF(VLOOKUP(A64,'Eclusée - Schwall-Sunk'!$A$2:$F$273,6,FALSE)="","",VLOOKUP(A64,'Eclusée - Schwall-Sunk'!$A$2:$F$273,6,FALSE))</f>
        <v>Non affecté / nicht betroffen</v>
      </c>
      <c r="I64" s="405" t="str">
        <f>IF(VLOOKUP(A64,'Revitalisation-Revitalisierung'!$A$4:$Z$275,25,FALSE)="","",VLOOKUP(A64,'Revitalisation-Revitalisierung'!$A$4:$Z$275,25,FALSE))</f>
        <v>Très nécessaire, difficile / unbedingt nötig, schwierig</v>
      </c>
      <c r="J64" s="406" t="str">
        <f>IF(VLOOKUP(A64,'Revitalisation-Revitalisierung'!$A$4:$AA$275,27,FALSE)="","",VLOOKUP(A64,'Revitalisation-Revitalisierung'!$A$4:$AA$275,27,FALSE))</f>
        <v>b</v>
      </c>
      <c r="K64" s="407"/>
    </row>
    <row r="65" spans="1:11" ht="20.100000000000001" customHeight="1" x14ac:dyDescent="0.25">
      <c r="A65" s="927">
        <v>47.2</v>
      </c>
      <c r="B65" s="400" t="s">
        <v>98</v>
      </c>
      <c r="C65" s="400" t="s">
        <v>50</v>
      </c>
      <c r="D65" s="401" t="s">
        <v>92</v>
      </c>
      <c r="E65" s="402" t="str">
        <f>IF(VLOOKUP(A65,'Charriage - Geschiebehaushalt'!$A$4:$AC$275,28,FALSE)="","",VLOOKUP(A65,'Charriage - Geschiebehaushalt'!$A$4:$AC$275,28,FALSE))</f>
        <v>21-50%</v>
      </c>
      <c r="F65" s="403" t="str">
        <f>IF(VLOOKUP(A65,'Charriage - Geschiebehaushalt'!$A$4:$AD$275,30,FALSE)="","",VLOOKUP(A65,'Charriage - Geschiebehaushalt'!$A$4:$AD$275,30,FALSE))</f>
        <v>b</v>
      </c>
      <c r="G65" s="330" t="str">
        <f>IF(VLOOKUP(A65,'Débit - Abfluss'!$A$4:$AD$275,17,FALSE)="","",VLOOKUP(A65,'Débit - Abfluss'!$A$4:$AD$275,17,FALSE))</f>
        <v>100%</v>
      </c>
      <c r="H65" s="404" t="str">
        <f>IF(VLOOKUP(A65,'Eclusée - Schwall-Sunk'!$A$2:$F$273,6,FALSE)="","",VLOOKUP(A65,'Eclusée - Schwall-Sunk'!$A$2:$F$273,6,FALSE))</f>
        <v>Non affecté / nicht betroffen</v>
      </c>
      <c r="I65" s="405" t="str">
        <f>IF(VLOOKUP(A65,'Revitalisation-Revitalisierung'!$A$4:$Z$275,25,FALSE)="","",VLOOKUP(A65,'Revitalisation-Revitalisierung'!$A$4:$Z$275,25,FALSE))</f>
        <v>Très nécessaire, difficile / unbedingt nötig, schwierig</v>
      </c>
      <c r="J65" s="406" t="str">
        <f>IF(VLOOKUP(A65,'Revitalisation-Revitalisierung'!$A$4:$AA$275,27,FALSE)="","",VLOOKUP(A65,'Revitalisation-Revitalisierung'!$A$4:$AA$275,27,FALSE))</f>
        <v>a</v>
      </c>
      <c r="K65" s="407"/>
    </row>
    <row r="66" spans="1:11" ht="20.100000000000001" customHeight="1" x14ac:dyDescent="0.25">
      <c r="A66" s="926">
        <v>48</v>
      </c>
      <c r="B66" s="400" t="s">
        <v>100</v>
      </c>
      <c r="C66" s="400" t="s">
        <v>101</v>
      </c>
      <c r="D66" s="401" t="s">
        <v>92</v>
      </c>
      <c r="E66" s="402" t="str">
        <f>IF(VLOOKUP(A66,'Charriage - Geschiebehaushalt'!$A$4:$AC$275,28,FALSE)="","",VLOOKUP(A66,'Charriage - Geschiebehaushalt'!$A$4:$AC$275,28,FALSE))</f>
        <v>51-80%</v>
      </c>
      <c r="F66" s="403" t="str">
        <f>IF(VLOOKUP(A66,'Charriage - Geschiebehaushalt'!$A$4:$AD$275,30,FALSE)="","",VLOOKUP(A66,'Charriage - Geschiebehaushalt'!$A$4:$AD$275,30,FALSE))</f>
        <v>b</v>
      </c>
      <c r="G66" s="330" t="str">
        <f>IF(VLOOKUP(A66,'Débit - Abfluss'!$A$4:$AD$275,17,FALSE)="","",VLOOKUP(A66,'Débit - Abfluss'!$A$4:$AD$275,17,FALSE))</f>
        <v>100%</v>
      </c>
      <c r="H66" s="404" t="str">
        <f>IF(VLOOKUP(A66,'Eclusée - Schwall-Sunk'!$A$2:$F$273,6,FALSE)="","",VLOOKUP(A66,'Eclusée - Schwall-Sunk'!$A$2:$F$273,6,FALSE))</f>
        <v>Non affecté / nicht betroffen</v>
      </c>
      <c r="I66" s="405" t="str">
        <f>IF(VLOOKUP(A66,'Revitalisation-Revitalisierung'!$A$4:$Z$275,25,FALSE)="","",VLOOKUP(A66,'Revitalisation-Revitalisierung'!$A$4:$Z$275,25,FALSE))</f>
        <v>Très nécessaire, facile / unbedingt nötig, einfach</v>
      </c>
      <c r="J66" s="406" t="str">
        <f>IF(VLOOKUP(A66,'Revitalisation-Revitalisierung'!$A$4:$AA$275,27,FALSE)="","",VLOOKUP(A66,'Revitalisation-Revitalisierung'!$A$4:$AA$275,27,FALSE))</f>
        <v>a</v>
      </c>
      <c r="K66" s="407"/>
    </row>
    <row r="67" spans="1:11" ht="20.100000000000001" customHeight="1" x14ac:dyDescent="0.25">
      <c r="A67" s="926">
        <v>49</v>
      </c>
      <c r="B67" s="400" t="s">
        <v>105</v>
      </c>
      <c r="C67" s="400" t="s">
        <v>101</v>
      </c>
      <c r="D67" s="401" t="s">
        <v>92</v>
      </c>
      <c r="E67" s="402" t="str">
        <f>IF(VLOOKUP(A67,'Charriage - Geschiebehaushalt'!$A$4:$AC$275,28,FALSE)="","",VLOOKUP(A67,'Charriage - Geschiebehaushalt'!$A$4:$AC$275,28,FALSE))</f>
        <v>51-80%</v>
      </c>
      <c r="F67" s="403" t="str">
        <f>IF(VLOOKUP(A67,'Charriage - Geschiebehaushalt'!$A$4:$AD$275,30,FALSE)="","",VLOOKUP(A67,'Charriage - Geschiebehaushalt'!$A$4:$AD$275,30,FALSE))</f>
        <v>b</v>
      </c>
      <c r="G67" s="330" t="str">
        <f>IF(VLOOKUP(A67,'Débit - Abfluss'!$A$4:$AD$275,17,FALSE)="","",VLOOKUP(A67,'Débit - Abfluss'!$A$4:$AD$275,17,FALSE))</f>
        <v>100%</v>
      </c>
      <c r="H67" s="404" t="str">
        <f>IF(VLOOKUP(A67,'Eclusée - Schwall-Sunk'!$A$2:$F$273,6,FALSE)="","",VLOOKUP(A67,'Eclusée - Schwall-Sunk'!$A$2:$F$273,6,FALSE))</f>
        <v>Non affecté / nicht betroffen</v>
      </c>
      <c r="I67" s="405" t="str">
        <f>IF(VLOOKUP(A67,'Revitalisation-Revitalisierung'!$A$4:$Z$275,25,FALSE)="","",VLOOKUP(A67,'Revitalisation-Revitalisierung'!$A$4:$Z$275,25,FALSE))</f>
        <v>Très nécessaire, facile / unbedingt nötig, einfach</v>
      </c>
      <c r="J67" s="406" t="str">
        <f>IF(VLOOKUP(A67,'Revitalisation-Revitalisierung'!$A$4:$AA$275,27,FALSE)="","",VLOOKUP(A67,'Revitalisation-Revitalisierung'!$A$4:$AA$275,27,FALSE))</f>
        <v>a</v>
      </c>
      <c r="K67" s="407"/>
    </row>
    <row r="68" spans="1:11" ht="20.100000000000001" customHeight="1" x14ac:dyDescent="0.25">
      <c r="A68" s="926">
        <v>50</v>
      </c>
      <c r="B68" s="400" t="s">
        <v>574</v>
      </c>
      <c r="C68" s="400" t="s">
        <v>575</v>
      </c>
      <c r="D68" s="401" t="s">
        <v>573</v>
      </c>
      <c r="E68" s="402" t="str">
        <f>IF(VLOOKUP(A68,'Charriage - Geschiebehaushalt'!$A$4:$AC$275,28,FALSE)="","",VLOOKUP(A68,'Charriage - Geschiebehaushalt'!$A$4:$AC$275,28,FALSE))</f>
        <v>0-20%</v>
      </c>
      <c r="F68" s="403" t="str">
        <f>IF(VLOOKUP(A68,'Charriage - Geschiebehaushalt'!$A$4:$AD$275,30,FALSE)="","",VLOOKUP(A68,'Charriage - Geschiebehaushalt'!$A$4:$AD$275,30,FALSE))</f>
        <v>b</v>
      </c>
      <c r="G68" s="330" t="str">
        <f>IF(VLOOKUP(A68,'Débit - Abfluss'!$A$4:$AD$275,17,FALSE)="","",VLOOKUP(A68,'Débit - Abfluss'!$A$4:$AD$275,17,FALSE))</f>
        <v>100%</v>
      </c>
      <c r="H68" s="404" t="str">
        <f>IF(VLOOKUP(A68,'Eclusée - Schwall-Sunk'!$A$2:$F$273,6,FALSE)="","",VLOOKUP(A68,'Eclusée - Schwall-Sunk'!$A$2:$F$273,6,FALSE))</f>
        <v>Non affecté / nicht betroffen</v>
      </c>
      <c r="I68" s="405" t="str">
        <f>IF(VLOOKUP(A68,'Revitalisation-Revitalisierung'!$A$4:$Z$275,25,FALSE)="","",VLOOKUP(A68,'Revitalisation-Revitalisierung'!$A$4:$Z$275,25,FALSE))</f>
        <v>Non nécessaire / nicht nötig</v>
      </c>
      <c r="J68" s="406" t="str">
        <f>IF(VLOOKUP(A68,'Revitalisation-Revitalisierung'!$A$4:$AA$275,27,FALSE)="","",VLOOKUP(A68,'Revitalisation-Revitalisierung'!$A$4:$AA$275,27,FALSE))</f>
        <v>a</v>
      </c>
      <c r="K68" s="407"/>
    </row>
    <row r="69" spans="1:11" ht="20.100000000000001" customHeight="1" x14ac:dyDescent="0.25">
      <c r="A69" s="926">
        <v>51</v>
      </c>
      <c r="B69" s="400" t="s">
        <v>62</v>
      </c>
      <c r="C69" s="400" t="s">
        <v>63</v>
      </c>
      <c r="D69" s="401" t="s">
        <v>35</v>
      </c>
      <c r="E69" s="402" t="str">
        <f>IF(VLOOKUP(A69,'Charriage - Geschiebehaushalt'!$A$4:$AC$275,28,FALSE)="","",VLOOKUP(A69,'Charriage - Geschiebehaushalt'!$A$4:$AC$275,28,FALSE))</f>
        <v>81-100%</v>
      </c>
      <c r="F69" s="403" t="str">
        <f>IF(VLOOKUP(A69,'Charriage - Geschiebehaushalt'!$A$4:$AD$275,30,FALSE)="","",VLOOKUP(A69,'Charriage - Geschiebehaushalt'!$A$4:$AD$275,30,FALSE))</f>
        <v>a</v>
      </c>
      <c r="G69" s="330" t="str">
        <f>IF(VLOOKUP(A69,'Débit - Abfluss'!$A$4:$AD$275,17,FALSE)="","",VLOOKUP(A69,'Débit - Abfluss'!$A$4:$AD$275,17,FALSE))</f>
        <v>81-100%</v>
      </c>
      <c r="H69" s="404" t="str">
        <f>IF(VLOOKUP(A69,'Eclusée - Schwall-Sunk'!$A$2:$F$273,6,FALSE)="","",VLOOKUP(A69,'Eclusée - Schwall-Sunk'!$A$2:$F$273,6,FALSE))</f>
        <v>Non affecté / nicht betroffen</v>
      </c>
      <c r="I69" s="405" t="str">
        <f>IF(VLOOKUP(A69,'Revitalisation-Revitalisierung'!$A$4:$Z$275,25,FALSE)="","",VLOOKUP(A69,'Revitalisation-Revitalisierung'!$A$4:$Z$275,25,FALSE))</f>
        <v>Non nécessaire / nicht nötig</v>
      </c>
      <c r="J69" s="406" t="str">
        <f>IF(VLOOKUP(A69,'Revitalisation-Revitalisierung'!$A$4:$AA$275,27,FALSE)="","",VLOOKUP(A69,'Revitalisation-Revitalisierung'!$A$4:$AA$275,27,FALSE))</f>
        <v>a</v>
      </c>
      <c r="K69" s="407"/>
    </row>
    <row r="70" spans="1:11" ht="20.100000000000001" customHeight="1" x14ac:dyDescent="0.25">
      <c r="A70" s="926">
        <v>52</v>
      </c>
      <c r="B70" s="400" t="s">
        <v>234</v>
      </c>
      <c r="C70" s="400" t="s">
        <v>235</v>
      </c>
      <c r="D70" s="401" t="s">
        <v>233</v>
      </c>
      <c r="E70" s="402" t="str">
        <f>IF(VLOOKUP(A70,'Charriage - Geschiebehaushalt'!$A$4:$AC$275,28,FALSE)="","",VLOOKUP(A70,'Charriage - Geschiebehaushalt'!$A$4:$AC$275,28,FALSE))</f>
        <v>51-80%</v>
      </c>
      <c r="F70" s="403" t="str">
        <f>IF(VLOOKUP(A70,'Charriage - Geschiebehaushalt'!$A$4:$AD$275,30,FALSE)="","",VLOOKUP(A70,'Charriage - Geschiebehaushalt'!$A$4:$AD$275,30,FALSE))</f>
        <v>a</v>
      </c>
      <c r="G70" s="330" t="str">
        <f>IF(VLOOKUP(A70,'Débit - Abfluss'!$A$4:$AD$275,17,FALSE)="","",VLOOKUP(A70,'Débit - Abfluss'!$A$4:$AD$275,17,FALSE))</f>
        <v>100%</v>
      </c>
      <c r="H70" s="404" t="str">
        <f>IF(VLOOKUP(A70,'Eclusée - Schwall-Sunk'!$A$2:$F$273,6,FALSE)="","",VLOOKUP(A70,'Eclusée - Schwall-Sunk'!$A$2:$F$273,6,FALSE))</f>
        <v>Non affecté / nicht betroffen</v>
      </c>
      <c r="I70" s="405" t="str">
        <f>IF(VLOOKUP(A70,'Revitalisation-Revitalisierung'!$A$4:$Z$275,25,FALSE)="","",VLOOKUP(A70,'Revitalisation-Revitalisierung'!$A$4:$Z$275,25,FALSE))</f>
        <v>Très nécessaire, facile / unbedingt nötig, einfach</v>
      </c>
      <c r="J70" s="406" t="str">
        <f>IF(VLOOKUP(A70,'Revitalisation-Revitalisierung'!$A$4:$AA$275,27,FALSE)="","",VLOOKUP(A70,'Revitalisation-Revitalisierung'!$A$4:$AA$275,27,FALSE))</f>
        <v>a</v>
      </c>
      <c r="K70" s="407"/>
    </row>
    <row r="71" spans="1:11" ht="20.100000000000001" customHeight="1" x14ac:dyDescent="0.25">
      <c r="A71" s="926">
        <v>53</v>
      </c>
      <c r="B71" s="400" t="s">
        <v>107</v>
      </c>
      <c r="C71" s="400" t="s">
        <v>108</v>
      </c>
      <c r="D71" s="401" t="s">
        <v>92</v>
      </c>
      <c r="E71" s="402" t="str">
        <f>IF(VLOOKUP(A71,'Charriage - Geschiebehaushalt'!$A$4:$AC$275,28,FALSE)="","",VLOOKUP(A71,'Charriage - Geschiebehaushalt'!$A$4:$AC$275,28,FALSE))</f>
        <v>51-80%</v>
      </c>
      <c r="F71" s="403" t="str">
        <f>IF(VLOOKUP(A71,'Charriage - Geschiebehaushalt'!$A$4:$AD$275,30,FALSE)="","",VLOOKUP(A71,'Charriage - Geschiebehaushalt'!$A$4:$AD$275,30,FALSE))</f>
        <v>a</v>
      </c>
      <c r="G71" s="330" t="str">
        <f>IF(VLOOKUP(A71,'Débit - Abfluss'!$A$4:$AD$275,17,FALSE)="","",VLOOKUP(A71,'Débit - Abfluss'!$A$4:$AD$275,17,FALSE))</f>
        <v>non pertinent / nicht relevant</v>
      </c>
      <c r="H71" s="404" t="str">
        <f>IF(VLOOKUP(A71,'Eclusée - Schwall-Sunk'!$A$2:$F$273,6,FALSE)="","",VLOOKUP(A71,'Eclusée - Schwall-Sunk'!$A$2:$F$273,6,FALSE))</f>
        <v>Potentiellement affecté / möglicherweise betroffen</v>
      </c>
      <c r="I71" s="405" t="str">
        <f>IF(VLOOKUP(A71,'Revitalisation-Revitalisierung'!$A$4:$Z$275,25,FALSE)="","",VLOOKUP(A71,'Revitalisation-Revitalisierung'!$A$4:$Z$275,25,FALSE))</f>
        <v>Très nécessaire, facile / unbedingt nötig, einfach</v>
      </c>
      <c r="J71" s="406" t="str">
        <f>IF(VLOOKUP(A71,'Revitalisation-Revitalisierung'!$A$4:$AA$275,27,FALSE)="","",VLOOKUP(A71,'Revitalisation-Revitalisierung'!$A$4:$AA$275,27,FALSE))</f>
        <v>a</v>
      </c>
      <c r="K71" s="407"/>
    </row>
    <row r="72" spans="1:11" ht="20.100000000000001" customHeight="1" x14ac:dyDescent="0.25">
      <c r="A72" s="926">
        <v>55</v>
      </c>
      <c r="B72" s="400" t="s">
        <v>184</v>
      </c>
      <c r="C72" s="400" t="s">
        <v>185</v>
      </c>
      <c r="D72" s="401" t="s">
        <v>183</v>
      </c>
      <c r="E72" s="402" t="str">
        <f>IF(VLOOKUP(A72,'Charriage - Geschiebehaushalt'!$A$4:$AC$275,28,FALSE)="","",VLOOKUP(A72,'Charriage - Geschiebehaushalt'!$A$4:$AC$275,28,FALSE))</f>
        <v>0-20%</v>
      </c>
      <c r="F72" s="403" t="str">
        <f>IF(VLOOKUP(A72,'Charriage - Geschiebehaushalt'!$A$4:$AD$275,30,FALSE)="","",VLOOKUP(A72,'Charriage - Geschiebehaushalt'!$A$4:$AD$275,30,FALSE))</f>
        <v>a</v>
      </c>
      <c r="G72" s="330" t="str">
        <f>IF(VLOOKUP(A72,'Débit - Abfluss'!$A$4:$AD$275,17,FALSE)="","",VLOOKUP(A72,'Débit - Abfluss'!$A$4:$AD$275,17,FALSE))</f>
        <v>100%</v>
      </c>
      <c r="H72" s="404" t="str">
        <f>IF(VLOOKUP(A72,'Eclusée - Schwall-Sunk'!$A$2:$F$273,6,FALSE)="","",VLOOKUP(A72,'Eclusée - Schwall-Sunk'!$A$2:$F$273,6,FALSE))</f>
        <v>Non affecté / nicht betroffen</v>
      </c>
      <c r="I72" s="405" t="str">
        <f>IF(VLOOKUP(A72,'Revitalisation-Revitalisierung'!$A$4:$Z$275,25,FALSE)="","",VLOOKUP(A72,'Revitalisation-Revitalisierung'!$A$4:$Z$275,25,FALSE))</f>
        <v>Non nécessaire / nicht nötig</v>
      </c>
      <c r="J72" s="406" t="str">
        <f>IF(VLOOKUP(A72,'Revitalisation-Revitalisierung'!$A$4:$AA$275,27,FALSE)="","",VLOOKUP(A72,'Revitalisation-Revitalisierung'!$A$4:$AA$275,27,FALSE))</f>
        <v>a</v>
      </c>
      <c r="K72" s="407"/>
    </row>
    <row r="73" spans="1:11" ht="20.100000000000001" customHeight="1" x14ac:dyDescent="0.25">
      <c r="A73" s="926">
        <v>58</v>
      </c>
      <c r="B73" s="400" t="s">
        <v>111</v>
      </c>
      <c r="C73" s="400" t="s">
        <v>112</v>
      </c>
      <c r="D73" s="401" t="s">
        <v>92</v>
      </c>
      <c r="E73" s="402" t="str">
        <f>IF(VLOOKUP(A73,'Charriage - Geschiebehaushalt'!$A$4:$AC$275,28,FALSE)="","",VLOOKUP(A73,'Charriage - Geschiebehaushalt'!$A$4:$AC$275,28,FALSE))</f>
        <v>51-80%</v>
      </c>
      <c r="F73" s="403" t="str">
        <f>IF(VLOOKUP(A73,'Charriage - Geschiebehaushalt'!$A$4:$AD$275,30,FALSE)="","",VLOOKUP(A73,'Charriage - Geschiebehaushalt'!$A$4:$AD$275,30,FALSE))</f>
        <v>a</v>
      </c>
      <c r="G73" s="330" t="str">
        <f>IF(VLOOKUP(A73,'Débit - Abfluss'!$A$4:$AD$275,17,FALSE)="","",VLOOKUP(A73,'Débit - Abfluss'!$A$4:$AD$275,17,FALSE))</f>
        <v>100%</v>
      </c>
      <c r="H73" s="404" t="str">
        <f>IF(VLOOKUP(A73,'Eclusée - Schwall-Sunk'!$A$2:$F$273,6,FALSE)="","",VLOOKUP(A73,'Eclusée - Schwall-Sunk'!$A$2:$F$273,6,FALSE))</f>
        <v>Non affecté / nicht betroffen</v>
      </c>
      <c r="I73" s="405" t="str">
        <f>IF(VLOOKUP(A73,'Revitalisation-Revitalisierung'!$A$4:$Z$275,25,FALSE)="","",VLOOKUP(A73,'Revitalisation-Revitalisierung'!$A$4:$Z$275,25,FALSE))</f>
        <v>Très nécessaire, difficile / unbedingt nötig, schwierig</v>
      </c>
      <c r="J73" s="406" t="str">
        <f>IF(VLOOKUP(A73,'Revitalisation-Revitalisierung'!$A$4:$AA$275,27,FALSE)="","",VLOOKUP(A73,'Revitalisation-Revitalisierung'!$A$4:$AA$275,27,FALSE))</f>
        <v>b</v>
      </c>
      <c r="K73" s="407"/>
    </row>
    <row r="74" spans="1:11" ht="20.100000000000001" customHeight="1" x14ac:dyDescent="0.25">
      <c r="A74" s="926">
        <v>59</v>
      </c>
      <c r="B74" s="400" t="s">
        <v>115</v>
      </c>
      <c r="C74" s="400" t="s">
        <v>116</v>
      </c>
      <c r="D74" s="401" t="s">
        <v>92</v>
      </c>
      <c r="E74" s="402" t="str">
        <f>IF(VLOOKUP(A74,'Charriage - Geschiebehaushalt'!$A$4:$AC$275,28,FALSE)="","",VLOOKUP(A74,'Charriage - Geschiebehaushalt'!$A$4:$AC$275,28,FALSE))</f>
        <v>51-80%</v>
      </c>
      <c r="F74" s="403" t="str">
        <f>IF(VLOOKUP(A74,'Charriage - Geschiebehaushalt'!$A$4:$AD$275,30,FALSE)="","",VLOOKUP(A74,'Charriage - Geschiebehaushalt'!$A$4:$AD$275,30,FALSE))</f>
        <v>a</v>
      </c>
      <c r="G74" s="330" t="str">
        <f>IF(VLOOKUP(A74,'Débit - Abfluss'!$A$4:$AD$275,17,FALSE)="","",VLOOKUP(A74,'Débit - Abfluss'!$A$4:$AD$275,17,FALSE))</f>
        <v>100%</v>
      </c>
      <c r="H74" s="404" t="str">
        <f>IF(VLOOKUP(A74,'Eclusée - Schwall-Sunk'!$A$2:$F$273,6,FALSE)="","",VLOOKUP(A74,'Eclusée - Schwall-Sunk'!$A$2:$F$273,6,FALSE))</f>
        <v>Potentiellement affecté / möglicherweise betroffen</v>
      </c>
      <c r="I74" s="405" t="str">
        <f>IF(VLOOKUP(A74,'Revitalisation-Revitalisierung'!$A$4:$Z$275,25,FALSE)="","",VLOOKUP(A74,'Revitalisation-Revitalisierung'!$A$4:$Z$275,25,FALSE))</f>
        <v>Très nécessaire, facile / unbedingt nötig, einfach</v>
      </c>
      <c r="J74" s="406" t="str">
        <f>IF(VLOOKUP(A74,'Revitalisation-Revitalisierung'!$A$4:$AA$275,27,FALSE)="","",VLOOKUP(A74,'Revitalisation-Revitalisierung'!$A$4:$AA$275,27,FALSE))</f>
        <v>a</v>
      </c>
      <c r="K74" s="407"/>
    </row>
    <row r="75" spans="1:11" ht="20.100000000000001" customHeight="1" x14ac:dyDescent="0.25">
      <c r="A75" s="926">
        <v>60</v>
      </c>
      <c r="B75" s="400" t="s">
        <v>198</v>
      </c>
      <c r="C75" s="400" t="s">
        <v>199</v>
      </c>
      <c r="D75" s="401" t="s">
        <v>197</v>
      </c>
      <c r="E75" s="402" t="str">
        <f>IF(VLOOKUP(A75,'Charriage - Geschiebehaushalt'!$A$4:$AC$275,28,FALSE)="","",VLOOKUP(A75,'Charriage - Geschiebehaushalt'!$A$4:$AC$275,28,FALSE))</f>
        <v>0-20%</v>
      </c>
      <c r="F75" s="403" t="str">
        <f>IF(VLOOKUP(A75,'Charriage - Geschiebehaushalt'!$A$4:$AD$275,30,FALSE)="","",VLOOKUP(A75,'Charriage - Geschiebehaushalt'!$A$4:$AD$275,30,FALSE))</f>
        <v>a</v>
      </c>
      <c r="G75" s="330" t="str">
        <f>IF(VLOOKUP(A75,'Débit - Abfluss'!$A$4:$AD$275,17,FALSE)="","",VLOOKUP(A75,'Débit - Abfluss'!$A$4:$AD$275,17,FALSE))</f>
        <v>100%</v>
      </c>
      <c r="H75" s="404" t="str">
        <f>IF(VLOOKUP(A75,'Eclusée - Schwall-Sunk'!$A$2:$F$273,6,FALSE)="","",VLOOKUP(A75,'Eclusée - Schwall-Sunk'!$A$2:$F$273,6,FALSE))</f>
        <v>Non affecté / nicht betroffen</v>
      </c>
      <c r="I75" s="405" t="str">
        <f>IF(VLOOKUP(A75,'Revitalisation-Revitalisierung'!$A$4:$Z$275,25,FALSE)="","",VLOOKUP(A75,'Revitalisation-Revitalisierung'!$A$4:$Z$275,25,FALSE))</f>
        <v>Partiellement nécessaire, facile / teilweise nötig, einfach</v>
      </c>
      <c r="J75" s="406" t="str">
        <f>IF(VLOOKUP(A75,'Revitalisation-Revitalisierung'!$A$4:$AA$275,27,FALSE)="","",VLOOKUP(A75,'Revitalisation-Revitalisierung'!$A$4:$AA$275,27,FALSE))</f>
        <v>b</v>
      </c>
      <c r="K75" s="407"/>
    </row>
    <row r="76" spans="1:11" ht="20.100000000000001" customHeight="1" x14ac:dyDescent="0.25">
      <c r="A76" s="926">
        <v>61</v>
      </c>
      <c r="B76" s="400" t="s">
        <v>204</v>
      </c>
      <c r="C76" s="400" t="s">
        <v>205</v>
      </c>
      <c r="D76" s="401" t="s">
        <v>197</v>
      </c>
      <c r="E76" s="402" t="str">
        <f>IF(VLOOKUP(A76,'Charriage - Geschiebehaushalt'!$A$4:$AC$275,28,FALSE)="","",VLOOKUP(A76,'Charriage - Geschiebehaushalt'!$A$4:$AC$275,28,FALSE))</f>
        <v>0-20%</v>
      </c>
      <c r="F76" s="403" t="str">
        <f>IF(VLOOKUP(A76,'Charriage - Geschiebehaushalt'!$A$4:$AD$275,30,FALSE)="","",VLOOKUP(A76,'Charriage - Geschiebehaushalt'!$A$4:$AD$275,30,FALSE))</f>
        <v>a</v>
      </c>
      <c r="G76" s="330" t="str">
        <f>IF(VLOOKUP(A76,'Débit - Abfluss'!$A$4:$AD$275,17,FALSE)="","",VLOOKUP(A76,'Débit - Abfluss'!$A$4:$AD$275,17,FALSE))</f>
        <v>100%</v>
      </c>
      <c r="H76" s="404" t="str">
        <f>IF(VLOOKUP(A76,'Eclusée - Schwall-Sunk'!$A$2:$F$273,6,FALSE)="","",VLOOKUP(A76,'Eclusée - Schwall-Sunk'!$A$2:$F$273,6,FALSE))</f>
        <v>Non affecté / nicht betroffen</v>
      </c>
      <c r="I76" s="405" t="str">
        <f>IF(VLOOKUP(A76,'Revitalisation-Revitalisierung'!$A$4:$Z$275,25,FALSE)="","",VLOOKUP(A76,'Revitalisation-Revitalisierung'!$A$4:$Z$275,25,FALSE))</f>
        <v>Partiellement nécessaire, facile / teilweise nötig, einfach</v>
      </c>
      <c r="J76" s="406" t="str">
        <f>IF(VLOOKUP(A76,'Revitalisation-Revitalisierung'!$A$4:$AA$275,27,FALSE)="","",VLOOKUP(A76,'Revitalisation-Revitalisierung'!$A$4:$AA$275,27,FALSE))</f>
        <v>a</v>
      </c>
      <c r="K76" s="407"/>
    </row>
    <row r="77" spans="1:11" ht="20.100000000000001" customHeight="1" x14ac:dyDescent="0.25">
      <c r="A77" s="927">
        <v>62.1</v>
      </c>
      <c r="B77" s="400" t="s">
        <v>207</v>
      </c>
      <c r="C77" s="400" t="s">
        <v>208</v>
      </c>
      <c r="D77" s="401" t="s">
        <v>197</v>
      </c>
      <c r="E77" s="402" t="str">
        <f>IF(VLOOKUP(A77,'Charriage - Geschiebehaushalt'!$A$4:$AC$275,28,FALSE)="","",VLOOKUP(A77,'Charriage - Geschiebehaushalt'!$A$4:$AC$275,28,FALSE))</f>
        <v>81-100%</v>
      </c>
      <c r="F77" s="403" t="str">
        <f>IF(VLOOKUP(A77,'Charriage - Geschiebehaushalt'!$A$4:$AD$275,30,FALSE)="","",VLOOKUP(A77,'Charriage - Geschiebehaushalt'!$A$4:$AD$275,30,FALSE))</f>
        <v>a</v>
      </c>
      <c r="G77" s="330" t="str">
        <f>IF(VLOOKUP(A77,'Débit - Abfluss'!$A$4:$AD$275,17,FALSE)="","",VLOOKUP(A77,'Débit - Abfluss'!$A$4:$AD$275,17,FALSE))</f>
        <v>0-20%</v>
      </c>
      <c r="H77" s="404" t="str">
        <f>IF(VLOOKUP(A77,'Eclusée - Schwall-Sunk'!$A$2:$F$273,6,FALSE)="","",VLOOKUP(A77,'Eclusée - Schwall-Sunk'!$A$2:$F$273,6,FALSE))</f>
        <v>Non affecté / nicht betroffen</v>
      </c>
      <c r="I77" s="405" t="str">
        <f>IF(VLOOKUP(A77,'Revitalisation-Revitalisierung'!$A$4:$Z$275,25,FALSE)="","",VLOOKUP(A77,'Revitalisation-Revitalisierung'!$A$4:$Z$275,25,FALSE))</f>
        <v>Non nécessaire / nicht nötig</v>
      </c>
      <c r="J77" s="406" t="str">
        <f>IF(VLOOKUP(A77,'Revitalisation-Revitalisierung'!$A$4:$AA$275,27,FALSE)="","",VLOOKUP(A77,'Revitalisation-Revitalisierung'!$A$4:$AA$275,27,FALSE))</f>
        <v>a</v>
      </c>
      <c r="K77" s="407"/>
    </row>
    <row r="78" spans="1:11" ht="20.100000000000001" customHeight="1" x14ac:dyDescent="0.25">
      <c r="A78" s="927">
        <v>62.2</v>
      </c>
      <c r="B78" s="400" t="s">
        <v>207</v>
      </c>
      <c r="C78" s="400" t="s">
        <v>208</v>
      </c>
      <c r="D78" s="401" t="s">
        <v>197</v>
      </c>
      <c r="E78" s="402" t="str">
        <f>IF(VLOOKUP(A78,'Charriage - Geschiebehaushalt'!$A$4:$AC$275,28,FALSE)="","",VLOOKUP(A78,'Charriage - Geschiebehaushalt'!$A$4:$AC$275,28,FALSE))</f>
        <v>81-100%</v>
      </c>
      <c r="F78" s="403" t="str">
        <f>IF(VLOOKUP(A78,'Charriage - Geschiebehaushalt'!$A$4:$AD$275,30,FALSE)="","",VLOOKUP(A78,'Charriage - Geschiebehaushalt'!$A$4:$AD$275,30,FALSE))</f>
        <v>a</v>
      </c>
      <c r="G78" s="330" t="str">
        <f>IF(VLOOKUP(A78,'Débit - Abfluss'!$A$4:$AD$275,17,FALSE)="","",VLOOKUP(A78,'Débit - Abfluss'!$A$4:$AD$275,17,FALSE))</f>
        <v>0-20%</v>
      </c>
      <c r="H78" s="404" t="str">
        <f>IF(VLOOKUP(A78,'Eclusée - Schwall-Sunk'!$A$2:$F$273,6,FALSE)="","",VLOOKUP(A78,'Eclusée - Schwall-Sunk'!$A$2:$F$273,6,FALSE))</f>
        <v>Potentiellement affecté / möglicherweise betroffen</v>
      </c>
      <c r="I78" s="405" t="str">
        <f>IF(VLOOKUP(A78,'Revitalisation-Revitalisierung'!$A$4:$Z$275,25,FALSE)="","",VLOOKUP(A78,'Revitalisation-Revitalisierung'!$A$4:$Z$275,25,FALSE))</f>
        <v>Partiellement nécessaire, facile / teilweise nötig, einfach</v>
      </c>
      <c r="J78" s="406" t="str">
        <f>IF(VLOOKUP(A78,'Revitalisation-Revitalisierung'!$A$4:$AA$275,27,FALSE)="","",VLOOKUP(A78,'Revitalisation-Revitalisierung'!$A$4:$AA$275,27,FALSE))</f>
        <v>b</v>
      </c>
      <c r="K78" s="407"/>
    </row>
    <row r="79" spans="1:11" ht="20.100000000000001" customHeight="1" x14ac:dyDescent="0.25">
      <c r="A79" s="926">
        <v>64</v>
      </c>
      <c r="B79" s="400" t="s">
        <v>210</v>
      </c>
      <c r="C79" s="400" t="s">
        <v>211</v>
      </c>
      <c r="D79" s="401" t="s">
        <v>197</v>
      </c>
      <c r="E79" s="402" t="str">
        <f>IF(VLOOKUP(A79,'Charriage - Geschiebehaushalt'!$A$4:$AC$275,28,FALSE)="","",VLOOKUP(A79,'Charriage - Geschiebehaushalt'!$A$4:$AC$275,28,FALSE))</f>
        <v>51-80%</v>
      </c>
      <c r="F79" s="403" t="str">
        <f>IF(VLOOKUP(A79,'Charriage - Geschiebehaushalt'!$A$4:$AD$275,30,FALSE)="","",VLOOKUP(A79,'Charriage - Geschiebehaushalt'!$A$4:$AD$275,30,FALSE))</f>
        <v>a</v>
      </c>
      <c r="G79" s="330" t="str">
        <f>IF(VLOOKUP(A79,'Débit - Abfluss'!$A$4:$AD$275,17,FALSE)="","",VLOOKUP(A79,'Débit - Abfluss'!$A$4:$AD$275,17,FALSE))</f>
        <v>non pertinent / nicht relevant</v>
      </c>
      <c r="H79" s="404" t="str">
        <f>IF(VLOOKUP(A79,'Eclusée - Schwall-Sunk'!$A$2:$F$273,6,FALSE)="","",VLOOKUP(A79,'Eclusée - Schwall-Sunk'!$A$2:$F$273,6,FALSE))</f>
        <v>Potentiellement affecté / möglicherweise betroffen</v>
      </c>
      <c r="I79" s="405" t="str">
        <f>IF(VLOOKUP(A79,'Revitalisation-Revitalisierung'!$A$4:$Z$275,25,FALSE)="","",VLOOKUP(A79,'Revitalisation-Revitalisierung'!$A$4:$Z$275,25,FALSE))</f>
        <v>Très nécessaire, facile / unbedingt nötig, einfach</v>
      </c>
      <c r="J79" s="406" t="str">
        <f>IF(VLOOKUP(A79,'Revitalisation-Revitalisierung'!$A$4:$AA$275,27,FALSE)="","",VLOOKUP(A79,'Revitalisation-Revitalisierung'!$A$4:$AA$275,27,FALSE))</f>
        <v>a</v>
      </c>
      <c r="K79" s="407"/>
    </row>
    <row r="80" spans="1:11" ht="20.100000000000001" customHeight="1" x14ac:dyDescent="0.25">
      <c r="A80" s="926">
        <v>65</v>
      </c>
      <c r="B80" s="400" t="s">
        <v>213</v>
      </c>
      <c r="C80" s="400" t="s">
        <v>208</v>
      </c>
      <c r="D80" s="401" t="s">
        <v>197</v>
      </c>
      <c r="E80" s="402" t="str">
        <f>IF(VLOOKUP(A80,'Charriage - Geschiebehaushalt'!$A$4:$AC$275,28,FALSE)="","",VLOOKUP(A80,'Charriage - Geschiebehaushalt'!$A$4:$AC$275,28,FALSE))</f>
        <v>81-100%</v>
      </c>
      <c r="F80" s="403" t="str">
        <f>IF(VLOOKUP(A80,'Charriage - Geschiebehaushalt'!$A$4:$AD$275,30,FALSE)="","",VLOOKUP(A80,'Charriage - Geschiebehaushalt'!$A$4:$AD$275,30,FALSE))</f>
        <v>a</v>
      </c>
      <c r="G80" s="330" t="str">
        <f>IF(VLOOKUP(A80,'Débit - Abfluss'!$A$4:$AD$275,17,FALSE)="","",VLOOKUP(A80,'Débit - Abfluss'!$A$4:$AD$275,17,FALSE))</f>
        <v>81-100%</v>
      </c>
      <c r="H80" s="404" t="str">
        <f>IF(VLOOKUP(A80,'Eclusée - Schwall-Sunk'!$A$2:$F$273,6,FALSE)="","",VLOOKUP(A80,'Eclusée - Schwall-Sunk'!$A$2:$F$273,6,FALSE))</f>
        <v>Potentiellement affecté / möglicherweise betroffen</v>
      </c>
      <c r="I80" s="405" t="str">
        <f>IF(VLOOKUP(A80,'Revitalisation-Revitalisierung'!$A$4:$Z$275,25,FALSE)="","",VLOOKUP(A80,'Revitalisation-Revitalisierung'!$A$4:$Z$275,25,FALSE))</f>
        <v>Très nécessaire, facile / unbedingt nötig, einfach</v>
      </c>
      <c r="J80" s="406" t="str">
        <f>IF(VLOOKUP(A80,'Revitalisation-Revitalisierung'!$A$4:$AA$275,27,FALSE)="","",VLOOKUP(A80,'Revitalisation-Revitalisierung'!$A$4:$AA$275,27,FALSE))</f>
        <v>a</v>
      </c>
      <c r="K80" s="407"/>
    </row>
    <row r="81" spans="1:11" ht="20.100000000000001" customHeight="1" x14ac:dyDescent="0.25">
      <c r="A81" s="926">
        <v>66</v>
      </c>
      <c r="B81" s="400" t="s">
        <v>215</v>
      </c>
      <c r="C81" s="400" t="s">
        <v>208</v>
      </c>
      <c r="D81" s="401" t="s">
        <v>197</v>
      </c>
      <c r="E81" s="402" t="str">
        <f>IF(VLOOKUP(A81,'Charriage - Geschiebehaushalt'!$A$4:$AC$275,28,FALSE)="","",VLOOKUP(A81,'Charriage - Geschiebehaushalt'!$A$4:$AC$275,28,FALSE))</f>
        <v>81-100%</v>
      </c>
      <c r="F81" s="403" t="str">
        <f>IF(VLOOKUP(A81,'Charriage - Geschiebehaushalt'!$A$4:$AD$275,30,FALSE)="","",VLOOKUP(A81,'Charriage - Geschiebehaushalt'!$A$4:$AD$275,30,FALSE))</f>
        <v>a</v>
      </c>
      <c r="G81" s="330" t="str">
        <f>IF(VLOOKUP(A81,'Débit - Abfluss'!$A$4:$AD$275,17,FALSE)="","",VLOOKUP(A81,'Débit - Abfluss'!$A$4:$AD$275,17,FALSE))</f>
        <v>81-100%</v>
      </c>
      <c r="H81" s="404" t="str">
        <f>IF(VLOOKUP(A81,'Eclusée - Schwall-Sunk'!$A$2:$F$273,6,FALSE)="","",VLOOKUP(A81,'Eclusée - Schwall-Sunk'!$A$2:$F$273,6,FALSE))</f>
        <v>Potentiellement affecté / möglicherweise betroffen</v>
      </c>
      <c r="I81" s="405" t="str">
        <f>IF(VLOOKUP(A81,'Revitalisation-Revitalisierung'!$A$4:$Z$275,25,FALSE)="","",VLOOKUP(A81,'Revitalisation-Revitalisierung'!$A$4:$Z$275,25,FALSE))</f>
        <v>Très nécessaire, facile / unbedingt nötig, einfach</v>
      </c>
      <c r="J81" s="406" t="str">
        <f>IF(VLOOKUP(A81,'Revitalisation-Revitalisierung'!$A$4:$AA$275,27,FALSE)="","",VLOOKUP(A81,'Revitalisation-Revitalisierung'!$A$4:$AA$275,27,FALSE))</f>
        <v>a</v>
      </c>
      <c r="K81" s="407"/>
    </row>
    <row r="82" spans="1:11" ht="20.100000000000001" customHeight="1" x14ac:dyDescent="0.25">
      <c r="A82" s="926">
        <v>68</v>
      </c>
      <c r="B82" s="400" t="s">
        <v>579</v>
      </c>
      <c r="C82" s="400" t="s">
        <v>208</v>
      </c>
      <c r="D82" s="401" t="s">
        <v>573</v>
      </c>
      <c r="E82" s="402" t="str">
        <f>IF(VLOOKUP(A82,'Charriage - Geschiebehaushalt'!$A$4:$AC$275,28,FALSE)="","",VLOOKUP(A82,'Charriage - Geschiebehaushalt'!$A$4:$AC$275,28,FALSE))</f>
        <v>21-50%</v>
      </c>
      <c r="F82" s="403" t="str">
        <f>IF(VLOOKUP(A82,'Charriage - Geschiebehaushalt'!$A$4:$AD$275,30,FALSE)="","",VLOOKUP(A82,'Charriage - Geschiebehaushalt'!$A$4:$AD$275,30,FALSE))</f>
        <v>a</v>
      </c>
      <c r="G82" s="330" t="str">
        <f>IF(VLOOKUP(A82,'Débit - Abfluss'!$A$4:$AD$275,17,FALSE)="","",VLOOKUP(A82,'Débit - Abfluss'!$A$4:$AD$275,17,FALSE))</f>
        <v>81-100%</v>
      </c>
      <c r="H82" s="404" t="str">
        <f>IF(VLOOKUP(A82,'Eclusée - Schwall-Sunk'!$A$2:$F$273,6,FALSE)="","",VLOOKUP(A82,'Eclusée - Schwall-Sunk'!$A$2:$F$273,6,FALSE))</f>
        <v>Potentiellement affecté / möglicherweise betroffen</v>
      </c>
      <c r="I82" s="405" t="str">
        <f>IF(VLOOKUP(A82,'Revitalisation-Revitalisierung'!$A$4:$Z$275,25,FALSE)="","",VLOOKUP(A82,'Revitalisation-Revitalisierung'!$A$4:$Z$275,25,FALSE))</f>
        <v>Très nécessaire, facile / unbedingt nötig, einfach</v>
      </c>
      <c r="J82" s="406" t="str">
        <f>IF(VLOOKUP(A82,'Revitalisation-Revitalisierung'!$A$4:$AA$275,27,FALSE)="","",VLOOKUP(A82,'Revitalisation-Revitalisierung'!$A$4:$AA$275,27,FALSE))</f>
        <v>a</v>
      </c>
      <c r="K82" s="407"/>
    </row>
    <row r="83" spans="1:11" ht="20.100000000000001" customHeight="1" x14ac:dyDescent="0.25">
      <c r="A83" s="928">
        <v>69</v>
      </c>
      <c r="B83" s="400" t="s">
        <v>117</v>
      </c>
      <c r="C83" s="400" t="s">
        <v>50</v>
      </c>
      <c r="D83" s="401" t="s">
        <v>92</v>
      </c>
      <c r="E83" s="402" t="str">
        <f>IF(VLOOKUP(A83,'Charriage - Geschiebehaushalt'!$A$4:$AC$275,28,FALSE)="","",VLOOKUP(A83,'Charriage - Geschiebehaushalt'!$A$4:$AC$275,28,FALSE))</f>
        <v>21-50%</v>
      </c>
      <c r="F83" s="403" t="str">
        <f>IF(VLOOKUP(A83,'Charriage - Geschiebehaushalt'!$A$4:$AD$275,30,FALSE)="","",VLOOKUP(A83,'Charriage - Geschiebehaushalt'!$A$4:$AD$275,30,FALSE))</f>
        <v>a</v>
      </c>
      <c r="G83" s="330" t="str">
        <f>IF(VLOOKUP(A83,'Débit - Abfluss'!$A$4:$AD$275,17,FALSE)="","",VLOOKUP(A83,'Débit - Abfluss'!$A$4:$AD$275,17,FALSE))</f>
        <v>81-100%</v>
      </c>
      <c r="H83" s="404" t="str">
        <f>IF(VLOOKUP(A83,'Eclusée - Schwall-Sunk'!$A$2:$F$273,6,FALSE)="","",VLOOKUP(A83,'Eclusée - Schwall-Sunk'!$A$2:$F$273,6,FALSE))</f>
        <v>Non affecté / nicht betroffen</v>
      </c>
      <c r="I83" s="405" t="str">
        <f>IF(VLOOKUP(A83,'Revitalisation-Revitalisierung'!$A$4:$Z$275,25,FALSE)="","",VLOOKUP(A83,'Revitalisation-Revitalisierung'!$A$4:$Z$275,25,FALSE))</f>
        <v>Très nécessaire, difficile / unbedingt nötig, schwierig</v>
      </c>
      <c r="J83" s="406" t="str">
        <f>IF(VLOOKUP(A83,'Revitalisation-Revitalisierung'!$A$4:$AA$275,27,FALSE)="","",VLOOKUP(A83,'Revitalisation-Revitalisierung'!$A$4:$AA$275,27,FALSE))</f>
        <v>a</v>
      </c>
      <c r="K83" s="407"/>
    </row>
    <row r="84" spans="1:11" ht="20.100000000000001" customHeight="1" x14ac:dyDescent="0.25">
      <c r="A84" s="926">
        <v>70</v>
      </c>
      <c r="B84" s="400" t="s">
        <v>120</v>
      </c>
      <c r="C84" s="400" t="s">
        <v>121</v>
      </c>
      <c r="D84" s="401" t="s">
        <v>92</v>
      </c>
      <c r="E84" s="402" t="str">
        <f>IF(VLOOKUP(A84,'Charriage - Geschiebehaushalt'!$A$4:$AC$275,28,FALSE)="","",VLOOKUP(A84,'Charriage - Geschiebehaushalt'!$A$4:$AC$275,28,FALSE))</f>
        <v>51-80%</v>
      </c>
      <c r="F84" s="403" t="str">
        <f>IF(VLOOKUP(A84,'Charriage - Geschiebehaushalt'!$A$4:$AD$275,30,FALSE)="","",VLOOKUP(A84,'Charriage - Geschiebehaushalt'!$A$4:$AD$275,30,FALSE))</f>
        <v>a</v>
      </c>
      <c r="G84" s="330" t="str">
        <f>IF(VLOOKUP(A84,'Débit - Abfluss'!$A$4:$AD$275,17,FALSE)="","",VLOOKUP(A84,'Débit - Abfluss'!$A$4:$AD$275,17,FALSE))</f>
        <v>41-60%</v>
      </c>
      <c r="H84" s="404" t="str">
        <f>IF(VLOOKUP(A84,'Eclusée - Schwall-Sunk'!$A$2:$F$273,6,FALSE)="","",VLOOKUP(A84,'Eclusée - Schwall-Sunk'!$A$2:$F$273,6,FALSE))</f>
        <v>Non affecté / nicht betroffen</v>
      </c>
      <c r="I84" s="405" t="str">
        <f>IF(VLOOKUP(A84,'Revitalisation-Revitalisierung'!$A$4:$Z$275,25,FALSE)="","",VLOOKUP(A84,'Revitalisation-Revitalisierung'!$A$4:$Z$275,25,FALSE))</f>
        <v>Très nécessaire, difficile / unbedingt nötig, schwierig</v>
      </c>
      <c r="J84" s="406" t="str">
        <f>IF(VLOOKUP(A84,'Revitalisation-Revitalisierung'!$A$4:$AA$275,27,FALSE)="","",VLOOKUP(A84,'Revitalisation-Revitalisierung'!$A$4:$AA$275,27,FALSE))</f>
        <v>b</v>
      </c>
      <c r="K84" s="407"/>
    </row>
    <row r="85" spans="1:11" ht="20.100000000000001" customHeight="1" x14ac:dyDescent="0.25">
      <c r="A85" s="926">
        <v>71</v>
      </c>
      <c r="B85" s="400" t="s">
        <v>122</v>
      </c>
      <c r="C85" s="400" t="s">
        <v>123</v>
      </c>
      <c r="D85" s="401" t="s">
        <v>92</v>
      </c>
      <c r="E85" s="402" t="str">
        <f>IF(VLOOKUP(A85,'Charriage - Geschiebehaushalt'!$A$4:$AC$275,28,FALSE)="","",VLOOKUP(A85,'Charriage - Geschiebehaushalt'!$A$4:$AC$275,28,FALSE))</f>
        <v>51-80%</v>
      </c>
      <c r="F85" s="403" t="str">
        <f>IF(VLOOKUP(A85,'Charriage - Geschiebehaushalt'!$A$4:$AD$275,30,FALSE)="","",VLOOKUP(A85,'Charriage - Geschiebehaushalt'!$A$4:$AD$275,30,FALSE))</f>
        <v>a</v>
      </c>
      <c r="G85" s="330" t="str">
        <f>IF(VLOOKUP(A85,'Débit - Abfluss'!$A$4:$AD$275,17,FALSE)="","",VLOOKUP(A85,'Débit - Abfluss'!$A$4:$AD$275,17,FALSE))</f>
        <v>41-60%</v>
      </c>
      <c r="H85" s="404" t="str">
        <f>IF(VLOOKUP(A85,'Eclusée - Schwall-Sunk'!$A$2:$F$273,6,FALSE)="","",VLOOKUP(A85,'Eclusée - Schwall-Sunk'!$A$2:$F$273,6,FALSE))</f>
        <v>Non affecté / nicht betroffen</v>
      </c>
      <c r="I85" s="405" t="str">
        <f>IF(VLOOKUP(A85,'Revitalisation-Revitalisierung'!$A$4:$Z$275,25,FALSE)="","",VLOOKUP(A85,'Revitalisation-Revitalisierung'!$A$4:$Z$275,25,FALSE))</f>
        <v>Non nécessaire / nicht nötig</v>
      </c>
      <c r="J85" s="406" t="str">
        <f>IF(VLOOKUP(A85,'Revitalisation-Revitalisierung'!$A$4:$AA$275,27,FALSE)="","",VLOOKUP(A85,'Revitalisation-Revitalisierung'!$A$4:$AA$275,27,FALSE))</f>
        <v>a</v>
      </c>
      <c r="K85" s="407"/>
    </row>
    <row r="86" spans="1:11" ht="20.100000000000001" customHeight="1" x14ac:dyDescent="0.25">
      <c r="A86" s="926">
        <v>72</v>
      </c>
      <c r="B86" s="400" t="s">
        <v>124</v>
      </c>
      <c r="C86" s="400" t="s">
        <v>125</v>
      </c>
      <c r="D86" s="401" t="s">
        <v>92</v>
      </c>
      <c r="E86" s="402" t="str">
        <f>IF(VLOOKUP(A86,'Charriage - Geschiebehaushalt'!$A$4:$AC$275,28,FALSE)="","",VLOOKUP(A86,'Charriage - Geschiebehaushalt'!$A$4:$AC$275,28,FALSE))</f>
        <v>21-50%</v>
      </c>
      <c r="F86" s="403" t="str">
        <f>IF(VLOOKUP(A86,'Charriage - Geschiebehaushalt'!$A$4:$AD$275,30,FALSE)="","",VLOOKUP(A86,'Charriage - Geschiebehaushalt'!$A$4:$AD$275,30,FALSE))</f>
        <v>a</v>
      </c>
      <c r="G86" s="330" t="str">
        <f>IF(VLOOKUP(A86,'Débit - Abfluss'!$A$4:$AD$275,17,FALSE)="","",VLOOKUP(A86,'Débit - Abfluss'!$A$4:$AD$275,17,FALSE))</f>
        <v>100%</v>
      </c>
      <c r="H86" s="404" t="str">
        <f>IF(VLOOKUP(A86,'Eclusée - Schwall-Sunk'!$A$2:$F$273,6,FALSE)="","",VLOOKUP(A86,'Eclusée - Schwall-Sunk'!$A$2:$F$273,6,FALSE))</f>
        <v>Non affecté / nicht betroffen</v>
      </c>
      <c r="I86" s="405" t="str">
        <f>IF(VLOOKUP(A86,'Revitalisation-Revitalisierung'!$A$4:$Z$275,25,FALSE)="","",VLOOKUP(A86,'Revitalisation-Revitalisierung'!$A$4:$Z$275,25,FALSE))</f>
        <v>Très nécessaire, facile / unbedingt nötig, einfach</v>
      </c>
      <c r="J86" s="406" t="str">
        <f>IF(VLOOKUP(A86,'Revitalisation-Revitalisierung'!$A$4:$AA$275,27,FALSE)="","",VLOOKUP(A86,'Revitalisation-Revitalisierung'!$A$4:$AA$275,27,FALSE))</f>
        <v>a</v>
      </c>
      <c r="K86" s="407"/>
    </row>
    <row r="87" spans="1:11" ht="20.100000000000001" customHeight="1" x14ac:dyDescent="0.25">
      <c r="A87" s="926">
        <v>74</v>
      </c>
      <c r="B87" s="400" t="s">
        <v>128</v>
      </c>
      <c r="C87" s="400" t="s">
        <v>125</v>
      </c>
      <c r="D87" s="401" t="s">
        <v>92</v>
      </c>
      <c r="E87" s="402" t="str">
        <f>IF(VLOOKUP(A87,'Charriage - Geschiebehaushalt'!$A$4:$AC$275,28,FALSE)="","",VLOOKUP(A87,'Charriage - Geschiebehaushalt'!$A$4:$AC$275,28,FALSE))</f>
        <v>0-20%</v>
      </c>
      <c r="F87" s="403" t="str">
        <f>IF(VLOOKUP(A87,'Charriage - Geschiebehaushalt'!$A$4:$AD$275,30,FALSE)="","",VLOOKUP(A87,'Charriage - Geschiebehaushalt'!$A$4:$AD$275,30,FALSE))</f>
        <v>a</v>
      </c>
      <c r="G87" s="330" t="str">
        <f>IF(VLOOKUP(A87,'Débit - Abfluss'!$A$4:$AD$275,17,FALSE)="","",VLOOKUP(A87,'Débit - Abfluss'!$A$4:$AD$275,17,FALSE))</f>
        <v>100%</v>
      </c>
      <c r="H87" s="404" t="str">
        <f>IF(VLOOKUP(A87,'Eclusée - Schwall-Sunk'!$A$2:$F$273,6,FALSE)="","",VLOOKUP(A87,'Eclusée - Schwall-Sunk'!$A$2:$F$273,6,FALSE))</f>
        <v>Non affecté / nicht betroffen</v>
      </c>
      <c r="I87" s="405" t="str">
        <f>IF(VLOOKUP(A87,'Revitalisation-Revitalisierung'!$A$4:$Z$275,25,FALSE)="","",VLOOKUP(A87,'Revitalisation-Revitalisierung'!$A$4:$Z$275,25,FALSE))</f>
        <v>Non nécessaire / nicht nötig</v>
      </c>
      <c r="J87" s="406" t="str">
        <f>IF(VLOOKUP(A87,'Revitalisation-Revitalisierung'!$A$4:$AA$275,27,FALSE)="","",VLOOKUP(A87,'Revitalisation-Revitalisierung'!$A$4:$AA$275,27,FALSE))</f>
        <v>a</v>
      </c>
      <c r="K87" s="407"/>
    </row>
    <row r="88" spans="1:11" ht="20.100000000000001" customHeight="1" x14ac:dyDescent="0.25">
      <c r="A88" s="926">
        <v>75</v>
      </c>
      <c r="B88" s="400" t="s">
        <v>129</v>
      </c>
      <c r="C88" s="400" t="s">
        <v>130</v>
      </c>
      <c r="D88" s="401" t="s">
        <v>92</v>
      </c>
      <c r="E88" s="402" t="str">
        <f>IF(VLOOKUP(A88,'Charriage - Geschiebehaushalt'!$A$4:$AC$275,28,FALSE)="","",VLOOKUP(A88,'Charriage - Geschiebehaushalt'!$A$4:$AC$275,28,FALSE))</f>
        <v>21-50%</v>
      </c>
      <c r="F88" s="403" t="str">
        <f>IF(VLOOKUP(A88,'Charriage - Geschiebehaushalt'!$A$4:$AD$275,30,FALSE)="","",VLOOKUP(A88,'Charriage - Geschiebehaushalt'!$A$4:$AD$275,30,FALSE))</f>
        <v>a</v>
      </c>
      <c r="G88" s="330" t="str">
        <f>IF(VLOOKUP(A88,'Débit - Abfluss'!$A$4:$AD$275,17,FALSE)="","",VLOOKUP(A88,'Débit - Abfluss'!$A$4:$AD$275,17,FALSE))</f>
        <v>0-20%</v>
      </c>
      <c r="H88" s="404" t="str">
        <f>IF(VLOOKUP(A88,'Eclusée - Schwall-Sunk'!$A$2:$F$273,6,FALSE)="","",VLOOKUP(A88,'Eclusée - Schwall-Sunk'!$A$2:$F$273,6,FALSE))</f>
        <v>Non affecté / nicht betroffen</v>
      </c>
      <c r="I88" s="405" t="str">
        <f>IF(VLOOKUP(A88,'Revitalisation-Revitalisierung'!$A$4:$Z$275,25,FALSE)="","",VLOOKUP(A88,'Revitalisation-Revitalisierung'!$A$4:$Z$275,25,FALSE))</f>
        <v>Très nécessaire, facile / unbedingt nötig, einfach</v>
      </c>
      <c r="J88" s="406" t="str">
        <f>IF(VLOOKUP(A88,'Revitalisation-Revitalisierung'!$A$4:$AA$275,27,FALSE)="","",VLOOKUP(A88,'Revitalisation-Revitalisierung'!$A$4:$AA$275,27,FALSE))</f>
        <v>a</v>
      </c>
      <c r="K88" s="407"/>
    </row>
    <row r="89" spans="1:11" ht="20.100000000000001" customHeight="1" x14ac:dyDescent="0.25">
      <c r="A89" s="926">
        <v>76</v>
      </c>
      <c r="B89" s="400" t="s">
        <v>131</v>
      </c>
      <c r="C89" s="400" t="s">
        <v>130</v>
      </c>
      <c r="D89" s="401" t="s">
        <v>92</v>
      </c>
      <c r="E89" s="402" t="str">
        <f>IF(VLOOKUP(A89,'Charriage - Geschiebehaushalt'!$A$4:$AC$275,28,FALSE)="","",VLOOKUP(A89,'Charriage - Geschiebehaushalt'!$A$4:$AC$275,28,FALSE))</f>
        <v>21-50%</v>
      </c>
      <c r="F89" s="403" t="str">
        <f>IF(VLOOKUP(A89,'Charriage - Geschiebehaushalt'!$A$4:$AD$275,30,FALSE)="","",VLOOKUP(A89,'Charriage - Geschiebehaushalt'!$A$4:$AD$275,30,FALSE))</f>
        <v>a</v>
      </c>
      <c r="G89" s="330" t="str">
        <f>IF(VLOOKUP(A89,'Débit - Abfluss'!$A$4:$AD$275,17,FALSE)="","",VLOOKUP(A89,'Débit - Abfluss'!$A$4:$AD$275,17,FALSE))</f>
        <v>0-20%</v>
      </c>
      <c r="H89" s="404" t="str">
        <f>IF(VLOOKUP(A89,'Eclusée - Schwall-Sunk'!$A$2:$F$273,6,FALSE)="","",VLOOKUP(A89,'Eclusée - Schwall-Sunk'!$A$2:$F$273,6,FALSE))</f>
        <v>Non affecté / nicht betroffen</v>
      </c>
      <c r="I89" s="405" t="str">
        <f>IF(VLOOKUP(A89,'Revitalisation-Revitalisierung'!$A$4:$Z$275,25,FALSE)="","",VLOOKUP(A89,'Revitalisation-Revitalisierung'!$A$4:$Z$275,25,FALSE))</f>
        <v>Très nécessaire, facile / unbedingt nötig, einfach</v>
      </c>
      <c r="J89" s="406" t="str">
        <f>IF(VLOOKUP(A89,'Revitalisation-Revitalisierung'!$A$4:$AA$275,27,FALSE)="","",VLOOKUP(A89,'Revitalisation-Revitalisierung'!$A$4:$AA$275,27,FALSE))</f>
        <v>a</v>
      </c>
      <c r="K89" s="407"/>
    </row>
    <row r="90" spans="1:11" ht="20.100000000000001" customHeight="1" x14ac:dyDescent="0.25">
      <c r="A90" s="926">
        <v>77</v>
      </c>
      <c r="B90" s="400" t="s">
        <v>133</v>
      </c>
      <c r="C90" s="400" t="s">
        <v>130</v>
      </c>
      <c r="D90" s="401" t="s">
        <v>92</v>
      </c>
      <c r="E90" s="402" t="str">
        <f>IF(VLOOKUP(A90,'Charriage - Geschiebehaushalt'!$A$4:$AC$275,28,FALSE)="","",VLOOKUP(A90,'Charriage - Geschiebehaushalt'!$A$4:$AC$275,28,FALSE))</f>
        <v>21-50%</v>
      </c>
      <c r="F90" s="403" t="str">
        <f>IF(VLOOKUP(A90,'Charriage - Geschiebehaushalt'!$A$4:$AD$275,30,FALSE)="","",VLOOKUP(A90,'Charriage - Geschiebehaushalt'!$A$4:$AD$275,30,FALSE))</f>
        <v>a</v>
      </c>
      <c r="G90" s="330" t="str">
        <f>IF(VLOOKUP(A90,'Débit - Abfluss'!$A$4:$AD$275,17,FALSE)="","",VLOOKUP(A90,'Débit - Abfluss'!$A$4:$AD$275,17,FALSE))</f>
        <v>100%</v>
      </c>
      <c r="H90" s="404" t="str">
        <f>IF(VLOOKUP(A90,'Eclusée - Schwall-Sunk'!$A$2:$F$273,6,FALSE)="","",VLOOKUP(A90,'Eclusée - Schwall-Sunk'!$A$2:$F$273,6,FALSE))</f>
        <v>Non affecté / nicht betroffen</v>
      </c>
      <c r="I90" s="405" t="str">
        <f>IF(VLOOKUP(A90,'Revitalisation-Revitalisierung'!$A$4:$Z$275,25,FALSE)="","",VLOOKUP(A90,'Revitalisation-Revitalisierung'!$A$4:$Z$275,25,FALSE))</f>
        <v>Partiellement nécessaire, facile / teilweise nötig, einfach</v>
      </c>
      <c r="J90" s="406" t="str">
        <f>IF(VLOOKUP(A90,'Revitalisation-Revitalisierung'!$A$4:$AA$275,27,FALSE)="","",VLOOKUP(A90,'Revitalisation-Revitalisierung'!$A$4:$AA$275,27,FALSE))</f>
        <v>a</v>
      </c>
      <c r="K90" s="407"/>
    </row>
    <row r="91" spans="1:11" ht="20.100000000000001" customHeight="1" x14ac:dyDescent="0.25">
      <c r="A91" s="926">
        <v>78</v>
      </c>
      <c r="B91" s="400" t="s">
        <v>134</v>
      </c>
      <c r="C91" s="400" t="s">
        <v>135</v>
      </c>
      <c r="D91" s="401" t="s">
        <v>92</v>
      </c>
      <c r="E91" s="402" t="str">
        <f>IF(VLOOKUP(A91,'Charriage - Geschiebehaushalt'!$A$4:$AC$275,28,FALSE)="","",VLOOKUP(A91,'Charriage - Geschiebehaushalt'!$A$4:$AC$275,28,FALSE))</f>
        <v>21-50%</v>
      </c>
      <c r="F91" s="403" t="str">
        <f>IF(VLOOKUP(A91,'Charriage - Geschiebehaushalt'!$A$4:$AD$275,30,FALSE)="","",VLOOKUP(A91,'Charriage - Geschiebehaushalt'!$A$4:$AD$275,30,FALSE))</f>
        <v>a</v>
      </c>
      <c r="G91" s="330" t="str">
        <f>IF(VLOOKUP(A91,'Débit - Abfluss'!$A$4:$AD$275,17,FALSE)="","",VLOOKUP(A91,'Débit - Abfluss'!$A$4:$AD$275,17,FALSE))</f>
        <v>100%</v>
      </c>
      <c r="H91" s="404" t="str">
        <f>IF(VLOOKUP(A91,'Eclusée - Schwall-Sunk'!$A$2:$F$273,6,FALSE)="","",VLOOKUP(A91,'Eclusée - Schwall-Sunk'!$A$2:$F$273,6,FALSE))</f>
        <v>Non affecté / nicht betroffen</v>
      </c>
      <c r="I91" s="405" t="str">
        <f>IF(VLOOKUP(A91,'Revitalisation-Revitalisierung'!$A$4:$Z$275,25,FALSE)="","",VLOOKUP(A91,'Revitalisation-Revitalisierung'!$A$4:$Z$275,25,FALSE))</f>
        <v>Non nécessaire / nicht nötig</v>
      </c>
      <c r="J91" s="406" t="str">
        <f>IF(VLOOKUP(A91,'Revitalisation-Revitalisierung'!$A$4:$AA$275,27,FALSE)="","",VLOOKUP(A91,'Revitalisation-Revitalisierung'!$A$4:$AA$275,27,FALSE))</f>
        <v>a</v>
      </c>
      <c r="K91" s="407"/>
    </row>
    <row r="92" spans="1:11" ht="20.100000000000001" customHeight="1" x14ac:dyDescent="0.25">
      <c r="A92" s="927">
        <v>79.099999999999994</v>
      </c>
      <c r="B92" s="400" t="s">
        <v>136</v>
      </c>
      <c r="C92" s="400" t="s">
        <v>137</v>
      </c>
      <c r="D92" s="401" t="s">
        <v>92</v>
      </c>
      <c r="E92" s="402" t="str">
        <f>IF(VLOOKUP(A92,'Charriage - Geschiebehaushalt'!$A$4:$AC$275,28,FALSE)="","",VLOOKUP(A92,'Charriage - Geschiebehaushalt'!$A$4:$AC$275,28,FALSE))</f>
        <v>21-50%</v>
      </c>
      <c r="F92" s="403" t="str">
        <f>IF(VLOOKUP(A92,'Charriage - Geschiebehaushalt'!$A$4:$AD$275,30,FALSE)="","",VLOOKUP(A92,'Charriage - Geschiebehaushalt'!$A$4:$AD$275,30,FALSE))</f>
        <v>b</v>
      </c>
      <c r="G92" s="330" t="str">
        <f>IF(VLOOKUP(A92,'Débit - Abfluss'!$A$4:$AD$275,17,FALSE)="","",VLOOKUP(A92,'Débit - Abfluss'!$A$4:$AD$275,17,FALSE))</f>
        <v>41-60%</v>
      </c>
      <c r="H92" s="404" t="str">
        <f>IF(VLOOKUP(A92,'Eclusée - Schwall-Sunk'!$A$2:$F$273,6,FALSE)="","",VLOOKUP(A92,'Eclusée - Schwall-Sunk'!$A$2:$F$273,6,FALSE))</f>
        <v>Non affecté / nicht betroffen</v>
      </c>
      <c r="I92" s="405" t="str">
        <f>IF(VLOOKUP(A92,'Revitalisation-Revitalisierung'!$A$4:$Z$275,25,FALSE)="","",VLOOKUP(A92,'Revitalisation-Revitalisierung'!$A$4:$Z$275,25,FALSE))</f>
        <v>Très nécessaire, facile / unbedingt nötig, einfach</v>
      </c>
      <c r="J92" s="406" t="str">
        <f>IF(VLOOKUP(A92,'Revitalisation-Revitalisierung'!$A$4:$AA$275,27,FALSE)="","",VLOOKUP(A92,'Revitalisation-Revitalisierung'!$A$4:$AA$275,27,FALSE))</f>
        <v>a</v>
      </c>
      <c r="K92" s="407"/>
    </row>
    <row r="93" spans="1:11" ht="20.100000000000001" customHeight="1" x14ac:dyDescent="0.25">
      <c r="A93" s="927">
        <v>79.2</v>
      </c>
      <c r="B93" s="400" t="s">
        <v>136</v>
      </c>
      <c r="C93" s="400" t="s">
        <v>137</v>
      </c>
      <c r="D93" s="401" t="s">
        <v>92</v>
      </c>
      <c r="E93" s="402" t="str">
        <f>IF(VLOOKUP(A93,'Charriage - Geschiebehaushalt'!$A$4:$AC$275,28,FALSE)="","",VLOOKUP(A93,'Charriage - Geschiebehaushalt'!$A$4:$AC$275,28,FALSE))</f>
        <v>non pertinent / nicht relevant</v>
      </c>
      <c r="F93" s="403" t="str">
        <f>IF(VLOOKUP(A93,'Charriage - Geschiebehaushalt'!$A$4:$AD$275,30,FALSE)="","",VLOOKUP(A93,'Charriage - Geschiebehaushalt'!$A$4:$AD$275,30,FALSE))</f>
        <v>a</v>
      </c>
      <c r="G93" s="330" t="str">
        <f>IF(VLOOKUP(A93,'Débit - Abfluss'!$A$4:$AD$275,17,FALSE)="","",VLOOKUP(A93,'Débit - Abfluss'!$A$4:$AD$275,17,FALSE))</f>
        <v>non pertinent / nicht relevant</v>
      </c>
      <c r="H93" s="404" t="str">
        <f>IF(VLOOKUP(A93,'Eclusée - Schwall-Sunk'!$A$2:$F$273,6,FALSE)="","",VLOOKUP(A93,'Eclusée - Schwall-Sunk'!$A$2:$F$273,6,FALSE))</f>
        <v>Non affecté / nicht betroffen</v>
      </c>
      <c r="I93" s="405" t="str">
        <f>IF(VLOOKUP(A93,'Revitalisation-Revitalisierung'!$A$4:$Z$275,25,FALSE)="","",VLOOKUP(A93,'Revitalisation-Revitalisierung'!$A$4:$Z$275,25,FALSE))</f>
        <v>Non nécessaire / nicht nötig</v>
      </c>
      <c r="J93" s="406" t="str">
        <f>IF(VLOOKUP(A93,'Revitalisation-Revitalisierung'!$A$4:$AA$275,27,FALSE)="","",VLOOKUP(A93,'Revitalisation-Revitalisierung'!$A$4:$AA$275,27,FALSE))</f>
        <v>b</v>
      </c>
      <c r="K93" s="407"/>
    </row>
    <row r="94" spans="1:11" ht="20.100000000000001" customHeight="1" x14ac:dyDescent="0.25">
      <c r="A94" s="926">
        <v>80</v>
      </c>
      <c r="B94" s="400" t="s">
        <v>138</v>
      </c>
      <c r="C94" s="400" t="s">
        <v>139</v>
      </c>
      <c r="D94" s="401" t="s">
        <v>92</v>
      </c>
      <c r="E94" s="402" t="str">
        <f>IF(VLOOKUP(A94,'Charriage - Geschiebehaushalt'!$A$4:$AC$275,28,FALSE)="","",VLOOKUP(A94,'Charriage - Geschiebehaushalt'!$A$4:$AC$275,28,FALSE))</f>
        <v>21-50%</v>
      </c>
      <c r="F94" s="403" t="str">
        <f>IF(VLOOKUP(A94,'Charriage - Geschiebehaushalt'!$A$4:$AD$275,30,FALSE)="","",VLOOKUP(A94,'Charriage - Geschiebehaushalt'!$A$4:$AD$275,30,FALSE))</f>
        <v>a</v>
      </c>
      <c r="G94" s="330" t="str">
        <f>IF(VLOOKUP(A94,'Débit - Abfluss'!$A$4:$AD$275,17,FALSE)="","",VLOOKUP(A94,'Débit - Abfluss'!$A$4:$AD$275,17,FALSE))</f>
        <v>100%</v>
      </c>
      <c r="H94" s="404" t="str">
        <f>IF(VLOOKUP(A94,'Eclusée - Schwall-Sunk'!$A$2:$F$273,6,FALSE)="","",VLOOKUP(A94,'Eclusée - Schwall-Sunk'!$A$2:$F$273,6,FALSE))</f>
        <v>Non affecté / nicht betroffen</v>
      </c>
      <c r="I94" s="405" t="str">
        <f>IF(VLOOKUP(A94,'Revitalisation-Revitalisierung'!$A$4:$Z$275,25,FALSE)="","",VLOOKUP(A94,'Revitalisation-Revitalisierung'!$A$4:$Z$275,25,FALSE))</f>
        <v>Très nécessaire, difficile / unbedingt nötig, schwierig</v>
      </c>
      <c r="J94" s="406" t="str">
        <f>IF(VLOOKUP(A94,'Revitalisation-Revitalisierung'!$A$4:$AA$275,27,FALSE)="","",VLOOKUP(A94,'Revitalisation-Revitalisierung'!$A$4:$AA$275,27,FALSE))</f>
        <v>a</v>
      </c>
      <c r="K94" s="407"/>
    </row>
    <row r="95" spans="1:11" ht="20.100000000000001" customHeight="1" x14ac:dyDescent="0.25">
      <c r="A95" s="926">
        <v>81</v>
      </c>
      <c r="B95" s="400" t="s">
        <v>140</v>
      </c>
      <c r="C95" s="400" t="s">
        <v>141</v>
      </c>
      <c r="D95" s="401" t="s">
        <v>92</v>
      </c>
      <c r="E95" s="402" t="str">
        <f>IF(VLOOKUP(A95,'Charriage - Geschiebehaushalt'!$A$4:$AC$275,28,FALSE)="","",VLOOKUP(A95,'Charriage - Geschiebehaushalt'!$A$4:$AC$275,28,FALSE))</f>
        <v>21-50%</v>
      </c>
      <c r="F95" s="403" t="str">
        <f>IF(VLOOKUP(A95,'Charriage - Geschiebehaushalt'!$A$4:$AD$275,30,FALSE)="","",VLOOKUP(A95,'Charriage - Geschiebehaushalt'!$A$4:$AD$275,30,FALSE))</f>
        <v>a</v>
      </c>
      <c r="G95" s="330" t="str">
        <f>IF(VLOOKUP(A95,'Débit - Abfluss'!$A$4:$AD$275,17,FALSE)="","",VLOOKUP(A95,'Débit - Abfluss'!$A$4:$AD$275,17,FALSE))</f>
        <v>100%</v>
      </c>
      <c r="H95" s="404" t="str">
        <f>IF(VLOOKUP(A95,'Eclusée - Schwall-Sunk'!$A$2:$F$273,6,FALSE)="","",VLOOKUP(A95,'Eclusée - Schwall-Sunk'!$A$2:$F$273,6,FALSE))</f>
        <v>Non affecté / nicht betroffen</v>
      </c>
      <c r="I95" s="405" t="str">
        <f>IF(VLOOKUP(A95,'Revitalisation-Revitalisierung'!$A$4:$Z$275,25,FALSE)="","",VLOOKUP(A95,'Revitalisation-Revitalisierung'!$A$4:$Z$275,25,FALSE))</f>
        <v>Très nécessaire, difficile / unbedingt nötig, schwierig</v>
      </c>
      <c r="J95" s="406" t="str">
        <f>IF(VLOOKUP(A95,'Revitalisation-Revitalisierung'!$A$4:$AA$275,27,FALSE)="","",VLOOKUP(A95,'Revitalisation-Revitalisierung'!$A$4:$AA$275,27,FALSE))</f>
        <v>a</v>
      </c>
      <c r="K95" s="407"/>
    </row>
    <row r="96" spans="1:11" ht="20.100000000000001" customHeight="1" x14ac:dyDescent="0.25">
      <c r="A96" s="926">
        <v>83</v>
      </c>
      <c r="B96" s="400" t="s">
        <v>142</v>
      </c>
      <c r="C96" s="400" t="s">
        <v>50</v>
      </c>
      <c r="D96" s="401" t="s">
        <v>92</v>
      </c>
      <c r="E96" s="402" t="str">
        <f>IF(VLOOKUP(A96,'Charriage - Geschiebehaushalt'!$A$4:$AC$275,28,FALSE)="","",VLOOKUP(A96,'Charriage - Geschiebehaushalt'!$A$4:$AC$275,28,FALSE))</f>
        <v>non pertinent / nicht relevant</v>
      </c>
      <c r="F96" s="403" t="str">
        <f>IF(VLOOKUP(A96,'Charriage - Geschiebehaushalt'!$A$4:$AD$275,30,FALSE)="","",VLOOKUP(A96,'Charriage - Geschiebehaushalt'!$A$4:$AD$275,30,FALSE))</f>
        <v>a</v>
      </c>
      <c r="G96" s="330" t="str">
        <f>IF(VLOOKUP(A96,'Débit - Abfluss'!$A$4:$AD$275,17,FALSE)="","",VLOOKUP(A96,'Débit - Abfluss'!$A$4:$AD$275,17,FALSE))</f>
        <v>81-100%</v>
      </c>
      <c r="H96" s="404" t="str">
        <f>IF(VLOOKUP(A96,'Eclusée - Schwall-Sunk'!$A$2:$F$273,6,FALSE)="","",VLOOKUP(A96,'Eclusée - Schwall-Sunk'!$A$2:$F$273,6,FALSE))</f>
        <v>Potentiellement affecté / möglicherweise betroffen</v>
      </c>
      <c r="I96" s="405" t="str">
        <f>IF(VLOOKUP(A96,'Revitalisation-Revitalisierung'!$A$4:$Z$275,25,FALSE)="","",VLOOKUP(A96,'Revitalisation-Revitalisierung'!$A$4:$Z$275,25,FALSE))</f>
        <v>Partiellement nécessaire, difficile / teilweise nötig, schwierig</v>
      </c>
      <c r="J96" s="406" t="str">
        <f>IF(VLOOKUP(A96,'Revitalisation-Revitalisierung'!$A$4:$AA$275,27,FALSE)="","",VLOOKUP(A96,'Revitalisation-Revitalisierung'!$A$4:$AA$275,27,FALSE))</f>
        <v>b</v>
      </c>
      <c r="K96" s="407"/>
    </row>
    <row r="97" spans="1:11" ht="20.100000000000001" customHeight="1" x14ac:dyDescent="0.25">
      <c r="A97" s="926">
        <v>84</v>
      </c>
      <c r="B97" s="400" t="s">
        <v>143</v>
      </c>
      <c r="C97" s="400" t="s">
        <v>50</v>
      </c>
      <c r="D97" s="401" t="s">
        <v>92</v>
      </c>
      <c r="E97" s="402" t="str">
        <f>IF(VLOOKUP(A97,'Charriage - Geschiebehaushalt'!$A$4:$AC$275,28,FALSE)="","",VLOOKUP(A97,'Charriage - Geschiebehaushalt'!$A$4:$AC$275,28,FALSE))</f>
        <v>21-50%</v>
      </c>
      <c r="F97" s="403" t="str">
        <f>IF(VLOOKUP(A97,'Charriage - Geschiebehaushalt'!$A$4:$AD$275,30,FALSE)="","",VLOOKUP(A97,'Charriage - Geschiebehaushalt'!$A$4:$AD$275,30,FALSE))</f>
        <v>a</v>
      </c>
      <c r="G97" s="330" t="str">
        <f>IF(VLOOKUP(A97,'Débit - Abfluss'!$A$4:$AD$275,17,FALSE)="","",VLOOKUP(A97,'Débit - Abfluss'!$A$4:$AD$275,17,FALSE))</f>
        <v>81-100%</v>
      </c>
      <c r="H97" s="404" t="str">
        <f>IF(VLOOKUP(A97,'Eclusée - Schwall-Sunk'!$A$2:$F$273,6,FALSE)="","",VLOOKUP(A97,'Eclusée - Schwall-Sunk'!$A$2:$F$273,6,FALSE))</f>
        <v>Potentiellement affecté / möglicherweise betroffen</v>
      </c>
      <c r="I97" s="405" t="str">
        <f>IF(VLOOKUP(A97,'Revitalisation-Revitalisierung'!$A$4:$Z$275,25,FALSE)="","",VLOOKUP(A97,'Revitalisation-Revitalisierung'!$A$4:$Z$275,25,FALSE))</f>
        <v>Très nécessaire, difficile / unbedingt nötig, schwierig</v>
      </c>
      <c r="J97" s="406" t="str">
        <f>IF(VLOOKUP(A97,'Revitalisation-Revitalisierung'!$A$4:$AA$275,27,FALSE)="","",VLOOKUP(A97,'Revitalisation-Revitalisierung'!$A$4:$AA$275,27,FALSE))</f>
        <v>a</v>
      </c>
      <c r="K97" s="407"/>
    </row>
    <row r="98" spans="1:11" ht="20.100000000000001" customHeight="1" x14ac:dyDescent="0.25">
      <c r="A98" s="926">
        <v>86</v>
      </c>
      <c r="B98" s="400" t="s">
        <v>144</v>
      </c>
      <c r="C98" s="400" t="s">
        <v>145</v>
      </c>
      <c r="D98" s="401" t="s">
        <v>92</v>
      </c>
      <c r="E98" s="402" t="str">
        <f>IF(VLOOKUP(A98,'Charriage - Geschiebehaushalt'!$A$4:$AC$275,28,FALSE)="","",VLOOKUP(A98,'Charriage - Geschiebehaushalt'!$A$4:$AC$275,28,FALSE))</f>
        <v>0-20%</v>
      </c>
      <c r="F98" s="403" t="str">
        <f>IF(VLOOKUP(A98,'Charriage - Geschiebehaushalt'!$A$4:$AD$275,30,FALSE)="","",VLOOKUP(A98,'Charriage - Geschiebehaushalt'!$A$4:$AD$275,30,FALSE))</f>
        <v>a</v>
      </c>
      <c r="G98" s="330" t="str">
        <f>IF(VLOOKUP(A98,'Débit - Abfluss'!$A$4:$AD$275,17,FALSE)="","",VLOOKUP(A98,'Débit - Abfluss'!$A$4:$AD$275,17,FALSE))</f>
        <v>21-40%</v>
      </c>
      <c r="H98" s="404" t="str">
        <f>IF(VLOOKUP(A98,'Eclusée - Schwall-Sunk'!$A$2:$F$273,6,FALSE)="","",VLOOKUP(A98,'Eclusée - Schwall-Sunk'!$A$2:$F$273,6,FALSE))</f>
        <v>Non affecté / nicht betroffen</v>
      </c>
      <c r="I98" s="405" t="str">
        <f>IF(VLOOKUP(A98,'Revitalisation-Revitalisierung'!$A$4:$Z$275,25,FALSE)="","",VLOOKUP(A98,'Revitalisation-Revitalisierung'!$A$4:$Z$275,25,FALSE))</f>
        <v>Partiellement nécessaire, difficile / teilweise nötig, schwierig</v>
      </c>
      <c r="J98" s="406" t="str">
        <f>IF(VLOOKUP(A98,'Revitalisation-Revitalisierung'!$A$4:$AA$275,27,FALSE)="","",VLOOKUP(A98,'Revitalisation-Revitalisierung'!$A$4:$AA$275,27,FALSE))</f>
        <v>b</v>
      </c>
      <c r="K98" s="407"/>
    </row>
    <row r="99" spans="1:11" ht="20.100000000000001" customHeight="1" x14ac:dyDescent="0.25">
      <c r="A99" s="926">
        <v>87</v>
      </c>
      <c r="B99" s="400" t="s">
        <v>64</v>
      </c>
      <c r="C99" s="400" t="s">
        <v>63</v>
      </c>
      <c r="D99" s="401" t="s">
        <v>35</v>
      </c>
      <c r="E99" s="402" t="str">
        <f>IF(VLOOKUP(A99,'Charriage - Geschiebehaushalt'!$A$4:$AC$275,28,FALSE)="","",VLOOKUP(A99,'Charriage - Geschiebehaushalt'!$A$4:$AC$275,28,FALSE))</f>
        <v>81-100%</v>
      </c>
      <c r="F99" s="403" t="str">
        <f>IF(VLOOKUP(A99,'Charriage - Geschiebehaushalt'!$A$4:$AD$275,30,FALSE)="","",VLOOKUP(A99,'Charriage - Geschiebehaushalt'!$A$4:$AD$275,30,FALSE))</f>
        <v>a</v>
      </c>
      <c r="G99" s="330" t="str">
        <f>IF(VLOOKUP(A99,'Débit - Abfluss'!$A$4:$AD$275,17,FALSE)="","",VLOOKUP(A99,'Débit - Abfluss'!$A$4:$AD$275,17,FALSE))</f>
        <v>81-100%</v>
      </c>
      <c r="H99" s="404" t="str">
        <f>IF(VLOOKUP(A99,'Eclusée - Schwall-Sunk'!$A$2:$F$273,6,FALSE)="","",VLOOKUP(A99,'Eclusée - Schwall-Sunk'!$A$2:$F$273,6,FALSE))</f>
        <v>Potentiellement affecté mais non plausible / möglicherweise betroffen aber nicht nachweisbar</v>
      </c>
      <c r="I99" s="405" t="str">
        <f>IF(VLOOKUP(A99,'Revitalisation-Revitalisierung'!$A$4:$Z$275,25,FALSE)="","",VLOOKUP(A99,'Revitalisation-Revitalisierung'!$A$4:$Z$275,25,FALSE))</f>
        <v>Non nécessaire / nicht nötig</v>
      </c>
      <c r="J99" s="406" t="str">
        <f>IF(VLOOKUP(A99,'Revitalisation-Revitalisierung'!$A$4:$AA$275,27,FALSE)="","",VLOOKUP(A99,'Revitalisation-Revitalisierung'!$A$4:$AA$275,27,FALSE))</f>
        <v>a</v>
      </c>
      <c r="K99" s="407"/>
    </row>
    <row r="100" spans="1:11" ht="20.100000000000001" customHeight="1" x14ac:dyDescent="0.25">
      <c r="A100" s="926">
        <v>88</v>
      </c>
      <c r="B100" s="400" t="s">
        <v>65</v>
      </c>
      <c r="C100" s="400" t="s">
        <v>63</v>
      </c>
      <c r="D100" s="401" t="s">
        <v>35</v>
      </c>
      <c r="E100" s="402" t="str">
        <f>IF(VLOOKUP(A100,'Charriage - Geschiebehaushalt'!$A$4:$AC$275,28,FALSE)="","",VLOOKUP(A100,'Charriage - Geschiebehaushalt'!$A$4:$AC$275,28,FALSE))</f>
        <v>81-100%</v>
      </c>
      <c r="F100" s="403" t="str">
        <f>IF(VLOOKUP(A100,'Charriage - Geschiebehaushalt'!$A$4:$AD$275,30,FALSE)="","",VLOOKUP(A100,'Charriage - Geschiebehaushalt'!$A$4:$AD$275,30,FALSE))</f>
        <v>a</v>
      </c>
      <c r="G100" s="330" t="str">
        <f>IF(VLOOKUP(A100,'Débit - Abfluss'!$A$4:$AD$275,17,FALSE)="","",VLOOKUP(A100,'Débit - Abfluss'!$A$4:$AD$275,17,FALSE))</f>
        <v>81-100%</v>
      </c>
      <c r="H100" s="404" t="str">
        <f>IF(VLOOKUP(A100,'Eclusée - Schwall-Sunk'!$A$2:$F$273,6,FALSE)="","",VLOOKUP(A100,'Eclusée - Schwall-Sunk'!$A$2:$F$273,6,FALSE))</f>
        <v>Potentiellement affecté mais non plausible / möglicherweise betroffen aber nicht nachweisbar</v>
      </c>
      <c r="I100" s="405" t="str">
        <f>IF(VLOOKUP(A100,'Revitalisation-Revitalisierung'!$A$4:$Z$275,25,FALSE)="","",VLOOKUP(A100,'Revitalisation-Revitalisierung'!$A$4:$Z$275,25,FALSE))</f>
        <v>Partiellement nécessaire, facile / teilweise nötig, einfach</v>
      </c>
      <c r="J100" s="406" t="str">
        <f>IF(VLOOKUP(A100,'Revitalisation-Revitalisierung'!$A$4:$AA$275,27,FALSE)="","",VLOOKUP(A100,'Revitalisation-Revitalisierung'!$A$4:$AA$275,27,FALSE))</f>
        <v>b</v>
      </c>
      <c r="K100" s="407"/>
    </row>
    <row r="101" spans="1:11" ht="20.100000000000001" customHeight="1" x14ac:dyDescent="0.25">
      <c r="A101" s="926">
        <v>91</v>
      </c>
      <c r="B101" s="400" t="s">
        <v>66</v>
      </c>
      <c r="C101" s="400" t="s">
        <v>63</v>
      </c>
      <c r="D101" s="401" t="s">
        <v>35</v>
      </c>
      <c r="E101" s="402" t="str">
        <f>IF(VLOOKUP(A101,'Charriage - Geschiebehaushalt'!$A$4:$AC$275,28,FALSE)="","",VLOOKUP(A101,'Charriage - Geschiebehaushalt'!$A$4:$AC$275,28,FALSE))</f>
        <v>51-80%</v>
      </c>
      <c r="F101" s="403" t="str">
        <f>IF(VLOOKUP(A101,'Charriage - Geschiebehaushalt'!$A$4:$AD$275,30,FALSE)="","",VLOOKUP(A101,'Charriage - Geschiebehaushalt'!$A$4:$AD$275,30,FALSE))</f>
        <v>a</v>
      </c>
      <c r="G101" s="330" t="str">
        <f>IF(VLOOKUP(A101,'Débit - Abfluss'!$A$4:$AD$275,17,FALSE)="","",VLOOKUP(A101,'Débit - Abfluss'!$A$4:$AD$275,17,FALSE))</f>
        <v>100%</v>
      </c>
      <c r="H101" s="404" t="str">
        <f>IF(VLOOKUP(A101,'Eclusée - Schwall-Sunk'!$A$2:$F$273,6,FALSE)="","",VLOOKUP(A101,'Eclusée - Schwall-Sunk'!$A$2:$F$273,6,FALSE))</f>
        <v>Non affecté / nicht betroffen</v>
      </c>
      <c r="I101" s="405" t="str">
        <f>IF(VLOOKUP(A101,'Revitalisation-Revitalisierung'!$A$4:$Z$275,25,FALSE)="","",VLOOKUP(A101,'Revitalisation-Revitalisierung'!$A$4:$Z$275,25,FALSE))</f>
        <v>Partiellement nécessaire, difficile / teilweise nötig, schwierig</v>
      </c>
      <c r="J101" s="406" t="str">
        <f>IF(VLOOKUP(A101,'Revitalisation-Revitalisierung'!$A$4:$AA$275,27,FALSE)="","",VLOOKUP(A101,'Revitalisation-Revitalisierung'!$A$4:$AA$275,27,FALSE))</f>
        <v>b</v>
      </c>
      <c r="K101" s="407"/>
    </row>
    <row r="102" spans="1:11" ht="20.100000000000001" customHeight="1" x14ac:dyDescent="0.25">
      <c r="A102" s="926">
        <v>92</v>
      </c>
      <c r="B102" s="400" t="s">
        <v>79</v>
      </c>
      <c r="C102" s="400" t="s">
        <v>63</v>
      </c>
      <c r="D102" s="401" t="s">
        <v>78</v>
      </c>
      <c r="E102" s="402" t="str">
        <f>IF(VLOOKUP(A102,'Charriage - Geschiebehaushalt'!$A$4:$AC$275,28,FALSE)="","",VLOOKUP(A102,'Charriage - Geschiebehaushalt'!$A$4:$AC$275,28,FALSE))</f>
        <v>51-80%</v>
      </c>
      <c r="F102" s="403" t="str">
        <f>IF(VLOOKUP(A102,'Charriage - Geschiebehaushalt'!$A$4:$AD$275,30,FALSE)="","",VLOOKUP(A102,'Charriage - Geschiebehaushalt'!$A$4:$AD$275,30,FALSE))</f>
        <v>a</v>
      </c>
      <c r="G102" s="330" t="str">
        <f>IF(VLOOKUP(A102,'Débit - Abfluss'!$A$4:$AD$275,17,FALSE)="","",VLOOKUP(A102,'Débit - Abfluss'!$A$4:$AD$275,17,FALSE))</f>
        <v>81-100%</v>
      </c>
      <c r="H102" s="404" t="str">
        <f>IF(VLOOKUP(A102,'Eclusée - Schwall-Sunk'!$A$2:$F$273,6,FALSE)="","",VLOOKUP(A102,'Eclusée - Schwall-Sunk'!$A$2:$F$273,6,FALSE))</f>
        <v>Non affecté / nicht betroffen</v>
      </c>
      <c r="I102" s="405" t="str">
        <f>IF(VLOOKUP(A102,'Revitalisation-Revitalisierung'!$A$4:$Z$275,25,FALSE)="","",VLOOKUP(A102,'Revitalisation-Revitalisierung'!$A$4:$Z$275,25,FALSE))</f>
        <v>Partiellement nécessaire, difficile / teilweise nötig, schwierig</v>
      </c>
      <c r="J102" s="406" t="str">
        <f>IF(VLOOKUP(A102,'Revitalisation-Revitalisierung'!$A$4:$AA$275,27,FALSE)="","",VLOOKUP(A102,'Revitalisation-Revitalisierung'!$A$4:$AA$275,27,FALSE))</f>
        <v>b</v>
      </c>
      <c r="K102" s="407"/>
    </row>
    <row r="103" spans="1:11" ht="20.100000000000001" customHeight="1" x14ac:dyDescent="0.25">
      <c r="A103" s="926">
        <v>95</v>
      </c>
      <c r="B103" s="400" t="s">
        <v>75</v>
      </c>
      <c r="C103" s="400" t="s">
        <v>63</v>
      </c>
      <c r="D103" s="401" t="s">
        <v>74</v>
      </c>
      <c r="E103" s="402" t="str">
        <f>IF(VLOOKUP(A103,'Charriage - Geschiebehaushalt'!$A$4:$AC$275,28,FALSE)="","",VLOOKUP(A103,'Charriage - Geschiebehaushalt'!$A$4:$AC$275,28,FALSE))</f>
        <v>51-80%</v>
      </c>
      <c r="F103" s="403" t="str">
        <f>IF(VLOOKUP(A103,'Charriage - Geschiebehaushalt'!$A$4:$AD$275,30,FALSE)="","",VLOOKUP(A103,'Charriage - Geschiebehaushalt'!$A$4:$AD$275,30,FALSE))</f>
        <v>a</v>
      </c>
      <c r="G103" s="330" t="str">
        <f>IF(VLOOKUP(A103,'Débit - Abfluss'!$A$4:$AD$275,17,FALSE)="","",VLOOKUP(A103,'Débit - Abfluss'!$A$4:$AD$275,17,FALSE))</f>
        <v>81-100%</v>
      </c>
      <c r="H103" s="404" t="str">
        <f>IF(VLOOKUP(A103,'Eclusée - Schwall-Sunk'!$A$2:$F$273,6,FALSE)="","",VLOOKUP(A103,'Eclusée - Schwall-Sunk'!$A$2:$F$273,6,FALSE))</f>
        <v>Non affecté / nicht betroffen</v>
      </c>
      <c r="I103" s="405" t="str">
        <f>IF(VLOOKUP(A103,'Revitalisation-Revitalisierung'!$A$4:$Z$275,25,FALSE)="","",VLOOKUP(A103,'Revitalisation-Revitalisierung'!$A$4:$Z$275,25,FALSE))</f>
        <v>Partiellement nécessaire, difficile / teilweise nötig, schwierig</v>
      </c>
      <c r="J103" s="406" t="str">
        <f>IF(VLOOKUP(A103,'Revitalisation-Revitalisierung'!$A$4:$AA$275,27,FALSE)="","",VLOOKUP(A103,'Revitalisation-Revitalisierung'!$A$4:$AA$275,27,FALSE))</f>
        <v>b</v>
      </c>
      <c r="K103" s="407"/>
    </row>
    <row r="104" spans="1:11" ht="20.100000000000001" customHeight="1" x14ac:dyDescent="0.25">
      <c r="A104" s="926">
        <v>97</v>
      </c>
      <c r="B104" s="400" t="s">
        <v>688</v>
      </c>
      <c r="C104" s="400" t="s">
        <v>689</v>
      </c>
      <c r="D104" s="401" t="s">
        <v>687</v>
      </c>
      <c r="E104" s="402" t="str">
        <f>IF(VLOOKUP(A104,'Charriage - Geschiebehaushalt'!$A$4:$AC$275,28,FALSE)="","",VLOOKUP(A104,'Charriage - Geschiebehaushalt'!$A$4:$AC$275,28,FALSE))</f>
        <v>51-80%</v>
      </c>
      <c r="F104" s="403" t="str">
        <f>IF(VLOOKUP(A104,'Charriage - Geschiebehaushalt'!$A$4:$AD$275,30,FALSE)="","",VLOOKUP(A104,'Charriage - Geschiebehaushalt'!$A$4:$AD$275,30,FALSE))</f>
        <v>b</v>
      </c>
      <c r="G104" s="330" t="str">
        <f>IF(VLOOKUP(A104,'Débit - Abfluss'!$A$4:$AD$275,17,FALSE)="","",VLOOKUP(A104,'Débit - Abfluss'!$A$4:$AD$275,17,FALSE))</f>
        <v>81-100%</v>
      </c>
      <c r="H104" s="404" t="str">
        <f>IF(VLOOKUP(A104,'Eclusée - Schwall-Sunk'!$A$2:$F$273,6,FALSE)="","",VLOOKUP(A104,'Eclusée - Schwall-Sunk'!$A$2:$F$273,6,FALSE))</f>
        <v>Potentiellement affecté mais non plausible / möglicherweise betroffen aber nicht nachweisbar</v>
      </c>
      <c r="I104" s="405" t="str">
        <f>IF(VLOOKUP(A104,'Revitalisation-Revitalisierung'!$A$4:$Z$275,25,FALSE)="","",VLOOKUP(A104,'Revitalisation-Revitalisierung'!$A$4:$Z$275,25,FALSE))</f>
        <v>Non nécessaire / nicht nötig</v>
      </c>
      <c r="J104" s="406" t="str">
        <f>IF(VLOOKUP(A104,'Revitalisation-Revitalisierung'!$A$4:$AA$275,27,FALSE)="","",VLOOKUP(A104,'Revitalisation-Revitalisierung'!$A$4:$AA$275,27,FALSE))</f>
        <v>a</v>
      </c>
      <c r="K104" s="407"/>
    </row>
    <row r="105" spans="1:11" ht="20.100000000000001" customHeight="1" x14ac:dyDescent="0.25">
      <c r="A105" s="926">
        <v>98</v>
      </c>
      <c r="B105" s="400" t="s">
        <v>377</v>
      </c>
      <c r="C105" s="400" t="s">
        <v>378</v>
      </c>
      <c r="D105" s="401" t="s">
        <v>376</v>
      </c>
      <c r="E105" s="402" t="str">
        <f>IF(VLOOKUP(A105,'Charriage - Geschiebehaushalt'!$A$4:$AC$275,28,FALSE)="","",VLOOKUP(A105,'Charriage - Geschiebehaushalt'!$A$4:$AC$275,28,FALSE))</f>
        <v>21-50%</v>
      </c>
      <c r="F105" s="403" t="str">
        <f>IF(VLOOKUP(A105,'Charriage - Geschiebehaushalt'!$A$4:$AD$275,30,FALSE)="","",VLOOKUP(A105,'Charriage - Geschiebehaushalt'!$A$4:$AD$275,30,FALSE))</f>
        <v>a</v>
      </c>
      <c r="G105" s="330" t="str">
        <f>IF(VLOOKUP(A105,'Débit - Abfluss'!$A$4:$AD$275,17,FALSE)="","",VLOOKUP(A105,'Débit - Abfluss'!$A$4:$AD$275,17,FALSE))</f>
        <v>100%</v>
      </c>
      <c r="H105" s="404" t="str">
        <f>IF(VLOOKUP(A105,'Eclusée - Schwall-Sunk'!$A$2:$F$273,6,FALSE)="","",VLOOKUP(A105,'Eclusée - Schwall-Sunk'!$A$2:$F$273,6,FALSE))</f>
        <v>Non affecté / nicht betroffen</v>
      </c>
      <c r="I105" s="405" t="str">
        <f>IF(VLOOKUP(A105,'Revitalisation-Revitalisierung'!$A$4:$Z$275,25,FALSE)="","",VLOOKUP(A105,'Revitalisation-Revitalisierung'!$A$4:$Z$275,25,FALSE))</f>
        <v>Partiellement nécessaire, facile / teilweise nötig, einfach</v>
      </c>
      <c r="J105" s="406" t="str">
        <f>IF(VLOOKUP(A105,'Revitalisation-Revitalisierung'!$A$4:$AA$275,27,FALSE)="","",VLOOKUP(A105,'Revitalisation-Revitalisierung'!$A$4:$AA$275,27,FALSE))</f>
        <v>a</v>
      </c>
      <c r="K105" s="407"/>
    </row>
    <row r="106" spans="1:11" ht="20.100000000000001" customHeight="1" x14ac:dyDescent="0.25">
      <c r="A106" s="926">
        <v>99</v>
      </c>
      <c r="B106" s="400" t="s">
        <v>396</v>
      </c>
      <c r="C106" s="400" t="s">
        <v>397</v>
      </c>
      <c r="D106" s="401" t="s">
        <v>395</v>
      </c>
      <c r="E106" s="402" t="str">
        <f>IF(VLOOKUP(A106,'Charriage - Geschiebehaushalt'!$A$4:$AC$275,28,FALSE)="","",VLOOKUP(A106,'Charriage - Geschiebehaushalt'!$A$4:$AC$275,28,FALSE))</f>
        <v>0-20%</v>
      </c>
      <c r="F106" s="403" t="str">
        <f>IF(VLOOKUP(A106,'Charriage - Geschiebehaushalt'!$A$4:$AD$275,30,FALSE)="","",VLOOKUP(A106,'Charriage - Geschiebehaushalt'!$A$4:$AD$275,30,FALSE))</f>
        <v>a</v>
      </c>
      <c r="G106" s="330" t="str">
        <f>IF(VLOOKUP(A106,'Débit - Abfluss'!$A$4:$AD$275,17,FALSE)="","",VLOOKUP(A106,'Débit - Abfluss'!$A$4:$AD$275,17,FALSE))</f>
        <v>81-100%</v>
      </c>
      <c r="H106" s="404" t="str">
        <f>IF(VLOOKUP(A106,'Eclusée - Schwall-Sunk'!$A$2:$F$273,6,FALSE)="","",VLOOKUP(A106,'Eclusée - Schwall-Sunk'!$A$2:$F$273,6,FALSE))</f>
        <v>Non affecté / nicht betroffen</v>
      </c>
      <c r="I106" s="405" t="str">
        <f>IF(VLOOKUP(A106,'Revitalisation-Revitalisierung'!$A$4:$Z$275,25,FALSE)="","",VLOOKUP(A106,'Revitalisation-Revitalisierung'!$A$4:$Z$275,25,FALSE))</f>
        <v>Partiellement nécessaire, difficile / teilweise nötig, schwierig</v>
      </c>
      <c r="J106" s="406" t="str">
        <f>IF(VLOOKUP(A106,'Revitalisation-Revitalisierung'!$A$4:$AA$275,27,FALSE)="","",VLOOKUP(A106,'Revitalisation-Revitalisierung'!$A$4:$AA$275,27,FALSE))</f>
        <v>a</v>
      </c>
      <c r="K106" s="407"/>
    </row>
    <row r="107" spans="1:11" ht="20.100000000000001" customHeight="1" x14ac:dyDescent="0.25">
      <c r="A107" s="926">
        <v>100</v>
      </c>
      <c r="B107" s="400" t="s">
        <v>398</v>
      </c>
      <c r="C107" s="400" t="s">
        <v>399</v>
      </c>
      <c r="D107" s="401" t="s">
        <v>395</v>
      </c>
      <c r="E107" s="402" t="str">
        <f>IF(VLOOKUP(A107,'Charriage - Geschiebehaushalt'!$A$4:$AC$275,28,FALSE)="","",VLOOKUP(A107,'Charriage - Geschiebehaushalt'!$A$4:$AC$275,28,FALSE))</f>
        <v>51-80%</v>
      </c>
      <c r="F107" s="403" t="str">
        <f>IF(VLOOKUP(A107,'Charriage - Geschiebehaushalt'!$A$4:$AD$275,30,FALSE)="","",VLOOKUP(A107,'Charriage - Geschiebehaushalt'!$A$4:$AD$275,30,FALSE))</f>
        <v>b</v>
      </c>
      <c r="G107" s="330" t="str">
        <f>IF(VLOOKUP(A107,'Débit - Abfluss'!$A$4:$AD$275,17,FALSE)="","",VLOOKUP(A107,'Débit - Abfluss'!$A$4:$AD$275,17,FALSE))</f>
        <v>100%</v>
      </c>
      <c r="H107" s="404" t="str">
        <f>IF(VLOOKUP(A107,'Eclusée - Schwall-Sunk'!$A$2:$F$273,6,FALSE)="","",VLOOKUP(A107,'Eclusée - Schwall-Sunk'!$A$2:$F$273,6,FALSE))</f>
        <v>Potentiellement affecté / möglicherweise betroffen</v>
      </c>
      <c r="I107" s="405" t="str">
        <f>IF(VLOOKUP(A107,'Revitalisation-Revitalisierung'!$A$4:$Z$275,25,FALSE)="","",VLOOKUP(A107,'Revitalisation-Revitalisierung'!$A$4:$Z$275,25,FALSE))</f>
        <v>Très nécessaire, difficile / unbedingt nötig, schwierig</v>
      </c>
      <c r="J107" s="406" t="str">
        <f>IF(VLOOKUP(A107,'Revitalisation-Revitalisierung'!$A$4:$AA$275,27,FALSE)="","",VLOOKUP(A107,'Revitalisation-Revitalisierung'!$A$4:$AA$275,27,FALSE))</f>
        <v>b</v>
      </c>
      <c r="K107" s="407"/>
    </row>
    <row r="108" spans="1:11" ht="20.100000000000001" customHeight="1" x14ac:dyDescent="0.25">
      <c r="A108" s="926">
        <v>101</v>
      </c>
      <c r="B108" s="400" t="s">
        <v>400</v>
      </c>
      <c r="C108" s="400" t="s">
        <v>401</v>
      </c>
      <c r="D108" s="401" t="s">
        <v>395</v>
      </c>
      <c r="E108" s="402" t="str">
        <f>IF(VLOOKUP(A108,'Charriage - Geschiebehaushalt'!$A$4:$AC$275,28,FALSE)="","",VLOOKUP(A108,'Charriage - Geschiebehaushalt'!$A$4:$AC$275,28,FALSE))</f>
        <v>21-50%</v>
      </c>
      <c r="F108" s="403" t="str">
        <f>IF(VLOOKUP(A108,'Charriage - Geschiebehaushalt'!$A$4:$AD$275,30,FALSE)="","",VLOOKUP(A108,'Charriage - Geschiebehaushalt'!$A$4:$AD$275,30,FALSE))</f>
        <v>a</v>
      </c>
      <c r="G108" s="330" t="str">
        <f>IF(VLOOKUP(A108,'Débit - Abfluss'!$A$4:$AD$275,17,FALSE)="","",VLOOKUP(A108,'Débit - Abfluss'!$A$4:$AD$275,17,FALSE))</f>
        <v>100%</v>
      </c>
      <c r="H108" s="404" t="str">
        <f>IF(VLOOKUP(A108,'Eclusée - Schwall-Sunk'!$A$2:$F$273,6,FALSE)="","",VLOOKUP(A108,'Eclusée - Schwall-Sunk'!$A$2:$F$273,6,FALSE))</f>
        <v>Non affecté / nicht betroffen</v>
      </c>
      <c r="I108" s="405" t="str">
        <f>IF(VLOOKUP(A108,'Revitalisation-Revitalisierung'!$A$4:$Z$275,25,FALSE)="","",VLOOKUP(A108,'Revitalisation-Revitalisierung'!$A$4:$Z$275,25,FALSE))</f>
        <v>Partiellement nécessaire, difficile / teilweise nötig, schwierig</v>
      </c>
      <c r="J108" s="406" t="str">
        <f>IF(VLOOKUP(A108,'Revitalisation-Revitalisierung'!$A$4:$AA$275,27,FALSE)="","",VLOOKUP(A108,'Revitalisation-Revitalisierung'!$A$4:$AA$275,27,FALSE))</f>
        <v>a</v>
      </c>
      <c r="K108" s="407"/>
    </row>
    <row r="109" spans="1:11" ht="20.100000000000001" customHeight="1" x14ac:dyDescent="0.25">
      <c r="A109" s="926">
        <v>102</v>
      </c>
      <c r="B109" s="400" t="s">
        <v>404</v>
      </c>
      <c r="C109" s="400" t="s">
        <v>405</v>
      </c>
      <c r="D109" s="401" t="s">
        <v>395</v>
      </c>
      <c r="E109" s="402" t="str">
        <f>IF(VLOOKUP(A109,'Charriage - Geschiebehaushalt'!$A$4:$AC$275,28,FALSE)="","",VLOOKUP(A109,'Charriage - Geschiebehaushalt'!$A$4:$AC$275,28,FALSE))</f>
        <v>0-20%</v>
      </c>
      <c r="F109" s="403" t="str">
        <f>IF(VLOOKUP(A109,'Charriage - Geschiebehaushalt'!$A$4:$AD$275,30,FALSE)="","",VLOOKUP(A109,'Charriage - Geschiebehaushalt'!$A$4:$AD$275,30,FALSE))</f>
        <v>a</v>
      </c>
      <c r="G109" s="330" t="str">
        <f>IF(VLOOKUP(A109,'Débit - Abfluss'!$A$4:$AD$275,17,FALSE)="","",VLOOKUP(A109,'Débit - Abfluss'!$A$4:$AD$275,17,FALSE))</f>
        <v>100%</v>
      </c>
      <c r="H109" s="404" t="str">
        <f>IF(VLOOKUP(A109,'Eclusée - Schwall-Sunk'!$A$2:$F$273,6,FALSE)="","",VLOOKUP(A109,'Eclusée - Schwall-Sunk'!$A$2:$F$273,6,FALSE))</f>
        <v>Non affecté / nicht betroffen</v>
      </c>
      <c r="I109" s="405" t="str">
        <f>IF(VLOOKUP(A109,'Revitalisation-Revitalisierung'!$A$4:$Z$275,25,FALSE)="","",VLOOKUP(A109,'Revitalisation-Revitalisierung'!$A$4:$Z$275,25,FALSE))</f>
        <v>Non nécessaire / nicht nötig</v>
      </c>
      <c r="J109" s="406" t="str">
        <f>IF(VLOOKUP(A109,'Revitalisation-Revitalisierung'!$A$4:$AA$275,27,FALSE)="","",VLOOKUP(A109,'Revitalisation-Revitalisierung'!$A$4:$AA$275,27,FALSE))</f>
        <v>a</v>
      </c>
      <c r="K109" s="407"/>
    </row>
    <row r="110" spans="1:11" ht="20.100000000000001" customHeight="1" x14ac:dyDescent="0.25">
      <c r="A110" s="926">
        <v>104</v>
      </c>
      <c r="B110" s="400" t="s">
        <v>461</v>
      </c>
      <c r="C110" s="400" t="s">
        <v>462</v>
      </c>
      <c r="D110" s="401" t="s">
        <v>460</v>
      </c>
      <c r="E110" s="402" t="str">
        <f>IF(VLOOKUP(A110,'Charriage - Geschiebehaushalt'!$A$4:$AC$275,28,FALSE)="","",VLOOKUP(A110,'Charriage - Geschiebehaushalt'!$A$4:$AC$275,28,FALSE))</f>
        <v>0-20%</v>
      </c>
      <c r="F110" s="403" t="str">
        <f>IF(VLOOKUP(A110,'Charriage - Geschiebehaushalt'!$A$4:$AD$275,30,FALSE)="","",VLOOKUP(A110,'Charriage - Geschiebehaushalt'!$A$4:$AD$275,30,FALSE))</f>
        <v>a</v>
      </c>
      <c r="G110" s="330" t="str">
        <f>IF(VLOOKUP(A110,'Débit - Abfluss'!$A$4:$AD$275,17,FALSE)="","",VLOOKUP(A110,'Débit - Abfluss'!$A$4:$AD$275,17,FALSE))</f>
        <v>81-100%</v>
      </c>
      <c r="H110" s="404" t="str">
        <f>IF(VLOOKUP(A110,'Eclusée - Schwall-Sunk'!$A$2:$F$273,6,FALSE)="","",VLOOKUP(A110,'Eclusée - Schwall-Sunk'!$A$2:$F$273,6,FALSE))</f>
        <v>Potentiellement affecté / möglicherweise betroffen</v>
      </c>
      <c r="I110" s="405" t="str">
        <f>IF(VLOOKUP(A110,'Revitalisation-Revitalisierung'!$A$4:$Z$275,25,FALSE)="","",VLOOKUP(A110,'Revitalisation-Revitalisierung'!$A$4:$Z$275,25,FALSE))</f>
        <v>Très nécessaire, facile / unbedingt nötig, einfach</v>
      </c>
      <c r="J110" s="406" t="str">
        <f>IF(VLOOKUP(A110,'Revitalisation-Revitalisierung'!$A$4:$AA$275,27,FALSE)="","",VLOOKUP(A110,'Revitalisation-Revitalisierung'!$A$4:$AA$275,27,FALSE))</f>
        <v>a</v>
      </c>
      <c r="K110" s="407"/>
    </row>
    <row r="111" spans="1:11" ht="20.100000000000001" customHeight="1" x14ac:dyDescent="0.25">
      <c r="A111" s="927">
        <v>105.1</v>
      </c>
      <c r="B111" s="400" t="s">
        <v>552</v>
      </c>
      <c r="C111" s="400" t="s">
        <v>553</v>
      </c>
      <c r="D111" s="401" t="s">
        <v>551</v>
      </c>
      <c r="E111" s="402" t="str">
        <f>IF(VLOOKUP(A111,'Charriage - Geschiebehaushalt'!$A$4:$AC$275,28,FALSE)="","",VLOOKUP(A111,'Charriage - Geschiebehaushalt'!$A$4:$AC$275,28,FALSE))</f>
        <v>51-80%</v>
      </c>
      <c r="F111" s="403" t="str">
        <f>IF(VLOOKUP(A111,'Charriage - Geschiebehaushalt'!$A$4:$AD$275,30,FALSE)="","",VLOOKUP(A111,'Charriage - Geschiebehaushalt'!$A$4:$AD$275,30,FALSE))</f>
        <v>a</v>
      </c>
      <c r="G111" s="330" t="str">
        <f>IF(VLOOKUP(A111,'Débit - Abfluss'!$A$4:$AD$275,17,FALSE)="","",VLOOKUP(A111,'Débit - Abfluss'!$A$4:$AD$275,17,FALSE))</f>
        <v>81-100%</v>
      </c>
      <c r="H111" s="404" t="str">
        <f>IF(VLOOKUP(A111,'Eclusée - Schwall-Sunk'!$A$2:$F$273,6,FALSE)="","",VLOOKUP(A111,'Eclusée - Schwall-Sunk'!$A$2:$F$273,6,FALSE))</f>
        <v>Potentiellement affecté / möglicherweise betroffen</v>
      </c>
      <c r="I111" s="405" t="str">
        <f>IF(VLOOKUP(A111,'Revitalisation-Revitalisierung'!$A$4:$Z$275,25,FALSE)="","",VLOOKUP(A111,'Revitalisation-Revitalisierung'!$A$4:$Z$275,25,FALSE))</f>
        <v>Non nécessaire / nicht nötig</v>
      </c>
      <c r="J111" s="406" t="str">
        <f>IF(VLOOKUP(A111,'Revitalisation-Revitalisierung'!$A$4:$AA$275,27,FALSE)="","",VLOOKUP(A111,'Revitalisation-Revitalisierung'!$A$4:$AA$275,27,FALSE))</f>
        <v>b</v>
      </c>
      <c r="K111" s="407"/>
    </row>
    <row r="112" spans="1:11" ht="20.100000000000001" customHeight="1" x14ac:dyDescent="0.25">
      <c r="A112" s="927">
        <v>105.2</v>
      </c>
      <c r="B112" s="400" t="s">
        <v>552</v>
      </c>
      <c r="C112" s="400" t="s">
        <v>553</v>
      </c>
      <c r="D112" s="401" t="s">
        <v>551</v>
      </c>
      <c r="E112" s="402" t="str">
        <f>IF(VLOOKUP(A112,'Charriage - Geschiebehaushalt'!$A$4:$AC$275,28,FALSE)="","",VLOOKUP(A112,'Charriage - Geschiebehaushalt'!$A$4:$AC$275,28,FALSE))</f>
        <v>non pertinent / nicht relevant</v>
      </c>
      <c r="F112" s="403" t="str">
        <f>IF(VLOOKUP(A112,'Charriage - Geschiebehaushalt'!$A$4:$AD$275,30,FALSE)="","",VLOOKUP(A112,'Charriage - Geschiebehaushalt'!$A$4:$AD$275,30,FALSE))</f>
        <v>a</v>
      </c>
      <c r="G112" s="330" t="str">
        <f>IF(VLOOKUP(A112,'Débit - Abfluss'!$A$4:$AD$275,17,FALSE)="","",VLOOKUP(A112,'Débit - Abfluss'!$A$4:$AD$275,17,FALSE))</f>
        <v>non pertinent / nicht relevant</v>
      </c>
      <c r="H112" s="404" t="str">
        <f>IF(VLOOKUP(A112,'Eclusée - Schwall-Sunk'!$A$2:$F$273,6,FALSE)="","",VLOOKUP(A112,'Eclusée - Schwall-Sunk'!$A$2:$F$273,6,FALSE))</f>
        <v>Non affecté / nicht betroffen</v>
      </c>
      <c r="I112" s="405" t="str">
        <f>IF(VLOOKUP(A112,'Revitalisation-Revitalisierung'!$A$4:$Z$275,25,FALSE)="","",VLOOKUP(A112,'Revitalisation-Revitalisierung'!$A$4:$Z$275,25,FALSE))</f>
        <v>Non nécessaire / nicht nötig</v>
      </c>
      <c r="J112" s="406" t="str">
        <f>IF(VLOOKUP(A112,'Revitalisation-Revitalisierung'!$A$4:$AA$275,27,FALSE)="","",VLOOKUP(A112,'Revitalisation-Revitalisierung'!$A$4:$AA$275,27,FALSE))</f>
        <v>a</v>
      </c>
      <c r="K112" s="407"/>
    </row>
    <row r="113" spans="1:11" ht="20.100000000000001" customHeight="1" x14ac:dyDescent="0.25">
      <c r="A113" s="926">
        <v>107</v>
      </c>
      <c r="B113" s="400" t="s">
        <v>554</v>
      </c>
      <c r="C113" s="400" t="s">
        <v>555</v>
      </c>
      <c r="D113" s="401" t="s">
        <v>551</v>
      </c>
      <c r="E113" s="402" t="str">
        <f>IF(VLOOKUP(A113,'Charriage - Geschiebehaushalt'!$A$4:$AC$275,28,FALSE)="","",VLOOKUP(A113,'Charriage - Geschiebehaushalt'!$A$4:$AC$275,28,FALSE))</f>
        <v>0-20%</v>
      </c>
      <c r="F113" s="403" t="str">
        <f>IF(VLOOKUP(A113,'Charriage - Geschiebehaushalt'!$A$4:$AD$275,30,FALSE)="","",VLOOKUP(A113,'Charriage - Geschiebehaushalt'!$A$4:$AD$275,30,FALSE))</f>
        <v>a</v>
      </c>
      <c r="G113" s="330" t="str">
        <f>IF(VLOOKUP(A113,'Débit - Abfluss'!$A$4:$AD$275,17,FALSE)="","",VLOOKUP(A113,'Débit - Abfluss'!$A$4:$AD$275,17,FALSE))</f>
        <v>100%</v>
      </c>
      <c r="H113" s="404" t="str">
        <f>IF(VLOOKUP(A113,'Eclusée - Schwall-Sunk'!$A$2:$F$273,6,FALSE)="","",VLOOKUP(A113,'Eclusée - Schwall-Sunk'!$A$2:$F$273,6,FALSE))</f>
        <v>Non affecté / nicht betroffen</v>
      </c>
      <c r="I113" s="405" t="str">
        <f>IF(VLOOKUP(A113,'Revitalisation-Revitalisierung'!$A$4:$Z$275,25,FALSE)="","",VLOOKUP(A113,'Revitalisation-Revitalisierung'!$A$4:$Z$275,25,FALSE))</f>
        <v>Non nécessaire / nicht nötig</v>
      </c>
      <c r="J113" s="406" t="str">
        <f>IF(VLOOKUP(A113,'Revitalisation-Revitalisierung'!$A$4:$AA$275,27,FALSE)="","",VLOOKUP(A113,'Revitalisation-Revitalisierung'!$A$4:$AA$275,27,FALSE))</f>
        <v>a</v>
      </c>
      <c r="K113" s="407"/>
    </row>
    <row r="114" spans="1:11" ht="20.100000000000001" customHeight="1" x14ac:dyDescent="0.25">
      <c r="A114" s="926">
        <v>108</v>
      </c>
      <c r="B114" s="400" t="s">
        <v>556</v>
      </c>
      <c r="C114" s="400" t="s">
        <v>557</v>
      </c>
      <c r="D114" s="401" t="s">
        <v>551</v>
      </c>
      <c r="E114" s="402" t="str">
        <f>IF(VLOOKUP(A114,'Charriage - Geschiebehaushalt'!$A$4:$AC$275,28,FALSE)="","",VLOOKUP(A114,'Charriage - Geschiebehaushalt'!$A$4:$AC$275,28,FALSE))</f>
        <v>0-20%</v>
      </c>
      <c r="F114" s="403" t="str">
        <f>IF(VLOOKUP(A114,'Charriage - Geschiebehaushalt'!$A$4:$AD$275,30,FALSE)="","",VLOOKUP(A114,'Charriage - Geschiebehaushalt'!$A$4:$AD$275,30,FALSE))</f>
        <v>a</v>
      </c>
      <c r="G114" s="330" t="str">
        <f>IF(VLOOKUP(A114,'Débit - Abfluss'!$A$4:$AD$275,17,FALSE)="","",VLOOKUP(A114,'Débit - Abfluss'!$A$4:$AD$275,17,FALSE))</f>
        <v>61-80%</v>
      </c>
      <c r="H114" s="404" t="str">
        <f>IF(VLOOKUP(A114,'Eclusée - Schwall-Sunk'!$A$2:$F$273,6,FALSE)="","",VLOOKUP(A114,'Eclusée - Schwall-Sunk'!$A$2:$F$273,6,FALSE))</f>
        <v>Non affecté / nicht betroffen</v>
      </c>
      <c r="I114" s="405" t="str">
        <f>IF(VLOOKUP(A114,'Revitalisation-Revitalisierung'!$A$4:$Z$275,25,FALSE)="","",VLOOKUP(A114,'Revitalisation-Revitalisierung'!$A$4:$Z$275,25,FALSE))</f>
        <v>Très nécessaire, facile / unbedingt nötig, einfach</v>
      </c>
      <c r="J114" s="406" t="str">
        <f>IF(VLOOKUP(A114,'Revitalisation-Revitalisierung'!$A$4:$AA$275,27,FALSE)="","",VLOOKUP(A114,'Revitalisation-Revitalisierung'!$A$4:$AA$275,27,FALSE))</f>
        <v>a</v>
      </c>
      <c r="K114" s="407"/>
    </row>
    <row r="115" spans="1:11" ht="20.100000000000001" customHeight="1" x14ac:dyDescent="0.25">
      <c r="A115" s="927">
        <v>109.1</v>
      </c>
      <c r="B115" s="400" t="s">
        <v>260</v>
      </c>
      <c r="C115" s="400" t="s">
        <v>261</v>
      </c>
      <c r="D115" s="401" t="s">
        <v>259</v>
      </c>
      <c r="E115" s="402" t="str">
        <f>IF(VLOOKUP(A115,'Charriage - Geschiebehaushalt'!$A$4:$AC$275,28,FALSE)="","",VLOOKUP(A115,'Charriage - Geschiebehaushalt'!$A$4:$AC$275,28,FALSE))</f>
        <v>0-20%</v>
      </c>
      <c r="F115" s="403" t="str">
        <f>IF(VLOOKUP(A115,'Charriage - Geschiebehaushalt'!$A$4:$AD$275,30,FALSE)="","",VLOOKUP(A115,'Charriage - Geschiebehaushalt'!$A$4:$AD$275,30,FALSE))</f>
        <v>b</v>
      </c>
      <c r="G115" s="330" t="str">
        <f>IF(VLOOKUP(A115,'Débit - Abfluss'!$A$4:$AD$275,17,FALSE)="","",VLOOKUP(A115,'Débit - Abfluss'!$A$4:$AD$275,17,FALSE))</f>
        <v>100%</v>
      </c>
      <c r="H115" s="404" t="str">
        <f>IF(VLOOKUP(A115,'Eclusée - Schwall-Sunk'!$A$2:$F$273,6,FALSE)="","",VLOOKUP(A115,'Eclusée - Schwall-Sunk'!$A$2:$F$273,6,FALSE))</f>
        <v>Non affecté / nicht betroffen</v>
      </c>
      <c r="I115" s="405" t="str">
        <f>IF(VLOOKUP(A115,'Revitalisation-Revitalisierung'!$A$4:$Z$275,25,FALSE)="","",VLOOKUP(A115,'Revitalisation-Revitalisierung'!$A$4:$Z$275,25,FALSE))</f>
        <v>Non nécessaire / nicht nötig</v>
      </c>
      <c r="J115" s="406" t="str">
        <f>IF(VLOOKUP(A115,'Revitalisation-Revitalisierung'!$A$4:$AA$275,27,FALSE)="","",VLOOKUP(A115,'Revitalisation-Revitalisierung'!$A$4:$AA$275,27,FALSE))</f>
        <v>a</v>
      </c>
      <c r="K115" s="407"/>
    </row>
    <row r="116" spans="1:11" ht="20.100000000000001" customHeight="1" x14ac:dyDescent="0.25">
      <c r="A116" s="927">
        <v>109.2</v>
      </c>
      <c r="B116" s="400" t="s">
        <v>260</v>
      </c>
      <c r="C116" s="400" t="s">
        <v>261</v>
      </c>
      <c r="D116" s="401" t="s">
        <v>259</v>
      </c>
      <c r="E116" s="402" t="str">
        <f>IF(VLOOKUP(A116,'Charriage - Geschiebehaushalt'!$A$4:$AC$275,28,FALSE)="","",VLOOKUP(A116,'Charriage - Geschiebehaushalt'!$A$4:$AC$275,28,FALSE))</f>
        <v>0-20%</v>
      </c>
      <c r="F116" s="403" t="str">
        <f>IF(VLOOKUP(A116,'Charriage - Geschiebehaushalt'!$A$4:$AD$275,30,FALSE)="","",VLOOKUP(A116,'Charriage - Geschiebehaushalt'!$A$4:$AD$275,30,FALSE))</f>
        <v>b</v>
      </c>
      <c r="G116" s="330" t="str">
        <f>IF(VLOOKUP(A116,'Débit - Abfluss'!$A$4:$AD$275,17,FALSE)="","",VLOOKUP(A116,'Débit - Abfluss'!$A$4:$AD$275,17,FALSE))</f>
        <v>100%</v>
      </c>
      <c r="H116" s="404" t="str">
        <f>IF(VLOOKUP(A116,'Eclusée - Schwall-Sunk'!$A$2:$F$273,6,FALSE)="","",VLOOKUP(A116,'Eclusée - Schwall-Sunk'!$A$2:$F$273,6,FALSE))</f>
        <v>Non affecté / nicht betroffen</v>
      </c>
      <c r="I116" s="405" t="str">
        <f>IF(VLOOKUP(A116,'Revitalisation-Revitalisierung'!$A$4:$Z$275,25,FALSE)="","",VLOOKUP(A116,'Revitalisation-Revitalisierung'!$A$4:$Z$275,25,FALSE))</f>
        <v>Partiellement nécessaire, facile / teilweise nötig, einfach</v>
      </c>
      <c r="J116" s="406" t="str">
        <f>IF(VLOOKUP(A116,'Revitalisation-Revitalisierung'!$A$4:$AA$275,27,FALSE)="","",VLOOKUP(A116,'Revitalisation-Revitalisierung'!$A$4:$AA$275,27,FALSE))</f>
        <v>a</v>
      </c>
      <c r="K116" s="407"/>
    </row>
    <row r="117" spans="1:11" ht="20.100000000000001" customHeight="1" x14ac:dyDescent="0.25">
      <c r="A117" s="926">
        <v>110</v>
      </c>
      <c r="B117" s="400" t="s">
        <v>471</v>
      </c>
      <c r="C117" s="400" t="s">
        <v>446</v>
      </c>
      <c r="D117" s="401" t="s">
        <v>470</v>
      </c>
      <c r="E117" s="402" t="str">
        <f>IF(VLOOKUP(A117,'Charriage - Geschiebehaushalt'!$A$4:$AC$275,28,FALSE)="","",VLOOKUP(A117,'Charriage - Geschiebehaushalt'!$A$4:$AC$275,28,FALSE))</f>
        <v>0-20%</v>
      </c>
      <c r="F117" s="403" t="str">
        <f>IF(VLOOKUP(A117,'Charriage - Geschiebehaushalt'!$A$4:$AD$275,30,FALSE)="","",VLOOKUP(A117,'Charriage - Geschiebehaushalt'!$A$4:$AD$275,30,FALSE))</f>
        <v>b</v>
      </c>
      <c r="G117" s="330" t="str">
        <f>IF(VLOOKUP(A117,'Débit - Abfluss'!$A$4:$AD$275,17,FALSE)="","",VLOOKUP(A117,'Débit - Abfluss'!$A$4:$AD$275,17,FALSE))</f>
        <v>100%</v>
      </c>
      <c r="H117" s="404" t="str">
        <f>IF(VLOOKUP(A117,'Eclusée - Schwall-Sunk'!$A$2:$F$273,6,FALSE)="","",VLOOKUP(A117,'Eclusée - Schwall-Sunk'!$A$2:$F$273,6,FALSE))</f>
        <v>Non affecté / nicht betroffen</v>
      </c>
      <c r="I117" s="405" t="str">
        <f>IF(VLOOKUP(A117,'Revitalisation-Revitalisierung'!$A$4:$Z$275,25,FALSE)="","",VLOOKUP(A117,'Revitalisation-Revitalisierung'!$A$4:$Z$275,25,FALSE))</f>
        <v>Non nécessaire / nicht nötig</v>
      </c>
      <c r="J117" s="406" t="str">
        <f>IF(VLOOKUP(A117,'Revitalisation-Revitalisierung'!$A$4:$AA$275,27,FALSE)="","",VLOOKUP(A117,'Revitalisation-Revitalisierung'!$A$4:$AA$275,27,FALSE))</f>
        <v>a</v>
      </c>
      <c r="K117" s="407"/>
    </row>
    <row r="118" spans="1:11" ht="20.100000000000001" customHeight="1" x14ac:dyDescent="0.25">
      <c r="A118" s="926">
        <v>112</v>
      </c>
      <c r="B118" s="400" t="s">
        <v>242</v>
      </c>
      <c r="C118" s="400" t="s">
        <v>243</v>
      </c>
      <c r="D118" s="401" t="s">
        <v>241</v>
      </c>
      <c r="E118" s="402" t="str">
        <f>IF(VLOOKUP(A118,'Charriage - Geschiebehaushalt'!$A$4:$AC$275,28,FALSE)="","",VLOOKUP(A118,'Charriage - Geschiebehaushalt'!$A$4:$AC$275,28,FALSE))</f>
        <v>21-50%</v>
      </c>
      <c r="F118" s="403" t="str">
        <f>IF(VLOOKUP(A118,'Charriage - Geschiebehaushalt'!$A$4:$AD$275,30,FALSE)="","",VLOOKUP(A118,'Charriage - Geschiebehaushalt'!$A$4:$AD$275,30,FALSE))</f>
        <v>a</v>
      </c>
      <c r="G118" s="330" t="str">
        <f>IF(VLOOKUP(A118,'Débit - Abfluss'!$A$4:$AD$275,17,FALSE)="","",VLOOKUP(A118,'Débit - Abfluss'!$A$4:$AD$275,17,FALSE))</f>
        <v>100%</v>
      </c>
      <c r="H118" s="404" t="str">
        <f>IF(VLOOKUP(A118,'Eclusée - Schwall-Sunk'!$A$2:$F$273,6,FALSE)="","",VLOOKUP(A118,'Eclusée - Schwall-Sunk'!$A$2:$F$273,6,FALSE))</f>
        <v>Non affecté / nicht betroffen</v>
      </c>
      <c r="I118" s="405" t="str">
        <f>IF(VLOOKUP(A118,'Revitalisation-Revitalisierung'!$A$4:$Z$275,25,FALSE)="","",VLOOKUP(A118,'Revitalisation-Revitalisierung'!$A$4:$Z$275,25,FALSE))</f>
        <v>Partiellement nécessaire, facile / teilweise nötig, einfach</v>
      </c>
      <c r="J118" s="406" t="str">
        <f>IF(VLOOKUP(A118,'Revitalisation-Revitalisierung'!$A$4:$AA$275,27,FALSE)="","",VLOOKUP(A118,'Revitalisation-Revitalisierung'!$A$4:$AA$275,27,FALSE))</f>
        <v>a</v>
      </c>
      <c r="K118" s="407"/>
    </row>
    <row r="119" spans="1:11" ht="20.100000000000001" customHeight="1" x14ac:dyDescent="0.25">
      <c r="A119" s="926">
        <v>113</v>
      </c>
      <c r="B119" s="400" t="s">
        <v>247</v>
      </c>
      <c r="C119" s="400" t="s">
        <v>248</v>
      </c>
      <c r="D119" s="401" t="s">
        <v>241</v>
      </c>
      <c r="E119" s="402" t="str">
        <f>IF(VLOOKUP(A119,'Charriage - Geschiebehaushalt'!$A$4:$AC$275,28,FALSE)="","",VLOOKUP(A119,'Charriage - Geschiebehaushalt'!$A$4:$AC$275,28,FALSE))</f>
        <v>21-50%</v>
      </c>
      <c r="F119" s="403" t="str">
        <f>IF(VLOOKUP(A119,'Charriage - Geschiebehaushalt'!$A$4:$AD$275,30,FALSE)="","",VLOOKUP(A119,'Charriage - Geschiebehaushalt'!$A$4:$AD$275,30,FALSE))</f>
        <v>a</v>
      </c>
      <c r="G119" s="330" t="str">
        <f>IF(VLOOKUP(A119,'Débit - Abfluss'!$A$4:$AD$275,17,FALSE)="","",VLOOKUP(A119,'Débit - Abfluss'!$A$4:$AD$275,17,FALSE))</f>
        <v>100%</v>
      </c>
      <c r="H119" s="404" t="str">
        <f>IF(VLOOKUP(A119,'Eclusée - Schwall-Sunk'!$A$2:$F$273,6,FALSE)="","",VLOOKUP(A119,'Eclusée - Schwall-Sunk'!$A$2:$F$273,6,FALSE))</f>
        <v>Non affecté / nicht betroffen</v>
      </c>
      <c r="I119" s="405" t="str">
        <f>IF(VLOOKUP(A119,'Revitalisation-Revitalisierung'!$A$4:$Z$275,25,FALSE)="","",VLOOKUP(A119,'Revitalisation-Revitalisierung'!$A$4:$Z$275,25,FALSE))</f>
        <v>Non nécessaire / nicht nötig</v>
      </c>
      <c r="J119" s="406" t="str">
        <f>IF(VLOOKUP(A119,'Revitalisation-Revitalisierung'!$A$4:$AA$275,27,FALSE)="","",VLOOKUP(A119,'Revitalisation-Revitalisierung'!$A$4:$AA$275,27,FALSE))</f>
        <v>a</v>
      </c>
      <c r="K119" s="407"/>
    </row>
    <row r="120" spans="1:11" ht="20.100000000000001" customHeight="1" x14ac:dyDescent="0.25">
      <c r="A120" s="926">
        <v>114</v>
      </c>
      <c r="B120" s="400" t="s">
        <v>249</v>
      </c>
      <c r="C120" s="400" t="s">
        <v>250</v>
      </c>
      <c r="D120" s="401" t="s">
        <v>241</v>
      </c>
      <c r="E120" s="402" t="str">
        <f>IF(VLOOKUP(A120,'Charriage - Geschiebehaushalt'!$A$4:$AC$275,28,FALSE)="","",VLOOKUP(A120,'Charriage - Geschiebehaushalt'!$A$4:$AC$275,28,FALSE))</f>
        <v>81-100%</v>
      </c>
      <c r="F120" s="403" t="str">
        <f>IF(VLOOKUP(A120,'Charriage - Geschiebehaushalt'!$A$4:$AD$275,30,FALSE)="","",VLOOKUP(A120,'Charriage - Geschiebehaushalt'!$A$4:$AD$275,30,FALSE))</f>
        <v>a</v>
      </c>
      <c r="G120" s="330" t="str">
        <f>IF(VLOOKUP(A120,'Débit - Abfluss'!$A$4:$AD$275,17,FALSE)="","",VLOOKUP(A120,'Débit - Abfluss'!$A$4:$AD$275,17,FALSE))</f>
        <v>81-100%</v>
      </c>
      <c r="H120" s="404" t="str">
        <f>IF(VLOOKUP(A120,'Eclusée - Schwall-Sunk'!$A$2:$F$273,6,FALSE)="","",VLOOKUP(A120,'Eclusée - Schwall-Sunk'!$A$2:$F$273,6,FALSE))</f>
        <v>Potentiellement affecté / möglicherweise betroffen</v>
      </c>
      <c r="I120" s="405" t="str">
        <f>IF(VLOOKUP(A120,'Revitalisation-Revitalisierung'!$A$4:$Z$275,25,FALSE)="","",VLOOKUP(A120,'Revitalisation-Revitalisierung'!$A$4:$Z$275,25,FALSE))</f>
        <v>Non nécessaire / nicht nötig</v>
      </c>
      <c r="J120" s="406" t="str">
        <f>IF(VLOOKUP(A120,'Revitalisation-Revitalisierung'!$A$4:$AA$275,27,FALSE)="","",VLOOKUP(A120,'Revitalisation-Revitalisierung'!$A$4:$AA$275,27,FALSE))</f>
        <v>a</v>
      </c>
      <c r="K120" s="407"/>
    </row>
    <row r="121" spans="1:11" ht="20.100000000000001" customHeight="1" x14ac:dyDescent="0.25">
      <c r="A121" s="926">
        <v>115</v>
      </c>
      <c r="B121" s="400" t="s">
        <v>253</v>
      </c>
      <c r="C121" s="400" t="s">
        <v>254</v>
      </c>
      <c r="D121" s="401" t="s">
        <v>241</v>
      </c>
      <c r="E121" s="402" t="str">
        <f>IF(VLOOKUP(A121,'Charriage - Geschiebehaushalt'!$A$4:$AC$275,28,FALSE)="","",VLOOKUP(A121,'Charriage - Geschiebehaushalt'!$A$4:$AC$275,28,FALSE))</f>
        <v>21-50%</v>
      </c>
      <c r="F121" s="403" t="str">
        <f>IF(VLOOKUP(A121,'Charriage - Geschiebehaushalt'!$A$4:$AD$275,30,FALSE)="","",VLOOKUP(A121,'Charriage - Geschiebehaushalt'!$A$4:$AD$275,30,FALSE))</f>
        <v>a</v>
      </c>
      <c r="G121" s="330" t="str">
        <f>IF(VLOOKUP(A121,'Débit - Abfluss'!$A$4:$AD$275,17,FALSE)="","",VLOOKUP(A121,'Débit - Abfluss'!$A$4:$AD$275,17,FALSE))</f>
        <v>100%</v>
      </c>
      <c r="H121" s="404" t="str">
        <f>IF(VLOOKUP(A121,'Eclusée - Schwall-Sunk'!$A$2:$F$273,6,FALSE)="","",VLOOKUP(A121,'Eclusée - Schwall-Sunk'!$A$2:$F$273,6,FALSE))</f>
        <v>Non affecté / nicht betroffen</v>
      </c>
      <c r="I121" s="405" t="str">
        <f>IF(VLOOKUP(A121,'Revitalisation-Revitalisierung'!$A$4:$Z$275,25,FALSE)="","",VLOOKUP(A121,'Revitalisation-Revitalisierung'!$A$4:$Z$275,25,FALSE))</f>
        <v>Très nécessaire, facile / unbedingt nötig, einfach</v>
      </c>
      <c r="J121" s="406" t="str">
        <f>IF(VLOOKUP(A121,'Revitalisation-Revitalisierung'!$A$4:$AA$275,27,FALSE)="","",VLOOKUP(A121,'Revitalisation-Revitalisierung'!$A$4:$AA$275,27,FALSE))</f>
        <v>a</v>
      </c>
      <c r="K121" s="407"/>
    </row>
    <row r="122" spans="1:11" ht="20.100000000000001" customHeight="1" x14ac:dyDescent="0.25">
      <c r="A122" s="926">
        <v>118</v>
      </c>
      <c r="B122" s="400" t="s">
        <v>582</v>
      </c>
      <c r="C122" s="400" t="s">
        <v>254</v>
      </c>
      <c r="D122" s="401" t="s">
        <v>573</v>
      </c>
      <c r="E122" s="402" t="str">
        <f>IF(VLOOKUP(A122,'Charriage - Geschiebehaushalt'!$A$4:$AC$275,28,FALSE)="","",VLOOKUP(A122,'Charriage - Geschiebehaushalt'!$A$4:$AC$275,28,FALSE))</f>
        <v>0-20%</v>
      </c>
      <c r="F122" s="403" t="str">
        <f>IF(VLOOKUP(A122,'Charriage - Geschiebehaushalt'!$A$4:$AD$275,30,FALSE)="","",VLOOKUP(A122,'Charriage - Geschiebehaushalt'!$A$4:$AD$275,30,FALSE))</f>
        <v>b</v>
      </c>
      <c r="G122" s="330" t="str">
        <f>IF(VLOOKUP(A122,'Débit - Abfluss'!$A$4:$AD$275,17,FALSE)="","",VLOOKUP(A122,'Débit - Abfluss'!$A$4:$AD$275,17,FALSE))</f>
        <v>100%</v>
      </c>
      <c r="H122" s="404" t="str">
        <f>IF(VLOOKUP(A122,'Eclusée - Schwall-Sunk'!$A$2:$F$273,6,FALSE)="","",VLOOKUP(A122,'Eclusée - Schwall-Sunk'!$A$2:$F$273,6,FALSE))</f>
        <v>Non affecté / nicht betroffen</v>
      </c>
      <c r="I122" s="405" t="str">
        <f>IF(VLOOKUP(A122,'Revitalisation-Revitalisierung'!$A$4:$Z$275,25,FALSE)="","",VLOOKUP(A122,'Revitalisation-Revitalisierung'!$A$4:$Z$275,25,FALSE))</f>
        <v>Non nécessaire / nicht nötig</v>
      </c>
      <c r="J122" s="406" t="str">
        <f>IF(VLOOKUP(A122,'Revitalisation-Revitalisierung'!$A$4:$AA$275,27,FALSE)="","",VLOOKUP(A122,'Revitalisation-Revitalisierung'!$A$4:$AA$275,27,FALSE))</f>
        <v>a</v>
      </c>
      <c r="K122" s="407"/>
    </row>
    <row r="123" spans="1:11" ht="20.100000000000001" customHeight="1" x14ac:dyDescent="0.25">
      <c r="A123" s="927">
        <v>119.1</v>
      </c>
      <c r="B123" s="400" t="s">
        <v>584</v>
      </c>
      <c r="C123" s="400" t="s">
        <v>585</v>
      </c>
      <c r="D123" s="401" t="s">
        <v>573</v>
      </c>
      <c r="E123" s="402" t="str">
        <f>IF(VLOOKUP(A123,'Charriage - Geschiebehaushalt'!$A$4:$AC$275,28,FALSE)="","",VLOOKUP(A123,'Charriage - Geschiebehaushalt'!$A$4:$AC$275,28,FALSE))</f>
        <v>81-100%</v>
      </c>
      <c r="F123" s="403" t="str">
        <f>IF(VLOOKUP(A123,'Charriage - Geschiebehaushalt'!$A$4:$AD$275,30,FALSE)="","",VLOOKUP(A123,'Charriage - Geschiebehaushalt'!$A$4:$AD$275,30,FALSE))</f>
        <v>b</v>
      </c>
      <c r="G123" s="330" t="str">
        <f>IF(VLOOKUP(A123,'Débit - Abfluss'!$A$4:$AD$275,17,FALSE)="","",VLOOKUP(A123,'Débit - Abfluss'!$A$4:$AD$275,17,FALSE))</f>
        <v>100%</v>
      </c>
      <c r="H123" s="404" t="str">
        <f>IF(VLOOKUP(A123,'Eclusée - Schwall-Sunk'!$A$2:$F$273,6,FALSE)="","",VLOOKUP(A123,'Eclusée - Schwall-Sunk'!$A$2:$F$273,6,FALSE))</f>
        <v>Potentiellement affecté / möglicherweise betroffen</v>
      </c>
      <c r="I123" s="405" t="str">
        <f>IF(VLOOKUP(A123,'Revitalisation-Revitalisierung'!$A$4:$Z$275,25,FALSE)="","",VLOOKUP(A123,'Revitalisation-Revitalisierung'!$A$4:$Z$275,25,FALSE))</f>
        <v>Très nécessaire, facile / unbedingt nötig, einfach</v>
      </c>
      <c r="J123" s="406" t="str">
        <f>IF(VLOOKUP(A123,'Revitalisation-Revitalisierung'!$A$4:$AA$275,27,FALSE)="","",VLOOKUP(A123,'Revitalisation-Revitalisierung'!$A$4:$AA$275,27,FALSE))</f>
        <v>a</v>
      </c>
      <c r="K123" s="407"/>
    </row>
    <row r="124" spans="1:11" ht="20.100000000000001" customHeight="1" x14ac:dyDescent="0.25">
      <c r="A124" s="927">
        <v>119.2</v>
      </c>
      <c r="B124" s="400" t="s">
        <v>584</v>
      </c>
      <c r="C124" s="400" t="s">
        <v>585</v>
      </c>
      <c r="D124" s="401" t="s">
        <v>573</v>
      </c>
      <c r="E124" s="402" t="str">
        <f>IF(VLOOKUP(A124,'Charriage - Geschiebehaushalt'!$A$4:$AC$275,28,FALSE)="","",VLOOKUP(A124,'Charriage - Geschiebehaushalt'!$A$4:$AC$275,28,FALSE))</f>
        <v>0-20%</v>
      </c>
      <c r="F124" s="403" t="str">
        <f>IF(VLOOKUP(A124,'Charriage - Geschiebehaushalt'!$A$4:$AD$275,30,FALSE)="","",VLOOKUP(A124,'Charriage - Geschiebehaushalt'!$A$4:$AD$275,30,FALSE))</f>
        <v>a</v>
      </c>
      <c r="G124" s="330" t="str">
        <f>IF(VLOOKUP(A124,'Débit - Abfluss'!$A$4:$AD$275,17,FALSE)="","",VLOOKUP(A124,'Débit - Abfluss'!$A$4:$AD$275,17,FALSE))</f>
        <v>100%</v>
      </c>
      <c r="H124" s="404" t="str">
        <f>IF(VLOOKUP(A124,'Eclusée - Schwall-Sunk'!$A$2:$F$273,6,FALSE)="","",VLOOKUP(A124,'Eclusée - Schwall-Sunk'!$A$2:$F$273,6,FALSE))</f>
        <v>Potentiellement affecté / möglicherweise betroffen</v>
      </c>
      <c r="I124" s="405" t="str">
        <f>IF(VLOOKUP(A124,'Revitalisation-Revitalisierung'!$A$4:$Z$275,25,FALSE)="","",VLOOKUP(A124,'Revitalisation-Revitalisierung'!$A$4:$Z$275,25,FALSE))</f>
        <v>Très nécessaire, facile / unbedingt nötig, einfach</v>
      </c>
      <c r="J124" s="406" t="str">
        <f>IF(VLOOKUP(A124,'Revitalisation-Revitalisierung'!$A$4:$AA$275,27,FALSE)="","",VLOOKUP(A124,'Revitalisation-Revitalisierung'!$A$4:$AA$275,27,FALSE))</f>
        <v>a</v>
      </c>
      <c r="K124" s="407"/>
    </row>
    <row r="125" spans="1:11" ht="20.100000000000001" customHeight="1" x14ac:dyDescent="0.25">
      <c r="A125" s="927">
        <v>119.3</v>
      </c>
      <c r="B125" s="400" t="s">
        <v>584</v>
      </c>
      <c r="C125" s="400" t="s">
        <v>585</v>
      </c>
      <c r="D125" s="401" t="s">
        <v>573</v>
      </c>
      <c r="E125" s="402" t="str">
        <f>IF(VLOOKUP(A125,'Charriage - Geschiebehaushalt'!$A$4:$AC$275,28,FALSE)="","",VLOOKUP(A125,'Charriage - Geschiebehaushalt'!$A$4:$AC$275,28,FALSE))</f>
        <v>non pertinent / nicht relevant</v>
      </c>
      <c r="F125" s="403" t="str">
        <f>IF(VLOOKUP(A125,'Charriage - Geschiebehaushalt'!$A$4:$AD$275,30,FALSE)="","",VLOOKUP(A125,'Charriage - Geschiebehaushalt'!$A$4:$AD$275,30,FALSE))</f>
        <v>a</v>
      </c>
      <c r="G125" s="330" t="str">
        <f>IF(VLOOKUP(A125,'Débit - Abfluss'!$A$4:$AD$275,17,FALSE)="","",VLOOKUP(A125,'Débit - Abfluss'!$A$4:$AD$275,17,FALSE))</f>
        <v>non pertinent / nicht relevant</v>
      </c>
      <c r="H125" s="404" t="str">
        <f>IF(VLOOKUP(A125,'Eclusée - Schwall-Sunk'!$A$2:$F$273,6,FALSE)="","",VLOOKUP(A125,'Eclusée - Schwall-Sunk'!$A$2:$F$273,6,FALSE))</f>
        <v>Non affecté / nicht betroffen</v>
      </c>
      <c r="I125" s="405" t="str">
        <f>IF(VLOOKUP(A125,'Revitalisation-Revitalisierung'!$A$4:$Z$275,25,FALSE)="","",VLOOKUP(A125,'Revitalisation-Revitalisierung'!$A$4:$Z$275,25,FALSE))</f>
        <v>Non nécessaire / nicht nötig</v>
      </c>
      <c r="J125" s="406" t="str">
        <f>IF(VLOOKUP(A125,'Revitalisation-Revitalisierung'!$A$4:$AA$275,27,FALSE)="","",VLOOKUP(A125,'Revitalisation-Revitalisierung'!$A$4:$AA$275,27,FALSE))</f>
        <v>b</v>
      </c>
      <c r="K125" s="407"/>
    </row>
    <row r="126" spans="1:11" ht="20.100000000000001" customHeight="1" x14ac:dyDescent="0.25">
      <c r="A126" s="926">
        <v>120</v>
      </c>
      <c r="B126" s="400" t="s">
        <v>588</v>
      </c>
      <c r="C126" s="400" t="s">
        <v>589</v>
      </c>
      <c r="D126" s="401" t="s">
        <v>573</v>
      </c>
      <c r="E126" s="402" t="str">
        <f>IF(VLOOKUP(A126,'Charriage - Geschiebehaushalt'!$A$4:$AC$275,28,FALSE)="","",VLOOKUP(A126,'Charriage - Geschiebehaushalt'!$A$4:$AC$275,28,FALSE))</f>
        <v>0-20%</v>
      </c>
      <c r="F126" s="403" t="str">
        <f>IF(VLOOKUP(A126,'Charriage - Geschiebehaushalt'!$A$4:$AD$275,30,FALSE)="","",VLOOKUP(A126,'Charriage - Geschiebehaushalt'!$A$4:$AD$275,30,FALSE))</f>
        <v>a</v>
      </c>
      <c r="G126" s="330" t="str">
        <f>IF(VLOOKUP(A126,'Débit - Abfluss'!$A$4:$AD$275,17,FALSE)="","",VLOOKUP(A126,'Débit - Abfluss'!$A$4:$AD$275,17,FALSE))</f>
        <v>100%</v>
      </c>
      <c r="H126" s="404" t="str">
        <f>IF(VLOOKUP(A126,'Eclusée - Schwall-Sunk'!$A$2:$F$273,6,FALSE)="","",VLOOKUP(A126,'Eclusée - Schwall-Sunk'!$A$2:$F$273,6,FALSE))</f>
        <v>Non affecté / nicht betroffen</v>
      </c>
      <c r="I126" s="405" t="str">
        <f>IF(VLOOKUP(A126,'Revitalisation-Revitalisierung'!$A$4:$Z$275,25,FALSE)="","",VLOOKUP(A126,'Revitalisation-Revitalisierung'!$A$4:$Z$275,25,FALSE))</f>
        <v>Partiellement nécessaire, facile / teilweise nötig, einfach</v>
      </c>
      <c r="J126" s="406" t="str">
        <f>IF(VLOOKUP(A126,'Revitalisation-Revitalisierung'!$A$4:$AA$275,27,FALSE)="","",VLOOKUP(A126,'Revitalisation-Revitalisierung'!$A$4:$AA$275,27,FALSE))</f>
        <v>a</v>
      </c>
      <c r="K126" s="407"/>
    </row>
    <row r="127" spans="1:11" ht="20.100000000000001" customHeight="1" x14ac:dyDescent="0.25">
      <c r="A127" s="926">
        <v>121</v>
      </c>
      <c r="B127" s="400" t="s">
        <v>591</v>
      </c>
      <c r="C127" s="400" t="s">
        <v>589</v>
      </c>
      <c r="D127" s="401" t="s">
        <v>573</v>
      </c>
      <c r="E127" s="402" t="str">
        <f>IF(VLOOKUP(A127,'Charriage - Geschiebehaushalt'!$A$4:$AC$275,28,FALSE)="","",VLOOKUP(A127,'Charriage - Geschiebehaushalt'!$A$4:$AC$275,28,FALSE))</f>
        <v>0-20%</v>
      </c>
      <c r="F127" s="403" t="str">
        <f>IF(VLOOKUP(A127,'Charriage - Geschiebehaushalt'!$A$4:$AD$275,30,FALSE)="","",VLOOKUP(A127,'Charriage - Geschiebehaushalt'!$A$4:$AD$275,30,FALSE))</f>
        <v>a</v>
      </c>
      <c r="G127" s="330" t="str">
        <f>IF(VLOOKUP(A127,'Débit - Abfluss'!$A$4:$AD$275,17,FALSE)="","",VLOOKUP(A127,'Débit - Abfluss'!$A$4:$AD$275,17,FALSE))</f>
        <v>81-100%</v>
      </c>
      <c r="H127" s="404" t="str">
        <f>IF(VLOOKUP(A127,'Eclusée - Schwall-Sunk'!$A$2:$F$273,6,FALSE)="","",VLOOKUP(A127,'Eclusée - Schwall-Sunk'!$A$2:$F$273,6,FALSE))</f>
        <v>Non affecté / nicht betroffen</v>
      </c>
      <c r="I127" s="405" t="str">
        <f>IF(VLOOKUP(A127,'Revitalisation-Revitalisierung'!$A$4:$Z$275,25,FALSE)="","",VLOOKUP(A127,'Revitalisation-Revitalisierung'!$A$4:$Z$275,25,FALSE))</f>
        <v>Partiellement nécessaire, difficile / teilweise nötig, schwierig</v>
      </c>
      <c r="J127" s="406" t="str">
        <f>IF(VLOOKUP(A127,'Revitalisation-Revitalisierung'!$A$4:$AA$275,27,FALSE)="","",VLOOKUP(A127,'Revitalisation-Revitalisierung'!$A$4:$AA$275,27,FALSE))</f>
        <v>b</v>
      </c>
      <c r="K127" s="407"/>
    </row>
    <row r="128" spans="1:11" ht="20.100000000000001" customHeight="1" x14ac:dyDescent="0.25">
      <c r="A128" s="926">
        <v>122</v>
      </c>
      <c r="B128" s="400" t="s">
        <v>593</v>
      </c>
      <c r="C128" s="400" t="s">
        <v>589</v>
      </c>
      <c r="D128" s="401" t="s">
        <v>573</v>
      </c>
      <c r="E128" s="402" t="str">
        <f>IF(VLOOKUP(A128,'Charriage - Geschiebehaushalt'!$A$4:$AC$275,28,FALSE)="","",VLOOKUP(A128,'Charriage - Geschiebehaushalt'!$A$4:$AC$275,28,FALSE))</f>
        <v>0-20%</v>
      </c>
      <c r="F128" s="403" t="str">
        <f>IF(VLOOKUP(A128,'Charriage - Geschiebehaushalt'!$A$4:$AD$275,30,FALSE)="","",VLOOKUP(A128,'Charriage - Geschiebehaushalt'!$A$4:$AD$275,30,FALSE))</f>
        <v>a</v>
      </c>
      <c r="G128" s="330" t="str">
        <f>IF(VLOOKUP(A128,'Débit - Abfluss'!$A$4:$AD$275,17,FALSE)="","",VLOOKUP(A128,'Débit - Abfluss'!$A$4:$AD$275,17,FALSE))</f>
        <v>100%</v>
      </c>
      <c r="H128" s="404" t="str">
        <f>IF(VLOOKUP(A128,'Eclusée - Schwall-Sunk'!$A$2:$F$273,6,FALSE)="","",VLOOKUP(A128,'Eclusée - Schwall-Sunk'!$A$2:$F$273,6,FALSE))</f>
        <v>Non affecté / nicht betroffen</v>
      </c>
      <c r="I128" s="405" t="str">
        <f>IF(VLOOKUP(A128,'Revitalisation-Revitalisierung'!$A$4:$Z$275,25,FALSE)="","",VLOOKUP(A128,'Revitalisation-Revitalisierung'!$A$4:$Z$275,25,FALSE))</f>
        <v>Très nécessaire, facile / unbedingt nötig, einfach</v>
      </c>
      <c r="J128" s="406" t="str">
        <f>IF(VLOOKUP(A128,'Revitalisation-Revitalisierung'!$A$4:$AA$275,27,FALSE)="","",VLOOKUP(A128,'Revitalisation-Revitalisierung'!$A$4:$AA$275,27,FALSE))</f>
        <v>a</v>
      </c>
      <c r="K128" s="407"/>
    </row>
    <row r="129" spans="1:11" ht="20.100000000000001" customHeight="1" x14ac:dyDescent="0.25">
      <c r="A129" s="927">
        <v>123.1</v>
      </c>
      <c r="B129" s="400" t="s">
        <v>596</v>
      </c>
      <c r="C129" s="400" t="s">
        <v>597</v>
      </c>
      <c r="D129" s="401" t="s">
        <v>573</v>
      </c>
      <c r="E129" s="402" t="str">
        <f>IF(VLOOKUP(A129,'Charriage - Geschiebehaushalt'!$A$4:$AC$275,28,FALSE)="","",VLOOKUP(A129,'Charriage - Geschiebehaushalt'!$A$4:$AC$275,28,FALSE))</f>
        <v>21-50%</v>
      </c>
      <c r="F129" s="403" t="str">
        <f>IF(VLOOKUP(A129,'Charriage - Geschiebehaushalt'!$A$4:$AD$275,30,FALSE)="","",VLOOKUP(A129,'Charriage - Geschiebehaushalt'!$A$4:$AD$275,30,FALSE))</f>
        <v>a</v>
      </c>
      <c r="G129" s="330" t="str">
        <f>IF(VLOOKUP(A129,'Débit - Abfluss'!$A$4:$AD$275,17,FALSE)="","",VLOOKUP(A129,'Débit - Abfluss'!$A$4:$AD$275,17,FALSE))</f>
        <v>81-100%</v>
      </c>
      <c r="H129" s="404" t="str">
        <f>IF(VLOOKUP(A129,'Eclusée - Schwall-Sunk'!$A$2:$F$273,6,FALSE)="","",VLOOKUP(A129,'Eclusée - Schwall-Sunk'!$A$2:$F$273,6,FALSE))</f>
        <v>Potentiellement affecté / möglicherweise betroffen</v>
      </c>
      <c r="I129" s="405" t="str">
        <f>IF(VLOOKUP(A129,'Revitalisation-Revitalisierung'!$A$4:$Z$275,25,FALSE)="","",VLOOKUP(A129,'Revitalisation-Revitalisierung'!$A$4:$Z$275,25,FALSE))</f>
        <v>Très nécessaire, facile / unbedingt nötig, einfach</v>
      </c>
      <c r="J129" s="406" t="str">
        <f>IF(VLOOKUP(A129,'Revitalisation-Revitalisierung'!$A$4:$AA$275,27,FALSE)="","",VLOOKUP(A129,'Revitalisation-Revitalisierung'!$A$4:$AA$275,27,FALSE))</f>
        <v>a</v>
      </c>
      <c r="K129" s="407"/>
    </row>
    <row r="130" spans="1:11" ht="20.100000000000001" customHeight="1" x14ac:dyDescent="0.25">
      <c r="A130" s="927">
        <v>123.2</v>
      </c>
      <c r="B130" s="400" t="s">
        <v>596</v>
      </c>
      <c r="C130" s="400" t="s">
        <v>597</v>
      </c>
      <c r="D130" s="401" t="s">
        <v>573</v>
      </c>
      <c r="E130" s="402" t="str">
        <f>IF(VLOOKUP(A130,'Charriage - Geschiebehaushalt'!$A$4:$AC$275,28,FALSE)="","",VLOOKUP(A130,'Charriage - Geschiebehaushalt'!$A$4:$AC$275,28,FALSE))</f>
        <v>0-20%</v>
      </c>
      <c r="F130" s="403" t="str">
        <f>IF(VLOOKUP(A130,'Charriage - Geschiebehaushalt'!$A$4:$AD$275,30,FALSE)="","",VLOOKUP(A130,'Charriage - Geschiebehaushalt'!$A$4:$AD$275,30,FALSE))</f>
        <v>a</v>
      </c>
      <c r="G130" s="330" t="str">
        <f>IF(VLOOKUP(A130,'Débit - Abfluss'!$A$4:$AD$275,17,FALSE)="","",VLOOKUP(A130,'Débit - Abfluss'!$A$4:$AD$275,17,FALSE))</f>
        <v>81-100%</v>
      </c>
      <c r="H130" s="404" t="str">
        <f>IF(VLOOKUP(A130,'Eclusée - Schwall-Sunk'!$A$2:$F$273,6,FALSE)="","",VLOOKUP(A130,'Eclusée - Schwall-Sunk'!$A$2:$F$273,6,FALSE))</f>
        <v>Potentiellement affecté / möglicherweise betroffen</v>
      </c>
      <c r="I130" s="405" t="str">
        <f>IF(VLOOKUP(A130,'Revitalisation-Revitalisierung'!$A$4:$Z$275,25,FALSE)="","",VLOOKUP(A130,'Revitalisation-Revitalisierung'!$A$4:$Z$275,25,FALSE))</f>
        <v>Très nécessaire, facile / unbedingt nötig, einfach</v>
      </c>
      <c r="J130" s="406" t="str">
        <f>IF(VLOOKUP(A130,'Revitalisation-Revitalisierung'!$A$4:$AA$275,27,FALSE)="","",VLOOKUP(A130,'Revitalisation-Revitalisierung'!$A$4:$AA$275,27,FALSE))</f>
        <v>a</v>
      </c>
      <c r="K130" s="407"/>
    </row>
    <row r="131" spans="1:11" ht="20.100000000000001" customHeight="1" x14ac:dyDescent="0.25">
      <c r="A131" s="927">
        <v>123.3</v>
      </c>
      <c r="B131" s="400" t="s">
        <v>596</v>
      </c>
      <c r="C131" s="400" t="s">
        <v>597</v>
      </c>
      <c r="D131" s="401" t="s">
        <v>573</v>
      </c>
      <c r="E131" s="402" t="str">
        <f>IF(VLOOKUP(A131,'Charriage - Geschiebehaushalt'!$A$4:$AC$275,28,FALSE)="","",VLOOKUP(A131,'Charriage - Geschiebehaushalt'!$A$4:$AC$275,28,FALSE))</f>
        <v>non pertinent / nicht relevant</v>
      </c>
      <c r="F131" s="403" t="str">
        <f>IF(VLOOKUP(A131,'Charriage - Geschiebehaushalt'!$A$4:$AD$275,30,FALSE)="","",VLOOKUP(A131,'Charriage - Geschiebehaushalt'!$A$4:$AD$275,30,FALSE))</f>
        <v>a</v>
      </c>
      <c r="G131" s="330" t="str">
        <f>IF(VLOOKUP(A131,'Débit - Abfluss'!$A$4:$AD$275,17,FALSE)="","",VLOOKUP(A131,'Débit - Abfluss'!$A$4:$AD$275,17,FALSE))</f>
        <v>non pertinent / nicht relevant</v>
      </c>
      <c r="H131" s="404" t="str">
        <f>IF(VLOOKUP(A131,'Eclusée - Schwall-Sunk'!$A$2:$F$273,6,FALSE)="","",VLOOKUP(A131,'Eclusée - Schwall-Sunk'!$A$2:$F$273,6,FALSE))</f>
        <v>Non affecté / nicht betroffen</v>
      </c>
      <c r="I131" s="405" t="str">
        <f>IF(VLOOKUP(A131,'Revitalisation-Revitalisierung'!$A$4:$Z$275,25,FALSE)="","",VLOOKUP(A131,'Revitalisation-Revitalisierung'!$A$4:$Z$275,25,FALSE))</f>
        <v>Non nécessaire / nicht nötig</v>
      </c>
      <c r="J131" s="406" t="str">
        <f>IF(VLOOKUP(A131,'Revitalisation-Revitalisierung'!$A$4:$AA$275,27,FALSE)="","",VLOOKUP(A131,'Revitalisation-Revitalisierung'!$A$4:$AA$275,27,FALSE))</f>
        <v>a</v>
      </c>
      <c r="K131" s="407"/>
    </row>
    <row r="132" spans="1:11" ht="20.100000000000001" customHeight="1" x14ac:dyDescent="0.25">
      <c r="A132" s="926">
        <v>124</v>
      </c>
      <c r="B132" s="400" t="s">
        <v>598</v>
      </c>
      <c r="C132" s="400" t="s">
        <v>599</v>
      </c>
      <c r="D132" s="401" t="s">
        <v>573</v>
      </c>
      <c r="E132" s="402" t="str">
        <f>IF(VLOOKUP(A132,'Charriage - Geschiebehaushalt'!$A$4:$AC$275,28,FALSE)="","",VLOOKUP(A132,'Charriage - Geschiebehaushalt'!$A$4:$AC$275,28,FALSE))</f>
        <v>0-20%</v>
      </c>
      <c r="F132" s="403" t="str">
        <f>IF(VLOOKUP(A132,'Charriage - Geschiebehaushalt'!$A$4:$AD$275,30,FALSE)="","",VLOOKUP(A132,'Charriage - Geschiebehaushalt'!$A$4:$AD$275,30,FALSE))</f>
        <v>a</v>
      </c>
      <c r="G132" s="330" t="str">
        <f>IF(VLOOKUP(A132,'Débit - Abfluss'!$A$4:$AD$275,17,FALSE)="","",VLOOKUP(A132,'Débit - Abfluss'!$A$4:$AD$275,17,FALSE))</f>
        <v>81-100%</v>
      </c>
      <c r="H132" s="404" t="str">
        <f>IF(VLOOKUP(A132,'Eclusée - Schwall-Sunk'!$A$2:$F$273,6,FALSE)="","",VLOOKUP(A132,'Eclusée - Schwall-Sunk'!$A$2:$F$273,6,FALSE))</f>
        <v>Potentiellement affecté / möglicherweise betroffen</v>
      </c>
      <c r="I132" s="405" t="str">
        <f>IF(VLOOKUP(A132,'Revitalisation-Revitalisierung'!$A$4:$Z$275,25,FALSE)="","",VLOOKUP(A132,'Revitalisation-Revitalisierung'!$A$4:$Z$275,25,FALSE))</f>
        <v>Très nécessaire, facile / unbedingt nötig, einfach</v>
      </c>
      <c r="J132" s="406" t="str">
        <f>IF(VLOOKUP(A132,'Revitalisation-Revitalisierung'!$A$4:$AA$275,27,FALSE)="","",VLOOKUP(A132,'Revitalisation-Revitalisierung'!$A$4:$AA$275,27,FALSE))</f>
        <v>a</v>
      </c>
      <c r="K132" s="407"/>
    </row>
    <row r="133" spans="1:11" ht="20.100000000000001" customHeight="1" x14ac:dyDescent="0.25">
      <c r="A133" s="926">
        <v>125</v>
      </c>
      <c r="B133" s="400" t="s">
        <v>626</v>
      </c>
      <c r="C133" s="400" t="s">
        <v>627</v>
      </c>
      <c r="D133" s="401" t="s">
        <v>625</v>
      </c>
      <c r="E133" s="402" t="str">
        <f>IF(VLOOKUP(A133,'Charriage - Geschiebehaushalt'!$A$4:$AC$275,28,FALSE)="","",VLOOKUP(A133,'Charriage - Geschiebehaushalt'!$A$4:$AC$275,28,FALSE))</f>
        <v>0-20%</v>
      </c>
      <c r="F133" s="403" t="str">
        <f>IF(VLOOKUP(A133,'Charriage - Geschiebehaushalt'!$A$4:$AD$275,30,FALSE)="","",VLOOKUP(A133,'Charriage - Geschiebehaushalt'!$A$4:$AD$275,30,FALSE))</f>
        <v>b</v>
      </c>
      <c r="G133" s="330" t="str">
        <f>IF(VLOOKUP(A133,'Débit - Abfluss'!$A$4:$AD$275,17,FALSE)="","",VLOOKUP(A133,'Débit - Abfluss'!$A$4:$AD$275,17,FALSE))</f>
        <v>100%</v>
      </c>
      <c r="H133" s="404" t="str">
        <f>IF(VLOOKUP(A133,'Eclusée - Schwall-Sunk'!$A$2:$F$273,6,FALSE)="","",VLOOKUP(A133,'Eclusée - Schwall-Sunk'!$A$2:$F$273,6,FALSE))</f>
        <v>Non affecté / nicht betroffen</v>
      </c>
      <c r="I133" s="405" t="str">
        <f>IF(VLOOKUP(A133,'Revitalisation-Revitalisierung'!$A$4:$Z$275,25,FALSE)="","",VLOOKUP(A133,'Revitalisation-Revitalisierung'!$A$4:$Z$275,25,FALSE))</f>
        <v>Non nécessaire / nicht nötig</v>
      </c>
      <c r="J133" s="406" t="str">
        <f>IF(VLOOKUP(A133,'Revitalisation-Revitalisierung'!$A$4:$AA$275,27,FALSE)="","",VLOOKUP(A133,'Revitalisation-Revitalisierung'!$A$4:$AA$275,27,FALSE))</f>
        <v>a</v>
      </c>
      <c r="K133" s="407"/>
    </row>
    <row r="134" spans="1:11" ht="20.100000000000001" customHeight="1" x14ac:dyDescent="0.25">
      <c r="A134" s="926">
        <v>127</v>
      </c>
      <c r="B134" s="400" t="s">
        <v>630</v>
      </c>
      <c r="C134" s="400" t="s">
        <v>631</v>
      </c>
      <c r="D134" s="401" t="s">
        <v>625</v>
      </c>
      <c r="E134" s="402" t="str">
        <f>IF(VLOOKUP(A134,'Charriage - Geschiebehaushalt'!$A$4:$AC$275,28,FALSE)="","",VLOOKUP(A134,'Charriage - Geschiebehaushalt'!$A$4:$AC$275,28,FALSE))</f>
        <v>21-50%</v>
      </c>
      <c r="F134" s="403" t="str">
        <f>IF(VLOOKUP(A134,'Charriage - Geschiebehaushalt'!$A$4:$AD$275,30,FALSE)="","",VLOOKUP(A134,'Charriage - Geschiebehaushalt'!$A$4:$AD$275,30,FALSE))</f>
        <v>a</v>
      </c>
      <c r="G134" s="330" t="str">
        <f>IF(VLOOKUP(A134,'Débit - Abfluss'!$A$4:$AD$275,17,FALSE)="","",VLOOKUP(A134,'Débit - Abfluss'!$A$4:$AD$275,17,FALSE))</f>
        <v>21-40%</v>
      </c>
      <c r="H134" s="404" t="str">
        <f>IF(VLOOKUP(A134,'Eclusée - Schwall-Sunk'!$A$2:$F$273,6,FALSE)="","",VLOOKUP(A134,'Eclusée - Schwall-Sunk'!$A$2:$F$273,6,FALSE))</f>
        <v>Non affecté / nicht betroffen</v>
      </c>
      <c r="I134" s="405" t="str">
        <f>IF(VLOOKUP(A134,'Revitalisation-Revitalisierung'!$A$4:$Z$275,25,FALSE)="","",VLOOKUP(A134,'Revitalisation-Revitalisierung'!$A$4:$Z$275,25,FALSE))</f>
        <v>Très nécessaire, facile / unbedingt nötig, einfach</v>
      </c>
      <c r="J134" s="406" t="str">
        <f>IF(VLOOKUP(A134,'Revitalisation-Revitalisierung'!$A$4:$AA$275,27,FALSE)="","",VLOOKUP(A134,'Revitalisation-Revitalisierung'!$A$4:$AA$275,27,FALSE))</f>
        <v>a</v>
      </c>
      <c r="K134" s="407"/>
    </row>
    <row r="135" spans="1:11" ht="20.100000000000001" customHeight="1" x14ac:dyDescent="0.25">
      <c r="A135" s="926">
        <v>128</v>
      </c>
      <c r="B135" s="400" t="s">
        <v>635</v>
      </c>
      <c r="C135" s="400" t="s">
        <v>636</v>
      </c>
      <c r="D135" s="401" t="s">
        <v>625</v>
      </c>
      <c r="E135" s="402" t="str">
        <f>IF(VLOOKUP(A135,'Charriage - Geschiebehaushalt'!$A$4:$AC$275,28,FALSE)="","",VLOOKUP(A135,'Charriage - Geschiebehaushalt'!$A$4:$AC$275,28,FALSE))</f>
        <v>0-20%</v>
      </c>
      <c r="F135" s="403" t="str">
        <f>IF(VLOOKUP(A135,'Charriage - Geschiebehaushalt'!$A$4:$AD$275,30,FALSE)="","",VLOOKUP(A135,'Charriage - Geschiebehaushalt'!$A$4:$AD$275,30,FALSE))</f>
        <v>a</v>
      </c>
      <c r="G135" s="330" t="str">
        <f>IF(VLOOKUP(A135,'Débit - Abfluss'!$A$4:$AD$275,17,FALSE)="","",VLOOKUP(A135,'Débit - Abfluss'!$A$4:$AD$275,17,FALSE))</f>
        <v>21-40%</v>
      </c>
      <c r="H135" s="404" t="str">
        <f>IF(VLOOKUP(A135,'Eclusée - Schwall-Sunk'!$A$2:$F$273,6,FALSE)="","",VLOOKUP(A135,'Eclusée - Schwall-Sunk'!$A$2:$F$273,6,FALSE))</f>
        <v>Non affecté / nicht betroffen</v>
      </c>
      <c r="I135" s="405" t="str">
        <f>IF(VLOOKUP(A135,'Revitalisation-Revitalisierung'!$A$4:$Z$275,25,FALSE)="","",VLOOKUP(A135,'Revitalisation-Revitalisierung'!$A$4:$Z$275,25,FALSE))</f>
        <v>Non nécessaire / nicht nötig</v>
      </c>
      <c r="J135" s="406" t="str">
        <f>IF(VLOOKUP(A135,'Revitalisation-Revitalisierung'!$A$4:$AA$275,27,FALSE)="","",VLOOKUP(A135,'Revitalisation-Revitalisierung'!$A$4:$AA$275,27,FALSE))</f>
        <v>a</v>
      </c>
      <c r="K135" s="407"/>
    </row>
    <row r="136" spans="1:11" ht="20.100000000000001" customHeight="1" x14ac:dyDescent="0.25">
      <c r="A136" s="926">
        <v>129</v>
      </c>
      <c r="B136" s="400" t="s">
        <v>639</v>
      </c>
      <c r="C136" s="400" t="s">
        <v>636</v>
      </c>
      <c r="D136" s="401" t="s">
        <v>625</v>
      </c>
      <c r="E136" s="402" t="str">
        <f>IF(VLOOKUP(A136,'Charriage - Geschiebehaushalt'!$A$4:$AC$275,28,FALSE)="","",VLOOKUP(A136,'Charriage - Geschiebehaushalt'!$A$4:$AC$275,28,FALSE))</f>
        <v>21-50%</v>
      </c>
      <c r="F136" s="403" t="str">
        <f>IF(VLOOKUP(A136,'Charriage - Geschiebehaushalt'!$A$4:$AD$275,30,FALSE)="","",VLOOKUP(A136,'Charriage - Geschiebehaushalt'!$A$4:$AD$275,30,FALSE))</f>
        <v>a</v>
      </c>
      <c r="G136" s="330" t="str">
        <f>IF(VLOOKUP(A136,'Débit - Abfluss'!$A$4:$AD$275,17,FALSE)="","",VLOOKUP(A136,'Débit - Abfluss'!$A$4:$AD$275,17,FALSE))</f>
        <v>0-20%</v>
      </c>
      <c r="H136" s="404" t="str">
        <f>IF(VLOOKUP(A136,'Eclusée - Schwall-Sunk'!$A$2:$F$273,6,FALSE)="","",VLOOKUP(A136,'Eclusée - Schwall-Sunk'!$A$2:$F$273,6,FALSE))</f>
        <v>Non affecté / nicht betroffen</v>
      </c>
      <c r="I136" s="405" t="str">
        <f>IF(VLOOKUP(A136,'Revitalisation-Revitalisierung'!$A$4:$Z$275,25,FALSE)="","",VLOOKUP(A136,'Revitalisation-Revitalisierung'!$A$4:$Z$275,25,FALSE))</f>
        <v>Partiellement nécessaire, facile / teilweise nötig, einfach</v>
      </c>
      <c r="J136" s="406" t="str">
        <f>IF(VLOOKUP(A136,'Revitalisation-Revitalisierung'!$A$4:$AA$275,27,FALSE)="","",VLOOKUP(A136,'Revitalisation-Revitalisierung'!$A$4:$AA$275,27,FALSE))</f>
        <v>a</v>
      </c>
      <c r="K136" s="407"/>
    </row>
    <row r="137" spans="1:11" ht="20.100000000000001" customHeight="1" x14ac:dyDescent="0.25">
      <c r="A137" s="926">
        <v>130</v>
      </c>
      <c r="B137" s="400" t="s">
        <v>640</v>
      </c>
      <c r="C137" s="400" t="s">
        <v>641</v>
      </c>
      <c r="D137" s="401" t="s">
        <v>625</v>
      </c>
      <c r="E137" s="402" t="str">
        <f>IF(VLOOKUP(A137,'Charriage - Geschiebehaushalt'!$A$4:$AC$275,28,FALSE)="","",VLOOKUP(A137,'Charriage - Geschiebehaushalt'!$A$4:$AC$275,28,FALSE))</f>
        <v>21-50%</v>
      </c>
      <c r="F137" s="403" t="str">
        <f>IF(VLOOKUP(A137,'Charriage - Geschiebehaushalt'!$A$4:$AD$275,30,FALSE)="","",VLOOKUP(A137,'Charriage - Geschiebehaushalt'!$A$4:$AD$275,30,FALSE))</f>
        <v>a</v>
      </c>
      <c r="G137" s="330" t="str">
        <f>IF(VLOOKUP(A137,'Débit - Abfluss'!$A$4:$AD$275,17,FALSE)="","",VLOOKUP(A137,'Débit - Abfluss'!$A$4:$AD$275,17,FALSE))</f>
        <v>0-20%</v>
      </c>
      <c r="H137" s="404" t="str">
        <f>IF(VLOOKUP(A137,'Eclusée - Schwall-Sunk'!$A$2:$F$273,6,FALSE)="","",VLOOKUP(A137,'Eclusée - Schwall-Sunk'!$A$2:$F$273,6,FALSE))</f>
        <v>Non affecté / nicht betroffen</v>
      </c>
      <c r="I137" s="405" t="str">
        <f>IF(VLOOKUP(A137,'Revitalisation-Revitalisierung'!$A$4:$Z$275,25,FALSE)="","",VLOOKUP(A137,'Revitalisation-Revitalisierung'!$A$4:$Z$275,25,FALSE))</f>
        <v>Partiellement nécessaire, facile / teilweise nötig, einfach</v>
      </c>
      <c r="J137" s="406" t="str">
        <f>IF(VLOOKUP(A137,'Revitalisation-Revitalisierung'!$A$4:$AA$275,27,FALSE)="","",VLOOKUP(A137,'Revitalisation-Revitalisierung'!$A$4:$AA$275,27,FALSE))</f>
        <v>a</v>
      </c>
      <c r="K137" s="407"/>
    </row>
    <row r="138" spans="1:11" ht="20.100000000000001" customHeight="1" x14ac:dyDescent="0.25">
      <c r="A138" s="926">
        <v>131</v>
      </c>
      <c r="B138" s="400" t="s">
        <v>642</v>
      </c>
      <c r="C138" s="400" t="s">
        <v>641</v>
      </c>
      <c r="D138" s="401" t="s">
        <v>625</v>
      </c>
      <c r="E138" s="402" t="str">
        <f>IF(VLOOKUP(A138,'Charriage - Geschiebehaushalt'!$A$4:$AC$275,28,FALSE)="","",VLOOKUP(A138,'Charriage - Geschiebehaushalt'!$A$4:$AC$275,28,FALSE))</f>
        <v>21-50%</v>
      </c>
      <c r="F138" s="403" t="str">
        <f>IF(VLOOKUP(A138,'Charriage - Geschiebehaushalt'!$A$4:$AD$275,30,FALSE)="","",VLOOKUP(A138,'Charriage - Geschiebehaushalt'!$A$4:$AD$275,30,FALSE))</f>
        <v>a</v>
      </c>
      <c r="G138" s="330" t="str">
        <f>IF(VLOOKUP(A138,'Débit - Abfluss'!$A$4:$AD$275,17,FALSE)="","",VLOOKUP(A138,'Débit - Abfluss'!$A$4:$AD$275,17,FALSE))</f>
        <v>0-20%</v>
      </c>
      <c r="H138" s="404" t="str">
        <f>IF(VLOOKUP(A138,'Eclusée - Schwall-Sunk'!$A$2:$F$273,6,FALSE)="","",VLOOKUP(A138,'Eclusée - Schwall-Sunk'!$A$2:$F$273,6,FALSE))</f>
        <v>Non affecté / nicht betroffen</v>
      </c>
      <c r="I138" s="405" t="str">
        <f>IF(VLOOKUP(A138,'Revitalisation-Revitalisierung'!$A$4:$Z$275,25,FALSE)="","",VLOOKUP(A138,'Revitalisation-Revitalisierung'!$A$4:$Z$275,25,FALSE))</f>
        <v>Partiellement nécessaire, facile / teilweise nötig, einfach</v>
      </c>
      <c r="J138" s="406" t="str">
        <f>IF(VLOOKUP(A138,'Revitalisation-Revitalisierung'!$A$4:$AA$275,27,FALSE)="","",VLOOKUP(A138,'Revitalisation-Revitalisierung'!$A$4:$AA$275,27,FALSE))</f>
        <v>a</v>
      </c>
      <c r="K138" s="407"/>
    </row>
    <row r="139" spans="1:11" ht="20.100000000000001" customHeight="1" x14ac:dyDescent="0.25">
      <c r="A139" s="926">
        <v>132</v>
      </c>
      <c r="B139" s="400" t="s">
        <v>643</v>
      </c>
      <c r="C139" s="400" t="s">
        <v>644</v>
      </c>
      <c r="D139" s="401" t="s">
        <v>625</v>
      </c>
      <c r="E139" s="402" t="str">
        <f>IF(VLOOKUP(A139,'Charriage - Geschiebehaushalt'!$A$4:$AC$275,28,FALSE)="","",VLOOKUP(A139,'Charriage - Geschiebehaushalt'!$A$4:$AC$275,28,FALSE))</f>
        <v>0-20%</v>
      </c>
      <c r="F139" s="403" t="str">
        <f>IF(VLOOKUP(A139,'Charriage - Geschiebehaushalt'!$A$4:$AD$275,30,FALSE)="","",VLOOKUP(A139,'Charriage - Geschiebehaushalt'!$A$4:$AD$275,30,FALSE))</f>
        <v>a</v>
      </c>
      <c r="G139" s="330" t="str">
        <f>IF(VLOOKUP(A139,'Débit - Abfluss'!$A$4:$AD$275,17,FALSE)="","",VLOOKUP(A139,'Débit - Abfluss'!$A$4:$AD$275,17,FALSE))</f>
        <v>100%</v>
      </c>
      <c r="H139" s="404" t="str">
        <f>IF(VLOOKUP(A139,'Eclusée - Schwall-Sunk'!$A$2:$F$273,6,FALSE)="","",VLOOKUP(A139,'Eclusée - Schwall-Sunk'!$A$2:$F$273,6,FALSE))</f>
        <v>Non affecté / nicht betroffen</v>
      </c>
      <c r="I139" s="405" t="str">
        <f>IF(VLOOKUP(A139,'Revitalisation-Revitalisierung'!$A$4:$Z$275,25,FALSE)="","",VLOOKUP(A139,'Revitalisation-Revitalisierung'!$A$4:$Z$275,25,FALSE))</f>
        <v>Partiellement nécessaire, facile / teilweise nötig, einfach</v>
      </c>
      <c r="J139" s="406" t="str">
        <f>IF(VLOOKUP(A139,'Revitalisation-Revitalisierung'!$A$4:$AA$275,27,FALSE)="","",VLOOKUP(A139,'Revitalisation-Revitalisierung'!$A$4:$AA$275,27,FALSE))</f>
        <v>a</v>
      </c>
      <c r="K139" s="407"/>
    </row>
    <row r="140" spans="1:11" ht="20.100000000000001" customHeight="1" x14ac:dyDescent="0.25">
      <c r="A140" s="926">
        <v>133</v>
      </c>
      <c r="B140" s="400" t="s">
        <v>646</v>
      </c>
      <c r="C140" s="400" t="s">
        <v>647</v>
      </c>
      <c r="D140" s="401" t="s">
        <v>625</v>
      </c>
      <c r="E140" s="402" t="str">
        <f>IF(VLOOKUP(A140,'Charriage - Geschiebehaushalt'!$A$4:$AC$275,28,FALSE)="","",VLOOKUP(A140,'Charriage - Geschiebehaushalt'!$A$4:$AC$275,28,FALSE))</f>
        <v>21-50%</v>
      </c>
      <c r="F140" s="403" t="str">
        <f>IF(VLOOKUP(A140,'Charriage - Geschiebehaushalt'!$A$4:$AD$275,30,FALSE)="","",VLOOKUP(A140,'Charriage - Geschiebehaushalt'!$A$4:$AD$275,30,FALSE))</f>
        <v>a</v>
      </c>
      <c r="G140" s="330" t="str">
        <f>IF(VLOOKUP(A140,'Débit - Abfluss'!$A$4:$AD$275,17,FALSE)="","",VLOOKUP(A140,'Débit - Abfluss'!$A$4:$AD$275,17,FALSE))</f>
        <v>21-40%</v>
      </c>
      <c r="H140" s="404" t="str">
        <f>IF(VLOOKUP(A140,'Eclusée - Schwall-Sunk'!$A$2:$F$273,6,FALSE)="","",VLOOKUP(A140,'Eclusée - Schwall-Sunk'!$A$2:$F$273,6,FALSE))</f>
        <v>Potentiellement affecté / möglicherweise betroffen</v>
      </c>
      <c r="I140" s="405" t="str">
        <f>IF(VLOOKUP(A140,'Revitalisation-Revitalisierung'!$A$4:$Z$275,25,FALSE)="","",VLOOKUP(A140,'Revitalisation-Revitalisierung'!$A$4:$Z$275,25,FALSE))</f>
        <v>Très nécessaire, facile / unbedingt nötig, einfach</v>
      </c>
      <c r="J140" s="406" t="str">
        <f>IF(VLOOKUP(A140,'Revitalisation-Revitalisierung'!$A$4:$AA$275,27,FALSE)="","",VLOOKUP(A140,'Revitalisation-Revitalisierung'!$A$4:$AA$275,27,FALSE))</f>
        <v>a</v>
      </c>
      <c r="K140" s="407"/>
    </row>
    <row r="141" spans="1:11" ht="20.100000000000001" customHeight="1" x14ac:dyDescent="0.25">
      <c r="A141" s="926">
        <v>134</v>
      </c>
      <c r="B141" s="400" t="s">
        <v>649</v>
      </c>
      <c r="C141" s="400" t="s">
        <v>650</v>
      </c>
      <c r="D141" s="401" t="s">
        <v>625</v>
      </c>
      <c r="E141" s="402" t="str">
        <f>IF(VLOOKUP(A141,'Charriage - Geschiebehaushalt'!$A$4:$AC$275,28,FALSE)="","",VLOOKUP(A141,'Charriage - Geschiebehaushalt'!$A$4:$AC$275,28,FALSE))</f>
        <v>0-20%</v>
      </c>
      <c r="F141" s="403" t="str">
        <f>IF(VLOOKUP(A141,'Charriage - Geschiebehaushalt'!$A$4:$AD$275,30,FALSE)="","",VLOOKUP(A141,'Charriage - Geschiebehaushalt'!$A$4:$AD$275,30,FALSE))</f>
        <v>a</v>
      </c>
      <c r="G141" s="330" t="str">
        <f>IF(VLOOKUP(A141,'Débit - Abfluss'!$A$4:$AD$275,17,FALSE)="","",VLOOKUP(A141,'Débit - Abfluss'!$A$4:$AD$275,17,FALSE))</f>
        <v>100%</v>
      </c>
      <c r="H141" s="404" t="str">
        <f>IF(VLOOKUP(A141,'Eclusée - Schwall-Sunk'!$A$2:$F$273,6,FALSE)="","",VLOOKUP(A141,'Eclusée - Schwall-Sunk'!$A$2:$F$273,6,FALSE))</f>
        <v>Non affecté / nicht betroffen</v>
      </c>
      <c r="I141" s="405" t="str">
        <f>IF(VLOOKUP(A141,'Revitalisation-Revitalisierung'!$A$4:$Z$275,25,FALSE)="","",VLOOKUP(A141,'Revitalisation-Revitalisierung'!$A$4:$Z$275,25,FALSE))</f>
        <v>Très nécessaire, facile / unbedingt nötig, einfach</v>
      </c>
      <c r="J141" s="406" t="str">
        <f>IF(VLOOKUP(A141,'Revitalisation-Revitalisierung'!$A$4:$AA$275,27,FALSE)="","",VLOOKUP(A141,'Revitalisation-Revitalisierung'!$A$4:$AA$275,27,FALSE))</f>
        <v>a</v>
      </c>
      <c r="K141" s="407"/>
    </row>
    <row r="142" spans="1:11" ht="20.100000000000001" customHeight="1" x14ac:dyDescent="0.25">
      <c r="A142" s="926">
        <v>135</v>
      </c>
      <c r="B142" s="400" t="s">
        <v>652</v>
      </c>
      <c r="C142" s="400" t="s">
        <v>650</v>
      </c>
      <c r="D142" s="401" t="s">
        <v>625</v>
      </c>
      <c r="E142" s="402" t="str">
        <f>IF(VLOOKUP(A142,'Charriage - Geschiebehaushalt'!$A$4:$AC$275,28,FALSE)="","",VLOOKUP(A142,'Charriage - Geschiebehaushalt'!$A$4:$AC$275,28,FALSE))</f>
        <v>0-20%</v>
      </c>
      <c r="F142" s="403" t="str">
        <f>IF(VLOOKUP(A142,'Charriage - Geschiebehaushalt'!$A$4:$AD$275,30,FALSE)="","",VLOOKUP(A142,'Charriage - Geschiebehaushalt'!$A$4:$AD$275,30,FALSE))</f>
        <v>a</v>
      </c>
      <c r="G142" s="330" t="str">
        <f>IF(VLOOKUP(A142,'Débit - Abfluss'!$A$4:$AD$275,17,FALSE)="","",VLOOKUP(A142,'Débit - Abfluss'!$A$4:$AD$275,17,FALSE))</f>
        <v>100%</v>
      </c>
      <c r="H142" s="404" t="str">
        <f>IF(VLOOKUP(A142,'Eclusée - Schwall-Sunk'!$A$2:$F$273,6,FALSE)="","",VLOOKUP(A142,'Eclusée - Schwall-Sunk'!$A$2:$F$273,6,FALSE))</f>
        <v>Non affecté / nicht betroffen</v>
      </c>
      <c r="I142" s="405" t="str">
        <f>IF(VLOOKUP(A142,'Revitalisation-Revitalisierung'!$A$4:$Z$275,25,FALSE)="","",VLOOKUP(A142,'Revitalisation-Revitalisierung'!$A$4:$Z$275,25,FALSE))</f>
        <v>Partiellement nécessaire, facile / teilweise nötig, einfach</v>
      </c>
      <c r="J142" s="406" t="str">
        <f>IF(VLOOKUP(A142,'Revitalisation-Revitalisierung'!$A$4:$AA$275,27,FALSE)="","",VLOOKUP(A142,'Revitalisation-Revitalisierung'!$A$4:$AA$275,27,FALSE))</f>
        <v>a</v>
      </c>
      <c r="K142" s="407"/>
    </row>
    <row r="143" spans="1:11" ht="20.100000000000001" customHeight="1" x14ac:dyDescent="0.25">
      <c r="A143" s="926">
        <v>138</v>
      </c>
      <c r="B143" s="400" t="s">
        <v>653</v>
      </c>
      <c r="C143" s="400" t="s">
        <v>654</v>
      </c>
      <c r="D143" s="401" t="s">
        <v>625</v>
      </c>
      <c r="E143" s="402" t="str">
        <f>IF(VLOOKUP(A143,'Charriage - Geschiebehaushalt'!$A$4:$AC$275,28,FALSE)="","",VLOOKUP(A143,'Charriage - Geschiebehaushalt'!$A$4:$AC$275,28,FALSE))</f>
        <v>0-20%</v>
      </c>
      <c r="F143" s="403" t="str">
        <f>IF(VLOOKUP(A143,'Charriage - Geschiebehaushalt'!$A$4:$AD$275,30,FALSE)="","",VLOOKUP(A143,'Charriage - Geschiebehaushalt'!$A$4:$AD$275,30,FALSE))</f>
        <v>a</v>
      </c>
      <c r="G143" s="330" t="str">
        <f>IF(VLOOKUP(A143,'Débit - Abfluss'!$A$4:$AD$275,17,FALSE)="","",VLOOKUP(A143,'Débit - Abfluss'!$A$4:$AD$275,17,FALSE))</f>
        <v>0-20%</v>
      </c>
      <c r="H143" s="404" t="str">
        <f>IF(VLOOKUP(A143,'Eclusée - Schwall-Sunk'!$A$2:$F$273,6,FALSE)="","",VLOOKUP(A143,'Eclusée - Schwall-Sunk'!$A$2:$F$273,6,FALSE))</f>
        <v>Potentiellement affecté / möglicherweise betroffen</v>
      </c>
      <c r="I143" s="405" t="str">
        <f>IF(VLOOKUP(A143,'Revitalisation-Revitalisierung'!$A$4:$Z$275,25,FALSE)="","",VLOOKUP(A143,'Revitalisation-Revitalisierung'!$A$4:$Z$275,25,FALSE))</f>
        <v>Très nécessaire, facile / unbedingt nötig, einfach</v>
      </c>
      <c r="J143" s="406" t="str">
        <f>IF(VLOOKUP(A143,'Revitalisation-Revitalisierung'!$A$4:$AA$275,27,FALSE)="","",VLOOKUP(A143,'Revitalisation-Revitalisierung'!$A$4:$AA$275,27,FALSE))</f>
        <v>a</v>
      </c>
      <c r="K143" s="407"/>
    </row>
    <row r="144" spans="1:11" ht="20.100000000000001" customHeight="1" x14ac:dyDescent="0.25">
      <c r="A144" s="926">
        <v>139</v>
      </c>
      <c r="B144" s="400" t="s">
        <v>656</v>
      </c>
      <c r="C144" s="400" t="s">
        <v>657</v>
      </c>
      <c r="D144" s="401" t="s">
        <v>625</v>
      </c>
      <c r="E144" s="402" t="str">
        <f>IF(VLOOKUP(A144,'Charriage - Geschiebehaushalt'!$A$4:$AC$275,28,FALSE)="","",VLOOKUP(A144,'Charriage - Geschiebehaushalt'!$A$4:$AC$275,28,FALSE))</f>
        <v>51-80%</v>
      </c>
      <c r="F144" s="403" t="str">
        <f>IF(VLOOKUP(A144,'Charriage - Geschiebehaushalt'!$A$4:$AD$275,30,FALSE)="","",VLOOKUP(A144,'Charriage - Geschiebehaushalt'!$A$4:$AD$275,30,FALSE))</f>
        <v>a</v>
      </c>
      <c r="G144" s="330" t="str">
        <f>IF(VLOOKUP(A144,'Débit - Abfluss'!$A$4:$AD$275,17,FALSE)="","",VLOOKUP(A144,'Débit - Abfluss'!$A$4:$AD$275,17,FALSE))</f>
        <v>81-100%</v>
      </c>
      <c r="H144" s="404" t="str">
        <f>IF(VLOOKUP(A144,'Eclusée - Schwall-Sunk'!$A$2:$F$273,6,FALSE)="","",VLOOKUP(A144,'Eclusée - Schwall-Sunk'!$A$2:$F$273,6,FALSE))</f>
        <v>Potentiellement affecté / möglicherweise betroffen</v>
      </c>
      <c r="I144" s="405" t="str">
        <f>IF(VLOOKUP(A144,'Revitalisation-Revitalisierung'!$A$4:$Z$275,25,FALSE)="","",VLOOKUP(A144,'Revitalisation-Revitalisierung'!$A$4:$Z$275,25,FALSE))</f>
        <v>Très nécessaire, difficile / unbedingt nötig, schwierig</v>
      </c>
      <c r="J144" s="406" t="str">
        <f>IF(VLOOKUP(A144,'Revitalisation-Revitalisierung'!$A$4:$AA$275,27,FALSE)="","",VLOOKUP(A144,'Revitalisation-Revitalisierung'!$A$4:$AA$275,27,FALSE))</f>
        <v>a</v>
      </c>
      <c r="K144" s="407"/>
    </row>
    <row r="145" spans="1:11" ht="20.100000000000001" customHeight="1" x14ac:dyDescent="0.25">
      <c r="A145" s="926">
        <v>140</v>
      </c>
      <c r="B145" s="400" t="s">
        <v>661</v>
      </c>
      <c r="C145" s="400" t="s">
        <v>657</v>
      </c>
      <c r="D145" s="401" t="s">
        <v>625</v>
      </c>
      <c r="E145" s="402" t="str">
        <f>IF(VLOOKUP(A145,'Charriage - Geschiebehaushalt'!$A$4:$AC$275,28,FALSE)="","",VLOOKUP(A145,'Charriage - Geschiebehaushalt'!$A$4:$AC$275,28,FALSE))</f>
        <v>21-50%</v>
      </c>
      <c r="F145" s="403" t="str">
        <f>IF(VLOOKUP(A145,'Charriage - Geschiebehaushalt'!$A$4:$AD$275,30,FALSE)="","",VLOOKUP(A145,'Charriage - Geschiebehaushalt'!$A$4:$AD$275,30,FALSE))</f>
        <v>a</v>
      </c>
      <c r="G145" s="330" t="str">
        <f>IF(VLOOKUP(A145,'Débit - Abfluss'!$A$4:$AD$275,17,FALSE)="","",VLOOKUP(A145,'Débit - Abfluss'!$A$4:$AD$275,17,FALSE))</f>
        <v>21-40%</v>
      </c>
      <c r="H145" s="404" t="str">
        <f>IF(VLOOKUP(A145,'Eclusée - Schwall-Sunk'!$A$2:$F$273,6,FALSE)="","",VLOOKUP(A145,'Eclusée - Schwall-Sunk'!$A$2:$F$273,6,FALSE))</f>
        <v>Non affecté / nicht betroffen</v>
      </c>
      <c r="I145" s="405" t="str">
        <f>IF(VLOOKUP(A145,'Revitalisation-Revitalisierung'!$A$4:$Z$275,25,FALSE)="","",VLOOKUP(A145,'Revitalisation-Revitalisierung'!$A$4:$Z$275,25,FALSE))</f>
        <v>Très nécessaire, facile / unbedingt nötig, einfach</v>
      </c>
      <c r="J145" s="406" t="str">
        <f>IF(VLOOKUP(A145,'Revitalisation-Revitalisierung'!$A$4:$AA$275,27,FALSE)="","",VLOOKUP(A145,'Revitalisation-Revitalisierung'!$A$4:$AA$275,27,FALSE))</f>
        <v>a</v>
      </c>
      <c r="K145" s="407"/>
    </row>
    <row r="146" spans="1:11" ht="20.100000000000001" customHeight="1" x14ac:dyDescent="0.25">
      <c r="A146" s="926">
        <v>141</v>
      </c>
      <c r="B146" s="400" t="s">
        <v>662</v>
      </c>
      <c r="C146" s="400" t="s">
        <v>657</v>
      </c>
      <c r="D146" s="401" t="s">
        <v>625</v>
      </c>
      <c r="E146" s="402" t="str">
        <f>IF(VLOOKUP(A146,'Charriage - Geschiebehaushalt'!$A$4:$AC$275,28,FALSE)="","",VLOOKUP(A146,'Charriage - Geschiebehaushalt'!$A$4:$AC$275,28,FALSE))</f>
        <v>21-50%</v>
      </c>
      <c r="F146" s="403" t="str">
        <f>IF(VLOOKUP(A146,'Charriage - Geschiebehaushalt'!$A$4:$AD$275,30,FALSE)="","",VLOOKUP(A146,'Charriage - Geschiebehaushalt'!$A$4:$AD$275,30,FALSE))</f>
        <v>a</v>
      </c>
      <c r="G146" s="330" t="str">
        <f>IF(VLOOKUP(A146,'Débit - Abfluss'!$A$4:$AD$275,17,FALSE)="","",VLOOKUP(A146,'Débit - Abfluss'!$A$4:$AD$275,17,FALSE))</f>
        <v>81-100%</v>
      </c>
      <c r="H146" s="404" t="str">
        <f>IF(VLOOKUP(A146,'Eclusée - Schwall-Sunk'!$A$2:$F$273,6,FALSE)="","",VLOOKUP(A146,'Eclusée - Schwall-Sunk'!$A$2:$F$273,6,FALSE))</f>
        <v>Non affecté / nicht betroffen</v>
      </c>
      <c r="I146" s="405" t="str">
        <f>IF(VLOOKUP(A146,'Revitalisation-Revitalisierung'!$A$4:$Z$275,25,FALSE)="","",VLOOKUP(A146,'Revitalisation-Revitalisierung'!$A$4:$Z$275,25,FALSE))</f>
        <v>Très nécessaire, facile / unbedingt nötig, einfach</v>
      </c>
      <c r="J146" s="406" t="str">
        <f>IF(VLOOKUP(A146,'Revitalisation-Revitalisierung'!$A$4:$AA$275,27,FALSE)="","",VLOOKUP(A146,'Revitalisation-Revitalisierung'!$A$4:$AA$275,27,FALSE))</f>
        <v>a</v>
      </c>
      <c r="K146" s="407"/>
    </row>
    <row r="147" spans="1:11" ht="20.100000000000001" customHeight="1" x14ac:dyDescent="0.25">
      <c r="A147" s="926">
        <v>142</v>
      </c>
      <c r="B147" s="400" t="s">
        <v>663</v>
      </c>
      <c r="C147" s="400" t="s">
        <v>664</v>
      </c>
      <c r="D147" s="401" t="s">
        <v>625</v>
      </c>
      <c r="E147" s="402" t="str">
        <f>IF(VLOOKUP(A147,'Charriage - Geschiebehaushalt'!$A$4:$AC$275,28,FALSE)="","",VLOOKUP(A147,'Charriage - Geschiebehaushalt'!$A$4:$AC$275,28,FALSE))</f>
        <v>21-50%</v>
      </c>
      <c r="F147" s="403" t="str">
        <f>IF(VLOOKUP(A147,'Charriage - Geschiebehaushalt'!$A$4:$AD$275,30,FALSE)="","",VLOOKUP(A147,'Charriage - Geschiebehaushalt'!$A$4:$AD$275,30,FALSE))</f>
        <v>a</v>
      </c>
      <c r="G147" s="330" t="str">
        <f>IF(VLOOKUP(A147,'Débit - Abfluss'!$A$4:$AD$275,17,FALSE)="","",VLOOKUP(A147,'Débit - Abfluss'!$A$4:$AD$275,17,FALSE))</f>
        <v>81-100%</v>
      </c>
      <c r="H147" s="404" t="str">
        <f>IF(VLOOKUP(A147,'Eclusée - Schwall-Sunk'!$A$2:$F$273,6,FALSE)="","",VLOOKUP(A147,'Eclusée - Schwall-Sunk'!$A$2:$F$273,6,FALSE))</f>
        <v>Non affecté / nicht betroffen</v>
      </c>
      <c r="I147" s="405" t="str">
        <f>IF(VLOOKUP(A147,'Revitalisation-Revitalisierung'!$A$4:$Z$275,25,FALSE)="","",VLOOKUP(A147,'Revitalisation-Revitalisierung'!$A$4:$Z$275,25,FALSE))</f>
        <v>Très nécessaire, difficile / unbedingt nötig, schwierig</v>
      </c>
      <c r="J147" s="406" t="str">
        <f>IF(VLOOKUP(A147,'Revitalisation-Revitalisierung'!$A$4:$AA$275,27,FALSE)="","",VLOOKUP(A147,'Revitalisation-Revitalisierung'!$A$4:$AA$275,27,FALSE))</f>
        <v>a</v>
      </c>
      <c r="K147" s="407"/>
    </row>
    <row r="148" spans="1:11" ht="20.100000000000001" customHeight="1" x14ac:dyDescent="0.25">
      <c r="A148" s="926">
        <v>144</v>
      </c>
      <c r="B148" s="400" t="s">
        <v>362</v>
      </c>
      <c r="C148" s="400" t="s">
        <v>363</v>
      </c>
      <c r="D148" s="401" t="s">
        <v>361</v>
      </c>
      <c r="E148" s="402" t="str">
        <f>IF(VLOOKUP(A148,'Charriage - Geschiebehaushalt'!$A$4:$AC$275,28,FALSE)="","",VLOOKUP(A148,'Charriage - Geschiebehaushalt'!$A$4:$AC$275,28,FALSE))</f>
        <v>21-50%</v>
      </c>
      <c r="F148" s="403" t="str">
        <f>IF(VLOOKUP(A148,'Charriage - Geschiebehaushalt'!$A$4:$AD$275,30,FALSE)="","",VLOOKUP(A148,'Charriage - Geschiebehaushalt'!$A$4:$AD$275,30,FALSE))</f>
        <v>b</v>
      </c>
      <c r="G148" s="330" t="str">
        <f>IF(VLOOKUP(A148,'Débit - Abfluss'!$A$4:$AD$275,17,FALSE)="","",VLOOKUP(A148,'Débit - Abfluss'!$A$4:$AD$275,17,FALSE))</f>
        <v>81-100%</v>
      </c>
      <c r="H148" s="404" t="str">
        <f>IF(VLOOKUP(A148,'Eclusée - Schwall-Sunk'!$A$2:$F$273,6,FALSE)="","",VLOOKUP(A148,'Eclusée - Schwall-Sunk'!$A$2:$F$273,6,FALSE))</f>
        <v>Potentiellement affecté / möglicherweise betroffen</v>
      </c>
      <c r="I148" s="405" t="str">
        <f>IF(VLOOKUP(A148,'Revitalisation-Revitalisierung'!$A$4:$Z$275,25,FALSE)="","",VLOOKUP(A148,'Revitalisation-Revitalisierung'!$A$4:$Z$275,25,FALSE))</f>
        <v>Partiellement nécessaire, facile / teilweise nötig, einfach</v>
      </c>
      <c r="J148" s="406" t="str">
        <f>IF(VLOOKUP(A148,'Revitalisation-Revitalisierung'!$A$4:$AA$275,27,FALSE)="","",VLOOKUP(A148,'Revitalisation-Revitalisierung'!$A$4:$AA$275,27,FALSE))</f>
        <v>a</v>
      </c>
      <c r="K148" s="407"/>
    </row>
    <row r="149" spans="1:11" ht="20.100000000000001" customHeight="1" x14ac:dyDescent="0.25">
      <c r="A149" s="926">
        <v>145</v>
      </c>
      <c r="B149" s="400" t="s">
        <v>369</v>
      </c>
      <c r="C149" s="400" t="s">
        <v>363</v>
      </c>
      <c r="D149" s="401" t="s">
        <v>361</v>
      </c>
      <c r="E149" s="402" t="str">
        <f>IF(VLOOKUP(A149,'Charriage - Geschiebehaushalt'!$A$4:$AC$275,28,FALSE)="","",VLOOKUP(A149,'Charriage - Geschiebehaushalt'!$A$4:$AC$275,28,FALSE))</f>
        <v>21-50%</v>
      </c>
      <c r="F149" s="403" t="str">
        <f>IF(VLOOKUP(A149,'Charriage - Geschiebehaushalt'!$A$4:$AD$275,30,FALSE)="","",VLOOKUP(A149,'Charriage - Geschiebehaushalt'!$A$4:$AD$275,30,FALSE))</f>
        <v>b</v>
      </c>
      <c r="G149" s="330" t="str">
        <f>IF(VLOOKUP(A149,'Débit - Abfluss'!$A$4:$AD$275,17,FALSE)="","",VLOOKUP(A149,'Débit - Abfluss'!$A$4:$AD$275,17,FALSE))</f>
        <v>81-100%</v>
      </c>
      <c r="H149" s="404" t="str">
        <f>IF(VLOOKUP(A149,'Eclusée - Schwall-Sunk'!$A$2:$F$273,6,FALSE)="","",VLOOKUP(A149,'Eclusée - Schwall-Sunk'!$A$2:$F$273,6,FALSE))</f>
        <v>Potentiellement affecté / möglicherweise betroffen</v>
      </c>
      <c r="I149" s="405" t="str">
        <f>IF(VLOOKUP(A149,'Revitalisation-Revitalisierung'!$A$4:$Z$275,25,FALSE)="","",VLOOKUP(A149,'Revitalisation-Revitalisierung'!$A$4:$Z$275,25,FALSE))</f>
        <v>Partiellement nécessaire, facile / teilweise nötig, einfach</v>
      </c>
      <c r="J149" s="406" t="str">
        <f>IF(VLOOKUP(A149,'Revitalisation-Revitalisierung'!$A$4:$AA$275,27,FALSE)="","",VLOOKUP(A149,'Revitalisation-Revitalisierung'!$A$4:$AA$275,27,FALSE))</f>
        <v>b</v>
      </c>
      <c r="K149" s="407"/>
    </row>
    <row r="150" spans="1:11" ht="20.100000000000001" customHeight="1" x14ac:dyDescent="0.25">
      <c r="A150" s="926">
        <v>146</v>
      </c>
      <c r="B150" s="400" t="s">
        <v>483</v>
      </c>
      <c r="C150" s="400" t="s">
        <v>484</v>
      </c>
      <c r="D150" s="401" t="s">
        <v>482</v>
      </c>
      <c r="E150" s="402" t="str">
        <f>IF(VLOOKUP(A150,'Charriage - Geschiebehaushalt'!$A$4:$AC$275,28,FALSE)="","",VLOOKUP(A150,'Charriage - Geschiebehaushalt'!$A$4:$AC$275,28,FALSE))</f>
        <v>21-50%</v>
      </c>
      <c r="F150" s="403" t="str">
        <f>IF(VLOOKUP(A150,'Charriage - Geschiebehaushalt'!$A$4:$AD$275,30,FALSE)="","",VLOOKUP(A150,'Charriage - Geschiebehaushalt'!$A$4:$AD$275,30,FALSE))</f>
        <v>a</v>
      </c>
      <c r="G150" s="330" t="str">
        <f>IF(VLOOKUP(A150,'Débit - Abfluss'!$A$4:$AD$275,17,FALSE)="","",VLOOKUP(A150,'Débit - Abfluss'!$A$4:$AD$275,17,FALSE))</f>
        <v>41-60%</v>
      </c>
      <c r="H150" s="404" t="str">
        <f>IF(VLOOKUP(A150,'Eclusée - Schwall-Sunk'!$A$2:$F$273,6,FALSE)="","",VLOOKUP(A150,'Eclusée - Schwall-Sunk'!$A$2:$F$273,6,FALSE))</f>
        <v>Non affecté / nicht betroffen</v>
      </c>
      <c r="I150" s="405" t="str">
        <f>IF(VLOOKUP(A150,'Revitalisation-Revitalisierung'!$A$4:$Z$275,25,FALSE)="","",VLOOKUP(A150,'Revitalisation-Revitalisierung'!$A$4:$Z$275,25,FALSE))</f>
        <v>Partiellement nécessaire, difficile / teilweise nötig, schwierig</v>
      </c>
      <c r="J150" s="406" t="str">
        <f>IF(VLOOKUP(A150,'Revitalisation-Revitalisierung'!$A$4:$AA$275,27,FALSE)="","",VLOOKUP(A150,'Revitalisation-Revitalisierung'!$A$4:$AA$275,27,FALSE))</f>
        <v>b</v>
      </c>
      <c r="K150" s="407"/>
    </row>
    <row r="151" spans="1:11" ht="20.100000000000001" customHeight="1" x14ac:dyDescent="0.25">
      <c r="A151" s="926">
        <v>147</v>
      </c>
      <c r="B151" s="400" t="s">
        <v>485</v>
      </c>
      <c r="C151" s="400" t="s">
        <v>484</v>
      </c>
      <c r="D151" s="401" t="s">
        <v>482</v>
      </c>
      <c r="E151" s="402" t="str">
        <f>IF(VLOOKUP(A151,'Charriage - Geschiebehaushalt'!$A$4:$AC$275,28,FALSE)="","",VLOOKUP(A151,'Charriage - Geschiebehaushalt'!$A$4:$AC$275,28,FALSE))</f>
        <v>0-20%</v>
      </c>
      <c r="F151" s="403" t="str">
        <f>IF(VLOOKUP(A151,'Charriage - Geschiebehaushalt'!$A$4:$AD$275,30,FALSE)="","",VLOOKUP(A151,'Charriage - Geschiebehaushalt'!$A$4:$AD$275,30,FALSE))</f>
        <v>a</v>
      </c>
      <c r="G151" s="330" t="str">
        <f>IF(VLOOKUP(A151,'Débit - Abfluss'!$A$4:$AD$275,17,FALSE)="","",VLOOKUP(A151,'Débit - Abfluss'!$A$4:$AD$275,17,FALSE))</f>
        <v>41-60%</v>
      </c>
      <c r="H151" s="404" t="str">
        <f>IF(VLOOKUP(A151,'Eclusée - Schwall-Sunk'!$A$2:$F$273,6,FALSE)="","",VLOOKUP(A151,'Eclusée - Schwall-Sunk'!$A$2:$F$273,6,FALSE))</f>
        <v>Non affecté / nicht betroffen</v>
      </c>
      <c r="I151" s="405" t="str">
        <f>IF(VLOOKUP(A151,'Revitalisation-Revitalisierung'!$A$4:$Z$275,25,FALSE)="","",VLOOKUP(A151,'Revitalisation-Revitalisierung'!$A$4:$Z$275,25,FALSE))</f>
        <v>Non nécessaire / nicht nötig</v>
      </c>
      <c r="J151" s="406" t="str">
        <f>IF(VLOOKUP(A151,'Revitalisation-Revitalisierung'!$A$4:$AA$275,27,FALSE)="","",VLOOKUP(A151,'Revitalisation-Revitalisierung'!$A$4:$AA$275,27,FALSE))</f>
        <v>a</v>
      </c>
      <c r="K151" s="407"/>
    </row>
    <row r="152" spans="1:11" ht="20.100000000000001" customHeight="1" x14ac:dyDescent="0.25">
      <c r="A152" s="926">
        <v>148</v>
      </c>
      <c r="B152" s="400" t="s">
        <v>486</v>
      </c>
      <c r="C152" s="400" t="s">
        <v>484</v>
      </c>
      <c r="D152" s="401" t="s">
        <v>482</v>
      </c>
      <c r="E152" s="402" t="str">
        <f>IF(VLOOKUP(A152,'Charriage - Geschiebehaushalt'!$A$4:$AC$275,28,FALSE)="","",VLOOKUP(A152,'Charriage - Geschiebehaushalt'!$A$4:$AC$275,28,FALSE))</f>
        <v>21-50%</v>
      </c>
      <c r="F152" s="403" t="str">
        <f>IF(VLOOKUP(A152,'Charriage - Geschiebehaushalt'!$A$4:$AD$275,30,FALSE)="","",VLOOKUP(A152,'Charriage - Geschiebehaushalt'!$A$4:$AD$275,30,FALSE))</f>
        <v>a</v>
      </c>
      <c r="G152" s="330" t="str">
        <f>IF(VLOOKUP(A152,'Débit - Abfluss'!$A$4:$AD$275,17,FALSE)="","",VLOOKUP(A152,'Débit - Abfluss'!$A$4:$AD$275,17,FALSE))</f>
        <v>61-80%</v>
      </c>
      <c r="H152" s="404" t="str">
        <f>IF(VLOOKUP(A152,'Eclusée - Schwall-Sunk'!$A$2:$F$273,6,FALSE)="","",VLOOKUP(A152,'Eclusée - Schwall-Sunk'!$A$2:$F$273,6,FALSE))</f>
        <v>Non affecté / nicht betroffen</v>
      </c>
      <c r="I152" s="405" t="str">
        <f>IF(VLOOKUP(A152,'Revitalisation-Revitalisierung'!$A$4:$Z$275,25,FALSE)="","",VLOOKUP(A152,'Revitalisation-Revitalisierung'!$A$4:$Z$275,25,FALSE))</f>
        <v>Très nécessaire, difficile / unbedingt nötig, schwierig</v>
      </c>
      <c r="J152" s="406" t="str">
        <f>IF(VLOOKUP(A152,'Revitalisation-Revitalisierung'!$A$4:$AA$275,27,FALSE)="","",VLOOKUP(A152,'Revitalisation-Revitalisierung'!$A$4:$AA$275,27,FALSE))</f>
        <v>a</v>
      </c>
      <c r="K152" s="407"/>
    </row>
    <row r="153" spans="1:11" ht="20.100000000000001" customHeight="1" x14ac:dyDescent="0.25">
      <c r="A153" s="926">
        <v>149</v>
      </c>
      <c r="B153" s="400" t="s">
        <v>487</v>
      </c>
      <c r="C153" s="400" t="s">
        <v>484</v>
      </c>
      <c r="D153" s="401" t="s">
        <v>482</v>
      </c>
      <c r="E153" s="402" t="str">
        <f>IF(VLOOKUP(A153,'Charriage - Geschiebehaushalt'!$A$4:$AC$275,28,FALSE)="","",VLOOKUP(A153,'Charriage - Geschiebehaushalt'!$A$4:$AC$275,28,FALSE))</f>
        <v>0-20%</v>
      </c>
      <c r="F153" s="403" t="str">
        <f>IF(VLOOKUP(A153,'Charriage - Geschiebehaushalt'!$A$4:$AD$275,30,FALSE)="","",VLOOKUP(A153,'Charriage - Geschiebehaushalt'!$A$4:$AD$275,30,FALSE))</f>
        <v>a</v>
      </c>
      <c r="G153" s="330" t="str">
        <f>IF(VLOOKUP(A153,'Débit - Abfluss'!$A$4:$AD$275,17,FALSE)="","",VLOOKUP(A153,'Débit - Abfluss'!$A$4:$AD$275,17,FALSE))</f>
        <v>61-80%</v>
      </c>
      <c r="H153" s="404" t="str">
        <f>IF(VLOOKUP(A153,'Eclusée - Schwall-Sunk'!$A$2:$F$273,6,FALSE)="","",VLOOKUP(A153,'Eclusée - Schwall-Sunk'!$A$2:$F$273,6,FALSE))</f>
        <v>Non affecté / nicht betroffen</v>
      </c>
      <c r="I153" s="405" t="str">
        <f>IF(VLOOKUP(A153,'Revitalisation-Revitalisierung'!$A$4:$Z$275,25,FALSE)="","",VLOOKUP(A153,'Revitalisation-Revitalisierung'!$A$4:$Z$275,25,FALSE))</f>
        <v>Non nécessaire / nicht nötig</v>
      </c>
      <c r="J153" s="406" t="str">
        <f>IF(VLOOKUP(A153,'Revitalisation-Revitalisierung'!$A$4:$AA$275,27,FALSE)="","",VLOOKUP(A153,'Revitalisation-Revitalisierung'!$A$4:$AA$275,27,FALSE))</f>
        <v>a</v>
      </c>
      <c r="K153" s="407"/>
    </row>
    <row r="154" spans="1:11" ht="20.100000000000001" customHeight="1" x14ac:dyDescent="0.25">
      <c r="A154" s="927">
        <v>150.1</v>
      </c>
      <c r="B154" s="400" t="s">
        <v>488</v>
      </c>
      <c r="C154" s="400" t="s">
        <v>489</v>
      </c>
      <c r="D154" s="401" t="s">
        <v>482</v>
      </c>
      <c r="E154" s="402" t="str">
        <f>IF(VLOOKUP(A154,'Charriage - Geschiebehaushalt'!$A$4:$AC$275,28,FALSE)="","",VLOOKUP(A154,'Charriage - Geschiebehaushalt'!$A$4:$AC$275,28,FALSE))</f>
        <v>21-50%</v>
      </c>
      <c r="F154" s="403" t="str">
        <f>IF(VLOOKUP(A154,'Charriage - Geschiebehaushalt'!$A$4:$AD$275,30,FALSE)="","",VLOOKUP(A154,'Charriage - Geschiebehaushalt'!$A$4:$AD$275,30,FALSE))</f>
        <v>a</v>
      </c>
      <c r="G154" s="330" t="str">
        <f>IF(VLOOKUP(A154,'Débit - Abfluss'!$A$4:$AD$275,17,FALSE)="","",VLOOKUP(A154,'Débit - Abfluss'!$A$4:$AD$275,17,FALSE))</f>
        <v>21-40%</v>
      </c>
      <c r="H154" s="404" t="str">
        <f>IF(VLOOKUP(A154,'Eclusée - Schwall-Sunk'!$A$2:$F$273,6,FALSE)="","",VLOOKUP(A154,'Eclusée - Schwall-Sunk'!$A$2:$F$273,6,FALSE))</f>
        <v>Non affecté / nicht betroffen</v>
      </c>
      <c r="I154" s="405" t="str">
        <f>IF(VLOOKUP(A154,'Revitalisation-Revitalisierung'!$A$4:$Z$275,25,FALSE)="","",VLOOKUP(A154,'Revitalisation-Revitalisierung'!$A$4:$Z$275,25,FALSE))</f>
        <v>Très nécessaire, facile / unbedingt nötig, einfach</v>
      </c>
      <c r="J154" s="406" t="str">
        <f>IF(VLOOKUP(A154,'Revitalisation-Revitalisierung'!$A$4:$AA$275,27,FALSE)="","",VLOOKUP(A154,'Revitalisation-Revitalisierung'!$A$4:$AA$275,27,FALSE))</f>
        <v>a</v>
      </c>
      <c r="K154" s="407"/>
    </row>
    <row r="155" spans="1:11" ht="20.100000000000001" customHeight="1" x14ac:dyDescent="0.25">
      <c r="A155" s="927">
        <v>150.19999999999999</v>
      </c>
      <c r="B155" s="400" t="s">
        <v>488</v>
      </c>
      <c r="C155" s="400" t="s">
        <v>489</v>
      </c>
      <c r="D155" s="401" t="s">
        <v>482</v>
      </c>
      <c r="E155" s="402" t="str">
        <f>IF(VLOOKUP(A155,'Charriage - Geschiebehaushalt'!$A$4:$AC$275,28,FALSE)="","",VLOOKUP(A155,'Charriage - Geschiebehaushalt'!$A$4:$AC$275,28,FALSE))</f>
        <v>21-50%</v>
      </c>
      <c r="F155" s="403" t="str">
        <f>IF(VLOOKUP(A155,'Charriage - Geschiebehaushalt'!$A$4:$AD$275,30,FALSE)="","",VLOOKUP(A155,'Charriage - Geschiebehaushalt'!$A$4:$AD$275,30,FALSE))</f>
        <v>a</v>
      </c>
      <c r="G155" s="330" t="str">
        <f>IF(VLOOKUP(A155,'Débit - Abfluss'!$A$4:$AD$275,17,FALSE)="","",VLOOKUP(A155,'Débit - Abfluss'!$A$4:$AD$275,17,FALSE))</f>
        <v>21-40%</v>
      </c>
      <c r="H155" s="404" t="str">
        <f>IF(VLOOKUP(A155,'Eclusée - Schwall-Sunk'!$A$2:$F$273,6,FALSE)="","",VLOOKUP(A155,'Eclusée - Schwall-Sunk'!$A$2:$F$273,6,FALSE))</f>
        <v>Non affecté / nicht betroffen</v>
      </c>
      <c r="I155" s="405" t="str">
        <f>IF(VLOOKUP(A155,'Revitalisation-Revitalisierung'!$A$4:$Z$275,25,FALSE)="","",VLOOKUP(A155,'Revitalisation-Revitalisierung'!$A$4:$Z$275,25,FALSE))</f>
        <v>Partiellement nécessaire, facile / teilweise nötig, einfach</v>
      </c>
      <c r="J155" s="406" t="str">
        <f>IF(VLOOKUP(A155,'Revitalisation-Revitalisierung'!$A$4:$AA$275,27,FALSE)="","",VLOOKUP(A155,'Revitalisation-Revitalisierung'!$A$4:$AA$275,27,FALSE))</f>
        <v>a</v>
      </c>
      <c r="K155" s="407"/>
    </row>
    <row r="156" spans="1:11" ht="20.100000000000001" customHeight="1" x14ac:dyDescent="0.25">
      <c r="A156" s="928">
        <v>151</v>
      </c>
      <c r="B156" s="400" t="s">
        <v>490</v>
      </c>
      <c r="C156" s="400" t="s">
        <v>489</v>
      </c>
      <c r="D156" s="401" t="s">
        <v>482</v>
      </c>
      <c r="E156" s="402" t="str">
        <f>IF(VLOOKUP(A156,'Charriage - Geschiebehaushalt'!$A$4:$AC$275,28,FALSE)="","",VLOOKUP(A156,'Charriage - Geschiebehaushalt'!$A$4:$AC$275,28,FALSE))</f>
        <v>21-50%</v>
      </c>
      <c r="F156" s="403" t="str">
        <f>IF(VLOOKUP(A156,'Charriage - Geschiebehaushalt'!$A$4:$AD$275,30,FALSE)="","",VLOOKUP(A156,'Charriage - Geschiebehaushalt'!$A$4:$AD$275,30,FALSE))</f>
        <v>a</v>
      </c>
      <c r="G156" s="330" t="str">
        <f>IF(VLOOKUP(A156,'Débit - Abfluss'!$A$4:$AD$275,17,FALSE)="","",VLOOKUP(A156,'Débit - Abfluss'!$A$4:$AD$275,17,FALSE))</f>
        <v>0-20%</v>
      </c>
      <c r="H156" s="404" t="str">
        <f>IF(VLOOKUP(A156,'Eclusée - Schwall-Sunk'!$A$2:$F$273,6,FALSE)="","",VLOOKUP(A156,'Eclusée - Schwall-Sunk'!$A$2:$F$273,6,FALSE))</f>
        <v>Non affecté / nicht betroffen</v>
      </c>
      <c r="I156" s="405" t="str">
        <f>IF(VLOOKUP(A156,'Revitalisation-Revitalisierung'!$A$4:$Z$275,25,FALSE)="","",VLOOKUP(A156,'Revitalisation-Revitalisierung'!$A$4:$Z$275,25,FALSE))</f>
        <v>Partiellement nécessaire, difficile / teilweise nötig, schwierig</v>
      </c>
      <c r="J156" s="406" t="str">
        <f>IF(VLOOKUP(A156,'Revitalisation-Revitalisierung'!$A$4:$AA$275,27,FALSE)="","",VLOOKUP(A156,'Revitalisation-Revitalisierung'!$A$4:$AA$275,27,FALSE))</f>
        <v>a</v>
      </c>
      <c r="K156" s="407"/>
    </row>
    <row r="157" spans="1:11" ht="20.100000000000001" customHeight="1" x14ac:dyDescent="0.25">
      <c r="A157" s="926">
        <v>155</v>
      </c>
      <c r="B157" s="400" t="s">
        <v>491</v>
      </c>
      <c r="C157" s="400" t="s">
        <v>492</v>
      </c>
      <c r="D157" s="401" t="s">
        <v>482</v>
      </c>
      <c r="E157" s="402" t="str">
        <f>IF(VLOOKUP(A157,'Charriage - Geschiebehaushalt'!$A$4:$AC$275,28,FALSE)="","",VLOOKUP(A157,'Charriage - Geschiebehaushalt'!$A$4:$AC$275,28,FALSE))</f>
        <v>21-50%</v>
      </c>
      <c r="F157" s="403" t="str">
        <f>IF(VLOOKUP(A157,'Charriage - Geschiebehaushalt'!$A$4:$AD$275,30,FALSE)="","",VLOOKUP(A157,'Charriage - Geschiebehaushalt'!$A$4:$AD$275,30,FALSE))</f>
        <v>a</v>
      </c>
      <c r="G157" s="330" t="str">
        <f>IF(VLOOKUP(A157,'Débit - Abfluss'!$A$4:$AD$275,17,FALSE)="","",VLOOKUP(A157,'Débit - Abfluss'!$A$4:$AD$275,17,FALSE))</f>
        <v>0-20%</v>
      </c>
      <c r="H157" s="404" t="str">
        <f>IF(VLOOKUP(A157,'Eclusée - Schwall-Sunk'!$A$2:$F$273,6,FALSE)="","",VLOOKUP(A157,'Eclusée - Schwall-Sunk'!$A$2:$F$273,6,FALSE))</f>
        <v>Non affecté / nicht betroffen</v>
      </c>
      <c r="I157" s="405" t="str">
        <f>IF(VLOOKUP(A157,'Revitalisation-Revitalisierung'!$A$4:$Z$275,25,FALSE)="","",VLOOKUP(A157,'Revitalisation-Revitalisierung'!$A$4:$Z$275,25,FALSE))</f>
        <v>Partiellement nécessaire, facile / teilweise nötig, einfach</v>
      </c>
      <c r="J157" s="406" t="str">
        <f>IF(VLOOKUP(A157,'Revitalisation-Revitalisierung'!$A$4:$AA$275,27,FALSE)="","",VLOOKUP(A157,'Revitalisation-Revitalisierung'!$A$4:$AA$275,27,FALSE))</f>
        <v>a</v>
      </c>
      <c r="K157" s="407"/>
    </row>
    <row r="158" spans="1:11" ht="20.100000000000001" customHeight="1" x14ac:dyDescent="0.25">
      <c r="A158" s="926">
        <v>156</v>
      </c>
      <c r="B158" s="400" t="s">
        <v>493</v>
      </c>
      <c r="C158" s="400" t="s">
        <v>294</v>
      </c>
      <c r="D158" s="401" t="s">
        <v>482</v>
      </c>
      <c r="E158" s="402" t="str">
        <f>IF(VLOOKUP(A158,'Charriage - Geschiebehaushalt'!$A$4:$AC$275,28,FALSE)="","",VLOOKUP(A158,'Charriage - Geschiebehaushalt'!$A$4:$AC$275,28,FALSE))</f>
        <v>21-50%</v>
      </c>
      <c r="F158" s="403" t="str">
        <f>IF(VLOOKUP(A158,'Charriage - Geschiebehaushalt'!$A$4:$AD$275,30,FALSE)="","",VLOOKUP(A158,'Charriage - Geschiebehaushalt'!$A$4:$AD$275,30,FALSE))</f>
        <v>b</v>
      </c>
      <c r="G158" s="330" t="str">
        <f>IF(VLOOKUP(A158,'Débit - Abfluss'!$A$4:$AD$275,17,FALSE)="","",VLOOKUP(A158,'Débit - Abfluss'!$A$4:$AD$275,17,FALSE))</f>
        <v>81-100%</v>
      </c>
      <c r="H158" s="404" t="str">
        <f>IF(VLOOKUP(A158,'Eclusée - Schwall-Sunk'!$A$2:$F$273,6,FALSE)="","",VLOOKUP(A158,'Eclusée - Schwall-Sunk'!$A$2:$F$273,6,FALSE))</f>
        <v>Potentiellement affecté / möglicherweise betroffen</v>
      </c>
      <c r="I158" s="405" t="str">
        <f>IF(VLOOKUP(A158,'Revitalisation-Revitalisierung'!$A$4:$Z$275,25,FALSE)="","",VLOOKUP(A158,'Revitalisation-Revitalisierung'!$A$4:$Z$275,25,FALSE))</f>
        <v>Très nécessaire, difficile / unbedingt nötig, schwierig</v>
      </c>
      <c r="J158" s="406" t="str">
        <f>IF(VLOOKUP(A158,'Revitalisation-Revitalisierung'!$A$4:$AA$275,27,FALSE)="","",VLOOKUP(A158,'Revitalisation-Revitalisierung'!$A$4:$AA$275,27,FALSE))</f>
        <v>b</v>
      </c>
      <c r="K158" s="407"/>
    </row>
    <row r="159" spans="1:11" ht="20.100000000000001" customHeight="1" x14ac:dyDescent="0.25">
      <c r="A159" s="926">
        <v>157</v>
      </c>
      <c r="B159" s="400" t="s">
        <v>359</v>
      </c>
      <c r="C159" s="400" t="s">
        <v>294</v>
      </c>
      <c r="D159" s="401" t="s">
        <v>358</v>
      </c>
      <c r="E159" s="402" t="str">
        <f>IF(VLOOKUP(A159,'Charriage - Geschiebehaushalt'!$A$4:$AC$275,28,FALSE)="","",VLOOKUP(A159,'Charriage - Geschiebehaushalt'!$A$4:$AC$275,28,FALSE))</f>
        <v>21-50%</v>
      </c>
      <c r="F159" s="403" t="str">
        <f>IF(VLOOKUP(A159,'Charriage - Geschiebehaushalt'!$A$4:$AD$275,30,FALSE)="","",VLOOKUP(A159,'Charriage - Geschiebehaushalt'!$A$4:$AD$275,30,FALSE))</f>
        <v>a</v>
      </c>
      <c r="G159" s="330" t="str">
        <f>IF(VLOOKUP(A159,'Débit - Abfluss'!$A$4:$AD$275,17,FALSE)="","",VLOOKUP(A159,'Débit - Abfluss'!$A$4:$AD$275,17,FALSE))</f>
        <v>81-100%</v>
      </c>
      <c r="H159" s="404" t="str">
        <f>IF(VLOOKUP(A159,'Eclusée - Schwall-Sunk'!$A$2:$F$273,6,FALSE)="","",VLOOKUP(A159,'Eclusée - Schwall-Sunk'!$A$2:$F$273,6,FALSE))</f>
        <v>Potentiellement affecté / möglicherweise betroffen</v>
      </c>
      <c r="I159" s="405" t="str">
        <f>IF(VLOOKUP(A159,'Revitalisation-Revitalisierung'!$A$4:$Z$275,25,FALSE)="","",VLOOKUP(A159,'Revitalisation-Revitalisierung'!$A$4:$Z$275,25,FALSE))</f>
        <v>Très nécessaire, difficile / unbedingt nötig, schwierig</v>
      </c>
      <c r="J159" s="406" t="str">
        <f>IF(VLOOKUP(A159,'Revitalisation-Revitalisierung'!$A$4:$AA$275,27,FALSE)="","",VLOOKUP(A159,'Revitalisation-Revitalisierung'!$A$4:$AA$275,27,FALSE))</f>
        <v>b</v>
      </c>
      <c r="K159" s="407"/>
    </row>
    <row r="160" spans="1:11" ht="20.100000000000001" customHeight="1" x14ac:dyDescent="0.25">
      <c r="A160" s="926">
        <v>158</v>
      </c>
      <c r="B160" s="400" t="s">
        <v>293</v>
      </c>
      <c r="C160" s="400" t="s">
        <v>294</v>
      </c>
      <c r="D160" s="401" t="s">
        <v>274</v>
      </c>
      <c r="E160" s="402" t="str">
        <f>IF(VLOOKUP(A160,'Charriage - Geschiebehaushalt'!$A$4:$AC$275,28,FALSE)="","",VLOOKUP(A160,'Charriage - Geschiebehaushalt'!$A$4:$AC$275,28,FALSE))</f>
        <v>21-50%</v>
      </c>
      <c r="F160" s="403" t="str">
        <f>IF(VLOOKUP(A160,'Charriage - Geschiebehaushalt'!$A$4:$AD$275,30,FALSE)="","",VLOOKUP(A160,'Charriage - Geschiebehaushalt'!$A$4:$AD$275,30,FALSE))</f>
        <v>a</v>
      </c>
      <c r="G160" s="330" t="str">
        <f>IF(VLOOKUP(A160,'Débit - Abfluss'!$A$4:$AD$275,17,FALSE)="","",VLOOKUP(A160,'Débit - Abfluss'!$A$4:$AD$275,17,FALSE))</f>
        <v>81-100%</v>
      </c>
      <c r="H160" s="404" t="str">
        <f>IF(VLOOKUP(A160,'Eclusée - Schwall-Sunk'!$A$2:$F$273,6,FALSE)="","",VLOOKUP(A160,'Eclusée - Schwall-Sunk'!$A$2:$F$273,6,FALSE))</f>
        <v>Potentiellement affecté / möglicherweise betroffen</v>
      </c>
      <c r="I160" s="405" t="str">
        <f>IF(VLOOKUP(A160,'Revitalisation-Revitalisierung'!$A$4:$Z$275,25,FALSE)="","",VLOOKUP(A160,'Revitalisation-Revitalisierung'!$A$4:$Z$275,25,FALSE))</f>
        <v>Partiellement nécessaire, facile / teilweise nötig, einfach</v>
      </c>
      <c r="J160" s="406" t="str">
        <f>IF(VLOOKUP(A160,'Revitalisation-Revitalisierung'!$A$4:$AA$275,27,FALSE)="","",VLOOKUP(A160,'Revitalisation-Revitalisierung'!$A$4:$AA$275,27,FALSE))</f>
        <v>b</v>
      </c>
      <c r="K160" s="407"/>
    </row>
    <row r="161" spans="1:11" ht="20.100000000000001" customHeight="1" x14ac:dyDescent="0.25">
      <c r="A161" s="926">
        <v>160</v>
      </c>
      <c r="B161" s="400" t="s">
        <v>296</v>
      </c>
      <c r="C161" s="400" t="s">
        <v>294</v>
      </c>
      <c r="D161" s="401" t="s">
        <v>274</v>
      </c>
      <c r="E161" s="402" t="str">
        <f>IF(VLOOKUP(A161,'Charriage - Geschiebehaushalt'!$A$4:$AC$275,28,FALSE)="","",VLOOKUP(A161,'Charriage - Geschiebehaushalt'!$A$4:$AC$275,28,FALSE))</f>
        <v>21-50%</v>
      </c>
      <c r="F161" s="403" t="str">
        <f>IF(VLOOKUP(A161,'Charriage - Geschiebehaushalt'!$A$4:$AD$275,30,FALSE)="","",VLOOKUP(A161,'Charriage - Geschiebehaushalt'!$A$4:$AD$275,30,FALSE))</f>
        <v>a</v>
      </c>
      <c r="G161" s="330" t="str">
        <f>IF(VLOOKUP(A161,'Débit - Abfluss'!$A$4:$AD$275,17,FALSE)="","",VLOOKUP(A161,'Débit - Abfluss'!$A$4:$AD$275,17,FALSE))</f>
        <v>81-100%</v>
      </c>
      <c r="H161" s="404" t="str">
        <f>IF(VLOOKUP(A161,'Eclusée - Schwall-Sunk'!$A$2:$F$273,6,FALSE)="","",VLOOKUP(A161,'Eclusée - Schwall-Sunk'!$A$2:$F$273,6,FALSE))</f>
        <v>Potentiellement affecté / möglicherweise betroffen</v>
      </c>
      <c r="I161" s="405" t="str">
        <f>IF(VLOOKUP(A161,'Revitalisation-Revitalisierung'!$A$4:$Z$275,25,FALSE)="","",VLOOKUP(A161,'Revitalisation-Revitalisierung'!$A$4:$Z$275,25,FALSE))</f>
        <v>Partiellement nécessaire, facile / teilweise nötig, einfach</v>
      </c>
      <c r="J161" s="406" t="str">
        <f>IF(VLOOKUP(A161,'Revitalisation-Revitalisierung'!$A$4:$AA$275,27,FALSE)="","",VLOOKUP(A161,'Revitalisation-Revitalisierung'!$A$4:$AA$275,27,FALSE))</f>
        <v>a</v>
      </c>
      <c r="K161" s="407"/>
    </row>
    <row r="162" spans="1:11" ht="20.100000000000001" customHeight="1" x14ac:dyDescent="0.25">
      <c r="A162" s="926">
        <v>161</v>
      </c>
      <c r="B162" s="400" t="s">
        <v>297</v>
      </c>
      <c r="C162" s="400" t="s">
        <v>294</v>
      </c>
      <c r="D162" s="401" t="s">
        <v>274</v>
      </c>
      <c r="E162" s="402" t="str">
        <f>IF(VLOOKUP(A162,'Charriage - Geschiebehaushalt'!$A$4:$AC$275,28,FALSE)="","",VLOOKUP(A162,'Charriage - Geschiebehaushalt'!$A$4:$AC$275,28,FALSE))</f>
        <v>21-50%</v>
      </c>
      <c r="F162" s="403" t="str">
        <f>IF(VLOOKUP(A162,'Charriage - Geschiebehaushalt'!$A$4:$AD$275,30,FALSE)="","",VLOOKUP(A162,'Charriage - Geschiebehaushalt'!$A$4:$AD$275,30,FALSE))</f>
        <v>a</v>
      </c>
      <c r="G162" s="330" t="str">
        <f>IF(VLOOKUP(A162,'Débit - Abfluss'!$A$4:$AD$275,17,FALSE)="","",VLOOKUP(A162,'Débit - Abfluss'!$A$4:$AD$275,17,FALSE))</f>
        <v>81-100%</v>
      </c>
      <c r="H162" s="404" t="str">
        <f>IF(VLOOKUP(A162,'Eclusée - Schwall-Sunk'!$A$2:$F$273,6,FALSE)="","",VLOOKUP(A162,'Eclusée - Schwall-Sunk'!$A$2:$F$273,6,FALSE))</f>
        <v>Potentiellement affecté / möglicherweise betroffen</v>
      </c>
      <c r="I162" s="405" t="str">
        <f>IF(VLOOKUP(A162,'Revitalisation-Revitalisierung'!$A$4:$Z$275,25,FALSE)="","",VLOOKUP(A162,'Revitalisation-Revitalisierung'!$A$4:$Z$275,25,FALSE))</f>
        <v>Très nécessaire, facile / unbedingt nötig, einfach</v>
      </c>
      <c r="J162" s="406" t="str">
        <f>IF(VLOOKUP(A162,'Revitalisation-Revitalisierung'!$A$4:$AA$275,27,FALSE)="","",VLOOKUP(A162,'Revitalisation-Revitalisierung'!$A$4:$AA$275,27,FALSE))</f>
        <v>a</v>
      </c>
      <c r="K162" s="407"/>
    </row>
    <row r="163" spans="1:11" ht="20.100000000000001" customHeight="1" x14ac:dyDescent="0.25">
      <c r="A163" s="926">
        <v>162</v>
      </c>
      <c r="B163" s="400" t="s">
        <v>298</v>
      </c>
      <c r="C163" s="400" t="s">
        <v>294</v>
      </c>
      <c r="D163" s="401" t="s">
        <v>274</v>
      </c>
      <c r="E163" s="402" t="str">
        <f>IF(VLOOKUP(A163,'Charriage - Geschiebehaushalt'!$A$4:$AC$275,28,FALSE)="","",VLOOKUP(A163,'Charriage - Geschiebehaushalt'!$A$4:$AC$275,28,FALSE))</f>
        <v>21-50%</v>
      </c>
      <c r="F163" s="403" t="str">
        <f>IF(VLOOKUP(A163,'Charriage - Geschiebehaushalt'!$A$4:$AD$275,30,FALSE)="","",VLOOKUP(A163,'Charriage - Geschiebehaushalt'!$A$4:$AD$275,30,FALSE))</f>
        <v>a</v>
      </c>
      <c r="G163" s="330" t="str">
        <f>IF(VLOOKUP(A163,'Débit - Abfluss'!$A$4:$AD$275,17,FALSE)="","",VLOOKUP(A163,'Débit - Abfluss'!$A$4:$AD$275,17,FALSE))</f>
        <v>21-40%</v>
      </c>
      <c r="H163" s="404" t="str">
        <f>IF(VLOOKUP(A163,'Eclusée - Schwall-Sunk'!$A$2:$F$273,6,FALSE)="","",VLOOKUP(A163,'Eclusée - Schwall-Sunk'!$A$2:$F$273,6,FALSE))</f>
        <v>Potentiellement affecté / möglicherweise betroffen</v>
      </c>
      <c r="I163" s="405" t="str">
        <f>IF(VLOOKUP(A163,'Revitalisation-Revitalisierung'!$A$4:$Z$275,25,FALSE)="","",VLOOKUP(A163,'Revitalisation-Revitalisierung'!$A$4:$Z$275,25,FALSE))</f>
        <v>Très nécessaire, facile / unbedingt nötig, einfach</v>
      </c>
      <c r="J163" s="406" t="str">
        <f>IF(VLOOKUP(A163,'Revitalisation-Revitalisierung'!$A$4:$AA$275,27,FALSE)="","",VLOOKUP(A163,'Revitalisation-Revitalisierung'!$A$4:$AA$275,27,FALSE))</f>
        <v>a</v>
      </c>
      <c r="K163" s="407"/>
    </row>
    <row r="164" spans="1:11" ht="20.100000000000001" customHeight="1" x14ac:dyDescent="0.25">
      <c r="A164" s="926">
        <v>164</v>
      </c>
      <c r="B164" s="400" t="s">
        <v>299</v>
      </c>
      <c r="C164" s="400" t="s">
        <v>294</v>
      </c>
      <c r="D164" s="401" t="s">
        <v>274</v>
      </c>
      <c r="E164" s="402" t="str">
        <f>IF(VLOOKUP(A164,'Charriage - Geschiebehaushalt'!$A$4:$AC$275,28,FALSE)="","",VLOOKUP(A164,'Charriage - Geschiebehaushalt'!$A$4:$AC$275,28,FALSE))</f>
        <v>21-50%</v>
      </c>
      <c r="F164" s="403" t="str">
        <f>IF(VLOOKUP(A164,'Charriage - Geschiebehaushalt'!$A$4:$AD$275,30,FALSE)="","",VLOOKUP(A164,'Charriage - Geschiebehaushalt'!$A$4:$AD$275,30,FALSE))</f>
        <v>a</v>
      </c>
      <c r="G164" s="330" t="str">
        <f>IF(VLOOKUP(A164,'Débit - Abfluss'!$A$4:$AD$275,17,FALSE)="","",VLOOKUP(A164,'Débit - Abfluss'!$A$4:$AD$275,17,FALSE))</f>
        <v>21-40%</v>
      </c>
      <c r="H164" s="404" t="str">
        <f>IF(VLOOKUP(A164,'Eclusée - Schwall-Sunk'!$A$2:$F$273,6,FALSE)="","",VLOOKUP(A164,'Eclusée - Schwall-Sunk'!$A$2:$F$273,6,FALSE))</f>
        <v>Non affecté / nicht betroffen</v>
      </c>
      <c r="I164" s="405" t="str">
        <f>IF(VLOOKUP(A164,'Revitalisation-Revitalisierung'!$A$4:$Z$275,25,FALSE)="","",VLOOKUP(A164,'Revitalisation-Revitalisierung'!$A$4:$Z$275,25,FALSE))</f>
        <v>Non nécessaire / nicht nötig</v>
      </c>
      <c r="J164" s="406" t="str">
        <f>IF(VLOOKUP(A164,'Revitalisation-Revitalisierung'!$A$4:$AA$275,27,FALSE)="","",VLOOKUP(A164,'Revitalisation-Revitalisierung'!$A$4:$AA$275,27,FALSE))</f>
        <v>a</v>
      </c>
      <c r="K164" s="407"/>
    </row>
    <row r="165" spans="1:11" ht="20.100000000000001" customHeight="1" x14ac:dyDescent="0.25">
      <c r="A165" s="926">
        <v>166</v>
      </c>
      <c r="B165" s="400" t="s">
        <v>301</v>
      </c>
      <c r="C165" s="400" t="s">
        <v>302</v>
      </c>
      <c r="D165" s="401" t="s">
        <v>274</v>
      </c>
      <c r="E165" s="402" t="str">
        <f>IF(VLOOKUP(A165,'Charriage - Geschiebehaushalt'!$A$4:$AC$275,28,FALSE)="","",VLOOKUP(A165,'Charriage - Geschiebehaushalt'!$A$4:$AC$275,28,FALSE))</f>
        <v>0-20%</v>
      </c>
      <c r="F165" s="403" t="str">
        <f>IF(VLOOKUP(A165,'Charriage - Geschiebehaushalt'!$A$4:$AD$275,30,FALSE)="","",VLOOKUP(A165,'Charriage - Geschiebehaushalt'!$A$4:$AD$275,30,FALSE))</f>
        <v>a</v>
      </c>
      <c r="G165" s="330" t="str">
        <f>IF(VLOOKUP(A165,'Débit - Abfluss'!$A$4:$AD$275,17,FALSE)="","",VLOOKUP(A165,'Débit - Abfluss'!$A$4:$AD$275,17,FALSE))</f>
        <v>41-60%</v>
      </c>
      <c r="H165" s="404" t="str">
        <f>IF(VLOOKUP(A165,'Eclusée - Schwall-Sunk'!$A$2:$F$273,6,FALSE)="","",VLOOKUP(A165,'Eclusée - Schwall-Sunk'!$A$2:$F$273,6,FALSE))</f>
        <v>Non affecté / nicht betroffen</v>
      </c>
      <c r="I165" s="405" t="str">
        <f>IF(VLOOKUP(A165,'Revitalisation-Revitalisierung'!$A$4:$Z$275,25,FALSE)="","",VLOOKUP(A165,'Revitalisation-Revitalisierung'!$A$4:$Z$275,25,FALSE))</f>
        <v>Très nécessaire, difficile / unbedingt nötig, schwierig</v>
      </c>
      <c r="J165" s="406" t="str">
        <f>IF(VLOOKUP(A165,'Revitalisation-Revitalisierung'!$A$4:$AA$275,27,FALSE)="","",VLOOKUP(A165,'Revitalisation-Revitalisierung'!$A$4:$AA$275,27,FALSE))</f>
        <v>a</v>
      </c>
      <c r="K165" s="407"/>
    </row>
    <row r="166" spans="1:11" ht="20.100000000000001" customHeight="1" x14ac:dyDescent="0.25">
      <c r="A166" s="926">
        <v>167</v>
      </c>
      <c r="B166" s="400" t="s">
        <v>497</v>
      </c>
      <c r="C166" s="400" t="s">
        <v>484</v>
      </c>
      <c r="D166" s="401" t="s">
        <v>482</v>
      </c>
      <c r="E166" s="402" t="str">
        <f>IF(VLOOKUP(A166,'Charriage - Geschiebehaushalt'!$A$4:$AC$275,28,FALSE)="","",VLOOKUP(A166,'Charriage - Geschiebehaushalt'!$A$4:$AC$275,28,FALSE))</f>
        <v>81-100%</v>
      </c>
      <c r="F166" s="403" t="str">
        <f>IF(VLOOKUP(A166,'Charriage - Geschiebehaushalt'!$A$4:$AD$275,30,FALSE)="","",VLOOKUP(A166,'Charriage - Geschiebehaushalt'!$A$4:$AD$275,30,FALSE))</f>
        <v>a</v>
      </c>
      <c r="G166" s="330" t="str">
        <f>IF(VLOOKUP(A166,'Débit - Abfluss'!$A$4:$AD$275,17,FALSE)="","",VLOOKUP(A166,'Débit - Abfluss'!$A$4:$AD$275,17,FALSE))</f>
        <v>81-100%</v>
      </c>
      <c r="H166" s="404" t="str">
        <f>IF(VLOOKUP(A166,'Eclusée - Schwall-Sunk'!$A$2:$F$273,6,FALSE)="","",VLOOKUP(A166,'Eclusée - Schwall-Sunk'!$A$2:$F$273,6,FALSE))</f>
        <v>Potentiellement affecté / möglicherweise betroffen</v>
      </c>
      <c r="I166" s="405" t="str">
        <f>IF(VLOOKUP(A166,'Revitalisation-Revitalisierung'!$A$4:$Z$275,25,FALSE)="","",VLOOKUP(A166,'Revitalisation-Revitalisierung'!$A$4:$Z$275,25,FALSE))</f>
        <v>Très nécessaire, facile / unbedingt nötig, einfach</v>
      </c>
      <c r="J166" s="406" t="str">
        <f>IF(VLOOKUP(A166,'Revitalisation-Revitalisierung'!$A$4:$AA$275,27,FALSE)="","",VLOOKUP(A166,'Revitalisation-Revitalisierung'!$A$4:$AA$275,27,FALSE))</f>
        <v>a</v>
      </c>
      <c r="K166" s="407"/>
    </row>
    <row r="167" spans="1:11" ht="20.100000000000001" customHeight="1" x14ac:dyDescent="0.25">
      <c r="A167" s="926">
        <v>168</v>
      </c>
      <c r="B167" s="400" t="s">
        <v>499</v>
      </c>
      <c r="C167" s="400" t="s">
        <v>484</v>
      </c>
      <c r="D167" s="401" t="s">
        <v>482</v>
      </c>
      <c r="E167" s="402" t="str">
        <f>IF(VLOOKUP(A167,'Charriage - Geschiebehaushalt'!$A$4:$AC$275,28,FALSE)="","",VLOOKUP(A167,'Charriage - Geschiebehaushalt'!$A$4:$AC$275,28,FALSE))</f>
        <v>81-100%</v>
      </c>
      <c r="F167" s="403" t="str">
        <f>IF(VLOOKUP(A167,'Charriage - Geschiebehaushalt'!$A$4:$AD$275,30,FALSE)="","",VLOOKUP(A167,'Charriage - Geschiebehaushalt'!$A$4:$AD$275,30,FALSE))</f>
        <v>a</v>
      </c>
      <c r="G167" s="330" t="str">
        <f>IF(VLOOKUP(A167,'Débit - Abfluss'!$A$4:$AD$275,17,FALSE)="","",VLOOKUP(A167,'Débit - Abfluss'!$A$4:$AD$275,17,FALSE))</f>
        <v>81-100%</v>
      </c>
      <c r="H167" s="404" t="str">
        <f>IF(VLOOKUP(A167,'Eclusée - Schwall-Sunk'!$A$2:$F$273,6,FALSE)="","",VLOOKUP(A167,'Eclusée - Schwall-Sunk'!$A$2:$F$273,6,FALSE))</f>
        <v>Potentiellement affecté / möglicherweise betroffen</v>
      </c>
      <c r="I167" s="405" t="str">
        <f>IF(VLOOKUP(A167,'Revitalisation-Revitalisierung'!$A$4:$Z$275,25,FALSE)="","",VLOOKUP(A167,'Revitalisation-Revitalisierung'!$A$4:$Z$275,25,FALSE))</f>
        <v>Très nécessaire, facile / unbedingt nötig, einfach</v>
      </c>
      <c r="J167" s="406" t="str">
        <f>IF(VLOOKUP(A167,'Revitalisation-Revitalisierung'!$A$4:$AA$275,27,FALSE)="","",VLOOKUP(A167,'Revitalisation-Revitalisierung'!$A$4:$AA$275,27,FALSE))</f>
        <v>a</v>
      </c>
      <c r="K167" s="407"/>
    </row>
    <row r="168" spans="1:11" ht="20.100000000000001" customHeight="1" x14ac:dyDescent="0.25">
      <c r="A168" s="927">
        <v>169.1</v>
      </c>
      <c r="B168" s="400" t="s">
        <v>500</v>
      </c>
      <c r="C168" s="400" t="s">
        <v>501</v>
      </c>
      <c r="D168" s="401" t="s">
        <v>482</v>
      </c>
      <c r="E168" s="402" t="str">
        <f>IF(VLOOKUP(A168,'Charriage - Geschiebehaushalt'!$A$4:$AC$275,28,FALSE)="","",VLOOKUP(A168,'Charriage - Geschiebehaushalt'!$A$4:$AC$275,28,FALSE))</f>
        <v>81-100%</v>
      </c>
      <c r="F168" s="403" t="str">
        <f>IF(VLOOKUP(A168,'Charriage - Geschiebehaushalt'!$A$4:$AD$275,30,FALSE)="","",VLOOKUP(A168,'Charriage - Geschiebehaushalt'!$A$4:$AD$275,30,FALSE))</f>
        <v>a</v>
      </c>
      <c r="G168" s="330" t="str">
        <f>IF(VLOOKUP(A168,'Débit - Abfluss'!$A$4:$AD$275,17,FALSE)="","",VLOOKUP(A168,'Débit - Abfluss'!$A$4:$AD$275,17,FALSE))</f>
        <v>81-100%</v>
      </c>
      <c r="H168" s="404" t="str">
        <f>IF(VLOOKUP(A168,'Eclusée - Schwall-Sunk'!$A$2:$F$273,6,FALSE)="","",VLOOKUP(A168,'Eclusée - Schwall-Sunk'!$A$2:$F$273,6,FALSE))</f>
        <v>Potentiellement affecté / möglicherweise betroffen</v>
      </c>
      <c r="I168" s="405" t="str">
        <f>IF(VLOOKUP(A168,'Revitalisation-Revitalisierung'!$A$4:$Z$275,25,FALSE)="","",VLOOKUP(A168,'Revitalisation-Revitalisierung'!$A$4:$Z$275,25,FALSE))</f>
        <v>Non nécessaire / nicht nötig</v>
      </c>
      <c r="J168" s="406" t="str">
        <f>IF(VLOOKUP(A168,'Revitalisation-Revitalisierung'!$A$4:$AA$275,27,FALSE)="","",VLOOKUP(A168,'Revitalisation-Revitalisierung'!$A$4:$AA$275,27,FALSE))</f>
        <v>a</v>
      </c>
      <c r="K168" s="407"/>
    </row>
    <row r="169" spans="1:11" ht="20.100000000000001" customHeight="1" x14ac:dyDescent="0.25">
      <c r="A169" s="927">
        <v>169.2</v>
      </c>
      <c r="B169" s="400" t="s">
        <v>500</v>
      </c>
      <c r="C169" s="400" t="s">
        <v>501</v>
      </c>
      <c r="D169" s="401" t="s">
        <v>482</v>
      </c>
      <c r="E169" s="402" t="str">
        <f>IF(VLOOKUP(A169,'Charriage - Geschiebehaushalt'!$A$4:$AC$275,28,FALSE)="","",VLOOKUP(A169,'Charriage - Geschiebehaushalt'!$A$4:$AC$275,28,FALSE))</f>
        <v>81-100%</v>
      </c>
      <c r="F169" s="403" t="str">
        <f>IF(VLOOKUP(A169,'Charriage - Geschiebehaushalt'!$A$4:$AD$275,30,FALSE)="","",VLOOKUP(A169,'Charriage - Geschiebehaushalt'!$A$4:$AD$275,30,FALSE))</f>
        <v>a</v>
      </c>
      <c r="G169" s="330" t="str">
        <f>IF(VLOOKUP(A169,'Débit - Abfluss'!$A$4:$AD$275,17,FALSE)="","",VLOOKUP(A169,'Débit - Abfluss'!$A$4:$AD$275,17,FALSE))</f>
        <v>81-100%</v>
      </c>
      <c r="H169" s="404" t="str">
        <f>IF(VLOOKUP(A169,'Eclusée - Schwall-Sunk'!$A$2:$F$273,6,FALSE)="","",VLOOKUP(A169,'Eclusée - Schwall-Sunk'!$A$2:$F$273,6,FALSE))</f>
        <v>Potentiellement affecté / möglicherweise betroffen</v>
      </c>
      <c r="I169" s="405" t="str">
        <f>IF(VLOOKUP(A169,'Revitalisation-Revitalisierung'!$A$4:$Z$275,25,FALSE)="","",VLOOKUP(A169,'Revitalisation-Revitalisierung'!$A$4:$Z$275,25,FALSE))</f>
        <v>Très nécessaire, facile / unbedingt nötig, einfach</v>
      </c>
      <c r="J169" s="406" t="str">
        <f>IF(VLOOKUP(A169,'Revitalisation-Revitalisierung'!$A$4:$AA$275,27,FALSE)="","",VLOOKUP(A169,'Revitalisation-Revitalisierung'!$A$4:$AA$275,27,FALSE))</f>
        <v>a</v>
      </c>
      <c r="K169" s="407"/>
    </row>
    <row r="170" spans="1:11" ht="20.100000000000001" customHeight="1" x14ac:dyDescent="0.25">
      <c r="A170" s="926">
        <v>170</v>
      </c>
      <c r="B170" s="400" t="s">
        <v>502</v>
      </c>
      <c r="C170" s="400" t="s">
        <v>503</v>
      </c>
      <c r="D170" s="401" t="s">
        <v>482</v>
      </c>
      <c r="E170" s="402" t="str">
        <f>IF(VLOOKUP(A170,'Charriage - Geschiebehaushalt'!$A$4:$AC$275,28,FALSE)="","",VLOOKUP(A170,'Charriage - Geschiebehaushalt'!$A$4:$AC$275,28,FALSE))</f>
        <v>51-80%</v>
      </c>
      <c r="F170" s="403" t="str">
        <f>IF(VLOOKUP(A170,'Charriage - Geschiebehaushalt'!$A$4:$AD$275,30,FALSE)="","",VLOOKUP(A170,'Charriage - Geschiebehaushalt'!$A$4:$AD$275,30,FALSE))</f>
        <v>b</v>
      </c>
      <c r="G170" s="330" t="str">
        <f>IF(VLOOKUP(A170,'Débit - Abfluss'!$A$4:$AD$275,17,FALSE)="","",VLOOKUP(A170,'Débit - Abfluss'!$A$4:$AD$275,17,FALSE))</f>
        <v>21-40%</v>
      </c>
      <c r="H170" s="404" t="str">
        <f>IF(VLOOKUP(A170,'Eclusée - Schwall-Sunk'!$A$2:$F$273,6,FALSE)="","",VLOOKUP(A170,'Eclusée - Schwall-Sunk'!$A$2:$F$273,6,FALSE))</f>
        <v>Non affecté / nicht betroffen</v>
      </c>
      <c r="I170" s="405" t="str">
        <f>IF(VLOOKUP(A170,'Revitalisation-Revitalisierung'!$A$4:$Z$275,25,FALSE)="","",VLOOKUP(A170,'Revitalisation-Revitalisierung'!$A$4:$Z$275,25,FALSE))</f>
        <v>Très nécessaire, facile / unbedingt nötig, einfach</v>
      </c>
      <c r="J170" s="406" t="str">
        <f>IF(VLOOKUP(A170,'Revitalisation-Revitalisierung'!$A$4:$AA$275,27,FALSE)="","",VLOOKUP(A170,'Revitalisation-Revitalisierung'!$A$4:$AA$275,27,FALSE))</f>
        <v>a</v>
      </c>
      <c r="K170" s="407"/>
    </row>
    <row r="171" spans="1:11" ht="20.100000000000001" customHeight="1" x14ac:dyDescent="0.25">
      <c r="A171" s="928">
        <v>171</v>
      </c>
      <c r="B171" s="400" t="s">
        <v>503</v>
      </c>
      <c r="C171" s="400" t="s">
        <v>503</v>
      </c>
      <c r="D171" s="401" t="s">
        <v>482</v>
      </c>
      <c r="E171" s="402" t="str">
        <f>IF(VLOOKUP(A171,'Charriage - Geschiebehaushalt'!$A$4:$AC$275,28,FALSE)="","",VLOOKUP(A171,'Charriage - Geschiebehaushalt'!$A$4:$AC$275,28,FALSE))</f>
        <v>51-80%</v>
      </c>
      <c r="F171" s="403" t="str">
        <f>IF(VLOOKUP(A171,'Charriage - Geschiebehaushalt'!$A$4:$AD$275,30,FALSE)="","",VLOOKUP(A171,'Charriage - Geschiebehaushalt'!$A$4:$AD$275,30,FALSE))</f>
        <v>b</v>
      </c>
      <c r="G171" s="330" t="str">
        <f>IF(VLOOKUP(A171,'Débit - Abfluss'!$A$4:$AD$275,17,FALSE)="","",VLOOKUP(A171,'Débit - Abfluss'!$A$4:$AD$275,17,FALSE))</f>
        <v>21-40%</v>
      </c>
      <c r="H171" s="404" t="str">
        <f>IF(VLOOKUP(A171,'Eclusée - Schwall-Sunk'!$A$2:$F$273,6,FALSE)="","",VLOOKUP(A171,'Eclusée - Schwall-Sunk'!$A$2:$F$273,6,FALSE))</f>
        <v>Non affecté / nicht betroffen</v>
      </c>
      <c r="I171" s="405" t="str">
        <f>IF(VLOOKUP(A171,'Revitalisation-Revitalisierung'!$A$4:$Z$275,25,FALSE)="","",VLOOKUP(A171,'Revitalisation-Revitalisierung'!$A$4:$Z$275,25,FALSE))</f>
        <v>Partiellement nécessaire, difficile / teilweise nötig, schwierig</v>
      </c>
      <c r="J171" s="406" t="str">
        <f>IF(VLOOKUP(A171,'Revitalisation-Revitalisierung'!$A$4:$AA$275,27,FALSE)="","",VLOOKUP(A171,'Revitalisation-Revitalisierung'!$A$4:$AA$275,27,FALSE))</f>
        <v>a</v>
      </c>
      <c r="K171" s="407"/>
    </row>
    <row r="172" spans="1:11" ht="20.100000000000001" customHeight="1" x14ac:dyDescent="0.25">
      <c r="A172" s="926">
        <v>172</v>
      </c>
      <c r="B172" s="400" t="s">
        <v>509</v>
      </c>
      <c r="C172" s="400" t="s">
        <v>503</v>
      </c>
      <c r="D172" s="401" t="s">
        <v>482</v>
      </c>
      <c r="E172" s="402" t="str">
        <f>IF(VLOOKUP(A172,'Charriage - Geschiebehaushalt'!$A$4:$AC$275,28,FALSE)="","",VLOOKUP(A172,'Charriage - Geschiebehaushalt'!$A$4:$AC$275,28,FALSE))</f>
        <v>21-50%</v>
      </c>
      <c r="F172" s="403" t="str">
        <f>IF(VLOOKUP(A172,'Charriage - Geschiebehaushalt'!$A$4:$AD$275,30,FALSE)="","",VLOOKUP(A172,'Charriage - Geschiebehaushalt'!$A$4:$AD$275,30,FALSE))</f>
        <v>a</v>
      </c>
      <c r="G172" s="330" t="str">
        <f>IF(VLOOKUP(A172,'Débit - Abfluss'!$A$4:$AD$275,17,FALSE)="","",VLOOKUP(A172,'Débit - Abfluss'!$A$4:$AD$275,17,FALSE))</f>
        <v>0-20%</v>
      </c>
      <c r="H172" s="404" t="str">
        <f>IF(VLOOKUP(A172,'Eclusée - Schwall-Sunk'!$A$2:$F$273,6,FALSE)="","",VLOOKUP(A172,'Eclusée - Schwall-Sunk'!$A$2:$F$273,6,FALSE))</f>
        <v>Non affecté / nicht betroffen</v>
      </c>
      <c r="I172" s="405" t="str">
        <f>IF(VLOOKUP(A172,'Revitalisation-Revitalisierung'!$A$4:$Z$275,25,FALSE)="","",VLOOKUP(A172,'Revitalisation-Revitalisierung'!$A$4:$Z$275,25,FALSE))</f>
        <v>Non nécessaire / nicht nötig</v>
      </c>
      <c r="J172" s="406" t="str">
        <f>IF(VLOOKUP(A172,'Revitalisation-Revitalisierung'!$A$4:$AA$275,27,FALSE)="","",VLOOKUP(A172,'Revitalisation-Revitalisierung'!$A$4:$AA$275,27,FALSE))</f>
        <v>a</v>
      </c>
      <c r="K172" s="407"/>
    </row>
    <row r="173" spans="1:11" ht="20.100000000000001" customHeight="1" x14ac:dyDescent="0.25">
      <c r="A173" s="926">
        <v>174</v>
      </c>
      <c r="B173" s="400" t="s">
        <v>303</v>
      </c>
      <c r="C173" s="400" t="s">
        <v>304</v>
      </c>
      <c r="D173" s="401" t="s">
        <v>274</v>
      </c>
      <c r="E173" s="402" t="str">
        <f>IF(VLOOKUP(A173,'Charriage - Geschiebehaushalt'!$A$4:$AC$275,28,FALSE)="","",VLOOKUP(A173,'Charriage - Geschiebehaushalt'!$A$4:$AC$275,28,FALSE))</f>
        <v>21-50%</v>
      </c>
      <c r="F173" s="403" t="str">
        <f>IF(VLOOKUP(A173,'Charriage - Geschiebehaushalt'!$A$4:$AD$275,30,FALSE)="","",VLOOKUP(A173,'Charriage - Geschiebehaushalt'!$A$4:$AD$275,30,FALSE))</f>
        <v>a</v>
      </c>
      <c r="G173" s="330" t="str">
        <f>IF(VLOOKUP(A173,'Débit - Abfluss'!$A$4:$AD$275,17,FALSE)="","",VLOOKUP(A173,'Débit - Abfluss'!$A$4:$AD$275,17,FALSE))</f>
        <v>21-40%</v>
      </c>
      <c r="H173" s="404" t="str">
        <f>IF(VLOOKUP(A173,'Eclusée - Schwall-Sunk'!$A$2:$F$273,6,FALSE)="","",VLOOKUP(A173,'Eclusée - Schwall-Sunk'!$A$2:$F$273,6,FALSE))</f>
        <v>Non affecté / nicht betroffen</v>
      </c>
      <c r="I173" s="405" t="str">
        <f>IF(VLOOKUP(A173,'Revitalisation-Revitalisierung'!$A$4:$Z$275,25,FALSE)="","",VLOOKUP(A173,'Revitalisation-Revitalisierung'!$A$4:$Z$275,25,FALSE))</f>
        <v>Partiellement nécessaire, facile / teilweise nötig, einfach</v>
      </c>
      <c r="J173" s="406" t="str">
        <f>IF(VLOOKUP(A173,'Revitalisation-Revitalisierung'!$A$4:$AA$275,27,FALSE)="","",VLOOKUP(A173,'Revitalisation-Revitalisierung'!$A$4:$AA$275,27,FALSE))</f>
        <v>a</v>
      </c>
      <c r="K173" s="407"/>
    </row>
    <row r="174" spans="1:11" ht="20.100000000000001" customHeight="1" x14ac:dyDescent="0.25">
      <c r="A174" s="926">
        <v>176</v>
      </c>
      <c r="B174" s="400" t="s">
        <v>305</v>
      </c>
      <c r="C174" s="400" t="s">
        <v>304</v>
      </c>
      <c r="D174" s="401" t="s">
        <v>274</v>
      </c>
      <c r="E174" s="402" t="str">
        <f>IF(VLOOKUP(A174,'Charriage - Geschiebehaushalt'!$A$4:$AC$275,28,FALSE)="","",VLOOKUP(A174,'Charriage - Geschiebehaushalt'!$A$4:$AC$275,28,FALSE))</f>
        <v>21-50%</v>
      </c>
      <c r="F174" s="403" t="str">
        <f>IF(VLOOKUP(A174,'Charriage - Geschiebehaushalt'!$A$4:$AD$275,30,FALSE)="","",VLOOKUP(A174,'Charriage - Geschiebehaushalt'!$A$4:$AD$275,30,FALSE))</f>
        <v>a</v>
      </c>
      <c r="G174" s="330" t="str">
        <f>IF(VLOOKUP(A174,'Débit - Abfluss'!$A$4:$AD$275,17,FALSE)="","",VLOOKUP(A174,'Débit - Abfluss'!$A$4:$AD$275,17,FALSE))</f>
        <v>21-40%</v>
      </c>
      <c r="H174" s="404" t="str">
        <f>IF(VLOOKUP(A174,'Eclusée - Schwall-Sunk'!$A$2:$F$273,6,FALSE)="","",VLOOKUP(A174,'Eclusée - Schwall-Sunk'!$A$2:$F$273,6,FALSE))</f>
        <v>Non affecté / nicht betroffen</v>
      </c>
      <c r="I174" s="405" t="str">
        <f>IF(VLOOKUP(A174,'Revitalisation-Revitalisierung'!$A$4:$Z$275,25,FALSE)="","",VLOOKUP(A174,'Revitalisation-Revitalisierung'!$A$4:$Z$275,25,FALSE))</f>
        <v>Non nécessaire / nicht nötig</v>
      </c>
      <c r="J174" s="406" t="str">
        <f>IF(VLOOKUP(A174,'Revitalisation-Revitalisierung'!$A$4:$AA$275,27,FALSE)="","",VLOOKUP(A174,'Revitalisation-Revitalisierung'!$A$4:$AA$275,27,FALSE))</f>
        <v>a</v>
      </c>
      <c r="K174" s="407"/>
    </row>
    <row r="175" spans="1:11" ht="20.100000000000001" customHeight="1" x14ac:dyDescent="0.25">
      <c r="A175" s="926">
        <v>177</v>
      </c>
      <c r="B175" s="400" t="s">
        <v>306</v>
      </c>
      <c r="C175" s="400" t="s">
        <v>304</v>
      </c>
      <c r="D175" s="401" t="s">
        <v>274</v>
      </c>
      <c r="E175" s="402" t="str">
        <f>IF(VLOOKUP(A175,'Charriage - Geschiebehaushalt'!$A$4:$AC$275,28,FALSE)="","",VLOOKUP(A175,'Charriage - Geschiebehaushalt'!$A$4:$AC$275,28,FALSE))</f>
        <v>51-80%</v>
      </c>
      <c r="F175" s="403" t="str">
        <f>IF(VLOOKUP(A175,'Charriage - Geschiebehaushalt'!$A$4:$AD$275,30,FALSE)="","",VLOOKUP(A175,'Charriage - Geschiebehaushalt'!$A$4:$AD$275,30,FALSE))</f>
        <v>a</v>
      </c>
      <c r="G175" s="330" t="str">
        <f>IF(VLOOKUP(A175,'Débit - Abfluss'!$A$4:$AD$275,17,FALSE)="","",VLOOKUP(A175,'Débit - Abfluss'!$A$4:$AD$275,17,FALSE))</f>
        <v>21-40%</v>
      </c>
      <c r="H175" s="404" t="str">
        <f>IF(VLOOKUP(A175,'Eclusée - Schwall-Sunk'!$A$2:$F$273,6,FALSE)="","",VLOOKUP(A175,'Eclusée - Schwall-Sunk'!$A$2:$F$273,6,FALSE))</f>
        <v>Non affecté / nicht betroffen</v>
      </c>
      <c r="I175" s="405" t="str">
        <f>IF(VLOOKUP(A175,'Revitalisation-Revitalisierung'!$A$4:$Z$275,25,FALSE)="","",VLOOKUP(A175,'Revitalisation-Revitalisierung'!$A$4:$Z$275,25,FALSE))</f>
        <v>Partiellement nécessaire, facile / teilweise nötig, einfach</v>
      </c>
      <c r="J175" s="406" t="str">
        <f>IF(VLOOKUP(A175,'Revitalisation-Revitalisierung'!$A$4:$AA$275,27,FALSE)="","",VLOOKUP(A175,'Revitalisation-Revitalisierung'!$A$4:$AA$275,27,FALSE))</f>
        <v>a</v>
      </c>
      <c r="K175" s="407"/>
    </row>
    <row r="176" spans="1:11" ht="20.100000000000001" customHeight="1" x14ac:dyDescent="0.25">
      <c r="A176" s="926">
        <v>181</v>
      </c>
      <c r="B176" s="400" t="s">
        <v>309</v>
      </c>
      <c r="C176" s="400" t="s">
        <v>304</v>
      </c>
      <c r="D176" s="401" t="s">
        <v>274</v>
      </c>
      <c r="E176" s="402" t="str">
        <f>IF(VLOOKUP(A176,'Charriage - Geschiebehaushalt'!$A$4:$AC$275,28,FALSE)="","",VLOOKUP(A176,'Charriage - Geschiebehaushalt'!$A$4:$AC$275,28,FALSE))</f>
        <v>21-50%</v>
      </c>
      <c r="F176" s="403" t="str">
        <f>IF(VLOOKUP(A176,'Charriage - Geschiebehaushalt'!$A$4:$AD$275,30,FALSE)="","",VLOOKUP(A176,'Charriage - Geschiebehaushalt'!$A$4:$AD$275,30,FALSE))</f>
        <v>a</v>
      </c>
      <c r="G176" s="330" t="str">
        <f>IF(VLOOKUP(A176,'Débit - Abfluss'!$A$4:$AD$275,17,FALSE)="","",VLOOKUP(A176,'Débit - Abfluss'!$A$4:$AD$275,17,FALSE))</f>
        <v>21-40%</v>
      </c>
      <c r="H176" s="404" t="str">
        <f>IF(VLOOKUP(A176,'Eclusée - Schwall-Sunk'!$A$2:$F$273,6,FALSE)="","",VLOOKUP(A176,'Eclusée - Schwall-Sunk'!$A$2:$F$273,6,FALSE))</f>
        <v>Non affecté / nicht betroffen</v>
      </c>
      <c r="I176" s="405" t="str">
        <f>IF(VLOOKUP(A176,'Revitalisation-Revitalisierung'!$A$4:$Z$275,25,FALSE)="","",VLOOKUP(A176,'Revitalisation-Revitalisierung'!$A$4:$Z$275,25,FALSE))</f>
        <v>Non nécessaire / nicht nötig</v>
      </c>
      <c r="J176" s="406" t="str">
        <f>IF(VLOOKUP(A176,'Revitalisation-Revitalisierung'!$A$4:$AA$275,27,FALSE)="","",VLOOKUP(A176,'Revitalisation-Revitalisierung'!$A$4:$AA$275,27,FALSE))</f>
        <v>a</v>
      </c>
      <c r="K176" s="407"/>
    </row>
    <row r="177" spans="1:11" ht="20.100000000000001" customHeight="1" x14ac:dyDescent="0.25">
      <c r="A177" s="926">
        <v>185</v>
      </c>
      <c r="B177" s="400" t="s">
        <v>312</v>
      </c>
      <c r="C177" s="400" t="s">
        <v>304</v>
      </c>
      <c r="D177" s="401" t="s">
        <v>274</v>
      </c>
      <c r="E177" s="402" t="str">
        <f>IF(VLOOKUP(A177,'Charriage - Geschiebehaushalt'!$A$4:$AC$275,28,FALSE)="","",VLOOKUP(A177,'Charriage - Geschiebehaushalt'!$A$4:$AC$275,28,FALSE))</f>
        <v>21-50%</v>
      </c>
      <c r="F177" s="403" t="str">
        <f>IF(VLOOKUP(A177,'Charriage - Geschiebehaushalt'!$A$4:$AD$275,30,FALSE)="","",VLOOKUP(A177,'Charriage - Geschiebehaushalt'!$A$4:$AD$275,30,FALSE))</f>
        <v>a</v>
      </c>
      <c r="G177" s="330" t="str">
        <f>IF(VLOOKUP(A177,'Débit - Abfluss'!$A$4:$AD$275,17,FALSE)="","",VLOOKUP(A177,'Débit - Abfluss'!$A$4:$AD$275,17,FALSE))</f>
        <v>21-40%</v>
      </c>
      <c r="H177" s="404" t="str">
        <f>IF(VLOOKUP(A177,'Eclusée - Schwall-Sunk'!$A$2:$F$273,6,FALSE)="","",VLOOKUP(A177,'Eclusée - Schwall-Sunk'!$A$2:$F$273,6,FALSE))</f>
        <v>Non affecté / nicht betroffen</v>
      </c>
      <c r="I177" s="405" t="str">
        <f>IF(VLOOKUP(A177,'Revitalisation-Revitalisierung'!$A$4:$Z$275,25,FALSE)="","",VLOOKUP(A177,'Revitalisation-Revitalisierung'!$A$4:$Z$275,25,FALSE))</f>
        <v>Non nécessaire / nicht nötig</v>
      </c>
      <c r="J177" s="406" t="str">
        <f>IF(VLOOKUP(A177,'Revitalisation-Revitalisierung'!$A$4:$AA$275,27,FALSE)="","",VLOOKUP(A177,'Revitalisation-Revitalisierung'!$A$4:$AA$275,27,FALSE))</f>
        <v>a</v>
      </c>
      <c r="K177" s="407"/>
    </row>
    <row r="178" spans="1:11" ht="20.100000000000001" customHeight="1" x14ac:dyDescent="0.25">
      <c r="A178" s="926">
        <v>187</v>
      </c>
      <c r="B178" s="400" t="s">
        <v>314</v>
      </c>
      <c r="C178" s="400" t="s">
        <v>315</v>
      </c>
      <c r="D178" s="401" t="s">
        <v>274</v>
      </c>
      <c r="E178" s="402" t="str">
        <f>IF(VLOOKUP(A178,'Charriage - Geschiebehaushalt'!$A$4:$AC$275,28,FALSE)="","",VLOOKUP(A178,'Charriage - Geschiebehaushalt'!$A$4:$AC$275,28,FALSE))</f>
        <v>51-80%</v>
      </c>
      <c r="F178" s="403" t="str">
        <f>IF(VLOOKUP(A178,'Charriage - Geschiebehaushalt'!$A$4:$AD$275,30,FALSE)="","",VLOOKUP(A178,'Charriage - Geschiebehaushalt'!$A$4:$AD$275,30,FALSE))</f>
        <v>b</v>
      </c>
      <c r="G178" s="330" t="str">
        <f>IF(VLOOKUP(A178,'Débit - Abfluss'!$A$4:$AD$275,17,FALSE)="","",VLOOKUP(A178,'Débit - Abfluss'!$A$4:$AD$275,17,FALSE))</f>
        <v>100%</v>
      </c>
      <c r="H178" s="404" t="str">
        <f>IF(VLOOKUP(A178,'Eclusée - Schwall-Sunk'!$A$2:$F$273,6,FALSE)="","",VLOOKUP(A178,'Eclusée - Schwall-Sunk'!$A$2:$F$273,6,FALSE))</f>
        <v>Non affecté / nicht betroffen</v>
      </c>
      <c r="I178" s="405" t="str">
        <f>IF(VLOOKUP(A178,'Revitalisation-Revitalisierung'!$A$4:$Z$275,25,FALSE)="","",VLOOKUP(A178,'Revitalisation-Revitalisierung'!$A$4:$Z$275,25,FALSE))</f>
        <v>Non nécessaire / nicht nötig</v>
      </c>
      <c r="J178" s="406" t="str">
        <f>IF(VLOOKUP(A178,'Revitalisation-Revitalisierung'!$A$4:$AA$275,27,FALSE)="","",VLOOKUP(A178,'Revitalisation-Revitalisierung'!$A$4:$AA$275,27,FALSE))</f>
        <v>a</v>
      </c>
      <c r="K178" s="407"/>
    </row>
    <row r="179" spans="1:11" ht="20.100000000000001" customHeight="1" x14ac:dyDescent="0.25">
      <c r="A179" s="926">
        <v>188</v>
      </c>
      <c r="B179" s="400" t="s">
        <v>317</v>
      </c>
      <c r="C179" s="400" t="s">
        <v>304</v>
      </c>
      <c r="D179" s="401" t="s">
        <v>274</v>
      </c>
      <c r="E179" s="402" t="str">
        <f>IF(VLOOKUP(A179,'Charriage - Geschiebehaushalt'!$A$4:$AC$275,28,FALSE)="","",VLOOKUP(A179,'Charriage - Geschiebehaushalt'!$A$4:$AC$275,28,FALSE))</f>
        <v>0-20%</v>
      </c>
      <c r="F179" s="403" t="str">
        <f>IF(VLOOKUP(A179,'Charriage - Geschiebehaushalt'!$A$4:$AD$275,30,FALSE)="","",VLOOKUP(A179,'Charriage - Geschiebehaushalt'!$A$4:$AD$275,30,FALSE))</f>
        <v>a</v>
      </c>
      <c r="G179" s="330" t="str">
        <f>IF(VLOOKUP(A179,'Débit - Abfluss'!$A$4:$AD$275,17,FALSE)="","",VLOOKUP(A179,'Débit - Abfluss'!$A$4:$AD$275,17,FALSE))</f>
        <v>100%</v>
      </c>
      <c r="H179" s="404" t="str">
        <f>IF(VLOOKUP(A179,'Eclusée - Schwall-Sunk'!$A$2:$F$273,6,FALSE)="","",VLOOKUP(A179,'Eclusée - Schwall-Sunk'!$A$2:$F$273,6,FALSE))</f>
        <v>Potentiellement affecté mais non plausible / möglicherweise betroffen aber nicht nachweisbar</v>
      </c>
      <c r="I179" s="405" t="str">
        <f>IF(VLOOKUP(A179,'Revitalisation-Revitalisierung'!$A$4:$Z$275,25,FALSE)="","",VLOOKUP(A179,'Revitalisation-Revitalisierung'!$A$4:$Z$275,25,FALSE))</f>
        <v>Partiellement nécessaire, facile / teilweise nötig, einfach</v>
      </c>
      <c r="J179" s="406" t="str">
        <f>IF(VLOOKUP(A179,'Revitalisation-Revitalisierung'!$A$4:$AA$275,27,FALSE)="","",VLOOKUP(A179,'Revitalisation-Revitalisierung'!$A$4:$AA$275,27,FALSE))</f>
        <v>a</v>
      </c>
      <c r="K179" s="407"/>
    </row>
    <row r="180" spans="1:11" ht="20.100000000000001" customHeight="1" x14ac:dyDescent="0.25">
      <c r="A180" s="926">
        <v>190</v>
      </c>
      <c r="B180" s="400" t="s">
        <v>318</v>
      </c>
      <c r="C180" s="400" t="s">
        <v>319</v>
      </c>
      <c r="D180" s="401" t="s">
        <v>274</v>
      </c>
      <c r="E180" s="402" t="str">
        <f>IF(VLOOKUP(A180,'Charriage - Geschiebehaushalt'!$A$4:$AC$275,28,FALSE)="","",VLOOKUP(A180,'Charriage - Geschiebehaushalt'!$A$4:$AC$275,28,FALSE))</f>
        <v>0-20%</v>
      </c>
      <c r="F180" s="403" t="str">
        <f>IF(VLOOKUP(A180,'Charriage - Geschiebehaushalt'!$A$4:$AD$275,30,FALSE)="","",VLOOKUP(A180,'Charriage - Geschiebehaushalt'!$A$4:$AD$275,30,FALSE))</f>
        <v>a</v>
      </c>
      <c r="G180" s="330" t="str">
        <f>IF(VLOOKUP(A180,'Débit - Abfluss'!$A$4:$AD$275,17,FALSE)="","",VLOOKUP(A180,'Débit - Abfluss'!$A$4:$AD$275,17,FALSE))</f>
        <v>100%</v>
      </c>
      <c r="H180" s="404" t="str">
        <f>IF(VLOOKUP(A180,'Eclusée - Schwall-Sunk'!$A$2:$F$273,6,FALSE)="","",VLOOKUP(A180,'Eclusée - Schwall-Sunk'!$A$2:$F$273,6,FALSE))</f>
        <v>Potentiellement affecté mais non plausible / möglicherweise betroffen aber nicht nachweisbar</v>
      </c>
      <c r="I180" s="405" t="str">
        <f>IF(VLOOKUP(A180,'Revitalisation-Revitalisierung'!$A$4:$Z$275,25,FALSE)="","",VLOOKUP(A180,'Revitalisation-Revitalisierung'!$A$4:$Z$275,25,FALSE))</f>
        <v>Très nécessaire, facile / unbedingt nötig, einfach</v>
      </c>
      <c r="J180" s="406" t="str">
        <f>IF(VLOOKUP(A180,'Revitalisation-Revitalisierung'!$A$4:$AA$275,27,FALSE)="","",VLOOKUP(A180,'Revitalisation-Revitalisierung'!$A$4:$AA$275,27,FALSE))</f>
        <v>a</v>
      </c>
      <c r="K180" s="407"/>
    </row>
    <row r="181" spans="1:11" ht="20.100000000000001" customHeight="1" x14ac:dyDescent="0.25">
      <c r="A181" s="926">
        <v>194</v>
      </c>
      <c r="B181" s="400" t="s">
        <v>320</v>
      </c>
      <c r="C181" s="400" t="s">
        <v>321</v>
      </c>
      <c r="D181" s="401" t="s">
        <v>274</v>
      </c>
      <c r="E181" s="402" t="str">
        <f>IF(VLOOKUP(A181,'Charriage - Geschiebehaushalt'!$A$4:$AC$275,28,FALSE)="","",VLOOKUP(A181,'Charriage - Geschiebehaushalt'!$A$4:$AC$275,28,FALSE))</f>
        <v>0-20%</v>
      </c>
      <c r="F181" s="403" t="str">
        <f>IF(VLOOKUP(A181,'Charriage - Geschiebehaushalt'!$A$4:$AD$275,30,FALSE)="","",VLOOKUP(A181,'Charriage - Geschiebehaushalt'!$A$4:$AD$275,30,FALSE))</f>
        <v>a</v>
      </c>
      <c r="G181" s="330" t="str">
        <f>IF(VLOOKUP(A181,'Débit - Abfluss'!$A$4:$AD$275,17,FALSE)="","",VLOOKUP(A181,'Débit - Abfluss'!$A$4:$AD$275,17,FALSE))</f>
        <v>100%</v>
      </c>
      <c r="H181" s="404" t="str">
        <f>IF(VLOOKUP(A181,'Eclusée - Schwall-Sunk'!$A$2:$F$273,6,FALSE)="","",VLOOKUP(A181,'Eclusée - Schwall-Sunk'!$A$2:$F$273,6,FALSE))</f>
        <v>Potentiellement affecté / möglicherweise betroffen</v>
      </c>
      <c r="I181" s="405" t="str">
        <f>IF(VLOOKUP(A181,'Revitalisation-Revitalisierung'!$A$4:$Z$275,25,FALSE)="","",VLOOKUP(A181,'Revitalisation-Revitalisierung'!$A$4:$Z$275,25,FALSE))</f>
        <v>Très nécessaire, facile / unbedingt nötig, einfach</v>
      </c>
      <c r="J181" s="406" t="str">
        <f>IF(VLOOKUP(A181,'Revitalisation-Revitalisierung'!$A$4:$AA$275,27,FALSE)="","",VLOOKUP(A181,'Revitalisation-Revitalisierung'!$A$4:$AA$275,27,FALSE))</f>
        <v>a</v>
      </c>
      <c r="K181" s="407"/>
    </row>
    <row r="182" spans="1:11" ht="20.100000000000001" customHeight="1" x14ac:dyDescent="0.25">
      <c r="A182" s="926">
        <v>195</v>
      </c>
      <c r="B182" s="400" t="s">
        <v>322</v>
      </c>
      <c r="C182" s="400" t="s">
        <v>323</v>
      </c>
      <c r="D182" s="401" t="s">
        <v>274</v>
      </c>
      <c r="E182" s="402" t="str">
        <f>IF(VLOOKUP(A182,'Charriage - Geschiebehaushalt'!$A$4:$AC$275,28,FALSE)="","",VLOOKUP(A182,'Charriage - Geschiebehaushalt'!$A$4:$AC$275,28,FALSE))</f>
        <v>21-50%</v>
      </c>
      <c r="F182" s="403" t="str">
        <f>IF(VLOOKUP(A182,'Charriage - Geschiebehaushalt'!$A$4:$AD$275,30,FALSE)="","",VLOOKUP(A182,'Charriage - Geschiebehaushalt'!$A$4:$AD$275,30,FALSE))</f>
        <v>a</v>
      </c>
      <c r="G182" s="330" t="str">
        <f>IF(VLOOKUP(A182,'Débit - Abfluss'!$A$4:$AD$275,17,FALSE)="","",VLOOKUP(A182,'Débit - Abfluss'!$A$4:$AD$275,17,FALSE))</f>
        <v>61-80%</v>
      </c>
      <c r="H182" s="404" t="str">
        <f>IF(VLOOKUP(A182,'Eclusée - Schwall-Sunk'!$A$2:$F$273,6,FALSE)="","",VLOOKUP(A182,'Eclusée - Schwall-Sunk'!$A$2:$F$273,6,FALSE))</f>
        <v>Non affecté / nicht betroffen</v>
      </c>
      <c r="I182" s="405" t="str">
        <f>IF(VLOOKUP(A182,'Revitalisation-Revitalisierung'!$A$4:$Z$275,25,FALSE)="","",VLOOKUP(A182,'Revitalisation-Revitalisierung'!$A$4:$Z$275,25,FALSE))</f>
        <v>Partiellement nécessaire, difficile / teilweise nötig, schwierig</v>
      </c>
      <c r="J182" s="406" t="str">
        <f>IF(VLOOKUP(A182,'Revitalisation-Revitalisierung'!$A$4:$AA$275,27,FALSE)="","",VLOOKUP(A182,'Revitalisation-Revitalisierung'!$A$4:$AA$275,27,FALSE))</f>
        <v>a</v>
      </c>
      <c r="K182" s="407"/>
    </row>
    <row r="183" spans="1:11" ht="20.100000000000001" customHeight="1" x14ac:dyDescent="0.25">
      <c r="A183" s="926">
        <v>198</v>
      </c>
      <c r="B183" s="400" t="s">
        <v>601</v>
      </c>
      <c r="C183" s="400" t="s">
        <v>217</v>
      </c>
      <c r="D183" s="401" t="s">
        <v>573</v>
      </c>
      <c r="E183" s="402" t="str">
        <f>IF(VLOOKUP(A183,'Charriage - Geschiebehaushalt'!$A$4:$AC$275,28,FALSE)="","",VLOOKUP(A183,'Charriage - Geschiebehaushalt'!$A$4:$AC$275,28,FALSE))</f>
        <v>non pertinent / nicht relevant</v>
      </c>
      <c r="F183" s="403" t="str">
        <f>IF(VLOOKUP(A183,'Charriage - Geschiebehaushalt'!$A$4:$AD$275,30,FALSE)="","",VLOOKUP(A183,'Charriage - Geschiebehaushalt'!$A$4:$AD$275,30,FALSE))</f>
        <v>a</v>
      </c>
      <c r="G183" s="330" t="str">
        <f>IF(VLOOKUP(A183,'Débit - Abfluss'!$A$4:$AD$275,17,FALSE)="","",VLOOKUP(A183,'Débit - Abfluss'!$A$4:$AD$275,17,FALSE))</f>
        <v>non pertinent / nicht relevant</v>
      </c>
      <c r="H183" s="404" t="str">
        <f>IF(VLOOKUP(A183,'Eclusée - Schwall-Sunk'!$A$2:$F$273,6,FALSE)="","",VLOOKUP(A183,'Eclusée - Schwall-Sunk'!$A$2:$F$273,6,FALSE))</f>
        <v>Non affecté / nicht betroffen</v>
      </c>
      <c r="I183" s="405" t="str">
        <f>IF(VLOOKUP(A183,'Revitalisation-Revitalisierung'!$A$4:$Z$275,25,FALSE)="","",VLOOKUP(A183,'Revitalisation-Revitalisierung'!$A$4:$Z$275,25,FALSE))</f>
        <v>non pertinent / nicht relevant</v>
      </c>
      <c r="J183" s="406" t="str">
        <f>IF(VLOOKUP(A183,'Revitalisation-Revitalisierung'!$A$4:$AA$275,27,FALSE)="","",VLOOKUP(A183,'Revitalisation-Revitalisierung'!$A$4:$AA$275,27,FALSE))</f>
        <v>a</v>
      </c>
      <c r="K183" s="407"/>
    </row>
    <row r="184" spans="1:11" ht="20.100000000000001" customHeight="1" x14ac:dyDescent="0.25">
      <c r="A184" s="926">
        <v>200</v>
      </c>
      <c r="B184" s="400" t="s">
        <v>602</v>
      </c>
      <c r="C184" s="400" t="s">
        <v>217</v>
      </c>
      <c r="D184" s="401" t="s">
        <v>573</v>
      </c>
      <c r="E184" s="402" t="str">
        <f>IF(VLOOKUP(A184,'Charriage - Geschiebehaushalt'!$A$4:$AC$275,28,FALSE)="","",VLOOKUP(A184,'Charriage - Geschiebehaushalt'!$A$4:$AC$275,28,FALSE))</f>
        <v>non pertinent / nicht relevant</v>
      </c>
      <c r="F184" s="403" t="str">
        <f>IF(VLOOKUP(A184,'Charriage - Geschiebehaushalt'!$A$4:$AD$275,30,FALSE)="","",VLOOKUP(A184,'Charriage - Geschiebehaushalt'!$A$4:$AD$275,30,FALSE))</f>
        <v>a</v>
      </c>
      <c r="G184" s="330" t="str">
        <f>IF(VLOOKUP(A184,'Débit - Abfluss'!$A$4:$AD$275,17,FALSE)="","",VLOOKUP(A184,'Débit - Abfluss'!$A$4:$AD$275,17,FALSE))</f>
        <v>non pertinent / nicht relevant</v>
      </c>
      <c r="H184" s="404" t="str">
        <f>IF(VLOOKUP(A184,'Eclusée - Schwall-Sunk'!$A$2:$F$273,6,FALSE)="","",VLOOKUP(A184,'Eclusée - Schwall-Sunk'!$A$2:$F$273,6,FALSE))</f>
        <v>Non affecté / nicht betroffen</v>
      </c>
      <c r="I184" s="405" t="str">
        <f>IF(VLOOKUP(A184,'Revitalisation-Revitalisierung'!$A$4:$Z$275,25,FALSE)="","",VLOOKUP(A184,'Revitalisation-Revitalisierung'!$A$4:$Z$275,25,FALSE))</f>
        <v>non pertinent / nicht relevant</v>
      </c>
      <c r="J184" s="406" t="str">
        <f>IF(VLOOKUP(A184,'Revitalisation-Revitalisierung'!$A$4:$AA$275,27,FALSE)="","",VLOOKUP(A184,'Revitalisation-Revitalisierung'!$A$4:$AA$275,27,FALSE))</f>
        <v>a</v>
      </c>
      <c r="K184" s="407"/>
    </row>
    <row r="185" spans="1:11" ht="20.100000000000001" customHeight="1" x14ac:dyDescent="0.25">
      <c r="A185" s="926">
        <v>201</v>
      </c>
      <c r="B185" s="400" t="s">
        <v>603</v>
      </c>
      <c r="C185" s="400" t="s">
        <v>217</v>
      </c>
      <c r="D185" s="401" t="s">
        <v>573</v>
      </c>
      <c r="E185" s="402" t="str">
        <f>IF(VLOOKUP(A185,'Charriage - Geschiebehaushalt'!$A$4:$AC$275,28,FALSE)="","",VLOOKUP(A185,'Charriage - Geschiebehaushalt'!$A$4:$AC$275,28,FALSE))</f>
        <v>non pertinent / nicht relevant</v>
      </c>
      <c r="F185" s="403" t="str">
        <f>IF(VLOOKUP(A185,'Charriage - Geschiebehaushalt'!$A$4:$AD$275,30,FALSE)="","",VLOOKUP(A185,'Charriage - Geschiebehaushalt'!$A$4:$AD$275,30,FALSE))</f>
        <v>a</v>
      </c>
      <c r="G185" s="330" t="str">
        <f>IF(VLOOKUP(A185,'Débit - Abfluss'!$A$4:$AD$275,17,FALSE)="","",VLOOKUP(A185,'Débit - Abfluss'!$A$4:$AD$275,17,FALSE))</f>
        <v>non pertinent / nicht relevant</v>
      </c>
      <c r="H185" s="404" t="str">
        <f>IF(VLOOKUP(A185,'Eclusée - Schwall-Sunk'!$A$2:$F$273,6,FALSE)="","",VLOOKUP(A185,'Eclusée - Schwall-Sunk'!$A$2:$F$273,6,FALSE))</f>
        <v>Non affecté / nicht betroffen</v>
      </c>
      <c r="I185" s="405" t="str">
        <f>IF(VLOOKUP(A185,'Revitalisation-Revitalisierung'!$A$4:$Z$275,25,FALSE)="","",VLOOKUP(A185,'Revitalisation-Revitalisierung'!$A$4:$Z$275,25,FALSE))</f>
        <v>non pertinent / nicht relevant</v>
      </c>
      <c r="J185" s="406" t="str">
        <f>IF(VLOOKUP(A185,'Revitalisation-Revitalisierung'!$A$4:$AA$275,27,FALSE)="","",VLOOKUP(A185,'Revitalisation-Revitalisierung'!$A$4:$AA$275,27,FALSE))</f>
        <v>a</v>
      </c>
      <c r="K185" s="407"/>
    </row>
    <row r="186" spans="1:11" ht="20.100000000000001" customHeight="1" x14ac:dyDescent="0.25">
      <c r="A186" s="926">
        <v>202</v>
      </c>
      <c r="B186" s="400" t="s">
        <v>604</v>
      </c>
      <c r="C186" s="400" t="s">
        <v>217</v>
      </c>
      <c r="D186" s="401" t="s">
        <v>573</v>
      </c>
      <c r="E186" s="402" t="str">
        <f>IF(VLOOKUP(A186,'Charriage - Geschiebehaushalt'!$A$4:$AC$275,28,FALSE)="","",VLOOKUP(A186,'Charriage - Geschiebehaushalt'!$A$4:$AC$275,28,FALSE))</f>
        <v>non pertinent / nicht relevant</v>
      </c>
      <c r="F186" s="403" t="str">
        <f>IF(VLOOKUP(A186,'Charriage - Geschiebehaushalt'!$A$4:$AD$275,30,FALSE)="","",VLOOKUP(A186,'Charriage - Geschiebehaushalt'!$A$4:$AD$275,30,FALSE))</f>
        <v>a</v>
      </c>
      <c r="G186" s="330" t="str">
        <f>IF(VLOOKUP(A186,'Débit - Abfluss'!$A$4:$AD$275,17,FALSE)="","",VLOOKUP(A186,'Débit - Abfluss'!$A$4:$AD$275,17,FALSE))</f>
        <v>non pertinent / nicht relevant</v>
      </c>
      <c r="H186" s="404" t="str">
        <f>IF(VLOOKUP(A186,'Eclusée - Schwall-Sunk'!$A$2:$F$273,6,FALSE)="","",VLOOKUP(A186,'Eclusée - Schwall-Sunk'!$A$2:$F$273,6,FALSE))</f>
        <v>Non affecté / nicht betroffen</v>
      </c>
      <c r="I186" s="405" t="str">
        <f>IF(VLOOKUP(A186,'Revitalisation-Revitalisierung'!$A$4:$Z$275,25,FALSE)="","",VLOOKUP(A186,'Revitalisation-Revitalisierung'!$A$4:$Z$275,25,FALSE))</f>
        <v>non pertinent / nicht relevant</v>
      </c>
      <c r="J186" s="406" t="str">
        <f>IF(VLOOKUP(A186,'Revitalisation-Revitalisierung'!$A$4:$AA$275,27,FALSE)="","",VLOOKUP(A186,'Revitalisation-Revitalisierung'!$A$4:$AA$275,27,FALSE))</f>
        <v>a</v>
      </c>
      <c r="K186" s="407"/>
    </row>
    <row r="187" spans="1:11" ht="20.100000000000001" customHeight="1" x14ac:dyDescent="0.25">
      <c r="A187" s="926">
        <v>203</v>
      </c>
      <c r="B187" s="400" t="s">
        <v>237</v>
      </c>
      <c r="C187" s="400" t="s">
        <v>217</v>
      </c>
      <c r="D187" s="401" t="s">
        <v>233</v>
      </c>
      <c r="E187" s="402" t="str">
        <f>IF(VLOOKUP(A187,'Charriage - Geschiebehaushalt'!$A$4:$AC$275,28,FALSE)="","",VLOOKUP(A187,'Charriage - Geschiebehaushalt'!$A$4:$AC$275,28,FALSE))</f>
        <v>non pertinent / nicht relevant</v>
      </c>
      <c r="F187" s="403" t="str">
        <f>IF(VLOOKUP(A187,'Charriage - Geschiebehaushalt'!$A$4:$AD$275,30,FALSE)="","",VLOOKUP(A187,'Charriage - Geschiebehaushalt'!$A$4:$AD$275,30,FALSE))</f>
        <v>a</v>
      </c>
      <c r="G187" s="330" t="str">
        <f>IF(VLOOKUP(A187,'Débit - Abfluss'!$A$4:$AD$275,17,FALSE)="","",VLOOKUP(A187,'Débit - Abfluss'!$A$4:$AD$275,17,FALSE))</f>
        <v>non pertinent / nicht relevant</v>
      </c>
      <c r="H187" s="404" t="str">
        <f>IF(VLOOKUP(A187,'Eclusée - Schwall-Sunk'!$A$2:$F$273,6,FALSE)="","",VLOOKUP(A187,'Eclusée - Schwall-Sunk'!$A$2:$F$273,6,FALSE))</f>
        <v>Non affecté / nicht betroffen</v>
      </c>
      <c r="I187" s="405" t="str">
        <f>IF(VLOOKUP(A187,'Revitalisation-Revitalisierung'!$A$4:$Z$275,25,FALSE)="","",VLOOKUP(A187,'Revitalisation-Revitalisierung'!$A$4:$Z$275,25,FALSE))</f>
        <v>non pertinent / nicht relevant</v>
      </c>
      <c r="J187" s="406" t="str">
        <f>IF(VLOOKUP(A187,'Revitalisation-Revitalisierung'!$A$4:$AA$275,27,FALSE)="","",VLOOKUP(A187,'Revitalisation-Revitalisierung'!$A$4:$AA$275,27,FALSE))</f>
        <v>a</v>
      </c>
      <c r="K187" s="407"/>
    </row>
    <row r="188" spans="1:11" ht="20.100000000000001" customHeight="1" x14ac:dyDescent="0.25">
      <c r="A188" s="926">
        <v>204</v>
      </c>
      <c r="B188" s="400" t="s">
        <v>216</v>
      </c>
      <c r="C188" s="400" t="s">
        <v>217</v>
      </c>
      <c r="D188" s="401" t="s">
        <v>197</v>
      </c>
      <c r="E188" s="402" t="str">
        <f>IF(VLOOKUP(A188,'Charriage - Geschiebehaushalt'!$A$4:$AC$275,28,FALSE)="","",VLOOKUP(A188,'Charriage - Geschiebehaushalt'!$A$4:$AC$275,28,FALSE))</f>
        <v>non pertinent / nicht relevant</v>
      </c>
      <c r="F188" s="403" t="str">
        <f>IF(VLOOKUP(A188,'Charriage - Geschiebehaushalt'!$A$4:$AD$275,30,FALSE)="","",VLOOKUP(A188,'Charriage - Geschiebehaushalt'!$A$4:$AD$275,30,FALSE))</f>
        <v>a</v>
      </c>
      <c r="G188" s="330" t="str">
        <f>IF(VLOOKUP(A188,'Débit - Abfluss'!$A$4:$AD$275,17,FALSE)="","",VLOOKUP(A188,'Débit - Abfluss'!$A$4:$AD$275,17,FALSE))</f>
        <v>non pertinent / nicht relevant</v>
      </c>
      <c r="H188" s="404" t="str">
        <f>IF(VLOOKUP(A188,'Eclusée - Schwall-Sunk'!$A$2:$F$273,6,FALSE)="","",VLOOKUP(A188,'Eclusée - Schwall-Sunk'!$A$2:$F$273,6,FALSE))</f>
        <v>Non affecté / nicht betroffen</v>
      </c>
      <c r="I188" s="405" t="str">
        <f>IF(VLOOKUP(A188,'Revitalisation-Revitalisierung'!$A$4:$Z$275,25,FALSE)="","",VLOOKUP(A188,'Revitalisation-Revitalisierung'!$A$4:$Z$275,25,FALSE))</f>
        <v>non pertinent / nicht relevant</v>
      </c>
      <c r="J188" s="406" t="str">
        <f>IF(VLOOKUP(A188,'Revitalisation-Revitalisierung'!$A$4:$AA$275,27,FALSE)="","",VLOOKUP(A188,'Revitalisation-Revitalisierung'!$A$4:$AA$275,27,FALSE))</f>
        <v>a</v>
      </c>
      <c r="K188" s="407"/>
    </row>
    <row r="189" spans="1:11" ht="20.100000000000001" customHeight="1" x14ac:dyDescent="0.25">
      <c r="A189" s="926">
        <v>205</v>
      </c>
      <c r="B189" s="400" t="s">
        <v>238</v>
      </c>
      <c r="C189" s="400" t="s">
        <v>217</v>
      </c>
      <c r="D189" s="401" t="s">
        <v>233</v>
      </c>
      <c r="E189" s="402" t="str">
        <f>IF(VLOOKUP(A189,'Charriage - Geschiebehaushalt'!$A$4:$AC$275,28,FALSE)="","",VLOOKUP(A189,'Charriage - Geschiebehaushalt'!$A$4:$AC$275,28,FALSE))</f>
        <v>non pertinent / nicht relevant</v>
      </c>
      <c r="F189" s="403" t="str">
        <f>IF(VLOOKUP(A189,'Charriage - Geschiebehaushalt'!$A$4:$AD$275,30,FALSE)="","",VLOOKUP(A189,'Charriage - Geschiebehaushalt'!$A$4:$AD$275,30,FALSE))</f>
        <v>a</v>
      </c>
      <c r="G189" s="330" t="str">
        <f>IF(VLOOKUP(A189,'Débit - Abfluss'!$A$4:$AD$275,17,FALSE)="","",VLOOKUP(A189,'Débit - Abfluss'!$A$4:$AD$275,17,FALSE))</f>
        <v>non pertinent / nicht relevant</v>
      </c>
      <c r="H189" s="404" t="str">
        <f>IF(VLOOKUP(A189,'Eclusée - Schwall-Sunk'!$A$2:$F$273,6,FALSE)="","",VLOOKUP(A189,'Eclusée - Schwall-Sunk'!$A$2:$F$273,6,FALSE))</f>
        <v>Non affecté / nicht betroffen</v>
      </c>
      <c r="I189" s="405" t="str">
        <f>IF(VLOOKUP(A189,'Revitalisation-Revitalisierung'!$A$4:$Z$275,25,FALSE)="","",VLOOKUP(A189,'Revitalisation-Revitalisierung'!$A$4:$Z$275,25,FALSE))</f>
        <v>non pertinent / nicht relevant</v>
      </c>
      <c r="J189" s="406" t="str">
        <f>IF(VLOOKUP(A189,'Revitalisation-Revitalisierung'!$A$4:$AA$275,27,FALSE)="","",VLOOKUP(A189,'Revitalisation-Revitalisierung'!$A$4:$AA$275,27,FALSE))</f>
        <v>a</v>
      </c>
      <c r="K189" s="407"/>
    </row>
    <row r="190" spans="1:11" ht="20.100000000000001" customHeight="1" x14ac:dyDescent="0.25">
      <c r="A190" s="926">
        <v>206</v>
      </c>
      <c r="B190" s="400" t="s">
        <v>239</v>
      </c>
      <c r="C190" s="400" t="s">
        <v>217</v>
      </c>
      <c r="D190" s="401" t="s">
        <v>233</v>
      </c>
      <c r="E190" s="402" t="str">
        <f>IF(VLOOKUP(A190,'Charriage - Geschiebehaushalt'!$A$4:$AC$275,28,FALSE)="","",VLOOKUP(A190,'Charriage - Geschiebehaushalt'!$A$4:$AC$275,28,FALSE))</f>
        <v>non pertinent / nicht relevant</v>
      </c>
      <c r="F190" s="403" t="str">
        <f>IF(VLOOKUP(A190,'Charriage - Geschiebehaushalt'!$A$4:$AD$275,30,FALSE)="","",VLOOKUP(A190,'Charriage - Geschiebehaushalt'!$A$4:$AD$275,30,FALSE))</f>
        <v>a</v>
      </c>
      <c r="G190" s="330" t="str">
        <f>IF(VLOOKUP(A190,'Débit - Abfluss'!$A$4:$AD$275,17,FALSE)="","",VLOOKUP(A190,'Débit - Abfluss'!$A$4:$AD$275,17,FALSE))</f>
        <v>non pertinent / nicht relevant</v>
      </c>
      <c r="H190" s="404" t="str">
        <f>IF(VLOOKUP(A190,'Eclusée - Schwall-Sunk'!$A$2:$F$273,6,FALSE)="","",VLOOKUP(A190,'Eclusée - Schwall-Sunk'!$A$2:$F$273,6,FALSE))</f>
        <v>Non affecté / nicht betroffen</v>
      </c>
      <c r="I190" s="405" t="str">
        <f>IF(VLOOKUP(A190,'Revitalisation-Revitalisierung'!$A$4:$Z$275,25,FALSE)="","",VLOOKUP(A190,'Revitalisation-Revitalisierung'!$A$4:$Z$275,25,FALSE))</f>
        <v>non pertinent / nicht relevant</v>
      </c>
      <c r="J190" s="406" t="str">
        <f>IF(VLOOKUP(A190,'Revitalisation-Revitalisierung'!$A$4:$AA$275,27,FALSE)="","",VLOOKUP(A190,'Revitalisation-Revitalisierung'!$A$4:$AA$275,27,FALSE))</f>
        <v>a</v>
      </c>
      <c r="K190" s="407"/>
    </row>
    <row r="191" spans="1:11" ht="20.100000000000001" customHeight="1" x14ac:dyDescent="0.25">
      <c r="A191" s="926">
        <v>207</v>
      </c>
      <c r="B191" s="400" t="s">
        <v>240</v>
      </c>
      <c r="C191" s="400" t="s">
        <v>217</v>
      </c>
      <c r="D191" s="401" t="s">
        <v>233</v>
      </c>
      <c r="E191" s="402" t="str">
        <f>IF(VLOOKUP(A191,'Charriage - Geschiebehaushalt'!$A$4:$AC$275,28,FALSE)="","",VLOOKUP(A191,'Charriage - Geschiebehaushalt'!$A$4:$AC$275,28,FALSE))</f>
        <v>non pertinent / nicht relevant</v>
      </c>
      <c r="F191" s="403" t="str">
        <f>IF(VLOOKUP(A191,'Charriage - Geschiebehaushalt'!$A$4:$AD$275,30,FALSE)="","",VLOOKUP(A191,'Charriage - Geschiebehaushalt'!$A$4:$AD$275,30,FALSE))</f>
        <v>a</v>
      </c>
      <c r="G191" s="330" t="str">
        <f>IF(VLOOKUP(A191,'Débit - Abfluss'!$A$4:$AD$275,17,FALSE)="","",VLOOKUP(A191,'Débit - Abfluss'!$A$4:$AD$275,17,FALSE))</f>
        <v>non pertinent / nicht relevant</v>
      </c>
      <c r="H191" s="404" t="str">
        <f>IF(VLOOKUP(A191,'Eclusée - Schwall-Sunk'!$A$2:$F$273,6,FALSE)="","",VLOOKUP(A191,'Eclusée - Schwall-Sunk'!$A$2:$F$273,6,FALSE))</f>
        <v>Non affecté / nicht betroffen</v>
      </c>
      <c r="I191" s="405" t="str">
        <f>IF(VLOOKUP(A191,'Revitalisation-Revitalisierung'!$A$4:$Z$275,25,FALSE)="","",VLOOKUP(A191,'Revitalisation-Revitalisierung'!$A$4:$Z$275,25,FALSE))</f>
        <v>non pertinent / nicht relevant</v>
      </c>
      <c r="J191" s="406" t="str">
        <f>IF(VLOOKUP(A191,'Revitalisation-Revitalisierung'!$A$4:$AA$275,27,FALSE)="","",VLOOKUP(A191,'Revitalisation-Revitalisierung'!$A$4:$AA$275,27,FALSE))</f>
        <v>a</v>
      </c>
      <c r="K191" s="407"/>
    </row>
    <row r="192" spans="1:11" ht="20.100000000000001" customHeight="1" x14ac:dyDescent="0.25">
      <c r="A192" s="926">
        <v>208</v>
      </c>
      <c r="B192" s="400" t="s">
        <v>605</v>
      </c>
      <c r="C192" s="400" t="s">
        <v>606</v>
      </c>
      <c r="D192" s="401" t="s">
        <v>573</v>
      </c>
      <c r="E192" s="402" t="str">
        <f>IF(VLOOKUP(A192,'Charriage - Geschiebehaushalt'!$A$4:$AC$275,28,FALSE)="","",VLOOKUP(A192,'Charriage - Geschiebehaushalt'!$A$4:$AC$275,28,FALSE))</f>
        <v>non pertinent / nicht relevant</v>
      </c>
      <c r="F192" s="403" t="str">
        <f>IF(VLOOKUP(A192,'Charriage - Geschiebehaushalt'!$A$4:$AD$275,30,FALSE)="","",VLOOKUP(A192,'Charriage - Geschiebehaushalt'!$A$4:$AD$275,30,FALSE))</f>
        <v>a</v>
      </c>
      <c r="G192" s="330" t="str">
        <f>IF(VLOOKUP(A192,'Débit - Abfluss'!$A$4:$AD$275,17,FALSE)="","",VLOOKUP(A192,'Débit - Abfluss'!$A$4:$AD$275,17,FALSE))</f>
        <v>non pertinent / nicht relevant</v>
      </c>
      <c r="H192" s="404" t="str">
        <f>IF(VLOOKUP(A192,'Eclusée - Schwall-Sunk'!$A$2:$F$273,6,FALSE)="","",VLOOKUP(A192,'Eclusée - Schwall-Sunk'!$A$2:$F$273,6,FALSE))</f>
        <v>Non affecté / nicht betroffen</v>
      </c>
      <c r="I192" s="405" t="str">
        <f>IF(VLOOKUP(A192,'Revitalisation-Revitalisierung'!$A$4:$Z$275,25,FALSE)="","",VLOOKUP(A192,'Revitalisation-Revitalisierung'!$A$4:$Z$275,25,FALSE))</f>
        <v>non pertinent / nicht relevant</v>
      </c>
      <c r="J192" s="406" t="str">
        <f>IF(VLOOKUP(A192,'Revitalisation-Revitalisierung'!$A$4:$AA$275,27,FALSE)="","",VLOOKUP(A192,'Revitalisation-Revitalisierung'!$A$4:$AA$275,27,FALSE))</f>
        <v>a</v>
      </c>
      <c r="K192" s="407"/>
    </row>
    <row r="193" spans="1:11" ht="20.100000000000001" customHeight="1" x14ac:dyDescent="0.25">
      <c r="A193" s="926">
        <v>209</v>
      </c>
      <c r="B193" s="400" t="s">
        <v>190</v>
      </c>
      <c r="C193" s="400" t="s">
        <v>191</v>
      </c>
      <c r="D193" s="401" t="s">
        <v>189</v>
      </c>
      <c r="E193" s="402" t="str">
        <f>IF(VLOOKUP(A193,'Charriage - Geschiebehaushalt'!$A$4:$AC$275,28,FALSE)="","",VLOOKUP(A193,'Charriage - Geschiebehaushalt'!$A$4:$AC$275,28,FALSE))</f>
        <v>non pertinent / nicht relevant</v>
      </c>
      <c r="F193" s="403" t="str">
        <f>IF(VLOOKUP(A193,'Charriage - Geschiebehaushalt'!$A$4:$AD$275,30,FALSE)="","",VLOOKUP(A193,'Charriage - Geschiebehaushalt'!$A$4:$AD$275,30,FALSE))</f>
        <v>a</v>
      </c>
      <c r="G193" s="330" t="str">
        <f>IF(VLOOKUP(A193,'Débit - Abfluss'!$A$4:$AD$275,17,FALSE)="","",VLOOKUP(A193,'Débit - Abfluss'!$A$4:$AD$275,17,FALSE))</f>
        <v>non pertinent / nicht relevant</v>
      </c>
      <c r="H193" s="404" t="str">
        <f>IF(VLOOKUP(A193,'Eclusée - Schwall-Sunk'!$A$2:$F$273,6,FALSE)="","",VLOOKUP(A193,'Eclusée - Schwall-Sunk'!$A$2:$F$273,6,FALSE))</f>
        <v>Non affecté / nicht betroffen</v>
      </c>
      <c r="I193" s="405" t="str">
        <f>IF(VLOOKUP(A193,'Revitalisation-Revitalisierung'!$A$4:$Z$275,25,FALSE)="","",VLOOKUP(A193,'Revitalisation-Revitalisierung'!$A$4:$Z$275,25,FALSE))</f>
        <v>non pertinent / nicht relevant</v>
      </c>
      <c r="J193" s="406" t="str">
        <f>IF(VLOOKUP(A193,'Revitalisation-Revitalisierung'!$A$4:$AA$275,27,FALSE)="","",VLOOKUP(A193,'Revitalisation-Revitalisierung'!$A$4:$AA$275,27,FALSE))</f>
        <v>a</v>
      </c>
      <c r="K193" s="407"/>
    </row>
    <row r="194" spans="1:11" ht="20.100000000000001" customHeight="1" x14ac:dyDescent="0.25">
      <c r="A194" s="926">
        <v>211</v>
      </c>
      <c r="B194" s="400" t="s">
        <v>607</v>
      </c>
      <c r="C194" s="400" t="s">
        <v>608</v>
      </c>
      <c r="D194" s="401" t="s">
        <v>573</v>
      </c>
      <c r="E194" s="402" t="str">
        <f>IF(VLOOKUP(A194,'Charriage - Geschiebehaushalt'!$A$4:$AC$275,28,FALSE)="","",VLOOKUP(A194,'Charriage - Geschiebehaushalt'!$A$4:$AC$275,28,FALSE))</f>
        <v>0-20%</v>
      </c>
      <c r="F194" s="403" t="str">
        <f>IF(VLOOKUP(A194,'Charriage - Geschiebehaushalt'!$A$4:$AD$275,30,FALSE)="","",VLOOKUP(A194,'Charriage - Geschiebehaushalt'!$A$4:$AD$275,30,FALSE))</f>
        <v>b</v>
      </c>
      <c r="G194" s="330" t="str">
        <f>IF(VLOOKUP(A194,'Débit - Abfluss'!$A$4:$AD$275,17,FALSE)="","",VLOOKUP(A194,'Débit - Abfluss'!$A$4:$AD$275,17,FALSE))</f>
        <v>81-100%</v>
      </c>
      <c r="H194" s="404" t="str">
        <f>IF(VLOOKUP(A194,'Eclusée - Schwall-Sunk'!$A$2:$F$273,6,FALSE)="","",VLOOKUP(A194,'Eclusée - Schwall-Sunk'!$A$2:$F$273,6,FALSE))</f>
        <v>Non affecté / nicht betroffen</v>
      </c>
      <c r="I194" s="405" t="str">
        <f>IF(VLOOKUP(A194,'Revitalisation-Revitalisierung'!$A$4:$Z$275,25,FALSE)="","",VLOOKUP(A194,'Revitalisation-Revitalisierung'!$A$4:$Z$275,25,FALSE))</f>
        <v>Non nécessaire / nicht nötig</v>
      </c>
      <c r="J194" s="406" t="str">
        <f>IF(VLOOKUP(A194,'Revitalisation-Revitalisierung'!$A$4:$AA$275,27,FALSE)="","",VLOOKUP(A194,'Revitalisation-Revitalisierung'!$A$4:$AA$275,27,FALSE))</f>
        <v>a</v>
      </c>
      <c r="K194" s="407"/>
    </row>
    <row r="195" spans="1:11" ht="20.100000000000001" customHeight="1" x14ac:dyDescent="0.25">
      <c r="A195" s="926">
        <v>216</v>
      </c>
      <c r="B195" s="400" t="s">
        <v>266</v>
      </c>
      <c r="C195" s="400" t="s">
        <v>267</v>
      </c>
      <c r="D195" s="401" t="s">
        <v>259</v>
      </c>
      <c r="E195" s="402" t="str">
        <f>IF(VLOOKUP(A195,'Charriage - Geschiebehaushalt'!$A$4:$AC$275,28,FALSE)="","",VLOOKUP(A195,'Charriage - Geschiebehaushalt'!$A$4:$AC$275,28,FALSE))</f>
        <v>0-20%</v>
      </c>
      <c r="F195" s="403" t="str">
        <f>IF(VLOOKUP(A195,'Charriage - Geschiebehaushalt'!$A$4:$AD$275,30,FALSE)="","",VLOOKUP(A195,'Charriage - Geschiebehaushalt'!$A$4:$AD$275,30,FALSE))</f>
        <v>b</v>
      </c>
      <c r="G195" s="330" t="str">
        <f>IF(VLOOKUP(A195,'Débit - Abfluss'!$A$4:$AD$275,17,FALSE)="","",VLOOKUP(A195,'Débit - Abfluss'!$A$4:$AD$275,17,FALSE))</f>
        <v>100%</v>
      </c>
      <c r="H195" s="404" t="str">
        <f>IF(VLOOKUP(A195,'Eclusée - Schwall-Sunk'!$A$2:$F$273,6,FALSE)="","",VLOOKUP(A195,'Eclusée - Schwall-Sunk'!$A$2:$F$273,6,FALSE))</f>
        <v>Non affecté / nicht betroffen</v>
      </c>
      <c r="I195" s="405" t="str">
        <f>IF(VLOOKUP(A195,'Revitalisation-Revitalisierung'!$A$4:$Z$275,25,FALSE)="","",VLOOKUP(A195,'Revitalisation-Revitalisierung'!$A$4:$Z$275,25,FALSE))</f>
        <v>Non nécessaire / nicht nötig</v>
      </c>
      <c r="J195" s="406" t="str">
        <f>IF(VLOOKUP(A195,'Revitalisation-Revitalisierung'!$A$4:$AA$275,27,FALSE)="","",VLOOKUP(A195,'Revitalisation-Revitalisierung'!$A$4:$AA$275,27,FALSE))</f>
        <v>b</v>
      </c>
      <c r="K195" s="407"/>
    </row>
    <row r="196" spans="1:11" ht="20.100000000000001" customHeight="1" x14ac:dyDescent="0.25">
      <c r="A196" s="926">
        <v>217</v>
      </c>
      <c r="B196" s="400" t="s">
        <v>218</v>
      </c>
      <c r="C196" s="400" t="s">
        <v>219</v>
      </c>
      <c r="D196" s="401" t="s">
        <v>197</v>
      </c>
      <c r="E196" s="402" t="str">
        <f>IF(VLOOKUP(A196,'Charriage - Geschiebehaushalt'!$A$4:$AC$275,28,FALSE)="","",VLOOKUP(A196,'Charriage - Geschiebehaushalt'!$A$4:$AC$275,28,FALSE))</f>
        <v>0-20%</v>
      </c>
      <c r="F196" s="403" t="str">
        <f>IF(VLOOKUP(A196,'Charriage - Geschiebehaushalt'!$A$4:$AD$275,30,FALSE)="","",VLOOKUP(A196,'Charriage - Geschiebehaushalt'!$A$4:$AD$275,30,FALSE))</f>
        <v>a</v>
      </c>
      <c r="G196" s="330" t="str">
        <f>IF(VLOOKUP(A196,'Débit - Abfluss'!$A$4:$AD$275,17,FALSE)="","",VLOOKUP(A196,'Débit - Abfluss'!$A$4:$AD$275,17,FALSE))</f>
        <v>100%</v>
      </c>
      <c r="H196" s="404" t="str">
        <f>IF(VLOOKUP(A196,'Eclusée - Schwall-Sunk'!$A$2:$F$273,6,FALSE)="","",VLOOKUP(A196,'Eclusée - Schwall-Sunk'!$A$2:$F$273,6,FALSE))</f>
        <v>Non affecté / nicht betroffen</v>
      </c>
      <c r="I196" s="405" t="str">
        <f>IF(VLOOKUP(A196,'Revitalisation-Revitalisierung'!$A$4:$Z$275,25,FALSE)="","",VLOOKUP(A196,'Revitalisation-Revitalisierung'!$A$4:$Z$275,25,FALSE))</f>
        <v>Partiellement nécessaire, facile / teilweise nötig, einfach</v>
      </c>
      <c r="J196" s="406" t="str">
        <f>IF(VLOOKUP(A196,'Revitalisation-Revitalisierung'!$A$4:$AA$275,27,FALSE)="","",VLOOKUP(A196,'Revitalisation-Revitalisierung'!$A$4:$AA$275,27,FALSE))</f>
        <v>b</v>
      </c>
      <c r="K196" s="407"/>
    </row>
    <row r="197" spans="1:11" ht="20.100000000000001" customHeight="1" x14ac:dyDescent="0.25">
      <c r="A197" s="926">
        <v>218</v>
      </c>
      <c r="B197" s="400" t="s">
        <v>258</v>
      </c>
      <c r="C197" s="400" t="s">
        <v>250</v>
      </c>
      <c r="D197" s="401" t="s">
        <v>241</v>
      </c>
      <c r="E197" s="402" t="str">
        <f>IF(VLOOKUP(A197,'Charriage - Geschiebehaushalt'!$A$4:$AC$275,28,FALSE)="","",VLOOKUP(A197,'Charriage - Geschiebehaushalt'!$A$4:$AC$275,28,FALSE))</f>
        <v>81-100%</v>
      </c>
      <c r="F197" s="403" t="str">
        <f>IF(VLOOKUP(A197,'Charriage - Geschiebehaushalt'!$A$4:$AD$275,30,FALSE)="","",VLOOKUP(A197,'Charriage - Geschiebehaushalt'!$A$4:$AD$275,30,FALSE))</f>
        <v>a</v>
      </c>
      <c r="G197" s="330" t="str">
        <f>IF(VLOOKUP(A197,'Débit - Abfluss'!$A$4:$AD$275,17,FALSE)="","",VLOOKUP(A197,'Débit - Abfluss'!$A$4:$AD$275,17,FALSE))</f>
        <v>81-100%</v>
      </c>
      <c r="H197" s="404" t="str">
        <f>IF(VLOOKUP(A197,'Eclusée - Schwall-Sunk'!$A$2:$F$273,6,FALSE)="","",VLOOKUP(A197,'Eclusée - Schwall-Sunk'!$A$2:$F$273,6,FALSE))</f>
        <v>Potentiellement affecté / möglicherweise betroffen</v>
      </c>
      <c r="I197" s="405" t="str">
        <f>IF(VLOOKUP(A197,'Revitalisation-Revitalisierung'!$A$4:$Z$275,25,FALSE)="","",VLOOKUP(A197,'Revitalisation-Revitalisierung'!$A$4:$Z$275,25,FALSE))</f>
        <v>Partiellement nécessaire, facile / teilweise nötig, einfach</v>
      </c>
      <c r="J197" s="406" t="str">
        <f>IF(VLOOKUP(A197,'Revitalisation-Revitalisierung'!$A$4:$AA$275,27,FALSE)="","",VLOOKUP(A197,'Revitalisation-Revitalisierung'!$A$4:$AA$275,27,FALSE))</f>
        <v>a</v>
      </c>
      <c r="K197" s="407"/>
    </row>
    <row r="198" spans="1:11" ht="20.100000000000001" customHeight="1" x14ac:dyDescent="0.25">
      <c r="A198" s="926">
        <v>219</v>
      </c>
      <c r="B198" s="400" t="s">
        <v>422</v>
      </c>
      <c r="C198" s="400" t="s">
        <v>423</v>
      </c>
      <c r="D198" s="401" t="s">
        <v>410</v>
      </c>
      <c r="E198" s="402" t="str">
        <f>IF(VLOOKUP(A198,'Charriage - Geschiebehaushalt'!$A$4:$AC$275,28,FALSE)="","",VLOOKUP(A198,'Charriage - Geschiebehaushalt'!$A$4:$AC$275,28,FALSE))</f>
        <v>non pertinent / nicht relevant</v>
      </c>
      <c r="F198" s="403" t="str">
        <f>IF(VLOOKUP(A198,'Charriage - Geschiebehaushalt'!$A$4:$AD$275,30,FALSE)="","",VLOOKUP(A198,'Charriage - Geschiebehaushalt'!$A$4:$AD$275,30,FALSE))</f>
        <v>a</v>
      </c>
      <c r="G198" s="330" t="str">
        <f>IF(VLOOKUP(A198,'Débit - Abfluss'!$A$4:$AD$275,17,FALSE)="","",VLOOKUP(A198,'Débit - Abfluss'!$A$4:$AD$275,17,FALSE))</f>
        <v>non pertinent / nicht relevant</v>
      </c>
      <c r="H198" s="404" t="str">
        <f>IF(VLOOKUP(A198,'Eclusée - Schwall-Sunk'!$A$2:$F$273,6,FALSE)="","",VLOOKUP(A198,'Eclusée - Schwall-Sunk'!$A$2:$F$273,6,FALSE))</f>
        <v>Non affecté / nicht betroffen</v>
      </c>
      <c r="I198" s="405" t="str">
        <f>IF(VLOOKUP(A198,'Revitalisation-Revitalisierung'!$A$4:$Z$275,25,FALSE)="","",VLOOKUP(A198,'Revitalisation-Revitalisierung'!$A$4:$Z$275,25,FALSE))</f>
        <v>Partiellement nécessaire, facile / teilweise nötig, einfach</v>
      </c>
      <c r="J198" s="406" t="str">
        <f>IF(VLOOKUP(A198,'Revitalisation-Revitalisierung'!$A$4:$AA$275,27,FALSE)="","",VLOOKUP(A198,'Revitalisation-Revitalisierung'!$A$4:$AA$275,27,FALSE))</f>
        <v>a</v>
      </c>
      <c r="K198" s="407"/>
    </row>
    <row r="199" spans="1:11" ht="20.100000000000001" customHeight="1" x14ac:dyDescent="0.25">
      <c r="A199" s="926">
        <v>220</v>
      </c>
      <c r="B199" s="400" t="s">
        <v>68</v>
      </c>
      <c r="C199" s="400" t="s">
        <v>37</v>
      </c>
      <c r="D199" s="401" t="s">
        <v>35</v>
      </c>
      <c r="E199" s="402" t="str">
        <f>IF(VLOOKUP(A199,'Charriage - Geschiebehaushalt'!$A$4:$AC$275,28,FALSE)="","",VLOOKUP(A199,'Charriage - Geschiebehaushalt'!$A$4:$AC$275,28,FALSE))</f>
        <v>81-100%</v>
      </c>
      <c r="F199" s="403" t="str">
        <f>IF(VLOOKUP(A199,'Charriage - Geschiebehaushalt'!$A$4:$AD$275,30,FALSE)="","",VLOOKUP(A199,'Charriage - Geschiebehaushalt'!$A$4:$AD$275,30,FALSE))</f>
        <v>a</v>
      </c>
      <c r="G199" s="330" t="str">
        <f>IF(VLOOKUP(A199,'Débit - Abfluss'!$A$4:$AD$275,17,FALSE)="","",VLOOKUP(A199,'Débit - Abfluss'!$A$4:$AD$275,17,FALSE))</f>
        <v>0-20%</v>
      </c>
      <c r="H199" s="404" t="str">
        <f>IF(VLOOKUP(A199,'Eclusée - Schwall-Sunk'!$A$2:$F$273,6,FALSE)="","",VLOOKUP(A199,'Eclusée - Schwall-Sunk'!$A$2:$F$273,6,FALSE))</f>
        <v>Potentiellement affecté mais non plausible / möglicherweise betroffen aber nicht nachweisbar</v>
      </c>
      <c r="I199" s="405" t="str">
        <f>IF(VLOOKUP(A199,'Revitalisation-Revitalisierung'!$A$4:$Z$275,25,FALSE)="","",VLOOKUP(A199,'Revitalisation-Revitalisierung'!$A$4:$Z$275,25,FALSE))</f>
        <v>Partiellement nécessaire, facile / teilweise nötig, einfach</v>
      </c>
      <c r="J199" s="406" t="str">
        <f>IF(VLOOKUP(A199,'Revitalisation-Revitalisierung'!$A$4:$AA$275,27,FALSE)="","",VLOOKUP(A199,'Revitalisation-Revitalisierung'!$A$4:$AA$275,27,FALSE))</f>
        <v>b</v>
      </c>
      <c r="K199" s="407"/>
    </row>
    <row r="200" spans="1:11" ht="20.100000000000001" customHeight="1" x14ac:dyDescent="0.25">
      <c r="A200" s="928">
        <v>221</v>
      </c>
      <c r="B200" s="400" t="s">
        <v>193</v>
      </c>
      <c r="C200" s="400" t="s">
        <v>50</v>
      </c>
      <c r="D200" s="401" t="s">
        <v>192</v>
      </c>
      <c r="E200" s="402" t="str">
        <f>IF(VLOOKUP(A200,'Charriage - Geschiebehaushalt'!$A$4:$AC$275,28,FALSE)="","",VLOOKUP(A200,'Charriage - Geschiebehaushalt'!$A$4:$AC$275,28,FALSE))</f>
        <v>51-80%</v>
      </c>
      <c r="F200" s="403" t="str">
        <f>IF(VLOOKUP(A200,'Charriage - Geschiebehaushalt'!$A$4:$AD$275,30,FALSE)="","",VLOOKUP(A200,'Charriage - Geschiebehaushalt'!$A$4:$AD$275,30,FALSE))</f>
        <v>b</v>
      </c>
      <c r="G200" s="330" t="str">
        <f>IF(VLOOKUP(A200,'Débit - Abfluss'!$A$4:$AD$275,17,FALSE)="","",VLOOKUP(A200,'Débit - Abfluss'!$A$4:$AD$275,17,FALSE))</f>
        <v>81-100%</v>
      </c>
      <c r="H200" s="404" t="str">
        <f>IF(VLOOKUP(A200,'Eclusée - Schwall-Sunk'!$A$2:$F$273,6,FALSE)="","",VLOOKUP(A200,'Eclusée - Schwall-Sunk'!$A$2:$F$273,6,FALSE))</f>
        <v>Non affecté / nicht betroffen</v>
      </c>
      <c r="I200" s="405" t="str">
        <f>IF(VLOOKUP(A200,'Revitalisation-Revitalisierung'!$A$4:$Z$275,25,FALSE)="","",VLOOKUP(A200,'Revitalisation-Revitalisierung'!$A$4:$Z$275,25,FALSE))</f>
        <v>Partiellement nécessaire, facile / teilweise nötig, einfach</v>
      </c>
      <c r="J200" s="406" t="str">
        <f>IF(VLOOKUP(A200,'Revitalisation-Revitalisierung'!$A$4:$AA$275,27,FALSE)="","",VLOOKUP(A200,'Revitalisation-Revitalisierung'!$A$4:$AA$275,27,FALSE))</f>
        <v>a</v>
      </c>
      <c r="K200" s="407"/>
    </row>
    <row r="201" spans="1:11" ht="20.100000000000001" customHeight="1" x14ac:dyDescent="0.25">
      <c r="A201" s="926">
        <v>222</v>
      </c>
      <c r="B201" s="400" t="s">
        <v>146</v>
      </c>
      <c r="C201" s="400" t="s">
        <v>147</v>
      </c>
      <c r="D201" s="401" t="s">
        <v>92</v>
      </c>
      <c r="E201" s="402" t="str">
        <f>IF(VLOOKUP(A201,'Charriage - Geschiebehaushalt'!$A$4:$AC$275,28,FALSE)="","",VLOOKUP(A201,'Charriage - Geschiebehaushalt'!$A$4:$AC$275,28,FALSE))</f>
        <v>non pertinent / nicht relevant</v>
      </c>
      <c r="F201" s="403" t="str">
        <f>IF(VLOOKUP(A201,'Charriage - Geschiebehaushalt'!$A$4:$AD$275,30,FALSE)="","",VLOOKUP(A201,'Charriage - Geschiebehaushalt'!$A$4:$AD$275,30,FALSE))</f>
        <v>a</v>
      </c>
      <c r="G201" s="330" t="str">
        <f>IF(VLOOKUP(A201,'Débit - Abfluss'!$A$4:$AD$275,17,FALSE)="","",VLOOKUP(A201,'Débit - Abfluss'!$A$4:$AD$275,17,FALSE))</f>
        <v>non pertinent / nicht relevant</v>
      </c>
      <c r="H201" s="404" t="str">
        <f>IF(VLOOKUP(A201,'Eclusée - Schwall-Sunk'!$A$2:$F$273,6,FALSE)="","",VLOOKUP(A201,'Eclusée - Schwall-Sunk'!$A$2:$F$273,6,FALSE))</f>
        <v>Non affecté / nicht betroffen</v>
      </c>
      <c r="I201" s="405" t="str">
        <f>IF(VLOOKUP(A201,'Revitalisation-Revitalisierung'!$A$4:$Z$275,25,FALSE)="","",VLOOKUP(A201,'Revitalisation-Revitalisierung'!$A$4:$Z$275,25,FALSE))</f>
        <v>non pertinent / nicht relevant</v>
      </c>
      <c r="J201" s="406" t="str">
        <f>IF(VLOOKUP(A201,'Revitalisation-Revitalisierung'!$A$4:$AA$275,27,FALSE)="","",VLOOKUP(A201,'Revitalisation-Revitalisierung'!$A$4:$AA$275,27,FALSE))</f>
        <v>a</v>
      </c>
      <c r="K201" s="407"/>
    </row>
    <row r="202" spans="1:11" ht="20.100000000000001" customHeight="1" x14ac:dyDescent="0.25">
      <c r="A202" s="927">
        <v>223.1</v>
      </c>
      <c r="B202" s="400" t="s">
        <v>148</v>
      </c>
      <c r="C202" s="400" t="s">
        <v>149</v>
      </c>
      <c r="D202" s="401" t="s">
        <v>92</v>
      </c>
      <c r="E202" s="402" t="str">
        <f>IF(VLOOKUP(A202,'Charriage - Geschiebehaushalt'!$A$4:$AC$275,28,FALSE)="","",VLOOKUP(A202,'Charriage - Geschiebehaushalt'!$A$4:$AC$275,28,FALSE))</f>
        <v>81-100%</v>
      </c>
      <c r="F202" s="403" t="str">
        <f>IF(VLOOKUP(A202,'Charriage - Geschiebehaushalt'!$A$4:$AD$275,30,FALSE)="","",VLOOKUP(A202,'Charriage - Geschiebehaushalt'!$A$4:$AD$275,30,FALSE))</f>
        <v>a</v>
      </c>
      <c r="G202" s="330" t="str">
        <f>IF(VLOOKUP(A202,'Débit - Abfluss'!$A$4:$AD$275,17,FALSE)="","",VLOOKUP(A202,'Débit - Abfluss'!$A$4:$AD$275,17,FALSE))</f>
        <v>61-80%</v>
      </c>
      <c r="H202" s="404" t="str">
        <f>IF(VLOOKUP(A202,'Eclusée - Schwall-Sunk'!$A$2:$F$273,6,FALSE)="","",VLOOKUP(A202,'Eclusée - Schwall-Sunk'!$A$2:$F$273,6,FALSE))</f>
        <v>Potentiellement affecté / möglicherweise betroffen</v>
      </c>
      <c r="I202" s="405" t="str">
        <f>IF(VLOOKUP(A202,'Revitalisation-Revitalisierung'!$A$4:$Z$275,25,FALSE)="","",VLOOKUP(A202,'Revitalisation-Revitalisierung'!$A$4:$Z$275,25,FALSE))</f>
        <v>Non nécessaire / nicht nötig</v>
      </c>
      <c r="J202" s="406" t="str">
        <f>IF(VLOOKUP(A202,'Revitalisation-Revitalisierung'!$A$4:$AA$275,27,FALSE)="","",VLOOKUP(A202,'Revitalisation-Revitalisierung'!$A$4:$AA$275,27,FALSE))</f>
        <v>a</v>
      </c>
      <c r="K202" s="407"/>
    </row>
    <row r="203" spans="1:11" ht="20.100000000000001" customHeight="1" x14ac:dyDescent="0.25">
      <c r="A203" s="927">
        <v>223.2</v>
      </c>
      <c r="B203" s="400" t="s">
        <v>148</v>
      </c>
      <c r="C203" s="400" t="s">
        <v>149</v>
      </c>
      <c r="D203" s="401" t="s">
        <v>92</v>
      </c>
      <c r="E203" s="402" t="str">
        <f>IF(VLOOKUP(A203,'Charriage - Geschiebehaushalt'!$A$4:$AC$275,28,FALSE)="","",VLOOKUP(A203,'Charriage - Geschiebehaushalt'!$A$4:$AC$275,28,FALSE))</f>
        <v>non pertinent / nicht relevant</v>
      </c>
      <c r="F203" s="403" t="str">
        <f>IF(VLOOKUP(A203,'Charriage - Geschiebehaushalt'!$A$4:$AD$275,30,FALSE)="","",VLOOKUP(A203,'Charriage - Geschiebehaushalt'!$A$4:$AD$275,30,FALSE))</f>
        <v>a</v>
      </c>
      <c r="G203" s="330" t="str">
        <f>IF(VLOOKUP(A203,'Débit - Abfluss'!$A$4:$AD$275,17,FALSE)="","",VLOOKUP(A203,'Débit - Abfluss'!$A$4:$AD$275,17,FALSE))</f>
        <v>non pertinent / nicht relevant</v>
      </c>
      <c r="H203" s="404" t="str">
        <f>IF(VLOOKUP(A203,'Eclusée - Schwall-Sunk'!$A$2:$F$273,6,FALSE)="","",VLOOKUP(A203,'Eclusée - Schwall-Sunk'!$A$2:$F$273,6,FALSE))</f>
        <v>Non affecté / nicht betroffen</v>
      </c>
      <c r="I203" s="405" t="str">
        <f>IF(VLOOKUP(A203,'Revitalisation-Revitalisierung'!$A$4:$Z$275,25,FALSE)="","",VLOOKUP(A203,'Revitalisation-Revitalisierung'!$A$4:$Z$275,25,FALSE))</f>
        <v>non pertinent / nicht relevant</v>
      </c>
      <c r="J203" s="406" t="str">
        <f>IF(VLOOKUP(A203,'Revitalisation-Revitalisierung'!$A$4:$AA$275,27,FALSE)="","",VLOOKUP(A203,'Revitalisation-Revitalisierung'!$A$4:$AA$275,27,FALSE))</f>
        <v>a</v>
      </c>
      <c r="K203" s="407"/>
    </row>
    <row r="204" spans="1:11" ht="20.100000000000001" customHeight="1" x14ac:dyDescent="0.25">
      <c r="A204" s="926">
        <v>224</v>
      </c>
      <c r="B204" s="400" t="s">
        <v>151</v>
      </c>
      <c r="C204" s="400" t="s">
        <v>152</v>
      </c>
      <c r="D204" s="401" t="s">
        <v>92</v>
      </c>
      <c r="E204" s="402" t="str">
        <f>IF(VLOOKUP(A204,'Charriage - Geschiebehaushalt'!$A$4:$AC$275,28,FALSE)="","",VLOOKUP(A204,'Charriage - Geschiebehaushalt'!$A$4:$AC$275,28,FALSE))</f>
        <v>21-50%</v>
      </c>
      <c r="F204" s="403" t="str">
        <f>IF(VLOOKUP(A204,'Charriage - Geschiebehaushalt'!$A$4:$AD$275,30,FALSE)="","",VLOOKUP(A204,'Charriage - Geschiebehaushalt'!$A$4:$AD$275,30,FALSE))</f>
        <v>b</v>
      </c>
      <c r="G204" s="330" t="str">
        <f>IF(VLOOKUP(A204,'Débit - Abfluss'!$A$4:$AD$275,17,FALSE)="","",VLOOKUP(A204,'Débit - Abfluss'!$A$4:$AD$275,17,FALSE))</f>
        <v>100%</v>
      </c>
      <c r="H204" s="404" t="str">
        <f>IF(VLOOKUP(A204,'Eclusée - Schwall-Sunk'!$A$2:$F$273,6,FALSE)="","",VLOOKUP(A204,'Eclusée - Schwall-Sunk'!$A$2:$F$273,6,FALSE))</f>
        <v>Non affecté / nicht betroffen</v>
      </c>
      <c r="I204" s="405" t="str">
        <f>IF(VLOOKUP(A204,'Revitalisation-Revitalisierung'!$A$4:$Z$275,25,FALSE)="","",VLOOKUP(A204,'Revitalisation-Revitalisierung'!$A$4:$Z$275,25,FALSE))</f>
        <v>Partiellement nécessaire, facile / teilweise nötig, einfach</v>
      </c>
      <c r="J204" s="406" t="str">
        <f>IF(VLOOKUP(A204,'Revitalisation-Revitalisierung'!$A$4:$AA$275,27,FALSE)="","",VLOOKUP(A204,'Revitalisation-Revitalisierung'!$A$4:$AA$275,27,FALSE))</f>
        <v>b</v>
      </c>
      <c r="K204" s="407"/>
    </row>
    <row r="205" spans="1:11" ht="20.100000000000001" customHeight="1" x14ac:dyDescent="0.25">
      <c r="A205" s="926">
        <v>225</v>
      </c>
      <c r="B205" s="400" t="s">
        <v>464</v>
      </c>
      <c r="C205" s="400" t="s">
        <v>465</v>
      </c>
      <c r="D205" s="401" t="s">
        <v>460</v>
      </c>
      <c r="E205" s="402" t="str">
        <f>IF(VLOOKUP(A205,'Charriage - Geschiebehaushalt'!$A$4:$AC$275,28,FALSE)="","",VLOOKUP(A205,'Charriage - Geschiebehaushalt'!$A$4:$AC$275,28,FALSE))</f>
        <v>21-50%</v>
      </c>
      <c r="F205" s="403" t="str">
        <f>IF(VLOOKUP(A205,'Charriage - Geschiebehaushalt'!$A$4:$AD$275,30,FALSE)="","",VLOOKUP(A205,'Charriage - Geschiebehaushalt'!$A$4:$AD$275,30,FALSE))</f>
        <v>a</v>
      </c>
      <c r="G205" s="330" t="str">
        <f>IF(VLOOKUP(A205,'Débit - Abfluss'!$A$4:$AD$275,17,FALSE)="","",VLOOKUP(A205,'Débit - Abfluss'!$A$4:$AD$275,17,FALSE))</f>
        <v>61-80%</v>
      </c>
      <c r="H205" s="404" t="str">
        <f>IF(VLOOKUP(A205,'Eclusée - Schwall-Sunk'!$A$2:$F$273,6,FALSE)="","",VLOOKUP(A205,'Eclusée - Schwall-Sunk'!$A$2:$F$273,6,FALSE))</f>
        <v>Potentiellement affecté / möglicherweise betroffen</v>
      </c>
      <c r="I205" s="405" t="str">
        <f>IF(VLOOKUP(A205,'Revitalisation-Revitalisierung'!$A$4:$Z$275,25,FALSE)="","",VLOOKUP(A205,'Revitalisation-Revitalisierung'!$A$4:$Z$275,25,FALSE))</f>
        <v>Très nécessaire, facile / unbedingt nötig, einfach</v>
      </c>
      <c r="J205" s="406" t="str">
        <f>IF(VLOOKUP(A205,'Revitalisation-Revitalisierung'!$A$4:$AA$275,27,FALSE)="","",VLOOKUP(A205,'Revitalisation-Revitalisierung'!$A$4:$AA$275,27,FALSE))</f>
        <v>a</v>
      </c>
      <c r="K205" s="407"/>
    </row>
    <row r="206" spans="1:11" ht="20.100000000000001" customHeight="1" x14ac:dyDescent="0.25">
      <c r="A206" s="926">
        <v>226</v>
      </c>
      <c r="B206" s="400" t="s">
        <v>609</v>
      </c>
      <c r="C206" s="400" t="s">
        <v>610</v>
      </c>
      <c r="D206" s="401" t="s">
        <v>573</v>
      </c>
      <c r="E206" s="402" t="str">
        <f>IF(VLOOKUP(A206,'Charriage - Geschiebehaushalt'!$A$4:$AC$275,28,FALSE)="","",VLOOKUP(A206,'Charriage - Geschiebehaushalt'!$A$4:$AC$275,28,FALSE))</f>
        <v>0-20%</v>
      </c>
      <c r="F206" s="403" t="str">
        <f>IF(VLOOKUP(A206,'Charriage - Geschiebehaushalt'!$A$4:$AD$275,30,FALSE)="","",VLOOKUP(A206,'Charriage - Geschiebehaushalt'!$A$4:$AD$275,30,FALSE))</f>
        <v>a</v>
      </c>
      <c r="G206" s="330" t="str">
        <f>IF(VLOOKUP(A206,'Débit - Abfluss'!$A$4:$AD$275,17,FALSE)="","",VLOOKUP(A206,'Débit - Abfluss'!$A$4:$AD$275,17,FALSE))</f>
        <v>21-40%</v>
      </c>
      <c r="H206" s="404" t="str">
        <f>IF(VLOOKUP(A206,'Eclusée - Schwall-Sunk'!$A$2:$F$273,6,FALSE)="","",VLOOKUP(A206,'Eclusée - Schwall-Sunk'!$A$2:$F$273,6,FALSE))</f>
        <v>Non affecté / nicht betroffen</v>
      </c>
      <c r="I206" s="405" t="str">
        <f>IF(VLOOKUP(A206,'Revitalisation-Revitalisierung'!$A$4:$Z$275,25,FALSE)="","",VLOOKUP(A206,'Revitalisation-Revitalisierung'!$A$4:$Z$275,25,FALSE))</f>
        <v>Partiellement nécessaire, facile / teilweise nötig, einfach</v>
      </c>
      <c r="J206" s="406" t="str">
        <f>IF(VLOOKUP(A206,'Revitalisation-Revitalisierung'!$A$4:$AA$275,27,FALSE)="","",VLOOKUP(A206,'Revitalisation-Revitalisierung'!$A$4:$AA$275,27,FALSE))</f>
        <v>b</v>
      </c>
      <c r="K206" s="407"/>
    </row>
    <row r="207" spans="1:11" ht="20.100000000000001" customHeight="1" x14ac:dyDescent="0.25">
      <c r="A207" s="926">
        <v>227</v>
      </c>
      <c r="B207" s="400" t="s">
        <v>513</v>
      </c>
      <c r="C207" s="400" t="s">
        <v>514</v>
      </c>
      <c r="D207" s="401" t="s">
        <v>482</v>
      </c>
      <c r="E207" s="402" t="str">
        <f>IF(VLOOKUP(A207,'Charriage - Geschiebehaushalt'!$A$4:$AC$275,28,FALSE)="","",VLOOKUP(A207,'Charriage - Geschiebehaushalt'!$A$4:$AC$275,28,FALSE))</f>
        <v>0-20%</v>
      </c>
      <c r="F207" s="403" t="str">
        <f>IF(VLOOKUP(A207,'Charriage - Geschiebehaushalt'!$A$4:$AD$275,30,FALSE)="","",VLOOKUP(A207,'Charriage - Geschiebehaushalt'!$A$4:$AD$275,30,FALSE))</f>
        <v>a</v>
      </c>
      <c r="G207" s="330" t="str">
        <f>IF(VLOOKUP(A207,'Débit - Abfluss'!$A$4:$AD$275,17,FALSE)="","",VLOOKUP(A207,'Débit - Abfluss'!$A$4:$AD$275,17,FALSE))</f>
        <v>21-40%</v>
      </c>
      <c r="H207" s="404" t="str">
        <f>IF(VLOOKUP(A207,'Eclusée - Schwall-Sunk'!$A$2:$F$273,6,FALSE)="","",VLOOKUP(A207,'Eclusée - Schwall-Sunk'!$A$2:$F$273,6,FALSE))</f>
        <v>Non affecté / nicht betroffen</v>
      </c>
      <c r="I207" s="405" t="str">
        <f>IF(VLOOKUP(A207,'Revitalisation-Revitalisierung'!$A$4:$Z$275,25,FALSE)="","",VLOOKUP(A207,'Revitalisation-Revitalisierung'!$A$4:$Z$275,25,FALSE))</f>
        <v>Partiellement nécessaire, facile / teilweise nötig, einfach</v>
      </c>
      <c r="J207" s="406" t="str">
        <f>IF(VLOOKUP(A207,'Revitalisation-Revitalisierung'!$A$4:$AA$275,27,FALSE)="","",VLOOKUP(A207,'Revitalisation-Revitalisierung'!$A$4:$AA$275,27,FALSE))</f>
        <v>a</v>
      </c>
      <c r="K207" s="407"/>
    </row>
    <row r="208" spans="1:11" ht="20.100000000000001" customHeight="1" x14ac:dyDescent="0.25">
      <c r="A208" s="926">
        <v>228</v>
      </c>
      <c r="B208" s="400" t="s">
        <v>518</v>
      </c>
      <c r="C208" s="400" t="s">
        <v>519</v>
      </c>
      <c r="D208" s="401" t="s">
        <v>482</v>
      </c>
      <c r="E208" s="402" t="str">
        <f>IF(VLOOKUP(A208,'Charriage - Geschiebehaushalt'!$A$4:$AC$275,28,FALSE)="","",VLOOKUP(A208,'Charriage - Geschiebehaushalt'!$A$4:$AC$275,28,FALSE))</f>
        <v>0-20%</v>
      </c>
      <c r="F208" s="403" t="str">
        <f>IF(VLOOKUP(A208,'Charriage - Geschiebehaushalt'!$A$4:$AD$275,30,FALSE)="","",VLOOKUP(A208,'Charriage - Geschiebehaushalt'!$A$4:$AD$275,30,FALSE))</f>
        <v>a</v>
      </c>
      <c r="G208" s="330" t="str">
        <f>IF(VLOOKUP(A208,'Débit - Abfluss'!$A$4:$AD$275,17,FALSE)="","",VLOOKUP(A208,'Débit - Abfluss'!$A$4:$AD$275,17,FALSE))</f>
        <v>81-100%</v>
      </c>
      <c r="H208" s="404" t="str">
        <f>IF(VLOOKUP(A208,'Eclusée - Schwall-Sunk'!$A$2:$F$273,6,FALSE)="","",VLOOKUP(A208,'Eclusée - Schwall-Sunk'!$A$2:$F$273,6,FALSE))</f>
        <v>Non affecté / nicht betroffen</v>
      </c>
      <c r="I208" s="405" t="str">
        <f>IF(VLOOKUP(A208,'Revitalisation-Revitalisierung'!$A$4:$Z$275,25,FALSE)="","",VLOOKUP(A208,'Revitalisation-Revitalisierung'!$A$4:$Z$275,25,FALSE))</f>
        <v>Partiellement nécessaire, facile / teilweise nötig, einfach</v>
      </c>
      <c r="J208" s="406" t="str">
        <f>IF(VLOOKUP(A208,'Revitalisation-Revitalisierung'!$A$4:$AA$275,27,FALSE)="","",VLOOKUP(A208,'Revitalisation-Revitalisierung'!$A$4:$AA$275,27,FALSE))</f>
        <v>a</v>
      </c>
      <c r="K208" s="407"/>
    </row>
    <row r="209" spans="1:11" ht="20.100000000000001" customHeight="1" x14ac:dyDescent="0.25">
      <c r="A209" s="928">
        <v>229</v>
      </c>
      <c r="B209" s="400" t="s">
        <v>520</v>
      </c>
      <c r="C209" s="400" t="s">
        <v>521</v>
      </c>
      <c r="D209" s="401" t="s">
        <v>482</v>
      </c>
      <c r="E209" s="402" t="str">
        <f>IF(VLOOKUP(A209,'Charriage - Geschiebehaushalt'!$A$4:$AC$275,28,FALSE)="","",VLOOKUP(A209,'Charriage - Geschiebehaushalt'!$A$4:$AC$275,28,FALSE))</f>
        <v>0-20%</v>
      </c>
      <c r="F209" s="403" t="str">
        <f>IF(VLOOKUP(A209,'Charriage - Geschiebehaushalt'!$A$4:$AD$275,30,FALSE)="","",VLOOKUP(A209,'Charriage - Geschiebehaushalt'!$A$4:$AD$275,30,FALSE))</f>
        <v>b</v>
      </c>
      <c r="G209" s="330" t="str">
        <f>IF(VLOOKUP(A209,'Débit - Abfluss'!$A$4:$AD$275,17,FALSE)="","",VLOOKUP(A209,'Débit - Abfluss'!$A$4:$AD$275,17,FALSE))</f>
        <v>100%</v>
      </c>
      <c r="H209" s="404" t="str">
        <f>IF(VLOOKUP(A209,'Eclusée - Schwall-Sunk'!$A$2:$F$273,6,FALSE)="","",VLOOKUP(A209,'Eclusée - Schwall-Sunk'!$A$2:$F$273,6,FALSE))</f>
        <v>Non affecté / nicht betroffen</v>
      </c>
      <c r="I209" s="405" t="str">
        <f>IF(VLOOKUP(A209,'Revitalisation-Revitalisierung'!$A$4:$Z$275,25,FALSE)="","",VLOOKUP(A209,'Revitalisation-Revitalisierung'!$A$4:$Z$275,25,FALSE))</f>
        <v>Non nécessaire / nicht nötig</v>
      </c>
      <c r="J209" s="406" t="str">
        <f>IF(VLOOKUP(A209,'Revitalisation-Revitalisierung'!$A$4:$AA$275,27,FALSE)="","",VLOOKUP(A209,'Revitalisation-Revitalisierung'!$A$4:$AA$275,27,FALSE))</f>
        <v>a</v>
      </c>
      <c r="K209" s="407"/>
    </row>
    <row r="210" spans="1:11" ht="20.100000000000001" customHeight="1" x14ac:dyDescent="0.25">
      <c r="A210" s="928">
        <v>301</v>
      </c>
      <c r="B210" s="400" t="s">
        <v>612</v>
      </c>
      <c r="C210" s="400" t="s">
        <v>254</v>
      </c>
      <c r="D210" s="401" t="s">
        <v>573</v>
      </c>
      <c r="E210" s="402" t="str">
        <f>IF(VLOOKUP(A210,'Charriage - Geschiebehaushalt'!$A$4:$AC$275,28,FALSE)="","",VLOOKUP(A210,'Charriage - Geschiebehaushalt'!$A$4:$AC$275,28,FALSE))</f>
        <v>0-20%</v>
      </c>
      <c r="F210" s="403" t="str">
        <f>IF(VLOOKUP(A210,'Charriage - Geschiebehaushalt'!$A$4:$AD$275,30,FALSE)="","",VLOOKUP(A210,'Charriage - Geschiebehaushalt'!$A$4:$AD$275,30,FALSE))</f>
        <v>b</v>
      </c>
      <c r="G210" s="330" t="str">
        <f>IF(VLOOKUP(A210,'Débit - Abfluss'!$A$4:$AD$275,17,FALSE)="","",VLOOKUP(A210,'Débit - Abfluss'!$A$4:$AD$275,17,FALSE))</f>
        <v>100%</v>
      </c>
      <c r="H210" s="404" t="str">
        <f>IF(VLOOKUP(A210,'Eclusée - Schwall-Sunk'!$A$2:$F$273,6,FALSE)="","",VLOOKUP(A210,'Eclusée - Schwall-Sunk'!$A$2:$F$273,6,FALSE))</f>
        <v>Non affecté / nicht betroffen</v>
      </c>
      <c r="I210" s="405" t="str">
        <f>IF(VLOOKUP(A210,'Revitalisation-Revitalisierung'!$A$4:$Z$275,25,FALSE)="","",VLOOKUP(A210,'Revitalisation-Revitalisierung'!$A$4:$Z$275,25,FALSE))</f>
        <v>Non nécessaire / nicht nötig</v>
      </c>
      <c r="J210" s="406" t="str">
        <f>IF(VLOOKUP(A210,'Revitalisation-Revitalisierung'!$A$4:$AA$275,27,FALSE)="","",VLOOKUP(A210,'Revitalisation-Revitalisierung'!$A$4:$AA$275,27,FALSE))</f>
        <v>a</v>
      </c>
      <c r="K210" s="407"/>
    </row>
    <row r="211" spans="1:11" ht="20.100000000000001" customHeight="1" x14ac:dyDescent="0.25">
      <c r="A211" s="1233">
        <v>302</v>
      </c>
      <c r="B211" s="409" t="s">
        <v>613</v>
      </c>
      <c r="C211" s="410" t="s">
        <v>589</v>
      </c>
      <c r="D211" s="411" t="s">
        <v>573</v>
      </c>
      <c r="E211" s="402" t="str">
        <f>IF(VLOOKUP(A211,'Charriage - Geschiebehaushalt'!$A$4:$AC$275,28,FALSE)="","",VLOOKUP(A211,'Charriage - Geschiebehaushalt'!$A$4:$AC$275,28,FALSE))</f>
        <v>0-20%</v>
      </c>
      <c r="F211" s="403" t="str">
        <f>IF(VLOOKUP(A211,'Charriage - Geschiebehaushalt'!$A$4:$AD$275,30,FALSE)="","",VLOOKUP(A211,'Charriage - Geschiebehaushalt'!$A$4:$AD$275,30,FALSE))</f>
        <v>a</v>
      </c>
      <c r="G211" s="330" t="str">
        <f>IF(VLOOKUP(A211,'Débit - Abfluss'!$A$4:$AD$275,17,FALSE)="","",VLOOKUP(A211,'Débit - Abfluss'!$A$4:$AD$275,17,FALSE))</f>
        <v>81-100%</v>
      </c>
      <c r="H211" s="404" t="str">
        <f>IF(VLOOKUP(A211,'Eclusée - Schwall-Sunk'!$A$2:$F$273,6,FALSE)="","",VLOOKUP(A211,'Eclusée - Schwall-Sunk'!$A$2:$F$273,6,FALSE))</f>
        <v>Non affecté / nicht betroffen</v>
      </c>
      <c r="I211" s="405" t="str">
        <f>IF(VLOOKUP(A211,'Revitalisation-Revitalisierung'!$A$4:$Z$275,25,FALSE)="","",VLOOKUP(A211,'Revitalisation-Revitalisierung'!$A$4:$Z$275,25,FALSE))</f>
        <v>Partiellement nécessaire, facile / teilweise nötig, einfach</v>
      </c>
      <c r="J211" s="406" t="str">
        <f>IF(VLOOKUP(A211,'Revitalisation-Revitalisierung'!$A$4:$AA$275,27,FALSE)="","",VLOOKUP(A211,'Revitalisation-Revitalisierung'!$A$4:$AA$275,27,FALSE))</f>
        <v>a</v>
      </c>
      <c r="K211" s="407"/>
    </row>
    <row r="212" spans="1:11" ht="20.100000000000001" customHeight="1" x14ac:dyDescent="0.25">
      <c r="A212" s="928">
        <v>303</v>
      </c>
      <c r="B212" s="400" t="s">
        <v>615</v>
      </c>
      <c r="C212" s="400" t="s">
        <v>616</v>
      </c>
      <c r="D212" s="401" t="s">
        <v>573</v>
      </c>
      <c r="E212" s="402" t="str">
        <f>IF(VLOOKUP(A212,'Charriage - Geschiebehaushalt'!$A$4:$AC$275,28,FALSE)="","",VLOOKUP(A212,'Charriage - Geschiebehaushalt'!$A$4:$AC$275,28,FALSE))</f>
        <v>0-20%</v>
      </c>
      <c r="F212" s="403" t="str">
        <f>IF(VLOOKUP(A212,'Charriage - Geschiebehaushalt'!$A$4:$AD$275,30,FALSE)="","",VLOOKUP(A212,'Charriage - Geschiebehaushalt'!$A$4:$AD$275,30,FALSE))</f>
        <v>a</v>
      </c>
      <c r="G212" s="330" t="str">
        <f>IF(VLOOKUP(A212,'Débit - Abfluss'!$A$4:$AD$275,17,FALSE)="","",VLOOKUP(A212,'Débit - Abfluss'!$A$4:$AD$275,17,FALSE))</f>
        <v>100%</v>
      </c>
      <c r="H212" s="404" t="str">
        <f>IF(VLOOKUP(A212,'Eclusée - Schwall-Sunk'!$A$2:$F$273,6,FALSE)="","",VLOOKUP(A212,'Eclusée - Schwall-Sunk'!$A$2:$F$273,6,FALSE))</f>
        <v>Non affecté / nicht betroffen</v>
      </c>
      <c r="I212" s="405" t="str">
        <f>IF(VLOOKUP(A212,'Revitalisation-Revitalisierung'!$A$4:$Z$275,25,FALSE)="","",VLOOKUP(A212,'Revitalisation-Revitalisierung'!$A$4:$Z$275,25,FALSE))</f>
        <v>Très nécessaire, facile / unbedingt nötig, einfach</v>
      </c>
      <c r="J212" s="406" t="str">
        <f>IF(VLOOKUP(A212,'Revitalisation-Revitalisierung'!$A$4:$AA$275,27,FALSE)="","",VLOOKUP(A212,'Revitalisation-Revitalisierung'!$A$4:$AA$275,27,FALSE))</f>
        <v>a</v>
      </c>
      <c r="K212" s="407"/>
    </row>
    <row r="213" spans="1:11" ht="20.100000000000001" customHeight="1" x14ac:dyDescent="0.25">
      <c r="A213" s="928">
        <v>304</v>
      </c>
      <c r="B213" s="400" t="s">
        <v>620</v>
      </c>
      <c r="C213" s="400" t="s">
        <v>621</v>
      </c>
      <c r="D213" s="401" t="s">
        <v>573</v>
      </c>
      <c r="E213" s="402" t="str">
        <f>IF(VLOOKUP(A213,'Charriage - Geschiebehaushalt'!$A$4:$AC$275,28,FALSE)="","",VLOOKUP(A213,'Charriage - Geschiebehaushalt'!$A$4:$AC$275,28,FALSE))</f>
        <v>0-20%</v>
      </c>
      <c r="F213" s="403" t="str">
        <f>IF(VLOOKUP(A213,'Charriage - Geschiebehaushalt'!$A$4:$AD$275,30,FALSE)="","",VLOOKUP(A213,'Charriage - Geschiebehaushalt'!$A$4:$AD$275,30,FALSE))</f>
        <v>a</v>
      </c>
      <c r="G213" s="330" t="str">
        <f>IF(VLOOKUP(A213,'Débit - Abfluss'!$A$4:$AD$275,17,FALSE)="","",VLOOKUP(A213,'Débit - Abfluss'!$A$4:$AD$275,17,FALSE))</f>
        <v>100%</v>
      </c>
      <c r="H213" s="404" t="str">
        <f>IF(VLOOKUP(A213,'Eclusée - Schwall-Sunk'!$A$2:$F$273,6,FALSE)="","",VLOOKUP(A213,'Eclusée - Schwall-Sunk'!$A$2:$F$273,6,FALSE))</f>
        <v>Non affecté / nicht betroffen</v>
      </c>
      <c r="I213" s="405" t="str">
        <f>IF(VLOOKUP(A213,'Revitalisation-Revitalisierung'!$A$4:$Z$275,25,FALSE)="","",VLOOKUP(A213,'Revitalisation-Revitalisierung'!$A$4:$Z$275,25,FALSE))</f>
        <v>Très nécessaire, facile / unbedingt nötig, einfach</v>
      </c>
      <c r="J213" s="406" t="str">
        <f>IF(VLOOKUP(A213,'Revitalisation-Revitalisierung'!$A$4:$AA$275,27,FALSE)="","",VLOOKUP(A213,'Revitalisation-Revitalisierung'!$A$4:$AA$275,27,FALSE))</f>
        <v>a</v>
      </c>
      <c r="K213" s="407"/>
    </row>
    <row r="214" spans="1:11" ht="20.100000000000001" customHeight="1" x14ac:dyDescent="0.25">
      <c r="A214" s="928">
        <v>305</v>
      </c>
      <c r="B214" s="400" t="s">
        <v>622</v>
      </c>
      <c r="C214" s="400" t="s">
        <v>623</v>
      </c>
      <c r="D214" s="401" t="s">
        <v>573</v>
      </c>
      <c r="E214" s="402" t="str">
        <f>IF(VLOOKUP(A214,'Charriage - Geschiebehaushalt'!$A$4:$AC$275,28,FALSE)="","",VLOOKUP(A214,'Charriage - Geschiebehaushalt'!$A$4:$AC$275,28,FALSE))</f>
        <v>0-20%</v>
      </c>
      <c r="F214" s="403" t="str">
        <f>IF(VLOOKUP(A214,'Charriage - Geschiebehaushalt'!$A$4:$AD$275,30,FALSE)="","",VLOOKUP(A214,'Charriage - Geschiebehaushalt'!$A$4:$AD$275,30,FALSE))</f>
        <v>b</v>
      </c>
      <c r="G214" s="330" t="str">
        <f>IF(VLOOKUP(A214,'Débit - Abfluss'!$A$4:$AD$275,17,FALSE)="","",VLOOKUP(A214,'Débit - Abfluss'!$A$4:$AD$275,17,FALSE))</f>
        <v>100%</v>
      </c>
      <c r="H214" s="404" t="str">
        <f>IF(VLOOKUP(A214,'Eclusée - Schwall-Sunk'!$A$2:$F$273,6,FALSE)="","",VLOOKUP(A214,'Eclusée - Schwall-Sunk'!$A$2:$F$273,6,FALSE))</f>
        <v>Non affecté / nicht betroffen</v>
      </c>
      <c r="I214" s="405" t="str">
        <f>IF(VLOOKUP(A214,'Revitalisation-Revitalisierung'!$A$4:$Z$275,25,FALSE)="","",VLOOKUP(A214,'Revitalisation-Revitalisierung'!$A$4:$Z$275,25,FALSE))</f>
        <v>Non nécessaire / nicht nötig</v>
      </c>
      <c r="J214" s="406" t="str">
        <f>IF(VLOOKUP(A214,'Revitalisation-Revitalisierung'!$A$4:$AA$275,27,FALSE)="","",VLOOKUP(A214,'Revitalisation-Revitalisierung'!$A$4:$AA$275,27,FALSE))</f>
        <v>a</v>
      </c>
      <c r="K214" s="407"/>
    </row>
    <row r="215" spans="1:11" ht="20.100000000000001" customHeight="1" x14ac:dyDescent="0.25">
      <c r="A215" s="1233">
        <v>306</v>
      </c>
      <c r="B215" s="409" t="s">
        <v>394</v>
      </c>
      <c r="C215" s="410" t="s">
        <v>217</v>
      </c>
      <c r="D215" s="411" t="s">
        <v>393</v>
      </c>
      <c r="E215" s="402" t="str">
        <f>IF(VLOOKUP(A215,'Charriage - Geschiebehaushalt'!$A$4:$AC$275,28,FALSE)="","",VLOOKUP(A215,'Charriage - Geschiebehaushalt'!$A$4:$AC$275,28,FALSE))</f>
        <v>non pertinent / nicht relevant</v>
      </c>
      <c r="F215" s="403" t="str">
        <f>IF(VLOOKUP(A215,'Charriage - Geschiebehaushalt'!$A$4:$AD$275,30,FALSE)="","",VLOOKUP(A215,'Charriage - Geschiebehaushalt'!$A$4:$AD$275,30,FALSE))</f>
        <v>a</v>
      </c>
      <c r="G215" s="330" t="str">
        <f>IF(VLOOKUP(A215,'Débit - Abfluss'!$A$4:$AD$275,17,FALSE)="","",VLOOKUP(A215,'Débit - Abfluss'!$A$4:$AD$275,17,FALSE))</f>
        <v>non pertinent / nicht relevant</v>
      </c>
      <c r="H215" s="404" t="str">
        <f>IF(VLOOKUP(A215,'Eclusée - Schwall-Sunk'!$A$2:$F$273,6,FALSE)="","",VLOOKUP(A215,'Eclusée - Schwall-Sunk'!$A$2:$F$273,6,FALSE))</f>
        <v>Non affecté / nicht betroffen</v>
      </c>
      <c r="I215" s="405" t="str">
        <f>IF(VLOOKUP(A215,'Revitalisation-Revitalisierung'!$A$4:$Z$275,25,FALSE)="","",VLOOKUP(A215,'Revitalisation-Revitalisierung'!$A$4:$Z$275,25,FALSE))</f>
        <v>non pertinent / nicht relevant</v>
      </c>
      <c r="J215" s="406" t="str">
        <f>IF(VLOOKUP(A215,'Revitalisation-Revitalisierung'!$A$4:$AA$275,27,FALSE)="","",VLOOKUP(A215,'Revitalisation-Revitalisierung'!$A$4:$AA$275,27,FALSE))</f>
        <v>a</v>
      </c>
      <c r="K215" s="407"/>
    </row>
    <row r="216" spans="1:11" ht="20.100000000000001" customHeight="1" x14ac:dyDescent="0.25">
      <c r="A216" s="928">
        <v>307</v>
      </c>
      <c r="B216" s="400" t="s">
        <v>221</v>
      </c>
      <c r="C216" s="400" t="s">
        <v>222</v>
      </c>
      <c r="D216" s="401" t="s">
        <v>197</v>
      </c>
      <c r="E216" s="402" t="str">
        <f>IF(VLOOKUP(A216,'Charriage - Geschiebehaushalt'!$A$4:$AC$275,28,FALSE)="","",VLOOKUP(A216,'Charriage - Geschiebehaushalt'!$A$4:$AC$275,28,FALSE))</f>
        <v>non pertinent / nicht relevant</v>
      </c>
      <c r="F216" s="403" t="str">
        <f>IF(VLOOKUP(A216,'Charriage - Geschiebehaushalt'!$A$4:$AD$275,30,FALSE)="","",VLOOKUP(A216,'Charriage - Geschiebehaushalt'!$A$4:$AD$275,30,FALSE))</f>
        <v>a</v>
      </c>
      <c r="G216" s="330" t="str">
        <f>IF(VLOOKUP(A216,'Débit - Abfluss'!$A$4:$AD$275,17,FALSE)="","",VLOOKUP(A216,'Débit - Abfluss'!$A$4:$AD$275,17,FALSE))</f>
        <v>non pertinent / nicht relevant</v>
      </c>
      <c r="H216" s="404" t="str">
        <f>IF(VLOOKUP(A216,'Eclusée - Schwall-Sunk'!$A$2:$F$273,6,FALSE)="","",VLOOKUP(A216,'Eclusée - Schwall-Sunk'!$A$2:$F$273,6,FALSE))</f>
        <v>Non affecté / nicht betroffen</v>
      </c>
      <c r="I216" s="405" t="str">
        <f>IF(VLOOKUP(A216,'Revitalisation-Revitalisierung'!$A$4:$Z$275,25,FALSE)="","",VLOOKUP(A216,'Revitalisation-Revitalisierung'!$A$4:$Z$275,25,FALSE))</f>
        <v>Non nécessaire / nicht nötig</v>
      </c>
      <c r="J216" s="406" t="str">
        <f>IF(VLOOKUP(A216,'Revitalisation-Revitalisierung'!$A$4:$AA$275,27,FALSE)="","",VLOOKUP(A216,'Revitalisation-Revitalisierung'!$A$4:$AA$275,27,FALSE))</f>
        <v>a</v>
      </c>
      <c r="K216" s="407"/>
    </row>
    <row r="217" spans="1:11" ht="20.100000000000001" customHeight="1" x14ac:dyDescent="0.25">
      <c r="A217" s="928">
        <v>310</v>
      </c>
      <c r="B217" s="400" t="s">
        <v>223</v>
      </c>
      <c r="C217" s="400" t="s">
        <v>224</v>
      </c>
      <c r="D217" s="401" t="s">
        <v>197</v>
      </c>
      <c r="E217" s="402" t="str">
        <f>IF(VLOOKUP(A217,'Charriage - Geschiebehaushalt'!$A$4:$AC$275,28,FALSE)="","",VLOOKUP(A217,'Charriage - Geschiebehaushalt'!$A$4:$AC$275,28,FALSE))</f>
        <v>51-80%</v>
      </c>
      <c r="F217" s="403" t="str">
        <f>IF(VLOOKUP(A217,'Charriage - Geschiebehaushalt'!$A$4:$AD$275,30,FALSE)="","",VLOOKUP(A217,'Charriage - Geschiebehaushalt'!$A$4:$AD$275,30,FALSE))</f>
        <v>a</v>
      </c>
      <c r="G217" s="330" t="str">
        <f>IF(VLOOKUP(A217,'Débit - Abfluss'!$A$4:$AD$275,17,FALSE)="","",VLOOKUP(A217,'Débit - Abfluss'!$A$4:$AD$275,17,FALSE))</f>
        <v>non pertinent / nicht relevant</v>
      </c>
      <c r="H217" s="404" t="str">
        <f>IF(VLOOKUP(A217,'Eclusée - Schwall-Sunk'!$A$2:$F$273,6,FALSE)="","",VLOOKUP(A217,'Eclusée - Schwall-Sunk'!$A$2:$F$273,6,FALSE))</f>
        <v>Non affecté / nicht betroffen</v>
      </c>
      <c r="I217" s="405" t="str">
        <f>IF(VLOOKUP(A217,'Revitalisation-Revitalisierung'!$A$4:$Z$275,25,FALSE)="","",VLOOKUP(A217,'Revitalisation-Revitalisierung'!$A$4:$Z$275,25,FALSE))</f>
        <v>Non nécessaire / nicht nötig</v>
      </c>
      <c r="J217" s="406" t="str">
        <f>IF(VLOOKUP(A217,'Revitalisation-Revitalisierung'!$A$4:$AA$275,27,FALSE)="","",VLOOKUP(A217,'Revitalisation-Revitalisierung'!$A$4:$AA$275,27,FALSE))</f>
        <v>a</v>
      </c>
      <c r="K217" s="407"/>
    </row>
    <row r="218" spans="1:11" ht="20.100000000000001" customHeight="1" x14ac:dyDescent="0.25">
      <c r="A218" s="1233">
        <v>311</v>
      </c>
      <c r="B218" s="409" t="s">
        <v>226</v>
      </c>
      <c r="C218" s="410" t="s">
        <v>227</v>
      </c>
      <c r="D218" s="411" t="s">
        <v>197</v>
      </c>
      <c r="E218" s="402" t="str">
        <f>IF(VLOOKUP(A218,'Charriage - Geschiebehaushalt'!$A$4:$AC$275,28,FALSE)="","",VLOOKUP(A218,'Charriage - Geschiebehaushalt'!$A$4:$AC$275,28,FALSE))</f>
        <v>0-20%</v>
      </c>
      <c r="F218" s="403" t="str">
        <f>IF(VLOOKUP(A218,'Charriage - Geschiebehaushalt'!$A$4:$AD$275,30,FALSE)="","",VLOOKUP(A218,'Charriage - Geschiebehaushalt'!$A$4:$AD$275,30,FALSE))</f>
        <v>a</v>
      </c>
      <c r="G218" s="330" t="str">
        <f>IF(VLOOKUP(A218,'Débit - Abfluss'!$A$4:$AD$275,17,FALSE)="","",VLOOKUP(A218,'Débit - Abfluss'!$A$4:$AD$275,17,FALSE))</f>
        <v>Régime présumé naturel (100%) / Abfluss vermutlich natürlich</v>
      </c>
      <c r="H218" s="404" t="str">
        <f>IF(VLOOKUP(A218,'Eclusée - Schwall-Sunk'!$A$2:$F$273,6,FALSE)="","",VLOOKUP(A218,'Eclusée - Schwall-Sunk'!$A$2:$F$273,6,FALSE))</f>
        <v>Non affecté / nicht betroffen</v>
      </c>
      <c r="I218" s="405" t="str">
        <f>IF(VLOOKUP(A218,'Revitalisation-Revitalisierung'!$A$4:$Z$275,25,FALSE)="","",VLOOKUP(A218,'Revitalisation-Revitalisierung'!$A$4:$Z$275,25,FALSE))</f>
        <v>Non nécessaire / nicht nötig</v>
      </c>
      <c r="J218" s="406" t="str">
        <f>IF(VLOOKUP(A218,'Revitalisation-Revitalisierung'!$A$4:$AA$275,27,FALSE)="","",VLOOKUP(A218,'Revitalisation-Revitalisierung'!$A$4:$AA$275,27,FALSE))</f>
        <v>a</v>
      </c>
      <c r="K218" s="407"/>
    </row>
    <row r="219" spans="1:11" ht="20.100000000000001" customHeight="1" x14ac:dyDescent="0.25">
      <c r="A219" s="1233">
        <v>312</v>
      </c>
      <c r="B219" s="409" t="s">
        <v>229</v>
      </c>
      <c r="C219" s="410" t="s">
        <v>230</v>
      </c>
      <c r="D219" s="411" t="s">
        <v>197</v>
      </c>
      <c r="E219" s="402" t="str">
        <f>IF(VLOOKUP(A219,'Charriage - Geschiebehaushalt'!$A$4:$AC$275,28,FALSE)="","",VLOOKUP(A219,'Charriage - Geschiebehaushalt'!$A$4:$AC$275,28,FALSE))</f>
        <v>0-20%</v>
      </c>
      <c r="F219" s="403" t="str">
        <f>IF(VLOOKUP(A219,'Charriage - Geschiebehaushalt'!$A$4:$AD$275,30,FALSE)="","",VLOOKUP(A219,'Charriage - Geschiebehaushalt'!$A$4:$AD$275,30,FALSE))</f>
        <v>a</v>
      </c>
      <c r="G219" s="330" t="str">
        <f>IF(VLOOKUP(A219,'Débit - Abfluss'!$A$4:$AD$275,17,FALSE)="","",VLOOKUP(A219,'Débit - Abfluss'!$A$4:$AD$275,17,FALSE))</f>
        <v>Régime présumé naturel (100%) / Abfluss vermutlich natürlich</v>
      </c>
      <c r="H219" s="404" t="str">
        <f>IF(VLOOKUP(A219,'Eclusée - Schwall-Sunk'!$A$2:$F$273,6,FALSE)="","",VLOOKUP(A219,'Eclusée - Schwall-Sunk'!$A$2:$F$273,6,FALSE))</f>
        <v>Non affecté / nicht betroffen</v>
      </c>
      <c r="I219" s="405" t="str">
        <f>IF(VLOOKUP(A219,'Revitalisation-Revitalisierung'!$A$4:$Z$275,25,FALSE)="","",VLOOKUP(A219,'Revitalisation-Revitalisierung'!$A$4:$Z$275,25,FALSE))</f>
        <v>Non nécessaire / nicht nötig</v>
      </c>
      <c r="J219" s="406" t="str">
        <f>IF(VLOOKUP(A219,'Revitalisation-Revitalisierung'!$A$4:$AA$275,27,FALSE)="","",VLOOKUP(A219,'Revitalisation-Revitalisierung'!$A$4:$AA$275,27,FALSE))</f>
        <v>a</v>
      </c>
      <c r="K219" s="407"/>
    </row>
    <row r="220" spans="1:11" ht="20.100000000000001" customHeight="1" x14ac:dyDescent="0.25">
      <c r="A220" s="928">
        <v>313</v>
      </c>
      <c r="B220" s="400" t="s">
        <v>231</v>
      </c>
      <c r="C220" s="400" t="s">
        <v>231</v>
      </c>
      <c r="D220" s="401" t="s">
        <v>197</v>
      </c>
      <c r="E220" s="402" t="str">
        <f>IF(VLOOKUP(A220,'Charriage - Geschiebehaushalt'!$A$4:$AC$275,28,FALSE)="","",VLOOKUP(A220,'Charriage - Geschiebehaushalt'!$A$4:$AC$275,28,FALSE))</f>
        <v>0-20%</v>
      </c>
      <c r="F220" s="403" t="str">
        <f>IF(VLOOKUP(A220,'Charriage - Geschiebehaushalt'!$A$4:$AD$275,30,FALSE)="","",VLOOKUP(A220,'Charriage - Geschiebehaushalt'!$A$4:$AD$275,30,FALSE))</f>
        <v>a</v>
      </c>
      <c r="G220" s="330" t="str">
        <f>IF(VLOOKUP(A220,'Débit - Abfluss'!$A$4:$AD$275,17,FALSE)="","",VLOOKUP(A220,'Débit - Abfluss'!$A$4:$AD$275,17,FALSE))</f>
        <v>100%</v>
      </c>
      <c r="H220" s="404" t="str">
        <f>IF(VLOOKUP(A220,'Eclusée - Schwall-Sunk'!$A$2:$F$273,6,FALSE)="","",VLOOKUP(A220,'Eclusée - Schwall-Sunk'!$A$2:$F$273,6,FALSE))</f>
        <v>Non affecté / nicht betroffen</v>
      </c>
      <c r="I220" s="405" t="str">
        <f>IF(VLOOKUP(A220,'Revitalisation-Revitalisierung'!$A$4:$Z$275,25,FALSE)="","",VLOOKUP(A220,'Revitalisation-Revitalisierung'!$A$4:$Z$275,25,FALSE))</f>
        <v>Non nécessaire / nicht nötig</v>
      </c>
      <c r="J220" s="406" t="str">
        <f>IF(VLOOKUP(A220,'Revitalisation-Revitalisierung'!$A$4:$AA$275,27,FALSE)="","",VLOOKUP(A220,'Revitalisation-Revitalisierung'!$A$4:$AA$275,27,FALSE))</f>
        <v>a</v>
      </c>
      <c r="K220" s="407"/>
    </row>
    <row r="221" spans="1:11" ht="20.100000000000001" customHeight="1" x14ac:dyDescent="0.25">
      <c r="A221" s="928">
        <v>314</v>
      </c>
      <c r="B221" s="400" t="s">
        <v>154</v>
      </c>
      <c r="C221" s="400" t="s">
        <v>154</v>
      </c>
      <c r="D221" s="401" t="s">
        <v>183</v>
      </c>
      <c r="E221" s="402" t="str">
        <f>IF(VLOOKUP(A221,'Charriage - Geschiebehaushalt'!$A$4:$AC$275,28,FALSE)="","",VLOOKUP(A221,'Charriage - Geschiebehaushalt'!$A$4:$AC$275,28,FALSE))</f>
        <v>0-20%</v>
      </c>
      <c r="F221" s="403" t="str">
        <f>IF(VLOOKUP(A221,'Charriage - Geschiebehaushalt'!$A$4:$AD$275,30,FALSE)="","",VLOOKUP(A221,'Charriage - Geschiebehaushalt'!$A$4:$AD$275,30,FALSE))</f>
        <v>a</v>
      </c>
      <c r="G221" s="330" t="str">
        <f>IF(VLOOKUP(A221,'Débit - Abfluss'!$A$4:$AD$275,17,FALSE)="","",VLOOKUP(A221,'Débit - Abfluss'!$A$4:$AD$275,17,FALSE))</f>
        <v>100%</v>
      </c>
      <c r="H221" s="404" t="str">
        <f>IF(VLOOKUP(A221,'Eclusée - Schwall-Sunk'!$A$2:$F$273,6,FALSE)="","",VLOOKUP(A221,'Eclusée - Schwall-Sunk'!$A$2:$F$273,6,FALSE))</f>
        <v>Non affecté / nicht betroffen</v>
      </c>
      <c r="I221" s="405" t="str">
        <f>IF(VLOOKUP(A221,'Revitalisation-Revitalisierung'!$A$4:$Z$275,25,FALSE)="","",VLOOKUP(A221,'Revitalisation-Revitalisierung'!$A$4:$Z$275,25,FALSE))</f>
        <v>Non nécessaire / nicht nötig</v>
      </c>
      <c r="J221" s="406" t="str">
        <f>IF(VLOOKUP(A221,'Revitalisation-Revitalisierung'!$A$4:$AA$275,27,FALSE)="","",VLOOKUP(A221,'Revitalisation-Revitalisierung'!$A$4:$AA$275,27,FALSE))</f>
        <v>a</v>
      </c>
      <c r="K221" s="407"/>
    </row>
    <row r="222" spans="1:11" ht="20.100000000000001" customHeight="1" x14ac:dyDescent="0.25">
      <c r="A222" s="928">
        <v>315</v>
      </c>
      <c r="B222" s="400" t="s">
        <v>153</v>
      </c>
      <c r="C222" s="400" t="s">
        <v>154</v>
      </c>
      <c r="D222" s="401" t="s">
        <v>92</v>
      </c>
      <c r="E222" s="402" t="str">
        <f>IF(VLOOKUP(A222,'Charriage - Geschiebehaushalt'!$A$4:$AC$275,28,FALSE)="","",VLOOKUP(A222,'Charriage - Geschiebehaushalt'!$A$4:$AC$275,28,FALSE))</f>
        <v>21-50%</v>
      </c>
      <c r="F222" s="403" t="str">
        <f>IF(VLOOKUP(A222,'Charriage - Geschiebehaushalt'!$A$4:$AD$275,30,FALSE)="","",VLOOKUP(A222,'Charriage - Geschiebehaushalt'!$A$4:$AD$275,30,FALSE))</f>
        <v>a</v>
      </c>
      <c r="G222" s="330" t="str">
        <f>IF(VLOOKUP(A222,'Débit - Abfluss'!$A$4:$AD$275,17,FALSE)="","",VLOOKUP(A222,'Débit - Abfluss'!$A$4:$AD$275,17,FALSE))</f>
        <v>100%</v>
      </c>
      <c r="H222" s="404" t="str">
        <f>IF(VLOOKUP(A222,'Eclusée - Schwall-Sunk'!$A$2:$F$273,6,FALSE)="","",VLOOKUP(A222,'Eclusée - Schwall-Sunk'!$A$2:$F$273,6,FALSE))</f>
        <v>Non affecté / nicht betroffen</v>
      </c>
      <c r="I222" s="405" t="str">
        <f>IF(VLOOKUP(A222,'Revitalisation-Revitalisierung'!$A$4:$Z$275,25,FALSE)="","",VLOOKUP(A222,'Revitalisation-Revitalisierung'!$A$4:$Z$275,25,FALSE))</f>
        <v>Non nécessaire / nicht nötig</v>
      </c>
      <c r="J222" s="406" t="str">
        <f>IF(VLOOKUP(A222,'Revitalisation-Revitalisierung'!$A$4:$AA$275,27,FALSE)="","",VLOOKUP(A222,'Revitalisation-Revitalisierung'!$A$4:$AA$275,27,FALSE))</f>
        <v>a</v>
      </c>
      <c r="K222" s="407"/>
    </row>
    <row r="223" spans="1:11" ht="20.100000000000001" customHeight="1" x14ac:dyDescent="0.25">
      <c r="A223" s="1233">
        <v>316</v>
      </c>
      <c r="B223" s="409" t="s">
        <v>155</v>
      </c>
      <c r="C223" s="410" t="s">
        <v>112</v>
      </c>
      <c r="D223" s="411" t="s">
        <v>92</v>
      </c>
      <c r="E223" s="402" t="str">
        <f>IF(VLOOKUP(A223,'Charriage - Geschiebehaushalt'!$A$4:$AC$275,28,FALSE)="","",VLOOKUP(A223,'Charriage - Geschiebehaushalt'!$A$4:$AC$275,28,FALSE))</f>
        <v>0-20%</v>
      </c>
      <c r="F223" s="403" t="str">
        <f>IF(VLOOKUP(A223,'Charriage - Geschiebehaushalt'!$A$4:$AD$275,30,FALSE)="","",VLOOKUP(A223,'Charriage - Geschiebehaushalt'!$A$4:$AD$275,30,FALSE))</f>
        <v>a</v>
      </c>
      <c r="G223" s="330" t="str">
        <f>IF(VLOOKUP(A223,'Débit - Abfluss'!$A$4:$AD$275,17,FALSE)="","",VLOOKUP(A223,'Débit - Abfluss'!$A$4:$AD$275,17,FALSE))</f>
        <v>Régime présumé naturel (100%) / Abfluss vermutlich natürlich</v>
      </c>
      <c r="H223" s="404" t="str">
        <f>IF(VLOOKUP(A223,'Eclusée - Schwall-Sunk'!$A$2:$F$273,6,FALSE)="","",VLOOKUP(A223,'Eclusée - Schwall-Sunk'!$A$2:$F$273,6,FALSE))</f>
        <v>Non affecté / nicht betroffen</v>
      </c>
      <c r="I223" s="405" t="str">
        <f>IF(VLOOKUP(A223,'Revitalisation-Revitalisierung'!$A$4:$Z$275,25,FALSE)="","",VLOOKUP(A223,'Revitalisation-Revitalisierung'!$A$4:$Z$275,25,FALSE))</f>
        <v>Non nécessaire / nicht nötig</v>
      </c>
      <c r="J223" s="406" t="str">
        <f>IF(VLOOKUP(A223,'Revitalisation-Revitalisierung'!$A$4:$AA$275,27,FALSE)="","",VLOOKUP(A223,'Revitalisation-Revitalisierung'!$A$4:$AA$275,27,FALSE))</f>
        <v>a</v>
      </c>
      <c r="K223" s="407"/>
    </row>
    <row r="224" spans="1:11" ht="20.100000000000001" customHeight="1" x14ac:dyDescent="0.25">
      <c r="A224" s="1233">
        <v>317</v>
      </c>
      <c r="B224" s="409" t="s">
        <v>156</v>
      </c>
      <c r="C224" s="410" t="s">
        <v>157</v>
      </c>
      <c r="D224" s="411" t="s">
        <v>92</v>
      </c>
      <c r="E224" s="402" t="str">
        <f>IF(VLOOKUP(A224,'Charriage - Geschiebehaushalt'!$A$4:$AC$275,28,FALSE)="","",VLOOKUP(A224,'Charriage - Geschiebehaushalt'!$A$4:$AC$275,28,FALSE))</f>
        <v>0-20%</v>
      </c>
      <c r="F224" s="403" t="str">
        <f>IF(VLOOKUP(A224,'Charriage - Geschiebehaushalt'!$A$4:$AD$275,30,FALSE)="","",VLOOKUP(A224,'Charriage - Geschiebehaushalt'!$A$4:$AD$275,30,FALSE))</f>
        <v>b</v>
      </c>
      <c r="G224" s="330" t="str">
        <f>IF(VLOOKUP(A224,'Débit - Abfluss'!$A$4:$AD$275,17,FALSE)="","",VLOOKUP(A224,'Débit - Abfluss'!$A$4:$AD$275,17,FALSE))</f>
        <v>Régime présumé naturel (100%) / Abfluss vermutlich natürlich</v>
      </c>
      <c r="H224" s="404" t="str">
        <f>IF(VLOOKUP(A224,'Eclusée - Schwall-Sunk'!$A$2:$F$273,6,FALSE)="","",VLOOKUP(A224,'Eclusée - Schwall-Sunk'!$A$2:$F$273,6,FALSE))</f>
        <v>Non affecté / nicht betroffen</v>
      </c>
      <c r="I224" s="405" t="str">
        <f>IF(VLOOKUP(A224,'Revitalisation-Revitalisierung'!$A$4:$Z$275,25,FALSE)="","",VLOOKUP(A224,'Revitalisation-Revitalisierung'!$A$4:$Z$275,25,FALSE))</f>
        <v>Non nécessaire / nicht nötig</v>
      </c>
      <c r="J224" s="406" t="str">
        <f>IF(VLOOKUP(A224,'Revitalisation-Revitalisierung'!$A$4:$AA$275,27,FALSE)="","",VLOOKUP(A224,'Revitalisation-Revitalisierung'!$A$4:$AA$275,27,FALSE))</f>
        <v>a</v>
      </c>
      <c r="K224" s="407"/>
    </row>
    <row r="225" spans="1:11" ht="20.100000000000001" customHeight="1" x14ac:dyDescent="0.25">
      <c r="A225" s="1233">
        <v>318</v>
      </c>
      <c r="B225" s="409" t="s">
        <v>159</v>
      </c>
      <c r="C225" s="410" t="s">
        <v>160</v>
      </c>
      <c r="D225" s="411" t="s">
        <v>92</v>
      </c>
      <c r="E225" s="402" t="str">
        <f>IF(VLOOKUP(A225,'Charriage - Geschiebehaushalt'!$A$4:$AC$275,28,FALSE)="","",VLOOKUP(A225,'Charriage - Geschiebehaushalt'!$A$4:$AC$275,28,FALSE))</f>
        <v>21-50%</v>
      </c>
      <c r="F225" s="403" t="str">
        <f>IF(VLOOKUP(A225,'Charriage - Geschiebehaushalt'!$A$4:$AD$275,30,FALSE)="","",VLOOKUP(A225,'Charriage - Geschiebehaushalt'!$A$4:$AD$275,30,FALSE))</f>
        <v>a</v>
      </c>
      <c r="G225" s="330" t="str">
        <f>IF(VLOOKUP(A225,'Débit - Abfluss'!$A$4:$AD$275,17,FALSE)="","",VLOOKUP(A225,'Débit - Abfluss'!$A$4:$AD$275,17,FALSE))</f>
        <v>Régime présumé naturel (100%) / Abfluss vermutlich natürlich</v>
      </c>
      <c r="H225" s="404" t="str">
        <f>IF(VLOOKUP(A225,'Eclusée - Schwall-Sunk'!$A$2:$F$273,6,FALSE)="","",VLOOKUP(A225,'Eclusée - Schwall-Sunk'!$A$2:$F$273,6,FALSE))</f>
        <v>Non affecté / nicht betroffen</v>
      </c>
      <c r="I225" s="405" t="str">
        <f>IF(VLOOKUP(A225,'Revitalisation-Revitalisierung'!$A$4:$Z$275,25,FALSE)="","",VLOOKUP(A225,'Revitalisation-Revitalisierung'!$A$4:$Z$275,25,FALSE))</f>
        <v>Non nécessaire / nicht nötig</v>
      </c>
      <c r="J225" s="406" t="str">
        <f>IF(VLOOKUP(A225,'Revitalisation-Revitalisierung'!$A$4:$AA$275,27,FALSE)="","",VLOOKUP(A225,'Revitalisation-Revitalisierung'!$A$4:$AA$275,27,FALSE))</f>
        <v>a</v>
      </c>
      <c r="K225" s="407"/>
    </row>
    <row r="226" spans="1:11" ht="20.100000000000001" customHeight="1" x14ac:dyDescent="0.25">
      <c r="A226" s="928">
        <v>319</v>
      </c>
      <c r="B226" s="400" t="s">
        <v>161</v>
      </c>
      <c r="C226" s="400" t="s">
        <v>94</v>
      </c>
      <c r="D226" s="401" t="s">
        <v>92</v>
      </c>
      <c r="E226" s="402" t="str">
        <f>IF(VLOOKUP(A226,'Charriage - Geschiebehaushalt'!$A$4:$AC$275,28,FALSE)="","",VLOOKUP(A226,'Charriage - Geschiebehaushalt'!$A$4:$AC$275,28,FALSE))</f>
        <v>0-20%</v>
      </c>
      <c r="F226" s="403" t="str">
        <f>IF(VLOOKUP(A226,'Charriage - Geschiebehaushalt'!$A$4:$AD$275,30,FALSE)="","",VLOOKUP(A226,'Charriage - Geschiebehaushalt'!$A$4:$AD$275,30,FALSE))</f>
        <v>a</v>
      </c>
      <c r="G226" s="330" t="str">
        <f>IF(VLOOKUP(A226,'Débit - Abfluss'!$A$4:$AD$275,17,FALSE)="","",VLOOKUP(A226,'Débit - Abfluss'!$A$4:$AD$275,17,FALSE))</f>
        <v>81-100%</v>
      </c>
      <c r="H226" s="404" t="str">
        <f>IF(VLOOKUP(A226,'Eclusée - Schwall-Sunk'!$A$2:$F$273,6,FALSE)="","",VLOOKUP(A226,'Eclusée - Schwall-Sunk'!$A$2:$F$273,6,FALSE))</f>
        <v>Non affecté / nicht betroffen</v>
      </c>
      <c r="I226" s="405" t="str">
        <f>IF(VLOOKUP(A226,'Revitalisation-Revitalisierung'!$A$4:$Z$275,25,FALSE)="","",VLOOKUP(A226,'Revitalisation-Revitalisierung'!$A$4:$Z$275,25,FALSE))</f>
        <v>Non nécessaire / nicht nötig</v>
      </c>
      <c r="J226" s="406" t="str">
        <f>IF(VLOOKUP(A226,'Revitalisation-Revitalisierung'!$A$4:$AA$275,27,FALSE)="","",VLOOKUP(A226,'Revitalisation-Revitalisierung'!$A$4:$AA$275,27,FALSE))</f>
        <v>a</v>
      </c>
      <c r="K226" s="407"/>
    </row>
    <row r="227" spans="1:11" ht="20.100000000000001" customHeight="1" x14ac:dyDescent="0.25">
      <c r="A227" s="1233">
        <v>320</v>
      </c>
      <c r="B227" s="409" t="s">
        <v>163</v>
      </c>
      <c r="C227" s="410" t="s">
        <v>164</v>
      </c>
      <c r="D227" s="411" t="s">
        <v>92</v>
      </c>
      <c r="E227" s="402" t="str">
        <f>IF(VLOOKUP(A227,'Charriage - Geschiebehaushalt'!$A$4:$AC$275,28,FALSE)="","",VLOOKUP(A227,'Charriage - Geschiebehaushalt'!$A$4:$AC$275,28,FALSE))</f>
        <v>21-50%</v>
      </c>
      <c r="F227" s="403" t="str">
        <f>IF(VLOOKUP(A227,'Charriage - Geschiebehaushalt'!$A$4:$AD$275,30,FALSE)="","",VLOOKUP(A227,'Charriage - Geschiebehaushalt'!$A$4:$AD$275,30,FALSE))</f>
        <v>a</v>
      </c>
      <c r="G227" s="330" t="str">
        <f>IF(VLOOKUP(A227,'Débit - Abfluss'!$A$4:$AD$275,17,FALSE)="","",VLOOKUP(A227,'Débit - Abfluss'!$A$4:$AD$275,17,FALSE))</f>
        <v>Régime présumé naturel (100%) / Abfluss vermutlich natürlich</v>
      </c>
      <c r="H227" s="404" t="str">
        <f>IF(VLOOKUP(A227,'Eclusée - Schwall-Sunk'!$A$2:$F$273,6,FALSE)="","",VLOOKUP(A227,'Eclusée - Schwall-Sunk'!$A$2:$F$273,6,FALSE))</f>
        <v>Non affecté / nicht betroffen</v>
      </c>
      <c r="I227" s="405" t="str">
        <f>IF(VLOOKUP(A227,'Revitalisation-Revitalisierung'!$A$4:$Z$275,25,FALSE)="","",VLOOKUP(A227,'Revitalisation-Revitalisierung'!$A$4:$Z$275,25,FALSE))</f>
        <v>Non nécessaire / nicht nötig</v>
      </c>
      <c r="J227" s="406" t="str">
        <f>IF(VLOOKUP(A227,'Revitalisation-Revitalisierung'!$A$4:$AA$275,27,FALSE)="","",VLOOKUP(A227,'Revitalisation-Revitalisierung'!$A$4:$AA$275,27,FALSE))</f>
        <v>a</v>
      </c>
      <c r="K227" s="407"/>
    </row>
    <row r="228" spans="1:11" ht="20.100000000000001" customHeight="1" x14ac:dyDescent="0.25">
      <c r="A228" s="928">
        <v>321</v>
      </c>
      <c r="B228" s="400" t="s">
        <v>165</v>
      </c>
      <c r="C228" s="400" t="s">
        <v>94</v>
      </c>
      <c r="D228" s="401" t="s">
        <v>92</v>
      </c>
      <c r="E228" s="402" t="str">
        <f>IF(VLOOKUP(A228,'Charriage - Geschiebehaushalt'!$A$4:$AC$275,28,FALSE)="","",VLOOKUP(A228,'Charriage - Geschiebehaushalt'!$A$4:$AC$275,28,FALSE))</f>
        <v>21-50%</v>
      </c>
      <c r="F228" s="403" t="str">
        <f>IF(VLOOKUP(A228,'Charriage - Geschiebehaushalt'!$A$4:$AD$275,30,FALSE)="","",VLOOKUP(A228,'Charriage - Geschiebehaushalt'!$A$4:$AD$275,30,FALSE))</f>
        <v>a</v>
      </c>
      <c r="G228" s="330" t="str">
        <f>IF(VLOOKUP(A228,'Débit - Abfluss'!$A$4:$AD$275,17,FALSE)="","",VLOOKUP(A228,'Débit - Abfluss'!$A$4:$AD$275,17,FALSE))</f>
        <v>100%</v>
      </c>
      <c r="H228" s="404" t="str">
        <f>IF(VLOOKUP(A228,'Eclusée - Schwall-Sunk'!$A$2:$F$273,6,FALSE)="","",VLOOKUP(A228,'Eclusée - Schwall-Sunk'!$A$2:$F$273,6,FALSE))</f>
        <v>Non affecté / nicht betroffen</v>
      </c>
      <c r="I228" s="405" t="str">
        <f>IF(VLOOKUP(A228,'Revitalisation-Revitalisierung'!$A$4:$Z$275,25,FALSE)="","",VLOOKUP(A228,'Revitalisation-Revitalisierung'!$A$4:$Z$275,25,FALSE))</f>
        <v>Non nécessaire / nicht nötig</v>
      </c>
      <c r="J228" s="406" t="str">
        <f>IF(VLOOKUP(A228,'Revitalisation-Revitalisierung'!$A$4:$AA$275,27,FALSE)="","",VLOOKUP(A228,'Revitalisation-Revitalisierung'!$A$4:$AA$275,27,FALSE))</f>
        <v>a</v>
      </c>
      <c r="K228" s="407"/>
    </row>
    <row r="229" spans="1:11" ht="20.100000000000001" customHeight="1" x14ac:dyDescent="0.25">
      <c r="A229" s="928">
        <v>322</v>
      </c>
      <c r="B229" s="400" t="s">
        <v>166</v>
      </c>
      <c r="C229" s="400" t="s">
        <v>167</v>
      </c>
      <c r="D229" s="401" t="s">
        <v>92</v>
      </c>
      <c r="E229" s="402" t="str">
        <f>IF(VLOOKUP(A229,'Charriage - Geschiebehaushalt'!$A$4:$AC$275,28,FALSE)="","",VLOOKUP(A229,'Charriage - Geschiebehaushalt'!$A$4:$AC$275,28,FALSE))</f>
        <v>0-20%</v>
      </c>
      <c r="F229" s="403" t="str">
        <f>IF(VLOOKUP(A229,'Charriage - Geschiebehaushalt'!$A$4:$AD$275,30,FALSE)="","",VLOOKUP(A229,'Charriage - Geschiebehaushalt'!$A$4:$AD$275,30,FALSE))</f>
        <v>a</v>
      </c>
      <c r="G229" s="330" t="str">
        <f>IF(VLOOKUP(A229,'Débit - Abfluss'!$A$4:$AD$275,17,FALSE)="","",VLOOKUP(A229,'Débit - Abfluss'!$A$4:$AD$275,17,FALSE))</f>
        <v>100%</v>
      </c>
      <c r="H229" s="404" t="str">
        <f>IF(VLOOKUP(A229,'Eclusée - Schwall-Sunk'!$A$2:$F$273,6,FALSE)="","",VLOOKUP(A229,'Eclusée - Schwall-Sunk'!$A$2:$F$273,6,FALSE))</f>
        <v>Non affecté / nicht betroffen</v>
      </c>
      <c r="I229" s="405" t="str">
        <f>IF(VLOOKUP(A229,'Revitalisation-Revitalisierung'!$A$4:$Z$275,25,FALSE)="","",VLOOKUP(A229,'Revitalisation-Revitalisierung'!$A$4:$Z$275,25,FALSE))</f>
        <v>Non nécessaire / nicht nötig</v>
      </c>
      <c r="J229" s="406" t="str">
        <f>IF(VLOOKUP(A229,'Revitalisation-Revitalisierung'!$A$4:$AA$275,27,FALSE)="","",VLOOKUP(A229,'Revitalisation-Revitalisierung'!$A$4:$AA$275,27,FALSE))</f>
        <v>a</v>
      </c>
      <c r="K229" s="407"/>
    </row>
    <row r="230" spans="1:11" ht="20.100000000000001" customHeight="1" x14ac:dyDescent="0.25">
      <c r="A230" s="928">
        <v>323</v>
      </c>
      <c r="B230" s="400" t="s">
        <v>168</v>
      </c>
      <c r="C230" s="400" t="s">
        <v>169</v>
      </c>
      <c r="D230" s="401" t="s">
        <v>92</v>
      </c>
      <c r="E230" s="402" t="str">
        <f>IF(VLOOKUP(A230,'Charriage - Geschiebehaushalt'!$A$4:$AC$275,28,FALSE)="","",VLOOKUP(A230,'Charriage - Geschiebehaushalt'!$A$4:$AC$275,28,FALSE))</f>
        <v>0-20%</v>
      </c>
      <c r="F230" s="403" t="str">
        <f>IF(VLOOKUP(A230,'Charriage - Geschiebehaushalt'!$A$4:$AD$275,30,FALSE)="","",VLOOKUP(A230,'Charriage - Geschiebehaushalt'!$A$4:$AD$275,30,FALSE))</f>
        <v>b</v>
      </c>
      <c r="G230" s="330" t="str">
        <f>IF(VLOOKUP(A230,'Débit - Abfluss'!$A$4:$AD$275,17,FALSE)="","",VLOOKUP(A230,'Débit - Abfluss'!$A$4:$AD$275,17,FALSE))</f>
        <v>100%</v>
      </c>
      <c r="H230" s="404" t="str">
        <f>IF(VLOOKUP(A230,'Eclusée - Schwall-Sunk'!$A$2:$F$273,6,FALSE)="","",VLOOKUP(A230,'Eclusée - Schwall-Sunk'!$A$2:$F$273,6,FALSE))</f>
        <v>Non affecté / nicht betroffen</v>
      </c>
      <c r="I230" s="405" t="str">
        <f>IF(VLOOKUP(A230,'Revitalisation-Revitalisierung'!$A$4:$Z$275,25,FALSE)="","",VLOOKUP(A230,'Revitalisation-Revitalisierung'!$A$4:$Z$275,25,FALSE))</f>
        <v>Partiellement nécessaire, facile / teilweise nötig, einfach</v>
      </c>
      <c r="J230" s="406" t="str">
        <f>IF(VLOOKUP(A230,'Revitalisation-Revitalisierung'!$A$4:$AA$275,27,FALSE)="","",VLOOKUP(A230,'Revitalisation-Revitalisierung'!$A$4:$AA$275,27,FALSE))</f>
        <v>a</v>
      </c>
      <c r="K230" s="407"/>
    </row>
    <row r="231" spans="1:11" ht="20.100000000000001" customHeight="1" x14ac:dyDescent="0.25">
      <c r="A231" s="928">
        <v>324</v>
      </c>
      <c r="B231" s="400" t="s">
        <v>171</v>
      </c>
      <c r="C231" s="400" t="s">
        <v>172</v>
      </c>
      <c r="D231" s="401" t="s">
        <v>92</v>
      </c>
      <c r="E231" s="402" t="str">
        <f>IF(VLOOKUP(A231,'Charriage - Geschiebehaushalt'!$A$4:$AC$275,28,FALSE)="","",VLOOKUP(A231,'Charriage - Geschiebehaushalt'!$A$4:$AC$275,28,FALSE))</f>
        <v>0-20%</v>
      </c>
      <c r="F231" s="403" t="str">
        <f>IF(VLOOKUP(A231,'Charriage - Geschiebehaushalt'!$A$4:$AD$275,30,FALSE)="","",VLOOKUP(A231,'Charriage - Geschiebehaushalt'!$A$4:$AD$275,30,FALSE))</f>
        <v>b</v>
      </c>
      <c r="G231" s="330" t="str">
        <f>IF(VLOOKUP(A231,'Débit - Abfluss'!$A$4:$AD$275,17,FALSE)="","",VLOOKUP(A231,'Débit - Abfluss'!$A$4:$AD$275,17,FALSE))</f>
        <v>100%</v>
      </c>
      <c r="H231" s="404" t="str">
        <f>IF(VLOOKUP(A231,'Eclusée - Schwall-Sunk'!$A$2:$F$273,6,FALSE)="","",VLOOKUP(A231,'Eclusée - Schwall-Sunk'!$A$2:$F$273,6,FALSE))</f>
        <v>Non affecté / nicht betroffen</v>
      </c>
      <c r="I231" s="405" t="str">
        <f>IF(VLOOKUP(A231,'Revitalisation-Revitalisierung'!$A$4:$Z$275,25,FALSE)="","",VLOOKUP(A231,'Revitalisation-Revitalisierung'!$A$4:$Z$275,25,FALSE))</f>
        <v>Non nécessaire / nicht nötig</v>
      </c>
      <c r="J231" s="406" t="str">
        <f>IF(VLOOKUP(A231,'Revitalisation-Revitalisierung'!$A$4:$AA$275,27,FALSE)="","",VLOOKUP(A231,'Revitalisation-Revitalisierung'!$A$4:$AA$275,27,FALSE))</f>
        <v>a</v>
      </c>
      <c r="K231" s="407"/>
    </row>
    <row r="232" spans="1:11" ht="20.100000000000001" customHeight="1" x14ac:dyDescent="0.25">
      <c r="A232" s="928">
        <v>325</v>
      </c>
      <c r="B232" s="400" t="s">
        <v>174</v>
      </c>
      <c r="C232" s="400" t="s">
        <v>125</v>
      </c>
      <c r="D232" s="401" t="s">
        <v>92</v>
      </c>
      <c r="E232" s="402" t="str">
        <f>IF(VLOOKUP(A232,'Charriage - Geschiebehaushalt'!$A$4:$AC$275,28,FALSE)="","",VLOOKUP(A232,'Charriage - Geschiebehaushalt'!$A$4:$AC$275,28,FALSE))</f>
        <v>0-20%</v>
      </c>
      <c r="F232" s="403" t="str">
        <f>IF(VLOOKUP(A232,'Charriage - Geschiebehaushalt'!$A$4:$AD$275,30,FALSE)="","",VLOOKUP(A232,'Charriage - Geschiebehaushalt'!$A$4:$AD$275,30,FALSE))</f>
        <v>a</v>
      </c>
      <c r="G232" s="330" t="str">
        <f>IF(VLOOKUP(A232,'Débit - Abfluss'!$A$4:$AD$275,17,FALSE)="","",VLOOKUP(A232,'Débit - Abfluss'!$A$4:$AD$275,17,FALSE))</f>
        <v>81-100%</v>
      </c>
      <c r="H232" s="404" t="str">
        <f>IF(VLOOKUP(A232,'Eclusée - Schwall-Sunk'!$A$2:$F$273,6,FALSE)="","",VLOOKUP(A232,'Eclusée - Schwall-Sunk'!$A$2:$F$273,6,FALSE))</f>
        <v>Non affecté / nicht betroffen</v>
      </c>
      <c r="I232" s="405" t="str">
        <f>IF(VLOOKUP(A232,'Revitalisation-Revitalisierung'!$A$4:$Z$275,25,FALSE)="","",VLOOKUP(A232,'Revitalisation-Revitalisierung'!$A$4:$Z$275,25,FALSE))</f>
        <v>Non nécessaire / nicht nötig</v>
      </c>
      <c r="J232" s="406" t="str">
        <f>IF(VLOOKUP(A232,'Revitalisation-Revitalisierung'!$A$4:$AA$275,27,FALSE)="","",VLOOKUP(A232,'Revitalisation-Revitalisierung'!$A$4:$AA$275,27,FALSE))</f>
        <v>a</v>
      </c>
      <c r="K232" s="407"/>
    </row>
    <row r="233" spans="1:11" ht="20.100000000000001" customHeight="1" x14ac:dyDescent="0.25">
      <c r="A233" s="927">
        <v>326.10000000000002</v>
      </c>
      <c r="B233" s="400" t="s">
        <v>175</v>
      </c>
      <c r="C233" s="400" t="s">
        <v>176</v>
      </c>
      <c r="D233" s="401" t="s">
        <v>92</v>
      </c>
      <c r="E233" s="402" t="str">
        <f>IF(VLOOKUP(A233,'Charriage - Geschiebehaushalt'!$A$4:$AC$275,28,FALSE)="","",VLOOKUP(A233,'Charriage - Geschiebehaushalt'!$A$4:$AC$275,28,FALSE))</f>
        <v>0-20%</v>
      </c>
      <c r="F233" s="403" t="str">
        <f>IF(VLOOKUP(A233,'Charriage - Geschiebehaushalt'!$A$4:$AD$275,30,FALSE)="","",VLOOKUP(A233,'Charriage - Geschiebehaushalt'!$A$4:$AD$275,30,FALSE))</f>
        <v>b</v>
      </c>
      <c r="G233" s="330" t="str">
        <f>IF(VLOOKUP(A233,'Débit - Abfluss'!$A$4:$AD$275,17,FALSE)="","",VLOOKUP(A233,'Débit - Abfluss'!$A$4:$AD$275,17,FALSE))</f>
        <v>100%</v>
      </c>
      <c r="H233" s="404" t="str">
        <f>IF(VLOOKUP(A233,'Eclusée - Schwall-Sunk'!$A$2:$F$273,6,FALSE)="","",VLOOKUP(A233,'Eclusée - Schwall-Sunk'!$A$2:$F$273,6,FALSE))</f>
        <v>Non affecté / nicht betroffen</v>
      </c>
      <c r="I233" s="405" t="str">
        <f>IF(VLOOKUP(A233,'Revitalisation-Revitalisierung'!$A$4:$Z$275,25,FALSE)="","",VLOOKUP(A233,'Revitalisation-Revitalisierung'!$A$4:$Z$275,25,FALSE))</f>
        <v>Non nécessaire / nicht nötig</v>
      </c>
      <c r="J233" s="406" t="str">
        <f>IF(VLOOKUP(A233,'Revitalisation-Revitalisierung'!$A$4:$AA$275,27,FALSE)="","",VLOOKUP(A233,'Revitalisation-Revitalisierung'!$A$4:$AA$275,27,FALSE))</f>
        <v>b</v>
      </c>
      <c r="K233" s="407"/>
    </row>
    <row r="234" spans="1:11" ht="20.100000000000001" customHeight="1" x14ac:dyDescent="0.25">
      <c r="A234" s="927">
        <v>326.2</v>
      </c>
      <c r="B234" s="400" t="s">
        <v>175</v>
      </c>
      <c r="C234" s="400" t="s">
        <v>176</v>
      </c>
      <c r="D234" s="401" t="s">
        <v>92</v>
      </c>
      <c r="E234" s="402" t="str">
        <f>IF(VLOOKUP(A234,'Charriage - Geschiebehaushalt'!$A$4:$AC$275,28,FALSE)="","",VLOOKUP(A234,'Charriage - Geschiebehaushalt'!$A$4:$AC$275,28,FALSE))</f>
        <v>0-20%</v>
      </c>
      <c r="F234" s="403" t="str">
        <f>IF(VLOOKUP(A234,'Charriage - Geschiebehaushalt'!$A$4:$AD$275,30,FALSE)="","",VLOOKUP(A234,'Charriage - Geschiebehaushalt'!$A$4:$AD$275,30,FALSE))</f>
        <v>b</v>
      </c>
      <c r="G234" s="330" t="str">
        <f>IF(VLOOKUP(A234,'Débit - Abfluss'!$A$4:$AD$275,17,FALSE)="","",VLOOKUP(A234,'Débit - Abfluss'!$A$4:$AD$275,17,FALSE))</f>
        <v>100%</v>
      </c>
      <c r="H234" s="404" t="str">
        <f>IF(VLOOKUP(A234,'Eclusée - Schwall-Sunk'!$A$2:$F$273,6,FALSE)="","",VLOOKUP(A234,'Eclusée - Schwall-Sunk'!$A$2:$F$273,6,FALSE))</f>
        <v>Non affecté / nicht betroffen</v>
      </c>
      <c r="I234" s="405" t="str">
        <f>IF(VLOOKUP(A234,'Revitalisation-Revitalisierung'!$A$4:$Z$275,25,FALSE)="","",VLOOKUP(A234,'Revitalisation-Revitalisierung'!$A$4:$Z$275,25,FALSE))</f>
        <v>Non nécessaire / nicht nötig</v>
      </c>
      <c r="J234" s="406" t="str">
        <f>IF(VLOOKUP(A234,'Revitalisation-Revitalisierung'!$A$4:$AA$275,27,FALSE)="","",VLOOKUP(A234,'Revitalisation-Revitalisierung'!$A$4:$AA$275,27,FALSE))</f>
        <v>a</v>
      </c>
      <c r="K234" s="407"/>
    </row>
    <row r="235" spans="1:11" ht="20.100000000000001" customHeight="1" x14ac:dyDescent="0.25">
      <c r="A235" s="928">
        <v>327</v>
      </c>
      <c r="B235" s="400" t="s">
        <v>177</v>
      </c>
      <c r="C235" s="400" t="s">
        <v>178</v>
      </c>
      <c r="D235" s="401" t="s">
        <v>92</v>
      </c>
      <c r="E235" s="402" t="str">
        <f>IF(VLOOKUP(A235,'Charriage - Geschiebehaushalt'!$A$4:$AC$275,28,FALSE)="","",VLOOKUP(A235,'Charriage - Geschiebehaushalt'!$A$4:$AC$275,28,FALSE))</f>
        <v>0-20%</v>
      </c>
      <c r="F235" s="403" t="str">
        <f>IF(VLOOKUP(A235,'Charriage - Geschiebehaushalt'!$A$4:$AD$275,30,FALSE)="","",VLOOKUP(A235,'Charriage - Geschiebehaushalt'!$A$4:$AD$275,30,FALSE))</f>
        <v>b</v>
      </c>
      <c r="G235" s="330" t="str">
        <f>IF(VLOOKUP(A235,'Débit - Abfluss'!$A$4:$AD$275,17,FALSE)="","",VLOOKUP(A235,'Débit - Abfluss'!$A$4:$AD$275,17,FALSE))</f>
        <v>100%</v>
      </c>
      <c r="H235" s="404" t="str">
        <f>IF(VLOOKUP(A235,'Eclusée - Schwall-Sunk'!$A$2:$F$273,6,FALSE)="","",VLOOKUP(A235,'Eclusée - Schwall-Sunk'!$A$2:$F$273,6,FALSE))</f>
        <v>Non affecté / nicht betroffen</v>
      </c>
      <c r="I235" s="405" t="str">
        <f>IF(VLOOKUP(A235,'Revitalisation-Revitalisierung'!$A$4:$Z$275,25,FALSE)="","",VLOOKUP(A235,'Revitalisation-Revitalisierung'!$A$4:$Z$275,25,FALSE))</f>
        <v>Non nécessaire / nicht nötig</v>
      </c>
      <c r="J235" s="406" t="str">
        <f>IF(VLOOKUP(A235,'Revitalisation-Revitalisierung'!$A$4:$AA$275,27,FALSE)="","",VLOOKUP(A235,'Revitalisation-Revitalisierung'!$A$4:$AA$275,27,FALSE))</f>
        <v>b</v>
      </c>
      <c r="K235" s="407"/>
    </row>
    <row r="236" spans="1:11" ht="20.100000000000001" customHeight="1" x14ac:dyDescent="0.25">
      <c r="A236" s="1233">
        <v>328</v>
      </c>
      <c r="B236" s="409" t="s">
        <v>180</v>
      </c>
      <c r="C236" s="410" t="s">
        <v>181</v>
      </c>
      <c r="D236" s="411" t="s">
        <v>92</v>
      </c>
      <c r="E236" s="402" t="str">
        <f>IF(VLOOKUP(A236,'Charriage - Geschiebehaushalt'!$A$4:$AC$275,28,FALSE)="","",VLOOKUP(A236,'Charriage - Geschiebehaushalt'!$A$4:$AC$275,28,FALSE))</f>
        <v>0-20%</v>
      </c>
      <c r="F236" s="403" t="str">
        <f>IF(VLOOKUP(A236,'Charriage - Geschiebehaushalt'!$A$4:$AD$275,30,FALSE)="","",VLOOKUP(A236,'Charriage - Geschiebehaushalt'!$A$4:$AD$275,30,FALSE))</f>
        <v>b</v>
      </c>
      <c r="G236" s="330" t="str">
        <f>IF(VLOOKUP(A236,'Débit - Abfluss'!$A$4:$AD$275,17,FALSE)="","",VLOOKUP(A236,'Débit - Abfluss'!$A$4:$AD$275,17,FALSE))</f>
        <v>Régime présumé naturel (100%) / Abfluss vermutlich natürlich</v>
      </c>
      <c r="H236" s="404" t="str">
        <f>IF(VLOOKUP(A236,'Eclusée - Schwall-Sunk'!$A$2:$F$273,6,FALSE)="","",VLOOKUP(A236,'Eclusée - Schwall-Sunk'!$A$2:$F$273,6,FALSE))</f>
        <v>Non affecté / nicht betroffen</v>
      </c>
      <c r="I236" s="405" t="str">
        <f>IF(VLOOKUP(A236,'Revitalisation-Revitalisierung'!$A$4:$Z$275,25,FALSE)="","",VLOOKUP(A236,'Revitalisation-Revitalisierung'!$A$4:$Z$275,25,FALSE))</f>
        <v>Non nécessaire / nicht nötig</v>
      </c>
      <c r="J236" s="406" t="str">
        <f>IF(VLOOKUP(A236,'Revitalisation-Revitalisierung'!$A$4:$AA$275,27,FALSE)="","",VLOOKUP(A236,'Revitalisation-Revitalisierung'!$A$4:$AA$275,27,FALSE))</f>
        <v>a</v>
      </c>
      <c r="K236" s="407"/>
    </row>
    <row r="237" spans="1:11" ht="20.100000000000001" customHeight="1" x14ac:dyDescent="0.25">
      <c r="A237" s="929">
        <v>329</v>
      </c>
      <c r="B237" s="409" t="s">
        <v>665</v>
      </c>
      <c r="C237" s="410" t="s">
        <v>666</v>
      </c>
      <c r="D237" s="411" t="s">
        <v>625</v>
      </c>
      <c r="E237" s="402" t="str">
        <f>IF(VLOOKUP(A237,'Charriage - Geschiebehaushalt'!$A$4:$AC$275,28,FALSE)="","",VLOOKUP(A237,'Charriage - Geschiebehaushalt'!$A$4:$AC$275,28,FALSE))</f>
        <v>51-80%</v>
      </c>
      <c r="F237" s="403" t="str">
        <f>IF(VLOOKUP(A237,'Charriage - Geschiebehaushalt'!$A$4:$AD$275,30,FALSE)="","",VLOOKUP(A237,'Charriage - Geschiebehaushalt'!$A$4:$AD$275,30,FALSE))</f>
        <v>a</v>
      </c>
      <c r="G237" s="330" t="str">
        <f>IF(VLOOKUP(A237,'Débit - Abfluss'!$A$4:$AD$275,17,FALSE)="","",VLOOKUP(A237,'Débit - Abfluss'!$A$4:$AD$275,17,FALSE))</f>
        <v>Régime présumé naturel (100%) / Abfluss vermutlich natürlich</v>
      </c>
      <c r="H237" s="404" t="str">
        <f>IF(VLOOKUP(A237,'Eclusée - Schwall-Sunk'!$A$2:$F$273,6,FALSE)="","",VLOOKUP(A237,'Eclusée - Schwall-Sunk'!$A$2:$F$273,6,FALSE))</f>
        <v>Non affecté / nicht betroffen</v>
      </c>
      <c r="I237" s="405" t="str">
        <f>IF(VLOOKUP(A237,'Revitalisation-Revitalisierung'!$A$4:$Z$275,25,FALSE)="","",VLOOKUP(A237,'Revitalisation-Revitalisierung'!$A$4:$Z$275,25,FALSE))</f>
        <v>Non nécessaire / nicht nötig</v>
      </c>
      <c r="J237" s="406" t="str">
        <f>IF(VLOOKUP(A237,'Revitalisation-Revitalisierung'!$A$4:$AA$275,27,FALSE)="","",VLOOKUP(A237,'Revitalisation-Revitalisierung'!$A$4:$AA$275,27,FALSE))</f>
        <v>a</v>
      </c>
      <c r="K237" s="407"/>
    </row>
    <row r="238" spans="1:11" ht="20.100000000000001" customHeight="1" x14ac:dyDescent="0.25">
      <c r="A238" s="1233">
        <v>330</v>
      </c>
      <c r="B238" s="409" t="s">
        <v>668</v>
      </c>
      <c r="C238" s="410" t="s">
        <v>669</v>
      </c>
      <c r="D238" s="411" t="s">
        <v>625</v>
      </c>
      <c r="E238" s="402" t="str">
        <f>IF(VLOOKUP(A238,'Charriage - Geschiebehaushalt'!$A$4:$AC$275,28,FALSE)="","",VLOOKUP(A238,'Charriage - Geschiebehaushalt'!$A$4:$AC$275,28,FALSE))</f>
        <v>0-20%</v>
      </c>
      <c r="F238" s="403" t="str">
        <f>IF(VLOOKUP(A238,'Charriage - Geschiebehaushalt'!$A$4:$AD$275,30,FALSE)="","",VLOOKUP(A238,'Charriage - Geschiebehaushalt'!$A$4:$AD$275,30,FALSE))</f>
        <v>b</v>
      </c>
      <c r="G238" s="330" t="str">
        <f>IF(VLOOKUP(A238,'Débit - Abfluss'!$A$4:$AD$275,17,FALSE)="","",VLOOKUP(A238,'Débit - Abfluss'!$A$4:$AD$275,17,FALSE))</f>
        <v>Régime présumé naturel (100%) / Abfluss vermutlich natürlich</v>
      </c>
      <c r="H238" s="404" t="str">
        <f>IF(VLOOKUP(A238,'Eclusée - Schwall-Sunk'!$A$2:$F$273,6,FALSE)="","",VLOOKUP(A238,'Eclusée - Schwall-Sunk'!$A$2:$F$273,6,FALSE))</f>
        <v>Non affecté / nicht betroffen</v>
      </c>
      <c r="I238" s="405" t="str">
        <f>IF(VLOOKUP(A238,'Revitalisation-Revitalisierung'!$A$4:$Z$275,25,FALSE)="","",VLOOKUP(A238,'Revitalisation-Revitalisierung'!$A$4:$Z$275,25,FALSE))</f>
        <v>Non nécessaire / nicht nötig</v>
      </c>
      <c r="J238" s="406" t="str">
        <f>IF(VLOOKUP(A238,'Revitalisation-Revitalisierung'!$A$4:$AA$275,27,FALSE)="","",VLOOKUP(A238,'Revitalisation-Revitalisierung'!$A$4:$AA$275,27,FALSE))</f>
        <v>a</v>
      </c>
      <c r="K238" s="407"/>
    </row>
    <row r="239" spans="1:11" ht="20.100000000000001" customHeight="1" x14ac:dyDescent="0.25">
      <c r="A239" s="1233">
        <v>331</v>
      </c>
      <c r="B239" s="409" t="s">
        <v>671</v>
      </c>
      <c r="C239" s="410" t="s">
        <v>672</v>
      </c>
      <c r="D239" s="411" t="s">
        <v>625</v>
      </c>
      <c r="E239" s="402" t="str">
        <f>IF(VLOOKUP(A239,'Charriage - Geschiebehaushalt'!$A$4:$AC$275,28,FALSE)="","",VLOOKUP(A239,'Charriage - Geschiebehaushalt'!$A$4:$AC$275,28,FALSE))</f>
        <v>0-20%</v>
      </c>
      <c r="F239" s="403" t="str">
        <f>IF(VLOOKUP(A239,'Charriage - Geschiebehaushalt'!$A$4:$AD$275,30,FALSE)="","",VLOOKUP(A239,'Charriage - Geschiebehaushalt'!$A$4:$AD$275,30,FALSE))</f>
        <v>b</v>
      </c>
      <c r="G239" s="330" t="str">
        <f>IF(VLOOKUP(A239,'Débit - Abfluss'!$A$4:$AD$275,17,FALSE)="","",VLOOKUP(A239,'Débit - Abfluss'!$A$4:$AD$275,17,FALSE))</f>
        <v>Régime présumé naturel (100%) / Abfluss vermutlich natürlich</v>
      </c>
      <c r="H239" s="404" t="str">
        <f>IF(VLOOKUP(A239,'Eclusée - Schwall-Sunk'!$A$2:$F$273,6,FALSE)="","",VLOOKUP(A239,'Eclusée - Schwall-Sunk'!$A$2:$F$273,6,FALSE))</f>
        <v>Non affecté / nicht betroffen</v>
      </c>
      <c r="I239" s="405" t="str">
        <f>IF(VLOOKUP(A239,'Revitalisation-Revitalisierung'!$A$4:$Z$275,25,FALSE)="","",VLOOKUP(A239,'Revitalisation-Revitalisierung'!$A$4:$Z$275,25,FALSE))</f>
        <v>Non nécessaire / nicht nötig</v>
      </c>
      <c r="J239" s="406" t="str">
        <f>IF(VLOOKUP(A239,'Revitalisation-Revitalisierung'!$A$4:$AA$275,27,FALSE)="","",VLOOKUP(A239,'Revitalisation-Revitalisierung'!$A$4:$AA$275,27,FALSE))</f>
        <v>a</v>
      </c>
      <c r="K239" s="407"/>
    </row>
    <row r="240" spans="1:11" ht="20.100000000000001" customHeight="1" x14ac:dyDescent="0.25">
      <c r="A240" s="1233">
        <v>332</v>
      </c>
      <c r="B240" s="409" t="s">
        <v>674</v>
      </c>
      <c r="C240" s="410" t="s">
        <v>675</v>
      </c>
      <c r="D240" s="411" t="s">
        <v>625</v>
      </c>
      <c r="E240" s="402" t="str">
        <f>IF(VLOOKUP(A240,'Charriage - Geschiebehaushalt'!$A$4:$AC$275,28,FALSE)="","",VLOOKUP(A240,'Charriage - Geschiebehaushalt'!$A$4:$AC$275,28,FALSE))</f>
        <v>21-50%</v>
      </c>
      <c r="F240" s="403" t="str">
        <f>IF(VLOOKUP(A240,'Charriage - Geschiebehaushalt'!$A$4:$AD$275,30,FALSE)="","",VLOOKUP(A240,'Charriage - Geschiebehaushalt'!$A$4:$AD$275,30,FALSE))</f>
        <v>a</v>
      </c>
      <c r="G240" s="330" t="str">
        <f>IF(VLOOKUP(A240,'Débit - Abfluss'!$A$4:$AD$275,17,FALSE)="","",VLOOKUP(A240,'Débit - Abfluss'!$A$4:$AD$275,17,FALSE))</f>
        <v>0-20%</v>
      </c>
      <c r="H240" s="404" t="str">
        <f>IF(VLOOKUP(A240,'Eclusée - Schwall-Sunk'!$A$2:$F$273,6,FALSE)="","",VLOOKUP(A240,'Eclusée - Schwall-Sunk'!$A$2:$F$273,6,FALSE))</f>
        <v>Non affecté / nicht betroffen</v>
      </c>
      <c r="I240" s="405" t="str">
        <f>IF(VLOOKUP(A240,'Revitalisation-Revitalisierung'!$A$4:$Z$275,25,FALSE)="","",VLOOKUP(A240,'Revitalisation-Revitalisierung'!$A$4:$Z$275,25,FALSE))</f>
        <v>Très nécessaire, facile / unbedingt nötig, einfach</v>
      </c>
      <c r="J240" s="406" t="str">
        <f>IF(VLOOKUP(A240,'Revitalisation-Revitalisierung'!$A$4:$AA$275,27,FALSE)="","",VLOOKUP(A240,'Revitalisation-Revitalisierung'!$A$4:$AA$275,27,FALSE))</f>
        <v>b</v>
      </c>
      <c r="K240" s="407"/>
    </row>
    <row r="241" spans="1:11" ht="20.100000000000001" customHeight="1" x14ac:dyDescent="0.25">
      <c r="A241" s="1233">
        <v>333</v>
      </c>
      <c r="B241" s="409" t="s">
        <v>677</v>
      </c>
      <c r="C241" s="410" t="s">
        <v>675</v>
      </c>
      <c r="D241" s="411" t="s">
        <v>625</v>
      </c>
      <c r="E241" s="402" t="str">
        <f>IF(VLOOKUP(A241,'Charriage - Geschiebehaushalt'!$A$4:$AC$275,28,FALSE)="","",VLOOKUP(A241,'Charriage - Geschiebehaushalt'!$A$4:$AC$275,28,FALSE))</f>
        <v>21-50%</v>
      </c>
      <c r="F241" s="403" t="str">
        <f>IF(VLOOKUP(A241,'Charriage - Geschiebehaushalt'!$A$4:$AD$275,30,FALSE)="","",VLOOKUP(A241,'Charriage - Geschiebehaushalt'!$A$4:$AD$275,30,FALSE))</f>
        <v>a</v>
      </c>
      <c r="G241" s="330" t="str">
        <f>IF(VLOOKUP(A241,'Débit - Abfluss'!$A$4:$AD$275,17,FALSE)="","",VLOOKUP(A241,'Débit - Abfluss'!$A$4:$AD$275,17,FALSE))</f>
        <v>0-20%</v>
      </c>
      <c r="H241" s="404" t="str">
        <f>IF(VLOOKUP(A241,'Eclusée - Schwall-Sunk'!$A$2:$F$273,6,FALSE)="","",VLOOKUP(A241,'Eclusée - Schwall-Sunk'!$A$2:$F$273,6,FALSE))</f>
        <v>Non affecté / nicht betroffen</v>
      </c>
      <c r="I241" s="405" t="str">
        <f>IF(VLOOKUP(A241,'Revitalisation-Revitalisierung'!$A$4:$Z$275,25,FALSE)="","",VLOOKUP(A241,'Revitalisation-Revitalisierung'!$A$4:$Z$275,25,FALSE))</f>
        <v>Très nécessaire, facile / unbedingt nötig, einfach</v>
      </c>
      <c r="J241" s="406" t="str">
        <f>IF(VLOOKUP(A241,'Revitalisation-Revitalisierung'!$A$4:$AA$275,27,FALSE)="","",VLOOKUP(A241,'Revitalisation-Revitalisierung'!$A$4:$AA$275,27,FALSE))</f>
        <v>a</v>
      </c>
      <c r="K241" s="407"/>
    </row>
    <row r="242" spans="1:11" ht="20.100000000000001" customHeight="1" x14ac:dyDescent="0.25">
      <c r="A242" s="1233">
        <v>334</v>
      </c>
      <c r="B242" s="409" t="s">
        <v>679</v>
      </c>
      <c r="C242" s="410" t="s">
        <v>680</v>
      </c>
      <c r="D242" s="411" t="s">
        <v>625</v>
      </c>
      <c r="E242" s="402" t="str">
        <f>IF(VLOOKUP(A242,'Charriage - Geschiebehaushalt'!$A$4:$AC$275,28,FALSE)="","",VLOOKUP(A242,'Charriage - Geschiebehaushalt'!$A$4:$AC$275,28,FALSE))</f>
        <v>51-80%</v>
      </c>
      <c r="F242" s="403" t="str">
        <f>IF(VLOOKUP(A242,'Charriage - Geschiebehaushalt'!$A$4:$AD$275,30,FALSE)="","",VLOOKUP(A242,'Charriage - Geschiebehaushalt'!$A$4:$AD$275,30,FALSE))</f>
        <v>a</v>
      </c>
      <c r="G242" s="330" t="str">
        <f>IF(VLOOKUP(A242,'Débit - Abfluss'!$A$4:$AD$275,17,FALSE)="","",VLOOKUP(A242,'Débit - Abfluss'!$A$4:$AD$275,17,FALSE))</f>
        <v>Régime présumé naturel (100%) / Abfluss vermutlich natürlich</v>
      </c>
      <c r="H242" s="404" t="str">
        <f>IF(VLOOKUP(A242,'Eclusée - Schwall-Sunk'!$A$2:$F$273,6,FALSE)="","",VLOOKUP(A242,'Eclusée - Schwall-Sunk'!$A$2:$F$273,6,FALSE))</f>
        <v>Non affecté / nicht betroffen</v>
      </c>
      <c r="I242" s="405" t="str">
        <f>IF(VLOOKUP(A242,'Revitalisation-Revitalisierung'!$A$4:$Z$275,25,FALSE)="","",VLOOKUP(A242,'Revitalisation-Revitalisierung'!$A$4:$Z$275,25,FALSE))</f>
        <v>Très nécessaire, facile / unbedingt nötig, einfach</v>
      </c>
      <c r="J242" s="406" t="str">
        <f>IF(VLOOKUP(A242,'Revitalisation-Revitalisierung'!$A$4:$AA$275,27,FALSE)="","",VLOOKUP(A242,'Revitalisation-Revitalisierung'!$A$4:$AA$275,27,FALSE))</f>
        <v>a</v>
      </c>
      <c r="K242" s="407"/>
    </row>
    <row r="243" spans="1:11" ht="20.100000000000001" customHeight="1" x14ac:dyDescent="0.25">
      <c r="A243" s="1233">
        <v>335</v>
      </c>
      <c r="B243" s="409" t="s">
        <v>682</v>
      </c>
      <c r="C243" s="410" t="s">
        <v>683</v>
      </c>
      <c r="D243" s="411" t="s">
        <v>625</v>
      </c>
      <c r="E243" s="402" t="str">
        <f>IF(VLOOKUP(A243,'Charriage - Geschiebehaushalt'!$A$4:$AC$275,28,FALSE)="","",VLOOKUP(A243,'Charriage - Geschiebehaushalt'!$A$4:$AC$275,28,FALSE))</f>
        <v>0-20%</v>
      </c>
      <c r="F243" s="403" t="str">
        <f>IF(VLOOKUP(A243,'Charriage - Geschiebehaushalt'!$A$4:$AD$275,30,FALSE)="","",VLOOKUP(A243,'Charriage - Geschiebehaushalt'!$A$4:$AD$275,30,FALSE))</f>
        <v>a</v>
      </c>
      <c r="G243" s="330" t="str">
        <f>IF(VLOOKUP(A243,'Débit - Abfluss'!$A$4:$AD$275,17,FALSE)="","",VLOOKUP(A243,'Débit - Abfluss'!$A$4:$AD$275,17,FALSE))</f>
        <v>0-20%</v>
      </c>
      <c r="H243" s="404" t="str">
        <f>IF(VLOOKUP(A243,'Eclusée - Schwall-Sunk'!$A$2:$F$273,6,FALSE)="","",VLOOKUP(A243,'Eclusée - Schwall-Sunk'!$A$2:$F$273,6,FALSE))</f>
        <v>Non affecté / nicht betroffen</v>
      </c>
      <c r="I243" s="405" t="str">
        <f>IF(VLOOKUP(A243,'Revitalisation-Revitalisierung'!$A$4:$Z$275,25,FALSE)="","",VLOOKUP(A243,'Revitalisation-Revitalisierung'!$A$4:$Z$275,25,FALSE))</f>
        <v>Partiellement nécessaire, facile / teilweise nötig, einfach</v>
      </c>
      <c r="J243" s="406" t="str">
        <f>IF(VLOOKUP(A243,'Revitalisation-Revitalisierung'!$A$4:$AA$275,27,FALSE)="","",VLOOKUP(A243,'Revitalisation-Revitalisierung'!$A$4:$AA$275,27,FALSE))</f>
        <v>a</v>
      </c>
      <c r="K243" s="407"/>
    </row>
    <row r="244" spans="1:11" ht="20.100000000000001" customHeight="1" x14ac:dyDescent="0.25">
      <c r="A244" s="929">
        <v>336</v>
      </c>
      <c r="B244" s="409" t="s">
        <v>685</v>
      </c>
      <c r="C244" s="410" t="s">
        <v>686</v>
      </c>
      <c r="D244" s="411" t="s">
        <v>625</v>
      </c>
      <c r="E244" s="402" t="str">
        <f>IF(VLOOKUP(A244,'Charriage - Geschiebehaushalt'!$A$4:$AC$275,28,FALSE)="","",VLOOKUP(A244,'Charriage - Geschiebehaushalt'!$A$4:$AC$275,28,FALSE))</f>
        <v>0-20%</v>
      </c>
      <c r="F244" s="403" t="str">
        <f>IF(VLOOKUP(A244,'Charriage - Geschiebehaushalt'!$A$4:$AD$275,30,FALSE)="","",VLOOKUP(A244,'Charriage - Geschiebehaushalt'!$A$4:$AD$275,30,FALSE))</f>
        <v>b</v>
      </c>
      <c r="G244" s="330" t="str">
        <f>IF(VLOOKUP(A244,'Débit - Abfluss'!$A$4:$AD$275,17,FALSE)="","",VLOOKUP(A244,'Débit - Abfluss'!$A$4:$AD$275,17,FALSE))</f>
        <v>Régime présumé naturel (100%) / Abfluss vermutlich natürlich</v>
      </c>
      <c r="H244" s="404" t="str">
        <f>IF(VLOOKUP(A244,'Eclusée - Schwall-Sunk'!$A$2:$F$273,6,FALSE)="","",VLOOKUP(A244,'Eclusée - Schwall-Sunk'!$A$2:$F$273,6,FALSE))</f>
        <v>Non affecté / nicht betroffen</v>
      </c>
      <c r="I244" s="405" t="str">
        <f>IF(VLOOKUP(A244,'Revitalisation-Revitalisierung'!$A$4:$Z$275,25,FALSE)="","",VLOOKUP(A244,'Revitalisation-Revitalisierung'!$A$4:$Z$275,25,FALSE))</f>
        <v>Partiellement nécessaire, facile / teilweise nötig, einfach</v>
      </c>
      <c r="J244" s="406" t="str">
        <f>IF(VLOOKUP(A244,'Revitalisation-Revitalisierung'!$A$4:$AA$275,27,FALSE)="","",VLOOKUP(A244,'Revitalisation-Revitalisierung'!$A$4:$AA$275,27,FALSE))</f>
        <v>a</v>
      </c>
      <c r="K244" s="407"/>
    </row>
    <row r="245" spans="1:11" ht="20.100000000000001" customHeight="1" x14ac:dyDescent="0.25">
      <c r="A245" s="926">
        <v>337</v>
      </c>
      <c r="B245" s="400" t="s">
        <v>69</v>
      </c>
      <c r="C245" s="400" t="s">
        <v>70</v>
      </c>
      <c r="D245" s="401" t="s">
        <v>35</v>
      </c>
      <c r="E245" s="402" t="str">
        <f>IF(VLOOKUP(A245,'Charriage - Geschiebehaushalt'!$A$4:$AC$275,28,FALSE)="","",VLOOKUP(A245,'Charriage - Geschiebehaushalt'!$A$4:$AC$275,28,FALSE))</f>
        <v>21-50%</v>
      </c>
      <c r="F245" s="403" t="str">
        <f>IF(VLOOKUP(A245,'Charriage - Geschiebehaushalt'!$A$4:$AD$275,30,FALSE)="","",VLOOKUP(A245,'Charriage - Geschiebehaushalt'!$A$4:$AD$275,30,FALSE))</f>
        <v>b</v>
      </c>
      <c r="G245" s="330" t="str">
        <f>IF(VLOOKUP(A245,'Débit - Abfluss'!$A$4:$AD$275,17,FALSE)="","",VLOOKUP(A245,'Débit - Abfluss'!$A$4:$AD$275,17,FALSE))</f>
        <v>100%</v>
      </c>
      <c r="H245" s="404" t="str">
        <f>IF(VLOOKUP(A245,'Eclusée - Schwall-Sunk'!$A$2:$F$273,6,FALSE)="","",VLOOKUP(A245,'Eclusée - Schwall-Sunk'!$A$2:$F$273,6,FALSE))</f>
        <v>Non affecté / nicht betroffen</v>
      </c>
      <c r="I245" s="405" t="str">
        <f>IF(VLOOKUP(A245,'Revitalisation-Revitalisierung'!$A$4:$Z$275,25,FALSE)="","",VLOOKUP(A245,'Revitalisation-Revitalisierung'!$A$4:$Z$275,25,FALSE))</f>
        <v>Partiellement nécessaire, facile / teilweise nötig, einfach</v>
      </c>
      <c r="J245" s="406" t="str">
        <f>IF(VLOOKUP(A245,'Revitalisation-Revitalisierung'!$A$4:$AA$275,27,FALSE)="","",VLOOKUP(A245,'Revitalisation-Revitalisierung'!$A$4:$AA$275,27,FALSE))</f>
        <v>b</v>
      </c>
      <c r="K245" s="407"/>
    </row>
    <row r="246" spans="1:11" ht="20.100000000000001" customHeight="1" x14ac:dyDescent="0.25">
      <c r="A246" s="926">
        <v>338</v>
      </c>
      <c r="B246" s="400" t="s">
        <v>380</v>
      </c>
      <c r="C246" s="400" t="s">
        <v>381</v>
      </c>
      <c r="D246" s="401" t="s">
        <v>376</v>
      </c>
      <c r="E246" s="402" t="str">
        <f>IF(VLOOKUP(A246,'Charriage - Geschiebehaushalt'!$A$4:$AC$275,28,FALSE)="","",VLOOKUP(A246,'Charriage - Geschiebehaushalt'!$A$4:$AC$275,28,FALSE))</f>
        <v>51-80%</v>
      </c>
      <c r="F246" s="403" t="str">
        <f>IF(VLOOKUP(A246,'Charriage - Geschiebehaushalt'!$A$4:$AD$275,30,FALSE)="","",VLOOKUP(A246,'Charriage - Geschiebehaushalt'!$A$4:$AD$275,30,FALSE))</f>
        <v>a</v>
      </c>
      <c r="G246" s="330" t="str">
        <f>IF(VLOOKUP(A246,'Débit - Abfluss'!$A$4:$AD$275,17,FALSE)="","",VLOOKUP(A246,'Débit - Abfluss'!$A$4:$AD$275,17,FALSE))</f>
        <v>100%</v>
      </c>
      <c r="H246" s="404" t="str">
        <f>IF(VLOOKUP(A246,'Eclusée - Schwall-Sunk'!$A$2:$F$273,6,FALSE)="","",VLOOKUP(A246,'Eclusée - Schwall-Sunk'!$A$2:$F$273,6,FALSE))</f>
        <v>Non affecté / nicht betroffen</v>
      </c>
      <c r="I246" s="405" t="str">
        <f>IF(VLOOKUP(A246,'Revitalisation-Revitalisierung'!$A$4:$Z$275,25,FALSE)="","",VLOOKUP(A246,'Revitalisation-Revitalisierung'!$A$4:$Z$275,25,FALSE))</f>
        <v>Très nécessaire, facile / unbedingt nötig, einfach</v>
      </c>
      <c r="J246" s="406" t="str">
        <f>IF(VLOOKUP(A246,'Revitalisation-Revitalisierung'!$A$4:$AA$275,27,FALSE)="","",VLOOKUP(A246,'Revitalisation-Revitalisierung'!$A$4:$AA$275,27,FALSE))</f>
        <v>a</v>
      </c>
      <c r="K246" s="407"/>
    </row>
    <row r="247" spans="1:11" ht="20.100000000000001" customHeight="1" x14ac:dyDescent="0.25">
      <c r="A247" s="926">
        <v>339</v>
      </c>
      <c r="B247" s="400" t="s">
        <v>383</v>
      </c>
      <c r="C247" s="400" t="s">
        <v>384</v>
      </c>
      <c r="D247" s="401" t="s">
        <v>376</v>
      </c>
      <c r="E247" s="402" t="str">
        <f>IF(VLOOKUP(A247,'Charriage - Geschiebehaushalt'!$A$4:$AC$275,28,FALSE)="","",VLOOKUP(A247,'Charriage - Geschiebehaushalt'!$A$4:$AC$275,28,FALSE))</f>
        <v>0-20%</v>
      </c>
      <c r="F247" s="403" t="str">
        <f>IF(VLOOKUP(A247,'Charriage - Geschiebehaushalt'!$A$4:$AD$275,30,FALSE)="","",VLOOKUP(A247,'Charriage - Geschiebehaushalt'!$A$4:$AD$275,30,FALSE))</f>
        <v>b</v>
      </c>
      <c r="G247" s="330" t="str">
        <f>IF(VLOOKUP(A247,'Débit - Abfluss'!$A$4:$AD$275,17,FALSE)="","",VLOOKUP(A247,'Débit - Abfluss'!$A$4:$AD$275,17,FALSE))</f>
        <v>100%</v>
      </c>
      <c r="H247" s="404" t="str">
        <f>IF(VLOOKUP(A247,'Eclusée - Schwall-Sunk'!$A$2:$F$273,6,FALSE)="","",VLOOKUP(A247,'Eclusée - Schwall-Sunk'!$A$2:$F$273,6,FALSE))</f>
        <v>Non affecté / nicht betroffen</v>
      </c>
      <c r="I247" s="405" t="str">
        <f>IF(VLOOKUP(A247,'Revitalisation-Revitalisierung'!$A$4:$Z$275,25,FALSE)="","",VLOOKUP(A247,'Revitalisation-Revitalisierung'!$A$4:$Z$275,25,FALSE))</f>
        <v>Non nécessaire / nicht nötig</v>
      </c>
      <c r="J247" s="406" t="str">
        <f>IF(VLOOKUP(A247,'Revitalisation-Revitalisierung'!$A$4:$AA$275,27,FALSE)="","",VLOOKUP(A247,'Revitalisation-Revitalisierung'!$A$4:$AA$275,27,FALSE))</f>
        <v>a</v>
      </c>
      <c r="K247" s="407"/>
    </row>
    <row r="248" spans="1:11" ht="20.100000000000001" customHeight="1" x14ac:dyDescent="0.25">
      <c r="A248" s="926">
        <v>340</v>
      </c>
      <c r="B248" s="400" t="s">
        <v>386</v>
      </c>
      <c r="C248" s="400" t="s">
        <v>387</v>
      </c>
      <c r="D248" s="401" t="s">
        <v>376</v>
      </c>
      <c r="E248" s="402" t="str">
        <f>IF(VLOOKUP(A248,'Charriage - Geschiebehaushalt'!$A$4:$AC$275,28,FALSE)="","",VLOOKUP(A248,'Charriage - Geschiebehaushalt'!$A$4:$AC$275,28,FALSE))</f>
        <v>0-20%</v>
      </c>
      <c r="F248" s="403" t="str">
        <f>IF(VLOOKUP(A248,'Charriage - Geschiebehaushalt'!$A$4:$AD$275,30,FALSE)="","",VLOOKUP(A248,'Charriage - Geschiebehaushalt'!$A$4:$AD$275,30,FALSE))</f>
        <v>b</v>
      </c>
      <c r="G248" s="330" t="str">
        <f>IF(VLOOKUP(A248,'Débit - Abfluss'!$A$4:$AD$275,17,FALSE)="","",VLOOKUP(A248,'Débit - Abfluss'!$A$4:$AD$275,17,FALSE))</f>
        <v>61-80%</v>
      </c>
      <c r="H248" s="404" t="str">
        <f>IF(VLOOKUP(A248,'Eclusée - Schwall-Sunk'!$A$2:$F$273,6,FALSE)="","",VLOOKUP(A248,'Eclusée - Schwall-Sunk'!$A$2:$F$273,6,FALSE))</f>
        <v>Non affecté / nicht betroffen</v>
      </c>
      <c r="I248" s="405" t="str">
        <f>IF(VLOOKUP(A248,'Revitalisation-Revitalisierung'!$A$4:$Z$275,25,FALSE)="","",VLOOKUP(A248,'Revitalisation-Revitalisierung'!$A$4:$Z$275,25,FALSE))</f>
        <v>Non nécessaire / nicht nötig</v>
      </c>
      <c r="J248" s="406" t="str">
        <f>IF(VLOOKUP(A248,'Revitalisation-Revitalisierung'!$A$4:$AA$275,27,FALSE)="","",VLOOKUP(A248,'Revitalisation-Revitalisierung'!$A$4:$AA$275,27,FALSE))</f>
        <v>a</v>
      </c>
      <c r="K248" s="407"/>
    </row>
    <row r="249" spans="1:11" ht="20.100000000000001" customHeight="1" x14ac:dyDescent="0.25">
      <c r="A249" s="926">
        <v>341</v>
      </c>
      <c r="B249" s="400" t="s">
        <v>389</v>
      </c>
      <c r="C249" s="400" t="s">
        <v>390</v>
      </c>
      <c r="D249" s="401" t="s">
        <v>376</v>
      </c>
      <c r="E249" s="402" t="str">
        <f>IF(VLOOKUP(A249,'Charriage - Geschiebehaushalt'!$A$4:$AC$275,28,FALSE)="","",VLOOKUP(A249,'Charriage - Geschiebehaushalt'!$A$4:$AC$275,28,FALSE))</f>
        <v>21-50%</v>
      </c>
      <c r="F249" s="403" t="str">
        <f>IF(VLOOKUP(A249,'Charriage - Geschiebehaushalt'!$A$4:$AD$275,30,FALSE)="","",VLOOKUP(A249,'Charriage - Geschiebehaushalt'!$A$4:$AD$275,30,FALSE))</f>
        <v>a</v>
      </c>
      <c r="G249" s="330" t="str">
        <f>IF(VLOOKUP(A249,'Débit - Abfluss'!$A$4:$AD$275,17,FALSE)="","",VLOOKUP(A249,'Débit - Abfluss'!$A$4:$AD$275,17,FALSE))</f>
        <v>100%</v>
      </c>
      <c r="H249" s="404" t="str">
        <f>IF(VLOOKUP(A249,'Eclusée - Schwall-Sunk'!$A$2:$F$273,6,FALSE)="","",VLOOKUP(A249,'Eclusée - Schwall-Sunk'!$A$2:$F$273,6,FALSE))</f>
        <v>Non affecté / nicht betroffen</v>
      </c>
      <c r="I249" s="405" t="str">
        <f>IF(VLOOKUP(A249,'Revitalisation-Revitalisierung'!$A$4:$Z$275,25,FALSE)="","",VLOOKUP(A249,'Revitalisation-Revitalisierung'!$A$4:$Z$275,25,FALSE))</f>
        <v>Partiellement nécessaire, difficile / teilweise nötig, schwierig</v>
      </c>
      <c r="J249" s="406" t="str">
        <f>IF(VLOOKUP(A249,'Revitalisation-Revitalisierung'!$A$4:$AA$275,27,FALSE)="","",VLOOKUP(A249,'Revitalisation-Revitalisierung'!$A$4:$AA$275,27,FALSE))</f>
        <v>a</v>
      </c>
      <c r="K249" s="407"/>
    </row>
    <row r="250" spans="1:11" ht="20.100000000000001" customHeight="1" x14ac:dyDescent="0.25">
      <c r="A250" s="926">
        <v>342</v>
      </c>
      <c r="B250" s="400" t="s">
        <v>445</v>
      </c>
      <c r="C250" s="400" t="s">
        <v>446</v>
      </c>
      <c r="D250" s="401" t="s">
        <v>439</v>
      </c>
      <c r="E250" s="402" t="str">
        <f>IF(VLOOKUP(A250,'Charriage - Geschiebehaushalt'!$A$4:$AC$275,28,FALSE)="","",VLOOKUP(A250,'Charriage - Geschiebehaushalt'!$A$4:$AC$275,28,FALSE))</f>
        <v>0-20%</v>
      </c>
      <c r="F250" s="403" t="str">
        <f>IF(VLOOKUP(A250,'Charriage - Geschiebehaushalt'!$A$4:$AD$275,30,FALSE)="","",VLOOKUP(A250,'Charriage - Geschiebehaushalt'!$A$4:$AD$275,30,FALSE))</f>
        <v>a</v>
      </c>
      <c r="G250" s="330" t="str">
        <f>IF(VLOOKUP(A250,'Débit - Abfluss'!$A$4:$AD$275,17,FALSE)="","",VLOOKUP(A250,'Débit - Abfluss'!$A$4:$AD$275,17,FALSE))</f>
        <v>81-100%</v>
      </c>
      <c r="H250" s="404" t="str">
        <f>IF(VLOOKUP(A250,'Eclusée - Schwall-Sunk'!$A$2:$F$273,6,FALSE)="","",VLOOKUP(A250,'Eclusée - Schwall-Sunk'!$A$2:$F$273,6,FALSE))</f>
        <v>Non affecté / nicht betroffen</v>
      </c>
      <c r="I250" s="405" t="str">
        <f>IF(VLOOKUP(A250,'Revitalisation-Revitalisierung'!$A$4:$Z$275,25,FALSE)="","",VLOOKUP(A250,'Revitalisation-Revitalisierung'!$A$4:$Z$275,25,FALSE))</f>
        <v>Très nécessaire, facile / unbedingt nötig, einfach</v>
      </c>
      <c r="J250" s="406" t="str">
        <f>IF(VLOOKUP(A250,'Revitalisation-Revitalisierung'!$A$4:$AA$275,27,FALSE)="","",VLOOKUP(A250,'Revitalisation-Revitalisierung'!$A$4:$AA$275,27,FALSE))</f>
        <v>a</v>
      </c>
      <c r="K250" s="407"/>
    </row>
    <row r="251" spans="1:11" ht="20.100000000000001" customHeight="1" x14ac:dyDescent="0.25">
      <c r="A251" s="926">
        <v>343</v>
      </c>
      <c r="B251" s="400" t="s">
        <v>694</v>
      </c>
      <c r="C251" s="400" t="s">
        <v>695</v>
      </c>
      <c r="D251" s="401" t="s">
        <v>693</v>
      </c>
      <c r="E251" s="402" t="str">
        <f>IF(VLOOKUP(A251,'Charriage - Geschiebehaushalt'!$A$4:$AC$275,28,FALSE)="","",VLOOKUP(A251,'Charriage - Geschiebehaushalt'!$A$4:$AC$275,28,FALSE))</f>
        <v>21-50%</v>
      </c>
      <c r="F251" s="403" t="str">
        <f>IF(VLOOKUP(A251,'Charriage - Geschiebehaushalt'!$A$4:$AD$275,30,FALSE)="","",VLOOKUP(A251,'Charriage - Geschiebehaushalt'!$A$4:$AD$275,30,FALSE))</f>
        <v>a</v>
      </c>
      <c r="G251" s="330" t="str">
        <f>IF(VLOOKUP(A251,'Débit - Abfluss'!$A$4:$AD$275,17,FALSE)="","",VLOOKUP(A251,'Débit - Abfluss'!$A$4:$AD$275,17,FALSE))</f>
        <v>100%</v>
      </c>
      <c r="H251" s="404" t="str">
        <f>IF(VLOOKUP(A251,'Eclusée - Schwall-Sunk'!$A$2:$F$273,6,FALSE)="","",VLOOKUP(A251,'Eclusée - Schwall-Sunk'!$A$2:$F$273,6,FALSE))</f>
        <v>Non affecté / nicht betroffen</v>
      </c>
      <c r="I251" s="405" t="str">
        <f>IF(VLOOKUP(A251,'Revitalisation-Revitalisierung'!$A$4:$Z$275,25,FALSE)="","",VLOOKUP(A251,'Revitalisation-Revitalisierung'!$A$4:$Z$275,25,FALSE))</f>
        <v>Non nécessaire / nicht nötig</v>
      </c>
      <c r="J251" s="406" t="str">
        <f>IF(VLOOKUP(A251,'Revitalisation-Revitalisierung'!$A$4:$AA$275,27,FALSE)="","",VLOOKUP(A251,'Revitalisation-Revitalisierung'!$A$4:$AA$275,27,FALSE))</f>
        <v>a</v>
      </c>
      <c r="K251" s="407"/>
    </row>
    <row r="252" spans="1:11" ht="20.100000000000001" customHeight="1" x14ac:dyDescent="0.25">
      <c r="A252" s="926">
        <v>344</v>
      </c>
      <c r="B252" s="400" t="s">
        <v>698</v>
      </c>
      <c r="C252" s="400" t="s">
        <v>695</v>
      </c>
      <c r="D252" s="401" t="s">
        <v>693</v>
      </c>
      <c r="E252" s="402" t="str">
        <f>IF(VLOOKUP(A252,'Charriage - Geschiebehaushalt'!$A$4:$AC$275,28,FALSE)="","",VLOOKUP(A252,'Charriage - Geschiebehaushalt'!$A$4:$AC$275,28,FALSE))</f>
        <v>21-50%</v>
      </c>
      <c r="F252" s="403" t="str">
        <f>IF(VLOOKUP(A252,'Charriage - Geschiebehaushalt'!$A$4:$AD$275,30,FALSE)="","",VLOOKUP(A252,'Charriage - Geschiebehaushalt'!$A$4:$AD$275,30,FALSE))</f>
        <v>a</v>
      </c>
      <c r="G252" s="330" t="str">
        <f>IF(VLOOKUP(A252,'Débit - Abfluss'!$A$4:$AD$275,17,FALSE)="","",VLOOKUP(A252,'Débit - Abfluss'!$A$4:$AD$275,17,FALSE))</f>
        <v>100%</v>
      </c>
      <c r="H252" s="404" t="str">
        <f>IF(VLOOKUP(A252,'Eclusée - Schwall-Sunk'!$A$2:$F$273,6,FALSE)="","",VLOOKUP(A252,'Eclusée - Schwall-Sunk'!$A$2:$F$273,6,FALSE))</f>
        <v>Non affecté / nicht betroffen</v>
      </c>
      <c r="I252" s="405" t="str">
        <f>IF(VLOOKUP(A252,'Revitalisation-Revitalisierung'!$A$4:$Z$275,25,FALSE)="","",VLOOKUP(A252,'Revitalisation-Revitalisierung'!$A$4:$Z$275,25,FALSE))</f>
        <v>Non nécessaire / nicht nötig</v>
      </c>
      <c r="J252" s="406" t="str">
        <f>IF(VLOOKUP(A252,'Revitalisation-Revitalisierung'!$A$4:$AA$275,27,FALSE)="","",VLOOKUP(A252,'Revitalisation-Revitalisierung'!$A$4:$AA$275,27,FALSE))</f>
        <v>a</v>
      </c>
      <c r="K252" s="407"/>
    </row>
    <row r="253" spans="1:11" ht="20.100000000000001" customHeight="1" x14ac:dyDescent="0.25">
      <c r="A253" s="926">
        <v>345</v>
      </c>
      <c r="B253" s="400" t="s">
        <v>700</v>
      </c>
      <c r="C253" s="400" t="s">
        <v>412</v>
      </c>
      <c r="D253" s="401" t="s">
        <v>693</v>
      </c>
      <c r="E253" s="402" t="str">
        <f>IF(VLOOKUP(A253,'Charriage - Geschiebehaushalt'!$A$4:$AC$275,28,FALSE)="","",VLOOKUP(A253,'Charriage - Geschiebehaushalt'!$A$4:$AC$275,28,FALSE))</f>
        <v>21-50%</v>
      </c>
      <c r="F253" s="403" t="str">
        <f>IF(VLOOKUP(A253,'Charriage - Geschiebehaushalt'!$A$4:$AD$275,30,FALSE)="","",VLOOKUP(A253,'Charriage - Geschiebehaushalt'!$A$4:$AD$275,30,FALSE))</f>
        <v>a</v>
      </c>
      <c r="G253" s="330" t="str">
        <f>IF(VLOOKUP(A253,'Débit - Abfluss'!$A$4:$AD$275,17,FALSE)="","",VLOOKUP(A253,'Débit - Abfluss'!$A$4:$AD$275,17,FALSE))</f>
        <v>100%</v>
      </c>
      <c r="H253" s="404" t="str">
        <f>IF(VLOOKUP(A253,'Eclusée - Schwall-Sunk'!$A$2:$F$273,6,FALSE)="","",VLOOKUP(A253,'Eclusée - Schwall-Sunk'!$A$2:$F$273,6,FALSE))</f>
        <v>Non affecté / nicht betroffen</v>
      </c>
      <c r="I253" s="405" t="str">
        <f>IF(VLOOKUP(A253,'Revitalisation-Revitalisierung'!$A$4:$Z$275,25,FALSE)="","",VLOOKUP(A253,'Revitalisation-Revitalisierung'!$A$4:$Z$275,25,FALSE))</f>
        <v>Très nécessaire, difficile / unbedingt nötig, schwierig</v>
      </c>
      <c r="J253" s="406" t="str">
        <f>IF(VLOOKUP(A253,'Revitalisation-Revitalisierung'!$A$4:$AA$275,27,FALSE)="","",VLOOKUP(A253,'Revitalisation-Revitalisierung'!$A$4:$AA$275,27,FALSE))</f>
        <v>a</v>
      </c>
      <c r="K253" s="407"/>
    </row>
    <row r="254" spans="1:11" ht="20.100000000000001" customHeight="1" x14ac:dyDescent="0.25">
      <c r="A254" s="930">
        <v>346</v>
      </c>
      <c r="B254" s="400" t="s">
        <v>467</v>
      </c>
      <c r="C254" s="400" t="s">
        <v>462</v>
      </c>
      <c r="D254" s="401" t="s">
        <v>460</v>
      </c>
      <c r="E254" s="402" t="str">
        <f>IF(VLOOKUP(A254,'Charriage - Geschiebehaushalt'!$A$4:$AC$275,28,FALSE)="","",VLOOKUP(A254,'Charriage - Geschiebehaushalt'!$A$4:$AC$275,28,FALSE))</f>
        <v>0-20%</v>
      </c>
      <c r="F254" s="403" t="str">
        <f>IF(VLOOKUP(A254,'Charriage - Geschiebehaushalt'!$A$4:$AD$275,30,FALSE)="","",VLOOKUP(A254,'Charriage - Geschiebehaushalt'!$A$4:$AD$275,30,FALSE))</f>
        <v>a</v>
      </c>
      <c r="G254" s="330" t="str">
        <f>IF(VLOOKUP(A254,'Débit - Abfluss'!$A$4:$AD$275,17,FALSE)="","",VLOOKUP(A254,'Débit - Abfluss'!$A$4:$AD$275,17,FALSE))</f>
        <v>21-40%</v>
      </c>
      <c r="H254" s="404" t="str">
        <f>IF(VLOOKUP(A254,'Eclusée - Schwall-Sunk'!$A$2:$F$273,6,FALSE)="","",VLOOKUP(A254,'Eclusée - Schwall-Sunk'!$A$2:$F$273,6,FALSE))</f>
        <v>Potentiellement affecté / möglicherweise betroffen</v>
      </c>
      <c r="I254" s="405" t="str">
        <f>IF(VLOOKUP(A254,'Revitalisation-Revitalisierung'!$A$4:$Z$275,25,FALSE)="","",VLOOKUP(A254,'Revitalisation-Revitalisierung'!$A$4:$Z$275,25,FALSE))</f>
        <v>Partiellement nécessaire, difficile / teilweise nötig, schwierig</v>
      </c>
      <c r="J254" s="406" t="str">
        <f>IF(VLOOKUP(A254,'Revitalisation-Revitalisierung'!$A$4:$AA$275,27,FALSE)="","",VLOOKUP(A254,'Revitalisation-Revitalisierung'!$A$4:$AA$275,27,FALSE))</f>
        <v>a</v>
      </c>
      <c r="K254" s="407"/>
    </row>
    <row r="255" spans="1:11" ht="20.100000000000001" customHeight="1" x14ac:dyDescent="0.25">
      <c r="A255" s="931">
        <v>347</v>
      </c>
      <c r="B255" s="400" t="s">
        <v>269</v>
      </c>
      <c r="C255" s="400" t="s">
        <v>270</v>
      </c>
      <c r="D255" s="401" t="s">
        <v>259</v>
      </c>
      <c r="E255" s="402" t="str">
        <f>IF(VLOOKUP(A255,'Charriage - Geschiebehaushalt'!$A$4:$AC$275,28,FALSE)="","",VLOOKUP(A255,'Charriage - Geschiebehaushalt'!$A$4:$AC$275,28,FALSE))</f>
        <v>0-20%</v>
      </c>
      <c r="F255" s="403" t="str">
        <f>IF(VLOOKUP(A255,'Charriage - Geschiebehaushalt'!$A$4:$AD$275,30,FALSE)="","",VLOOKUP(A255,'Charriage - Geschiebehaushalt'!$A$4:$AD$275,30,FALSE))</f>
        <v>b</v>
      </c>
      <c r="G255" s="330" t="str">
        <f>IF(VLOOKUP(A255,'Débit - Abfluss'!$A$4:$AD$275,17,FALSE)="","",VLOOKUP(A255,'Débit - Abfluss'!$A$4:$AD$275,17,FALSE))</f>
        <v>Régime présumé naturel (100%) / Abfluss vermutlich natürlich</v>
      </c>
      <c r="H255" s="404" t="str">
        <f>IF(VLOOKUP(A255,'Eclusée - Schwall-Sunk'!$A$2:$F$273,6,FALSE)="","",VLOOKUP(A255,'Eclusée - Schwall-Sunk'!$A$2:$F$273,6,FALSE))</f>
        <v>Non affecté / nicht betroffen</v>
      </c>
      <c r="I255" s="405" t="str">
        <f>IF(VLOOKUP(A255,'Revitalisation-Revitalisierung'!$A$4:$Z$275,25,FALSE)="","",VLOOKUP(A255,'Revitalisation-Revitalisierung'!$A$4:$Z$275,25,FALSE))</f>
        <v>Non nécessaire / nicht nötig</v>
      </c>
      <c r="J255" s="406" t="str">
        <f>IF(VLOOKUP(A255,'Revitalisation-Revitalisierung'!$A$4:$AA$275,27,FALSE)="","",VLOOKUP(A255,'Revitalisation-Revitalisierung'!$A$4:$AA$275,27,FALSE))</f>
        <v>b</v>
      </c>
      <c r="K255" s="407"/>
    </row>
    <row r="256" spans="1:11" ht="20.100000000000001" customHeight="1" x14ac:dyDescent="0.25">
      <c r="A256" s="1233">
        <v>348</v>
      </c>
      <c r="B256" s="409" t="s">
        <v>272</v>
      </c>
      <c r="C256" s="410" t="s">
        <v>273</v>
      </c>
      <c r="D256" s="411" t="s">
        <v>259</v>
      </c>
      <c r="E256" s="402" t="str">
        <f>IF(VLOOKUP(A256,'Charriage - Geschiebehaushalt'!$A$4:$AC$275,28,FALSE)="","",VLOOKUP(A256,'Charriage - Geschiebehaushalt'!$A$4:$AC$275,28,FALSE))</f>
        <v>21-50%</v>
      </c>
      <c r="F256" s="403" t="str">
        <f>IF(VLOOKUP(A256,'Charriage - Geschiebehaushalt'!$A$4:$AD$275,30,FALSE)="","",VLOOKUP(A256,'Charriage - Geschiebehaushalt'!$A$4:$AD$275,30,FALSE))</f>
        <v>a</v>
      </c>
      <c r="G256" s="330" t="str">
        <f>IF(VLOOKUP(A256,'Débit - Abfluss'!$A$4:$AD$275,17,FALSE)="","",VLOOKUP(A256,'Débit - Abfluss'!$A$4:$AD$275,17,FALSE))</f>
        <v>81-100%</v>
      </c>
      <c r="H256" s="404" t="str">
        <f>IF(VLOOKUP(A256,'Eclusée - Schwall-Sunk'!$A$2:$F$273,6,FALSE)="","",VLOOKUP(A256,'Eclusée - Schwall-Sunk'!$A$2:$F$273,6,FALSE))</f>
        <v>Potentiellement affecté / möglicherweise betroffen</v>
      </c>
      <c r="I256" s="405" t="str">
        <f>IF(VLOOKUP(A256,'Revitalisation-Revitalisierung'!$A$4:$Z$275,25,FALSE)="","",VLOOKUP(A256,'Revitalisation-Revitalisierung'!$A$4:$Z$275,25,FALSE))</f>
        <v>Très nécessaire, difficile / unbedingt nötig, schwierig</v>
      </c>
      <c r="J256" s="406" t="str">
        <f>IF(VLOOKUP(A256,'Revitalisation-Revitalisierung'!$A$4:$AA$275,27,FALSE)="","",VLOOKUP(A256,'Revitalisation-Revitalisierung'!$A$4:$AA$275,27,FALSE))</f>
        <v>a</v>
      </c>
      <c r="K256" s="407"/>
    </row>
    <row r="257" spans="1:11" ht="20.100000000000001" customHeight="1" x14ac:dyDescent="0.25">
      <c r="A257" s="926">
        <v>349</v>
      </c>
      <c r="B257" s="400" t="s">
        <v>558</v>
      </c>
      <c r="C257" s="400" t="s">
        <v>559</v>
      </c>
      <c r="D257" s="401" t="s">
        <v>551</v>
      </c>
      <c r="E257" s="402" t="str">
        <f>IF(VLOOKUP(A257,'Charriage - Geschiebehaushalt'!$A$4:$AC$275,28,FALSE)="","",VLOOKUP(A257,'Charriage - Geschiebehaushalt'!$A$4:$AC$275,28,FALSE))</f>
        <v>0-20%</v>
      </c>
      <c r="F257" s="403" t="str">
        <f>IF(VLOOKUP(A257,'Charriage - Geschiebehaushalt'!$A$4:$AD$275,30,FALSE)="","",VLOOKUP(A257,'Charriage - Geschiebehaushalt'!$A$4:$AD$275,30,FALSE))</f>
        <v>b</v>
      </c>
      <c r="G257" s="330" t="str">
        <f>IF(VLOOKUP(A257,'Débit - Abfluss'!$A$4:$AD$275,17,FALSE)="","",VLOOKUP(A257,'Débit - Abfluss'!$A$4:$AD$275,17,FALSE))</f>
        <v>100%</v>
      </c>
      <c r="H257" s="404" t="str">
        <f>IF(VLOOKUP(A257,'Eclusée - Schwall-Sunk'!$A$2:$F$273,6,FALSE)="","",VLOOKUP(A257,'Eclusée - Schwall-Sunk'!$A$2:$F$273,6,FALSE))</f>
        <v>Non affecté / nicht betroffen</v>
      </c>
      <c r="I257" s="405" t="str">
        <f>IF(VLOOKUP(A257,'Revitalisation-Revitalisierung'!$A$4:$Z$275,25,FALSE)="","",VLOOKUP(A257,'Revitalisation-Revitalisierung'!$A$4:$Z$275,25,FALSE))</f>
        <v>Partiellement nécessaire, facile / teilweise nötig, einfach</v>
      </c>
      <c r="J257" s="406" t="str">
        <f>IF(VLOOKUP(A257,'Revitalisation-Revitalisierung'!$A$4:$AA$275,27,FALSE)="","",VLOOKUP(A257,'Revitalisation-Revitalisierung'!$A$4:$AA$275,27,FALSE))</f>
        <v>a</v>
      </c>
      <c r="K257" s="407"/>
    </row>
    <row r="258" spans="1:11" ht="20.100000000000001" customHeight="1" x14ac:dyDescent="0.25">
      <c r="A258" s="929">
        <v>350</v>
      </c>
      <c r="B258" s="409" t="s">
        <v>561</v>
      </c>
      <c r="C258" s="410" t="s">
        <v>562</v>
      </c>
      <c r="D258" s="411" t="s">
        <v>551</v>
      </c>
      <c r="E258" s="402" t="str">
        <f>IF(VLOOKUP(A258,'Charriage - Geschiebehaushalt'!$A$4:$AC$275,28,FALSE)="","",VLOOKUP(A258,'Charriage - Geschiebehaushalt'!$A$4:$AC$275,28,FALSE))</f>
        <v>0-20%</v>
      </c>
      <c r="F258" s="403" t="str">
        <f>IF(VLOOKUP(A258,'Charriage - Geschiebehaushalt'!$A$4:$AD$275,30,FALSE)="","",VLOOKUP(A258,'Charriage - Geschiebehaushalt'!$A$4:$AD$275,30,FALSE))</f>
        <v>b</v>
      </c>
      <c r="G258" s="330" t="str">
        <f>IF(VLOOKUP(A258,'Débit - Abfluss'!$A$4:$AD$275,17,FALSE)="","",VLOOKUP(A258,'Débit - Abfluss'!$A$4:$AD$275,17,FALSE))</f>
        <v>Régime présumé naturel (100%) / Abfluss vermutlich natürlich</v>
      </c>
      <c r="H258" s="404" t="str">
        <f>IF(VLOOKUP(A258,'Eclusée - Schwall-Sunk'!$A$2:$F$273,6,FALSE)="","",VLOOKUP(A258,'Eclusée - Schwall-Sunk'!$A$2:$F$273,6,FALSE))</f>
        <v>Non affecté / nicht betroffen</v>
      </c>
      <c r="I258" s="405" t="str">
        <f>IF(VLOOKUP(A258,'Revitalisation-Revitalisierung'!$A$4:$Z$275,25,FALSE)="","",VLOOKUP(A258,'Revitalisation-Revitalisierung'!$A$4:$Z$275,25,FALSE))</f>
        <v>Très nécessaire, facile / unbedingt nötig, einfach</v>
      </c>
      <c r="J258" s="406" t="str">
        <f>IF(VLOOKUP(A258,'Revitalisation-Revitalisierung'!$A$4:$AA$275,27,FALSE)="","",VLOOKUP(A258,'Revitalisation-Revitalisierung'!$A$4:$AA$275,27,FALSE))</f>
        <v>a</v>
      </c>
      <c r="K258" s="407"/>
    </row>
    <row r="259" spans="1:11" ht="20.100000000000001" customHeight="1" x14ac:dyDescent="0.25">
      <c r="A259" s="926">
        <v>351</v>
      </c>
      <c r="B259" s="400" t="s">
        <v>563</v>
      </c>
      <c r="C259" s="400" t="s">
        <v>564</v>
      </c>
      <c r="D259" s="401" t="s">
        <v>551</v>
      </c>
      <c r="E259" s="402" t="str">
        <f>IF(VLOOKUP(A259,'Charriage - Geschiebehaushalt'!$A$4:$AC$275,28,FALSE)="","",VLOOKUP(A259,'Charriage - Geschiebehaushalt'!$A$4:$AC$275,28,FALSE))</f>
        <v>21-50%</v>
      </c>
      <c r="F259" s="403" t="str">
        <f>IF(VLOOKUP(A259,'Charriage - Geschiebehaushalt'!$A$4:$AD$275,30,FALSE)="","",VLOOKUP(A259,'Charriage - Geschiebehaushalt'!$A$4:$AD$275,30,FALSE))</f>
        <v>a</v>
      </c>
      <c r="G259" s="330" t="str">
        <f>IF(VLOOKUP(A259,'Débit - Abfluss'!$A$4:$AD$275,17,FALSE)="","",VLOOKUP(A259,'Débit - Abfluss'!$A$4:$AD$275,17,FALSE))</f>
        <v>21-40%</v>
      </c>
      <c r="H259" s="404" t="str">
        <f>IF(VLOOKUP(A259,'Eclusée - Schwall-Sunk'!$A$2:$F$273,6,FALSE)="","",VLOOKUP(A259,'Eclusée - Schwall-Sunk'!$A$2:$F$273,6,FALSE))</f>
        <v>Non affecté / nicht betroffen</v>
      </c>
      <c r="I259" s="405" t="str">
        <f>IF(VLOOKUP(A259,'Revitalisation-Revitalisierung'!$A$4:$Z$275,25,FALSE)="","",VLOOKUP(A259,'Revitalisation-Revitalisierung'!$A$4:$Z$275,25,FALSE))</f>
        <v>Partiellement nécessaire, facile / teilweise nötig, einfach</v>
      </c>
      <c r="J259" s="406" t="str">
        <f>IF(VLOOKUP(A259,'Revitalisation-Revitalisierung'!$A$4:$AA$275,27,FALSE)="","",VLOOKUP(A259,'Revitalisation-Revitalisierung'!$A$4:$AA$275,27,FALSE))</f>
        <v>a</v>
      </c>
      <c r="K259" s="407"/>
    </row>
    <row r="260" spans="1:11" ht="20.100000000000001" customHeight="1" x14ac:dyDescent="0.25">
      <c r="A260" s="926">
        <v>352</v>
      </c>
      <c r="B260" s="400" t="s">
        <v>408</v>
      </c>
      <c r="C260" s="400" t="s">
        <v>409</v>
      </c>
      <c r="D260" s="401" t="s">
        <v>407</v>
      </c>
      <c r="E260" s="402" t="str">
        <f>IF(VLOOKUP(A260,'Charriage - Geschiebehaushalt'!$A$4:$AC$275,28,FALSE)="","",VLOOKUP(A260,'Charriage - Geschiebehaushalt'!$A$4:$AC$275,28,FALSE))</f>
        <v>0-20%</v>
      </c>
      <c r="F260" s="403" t="str">
        <f>IF(VLOOKUP(A260,'Charriage - Geschiebehaushalt'!$A$4:$AD$275,30,FALSE)="","",VLOOKUP(A260,'Charriage - Geschiebehaushalt'!$A$4:$AD$275,30,FALSE))</f>
        <v>a</v>
      </c>
      <c r="G260" s="330" t="str">
        <f>IF(VLOOKUP(A260,'Débit - Abfluss'!$A$4:$AD$275,17,FALSE)="","",VLOOKUP(A260,'Débit - Abfluss'!$A$4:$AD$275,17,FALSE))</f>
        <v>100%</v>
      </c>
      <c r="H260" s="404" t="str">
        <f>IF(VLOOKUP(A260,'Eclusée - Schwall-Sunk'!$A$2:$F$273,6,FALSE)="","",VLOOKUP(A260,'Eclusée - Schwall-Sunk'!$A$2:$F$273,6,FALSE))</f>
        <v>Non affecté / nicht betroffen</v>
      </c>
      <c r="I260" s="405" t="str">
        <f>IF(VLOOKUP(A260,'Revitalisation-Revitalisierung'!$A$4:$Z$275,25,FALSE)="","",VLOOKUP(A260,'Revitalisation-Revitalisierung'!$A$4:$Z$275,25,FALSE))</f>
        <v>Non nécessaire / nicht nötig</v>
      </c>
      <c r="J260" s="406" t="str">
        <f>IF(VLOOKUP(A260,'Revitalisation-Revitalisierung'!$A$4:$AA$275,27,FALSE)="","",VLOOKUP(A260,'Revitalisation-Revitalisierung'!$A$4:$AA$275,27,FALSE))</f>
        <v>b</v>
      </c>
      <c r="K260" s="407"/>
    </row>
    <row r="261" spans="1:11" ht="20.100000000000001" customHeight="1" x14ac:dyDescent="0.25">
      <c r="A261" s="926">
        <v>353</v>
      </c>
      <c r="B261" s="400" t="s">
        <v>565</v>
      </c>
      <c r="C261" s="400" t="s">
        <v>566</v>
      </c>
      <c r="D261" s="401" t="s">
        <v>551</v>
      </c>
      <c r="E261" s="402" t="str">
        <f>IF(VLOOKUP(A261,'Charriage - Geschiebehaushalt'!$A$4:$AC$275,28,FALSE)="","",VLOOKUP(A261,'Charriage - Geschiebehaushalt'!$A$4:$AC$275,28,FALSE))</f>
        <v>0-20%</v>
      </c>
      <c r="F261" s="403" t="str">
        <f>IF(VLOOKUP(A261,'Charriage - Geschiebehaushalt'!$A$4:$AD$275,30,FALSE)="","",VLOOKUP(A261,'Charriage - Geschiebehaushalt'!$A$4:$AD$275,30,FALSE))</f>
        <v>b</v>
      </c>
      <c r="G261" s="330" t="str">
        <f>IF(VLOOKUP(A261,'Débit - Abfluss'!$A$4:$AD$275,17,FALSE)="","",VLOOKUP(A261,'Débit - Abfluss'!$A$4:$AD$275,17,FALSE))</f>
        <v>100%</v>
      </c>
      <c r="H261" s="404" t="str">
        <f>IF(VLOOKUP(A261,'Eclusée - Schwall-Sunk'!$A$2:$F$273,6,FALSE)="","",VLOOKUP(A261,'Eclusée - Schwall-Sunk'!$A$2:$F$273,6,FALSE))</f>
        <v>Non affecté / nicht betroffen</v>
      </c>
      <c r="I261" s="405" t="str">
        <f>IF(VLOOKUP(A261,'Revitalisation-Revitalisierung'!$A$4:$Z$275,25,FALSE)="","",VLOOKUP(A261,'Revitalisation-Revitalisierung'!$A$4:$Z$275,25,FALSE))</f>
        <v>Non nécessaire / nicht nötig</v>
      </c>
      <c r="J261" s="406" t="str">
        <f>IF(VLOOKUP(A261,'Revitalisation-Revitalisierung'!$A$4:$AA$275,27,FALSE)="","",VLOOKUP(A261,'Revitalisation-Revitalisierung'!$A$4:$AA$275,27,FALSE))</f>
        <v>a</v>
      </c>
      <c r="K261" s="407"/>
    </row>
    <row r="262" spans="1:11" ht="20.100000000000001" customHeight="1" x14ac:dyDescent="0.25">
      <c r="A262" s="926">
        <v>354</v>
      </c>
      <c r="B262" s="400" t="s">
        <v>568</v>
      </c>
      <c r="C262" s="400" t="s">
        <v>569</v>
      </c>
      <c r="D262" s="401" t="s">
        <v>551</v>
      </c>
      <c r="E262" s="402" t="str">
        <f>IF(VLOOKUP(A262,'Charriage - Geschiebehaushalt'!$A$4:$AC$275,28,FALSE)="","",VLOOKUP(A262,'Charriage - Geschiebehaushalt'!$A$4:$AC$275,28,FALSE))</f>
        <v>0-20%</v>
      </c>
      <c r="F262" s="403" t="str">
        <f>IF(VLOOKUP(A262,'Charriage - Geschiebehaushalt'!$A$4:$AD$275,30,FALSE)="","",VLOOKUP(A262,'Charriage - Geschiebehaushalt'!$A$4:$AD$275,30,FALSE))</f>
        <v>b</v>
      </c>
      <c r="G262" s="330" t="str">
        <f>IF(VLOOKUP(A262,'Débit - Abfluss'!$A$4:$AD$275,17,FALSE)="","",VLOOKUP(A262,'Débit - Abfluss'!$A$4:$AD$275,17,FALSE))</f>
        <v>100%</v>
      </c>
      <c r="H262" s="404" t="str">
        <f>IF(VLOOKUP(A262,'Eclusée - Schwall-Sunk'!$A$2:$F$273,6,FALSE)="","",VLOOKUP(A262,'Eclusée - Schwall-Sunk'!$A$2:$F$273,6,FALSE))</f>
        <v>Non affecté / nicht betroffen</v>
      </c>
      <c r="I262" s="405" t="str">
        <f>IF(VLOOKUP(A262,'Revitalisation-Revitalisierung'!$A$4:$Z$275,25,FALSE)="","",VLOOKUP(A262,'Revitalisation-Revitalisierung'!$A$4:$Z$275,25,FALSE))</f>
        <v>Partiellement nécessaire, facile / teilweise nötig, einfach</v>
      </c>
      <c r="J262" s="406" t="str">
        <f>IF(VLOOKUP(A262,'Revitalisation-Revitalisierung'!$A$4:$AA$275,27,FALSE)="","",VLOOKUP(A262,'Revitalisation-Revitalisierung'!$A$4:$AA$275,27,FALSE))</f>
        <v>a</v>
      </c>
      <c r="K262" s="407"/>
    </row>
    <row r="263" spans="1:11" ht="20.100000000000001" customHeight="1" x14ac:dyDescent="0.25">
      <c r="A263" s="926">
        <v>355</v>
      </c>
      <c r="B263" s="400" t="s">
        <v>570</v>
      </c>
      <c r="C263" s="400" t="s">
        <v>555</v>
      </c>
      <c r="D263" s="401" t="s">
        <v>551</v>
      </c>
      <c r="E263" s="402" t="str">
        <f>IF(VLOOKUP(A263,'Charriage - Geschiebehaushalt'!$A$4:$AC$275,28,FALSE)="","",VLOOKUP(A263,'Charriage - Geschiebehaushalt'!$A$4:$AC$275,28,FALSE))</f>
        <v>0-20%</v>
      </c>
      <c r="F263" s="403" t="str">
        <f>IF(VLOOKUP(A263,'Charriage - Geschiebehaushalt'!$A$4:$AD$275,30,FALSE)="","",VLOOKUP(A263,'Charriage - Geschiebehaushalt'!$A$4:$AD$275,30,FALSE))</f>
        <v>a</v>
      </c>
      <c r="G263" s="330" t="str">
        <f>IF(VLOOKUP(A263,'Débit - Abfluss'!$A$4:$AD$275,17,FALSE)="","",VLOOKUP(A263,'Débit - Abfluss'!$A$4:$AD$275,17,FALSE))</f>
        <v>100%</v>
      </c>
      <c r="H263" s="404" t="str">
        <f>IF(VLOOKUP(A263,'Eclusée - Schwall-Sunk'!$A$2:$F$273,6,FALSE)="","",VLOOKUP(A263,'Eclusée - Schwall-Sunk'!$A$2:$F$273,6,FALSE))</f>
        <v>Non affecté / nicht betroffen</v>
      </c>
      <c r="I263" s="405" t="str">
        <f>IF(VLOOKUP(A263,'Revitalisation-Revitalisierung'!$A$4:$Z$275,25,FALSE)="","",VLOOKUP(A263,'Revitalisation-Revitalisierung'!$A$4:$Z$275,25,FALSE))</f>
        <v>Non nécessaire / nicht nötig</v>
      </c>
      <c r="J263" s="406" t="str">
        <f>IF(VLOOKUP(A263,'Revitalisation-Revitalisierung'!$A$4:$AA$275,27,FALSE)="","",VLOOKUP(A263,'Revitalisation-Revitalisierung'!$A$4:$AA$275,27,FALSE))</f>
        <v>a</v>
      </c>
      <c r="K263" s="407"/>
    </row>
    <row r="264" spans="1:11" ht="20.100000000000001" customHeight="1" x14ac:dyDescent="0.25">
      <c r="A264" s="926">
        <v>356</v>
      </c>
      <c r="B264" s="400" t="s">
        <v>571</v>
      </c>
      <c r="C264" s="400" t="s">
        <v>572</v>
      </c>
      <c r="D264" s="401" t="s">
        <v>551</v>
      </c>
      <c r="E264" s="402" t="str">
        <f>IF(VLOOKUP(A264,'Charriage - Geschiebehaushalt'!$A$4:$AC$275,28,FALSE)="","",VLOOKUP(A264,'Charriage - Geschiebehaushalt'!$A$4:$AC$275,28,FALSE))</f>
        <v>21-50%</v>
      </c>
      <c r="F264" s="403" t="str">
        <f>IF(VLOOKUP(A264,'Charriage - Geschiebehaushalt'!$A$4:$AD$275,30,FALSE)="","",VLOOKUP(A264,'Charriage - Geschiebehaushalt'!$A$4:$AD$275,30,FALSE))</f>
        <v>b</v>
      </c>
      <c r="G264" s="330" t="str">
        <f>IF(VLOOKUP(A264,'Débit - Abfluss'!$A$4:$AD$275,17,FALSE)="","",VLOOKUP(A264,'Débit - Abfluss'!$A$4:$AD$275,17,FALSE))</f>
        <v>41-60%</v>
      </c>
      <c r="H264" s="404" t="str">
        <f>IF(VLOOKUP(A264,'Eclusée - Schwall-Sunk'!$A$2:$F$273,6,FALSE)="","",VLOOKUP(A264,'Eclusée - Schwall-Sunk'!$A$2:$F$273,6,FALSE))</f>
        <v>Potentiellement affecté / möglicherweise betroffen</v>
      </c>
      <c r="I264" s="405" t="str">
        <f>IF(VLOOKUP(A264,'Revitalisation-Revitalisierung'!$A$4:$Z$275,25,FALSE)="","",VLOOKUP(A264,'Revitalisation-Revitalisierung'!$A$4:$Z$275,25,FALSE))</f>
        <v>Très nécessaire, facile / unbedingt nötig, einfach</v>
      </c>
      <c r="J264" s="406" t="str">
        <f>IF(VLOOKUP(A264,'Revitalisation-Revitalisierung'!$A$4:$AA$275,27,FALSE)="","",VLOOKUP(A264,'Revitalisation-Revitalisierung'!$A$4:$AA$275,27,FALSE))</f>
        <v>a</v>
      </c>
      <c r="K264" s="407"/>
    </row>
    <row r="265" spans="1:11" ht="20.100000000000001" customHeight="1" x14ac:dyDescent="0.25">
      <c r="A265" s="926">
        <v>357</v>
      </c>
      <c r="B265" s="400" t="s">
        <v>524</v>
      </c>
      <c r="C265" s="400" t="s">
        <v>525</v>
      </c>
      <c r="D265" s="401" t="s">
        <v>482</v>
      </c>
      <c r="E265" s="402" t="str">
        <f>IF(VLOOKUP(A265,'Charriage - Geschiebehaushalt'!$A$4:$AC$275,28,FALSE)="","",VLOOKUP(A265,'Charriage - Geschiebehaushalt'!$A$4:$AC$275,28,FALSE))</f>
        <v>21-50%</v>
      </c>
      <c r="F265" s="403" t="str">
        <f>IF(VLOOKUP(A265,'Charriage - Geschiebehaushalt'!$A$4:$AD$275,30,FALSE)="","",VLOOKUP(A265,'Charriage - Geschiebehaushalt'!$A$4:$AD$275,30,FALSE))</f>
        <v>a</v>
      </c>
      <c r="G265" s="330" t="str">
        <f>IF(VLOOKUP(A265,'Débit - Abfluss'!$A$4:$AD$275,17,FALSE)="","",VLOOKUP(A265,'Débit - Abfluss'!$A$4:$AD$275,17,FALSE))</f>
        <v>21-40%</v>
      </c>
      <c r="H265" s="404" t="str">
        <f>IF(VLOOKUP(A265,'Eclusée - Schwall-Sunk'!$A$2:$F$273,6,FALSE)="","",VLOOKUP(A265,'Eclusée - Schwall-Sunk'!$A$2:$F$273,6,FALSE))</f>
        <v>Non affecté / nicht betroffen</v>
      </c>
      <c r="I265" s="405" t="str">
        <f>IF(VLOOKUP(A265,'Revitalisation-Revitalisierung'!$A$4:$Z$275,25,FALSE)="","",VLOOKUP(A265,'Revitalisation-Revitalisierung'!$A$4:$Z$275,25,FALSE))</f>
        <v>Partiellement nécessaire, difficile / teilweise nötig, schwierig</v>
      </c>
      <c r="J265" s="406" t="str">
        <f>IF(VLOOKUP(A265,'Revitalisation-Revitalisierung'!$A$4:$AA$275,27,FALSE)="","",VLOOKUP(A265,'Revitalisation-Revitalisierung'!$A$4:$AA$275,27,FALSE))</f>
        <v>a</v>
      </c>
      <c r="K265" s="407"/>
    </row>
    <row r="266" spans="1:11" ht="20.100000000000001" customHeight="1" x14ac:dyDescent="0.25">
      <c r="A266" s="926">
        <v>358</v>
      </c>
      <c r="B266" s="400" t="s">
        <v>526</v>
      </c>
      <c r="C266" s="400" t="s">
        <v>484</v>
      </c>
      <c r="D266" s="401" t="s">
        <v>482</v>
      </c>
      <c r="E266" s="402" t="str">
        <f>IF(VLOOKUP(A266,'Charriage - Geschiebehaushalt'!$A$4:$AC$275,28,FALSE)="","",VLOOKUP(A266,'Charriage - Geschiebehaushalt'!$A$4:$AC$275,28,FALSE))</f>
        <v>51-80%</v>
      </c>
      <c r="F266" s="403" t="str">
        <f>IF(VLOOKUP(A266,'Charriage - Geschiebehaushalt'!$A$4:$AD$275,30,FALSE)="","",VLOOKUP(A266,'Charriage - Geschiebehaushalt'!$A$4:$AD$275,30,FALSE))</f>
        <v>a</v>
      </c>
      <c r="G266" s="330" t="str">
        <f>IF(VLOOKUP(A266,'Débit - Abfluss'!$A$4:$AD$275,17,FALSE)="","",VLOOKUP(A266,'Débit - Abfluss'!$A$4:$AD$275,17,FALSE))</f>
        <v>0-20%</v>
      </c>
      <c r="H266" s="404" t="str">
        <f>IF(VLOOKUP(A266,'Eclusée - Schwall-Sunk'!$A$2:$F$273,6,FALSE)="","",VLOOKUP(A266,'Eclusée - Schwall-Sunk'!$A$2:$F$273,6,FALSE))</f>
        <v>Potentiellement affecté / möglicherweise betroffen</v>
      </c>
      <c r="I266" s="405" t="str">
        <f>IF(VLOOKUP(A266,'Revitalisation-Revitalisierung'!$A$4:$Z$275,25,FALSE)="","",VLOOKUP(A266,'Revitalisation-Revitalisierung'!$A$4:$Z$275,25,FALSE))</f>
        <v>Partiellement nécessaire, difficile / teilweise nötig, schwierig</v>
      </c>
      <c r="J266" s="406" t="str">
        <f>IF(VLOOKUP(A266,'Revitalisation-Revitalisierung'!$A$4:$AA$275,27,FALSE)="","",VLOOKUP(A266,'Revitalisation-Revitalisierung'!$A$4:$AA$275,27,FALSE))</f>
        <v>a</v>
      </c>
      <c r="K266" s="407"/>
    </row>
    <row r="267" spans="1:11" ht="20.100000000000001" customHeight="1" x14ac:dyDescent="0.25">
      <c r="A267" s="926">
        <v>359</v>
      </c>
      <c r="B267" s="400" t="s">
        <v>528</v>
      </c>
      <c r="C267" s="400" t="s">
        <v>484</v>
      </c>
      <c r="D267" s="401" t="s">
        <v>482</v>
      </c>
      <c r="E267" s="402" t="str">
        <f>IF(VLOOKUP(A267,'Charriage - Geschiebehaushalt'!$A$4:$AC$275,28,FALSE)="","",VLOOKUP(A267,'Charriage - Geschiebehaushalt'!$A$4:$AC$275,28,FALSE))</f>
        <v>51-80%</v>
      </c>
      <c r="F267" s="403" t="str">
        <f>IF(VLOOKUP(A267,'Charriage - Geschiebehaushalt'!$A$4:$AD$275,30,FALSE)="","",VLOOKUP(A267,'Charriage - Geschiebehaushalt'!$A$4:$AD$275,30,FALSE))</f>
        <v>a</v>
      </c>
      <c r="G267" s="330" t="str">
        <f>IF(VLOOKUP(A267,'Débit - Abfluss'!$A$4:$AD$275,17,FALSE)="","",VLOOKUP(A267,'Débit - Abfluss'!$A$4:$AD$275,17,FALSE))</f>
        <v>0-20%</v>
      </c>
      <c r="H267" s="404" t="str">
        <f>IF(VLOOKUP(A267,'Eclusée - Schwall-Sunk'!$A$2:$F$273,6,FALSE)="","",VLOOKUP(A267,'Eclusée - Schwall-Sunk'!$A$2:$F$273,6,FALSE))</f>
        <v>Potentiellement affecté / möglicherweise betroffen</v>
      </c>
      <c r="I267" s="405" t="str">
        <f>IF(VLOOKUP(A267,'Revitalisation-Revitalisierung'!$A$4:$Z$275,25,FALSE)="","",VLOOKUP(A267,'Revitalisation-Revitalisierung'!$A$4:$Z$275,25,FALSE))</f>
        <v>Partiellement nécessaire, facile / teilweise nötig, einfach</v>
      </c>
      <c r="J267" s="406" t="str">
        <f>IF(VLOOKUP(A267,'Revitalisation-Revitalisierung'!$A$4:$AA$275,27,FALSE)="","",VLOOKUP(A267,'Revitalisation-Revitalisierung'!$A$4:$AA$275,27,FALSE))</f>
        <v>a</v>
      </c>
      <c r="K267" s="407"/>
    </row>
    <row r="268" spans="1:11" ht="20.100000000000001" customHeight="1" x14ac:dyDescent="0.25">
      <c r="A268" s="926">
        <v>360</v>
      </c>
      <c r="B268" s="400" t="s">
        <v>530</v>
      </c>
      <c r="C268" s="400" t="s">
        <v>531</v>
      </c>
      <c r="D268" s="401" t="s">
        <v>482</v>
      </c>
      <c r="E268" s="402" t="str">
        <f>IF(VLOOKUP(A268,'Charriage - Geschiebehaushalt'!$A$4:$AC$275,28,FALSE)="","",VLOOKUP(A268,'Charriage - Geschiebehaushalt'!$A$4:$AC$275,28,FALSE))</f>
        <v>0-20%</v>
      </c>
      <c r="F268" s="403" t="str">
        <f>IF(VLOOKUP(A268,'Charriage - Geschiebehaushalt'!$A$4:$AD$275,30,FALSE)="","",VLOOKUP(A268,'Charriage - Geschiebehaushalt'!$A$4:$AD$275,30,FALSE))</f>
        <v>b</v>
      </c>
      <c r="G268" s="330" t="str">
        <f>IF(VLOOKUP(A268,'Débit - Abfluss'!$A$4:$AD$275,17,FALSE)="","",VLOOKUP(A268,'Débit - Abfluss'!$A$4:$AD$275,17,FALSE))</f>
        <v>81-100%</v>
      </c>
      <c r="H268" s="404" t="str">
        <f>IF(VLOOKUP(A268,'Eclusée - Schwall-Sunk'!$A$2:$F$273,6,FALSE)="","",VLOOKUP(A268,'Eclusée - Schwall-Sunk'!$A$2:$F$273,6,FALSE))</f>
        <v>Non affecté / nicht betroffen</v>
      </c>
      <c r="I268" s="405" t="str">
        <f>IF(VLOOKUP(A268,'Revitalisation-Revitalisierung'!$A$4:$Z$275,25,FALSE)="","",VLOOKUP(A268,'Revitalisation-Revitalisierung'!$A$4:$Z$275,25,FALSE))</f>
        <v>Non nécessaire / nicht nötig</v>
      </c>
      <c r="J268" s="406" t="str">
        <f>IF(VLOOKUP(A268,'Revitalisation-Revitalisierung'!$A$4:$AA$275,27,FALSE)="","",VLOOKUP(A268,'Revitalisation-Revitalisierung'!$A$4:$AA$275,27,FALSE))</f>
        <v>a</v>
      </c>
      <c r="K268" s="407"/>
    </row>
    <row r="269" spans="1:11" ht="20.100000000000001" customHeight="1" x14ac:dyDescent="0.25">
      <c r="A269" s="926">
        <v>361</v>
      </c>
      <c r="B269" s="400" t="s">
        <v>533</v>
      </c>
      <c r="C269" s="400" t="s">
        <v>531</v>
      </c>
      <c r="D269" s="401" t="s">
        <v>482</v>
      </c>
      <c r="E269" s="402" t="str">
        <f>IF(VLOOKUP(A269,'Charriage - Geschiebehaushalt'!$A$4:$AC$275,28,FALSE)="","",VLOOKUP(A269,'Charriage - Geschiebehaushalt'!$A$4:$AC$275,28,FALSE))</f>
        <v>0-20%</v>
      </c>
      <c r="F269" s="403" t="str">
        <f>IF(VLOOKUP(A269,'Charriage - Geschiebehaushalt'!$A$4:$AD$275,30,FALSE)="","",VLOOKUP(A269,'Charriage - Geschiebehaushalt'!$A$4:$AD$275,30,FALSE))</f>
        <v>b</v>
      </c>
      <c r="G269" s="330" t="str">
        <f>IF(VLOOKUP(A269,'Débit - Abfluss'!$A$4:$AD$275,17,FALSE)="","",VLOOKUP(A269,'Débit - Abfluss'!$A$4:$AD$275,17,FALSE))</f>
        <v>81-100%</v>
      </c>
      <c r="H269" s="404" t="str">
        <f>IF(VLOOKUP(A269,'Eclusée - Schwall-Sunk'!$A$2:$F$273,6,FALSE)="","",VLOOKUP(A269,'Eclusée - Schwall-Sunk'!$A$2:$F$273,6,FALSE))</f>
        <v>Non affecté / nicht betroffen</v>
      </c>
      <c r="I269" s="405" t="str">
        <f>IF(VLOOKUP(A269,'Revitalisation-Revitalisierung'!$A$4:$Z$275,25,FALSE)="","",VLOOKUP(A269,'Revitalisation-Revitalisierung'!$A$4:$Z$275,25,FALSE))</f>
        <v>Non nécessaire / nicht nötig</v>
      </c>
      <c r="J269" s="406" t="str">
        <f>IF(VLOOKUP(A269,'Revitalisation-Revitalisierung'!$A$4:$AA$275,27,FALSE)="","",VLOOKUP(A269,'Revitalisation-Revitalisierung'!$A$4:$AA$275,27,FALSE))</f>
        <v>a</v>
      </c>
      <c r="K269" s="407"/>
    </row>
    <row r="270" spans="1:11" ht="20.100000000000001" customHeight="1" x14ac:dyDescent="0.25">
      <c r="A270" s="926">
        <v>362</v>
      </c>
      <c r="B270" s="400" t="s">
        <v>534</v>
      </c>
      <c r="C270" s="400" t="s">
        <v>535</v>
      </c>
      <c r="D270" s="401" t="s">
        <v>482</v>
      </c>
      <c r="E270" s="402" t="str">
        <f>IF(VLOOKUP(A270,'Charriage - Geschiebehaushalt'!$A$4:$AC$275,28,FALSE)="","",VLOOKUP(A270,'Charriage - Geschiebehaushalt'!$A$4:$AC$275,28,FALSE))</f>
        <v>0-20%</v>
      </c>
      <c r="F270" s="403" t="str">
        <f>IF(VLOOKUP(A270,'Charriage - Geschiebehaushalt'!$A$4:$AD$275,30,FALSE)="","",VLOOKUP(A270,'Charriage - Geschiebehaushalt'!$A$4:$AD$275,30,FALSE))</f>
        <v>b</v>
      </c>
      <c r="G270" s="330" t="str">
        <f>IF(VLOOKUP(A270,'Débit - Abfluss'!$A$4:$AD$275,17,FALSE)="","",VLOOKUP(A270,'Débit - Abfluss'!$A$4:$AD$275,17,FALSE))</f>
        <v>100%</v>
      </c>
      <c r="H270" s="404" t="str">
        <f>IF(VLOOKUP(A270,'Eclusée - Schwall-Sunk'!$A$2:$F$273,6,FALSE)="","",VLOOKUP(A270,'Eclusée - Schwall-Sunk'!$A$2:$F$273,6,FALSE))</f>
        <v>Non affecté / nicht betroffen</v>
      </c>
      <c r="I270" s="405" t="str">
        <f>IF(VLOOKUP(A270,'Revitalisation-Revitalisierung'!$A$4:$Z$275,25,FALSE)="","",VLOOKUP(A270,'Revitalisation-Revitalisierung'!$A$4:$Z$275,25,FALSE))</f>
        <v>Non nécessaire / nicht nötig</v>
      </c>
      <c r="J270" s="406" t="str">
        <f>IF(VLOOKUP(A270,'Revitalisation-Revitalisierung'!$A$4:$AA$275,27,FALSE)="","",VLOOKUP(A270,'Revitalisation-Revitalisierung'!$A$4:$AA$275,27,FALSE))</f>
        <v>a</v>
      </c>
      <c r="K270" s="407"/>
    </row>
    <row r="271" spans="1:11" ht="20.100000000000001" customHeight="1" x14ac:dyDescent="0.25">
      <c r="A271" s="926">
        <v>363</v>
      </c>
      <c r="B271" s="400" t="s">
        <v>537</v>
      </c>
      <c r="C271" s="400" t="s">
        <v>538</v>
      </c>
      <c r="D271" s="401" t="s">
        <v>482</v>
      </c>
      <c r="E271" s="402" t="str">
        <f>IF(VLOOKUP(A271,'Charriage - Geschiebehaushalt'!$A$4:$AC$275,28,FALSE)="","",VLOOKUP(A271,'Charriage - Geschiebehaushalt'!$A$4:$AC$275,28,FALSE))</f>
        <v>0-20%</v>
      </c>
      <c r="F271" s="403" t="str">
        <f>IF(VLOOKUP(A271,'Charriage - Geschiebehaushalt'!$A$4:$AD$275,30,FALSE)="","",VLOOKUP(A271,'Charriage - Geschiebehaushalt'!$A$4:$AD$275,30,FALSE))</f>
        <v>b</v>
      </c>
      <c r="G271" s="330" t="str">
        <f>IF(VLOOKUP(A271,'Débit - Abfluss'!$A$4:$AD$275,17,FALSE)="","",VLOOKUP(A271,'Débit - Abfluss'!$A$4:$AD$275,17,FALSE))</f>
        <v>100%</v>
      </c>
      <c r="H271" s="404" t="str">
        <f>IF(VLOOKUP(A271,'Eclusée - Schwall-Sunk'!$A$2:$F$273,6,FALSE)="","",VLOOKUP(A271,'Eclusée - Schwall-Sunk'!$A$2:$F$273,6,FALSE))</f>
        <v>Non affecté / nicht betroffen</v>
      </c>
      <c r="I271" s="405" t="str">
        <f>IF(VLOOKUP(A271,'Revitalisation-Revitalisierung'!$A$4:$Z$275,25,FALSE)="","",VLOOKUP(A271,'Revitalisation-Revitalisierung'!$A$4:$Z$275,25,FALSE))</f>
        <v>Non nécessaire / nicht nötig</v>
      </c>
      <c r="J271" s="406" t="str">
        <f>IF(VLOOKUP(A271,'Revitalisation-Revitalisierung'!$A$4:$AA$275,27,FALSE)="","",VLOOKUP(A271,'Revitalisation-Revitalisierung'!$A$4:$AA$275,27,FALSE))</f>
        <v>a</v>
      </c>
      <c r="K271" s="407"/>
    </row>
    <row r="272" spans="1:11" ht="20.100000000000001" customHeight="1" x14ac:dyDescent="0.25">
      <c r="A272" s="926">
        <v>364</v>
      </c>
      <c r="B272" s="400" t="s">
        <v>539</v>
      </c>
      <c r="C272" s="400" t="s">
        <v>540</v>
      </c>
      <c r="D272" s="401" t="s">
        <v>482</v>
      </c>
      <c r="E272" s="402" t="str">
        <f>IF(VLOOKUP(A272,'Charriage - Geschiebehaushalt'!$A$4:$AC$275,28,FALSE)="","",VLOOKUP(A272,'Charriage - Geschiebehaushalt'!$A$4:$AC$275,28,FALSE))</f>
        <v>0-20%</v>
      </c>
      <c r="F272" s="403" t="str">
        <f>IF(VLOOKUP(A272,'Charriage - Geschiebehaushalt'!$A$4:$AD$275,30,FALSE)="","",VLOOKUP(A272,'Charriage - Geschiebehaushalt'!$A$4:$AD$275,30,FALSE))</f>
        <v>a</v>
      </c>
      <c r="G272" s="330" t="str">
        <f>IF(VLOOKUP(A272,'Débit - Abfluss'!$A$4:$AD$275,17,FALSE)="","",VLOOKUP(A272,'Débit - Abfluss'!$A$4:$AD$275,17,FALSE))</f>
        <v>100%</v>
      </c>
      <c r="H272" s="404" t="str">
        <f>IF(VLOOKUP(A272,'Eclusée - Schwall-Sunk'!$A$2:$F$273,6,FALSE)="","",VLOOKUP(A272,'Eclusée - Schwall-Sunk'!$A$2:$F$273,6,FALSE))</f>
        <v>Non affecté / nicht betroffen</v>
      </c>
      <c r="I272" s="405" t="str">
        <f>IF(VLOOKUP(A272,'Revitalisation-Revitalisierung'!$A$4:$Z$275,25,FALSE)="","",VLOOKUP(A272,'Revitalisation-Revitalisierung'!$A$4:$Z$275,25,FALSE))</f>
        <v>Très nécessaire, difficile / unbedingt nötig, schwierig</v>
      </c>
      <c r="J272" s="406" t="str">
        <f>IF(VLOOKUP(A272,'Revitalisation-Revitalisierung'!$A$4:$AA$275,27,FALSE)="","",VLOOKUP(A272,'Revitalisation-Revitalisierung'!$A$4:$AA$275,27,FALSE))</f>
        <v>a</v>
      </c>
      <c r="K272" s="407"/>
    </row>
    <row r="273" spans="1:11" ht="20.100000000000001" customHeight="1" x14ac:dyDescent="0.25">
      <c r="A273" s="926">
        <v>365</v>
      </c>
      <c r="B273" s="400" t="s">
        <v>541</v>
      </c>
      <c r="C273" s="400" t="s">
        <v>542</v>
      </c>
      <c r="D273" s="401" t="s">
        <v>482</v>
      </c>
      <c r="E273" s="402" t="str">
        <f>IF(VLOOKUP(A273,'Charriage - Geschiebehaushalt'!$A$4:$AC$275,28,FALSE)="","",VLOOKUP(A273,'Charriage - Geschiebehaushalt'!$A$4:$AC$275,28,FALSE))</f>
        <v>0-20%</v>
      </c>
      <c r="F273" s="403" t="str">
        <f>IF(VLOOKUP(A273,'Charriage - Geschiebehaushalt'!$A$4:$AD$275,30,FALSE)="","",VLOOKUP(A273,'Charriage - Geschiebehaushalt'!$A$4:$AD$275,30,FALSE))</f>
        <v>b</v>
      </c>
      <c r="G273" s="330" t="str">
        <f>IF(VLOOKUP(A273,'Débit - Abfluss'!$A$4:$AD$275,17,FALSE)="","",VLOOKUP(A273,'Débit - Abfluss'!$A$4:$AD$275,17,FALSE))</f>
        <v>100%</v>
      </c>
      <c r="H273" s="404" t="str">
        <f>IF(VLOOKUP(A273,'Eclusée - Schwall-Sunk'!$A$2:$F$273,6,FALSE)="","",VLOOKUP(A273,'Eclusée - Schwall-Sunk'!$A$2:$F$273,6,FALSE))</f>
        <v>Non affecté / nicht betroffen</v>
      </c>
      <c r="I273" s="405" t="str">
        <f>IF(VLOOKUP(A273,'Revitalisation-Revitalisierung'!$A$4:$Z$275,25,FALSE)="","",VLOOKUP(A273,'Revitalisation-Revitalisierung'!$A$4:$Z$275,25,FALSE))</f>
        <v>Non nécessaire / nicht nötig</v>
      </c>
      <c r="J273" s="406" t="str">
        <f>IF(VLOOKUP(A273,'Revitalisation-Revitalisierung'!$A$4:$AA$275,27,FALSE)="","",VLOOKUP(A273,'Revitalisation-Revitalisierung'!$A$4:$AA$275,27,FALSE))</f>
        <v>a</v>
      </c>
      <c r="K273" s="407"/>
    </row>
    <row r="274" spans="1:11" ht="20.100000000000001" customHeight="1" x14ac:dyDescent="0.25">
      <c r="A274" s="926">
        <v>366</v>
      </c>
      <c r="B274" s="400" t="s">
        <v>543</v>
      </c>
      <c r="C274" s="400" t="s">
        <v>544</v>
      </c>
      <c r="D274" s="401" t="s">
        <v>482</v>
      </c>
      <c r="E274" s="402" t="str">
        <f>IF(VLOOKUP(A274,'Charriage - Geschiebehaushalt'!$A$4:$AC$275,28,FALSE)="","",VLOOKUP(A274,'Charriage - Geschiebehaushalt'!$A$4:$AC$275,28,FALSE))</f>
        <v>0-20%</v>
      </c>
      <c r="F274" s="403" t="str">
        <f>IF(VLOOKUP(A274,'Charriage - Geschiebehaushalt'!$A$4:$AD$275,30,FALSE)="","",VLOOKUP(A274,'Charriage - Geschiebehaushalt'!$A$4:$AD$275,30,FALSE))</f>
        <v>b</v>
      </c>
      <c r="G274" s="330" t="str">
        <f>IF(VLOOKUP(A274,'Débit - Abfluss'!$A$4:$AD$275,17,FALSE)="","",VLOOKUP(A274,'Débit - Abfluss'!$A$4:$AD$275,17,FALSE))</f>
        <v>100%</v>
      </c>
      <c r="H274" s="404" t="str">
        <f>IF(VLOOKUP(A274,'Eclusée - Schwall-Sunk'!$A$2:$F$273,6,FALSE)="","",VLOOKUP(A274,'Eclusée - Schwall-Sunk'!$A$2:$F$273,6,FALSE))</f>
        <v>Non affecté / nicht betroffen</v>
      </c>
      <c r="I274" s="405" t="str">
        <f>IF(VLOOKUP(A274,'Revitalisation-Revitalisierung'!$A$4:$Z$275,25,FALSE)="","",VLOOKUP(A274,'Revitalisation-Revitalisierung'!$A$4:$Z$275,25,FALSE))</f>
        <v>Non nécessaire / nicht nötig</v>
      </c>
      <c r="J274" s="406" t="str">
        <f>IF(VLOOKUP(A274,'Revitalisation-Revitalisierung'!$A$4:$AA$275,27,FALSE)="","",VLOOKUP(A274,'Revitalisation-Revitalisierung'!$A$4:$AA$275,27,FALSE))</f>
        <v>a</v>
      </c>
      <c r="K274" s="407"/>
    </row>
    <row r="275" spans="1:11" ht="20.100000000000001" customHeight="1" x14ac:dyDescent="0.25">
      <c r="A275" s="926">
        <v>367</v>
      </c>
      <c r="B275" s="400" t="s">
        <v>545</v>
      </c>
      <c r="C275" s="400" t="s">
        <v>546</v>
      </c>
      <c r="D275" s="401" t="s">
        <v>482</v>
      </c>
      <c r="E275" s="402" t="str">
        <f>IF(VLOOKUP(A275,'Charriage - Geschiebehaushalt'!$A$4:$AC$275,28,FALSE)="","",VLOOKUP(A275,'Charriage - Geschiebehaushalt'!$A$4:$AC$275,28,FALSE))</f>
        <v>21-50%</v>
      </c>
      <c r="F275" s="403" t="str">
        <f>IF(VLOOKUP(A275,'Charriage - Geschiebehaushalt'!$A$4:$AD$275,30,FALSE)="","",VLOOKUP(A275,'Charriage - Geschiebehaushalt'!$A$4:$AD$275,30,FALSE))</f>
        <v>b</v>
      </c>
      <c r="G275" s="330" t="str">
        <f>IF(VLOOKUP(A275,'Débit - Abfluss'!$A$4:$AD$275,17,FALSE)="","",VLOOKUP(A275,'Débit - Abfluss'!$A$4:$AD$275,17,FALSE))</f>
        <v>100%</v>
      </c>
      <c r="H275" s="404" t="str">
        <f>IF(VLOOKUP(A275,'Eclusée - Schwall-Sunk'!$A$2:$F$273,6,FALSE)="","",VLOOKUP(A275,'Eclusée - Schwall-Sunk'!$A$2:$F$273,6,FALSE))</f>
        <v>Non affecté / nicht betroffen</v>
      </c>
      <c r="I275" s="405" t="str">
        <f>IF(VLOOKUP(A275,'Revitalisation-Revitalisierung'!$A$4:$Z$275,25,FALSE)="","",VLOOKUP(A275,'Revitalisation-Revitalisierung'!$A$4:$Z$275,25,FALSE))</f>
        <v>Très nécessaire, facile / unbedingt nötig, einfach</v>
      </c>
      <c r="J275" s="406" t="str">
        <f>IF(VLOOKUP(A275,'Revitalisation-Revitalisierung'!$A$4:$AA$275,27,FALSE)="","",VLOOKUP(A275,'Revitalisation-Revitalisierung'!$A$4:$AA$275,27,FALSE))</f>
        <v>a</v>
      </c>
      <c r="K275" s="407"/>
    </row>
    <row r="276" spans="1:11" ht="20.100000000000001" customHeight="1" x14ac:dyDescent="0.25">
      <c r="A276" s="930">
        <v>368</v>
      </c>
      <c r="B276" s="400" t="s">
        <v>547</v>
      </c>
      <c r="C276" s="400" t="s">
        <v>548</v>
      </c>
      <c r="D276" s="401" t="s">
        <v>482</v>
      </c>
      <c r="E276" s="402" t="str">
        <f>IF(VLOOKUP(A276,'Charriage - Geschiebehaushalt'!$A$4:$AC$275,28,FALSE)="","",VLOOKUP(A276,'Charriage - Geschiebehaushalt'!$A$4:$AC$275,28,FALSE))</f>
        <v>0-20%</v>
      </c>
      <c r="F276" s="403" t="str">
        <f>IF(VLOOKUP(A276,'Charriage - Geschiebehaushalt'!$A$4:$AD$275,30,FALSE)="","",VLOOKUP(A276,'Charriage - Geschiebehaushalt'!$A$4:$AD$275,30,FALSE))</f>
        <v>b</v>
      </c>
      <c r="G276" s="330" t="str">
        <f>IF(VLOOKUP(A276,'Débit - Abfluss'!$A$4:$AD$275,17,FALSE)="","",VLOOKUP(A276,'Débit - Abfluss'!$A$4:$AD$275,17,FALSE))</f>
        <v>Régime présumé naturel (100%) / Abfluss vermutlich natürlich</v>
      </c>
      <c r="H276" s="404" t="str">
        <f>IF(VLOOKUP(A276,'Eclusée - Schwall-Sunk'!$A$2:$F$273,6,FALSE)="","",VLOOKUP(A276,'Eclusée - Schwall-Sunk'!$A$2:$F$273,6,FALSE))</f>
        <v>Non affecté / nicht betroffen</v>
      </c>
      <c r="I276" s="405" t="str">
        <f>IF(VLOOKUP(A276,'Revitalisation-Revitalisierung'!$A$4:$Z$275,25,FALSE)="","",VLOOKUP(A276,'Revitalisation-Revitalisierung'!$A$4:$Z$275,25,FALSE))</f>
        <v>Très nécessaire, facile / unbedingt nötig, einfach</v>
      </c>
      <c r="J276" s="406" t="str">
        <f>IF(VLOOKUP(A276,'Revitalisation-Revitalisierung'!$A$4:$AA$275,27,FALSE)="","",VLOOKUP(A276,'Revitalisation-Revitalisierung'!$A$4:$AA$275,27,FALSE))</f>
        <v>a</v>
      </c>
      <c r="K276" s="407"/>
    </row>
    <row r="277" spans="1:11" ht="20.100000000000001" customHeight="1" x14ac:dyDescent="0.25">
      <c r="A277" s="926">
        <v>369</v>
      </c>
      <c r="B277" s="400" t="s">
        <v>424</v>
      </c>
      <c r="C277" s="400" t="s">
        <v>425</v>
      </c>
      <c r="D277" s="401" t="s">
        <v>410</v>
      </c>
      <c r="E277" s="402" t="str">
        <f>IF(VLOOKUP(A277,'Charriage - Geschiebehaushalt'!$A$4:$AC$275,28,FALSE)="","",VLOOKUP(A277,'Charriage - Geschiebehaushalt'!$A$4:$AC$275,28,FALSE))</f>
        <v>0-20%</v>
      </c>
      <c r="F277" s="403" t="str">
        <f>IF(VLOOKUP(A277,'Charriage - Geschiebehaushalt'!$A$4:$AD$275,30,FALSE)="","",VLOOKUP(A277,'Charriage - Geschiebehaushalt'!$A$4:$AD$275,30,FALSE))</f>
        <v>b</v>
      </c>
      <c r="G277" s="330" t="str">
        <f>IF(VLOOKUP(A277,'Débit - Abfluss'!$A$4:$AD$275,17,FALSE)="","",VLOOKUP(A277,'Débit - Abfluss'!$A$4:$AD$275,17,FALSE))</f>
        <v>0-20%</v>
      </c>
      <c r="H277" s="404" t="str">
        <f>IF(VLOOKUP(A277,'Eclusée - Schwall-Sunk'!$A$2:$F$273,6,FALSE)="","",VLOOKUP(A277,'Eclusée - Schwall-Sunk'!$A$2:$F$273,6,FALSE))</f>
        <v>Non affecté / nicht betroffen</v>
      </c>
      <c r="I277" s="405" t="str">
        <f>IF(VLOOKUP(A277,'Revitalisation-Revitalisierung'!$A$4:$Z$275,25,FALSE)="","",VLOOKUP(A277,'Revitalisation-Revitalisierung'!$A$4:$Z$275,25,FALSE))</f>
        <v>Partiellement nécessaire, difficile / teilweise nötig, schwierig</v>
      </c>
      <c r="J277" s="406" t="str">
        <f>IF(VLOOKUP(A277,'Revitalisation-Revitalisierung'!$A$4:$AA$275,27,FALSE)="","",VLOOKUP(A277,'Revitalisation-Revitalisierung'!$A$4:$AA$275,27,FALSE))</f>
        <v>a</v>
      </c>
      <c r="K277" s="407"/>
    </row>
    <row r="278" spans="1:11" ht="20.100000000000001" customHeight="1" x14ac:dyDescent="0.25">
      <c r="A278" s="926">
        <v>371</v>
      </c>
      <c r="B278" s="400" t="s">
        <v>90</v>
      </c>
      <c r="C278" s="400" t="s">
        <v>91</v>
      </c>
      <c r="D278" s="401" t="s">
        <v>89</v>
      </c>
      <c r="E278" s="402" t="str">
        <f>IF(VLOOKUP(A278,'Charriage - Geschiebehaushalt'!$A$4:$AC$275,28,FALSE)="","",VLOOKUP(A278,'Charriage - Geschiebehaushalt'!$A$4:$AC$275,28,FALSE))</f>
        <v>0-20%</v>
      </c>
      <c r="F278" s="403" t="str">
        <f>IF(VLOOKUP(A278,'Charriage - Geschiebehaushalt'!$A$4:$AD$275,30,FALSE)="","",VLOOKUP(A278,'Charriage - Geschiebehaushalt'!$A$4:$AD$275,30,FALSE))</f>
        <v>a</v>
      </c>
      <c r="G278" s="330" t="str">
        <f>IF(VLOOKUP(A278,'Débit - Abfluss'!$A$4:$AD$275,17,FALSE)="","",VLOOKUP(A278,'Débit - Abfluss'!$A$4:$AD$275,17,FALSE))</f>
        <v>100%</v>
      </c>
      <c r="H278" s="404" t="str">
        <f>IF(VLOOKUP(A278,'Eclusée - Schwall-Sunk'!$A$2:$F$273,6,FALSE)="","",VLOOKUP(A278,'Eclusée - Schwall-Sunk'!$A$2:$F$273,6,FALSE))</f>
        <v>Non affecté / nicht betroffen</v>
      </c>
      <c r="I278" s="405" t="str">
        <f>IF(VLOOKUP(A278,'Revitalisation-Revitalisierung'!$A$4:$Z$275,25,FALSE)="","",VLOOKUP(A278,'Revitalisation-Revitalisierung'!$A$4:$Z$275,25,FALSE))</f>
        <v>Non nécessaire / nicht nötig</v>
      </c>
      <c r="J278" s="406" t="str">
        <f>IF(VLOOKUP(A278,'Revitalisation-Revitalisierung'!$A$4:$AA$275,27,FALSE)="","",VLOOKUP(A278,'Revitalisation-Revitalisierung'!$A$4:$AA$275,27,FALSE))</f>
        <v>a</v>
      </c>
      <c r="K278" s="407"/>
    </row>
    <row r="279" spans="1:11" ht="20.100000000000001" customHeight="1" x14ac:dyDescent="0.25">
      <c r="A279" s="1233">
        <v>372</v>
      </c>
      <c r="B279" s="409" t="s">
        <v>81</v>
      </c>
      <c r="C279" s="410" t="s">
        <v>82</v>
      </c>
      <c r="D279" s="411" t="s">
        <v>80</v>
      </c>
      <c r="E279" s="402" t="str">
        <f>IF(VLOOKUP(A279,'Charriage - Geschiebehaushalt'!$A$4:$AC$275,28,FALSE)="","",VLOOKUP(A279,'Charriage - Geschiebehaushalt'!$A$4:$AC$275,28,FALSE))</f>
        <v>0-20%</v>
      </c>
      <c r="F279" s="403" t="str">
        <f>IF(VLOOKUP(A279,'Charriage - Geschiebehaushalt'!$A$4:$AD$275,30,FALSE)="","",VLOOKUP(A279,'Charriage - Geschiebehaushalt'!$A$4:$AD$275,30,FALSE))</f>
        <v>a</v>
      </c>
      <c r="G279" s="330" t="str">
        <f>IF(VLOOKUP(A279,'Débit - Abfluss'!$A$4:$AD$275,17,FALSE)="","",VLOOKUP(A279,'Débit - Abfluss'!$A$4:$AD$275,17,FALSE))</f>
        <v>Régime présumé naturel (100%) / Abfluss vermutlich natürlich</v>
      </c>
      <c r="H279" s="404" t="str">
        <f>IF(VLOOKUP(A279,'Eclusée - Schwall-Sunk'!$A$2:$F$273,6,FALSE)="","",VLOOKUP(A279,'Eclusée - Schwall-Sunk'!$A$2:$F$273,6,FALSE))</f>
        <v>Non affecté / nicht betroffen</v>
      </c>
      <c r="I279" s="405" t="str">
        <f>IF(VLOOKUP(A279,'Revitalisation-Revitalisierung'!$A$4:$Z$275,25,FALSE)="","",VLOOKUP(A279,'Revitalisation-Revitalisierung'!$A$4:$Z$275,25,FALSE))</f>
        <v>Non nécessaire / nicht nötig</v>
      </c>
      <c r="J279" s="406" t="str">
        <f>IF(VLOOKUP(A279,'Revitalisation-Revitalisierung'!$A$4:$AA$275,27,FALSE)="","",VLOOKUP(A279,'Revitalisation-Revitalisierung'!$A$4:$AA$275,27,FALSE))</f>
        <v>a</v>
      </c>
      <c r="K279" s="407"/>
    </row>
    <row r="280" spans="1:11" ht="20.100000000000001" customHeight="1" x14ac:dyDescent="0.25">
      <c r="A280" s="926">
        <v>373</v>
      </c>
      <c r="B280" s="400" t="s">
        <v>427</v>
      </c>
      <c r="C280" s="400" t="s">
        <v>428</v>
      </c>
      <c r="D280" s="401" t="s">
        <v>410</v>
      </c>
      <c r="E280" s="402" t="str">
        <f>IF(VLOOKUP(A280,'Charriage - Geschiebehaushalt'!$A$4:$AC$275,28,FALSE)="","",VLOOKUP(A280,'Charriage - Geschiebehaushalt'!$A$4:$AC$275,28,FALSE))</f>
        <v>0-20%</v>
      </c>
      <c r="F280" s="403" t="str">
        <f>IF(VLOOKUP(A280,'Charriage - Geschiebehaushalt'!$A$4:$AD$275,30,FALSE)="","",VLOOKUP(A280,'Charriage - Geschiebehaushalt'!$A$4:$AD$275,30,FALSE))</f>
        <v>b</v>
      </c>
      <c r="G280" s="330" t="str">
        <f>IF(VLOOKUP(A280,'Débit - Abfluss'!$A$4:$AD$275,17,FALSE)="","",VLOOKUP(A280,'Débit - Abfluss'!$A$4:$AD$275,17,FALSE))</f>
        <v>100%</v>
      </c>
      <c r="H280" s="404" t="str">
        <f>IF(VLOOKUP(A280,'Eclusée - Schwall-Sunk'!$A$2:$F$273,6,FALSE)="","",VLOOKUP(A280,'Eclusée - Schwall-Sunk'!$A$2:$F$273,6,FALSE))</f>
        <v>Non affecté / nicht betroffen</v>
      </c>
      <c r="I280" s="405" t="str">
        <f>IF(VLOOKUP(A280,'Revitalisation-Revitalisierung'!$A$4:$Z$275,25,FALSE)="","",VLOOKUP(A280,'Revitalisation-Revitalisierung'!$A$4:$Z$275,25,FALSE))</f>
        <v>Non nécessaire / nicht nötig</v>
      </c>
      <c r="J280" s="406" t="str">
        <f>IF(VLOOKUP(A280,'Revitalisation-Revitalisierung'!$A$4:$AA$275,27,FALSE)="","",VLOOKUP(A280,'Revitalisation-Revitalisierung'!$A$4:$AA$275,27,FALSE))</f>
        <v>b</v>
      </c>
      <c r="K280" s="407"/>
    </row>
    <row r="281" spans="1:11" ht="20.100000000000001" customHeight="1" x14ac:dyDescent="0.25">
      <c r="A281" s="926">
        <v>374</v>
      </c>
      <c r="B281" s="400" t="s">
        <v>429</v>
      </c>
      <c r="C281" s="400" t="s">
        <v>430</v>
      </c>
      <c r="D281" s="401" t="s">
        <v>410</v>
      </c>
      <c r="E281" s="402" t="str">
        <f>IF(VLOOKUP(A281,'Charriage - Geschiebehaushalt'!$A$4:$AC$275,28,FALSE)="","",VLOOKUP(A281,'Charriage - Geschiebehaushalt'!$A$4:$AC$275,28,FALSE))</f>
        <v>21-50%</v>
      </c>
      <c r="F281" s="403" t="str">
        <f>IF(VLOOKUP(A281,'Charriage - Geschiebehaushalt'!$A$4:$AD$275,30,FALSE)="","",VLOOKUP(A281,'Charriage - Geschiebehaushalt'!$A$4:$AD$275,30,FALSE))</f>
        <v>a</v>
      </c>
      <c r="G281" s="330" t="str">
        <f>IF(VLOOKUP(A281,'Débit - Abfluss'!$A$4:$AD$275,17,FALSE)="","",VLOOKUP(A281,'Débit - Abfluss'!$A$4:$AD$275,17,FALSE))</f>
        <v>81-100%</v>
      </c>
      <c r="H281" s="404" t="str">
        <f>IF(VLOOKUP(A281,'Eclusée - Schwall-Sunk'!$A$2:$F$273,6,FALSE)="","",VLOOKUP(A281,'Eclusée - Schwall-Sunk'!$A$2:$F$273,6,FALSE))</f>
        <v>Potentiellement affecté / möglicherweise betroffen</v>
      </c>
      <c r="I281" s="405" t="str">
        <f>IF(VLOOKUP(A281,'Revitalisation-Revitalisierung'!$A$4:$Z$275,25,FALSE)="","",VLOOKUP(A281,'Revitalisation-Revitalisierung'!$A$4:$Z$275,25,FALSE))</f>
        <v>Très nécessaire, facile / unbedingt nötig, einfach</v>
      </c>
      <c r="J281" s="406" t="str">
        <f>IF(VLOOKUP(A281,'Revitalisation-Revitalisierung'!$A$4:$AA$275,27,FALSE)="","",VLOOKUP(A281,'Revitalisation-Revitalisierung'!$A$4:$AA$275,27,FALSE))</f>
        <v>a</v>
      </c>
      <c r="K281" s="407"/>
    </row>
    <row r="282" spans="1:11" ht="20.100000000000001" customHeight="1" x14ac:dyDescent="0.25">
      <c r="A282" s="929">
        <v>375</v>
      </c>
      <c r="B282" s="409" t="s">
        <v>324</v>
      </c>
      <c r="C282" s="410" t="s">
        <v>37</v>
      </c>
      <c r="D282" s="411" t="s">
        <v>274</v>
      </c>
      <c r="E282" s="402" t="str">
        <f>IF(VLOOKUP(A282,'Charriage - Geschiebehaushalt'!$A$4:$AC$275,28,FALSE)="","",VLOOKUP(A282,'Charriage - Geschiebehaushalt'!$A$4:$AC$275,28,FALSE))</f>
        <v>51-80%</v>
      </c>
      <c r="F282" s="403" t="str">
        <f>IF(VLOOKUP(A282,'Charriage - Geschiebehaushalt'!$A$4:$AD$275,30,FALSE)="","",VLOOKUP(A282,'Charriage - Geschiebehaushalt'!$A$4:$AD$275,30,FALSE))</f>
        <v>a</v>
      </c>
      <c r="G282" s="330" t="str">
        <f>IF(VLOOKUP(A282,'Débit - Abfluss'!$A$4:$AD$275,17,FALSE)="","",VLOOKUP(A282,'Débit - Abfluss'!$A$4:$AD$275,17,FALSE))</f>
        <v>81-100%</v>
      </c>
      <c r="H282" s="404" t="str">
        <f>IF(VLOOKUP(A282,'Eclusée - Schwall-Sunk'!$A$2:$F$273,6,FALSE)="","",VLOOKUP(A282,'Eclusée - Schwall-Sunk'!$A$2:$F$273,6,FALSE))</f>
        <v>Potentiellement affecté / möglicherweise betroffen</v>
      </c>
      <c r="I282" s="405" t="str">
        <f>IF(VLOOKUP(A282,'Revitalisation-Revitalisierung'!$A$4:$Z$275,25,FALSE)="","",VLOOKUP(A282,'Revitalisation-Revitalisierung'!$A$4:$Z$275,25,FALSE))</f>
        <v>Très nécessaire, facile / unbedingt nötig, einfach</v>
      </c>
      <c r="J282" s="406" t="str">
        <f>IF(VLOOKUP(A282,'Revitalisation-Revitalisierung'!$A$4:$AA$275,27,FALSE)="","",VLOOKUP(A282,'Revitalisation-Revitalisierung'!$A$4:$AA$275,27,FALSE))</f>
        <v>a</v>
      </c>
      <c r="K282" s="407"/>
    </row>
    <row r="283" spans="1:11" ht="20.100000000000001" customHeight="1" x14ac:dyDescent="0.25">
      <c r="A283" s="926">
        <v>376</v>
      </c>
      <c r="B283" s="400" t="s">
        <v>433</v>
      </c>
      <c r="C283" s="400" t="s">
        <v>37</v>
      </c>
      <c r="D283" s="401" t="s">
        <v>410</v>
      </c>
      <c r="E283" s="402" t="str">
        <f>IF(VLOOKUP(A283,'Charriage - Geschiebehaushalt'!$A$4:$AC$275,28,FALSE)="","",VLOOKUP(A283,'Charriage - Geschiebehaushalt'!$A$4:$AC$275,28,FALSE))</f>
        <v>51-80%</v>
      </c>
      <c r="F283" s="403" t="str">
        <f>IF(VLOOKUP(A283,'Charriage - Geschiebehaushalt'!$A$4:$AD$275,30,FALSE)="","",VLOOKUP(A283,'Charriage - Geschiebehaushalt'!$A$4:$AD$275,30,FALSE))</f>
        <v>a</v>
      </c>
      <c r="G283" s="330" t="str">
        <f>IF(VLOOKUP(A283,'Débit - Abfluss'!$A$4:$AD$275,17,FALSE)="","",VLOOKUP(A283,'Débit - Abfluss'!$A$4:$AD$275,17,FALSE))</f>
        <v>81-100%</v>
      </c>
      <c r="H283" s="404" t="str">
        <f>IF(VLOOKUP(A283,'Eclusée - Schwall-Sunk'!$A$2:$F$273,6,FALSE)="","",VLOOKUP(A283,'Eclusée - Schwall-Sunk'!$A$2:$F$273,6,FALSE))</f>
        <v>Potentiellement affecté / möglicherweise betroffen</v>
      </c>
      <c r="I283" s="405" t="str">
        <f>IF(VLOOKUP(A283,'Revitalisation-Revitalisierung'!$A$4:$Z$275,25,FALSE)="","",VLOOKUP(A283,'Revitalisation-Revitalisierung'!$A$4:$Z$275,25,FALSE))</f>
        <v>Très nécessaire, facile / unbedingt nötig, einfach</v>
      </c>
      <c r="J283" s="406" t="str">
        <f>IF(VLOOKUP(A283,'Revitalisation-Revitalisierung'!$A$4:$AA$275,27,FALSE)="","",VLOOKUP(A283,'Revitalisation-Revitalisierung'!$A$4:$AA$275,27,FALSE))</f>
        <v>a</v>
      </c>
      <c r="K283" s="407"/>
    </row>
    <row r="284" spans="1:11" ht="20.100000000000001" customHeight="1" x14ac:dyDescent="0.25">
      <c r="A284" s="1233">
        <v>379</v>
      </c>
      <c r="B284" s="409" t="s">
        <v>325</v>
      </c>
      <c r="C284" s="410" t="s">
        <v>326</v>
      </c>
      <c r="D284" s="411" t="s">
        <v>274</v>
      </c>
      <c r="E284" s="402" t="str">
        <f>IF(VLOOKUP(A284,'Charriage - Geschiebehaushalt'!$A$4:$AC$275,28,FALSE)="","",VLOOKUP(A284,'Charriage - Geschiebehaushalt'!$A$4:$AC$275,28,FALSE))</f>
        <v>0-20%</v>
      </c>
      <c r="F284" s="403" t="str">
        <f>IF(VLOOKUP(A284,'Charriage - Geschiebehaushalt'!$A$4:$AD$275,30,FALSE)="","",VLOOKUP(A284,'Charriage - Geschiebehaushalt'!$A$4:$AD$275,30,FALSE))</f>
        <v>a</v>
      </c>
      <c r="G284" s="330" t="str">
        <f>IF(VLOOKUP(A284,'Débit - Abfluss'!$A$4:$AD$275,17,FALSE)="","",VLOOKUP(A284,'Débit - Abfluss'!$A$4:$AD$275,17,FALSE))</f>
        <v>21-40%</v>
      </c>
      <c r="H284" s="404" t="str">
        <f>IF(VLOOKUP(A284,'Eclusée - Schwall-Sunk'!$A$2:$F$273,6,FALSE)="","",VLOOKUP(A284,'Eclusée - Schwall-Sunk'!$A$2:$F$273,6,FALSE))</f>
        <v>Non affecté / nicht betroffen</v>
      </c>
      <c r="I284" s="405" t="str">
        <f>IF(VLOOKUP(A284,'Revitalisation-Revitalisierung'!$A$4:$Z$275,25,FALSE)="","",VLOOKUP(A284,'Revitalisation-Revitalisierung'!$A$4:$Z$275,25,FALSE))</f>
        <v>Non nécessaire / nicht nötig</v>
      </c>
      <c r="J284" s="406" t="str">
        <f>IF(VLOOKUP(A284,'Revitalisation-Revitalisierung'!$A$4:$AA$275,27,FALSE)="","",VLOOKUP(A284,'Revitalisation-Revitalisierung'!$A$4:$AA$275,27,FALSE))</f>
        <v>a</v>
      </c>
      <c r="K284" s="407"/>
    </row>
    <row r="285" spans="1:11" ht="20.100000000000001" customHeight="1" x14ac:dyDescent="0.25">
      <c r="A285" s="926">
        <v>380</v>
      </c>
      <c r="B285" s="400" t="s">
        <v>327</v>
      </c>
      <c r="C285" s="400" t="s">
        <v>328</v>
      </c>
      <c r="D285" s="401" t="s">
        <v>274</v>
      </c>
      <c r="E285" s="402" t="str">
        <f>IF(VLOOKUP(A285,'Charriage - Geschiebehaushalt'!$A$4:$AC$275,28,FALSE)="","",VLOOKUP(A285,'Charriage - Geschiebehaushalt'!$A$4:$AC$275,28,FALSE))</f>
        <v>0-20%</v>
      </c>
      <c r="F285" s="403" t="str">
        <f>IF(VLOOKUP(A285,'Charriage - Geschiebehaushalt'!$A$4:$AD$275,30,FALSE)="","",VLOOKUP(A285,'Charriage - Geschiebehaushalt'!$A$4:$AD$275,30,FALSE))</f>
        <v>a</v>
      </c>
      <c r="G285" s="330" t="str">
        <f>IF(VLOOKUP(A285,'Débit - Abfluss'!$A$4:$AD$275,17,FALSE)="","",VLOOKUP(A285,'Débit - Abfluss'!$A$4:$AD$275,17,FALSE))</f>
        <v>100%</v>
      </c>
      <c r="H285" s="404" t="str">
        <f>IF(VLOOKUP(A285,'Eclusée - Schwall-Sunk'!$A$2:$F$273,6,FALSE)="","",VLOOKUP(A285,'Eclusée - Schwall-Sunk'!$A$2:$F$273,6,FALSE))</f>
        <v>Non affecté / nicht betroffen</v>
      </c>
      <c r="I285" s="405" t="str">
        <f>IF(VLOOKUP(A285,'Revitalisation-Revitalisierung'!$A$4:$Z$275,25,FALSE)="","",VLOOKUP(A285,'Revitalisation-Revitalisierung'!$A$4:$Z$275,25,FALSE))</f>
        <v>Non nécessaire / nicht nötig</v>
      </c>
      <c r="J285" s="406" t="str">
        <f>IF(VLOOKUP(A285,'Revitalisation-Revitalisierung'!$A$4:$AA$275,27,FALSE)="","",VLOOKUP(A285,'Revitalisation-Revitalisierung'!$A$4:$AA$275,27,FALSE))</f>
        <v>a</v>
      </c>
      <c r="K285" s="407"/>
    </row>
    <row r="286" spans="1:11" ht="20.100000000000001" customHeight="1" x14ac:dyDescent="0.25">
      <c r="A286" s="929">
        <v>381</v>
      </c>
      <c r="B286" s="409" t="s">
        <v>329</v>
      </c>
      <c r="C286" s="410" t="s">
        <v>284</v>
      </c>
      <c r="D286" s="411" t="s">
        <v>274</v>
      </c>
      <c r="E286" s="402" t="str">
        <f>IF(VLOOKUP(A286,'Charriage - Geschiebehaushalt'!$A$4:$AC$275,28,FALSE)="","",VLOOKUP(A286,'Charriage - Geschiebehaushalt'!$A$4:$AC$275,28,FALSE))</f>
        <v>21-50%</v>
      </c>
      <c r="F286" s="403" t="str">
        <f>IF(VLOOKUP(A286,'Charriage - Geschiebehaushalt'!$A$4:$AD$275,30,FALSE)="","",VLOOKUP(A286,'Charriage - Geschiebehaushalt'!$A$4:$AD$275,30,FALSE))</f>
        <v>a</v>
      </c>
      <c r="G286" s="330" t="str">
        <f>IF(VLOOKUP(A286,'Débit - Abfluss'!$A$4:$AD$275,17,FALSE)="","",VLOOKUP(A286,'Débit - Abfluss'!$A$4:$AD$275,17,FALSE))</f>
        <v>21-40%</v>
      </c>
      <c r="H286" s="404" t="str">
        <f>IF(VLOOKUP(A286,'Eclusée - Schwall-Sunk'!$A$2:$F$273,6,FALSE)="","",VLOOKUP(A286,'Eclusée - Schwall-Sunk'!$A$2:$F$273,6,FALSE))</f>
        <v>Potentiellement affecté / möglicherweise betroffen</v>
      </c>
      <c r="I286" s="405" t="str">
        <f>IF(VLOOKUP(A286,'Revitalisation-Revitalisierung'!$A$4:$Z$275,25,FALSE)="","",VLOOKUP(A286,'Revitalisation-Revitalisierung'!$A$4:$Z$275,25,FALSE))</f>
        <v>Très nécessaire, difficile / unbedingt nötig, schwierig</v>
      </c>
      <c r="J286" s="406" t="str">
        <f>IF(VLOOKUP(A286,'Revitalisation-Revitalisierung'!$A$4:$AA$275,27,FALSE)="","",VLOOKUP(A286,'Revitalisation-Revitalisierung'!$A$4:$AA$275,27,FALSE))</f>
        <v>a</v>
      </c>
      <c r="K286" s="407"/>
    </row>
    <row r="287" spans="1:11" ht="20.100000000000001" customHeight="1" x14ac:dyDescent="0.25">
      <c r="A287" s="929">
        <v>382</v>
      </c>
      <c r="B287" s="409" t="s">
        <v>330</v>
      </c>
      <c r="C287" s="410" t="s">
        <v>331</v>
      </c>
      <c r="D287" s="411" t="s">
        <v>274</v>
      </c>
      <c r="E287" s="402" t="str">
        <f>IF(VLOOKUP(A287,'Charriage - Geschiebehaushalt'!$A$4:$AC$275,28,FALSE)="","",VLOOKUP(A287,'Charriage - Geschiebehaushalt'!$A$4:$AC$275,28,FALSE))</f>
        <v>0-20%</v>
      </c>
      <c r="F287" s="403" t="str">
        <f>IF(VLOOKUP(A287,'Charriage - Geschiebehaushalt'!$A$4:$AD$275,30,FALSE)="","",VLOOKUP(A287,'Charriage - Geschiebehaushalt'!$A$4:$AD$275,30,FALSE))</f>
        <v>a</v>
      </c>
      <c r="G287" s="330" t="str">
        <f>IF(VLOOKUP(A287,'Débit - Abfluss'!$A$4:$AD$275,17,FALSE)="","",VLOOKUP(A287,'Débit - Abfluss'!$A$4:$AD$275,17,FALSE))</f>
        <v>Régime présumé naturel (100%) / Abfluss vermutlich natürlich</v>
      </c>
      <c r="H287" s="404" t="str">
        <f>IF(VLOOKUP(A287,'Eclusée - Schwall-Sunk'!$A$2:$F$273,6,FALSE)="","",VLOOKUP(A287,'Eclusée - Schwall-Sunk'!$A$2:$F$273,6,FALSE))</f>
        <v>Non affecté / nicht betroffen</v>
      </c>
      <c r="I287" s="405" t="str">
        <f>IF(VLOOKUP(A287,'Revitalisation-Revitalisierung'!$A$4:$Z$275,25,FALSE)="","",VLOOKUP(A287,'Revitalisation-Revitalisierung'!$A$4:$Z$275,25,FALSE))</f>
        <v>Non nécessaire / nicht nötig</v>
      </c>
      <c r="J287" s="406" t="str">
        <f>IF(VLOOKUP(A287,'Revitalisation-Revitalisierung'!$A$4:$AA$275,27,FALSE)="","",VLOOKUP(A287,'Revitalisation-Revitalisierung'!$A$4:$AA$275,27,FALSE))</f>
        <v>a</v>
      </c>
      <c r="K287" s="407"/>
    </row>
    <row r="288" spans="1:11" ht="20.100000000000001" customHeight="1" x14ac:dyDescent="0.25">
      <c r="A288" s="929">
        <v>383</v>
      </c>
      <c r="B288" s="409" t="s">
        <v>332</v>
      </c>
      <c r="C288" s="410" t="s">
        <v>331</v>
      </c>
      <c r="D288" s="411" t="s">
        <v>274</v>
      </c>
      <c r="E288" s="402" t="str">
        <f>IF(VLOOKUP(A288,'Charriage - Geschiebehaushalt'!$A$4:$AC$275,28,FALSE)="","",VLOOKUP(A288,'Charriage - Geschiebehaushalt'!$A$4:$AC$275,28,FALSE))</f>
        <v>0-20%</v>
      </c>
      <c r="F288" s="403" t="str">
        <f>IF(VLOOKUP(A288,'Charriage - Geschiebehaushalt'!$A$4:$AD$275,30,FALSE)="","",VLOOKUP(A288,'Charriage - Geschiebehaushalt'!$A$4:$AD$275,30,FALSE))</f>
        <v>a</v>
      </c>
      <c r="G288" s="330" t="str">
        <f>IF(VLOOKUP(A288,'Débit - Abfluss'!$A$4:$AD$275,17,FALSE)="","",VLOOKUP(A288,'Débit - Abfluss'!$A$4:$AD$275,17,FALSE))</f>
        <v>41-60%</v>
      </c>
      <c r="H288" s="404" t="str">
        <f>IF(VLOOKUP(A288,'Eclusée - Schwall-Sunk'!$A$2:$F$273,6,FALSE)="","",VLOOKUP(A288,'Eclusée - Schwall-Sunk'!$A$2:$F$273,6,FALSE))</f>
        <v>Non affecté / nicht betroffen</v>
      </c>
      <c r="I288" s="405" t="str">
        <f>IF(VLOOKUP(A288,'Revitalisation-Revitalisierung'!$A$4:$Z$275,25,FALSE)="","",VLOOKUP(A288,'Revitalisation-Revitalisierung'!$A$4:$Z$275,25,FALSE))</f>
        <v>Non nécessaire / nicht nötig</v>
      </c>
      <c r="J288" s="406" t="str">
        <f>IF(VLOOKUP(A288,'Revitalisation-Revitalisierung'!$A$4:$AA$275,27,FALSE)="","",VLOOKUP(A288,'Revitalisation-Revitalisierung'!$A$4:$AA$275,27,FALSE))</f>
        <v>a</v>
      </c>
      <c r="K288" s="407"/>
    </row>
    <row r="289" spans="1:11" ht="20.100000000000001" customHeight="1" x14ac:dyDescent="0.25">
      <c r="A289" s="929">
        <v>384</v>
      </c>
      <c r="B289" s="409" t="s">
        <v>333</v>
      </c>
      <c r="C289" s="410" t="s">
        <v>331</v>
      </c>
      <c r="D289" s="411" t="s">
        <v>274</v>
      </c>
      <c r="E289" s="402" t="str">
        <f>IF(VLOOKUP(A289,'Charriage - Geschiebehaushalt'!$A$4:$AC$275,28,FALSE)="","",VLOOKUP(A289,'Charriage - Geschiebehaushalt'!$A$4:$AC$275,28,FALSE))</f>
        <v>0-20%</v>
      </c>
      <c r="F289" s="403" t="str">
        <f>IF(VLOOKUP(A289,'Charriage - Geschiebehaushalt'!$A$4:$AD$275,30,FALSE)="","",VLOOKUP(A289,'Charriage - Geschiebehaushalt'!$A$4:$AD$275,30,FALSE))</f>
        <v>a</v>
      </c>
      <c r="G289" s="330" t="str">
        <f>IF(VLOOKUP(A289,'Débit - Abfluss'!$A$4:$AD$275,17,FALSE)="","",VLOOKUP(A289,'Débit - Abfluss'!$A$4:$AD$275,17,FALSE))</f>
        <v>61-80%</v>
      </c>
      <c r="H289" s="404" t="str">
        <f>IF(VLOOKUP(A289,'Eclusée - Schwall-Sunk'!$A$2:$F$273,6,FALSE)="","",VLOOKUP(A289,'Eclusée - Schwall-Sunk'!$A$2:$F$273,6,FALSE))</f>
        <v>Non affecté / nicht betroffen</v>
      </c>
      <c r="I289" s="405" t="str">
        <f>IF(VLOOKUP(A289,'Revitalisation-Revitalisierung'!$A$4:$Z$275,25,FALSE)="","",VLOOKUP(A289,'Revitalisation-Revitalisierung'!$A$4:$Z$275,25,FALSE))</f>
        <v>Partiellement nécessaire, difficile / teilweise nötig, schwierig</v>
      </c>
      <c r="J289" s="406" t="str">
        <f>IF(VLOOKUP(A289,'Revitalisation-Revitalisierung'!$A$4:$AA$275,27,FALSE)="","",VLOOKUP(A289,'Revitalisation-Revitalisierung'!$A$4:$AA$275,27,FALSE))</f>
        <v>a</v>
      </c>
      <c r="K289" s="407"/>
    </row>
    <row r="290" spans="1:11" ht="20.100000000000001" customHeight="1" x14ac:dyDescent="0.25">
      <c r="A290" s="1233">
        <v>385</v>
      </c>
      <c r="B290" s="409" t="s">
        <v>334</v>
      </c>
      <c r="C290" s="410" t="s">
        <v>335</v>
      </c>
      <c r="D290" s="411" t="s">
        <v>274</v>
      </c>
      <c r="E290" s="402" t="str">
        <f>IF(VLOOKUP(A290,'Charriage - Geschiebehaushalt'!$A$4:$AC$275,28,FALSE)="","",VLOOKUP(A290,'Charriage - Geschiebehaushalt'!$A$4:$AC$275,28,FALSE))</f>
        <v>0-20%</v>
      </c>
      <c r="F290" s="403" t="str">
        <f>IF(VLOOKUP(A290,'Charriage - Geschiebehaushalt'!$A$4:$AD$275,30,FALSE)="","",VLOOKUP(A290,'Charriage - Geschiebehaushalt'!$A$4:$AD$275,30,FALSE))</f>
        <v>a</v>
      </c>
      <c r="G290" s="330" t="str">
        <f>IF(VLOOKUP(A290,'Débit - Abfluss'!$A$4:$AD$275,17,FALSE)="","",VLOOKUP(A290,'Débit - Abfluss'!$A$4:$AD$275,17,FALSE))</f>
        <v>81-100%</v>
      </c>
      <c r="H290" s="404" t="str">
        <f>IF(VLOOKUP(A290,'Eclusée - Schwall-Sunk'!$A$2:$F$273,6,FALSE)="","",VLOOKUP(A290,'Eclusée - Schwall-Sunk'!$A$2:$F$273,6,FALSE))</f>
        <v>Potentiellement affecté / möglicherweise betroffen</v>
      </c>
      <c r="I290" s="405" t="str">
        <f>IF(VLOOKUP(A290,'Revitalisation-Revitalisierung'!$A$4:$Z$275,25,FALSE)="","",VLOOKUP(A290,'Revitalisation-Revitalisierung'!$A$4:$Z$275,25,FALSE))</f>
        <v>Non nécessaire / nicht nötig</v>
      </c>
      <c r="J290" s="406" t="str">
        <f>IF(VLOOKUP(A290,'Revitalisation-Revitalisierung'!$A$4:$AA$275,27,FALSE)="","",VLOOKUP(A290,'Revitalisation-Revitalisierung'!$A$4:$AA$275,27,FALSE))</f>
        <v>a</v>
      </c>
      <c r="K290" s="407"/>
    </row>
    <row r="291" spans="1:11" ht="20.100000000000001" customHeight="1" x14ac:dyDescent="0.25">
      <c r="A291" s="932">
        <v>386</v>
      </c>
      <c r="B291" s="409" t="s">
        <v>336</v>
      </c>
      <c r="C291" s="410" t="s">
        <v>337</v>
      </c>
      <c r="D291" s="411" t="s">
        <v>274</v>
      </c>
      <c r="E291" s="402" t="str">
        <f>IF(VLOOKUP(A291,'Charriage - Geschiebehaushalt'!$A$4:$AC$275,28,FALSE)="","",VLOOKUP(A291,'Charriage - Geschiebehaushalt'!$A$4:$AC$275,28,FALSE))</f>
        <v>0-20%</v>
      </c>
      <c r="F291" s="403" t="str">
        <f>IF(VLOOKUP(A291,'Charriage - Geschiebehaushalt'!$A$4:$AD$275,30,FALSE)="","",VLOOKUP(A291,'Charriage - Geschiebehaushalt'!$A$4:$AD$275,30,FALSE))</f>
        <v>a</v>
      </c>
      <c r="G291" s="330" t="str">
        <f>IF(VLOOKUP(A291,'Débit - Abfluss'!$A$4:$AD$275,17,FALSE)="","",VLOOKUP(A291,'Débit - Abfluss'!$A$4:$AD$275,17,FALSE))</f>
        <v>0-20%</v>
      </c>
      <c r="H291" s="404" t="str">
        <f>IF(VLOOKUP(A291,'Eclusée - Schwall-Sunk'!$A$2:$F$273,6,FALSE)="","",VLOOKUP(A291,'Eclusée - Schwall-Sunk'!$A$2:$F$273,6,FALSE))</f>
        <v>Non affecté / nicht betroffen</v>
      </c>
      <c r="I291" s="405" t="str">
        <f>IF(VLOOKUP(A291,'Revitalisation-Revitalisierung'!$A$4:$Z$275,25,FALSE)="","",VLOOKUP(A291,'Revitalisation-Revitalisierung'!$A$4:$Z$275,25,FALSE))</f>
        <v>Non nécessaire / nicht nötig</v>
      </c>
      <c r="J291" s="406" t="str">
        <f>IF(VLOOKUP(A291,'Revitalisation-Revitalisierung'!$A$4:$AA$275,27,FALSE)="","",VLOOKUP(A291,'Revitalisation-Revitalisierung'!$A$4:$AA$275,27,FALSE))</f>
        <v>a</v>
      </c>
      <c r="K291" s="407"/>
    </row>
    <row r="292" spans="1:11" ht="20.100000000000001" customHeight="1" x14ac:dyDescent="0.25">
      <c r="A292" s="1233">
        <v>387</v>
      </c>
      <c r="B292" s="409" t="s">
        <v>338</v>
      </c>
      <c r="C292" s="410" t="s">
        <v>337</v>
      </c>
      <c r="D292" s="411" t="s">
        <v>274</v>
      </c>
      <c r="E292" s="402" t="str">
        <f>IF(VLOOKUP(A292,'Charriage - Geschiebehaushalt'!$A$4:$AC$275,28,FALSE)="","",VLOOKUP(A292,'Charriage - Geschiebehaushalt'!$A$4:$AC$275,28,FALSE))</f>
        <v>0-20%</v>
      </c>
      <c r="F292" s="403" t="str">
        <f>IF(VLOOKUP(A292,'Charriage - Geschiebehaushalt'!$A$4:$AD$275,30,FALSE)="","",VLOOKUP(A292,'Charriage - Geschiebehaushalt'!$A$4:$AD$275,30,FALSE))</f>
        <v>a</v>
      </c>
      <c r="G292" s="330" t="str">
        <f>IF(VLOOKUP(A292,'Débit - Abfluss'!$A$4:$AD$275,17,FALSE)="","",VLOOKUP(A292,'Débit - Abfluss'!$A$4:$AD$275,17,FALSE))</f>
        <v>0-20%</v>
      </c>
      <c r="H292" s="404" t="str">
        <f>IF(VLOOKUP(A292,'Eclusée - Schwall-Sunk'!$A$2:$F$273,6,FALSE)="","",VLOOKUP(A292,'Eclusée - Schwall-Sunk'!$A$2:$F$273,6,FALSE))</f>
        <v>Non affecté / nicht betroffen</v>
      </c>
      <c r="I292" s="405" t="str">
        <f>IF(VLOOKUP(A292,'Revitalisation-Revitalisierung'!$A$4:$Z$275,25,FALSE)="","",VLOOKUP(A292,'Revitalisation-Revitalisierung'!$A$4:$Z$275,25,FALSE))</f>
        <v>Non nécessaire / nicht nötig</v>
      </c>
      <c r="J292" s="406" t="str">
        <f>IF(VLOOKUP(A292,'Revitalisation-Revitalisierung'!$A$4:$AA$275,27,FALSE)="","",VLOOKUP(A292,'Revitalisation-Revitalisierung'!$A$4:$AA$275,27,FALSE))</f>
        <v>a</v>
      </c>
      <c r="K292" s="407"/>
    </row>
    <row r="293" spans="1:11" ht="20.100000000000001" customHeight="1" x14ac:dyDescent="0.25">
      <c r="A293" s="929">
        <v>388</v>
      </c>
      <c r="B293" s="409" t="s">
        <v>339</v>
      </c>
      <c r="C293" s="410" t="s">
        <v>340</v>
      </c>
      <c r="D293" s="411" t="s">
        <v>274</v>
      </c>
      <c r="E293" s="402" t="str">
        <f>IF(VLOOKUP(A293,'Charriage - Geschiebehaushalt'!$A$4:$AC$275,28,FALSE)="","",VLOOKUP(A293,'Charriage - Geschiebehaushalt'!$A$4:$AC$275,28,FALSE))</f>
        <v>0-20%</v>
      </c>
      <c r="F293" s="403" t="str">
        <f>IF(VLOOKUP(A293,'Charriage - Geschiebehaushalt'!$A$4:$AD$275,30,FALSE)="","",VLOOKUP(A293,'Charriage - Geschiebehaushalt'!$A$4:$AD$275,30,FALSE))</f>
        <v>a</v>
      </c>
      <c r="G293" s="330" t="str">
        <f>IF(VLOOKUP(A293,'Débit - Abfluss'!$A$4:$AD$275,17,FALSE)="","",VLOOKUP(A293,'Débit - Abfluss'!$A$4:$AD$275,17,FALSE))</f>
        <v>21-40%</v>
      </c>
      <c r="H293" s="404" t="str">
        <f>IF(VLOOKUP(A293,'Eclusée - Schwall-Sunk'!$A$2:$F$273,6,FALSE)="","",VLOOKUP(A293,'Eclusée - Schwall-Sunk'!$A$2:$F$273,6,FALSE))</f>
        <v>Potentiellement affecté / möglicherweise betroffen</v>
      </c>
      <c r="I293" s="405" t="str">
        <f>IF(VLOOKUP(A293,'Revitalisation-Revitalisierung'!$A$4:$Z$275,25,FALSE)="","",VLOOKUP(A293,'Revitalisation-Revitalisierung'!$A$4:$Z$275,25,FALSE))</f>
        <v>Non nécessaire / nicht nötig</v>
      </c>
      <c r="J293" s="406" t="str">
        <f>IF(VLOOKUP(A293,'Revitalisation-Revitalisierung'!$A$4:$AA$275,27,FALSE)="","",VLOOKUP(A293,'Revitalisation-Revitalisierung'!$A$4:$AA$275,27,FALSE))</f>
        <v>a</v>
      </c>
      <c r="K293" s="407"/>
    </row>
    <row r="294" spans="1:11" ht="20.100000000000001" customHeight="1" x14ac:dyDescent="0.25">
      <c r="A294" s="1233">
        <v>389</v>
      </c>
      <c r="B294" s="409" t="s">
        <v>341</v>
      </c>
      <c r="C294" s="410" t="s">
        <v>342</v>
      </c>
      <c r="D294" s="411" t="s">
        <v>274</v>
      </c>
      <c r="E294" s="402" t="str">
        <f>IF(VLOOKUP(A294,'Charriage - Geschiebehaushalt'!$A$4:$AC$275,28,FALSE)="","",VLOOKUP(A294,'Charriage - Geschiebehaushalt'!$A$4:$AC$275,28,FALSE))</f>
        <v>21-50%</v>
      </c>
      <c r="F294" s="403" t="str">
        <f>IF(VLOOKUP(A294,'Charriage - Geschiebehaushalt'!$A$4:$AD$275,30,FALSE)="","",VLOOKUP(A294,'Charriage - Geschiebehaushalt'!$A$4:$AD$275,30,FALSE))</f>
        <v>a</v>
      </c>
      <c r="G294" s="330" t="str">
        <f>IF(VLOOKUP(A294,'Débit - Abfluss'!$A$4:$AD$275,17,FALSE)="","",VLOOKUP(A294,'Débit - Abfluss'!$A$4:$AD$275,17,FALSE))</f>
        <v>41-60%</v>
      </c>
      <c r="H294" s="404" t="str">
        <f>IF(VLOOKUP(A294,'Eclusée - Schwall-Sunk'!$A$2:$F$273,6,FALSE)="","",VLOOKUP(A294,'Eclusée - Schwall-Sunk'!$A$2:$F$273,6,FALSE))</f>
        <v>Potentiellement affecté / möglicherweise betroffen</v>
      </c>
      <c r="I294" s="405" t="str">
        <f>IF(VLOOKUP(A294,'Revitalisation-Revitalisierung'!$A$4:$Z$275,25,FALSE)="","",VLOOKUP(A294,'Revitalisation-Revitalisierung'!$A$4:$Z$275,25,FALSE))</f>
        <v>Partiellement nécessaire, facile / teilweise nötig, einfach</v>
      </c>
      <c r="J294" s="406" t="str">
        <f>IF(VLOOKUP(A294,'Revitalisation-Revitalisierung'!$A$4:$AA$275,27,FALSE)="","",VLOOKUP(A294,'Revitalisation-Revitalisierung'!$A$4:$AA$275,27,FALSE))</f>
        <v>a</v>
      </c>
      <c r="K294" s="407"/>
    </row>
    <row r="295" spans="1:11" ht="20.100000000000001" customHeight="1" x14ac:dyDescent="0.25">
      <c r="A295" s="1233">
        <v>390</v>
      </c>
      <c r="B295" s="409" t="s">
        <v>343</v>
      </c>
      <c r="C295" s="410" t="s">
        <v>344</v>
      </c>
      <c r="D295" s="411" t="s">
        <v>274</v>
      </c>
      <c r="E295" s="402" t="str">
        <f>IF(VLOOKUP(A295,'Charriage - Geschiebehaushalt'!$A$4:$AC$275,28,FALSE)="","",VLOOKUP(A295,'Charriage - Geschiebehaushalt'!$A$4:$AC$275,28,FALSE))</f>
        <v>0-20%</v>
      </c>
      <c r="F295" s="403" t="str">
        <f>IF(VLOOKUP(A295,'Charriage - Geschiebehaushalt'!$A$4:$AD$275,30,FALSE)="","",VLOOKUP(A295,'Charriage - Geschiebehaushalt'!$A$4:$AD$275,30,FALSE))</f>
        <v>b</v>
      </c>
      <c r="G295" s="330" t="str">
        <f>IF(VLOOKUP(A295,'Débit - Abfluss'!$A$4:$AD$275,17,FALSE)="","",VLOOKUP(A295,'Débit - Abfluss'!$A$4:$AD$275,17,FALSE))</f>
        <v>Régime présumé naturel (100%) / Abfluss vermutlich natürlich</v>
      </c>
      <c r="H295" s="404" t="str">
        <f>IF(VLOOKUP(A295,'Eclusée - Schwall-Sunk'!$A$2:$F$273,6,FALSE)="","",VLOOKUP(A295,'Eclusée - Schwall-Sunk'!$A$2:$F$273,6,FALSE))</f>
        <v>Non affecté / nicht betroffen</v>
      </c>
      <c r="I295" s="405" t="str">
        <f>IF(VLOOKUP(A295,'Revitalisation-Revitalisierung'!$A$4:$Z$275,25,FALSE)="","",VLOOKUP(A295,'Revitalisation-Revitalisierung'!$A$4:$Z$275,25,FALSE))</f>
        <v>Non nécessaire / nicht nötig</v>
      </c>
      <c r="J295" s="406" t="str">
        <f>IF(VLOOKUP(A295,'Revitalisation-Revitalisierung'!$A$4:$AA$275,27,FALSE)="","",VLOOKUP(A295,'Revitalisation-Revitalisierung'!$A$4:$AA$275,27,FALSE))</f>
        <v>a</v>
      </c>
      <c r="K295" s="407"/>
    </row>
    <row r="296" spans="1:11" ht="20.100000000000001" customHeight="1" x14ac:dyDescent="0.25">
      <c r="A296" s="1233">
        <v>391</v>
      </c>
      <c r="B296" s="409" t="s">
        <v>345</v>
      </c>
      <c r="C296" s="410" t="s">
        <v>346</v>
      </c>
      <c r="D296" s="411" t="s">
        <v>274</v>
      </c>
      <c r="E296" s="402" t="str">
        <f>IF(VLOOKUP(A296,'Charriage - Geschiebehaushalt'!$A$4:$AC$275,28,FALSE)="","",VLOOKUP(A296,'Charriage - Geschiebehaushalt'!$A$4:$AC$275,28,FALSE))</f>
        <v>21-50%</v>
      </c>
      <c r="F296" s="403" t="str">
        <f>IF(VLOOKUP(A296,'Charriage - Geschiebehaushalt'!$A$4:$AD$275,30,FALSE)="","",VLOOKUP(A296,'Charriage - Geschiebehaushalt'!$A$4:$AD$275,30,FALSE))</f>
        <v>a</v>
      </c>
      <c r="G296" s="330" t="str">
        <f>IF(VLOOKUP(A296,'Débit - Abfluss'!$A$4:$AD$275,17,FALSE)="","",VLOOKUP(A296,'Débit - Abfluss'!$A$4:$AD$275,17,FALSE))</f>
        <v>21-40%</v>
      </c>
      <c r="H296" s="404" t="str">
        <f>IF(VLOOKUP(A296,'Eclusée - Schwall-Sunk'!$A$2:$F$273,6,FALSE)="","",VLOOKUP(A296,'Eclusée - Schwall-Sunk'!$A$2:$F$273,6,FALSE))</f>
        <v>Non affecté / nicht betroffen</v>
      </c>
      <c r="I296" s="405" t="str">
        <f>IF(VLOOKUP(A296,'Revitalisation-Revitalisierung'!$A$4:$Z$275,25,FALSE)="","",VLOOKUP(A296,'Revitalisation-Revitalisierung'!$A$4:$Z$275,25,FALSE))</f>
        <v>Partiellement nécessaire, difficile / teilweise nötig, schwierig</v>
      </c>
      <c r="J296" s="406" t="str">
        <f>IF(VLOOKUP(A296,'Revitalisation-Revitalisierung'!$A$4:$AA$275,27,FALSE)="","",VLOOKUP(A296,'Revitalisation-Revitalisierung'!$A$4:$AA$275,27,FALSE))</f>
        <v>a</v>
      </c>
      <c r="K296" s="407"/>
    </row>
    <row r="297" spans="1:11" ht="20.100000000000001" customHeight="1" x14ac:dyDescent="0.25">
      <c r="A297" s="1233">
        <v>392</v>
      </c>
      <c r="B297" s="409" t="s">
        <v>347</v>
      </c>
      <c r="C297" s="410" t="s">
        <v>348</v>
      </c>
      <c r="D297" s="411" t="s">
        <v>274</v>
      </c>
      <c r="E297" s="402" t="str">
        <f>IF(VLOOKUP(A297,'Charriage - Geschiebehaushalt'!$A$4:$AC$275,28,FALSE)="","",VLOOKUP(A297,'Charriage - Geschiebehaushalt'!$A$4:$AC$275,28,FALSE))</f>
        <v>21-50%</v>
      </c>
      <c r="F297" s="403" t="str">
        <f>IF(VLOOKUP(A297,'Charriage - Geschiebehaushalt'!$A$4:$AD$275,30,FALSE)="","",VLOOKUP(A297,'Charriage - Geschiebehaushalt'!$A$4:$AD$275,30,FALSE))</f>
        <v>a</v>
      </c>
      <c r="G297" s="330" t="str">
        <f>IF(VLOOKUP(A297,'Débit - Abfluss'!$A$4:$AD$275,17,FALSE)="","",VLOOKUP(A297,'Débit - Abfluss'!$A$4:$AD$275,17,FALSE))</f>
        <v>0-20%</v>
      </c>
      <c r="H297" s="404" t="str">
        <f>IF(VLOOKUP(A297,'Eclusée - Schwall-Sunk'!$A$2:$F$273,6,FALSE)="","",VLOOKUP(A297,'Eclusée - Schwall-Sunk'!$A$2:$F$273,6,FALSE))</f>
        <v>Potentiellement affecté / möglicherweise betroffen</v>
      </c>
      <c r="I297" s="405" t="str">
        <f>IF(VLOOKUP(A297,'Revitalisation-Revitalisierung'!$A$4:$Z$275,25,FALSE)="","",VLOOKUP(A297,'Revitalisation-Revitalisierung'!$A$4:$Z$275,25,FALSE))</f>
        <v>Non nécessaire / nicht nötig</v>
      </c>
      <c r="J297" s="406" t="str">
        <f>IF(VLOOKUP(A297,'Revitalisation-Revitalisierung'!$A$4:$AA$275,27,FALSE)="","",VLOOKUP(A297,'Revitalisation-Revitalisierung'!$A$4:$AA$275,27,FALSE))</f>
        <v>a</v>
      </c>
      <c r="K297" s="407"/>
    </row>
    <row r="298" spans="1:11" ht="20.100000000000001" customHeight="1" x14ac:dyDescent="0.25">
      <c r="A298" s="926">
        <v>393</v>
      </c>
      <c r="B298" s="400" t="s">
        <v>349</v>
      </c>
      <c r="C298" s="400" t="s">
        <v>350</v>
      </c>
      <c r="D298" s="401" t="s">
        <v>274</v>
      </c>
      <c r="E298" s="402" t="str">
        <f>IF(VLOOKUP(A298,'Charriage - Geschiebehaushalt'!$A$4:$AC$275,28,FALSE)="","",VLOOKUP(A298,'Charriage - Geschiebehaushalt'!$A$4:$AC$275,28,FALSE))</f>
        <v>0-20%</v>
      </c>
      <c r="F298" s="403" t="str">
        <f>IF(VLOOKUP(A298,'Charriage - Geschiebehaushalt'!$A$4:$AD$275,30,FALSE)="","",VLOOKUP(A298,'Charriage - Geschiebehaushalt'!$A$4:$AD$275,30,FALSE))</f>
        <v>b</v>
      </c>
      <c r="G298" s="330" t="str">
        <f>IF(VLOOKUP(A298,'Débit - Abfluss'!$A$4:$AD$275,17,FALSE)="","",VLOOKUP(A298,'Débit - Abfluss'!$A$4:$AD$275,17,FALSE))</f>
        <v>100%</v>
      </c>
      <c r="H298" s="404" t="str">
        <f>IF(VLOOKUP(A298,'Eclusée - Schwall-Sunk'!$A$2:$F$273,6,FALSE)="","",VLOOKUP(A298,'Eclusée - Schwall-Sunk'!$A$2:$F$273,6,FALSE))</f>
        <v>Non affecté / nicht betroffen</v>
      </c>
      <c r="I298" s="405" t="str">
        <f>IF(VLOOKUP(A298,'Revitalisation-Revitalisierung'!$A$4:$Z$275,25,FALSE)="","",VLOOKUP(A298,'Revitalisation-Revitalisierung'!$A$4:$Z$275,25,FALSE))</f>
        <v>Non nécessaire / nicht nötig</v>
      </c>
      <c r="J298" s="406" t="str">
        <f>IF(VLOOKUP(A298,'Revitalisation-Revitalisierung'!$A$4:$AA$275,27,FALSE)="","",VLOOKUP(A298,'Revitalisation-Revitalisierung'!$A$4:$AA$275,27,FALSE))</f>
        <v>a</v>
      </c>
      <c r="K298" s="407"/>
    </row>
    <row r="299" spans="1:11" ht="20.100000000000001" customHeight="1" x14ac:dyDescent="0.25">
      <c r="A299" s="926">
        <v>394</v>
      </c>
      <c r="B299" s="400" t="s">
        <v>351</v>
      </c>
      <c r="C299" s="400" t="s">
        <v>351</v>
      </c>
      <c r="D299" s="401" t="s">
        <v>274</v>
      </c>
      <c r="E299" s="402" t="str">
        <f>IF(VLOOKUP(A299,'Charriage - Geschiebehaushalt'!$A$4:$AC$275,28,FALSE)="","",VLOOKUP(A299,'Charriage - Geschiebehaushalt'!$A$4:$AC$275,28,FALSE))</f>
        <v>21-50%</v>
      </c>
      <c r="F299" s="403" t="str">
        <f>IF(VLOOKUP(A299,'Charriage - Geschiebehaushalt'!$A$4:$AD$275,30,FALSE)="","",VLOOKUP(A299,'Charriage - Geschiebehaushalt'!$A$4:$AD$275,30,FALSE))</f>
        <v>b</v>
      </c>
      <c r="G299" s="330" t="str">
        <f>IF(VLOOKUP(A299,'Débit - Abfluss'!$A$4:$AD$275,17,FALSE)="","",VLOOKUP(A299,'Débit - Abfluss'!$A$4:$AD$275,17,FALSE))</f>
        <v>0-20%</v>
      </c>
      <c r="H299" s="404" t="str">
        <f>IF(VLOOKUP(A299,'Eclusée - Schwall-Sunk'!$A$2:$F$273,6,FALSE)="","",VLOOKUP(A299,'Eclusée - Schwall-Sunk'!$A$2:$F$273,6,FALSE))</f>
        <v>Non affecté / nicht betroffen</v>
      </c>
      <c r="I299" s="405" t="str">
        <f>IF(VLOOKUP(A299,'Revitalisation-Revitalisierung'!$A$4:$Z$275,25,FALSE)="","",VLOOKUP(A299,'Revitalisation-Revitalisierung'!$A$4:$Z$275,25,FALSE))</f>
        <v>Très nécessaire, difficile / unbedingt nötig, schwierig</v>
      </c>
      <c r="J299" s="406" t="str">
        <f>IF(VLOOKUP(A299,'Revitalisation-Revitalisierung'!$A$4:$AA$275,27,FALSE)="","",VLOOKUP(A299,'Revitalisation-Revitalisierung'!$A$4:$AA$275,27,FALSE))</f>
        <v>a</v>
      </c>
      <c r="K299" s="407"/>
    </row>
    <row r="300" spans="1:11" ht="20.100000000000001" customHeight="1" x14ac:dyDescent="0.25">
      <c r="A300" s="1233">
        <v>395</v>
      </c>
      <c r="B300" s="409" t="s">
        <v>352</v>
      </c>
      <c r="C300" s="410" t="s">
        <v>353</v>
      </c>
      <c r="D300" s="411" t="s">
        <v>274</v>
      </c>
      <c r="E300" s="402" t="str">
        <f>IF(VLOOKUP(A300,'Charriage - Geschiebehaushalt'!$A$4:$AC$275,28,FALSE)="","",VLOOKUP(A300,'Charriage - Geschiebehaushalt'!$A$4:$AC$275,28,FALSE))</f>
        <v>0-20%</v>
      </c>
      <c r="F300" s="403" t="str">
        <f>IF(VLOOKUP(A300,'Charriage - Geschiebehaushalt'!$A$4:$AD$275,30,FALSE)="","",VLOOKUP(A300,'Charriage - Geschiebehaushalt'!$A$4:$AD$275,30,FALSE))</f>
        <v>b</v>
      </c>
      <c r="G300" s="330" t="str">
        <f>IF(VLOOKUP(A300,'Débit - Abfluss'!$A$4:$AD$275,17,FALSE)="","",VLOOKUP(A300,'Débit - Abfluss'!$A$4:$AD$275,17,FALSE))</f>
        <v>0-20%</v>
      </c>
      <c r="H300" s="404" t="str">
        <f>IF(VLOOKUP(A300,'Eclusée - Schwall-Sunk'!$A$2:$F$273,6,FALSE)="","",VLOOKUP(A300,'Eclusée - Schwall-Sunk'!$A$2:$F$273,6,FALSE))</f>
        <v>Non affecté / nicht betroffen</v>
      </c>
      <c r="I300" s="405" t="str">
        <f>IF(VLOOKUP(A300,'Revitalisation-Revitalisierung'!$A$4:$Z$275,25,FALSE)="","",VLOOKUP(A300,'Revitalisation-Revitalisierung'!$A$4:$Z$275,25,FALSE))</f>
        <v>Non nécessaire / nicht nötig</v>
      </c>
      <c r="J300" s="406" t="str">
        <f>IF(VLOOKUP(A300,'Revitalisation-Revitalisierung'!$A$4:$AA$275,27,FALSE)="","",VLOOKUP(A300,'Revitalisation-Revitalisierung'!$A$4:$AA$275,27,FALSE))</f>
        <v>a</v>
      </c>
      <c r="K300" s="407"/>
    </row>
    <row r="301" spans="1:11" ht="20.100000000000001" customHeight="1" x14ac:dyDescent="0.25">
      <c r="A301" s="1234">
        <v>396</v>
      </c>
      <c r="B301" s="400" t="s">
        <v>354</v>
      </c>
      <c r="C301" s="400" t="s">
        <v>354</v>
      </c>
      <c r="D301" s="401" t="s">
        <v>274</v>
      </c>
      <c r="E301" s="402" t="str">
        <f>IF(VLOOKUP(A301,'Charriage - Geschiebehaushalt'!$A$4:$AC$275,28,FALSE)="","",VLOOKUP(A301,'Charriage - Geschiebehaushalt'!$A$4:$AC$275,28,FALSE))</f>
        <v>0-20%</v>
      </c>
      <c r="F301" s="403" t="str">
        <f>IF(VLOOKUP(A301,'Charriage - Geschiebehaushalt'!$A$4:$AD$275,30,FALSE)="","",VLOOKUP(A301,'Charriage - Geschiebehaushalt'!$A$4:$AD$275,30,FALSE))</f>
        <v>b</v>
      </c>
      <c r="G301" s="330" t="str">
        <f>IF(VLOOKUP(A301,'Débit - Abfluss'!$A$4:$AD$275,17,FALSE)="","",VLOOKUP(A301,'Débit - Abfluss'!$A$4:$AD$275,17,FALSE))</f>
        <v>100%</v>
      </c>
      <c r="H301" s="404" t="str">
        <f>IF(VLOOKUP(A301,'Eclusée - Schwall-Sunk'!$A$2:$F$273,6,FALSE)="","",VLOOKUP(A301,'Eclusée - Schwall-Sunk'!$A$2:$F$273,6,FALSE))</f>
        <v>Non affecté / nicht betroffen</v>
      </c>
      <c r="I301" s="405" t="str">
        <f>IF(VLOOKUP(A301,'Revitalisation-Revitalisierung'!$A$4:$Z$275,25,FALSE)="","",VLOOKUP(A301,'Revitalisation-Revitalisierung'!$A$4:$Z$275,25,FALSE))</f>
        <v>Non nécessaire / nicht nötig</v>
      </c>
      <c r="J301" s="406" t="str">
        <f>IF(VLOOKUP(A301,'Revitalisation-Revitalisierung'!$A$4:$AA$275,27,FALSE)="","",VLOOKUP(A301,'Revitalisation-Revitalisierung'!$A$4:$AA$275,27,FALSE))</f>
        <v>a</v>
      </c>
      <c r="K301" s="407"/>
    </row>
    <row r="302" spans="1:11" ht="20.100000000000001" customHeight="1" x14ac:dyDescent="0.25">
      <c r="A302" s="1235">
        <v>397</v>
      </c>
      <c r="B302" s="409" t="s">
        <v>356</v>
      </c>
      <c r="C302" s="410" t="s">
        <v>357</v>
      </c>
      <c r="D302" s="411" t="s">
        <v>274</v>
      </c>
      <c r="E302" s="402" t="str">
        <f>IF(VLOOKUP(A302,'Charriage - Geschiebehaushalt'!$A$4:$AC$275,28,FALSE)="","",VLOOKUP(A302,'Charriage - Geschiebehaushalt'!$A$4:$AC$275,28,FALSE))</f>
        <v>0-20%</v>
      </c>
      <c r="F302" s="403" t="str">
        <f>IF(VLOOKUP(A302,'Charriage - Geschiebehaushalt'!$A$4:$AD$275,30,FALSE)="","",VLOOKUP(A302,'Charriage - Geschiebehaushalt'!$A$4:$AD$275,30,FALSE))</f>
        <v>b</v>
      </c>
      <c r="G302" s="330" t="str">
        <f>IF(VLOOKUP(A302,'Débit - Abfluss'!$A$4:$AD$275,17,FALSE)="","",VLOOKUP(A302,'Débit - Abfluss'!$A$4:$AD$275,17,FALSE))</f>
        <v>Régime présumé naturel (100%) / Abfluss vermutlich natürlich</v>
      </c>
      <c r="H302" s="404" t="str">
        <f>IF(VLOOKUP(A302,'Eclusée - Schwall-Sunk'!$A$2:$F$273,6,FALSE)="","",VLOOKUP(A302,'Eclusée - Schwall-Sunk'!$A$2:$F$273,6,FALSE))</f>
        <v>Non affecté / nicht betroffen</v>
      </c>
      <c r="I302" s="405" t="str">
        <f>IF(VLOOKUP(A302,'Revitalisation-Revitalisierung'!$A$4:$Z$275,25,FALSE)="","",VLOOKUP(A302,'Revitalisation-Revitalisierung'!$A$4:$Z$275,25,FALSE))</f>
        <v>Non nécessaire / nicht nötig</v>
      </c>
      <c r="J302" s="406" t="str">
        <f>IF(VLOOKUP(A302,'Revitalisation-Revitalisierung'!$A$4:$AA$275,27,FALSE)="","",VLOOKUP(A302,'Revitalisation-Revitalisierung'!$A$4:$AA$275,27,FALSE))</f>
        <v>a</v>
      </c>
      <c r="K302" s="407"/>
    </row>
    <row r="303" spans="1:11" ht="20.100000000000001" customHeight="1" x14ac:dyDescent="0.25">
      <c r="A303" s="934">
        <v>398</v>
      </c>
      <c r="B303" s="409" t="s">
        <v>550</v>
      </c>
      <c r="C303" s="410" t="s">
        <v>484</v>
      </c>
      <c r="D303" s="411" t="s">
        <v>482</v>
      </c>
      <c r="E303" s="402" t="str">
        <f>IF(VLOOKUP(A303,'Charriage - Geschiebehaushalt'!$A$4:$AC$275,28,FALSE)="","",VLOOKUP(A303,'Charriage - Geschiebehaushalt'!$A$4:$AC$275,28,FALSE))</f>
        <v>81-100%</v>
      </c>
      <c r="F303" s="403" t="str">
        <f>IF(VLOOKUP(A303,'Charriage - Geschiebehaushalt'!$A$4:$AD$275,30,FALSE)="","",VLOOKUP(A303,'Charriage - Geschiebehaushalt'!$A$4:$AD$275,30,FALSE))</f>
        <v>a</v>
      </c>
      <c r="G303" s="330" t="str">
        <f>IF(VLOOKUP(A303,'Débit - Abfluss'!$A$4:$AD$275,17,FALSE)="","",VLOOKUP(A303,'Débit - Abfluss'!$A$4:$AD$275,17,FALSE))</f>
        <v>81-100%</v>
      </c>
      <c r="H303" s="404" t="str">
        <f>IF(VLOOKUP(A303,'Eclusée - Schwall-Sunk'!$A$2:$F$273,6,FALSE)="","",VLOOKUP(A303,'Eclusée - Schwall-Sunk'!$A$2:$F$273,6,FALSE))</f>
        <v>Potentiellement affecté / möglicherweise betroffen</v>
      </c>
      <c r="I303" s="405" t="str">
        <f>IF(VLOOKUP(A303,'Revitalisation-Revitalisierung'!$A$4:$Z$275,25,FALSE)="","",VLOOKUP(A303,'Revitalisation-Revitalisierung'!$A$4:$Z$275,25,FALSE))</f>
        <v>Très nécessaire, facile / unbedingt nötig, einfach</v>
      </c>
      <c r="J303" s="406" t="str">
        <f>IF(VLOOKUP(A303,'Revitalisation-Revitalisierung'!$A$4:$AA$275,27,FALSE)="","",VLOOKUP(A303,'Revitalisation-Revitalisierung'!$A$4:$AA$275,27,FALSE))</f>
        <v>a</v>
      </c>
      <c r="K303" s="407"/>
    </row>
    <row r="304" spans="1:11" ht="20.100000000000001" customHeight="1" x14ac:dyDescent="0.25">
      <c r="A304" s="933">
        <v>399</v>
      </c>
      <c r="B304" s="409" t="s">
        <v>372</v>
      </c>
      <c r="C304" s="410" t="s">
        <v>363</v>
      </c>
      <c r="D304" s="411" t="s">
        <v>361</v>
      </c>
      <c r="E304" s="402" t="str">
        <f>IF(VLOOKUP(A304,'Charriage - Geschiebehaushalt'!$A$4:$AC$275,28,FALSE)="","",VLOOKUP(A304,'Charriage - Geschiebehaushalt'!$A$4:$AC$275,28,FALSE))</f>
        <v>21-50%</v>
      </c>
      <c r="F304" s="403" t="str">
        <f>IF(VLOOKUP(A304,'Charriage - Geschiebehaushalt'!$A$4:$AD$275,30,FALSE)="","",VLOOKUP(A304,'Charriage - Geschiebehaushalt'!$A$4:$AD$275,30,FALSE))</f>
        <v>b</v>
      </c>
      <c r="G304" s="330" t="str">
        <f>IF(VLOOKUP(A304,'Débit - Abfluss'!$A$4:$AD$275,17,FALSE)="","",VLOOKUP(A304,'Débit - Abfluss'!$A$4:$AD$275,17,FALSE))</f>
        <v>81-100%</v>
      </c>
      <c r="H304" s="404" t="str">
        <f>IF(VLOOKUP(A304,'Eclusée - Schwall-Sunk'!$A$2:$F$273,6,FALSE)="","",VLOOKUP(A304,'Eclusée - Schwall-Sunk'!$A$2:$F$273,6,FALSE))</f>
        <v>Potentiellement affecté / möglicherweise betroffen</v>
      </c>
      <c r="I304" s="405" t="str">
        <f>IF(VLOOKUP(A304,'Revitalisation-Revitalisierung'!$A$4:$Z$275,25,FALSE)="","",VLOOKUP(A304,'Revitalisation-Revitalisierung'!$A$4:$Z$275,25,FALSE))</f>
        <v>Très nécessaire, facile / unbedingt nötig, einfach</v>
      </c>
      <c r="J304" s="406" t="str">
        <f>IF(VLOOKUP(A304,'Revitalisation-Revitalisierung'!$A$4:$AA$275,27,FALSE)="","",VLOOKUP(A304,'Revitalisation-Revitalisierung'!$A$4:$AA$275,27,FALSE))</f>
        <v>b</v>
      </c>
      <c r="K304" s="407"/>
    </row>
  </sheetData>
  <autoFilter ref="A32:J304">
    <filterColumn colId="4" showButton="0"/>
    <filterColumn colId="8" showButton="0"/>
  </autoFilter>
  <mergeCells count="2">
    <mergeCell ref="E32:F32"/>
    <mergeCell ref="I32:J32"/>
  </mergeCells>
  <conditionalFormatting sqref="F33:F304">
    <cfRule type="cellIs" dxfId="1614" priority="125" stopIfTrue="1" operator="equal">
      <formula>"81 -100%"</formula>
    </cfRule>
    <cfRule type="cellIs" dxfId="1613" priority="126" stopIfTrue="1" operator="equal">
      <formula>"0-20%"</formula>
    </cfRule>
  </conditionalFormatting>
  <conditionalFormatting sqref="F33:F304">
    <cfRule type="cellIs" dxfId="1612" priority="122" stopIfTrue="1" operator="equal">
      <formula>"non pertinent "</formula>
    </cfRule>
    <cfRule type="cellIs" dxfId="1611" priority="123" stopIfTrue="1" operator="equal">
      <formula>"21-50%"</formula>
    </cfRule>
    <cfRule type="cellIs" dxfId="1610" priority="124" stopIfTrue="1" operator="equal">
      <formula>"51-80%"</formula>
    </cfRule>
  </conditionalFormatting>
  <conditionalFormatting sqref="E33:E304">
    <cfRule type="cellIs" dxfId="1609" priority="120" stopIfTrue="1" operator="equal">
      <formula>"81-100%"</formula>
    </cfRule>
    <cfRule type="cellIs" dxfId="1608" priority="121" stopIfTrue="1" operator="equal">
      <formula>"0-20%"</formula>
    </cfRule>
  </conditionalFormatting>
  <conditionalFormatting sqref="E33:E304">
    <cfRule type="cellIs" dxfId="1607" priority="111" stopIfTrue="1" operator="equal">
      <formula>"Charriage présumé faiblement perturbé / Geschiebe vermutlich leicht beeinträchtigt"</formula>
    </cfRule>
    <cfRule type="cellIs" dxfId="1606" priority="112" stopIfTrue="1" operator="equal">
      <formula>"La remobilisation des sédiments est perturbée / Mobilisierung von Geschiebe beeinträchtigt"</formula>
    </cfRule>
    <cfRule type="cellIs" dxfId="1605" priority="113" stopIfTrue="1" operator="equal">
      <formula>"Problème lié à un manque de charriage ou à un manque de remobilisation des sédiments / Problem aufgrund Geschiebemangels bzw. mangelnder Mobilisierung von Geschiebe"</formula>
    </cfRule>
    <cfRule type="cellIs" dxfId="1604" priority="114" stopIfTrue="1" operator="equal">
      <formula>"Déficit non apparent en charriage ou en remobilisation des sédiments / kein sichtbares Defizit beim Geschiebehaushalt bzw. bei der Mobilisierung von Geschiebe"</formula>
    </cfRule>
    <cfRule type="cellIs" dxfId="1603" priority="115" stopIfTrue="1" operator="equal">
      <formula>"Charriage présumé perturbé / Geschiebehaushalt vermutlich beeinträchtigt"</formula>
    </cfRule>
    <cfRule type="cellIs" dxfId="1602" priority="116" stopIfTrue="1" operator="equal">
      <formula>"Charriage présumé naturel / Geschiebehaushalt vermutlich natürlich"</formula>
    </cfRule>
    <cfRule type="cellIs" dxfId="1601" priority="117" stopIfTrue="1" operator="equal">
      <formula>"non pertinent / nicht relevant"</formula>
    </cfRule>
    <cfRule type="cellIs" dxfId="1600" priority="118" stopIfTrue="1" operator="equal">
      <formula>"21-50%"</formula>
    </cfRule>
    <cfRule type="cellIs" dxfId="1599" priority="119" stopIfTrue="1" operator="equal">
      <formula>"51-80%"</formula>
    </cfRule>
  </conditionalFormatting>
  <conditionalFormatting sqref="G33:G304">
    <cfRule type="cellIs" dxfId="1598" priority="103" stopIfTrue="1" operator="equal">
      <formula>"Régime présumé naturel (100%) / Abfluss vermutlich natürlich"</formula>
    </cfRule>
    <cfRule type="cellIs" dxfId="1597" priority="104" stopIfTrue="1" operator="equal">
      <formula>"non pertinent / nicht relevant"</formula>
    </cfRule>
    <cfRule type="cellIs" dxfId="1596" priority="105" stopIfTrue="1" operator="equal">
      <formula>"61-80%"</formula>
    </cfRule>
    <cfRule type="cellIs" dxfId="1595" priority="106" stopIfTrue="1" operator="equal">
      <formula>"41-60%"</formula>
    </cfRule>
    <cfRule type="cellIs" dxfId="1594" priority="107" stopIfTrue="1" operator="equal">
      <formula>"21-40%"</formula>
    </cfRule>
    <cfRule type="cellIs" dxfId="1593" priority="108" stopIfTrue="1" operator="equal">
      <formula>"0-20%"</formula>
    </cfRule>
    <cfRule type="cellIs" dxfId="1592" priority="109" stopIfTrue="1" operator="equal">
      <formula>"81-100%"</formula>
    </cfRule>
    <cfRule type="cellIs" dxfId="1591" priority="110" stopIfTrue="1" operator="equal">
      <formula>"100%"</formula>
    </cfRule>
  </conditionalFormatting>
  <conditionalFormatting sqref="H33:H304">
    <cfRule type="cellIs" dxfId="1590" priority="100" stopIfTrue="1" operator="equal">
      <formula>"Non affecté / nicht betroffen"</formula>
    </cfRule>
    <cfRule type="cellIs" dxfId="1589" priority="101" stopIfTrue="1" operator="equal">
      <formula>"Potentiellement affecté mais non plausible / möglicherweise betroffen aber nicht nachweisbar"</formula>
    </cfRule>
    <cfRule type="cellIs" dxfId="1588" priority="102" stopIfTrue="1" operator="equal">
      <formula>"Potentiellement affecté / möglicherweise betroffen"</formula>
    </cfRule>
  </conditionalFormatting>
  <conditionalFormatting sqref="I33:I304">
    <cfRule type="cellIs" dxfId="1587" priority="1" operator="equal">
      <formula>"Partiellement nécessaire, facile"</formula>
    </cfRule>
    <cfRule type="cellIs" dxfId="1586" priority="2" operator="equal">
      <formula>"Très nécessaire, difficile"</formula>
    </cfRule>
    <cfRule type="cellIs" dxfId="1585" priority="3" operator="equal">
      <formula>"Très nécessaire, facile"</formula>
    </cfRule>
    <cfRule type="cellIs" dxfId="1584" priority="4" operator="equal">
      <formula>"Partiellement nécessaire, difficile"</formula>
    </cfRule>
    <cfRule type="cellIs" dxfId="1583" priority="94" stopIfTrue="1" operator="equal">
      <formula>"non pertinent / nicht relevant"</formula>
    </cfRule>
    <cfRule type="cellIs" dxfId="1582" priority="95" stopIfTrue="1" operator="equal">
      <formula>"Très nécessaire, difficile / unbedingt nötig, schwierig"</formula>
    </cfRule>
    <cfRule type="cellIs" dxfId="1581" priority="96" stopIfTrue="1" operator="equal">
      <formula>"Partiellement nécessaire, facile / teilweise nötig, einfach"</formula>
    </cfRule>
    <cfRule type="cellIs" dxfId="1580" priority="97" stopIfTrue="1" operator="equal">
      <formula>"Partiellement nécessaire, difficile / teilweise nötig, schwierig"</formula>
    </cfRule>
    <cfRule type="cellIs" dxfId="1579" priority="98" stopIfTrue="1" operator="equal">
      <formula>"Très nécessaire, facile / unbedingt nötig, einfach"</formula>
    </cfRule>
    <cfRule type="cellIs" dxfId="1578" priority="99" stopIfTrue="1" operator="equal">
      <formula>"Non nécessaire / nicht nötig"</formula>
    </cfRule>
  </conditionalFormatting>
  <pageMargins left="0.7" right="0.7" top="0.75" bottom="0.75" header="0.3" footer="0.3"/>
  <pageSetup paperSize="9"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85"/>
  <sheetViews>
    <sheetView topLeftCell="B8" zoomScale="85" zoomScaleNormal="85" workbookViewId="0">
      <selection activeCell="V6" sqref="V6"/>
    </sheetView>
  </sheetViews>
  <sheetFormatPr baseColWidth="10" defaultRowHeight="15" x14ac:dyDescent="0.25"/>
  <cols>
    <col min="1" max="1" width="46.42578125" customWidth="1"/>
  </cols>
  <sheetData>
    <row r="1" spans="1:16" x14ac:dyDescent="0.25">
      <c r="A1" s="342" t="s">
        <v>709</v>
      </c>
      <c r="B1" s="343"/>
      <c r="C1" s="343"/>
      <c r="D1" s="343"/>
      <c r="E1" s="343"/>
      <c r="F1" s="343"/>
      <c r="G1" s="343"/>
      <c r="H1" s="343"/>
      <c r="I1" s="343"/>
      <c r="J1" s="343"/>
      <c r="K1" s="343"/>
      <c r="L1" s="343"/>
      <c r="M1" s="343"/>
      <c r="N1" s="343"/>
      <c r="O1" s="343"/>
      <c r="P1" s="343"/>
    </row>
    <row r="2" spans="1:16" ht="60" x14ac:dyDescent="0.25">
      <c r="B2" s="1" t="s">
        <v>1525</v>
      </c>
      <c r="C2" s="344" t="s">
        <v>1526</v>
      </c>
      <c r="D2" s="345" t="s">
        <v>72</v>
      </c>
      <c r="E2" s="345"/>
      <c r="F2" s="345"/>
      <c r="G2" s="345"/>
      <c r="H2" t="s">
        <v>1527</v>
      </c>
    </row>
    <row r="3" spans="1:16" ht="30" x14ac:dyDescent="0.25">
      <c r="A3" s="1" t="s">
        <v>1528</v>
      </c>
      <c r="B3">
        <f>COUNTIF('Charriage - Geschiebehaushalt'!AB4:AB275,"non pertinent / nicht relevant")</f>
        <v>22</v>
      </c>
      <c r="C3">
        <f>COUNTIFS('Charriage - Geschiebehaushalt'!$AB$4:$AB$275,"non pertinent / nicht relevant",'Charriage - Geschiebehaushalt'!$AD$4:$AD$275,"a")</f>
        <v>22</v>
      </c>
      <c r="D3">
        <f>COUNTIFS('Charriage - Geschiebehaushalt'!$AB$4:$AB$275,"non pertinent / nicht relevant",'Charriage - Geschiebehaushalt'!$AD$4:$AD$275,"b")</f>
        <v>0</v>
      </c>
      <c r="H3" s="346">
        <f>B3/$B$10</f>
        <v>8.0882352941176475E-2</v>
      </c>
    </row>
    <row r="4" spans="1:16" ht="45" x14ac:dyDescent="0.25">
      <c r="A4" s="1" t="s">
        <v>1529</v>
      </c>
      <c r="B4">
        <f>COUNTIF('Charriage - Geschiebehaushalt'!AB4:AB275,"0-20%")</f>
        <v>112</v>
      </c>
      <c r="C4">
        <f>COUNTIFS('Charriage - Geschiebehaushalt'!$AB$3:$AB$275,"0-20%",'Charriage - Geschiebehaushalt'!$AD$3:$AD$275,"a")</f>
        <v>70</v>
      </c>
      <c r="D4">
        <f>COUNTIFS('Charriage - Geschiebehaushalt'!$AB$3:$AB$275,"0-20%",'Charriage - Geschiebehaushalt'!$AD$3:$AD$275,"b")</f>
        <v>42</v>
      </c>
      <c r="H4" s="346">
        <f>B4/$B$10</f>
        <v>0.41176470588235292</v>
      </c>
    </row>
    <row r="5" spans="1:16" ht="30" x14ac:dyDescent="0.25">
      <c r="A5" s="1" t="s">
        <v>1530</v>
      </c>
      <c r="B5">
        <f>COUNTIF('Charriage - Geschiebehaushalt'!AB4:AB275,"21-50%")</f>
        <v>86</v>
      </c>
      <c r="C5">
        <f>COUNTIFS('Charriage - Geschiebehaushalt'!$AB$4:$AB$275,"21-50%",'Charriage - Geschiebehaushalt'!$AD$4:$AD$275,"a")</f>
        <v>75</v>
      </c>
      <c r="D5">
        <f>COUNTIFS('Charriage - Geschiebehaushalt'!$AB$4:$AB$275,"21-50%",'Charriage - Geschiebehaushalt'!$AD$4:$AD$275,"b")</f>
        <v>11</v>
      </c>
      <c r="H5" s="346">
        <f>B5/$B$10</f>
        <v>0.31617647058823528</v>
      </c>
    </row>
    <row r="6" spans="1:16" ht="30" x14ac:dyDescent="0.25">
      <c r="A6" s="1" t="s">
        <v>1531</v>
      </c>
      <c r="B6">
        <f>COUNTIF('Charriage - Geschiebehaushalt'!AB4:AB275,"51-80%")</f>
        <v>30</v>
      </c>
      <c r="C6">
        <f>COUNTIFS('Charriage - Geschiebehaushalt'!$AB$4:$AB$275,"51-80%",'Charriage - Geschiebehaushalt'!$AD$4:$AD$275,"a")</f>
        <v>22</v>
      </c>
      <c r="D6">
        <f>COUNTIFS('Charriage - Geschiebehaushalt'!$AB$4:$AB$275,"51-80%",'Charriage - Geschiebehaushalt'!$AD$4:$AD$275,"b")</f>
        <v>8</v>
      </c>
      <c r="H6" s="346">
        <f>B6/$B$10</f>
        <v>0.11029411764705882</v>
      </c>
    </row>
    <row r="7" spans="1:16" ht="30" x14ac:dyDescent="0.25">
      <c r="A7" s="1" t="s">
        <v>1532</v>
      </c>
      <c r="B7">
        <f>COUNTIF('Charriage - Geschiebehaushalt'!AB4:AB275,"81-100%")</f>
        <v>22</v>
      </c>
      <c r="C7">
        <f>COUNTIFS('Charriage - Geschiebehaushalt'!$AB$4:$AB$275,"81-100%",'Charriage - Geschiebehaushalt'!$AD$4:$AD$275,"a")</f>
        <v>20</v>
      </c>
      <c r="D7">
        <f>COUNTIFS('Charriage - Geschiebehaushalt'!$AB$4:$AB$275,"81-100%",'Charriage - Geschiebehaushalt'!$AD$4:$AD$275,"b")</f>
        <v>2</v>
      </c>
      <c r="H7" s="346">
        <f>B7/$B$10</f>
        <v>8.0882352941176475E-2</v>
      </c>
    </row>
    <row r="10" spans="1:16" x14ac:dyDescent="0.25">
      <c r="A10" t="s">
        <v>1533</v>
      </c>
      <c r="B10">
        <f t="shared" ref="B10:H10" si="0">SUM(B3:B7)</f>
        <v>272</v>
      </c>
      <c r="C10">
        <f t="shared" si="0"/>
        <v>209</v>
      </c>
      <c r="D10">
        <f t="shared" si="0"/>
        <v>63</v>
      </c>
      <c r="H10">
        <f t="shared" si="0"/>
        <v>1</v>
      </c>
    </row>
    <row r="33" spans="1:16" x14ac:dyDescent="0.25">
      <c r="A33" s="342" t="s">
        <v>710</v>
      </c>
      <c r="B33" s="343"/>
      <c r="C33" s="343"/>
      <c r="D33" s="343"/>
      <c r="E33" s="343"/>
      <c r="F33" s="343"/>
      <c r="G33" s="343"/>
      <c r="H33" s="343"/>
      <c r="I33" s="343"/>
      <c r="J33" s="343"/>
      <c r="K33" s="343"/>
      <c r="L33" s="343"/>
      <c r="M33" s="343"/>
      <c r="N33" s="343"/>
      <c r="O33" s="343"/>
      <c r="P33" s="343"/>
    </row>
    <row r="34" spans="1:16" ht="60" x14ac:dyDescent="0.25">
      <c r="B34" s="1" t="s">
        <v>1525</v>
      </c>
      <c r="C34" s="347" t="s">
        <v>43</v>
      </c>
      <c r="D34" s="347" t="s">
        <v>110</v>
      </c>
      <c r="E34" s="347" t="s">
        <v>59</v>
      </c>
      <c r="F34" s="347" t="s">
        <v>368</v>
      </c>
      <c r="G34" t="s">
        <v>1527</v>
      </c>
    </row>
    <row r="35" spans="1:16" x14ac:dyDescent="0.25">
      <c r="A35" t="s">
        <v>1534</v>
      </c>
      <c r="B35" s="347">
        <f>COUNTIF('Débit - Abfluss'!Q4:Q275,"non pertinent / nicht relevant")</f>
        <v>24</v>
      </c>
      <c r="C35" s="347"/>
      <c r="D35" s="347"/>
      <c r="E35" s="347"/>
      <c r="F35" s="347"/>
      <c r="G35" s="346">
        <f t="shared" ref="G35:G40" si="1">B35/$B$43</f>
        <v>8.8235294117647065E-2</v>
      </c>
    </row>
    <row r="36" spans="1:16" ht="30" x14ac:dyDescent="0.25">
      <c r="A36" s="1" t="s">
        <v>1535</v>
      </c>
      <c r="B36" s="347">
        <f>SUM(COUNTIF('Débit - Abfluss'!Q4:Q275,"100%"),COUNTIF('Débit - Abfluss'!Q4:Q275,"Régime présumé naturel (100%) / Abfluss vermutlich natürlich"),COUNTIF('Débit - Abfluss'!Q4:Q275,"81-100%"))</f>
        <v>170</v>
      </c>
      <c r="C36" s="347"/>
      <c r="D36" s="347"/>
      <c r="E36" s="347"/>
      <c r="F36" s="347"/>
      <c r="G36" s="346">
        <f t="shared" si="1"/>
        <v>0.625</v>
      </c>
    </row>
    <row r="37" spans="1:16" ht="30" x14ac:dyDescent="0.25">
      <c r="A37" s="1" t="s">
        <v>1536</v>
      </c>
      <c r="B37" s="347">
        <f>COUNTIF('Débit - Abfluss'!Q4:Q275,"61-80%")</f>
        <v>9</v>
      </c>
      <c r="C37" s="347"/>
      <c r="D37" s="347"/>
      <c r="E37" s="347"/>
      <c r="F37" s="347"/>
      <c r="G37" s="346">
        <f t="shared" si="1"/>
        <v>3.3088235294117647E-2</v>
      </c>
    </row>
    <row r="38" spans="1:16" ht="30" x14ac:dyDescent="0.25">
      <c r="A38" s="1" t="s">
        <v>1537</v>
      </c>
      <c r="B38" s="347">
        <f>COUNTIF('Débit - Abfluss'!Q4:Q275,"41-60%")</f>
        <v>12</v>
      </c>
      <c r="C38" s="347"/>
      <c r="D38" s="347"/>
      <c r="E38" s="347"/>
      <c r="F38" s="347"/>
      <c r="G38" s="346">
        <f t="shared" si="1"/>
        <v>4.4117647058823532E-2</v>
      </c>
    </row>
    <row r="39" spans="1:16" ht="30" x14ac:dyDescent="0.25">
      <c r="A39" s="1" t="s">
        <v>1538</v>
      </c>
      <c r="B39" s="347">
        <f>COUNTIF('Débit - Abfluss'!Q4:Q275,"21-40%")</f>
        <v>27</v>
      </c>
      <c r="C39" s="347"/>
      <c r="D39" s="347"/>
      <c r="E39" s="347"/>
      <c r="F39" s="347"/>
      <c r="G39" s="346">
        <f t="shared" si="1"/>
        <v>9.9264705882352935E-2</v>
      </c>
    </row>
    <row r="40" spans="1:16" ht="30" x14ac:dyDescent="0.25">
      <c r="A40" s="1" t="s">
        <v>1539</v>
      </c>
      <c r="B40" s="347">
        <f>COUNTIF('Débit - Abfluss'!Q4:Q275,"0-20%")</f>
        <v>30</v>
      </c>
      <c r="C40" s="347"/>
      <c r="D40" s="347"/>
      <c r="E40" s="347"/>
      <c r="F40" s="347"/>
      <c r="G40" s="346">
        <f t="shared" si="1"/>
        <v>0.11029411764705882</v>
      </c>
    </row>
    <row r="41" spans="1:16" x14ac:dyDescent="0.25">
      <c r="B41" s="347"/>
      <c r="C41" s="347"/>
      <c r="D41" s="347"/>
      <c r="E41" s="347"/>
      <c r="F41" s="347"/>
    </row>
    <row r="42" spans="1:16" x14ac:dyDescent="0.25">
      <c r="B42" s="347"/>
      <c r="C42" s="347"/>
      <c r="D42" s="347"/>
      <c r="E42" s="347"/>
      <c r="F42" s="347"/>
    </row>
    <row r="43" spans="1:16" x14ac:dyDescent="0.25">
      <c r="A43" t="s">
        <v>1533</v>
      </c>
      <c r="B43" s="347">
        <f>SUM(B35:B40)</f>
        <v>272</v>
      </c>
      <c r="C43" s="347"/>
      <c r="D43" s="347"/>
      <c r="E43" s="347"/>
      <c r="F43" s="347"/>
      <c r="G43">
        <f>SUM(G35:G40)</f>
        <v>1</v>
      </c>
    </row>
    <row r="53" spans="1:16" x14ac:dyDescent="0.25">
      <c r="A53" s="342" t="s">
        <v>711</v>
      </c>
      <c r="B53" s="343"/>
      <c r="C53" s="343"/>
      <c r="D53" s="343"/>
      <c r="E53" s="343"/>
      <c r="F53" s="343"/>
      <c r="G53" s="343"/>
      <c r="H53" s="343"/>
      <c r="I53" s="343"/>
      <c r="J53" s="343"/>
      <c r="K53" s="343"/>
      <c r="L53" s="343"/>
      <c r="M53" s="343"/>
      <c r="N53" s="343"/>
      <c r="O53" s="343"/>
      <c r="P53" s="343"/>
    </row>
    <row r="54" spans="1:16" ht="60" x14ac:dyDescent="0.25">
      <c r="B54" s="1" t="s">
        <v>1525</v>
      </c>
      <c r="C54" t="s">
        <v>1527</v>
      </c>
    </row>
    <row r="55" spans="1:16" ht="30" x14ac:dyDescent="0.25">
      <c r="A55" s="1" t="s">
        <v>1540</v>
      </c>
      <c r="B55">
        <f>COUNTIF('Eclusée - Schwall-Sunk'!$F$2:$F$273,"Non affecté / nicht betroffen")</f>
        <v>202</v>
      </c>
      <c r="C55" s="346">
        <f>B55/$B$60</f>
        <v>0.74264705882352944</v>
      </c>
    </row>
    <row r="56" spans="1:16" ht="45" x14ac:dyDescent="0.25">
      <c r="A56" s="1" t="s">
        <v>1541</v>
      </c>
      <c r="B56">
        <f>COUNTIF('Eclusée - Schwall-Sunk'!$F$2:$F$273,"Potentiellement affecté mais non plausible / möglicherweise betroffen aber nicht nachweisbar")</f>
        <v>13</v>
      </c>
      <c r="C56" s="346">
        <f>B56/$B$60</f>
        <v>4.779411764705882E-2</v>
      </c>
    </row>
    <row r="57" spans="1:16" ht="30" x14ac:dyDescent="0.25">
      <c r="A57" s="1" t="s">
        <v>1542</v>
      </c>
      <c r="B57">
        <f>COUNTIF('Eclusée - Schwall-Sunk'!$F$2:$F$273,"Potentiellement affecté / möglicherweise betroffen")</f>
        <v>57</v>
      </c>
      <c r="C57" s="346">
        <f>B57/$B$60</f>
        <v>0.20955882352941177</v>
      </c>
    </row>
    <row r="60" spans="1:16" x14ac:dyDescent="0.25">
      <c r="A60" t="s">
        <v>1533</v>
      </c>
      <c r="B60">
        <f>SUM(B55:B57)</f>
        <v>272</v>
      </c>
      <c r="C60">
        <f>SUM(C55:C57)</f>
        <v>1</v>
      </c>
    </row>
    <row r="76" spans="1:16" x14ac:dyDescent="0.25">
      <c r="A76" s="342" t="s">
        <v>712</v>
      </c>
      <c r="B76" s="343"/>
      <c r="C76" s="343"/>
      <c r="D76" s="343"/>
      <c r="E76" s="343"/>
      <c r="F76" s="343"/>
      <c r="G76" s="343"/>
      <c r="H76" s="343"/>
      <c r="I76" s="343"/>
      <c r="J76" s="343"/>
      <c r="K76" s="343"/>
      <c r="L76" s="343"/>
      <c r="M76" s="343"/>
      <c r="N76" s="343"/>
      <c r="O76" s="343"/>
      <c r="P76" s="343"/>
    </row>
    <row r="77" spans="1:16" ht="60" x14ac:dyDescent="0.25">
      <c r="B77" s="1" t="s">
        <v>1525</v>
      </c>
      <c r="C77" s="348" t="s">
        <v>43</v>
      </c>
      <c r="D77" s="349" t="s">
        <v>72</v>
      </c>
      <c r="E77" s="349"/>
      <c r="F77" s="349"/>
      <c r="G77" s="349"/>
      <c r="H77" t="s">
        <v>1527</v>
      </c>
    </row>
    <row r="78" spans="1:16" ht="30" x14ac:dyDescent="0.25">
      <c r="A78" s="1" t="s">
        <v>1543</v>
      </c>
      <c r="B78">
        <f>COUNTIF('Revitalisation-Revitalisierung'!Y4:Y275,"non pertinent / nicht relevant")</f>
        <v>14</v>
      </c>
      <c r="C78">
        <f>COUNTIFS('Revitalisation-Revitalisierung'!$Y$4:$Y$275,"non pertinent / nicht relevant",'Revitalisation-Revitalisierung'!$AA$4:$AA$275,C$77)</f>
        <v>14</v>
      </c>
      <c r="D78">
        <f>COUNTIFS('Revitalisation-Revitalisierung'!$Y$4:$Y$275,"non pertinent / nicht relevant",'Revitalisation-Revitalisierung'!$AA$4:$AA$275,D$77)</f>
        <v>0</v>
      </c>
      <c r="H78" s="346">
        <f t="shared" ref="H78:H83" si="2">B78/$B$86</f>
        <v>5.1470588235294115E-2</v>
      </c>
    </row>
    <row r="79" spans="1:16" ht="30" x14ac:dyDescent="0.25">
      <c r="A79" s="1" t="s">
        <v>1544</v>
      </c>
      <c r="B79">
        <f>COUNTIF('Revitalisation-Revitalisierung'!Y4:Y275,"Non nécessaire / nicht nötig")</f>
        <v>96</v>
      </c>
      <c r="C79">
        <f>COUNTIFS('Revitalisation-Revitalisierung'!$Y$4:$Y$275,"Non nécessaire / nicht nötig",'Revitalisation-Revitalisierung'!$AA$4:$AA$275,C$77,'Revitalisation-Revitalisierung'!$AA$4:$AA$275,C$77)</f>
        <v>85</v>
      </c>
      <c r="D79">
        <f>COUNTIFS('Revitalisation-Revitalisierung'!$Y$4:$Y$275,"Non nécessaire / nicht nötig",'Revitalisation-Revitalisierung'!$AA$4:$AA$275,D$77,'Revitalisation-Revitalisierung'!$AA$4:$AA$275,D$77)</f>
        <v>11</v>
      </c>
      <c r="H79" s="346">
        <f t="shared" si="2"/>
        <v>0.35294117647058826</v>
      </c>
    </row>
    <row r="80" spans="1:16" ht="30" x14ac:dyDescent="0.25">
      <c r="A80" s="1" t="s">
        <v>1545</v>
      </c>
      <c r="B80" s="1293">
        <f>COUNTIF('Revitalisation-Revitalisierung'!Y4:Y275,"Partiellement nécessaire, difficile / teilweise nötig, schwierig")+COUNTIF('Revitalisation-Revitalisierung'!Y4:Y275,"Partiellement nécessaire, difficile")</f>
        <v>23</v>
      </c>
      <c r="C80" s="1293">
        <f>COUNTIFS('Revitalisation-Revitalisierung'!$Y$4:$Y$275,"Partiellement nécessaire, difficile / teilweise nötig, schwierig",'Revitalisation-Revitalisierung'!$AA$4:$AA$275,C$77)+COUNTIFS('Revitalisation-Revitalisierung'!$Y$4:$Y$275,"Partiellement nécessaire, difficile",'Revitalisation-Revitalisierung'!$AA$4:$AA$275,C$77)</f>
        <v>14</v>
      </c>
      <c r="D80" s="1293">
        <f>COUNTIFS('Revitalisation-Revitalisierung'!$Y$4:$Y$275,"Partiellement nécessaire, difficile / teilweise nötig, schwierig",'Revitalisation-Revitalisierung'!$AA$4:$AA$275,D$77)+COUNTIFS('Revitalisation-Revitalisierung'!$Y$4:$Y$275,"Partiellement nécessaire, difficile",'Revitalisation-Revitalisierung'!$AA$4:$AA$275,D$77)</f>
        <v>9</v>
      </c>
      <c r="H80" s="346">
        <f t="shared" si="2"/>
        <v>8.455882352941177E-2</v>
      </c>
    </row>
    <row r="81" spans="1:8" ht="30" x14ac:dyDescent="0.25">
      <c r="A81" s="1" t="s">
        <v>1546</v>
      </c>
      <c r="B81" s="1293">
        <f>COUNTIF('Revitalisation-Revitalisierung'!Y4:Y275,"Partiellement nécessaire, facile / teilweise nötig, einfach")+COUNTIF('Revitalisation-Revitalisierung'!Y4:Y275,"Partiellement nécessaire, facile")</f>
        <v>49</v>
      </c>
      <c r="C81" s="1293">
        <f>COUNTIFS('Revitalisation-Revitalisierung'!$Y$4:$Y$274,"Partiellement nécessaire, facile / teilweise nötig, einfach",'Revitalisation-Revitalisierung'!$AA$4:$AA$274,C$77)+COUNTIFS('Revitalisation-Revitalisierung'!$Y$4:$Y$274,"Partiellement nécessaire, facile",'Revitalisation-Revitalisierung'!$AA$4:$AA$274,C$77)</f>
        <v>38</v>
      </c>
      <c r="D81" s="1293">
        <f>COUNTIFS('Revitalisation-Revitalisierung'!$Y$4:$Y$274,"Partiellement nécessaire, facile / teilweise nötig, einfach",'Revitalisation-Revitalisierung'!$AA$4:$AA$274,D$77)+COUNTIFS('Revitalisation-Revitalisierung'!$Y$4:$Y$274,"Partiellement nécessaire, facile",'Revitalisation-Revitalisierung'!$AA$4:$AA$274,D$77)</f>
        <v>11</v>
      </c>
      <c r="H81" s="346">
        <f t="shared" si="2"/>
        <v>0.18014705882352941</v>
      </c>
    </row>
    <row r="82" spans="1:8" ht="30" x14ac:dyDescent="0.25">
      <c r="A82" s="1" t="s">
        <v>1547</v>
      </c>
      <c r="B82" s="1293">
        <f>COUNTIF('Revitalisation-Revitalisierung'!Y4:Y275,"Très nécessaire, difficile / unbedingt nötig, schwierig")+COUNTIF('Revitalisation-Revitalisierung'!Y4:Y275,"Très nécessaire, difficile")</f>
        <v>26</v>
      </c>
      <c r="C82" s="1293">
        <f>COUNTIFS('Revitalisation-Revitalisierung'!$Y$4:$Y$275,"Très nécessaire, difficile / unbedingt nötig, schwierig",'Revitalisation-Revitalisierung'!$AA$4:$AA$275,C$77)+COUNTIFS('Revitalisation-Revitalisierung'!$Y$4:$Y$275,"Très nécessaire, difficile",'Revitalisation-Revitalisierung'!$AA$4:$AA$275,C$77)</f>
        <v>20</v>
      </c>
      <c r="D82" s="1293">
        <f>COUNTIFS('Revitalisation-Revitalisierung'!$Y$4:$Y$275,"Très nécessaire, difficile / unbedingt nötig, schwierig",'Revitalisation-Revitalisierung'!$AA$4:$AA$275,D$77)+COUNTIFS('Revitalisation-Revitalisierung'!$Y$4:$Y$275,"Très nécessaire, difficile",'Revitalisation-Revitalisierung'!$AA$4:$AA$275,D$77)</f>
        <v>6</v>
      </c>
      <c r="H82" s="346">
        <f t="shared" si="2"/>
        <v>9.5588235294117641E-2</v>
      </c>
    </row>
    <row r="83" spans="1:8" ht="30" x14ac:dyDescent="0.25">
      <c r="A83" s="1" t="s">
        <v>1548</v>
      </c>
      <c r="B83" s="1293">
        <f>COUNTIF('Revitalisation-Revitalisierung'!Y4:Y275,"Très nécessaire, facile / unbedingt nötig, einfach")+COUNTIF('Revitalisation-Revitalisierung'!Y4:Y275,"Très nécessaire, facile")</f>
        <v>64</v>
      </c>
      <c r="C83" s="1293">
        <f>COUNTIFS('Revitalisation-Revitalisierung'!$Y$4:$Y$275,"Très nécessaire, facile / unbedingt nötig, einfach",'Revitalisation-Revitalisierung'!$AA$4:$AA$275,C$77)+COUNTIFS('Revitalisation-Revitalisierung'!$Y$4:$Y$275,"Très nécessaire, facile",'Revitalisation-Revitalisierung'!$AA$4:$AA$275,C$77)</f>
        <v>61</v>
      </c>
      <c r="D83" s="1293">
        <f>COUNTIFS('Revitalisation-Revitalisierung'!$Y$4:$Y$275,"Très nécessaire, facile / unbedingt nötig, einfach",'Revitalisation-Revitalisierung'!$AA$4:$AA$275,D$77)+COUNTIFS('Revitalisation-Revitalisierung'!$Y$4:$Y$275,"Très nécessaire, facile",'Revitalisation-Revitalisierung'!$AA$4:$AA$275,D$77)</f>
        <v>3</v>
      </c>
      <c r="H83" s="346">
        <f t="shared" si="2"/>
        <v>0.23529411764705882</v>
      </c>
    </row>
    <row r="86" spans="1:8" x14ac:dyDescent="0.25">
      <c r="A86" t="s">
        <v>1533</v>
      </c>
      <c r="B86">
        <f t="shared" ref="B86:H86" si="3">SUM(B78:B83)</f>
        <v>272</v>
      </c>
      <c r="C86">
        <f t="shared" si="3"/>
        <v>232</v>
      </c>
      <c r="D86">
        <f t="shared" si="3"/>
        <v>40</v>
      </c>
      <c r="H86">
        <f t="shared" si="3"/>
        <v>1</v>
      </c>
    </row>
    <row r="114" spans="1:5" x14ac:dyDescent="0.25">
      <c r="A114" t="s">
        <v>1549</v>
      </c>
      <c r="B114" t="str">
        <f>IF('[1]Charriage - Geschiebehaushalt'!P2="a",'[1]Charriage - Geschiebehaushalt'!O2,"")</f>
        <v>81 -100%</v>
      </c>
      <c r="C114" t="str">
        <f>IF('[1]Charriage - Geschiebehaushalt'!P2="b",'[1]Charriage - Geschiebehaushalt'!O2,"")</f>
        <v/>
      </c>
      <c r="D114" t="str">
        <f>IF('[1]Revitalisation-Revitalisierung'!L2="a",'[1]Revitalisation-Revitalisierung'!K2,"")</f>
        <v/>
      </c>
      <c r="E114" t="str">
        <f>IF('[1]Revitalisation-Revitalisierung'!L2="b",'[1]Revitalisation-Revitalisierung'!K2,"")</f>
        <v>Partiellement nécessaire, facile / teilweise nötig, einfach</v>
      </c>
    </row>
    <row r="115" spans="1:5" x14ac:dyDescent="0.25">
      <c r="B115" t="str">
        <f>IF('[1]Charriage - Geschiebehaushalt'!P3="a",'[1]Charriage - Geschiebehaushalt'!O3,"")</f>
        <v>81 -100%</v>
      </c>
      <c r="C115" t="str">
        <f>IF('[1]Charriage - Geschiebehaushalt'!P3="b",'[1]Charriage - Geschiebehaushalt'!O3,"")</f>
        <v/>
      </c>
      <c r="D115" t="str">
        <f>IF('[1]Revitalisation-Revitalisierung'!L3="a",'[1]Revitalisation-Revitalisierung'!K3,"")</f>
        <v/>
      </c>
      <c r="E115" t="str">
        <f>IF('[1]Revitalisation-Revitalisierung'!L3="b",'[1]Revitalisation-Revitalisierung'!K3,"")</f>
        <v>Partiellement nécessaire, difficile / teilweise nötig, schwierig</v>
      </c>
    </row>
    <row r="116" spans="1:5" x14ac:dyDescent="0.25">
      <c r="B116" t="str">
        <f>IF('[1]Charriage - Geschiebehaushalt'!P4="a",'[1]Charriage - Geschiebehaushalt'!O4,"")</f>
        <v/>
      </c>
      <c r="C116" t="str">
        <f>IF('[1]Charriage - Geschiebehaushalt'!P4="b",'[1]Charriage - Geschiebehaushalt'!O4,"")</f>
        <v>Charriage présumé naturel / Geschiebehaushalt vermutlich natürlich</v>
      </c>
      <c r="D116" t="str">
        <f>IF('[1]Revitalisation-Revitalisierung'!L4="a",'[1]Revitalisation-Revitalisierung'!K4,"")</f>
        <v>Non nécessaire / nicht nötig</v>
      </c>
      <c r="E116" t="str">
        <f>IF('[1]Revitalisation-Revitalisierung'!L4="b",'[1]Revitalisation-Revitalisierung'!K4,"")</f>
        <v/>
      </c>
    </row>
    <row r="117" spans="1:5" x14ac:dyDescent="0.25">
      <c r="B117" t="str">
        <f>IF('[1]Charriage - Geschiebehaushalt'!P5="a",'[1]Charriage - Geschiebehaushalt'!O5,"")</f>
        <v>0-20%</v>
      </c>
      <c r="C117" t="str">
        <f>IF('[1]Charriage - Geschiebehaushalt'!P5="b",'[1]Charriage - Geschiebehaushalt'!O5,"")</f>
        <v/>
      </c>
      <c r="D117" t="str">
        <f>IF('[1]Revitalisation-Revitalisierung'!L5="a",'[1]Revitalisation-Revitalisierung'!K5,"")</f>
        <v/>
      </c>
      <c r="E117" t="str">
        <f>IF('[1]Revitalisation-Revitalisierung'!L5="b",'[1]Revitalisation-Revitalisierung'!K5,"")</f>
        <v>Partiellement nécessaire, facile / teilweise nötig, einfach</v>
      </c>
    </row>
    <row r="118" spans="1:5" x14ac:dyDescent="0.25">
      <c r="B118" t="str">
        <f>IF('[1]Charriage - Geschiebehaushalt'!P6="a",'[1]Charriage - Geschiebehaushalt'!O6,"")</f>
        <v>0-20%</v>
      </c>
      <c r="C118" t="str">
        <f>IF('[1]Charriage - Geschiebehaushalt'!P6="b",'[1]Charriage - Geschiebehaushalt'!O6,"")</f>
        <v/>
      </c>
      <c r="D118" t="str">
        <f>IF('[1]Revitalisation-Revitalisierung'!L6="a",'[1]Revitalisation-Revitalisierung'!K6,"")</f>
        <v/>
      </c>
      <c r="E118" t="str">
        <f>IF('[1]Revitalisation-Revitalisierung'!L6="b",'[1]Revitalisation-Revitalisierung'!K6,"")</f>
        <v>Partiellement nécessaire, difficile / teilweise nötig, schwierig</v>
      </c>
    </row>
    <row r="119" spans="1:5" x14ac:dyDescent="0.25">
      <c r="B119" t="str">
        <f>IF('[1]Charriage - Geschiebehaushalt'!P7="a",'[1]Charriage - Geschiebehaushalt'!O7,"")</f>
        <v>0-20%</v>
      </c>
      <c r="C119" t="str">
        <f>IF('[1]Charriage - Geschiebehaushalt'!P7="b",'[1]Charriage - Geschiebehaushalt'!O7,"")</f>
        <v/>
      </c>
      <c r="D119" t="str">
        <f>IF('[1]Revitalisation-Revitalisierung'!L7="a",'[1]Revitalisation-Revitalisierung'!K7,"")</f>
        <v>Très nécessaire, facile / unbedingt nötig, einfach</v>
      </c>
      <c r="E119" t="str">
        <f>IF('[1]Revitalisation-Revitalisierung'!L7="b",'[1]Revitalisation-Revitalisierung'!K7,"")</f>
        <v/>
      </c>
    </row>
    <row r="120" spans="1:5" x14ac:dyDescent="0.25">
      <c r="B120" t="str">
        <f>IF('[1]Charriage - Geschiebehaushalt'!P8="a",'[1]Charriage - Geschiebehaushalt'!O8,"")</f>
        <v>0-20%</v>
      </c>
      <c r="C120" t="str">
        <f>IF('[1]Charriage - Geschiebehaushalt'!P8="b",'[1]Charriage - Geschiebehaushalt'!O8,"")</f>
        <v/>
      </c>
      <c r="D120" t="str">
        <f>IF('[1]Revitalisation-Revitalisierung'!L8="a",'[1]Revitalisation-Revitalisierung'!K8,"")</f>
        <v>Très nécessaire, facile / unbedingt nötig, einfach</v>
      </c>
      <c r="E120" t="str">
        <f>IF('[1]Revitalisation-Revitalisierung'!L8="b",'[1]Revitalisation-Revitalisierung'!K8,"")</f>
        <v/>
      </c>
    </row>
    <row r="121" spans="1:5" x14ac:dyDescent="0.25">
      <c r="B121" t="str">
        <f>IF('[1]Charriage - Geschiebehaushalt'!P9="a",'[1]Charriage - Geschiebehaushalt'!O9,"")</f>
        <v>0-20%</v>
      </c>
      <c r="C121" t="str">
        <f>IF('[1]Charriage - Geschiebehaushalt'!P9="b",'[1]Charriage - Geschiebehaushalt'!O9,"")</f>
        <v/>
      </c>
      <c r="D121" t="str">
        <f>IF('[1]Revitalisation-Revitalisierung'!L9="a",'[1]Revitalisation-Revitalisierung'!K9,"")</f>
        <v>Très nécessaire, facile / unbedingt nötig, einfach</v>
      </c>
      <c r="E121" t="str">
        <f>IF('[1]Revitalisation-Revitalisierung'!L9="b",'[1]Revitalisation-Revitalisierung'!K9,"")</f>
        <v/>
      </c>
    </row>
    <row r="122" spans="1:5" x14ac:dyDescent="0.25">
      <c r="B122" t="str">
        <f>IF('[1]Charriage - Geschiebehaushalt'!P10="a",'[1]Charriage - Geschiebehaushalt'!O10,"")</f>
        <v>0-20%</v>
      </c>
      <c r="C122" t="str">
        <f>IF('[1]Charriage - Geschiebehaushalt'!P10="b",'[1]Charriage - Geschiebehaushalt'!O10,"")</f>
        <v/>
      </c>
      <c r="D122" t="str">
        <f>IF('[1]Revitalisation-Revitalisierung'!L10="a",'[1]Revitalisation-Revitalisierung'!K10,"")</f>
        <v/>
      </c>
      <c r="E122" t="str">
        <f>IF('[1]Revitalisation-Revitalisierung'!L10="b",'[1]Revitalisation-Revitalisierung'!K10,"")</f>
        <v>Partiellement nécessaire, difficile / teilweise nötig, schwierig</v>
      </c>
    </row>
    <row r="123" spans="1:5" x14ac:dyDescent="0.25">
      <c r="B123" t="str">
        <f>IF('[1]Charriage - Geschiebehaushalt'!P11="a",'[1]Charriage - Geschiebehaushalt'!O11,"")</f>
        <v>0-20%</v>
      </c>
      <c r="C123" t="str">
        <f>IF('[1]Charriage - Geschiebehaushalt'!P11="b",'[1]Charriage - Geschiebehaushalt'!O11,"")</f>
        <v/>
      </c>
      <c r="D123" t="str">
        <f>IF('[1]Revitalisation-Revitalisierung'!L11="a",'[1]Revitalisation-Revitalisierung'!K11,"")</f>
        <v>Très nécessaire, facile / unbedingt nötig, einfach</v>
      </c>
      <c r="E123" t="str">
        <f>IF('[1]Revitalisation-Revitalisierung'!L11="b",'[1]Revitalisation-Revitalisierung'!K11,"")</f>
        <v/>
      </c>
    </row>
    <row r="124" spans="1:5" x14ac:dyDescent="0.25">
      <c r="B124" t="str">
        <f>IF('[1]Charriage - Geschiebehaushalt'!P12="a",'[1]Charriage - Geschiebehaushalt'!O12,"")</f>
        <v>51-80%</v>
      </c>
      <c r="C124" t="str">
        <f>IF('[1]Charriage - Geschiebehaushalt'!P12="b",'[1]Charriage - Geschiebehaushalt'!O12,"")</f>
        <v/>
      </c>
      <c r="D124" t="str">
        <f>IF('[1]Revitalisation-Revitalisierung'!L12="a",'[1]Revitalisation-Revitalisierung'!K12,"")</f>
        <v>Partiellement nécessaire, difficile / teilweise nötig, schwierig</v>
      </c>
      <c r="E124" t="str">
        <f>IF('[1]Revitalisation-Revitalisierung'!L12="b",'[1]Revitalisation-Revitalisierung'!K12,"")</f>
        <v/>
      </c>
    </row>
    <row r="125" spans="1:5" x14ac:dyDescent="0.25">
      <c r="B125" t="str">
        <f>IF('[1]Charriage - Geschiebehaushalt'!P13="a",'[1]Charriage - Geschiebehaushalt'!O13,"")</f>
        <v>0-20%</v>
      </c>
      <c r="C125" t="str">
        <f>IF('[1]Charriage - Geschiebehaushalt'!P13="b",'[1]Charriage - Geschiebehaushalt'!O13,"")</f>
        <v/>
      </c>
      <c r="D125" t="str">
        <f>IF('[1]Revitalisation-Revitalisierung'!L13="a",'[1]Revitalisation-Revitalisierung'!K13,"")</f>
        <v>Très nécessaire, facile / unbedingt nötig, einfach</v>
      </c>
      <c r="E125" t="str">
        <f>IF('[1]Revitalisation-Revitalisierung'!L13="b",'[1]Revitalisation-Revitalisierung'!K13,"")</f>
        <v/>
      </c>
    </row>
    <row r="126" spans="1:5" x14ac:dyDescent="0.25">
      <c r="B126" t="str">
        <f>IF('[1]Charriage - Geschiebehaushalt'!P14="a",'[1]Charriage - Geschiebehaushalt'!O14,"")</f>
        <v>0-20%</v>
      </c>
      <c r="C126" t="str">
        <f>IF('[1]Charriage - Geschiebehaushalt'!P14="b",'[1]Charriage - Geschiebehaushalt'!O14,"")</f>
        <v/>
      </c>
      <c r="D126" t="str">
        <f>IF('[1]Revitalisation-Revitalisierung'!L14="a",'[1]Revitalisation-Revitalisierung'!K14,"")</f>
        <v/>
      </c>
      <c r="E126" t="str">
        <f>IF('[1]Revitalisation-Revitalisierung'!L14="b",'[1]Revitalisation-Revitalisierung'!K14,"")</f>
        <v>Très nécessaire, facile / unbedingt nötig, einfach</v>
      </c>
    </row>
    <row r="127" spans="1:5" x14ac:dyDescent="0.25">
      <c r="B127" t="str">
        <f>IF('[1]Charriage - Geschiebehaushalt'!P15="a",'[1]Charriage - Geschiebehaushalt'!O15,"")</f>
        <v>0-20%</v>
      </c>
      <c r="C127" t="str">
        <f>IF('[1]Charriage - Geschiebehaushalt'!P15="b",'[1]Charriage - Geschiebehaushalt'!O15,"")</f>
        <v/>
      </c>
      <c r="D127" t="str">
        <f>IF('[1]Revitalisation-Revitalisierung'!L15="a",'[1]Revitalisation-Revitalisierung'!K15,"")</f>
        <v>Non nécessaire / nicht nötig</v>
      </c>
      <c r="E127" t="str">
        <f>IF('[1]Revitalisation-Revitalisierung'!L15="b",'[1]Revitalisation-Revitalisierung'!K15,"")</f>
        <v/>
      </c>
    </row>
    <row r="128" spans="1:5" x14ac:dyDescent="0.25">
      <c r="B128" t="str">
        <f>IF('[1]Charriage - Geschiebehaushalt'!P16="a",'[1]Charriage - Geschiebehaushalt'!O16,"")</f>
        <v>51-80%</v>
      </c>
      <c r="C128" t="str">
        <f>IF('[1]Charriage - Geschiebehaushalt'!P16="b",'[1]Charriage - Geschiebehaushalt'!O16,"")</f>
        <v/>
      </c>
      <c r="D128" t="str">
        <f>IF('[1]Revitalisation-Revitalisierung'!L16="a",'[1]Revitalisation-Revitalisierung'!K16,"")</f>
        <v/>
      </c>
      <c r="E128" t="str">
        <f>IF('[1]Revitalisation-Revitalisierung'!L16="b",'[1]Revitalisation-Revitalisierung'!K16,"")</f>
        <v>Partiellement nécessaire, facile / teilweise nötig, einfach</v>
      </c>
    </row>
    <row r="129" spans="2:5" x14ac:dyDescent="0.25">
      <c r="B129" t="str">
        <f>IF('[1]Charriage - Geschiebehaushalt'!P17="a",'[1]Charriage - Geschiebehaushalt'!O17,"")</f>
        <v>51-80%</v>
      </c>
      <c r="C129" t="str">
        <f>IF('[1]Charriage - Geschiebehaushalt'!P17="b",'[1]Charriage - Geschiebehaushalt'!O17,"")</f>
        <v/>
      </c>
      <c r="D129" t="str">
        <f>IF('[1]Revitalisation-Revitalisierung'!L17="a",'[1]Revitalisation-Revitalisierung'!K17,"")</f>
        <v/>
      </c>
      <c r="E129" t="str">
        <f>IF('[1]Revitalisation-Revitalisierung'!L17="b",'[1]Revitalisation-Revitalisierung'!K17,"")</f>
        <v>Très nécessaire, facile / unbedingt nötig, einfach</v>
      </c>
    </row>
    <row r="130" spans="2:5" x14ac:dyDescent="0.25">
      <c r="B130" t="str">
        <f>IF('[1]Charriage - Geschiebehaushalt'!P18="a",'[1]Charriage - Geschiebehaushalt'!O18,"")</f>
        <v/>
      </c>
      <c r="C130" t="str">
        <f>IF('[1]Charriage - Geschiebehaushalt'!P18="b",'[1]Charriage - Geschiebehaushalt'!O18,"")</f>
        <v>Charriage présumé perturbé / Geschiebehaushalt vermutlich beeinträchtigt</v>
      </c>
      <c r="D130" t="str">
        <f>IF('[1]Revitalisation-Revitalisierung'!L18="a",'[1]Revitalisation-Revitalisierung'!K18,"")</f>
        <v/>
      </c>
      <c r="E130" t="str">
        <f>IF('[1]Revitalisation-Revitalisierung'!L18="b",'[1]Revitalisation-Revitalisierung'!K18,"")</f>
        <v>Partiellement nécessaire, facile / teilweise nötig, einfach</v>
      </c>
    </row>
    <row r="131" spans="2:5" x14ac:dyDescent="0.25">
      <c r="B131" t="str">
        <f>IF('[1]Charriage - Geschiebehaushalt'!P19="a",'[1]Charriage - Geschiebehaushalt'!O19,"")</f>
        <v>81 -100%</v>
      </c>
      <c r="C131" t="str">
        <f>IF('[1]Charriage - Geschiebehaushalt'!P19="b",'[1]Charriage - Geschiebehaushalt'!O19,"")</f>
        <v/>
      </c>
      <c r="D131" t="str">
        <f>IF('[1]Revitalisation-Revitalisierung'!L19="a",'[1]Revitalisation-Revitalisierung'!K19,"")</f>
        <v/>
      </c>
      <c r="E131" t="str">
        <f>IF('[1]Revitalisation-Revitalisierung'!L19="b",'[1]Revitalisation-Revitalisierung'!K19,"")</f>
        <v>Très nécessaire, difficile / unbedingt nötig, schwierig</v>
      </c>
    </row>
    <row r="132" spans="2:5" x14ac:dyDescent="0.25">
      <c r="B132" t="str">
        <f>IF('[1]Charriage - Geschiebehaushalt'!P20="a",'[1]Charriage - Geschiebehaushalt'!O20,"")</f>
        <v>0-20%</v>
      </c>
      <c r="C132" t="str">
        <f>IF('[1]Charriage - Geschiebehaushalt'!P20="b",'[1]Charriage - Geschiebehaushalt'!O20,"")</f>
        <v/>
      </c>
      <c r="D132" t="str">
        <f>IF('[1]Revitalisation-Revitalisierung'!L20="a",'[1]Revitalisation-Revitalisierung'!K20,"")</f>
        <v/>
      </c>
      <c r="E132" t="str">
        <f>IF('[1]Revitalisation-Revitalisierung'!L20="b",'[1]Revitalisation-Revitalisierung'!K20,"")</f>
        <v>Non nécessaire / nicht nötig</v>
      </c>
    </row>
    <row r="133" spans="2:5" x14ac:dyDescent="0.25">
      <c r="B133" t="str">
        <f>IF('[1]Charriage - Geschiebehaushalt'!P21="a",'[1]Charriage - Geschiebehaushalt'!O21,"")</f>
        <v>21-50%</v>
      </c>
      <c r="C133" t="str">
        <f>IF('[1]Charriage - Geschiebehaushalt'!P21="b",'[1]Charriage - Geschiebehaushalt'!O21,"")</f>
        <v/>
      </c>
      <c r="D133" t="str">
        <f>IF('[1]Revitalisation-Revitalisierung'!L21="a",'[1]Revitalisation-Revitalisierung'!K21,"")</f>
        <v>Très nécessaire, facile / unbedingt nötig, einfach</v>
      </c>
      <c r="E133" t="str">
        <f>IF('[1]Revitalisation-Revitalisierung'!L21="b",'[1]Revitalisation-Revitalisierung'!K21,"")</f>
        <v/>
      </c>
    </row>
    <row r="134" spans="2:5" x14ac:dyDescent="0.25">
      <c r="B134" t="str">
        <f>IF('[1]Charriage - Geschiebehaushalt'!P22="a",'[1]Charriage - Geschiebehaushalt'!O22,"")</f>
        <v>21-50%</v>
      </c>
      <c r="C134" t="str">
        <f>IF('[1]Charriage - Geschiebehaushalt'!P22="b",'[1]Charriage - Geschiebehaushalt'!O22,"")</f>
        <v/>
      </c>
      <c r="D134" t="str">
        <f>IF('[1]Revitalisation-Revitalisierung'!L22="a",'[1]Revitalisation-Revitalisierung'!K22,"")</f>
        <v>Partiellement nécessaire, facile / teilweise nötig, einfach</v>
      </c>
      <c r="E134" t="str">
        <f>IF('[1]Revitalisation-Revitalisierung'!L22="b",'[1]Revitalisation-Revitalisierung'!K22,"")</f>
        <v/>
      </c>
    </row>
    <row r="135" spans="2:5" x14ac:dyDescent="0.25">
      <c r="B135" t="str">
        <f>IF('[1]Charriage - Geschiebehaushalt'!P23="a",'[1]Charriage - Geschiebehaushalt'!O23,"")</f>
        <v>21-50%</v>
      </c>
      <c r="C135" t="str">
        <f>IF('[1]Charriage - Geschiebehaushalt'!P23="b",'[1]Charriage - Geschiebehaushalt'!O23,"")</f>
        <v/>
      </c>
      <c r="D135" t="str">
        <f>IF('[1]Revitalisation-Revitalisierung'!L23="a",'[1]Revitalisation-Revitalisierung'!K23,"")</f>
        <v>Non nécessaire / nicht nötig</v>
      </c>
      <c r="E135" t="str">
        <f>IF('[1]Revitalisation-Revitalisierung'!L23="b",'[1]Revitalisation-Revitalisierung'!K23,"")</f>
        <v/>
      </c>
    </row>
    <row r="136" spans="2:5" x14ac:dyDescent="0.25">
      <c r="B136" t="str">
        <f>IF('[1]Charriage - Geschiebehaushalt'!P24="a",'[1]Charriage - Geschiebehaushalt'!O24,"")</f>
        <v>21-50%</v>
      </c>
      <c r="C136" t="str">
        <f>IF('[1]Charriage - Geschiebehaushalt'!P24="b",'[1]Charriage - Geschiebehaushalt'!O24,"")</f>
        <v/>
      </c>
      <c r="D136" t="str">
        <f>IF('[1]Revitalisation-Revitalisierung'!L24="a",'[1]Revitalisation-Revitalisierung'!K24,"")</f>
        <v>Partiellement nécessaire, facile / teilweise nötig, einfach</v>
      </c>
      <c r="E136" t="str">
        <f>IF('[1]Revitalisation-Revitalisierung'!L24="b",'[1]Revitalisation-Revitalisierung'!K24,"")</f>
        <v/>
      </c>
    </row>
    <row r="137" spans="2:5" x14ac:dyDescent="0.25">
      <c r="B137" t="str">
        <f>IF('[1]Charriage - Geschiebehaushalt'!P25="a",'[1]Charriage - Geschiebehaushalt'!O25,"")</f>
        <v>21-50%</v>
      </c>
      <c r="C137" t="str">
        <f>IF('[1]Charriage - Geschiebehaushalt'!P25="b",'[1]Charriage - Geschiebehaushalt'!O25,"")</f>
        <v/>
      </c>
      <c r="D137" t="str">
        <f>IF('[1]Revitalisation-Revitalisierung'!L25="a",'[1]Revitalisation-Revitalisierung'!K25,"")</f>
        <v>Non nécessaire / nicht nötig</v>
      </c>
      <c r="E137" t="str">
        <f>IF('[1]Revitalisation-Revitalisierung'!L25="b",'[1]Revitalisation-Revitalisierung'!K25,"")</f>
        <v/>
      </c>
    </row>
    <row r="138" spans="2:5" x14ac:dyDescent="0.25">
      <c r="B138" t="str">
        <f>IF('[1]Charriage - Geschiebehaushalt'!P26="a",'[1]Charriage - Geschiebehaushalt'!O26,"")</f>
        <v>21-50%</v>
      </c>
      <c r="C138" t="str">
        <f>IF('[1]Charriage - Geschiebehaushalt'!P26="b",'[1]Charriage - Geschiebehaushalt'!O26,"")</f>
        <v/>
      </c>
      <c r="D138" t="str">
        <f>IF('[1]Revitalisation-Revitalisierung'!L26="a",'[1]Revitalisation-Revitalisierung'!K26,"")</f>
        <v>Très nécessaire, difficile / unbedingt nötig, schwierig</v>
      </c>
      <c r="E138" t="str">
        <f>IF('[1]Revitalisation-Revitalisierung'!L26="b",'[1]Revitalisation-Revitalisierung'!K26,"")</f>
        <v/>
      </c>
    </row>
    <row r="139" spans="2:5" x14ac:dyDescent="0.25">
      <c r="B139" t="str">
        <f>IF('[1]Charriage - Geschiebehaushalt'!P27="a",'[1]Charriage - Geschiebehaushalt'!O27,"")</f>
        <v>non pertinent / nicht relevant</v>
      </c>
      <c r="C139" t="str">
        <f>IF('[1]Charriage - Geschiebehaushalt'!P27="b",'[1]Charriage - Geschiebehaushalt'!O27,"")</f>
        <v/>
      </c>
      <c r="D139" t="str">
        <f>IF('[1]Revitalisation-Revitalisierung'!L27="a",'[1]Revitalisation-Revitalisierung'!K27,"")</f>
        <v/>
      </c>
      <c r="E139" t="str">
        <f>IF('[1]Revitalisation-Revitalisierung'!L27="b",'[1]Revitalisation-Revitalisierung'!K27,"")</f>
        <v>Partiellement nécessaire, facile / teilweise nötig, einfach</v>
      </c>
    </row>
    <row r="140" spans="2:5" x14ac:dyDescent="0.25">
      <c r="B140" t="str">
        <f>IF('[1]Charriage - Geschiebehaushalt'!P28="a",'[1]Charriage - Geschiebehaushalt'!O28,"")</f>
        <v>81 -100%</v>
      </c>
      <c r="C140" t="str">
        <f>IF('[1]Charriage - Geschiebehaushalt'!P28="b",'[1]Charriage - Geschiebehaushalt'!O28,"")</f>
        <v/>
      </c>
      <c r="D140" t="str">
        <f>IF('[1]Revitalisation-Revitalisierung'!L28="a",'[1]Revitalisation-Revitalisierung'!K28,"")</f>
        <v/>
      </c>
      <c r="E140" t="str">
        <f>IF('[1]Revitalisation-Revitalisierung'!L28="b",'[1]Revitalisation-Revitalisierung'!K28,"")</f>
        <v>Partiellement nécessaire, difficile / teilweise nötig, schwierig</v>
      </c>
    </row>
    <row r="141" spans="2:5" x14ac:dyDescent="0.25">
      <c r="B141" t="str">
        <f>IF('[1]Charriage - Geschiebehaushalt'!P29="a",'[1]Charriage - Geschiebehaushalt'!O29,"")</f>
        <v>81 -100%</v>
      </c>
      <c r="C141" t="str">
        <f>IF('[1]Charriage - Geschiebehaushalt'!P29="b",'[1]Charriage - Geschiebehaushalt'!O29,"")</f>
        <v/>
      </c>
      <c r="D141" t="str">
        <f>IF('[1]Revitalisation-Revitalisierung'!L29="a",'[1]Revitalisation-Revitalisierung'!K29,"")</f>
        <v/>
      </c>
      <c r="E141" t="str">
        <f>IF('[1]Revitalisation-Revitalisierung'!L29="b",'[1]Revitalisation-Revitalisierung'!K29,"")</f>
        <v>Partiellement nécessaire, difficile / teilweise nötig, schwierig</v>
      </c>
    </row>
    <row r="142" spans="2:5" x14ac:dyDescent="0.25">
      <c r="B142" t="str">
        <f>IF('[1]Charriage - Geschiebehaushalt'!P30="a",'[1]Charriage - Geschiebehaushalt'!O30,"")</f>
        <v>21-50%</v>
      </c>
      <c r="C142" t="str">
        <f>IF('[1]Charriage - Geschiebehaushalt'!P30="b",'[1]Charriage - Geschiebehaushalt'!O30,"")</f>
        <v/>
      </c>
      <c r="D142" t="str">
        <f>IF('[1]Revitalisation-Revitalisierung'!L30="a",'[1]Revitalisation-Revitalisierung'!K30,"")</f>
        <v>Très nécessaire, facile / unbedingt nötig, einfach</v>
      </c>
      <c r="E142" t="str">
        <f>IF('[1]Revitalisation-Revitalisierung'!L30="b",'[1]Revitalisation-Revitalisierung'!K30,"")</f>
        <v/>
      </c>
    </row>
    <row r="143" spans="2:5" x14ac:dyDescent="0.25">
      <c r="B143" t="str">
        <f>IF('[1]Charriage - Geschiebehaushalt'!P31="a",'[1]Charriage - Geschiebehaushalt'!O31,"")</f>
        <v>21-50%</v>
      </c>
      <c r="C143" t="str">
        <f>IF('[1]Charriage - Geschiebehaushalt'!P31="b",'[1]Charriage - Geschiebehaushalt'!O31,"")</f>
        <v/>
      </c>
      <c r="D143" t="str">
        <f>IF('[1]Revitalisation-Revitalisierung'!L31="a",'[1]Revitalisation-Revitalisierung'!K31,"")</f>
        <v>Très nécessaire, facile / unbedingt nötig, einfach</v>
      </c>
      <c r="E143" t="str">
        <f>IF('[1]Revitalisation-Revitalisierung'!L31="b",'[1]Revitalisation-Revitalisierung'!K31,"")</f>
        <v/>
      </c>
    </row>
    <row r="144" spans="2:5" x14ac:dyDescent="0.25">
      <c r="B144" t="str">
        <f>IF('[1]Charriage - Geschiebehaushalt'!P32="a",'[1]Charriage - Geschiebehaushalt'!O32,"")</f>
        <v>21-50%</v>
      </c>
      <c r="C144" t="str">
        <f>IF('[1]Charriage - Geschiebehaushalt'!P32="b",'[1]Charriage - Geschiebehaushalt'!O32,"")</f>
        <v/>
      </c>
      <c r="D144" t="str">
        <f>IF('[1]Revitalisation-Revitalisierung'!L32="a",'[1]Revitalisation-Revitalisierung'!K32,"")</f>
        <v>Très nécessaire, facile / unbedingt nötig, einfach</v>
      </c>
      <c r="E144" t="str">
        <f>IF('[1]Revitalisation-Revitalisierung'!L32="b",'[1]Revitalisation-Revitalisierung'!K32,"")</f>
        <v/>
      </c>
    </row>
    <row r="145" spans="2:5" x14ac:dyDescent="0.25">
      <c r="B145" t="str">
        <f>IF('[1]Charriage - Geschiebehaushalt'!P33="a",'[1]Charriage - Geschiebehaushalt'!O33,"")</f>
        <v>Déficit non apparent en charriage ou en remobilisation des sédiments / kein sichtbares Defizit beim Geschiebehaushalt bzw. bei der Mobilisierung von Geschiebe</v>
      </c>
      <c r="C145" t="str">
        <f>IF('[1]Charriage - Geschiebehaushalt'!P33="b",'[1]Charriage - Geschiebehaushalt'!O33,"")</f>
        <v/>
      </c>
      <c r="D145" t="str">
        <f>IF('[1]Revitalisation-Revitalisierung'!L33="a",'[1]Revitalisation-Revitalisierung'!K33,"")</f>
        <v/>
      </c>
      <c r="E145" t="str">
        <f>IF('[1]Revitalisation-Revitalisierung'!L33="b",'[1]Revitalisation-Revitalisierung'!K33,"")</f>
        <v>Très nécessaire, difficile / unbedingt nötig, schwierig</v>
      </c>
    </row>
    <row r="146" spans="2:5" x14ac:dyDescent="0.25">
      <c r="B146" t="str">
        <f>IF('[1]Charriage - Geschiebehaushalt'!P34="a",'[1]Charriage - Geschiebehaushalt'!O34,"")</f>
        <v/>
      </c>
      <c r="C146" t="str">
        <f>IF('[1]Charriage - Geschiebehaushalt'!P34="b",'[1]Charriage - Geschiebehaushalt'!O34,"")</f>
        <v>La remobilisation des sédiments est perturbée / Mobilisierung von Geschiebe beeinträchtigt</v>
      </c>
      <c r="D146" t="str">
        <f>IF('[1]Revitalisation-Revitalisierung'!L34="a",'[1]Revitalisation-Revitalisierung'!K34,"")</f>
        <v/>
      </c>
      <c r="E146" t="str">
        <f>IF('[1]Revitalisation-Revitalisierung'!L34="b",'[1]Revitalisation-Revitalisierung'!K34,"")</f>
        <v>Non nécessaire / nicht nötig</v>
      </c>
    </row>
    <row r="147" spans="2:5" x14ac:dyDescent="0.25">
      <c r="B147" t="str">
        <f>IF('[1]Charriage - Geschiebehaushalt'!P35="a",'[1]Charriage - Geschiebehaushalt'!O35,"")</f>
        <v/>
      </c>
      <c r="C147" t="str">
        <f>IF('[1]Charriage - Geschiebehaushalt'!P35="b",'[1]Charriage - Geschiebehaushalt'!O35,"")</f>
        <v>Charriage présumé perturbé / Geschiebehaushalt vermutlich beeinträchtigt</v>
      </c>
      <c r="D147" t="str">
        <f>IF('[1]Revitalisation-Revitalisierung'!L35="a",'[1]Revitalisation-Revitalisierung'!K35,"")</f>
        <v/>
      </c>
      <c r="E147" t="str">
        <f>IF('[1]Revitalisation-Revitalisierung'!L35="b",'[1]Revitalisation-Revitalisierung'!K35,"")</f>
        <v>Partiellement nécessaire, facile / teilweise nötig, einfach</v>
      </c>
    </row>
    <row r="148" spans="2:5" x14ac:dyDescent="0.25">
      <c r="B148" t="str">
        <f>IF('[1]Charriage - Geschiebehaushalt'!P36="a",'[1]Charriage - Geschiebehaushalt'!O36,"")</f>
        <v/>
      </c>
      <c r="C148" t="str">
        <f>IF('[1]Charriage - Geschiebehaushalt'!P36="b",'[1]Charriage - Geschiebehaushalt'!O36,"")</f>
        <v>Charriage présumé perturbé / Geschiebehaushalt vermutlich beeinträchtigt</v>
      </c>
      <c r="D148" t="str">
        <f>IF('[1]Revitalisation-Revitalisierung'!L36="a",'[1]Revitalisation-Revitalisierung'!K36,"")</f>
        <v/>
      </c>
      <c r="E148" t="str">
        <f>IF('[1]Revitalisation-Revitalisierung'!L36="b",'[1]Revitalisation-Revitalisierung'!K36,"")</f>
        <v>Partiellement nécessaire, facile / teilweise nötig, einfach</v>
      </c>
    </row>
    <row r="149" spans="2:5" x14ac:dyDescent="0.25">
      <c r="B149" t="str">
        <f>IF('[1]Charriage - Geschiebehaushalt'!P37="a",'[1]Charriage - Geschiebehaushalt'!O37,"")</f>
        <v/>
      </c>
      <c r="C149" t="str">
        <f>IF('[1]Charriage - Geschiebehaushalt'!P37="b",'[1]Charriage - Geschiebehaushalt'!O37,"")</f>
        <v>Déficit non apparent en charriage ou en remobilisation des sédiments / kein sichtbares Defizit beim Geschiebehaushalt bzw. bei der Mobilisierung von Geschiebe</v>
      </c>
      <c r="D149" t="str">
        <f>IF('[1]Revitalisation-Revitalisierung'!L37="a",'[1]Revitalisation-Revitalisierung'!K37,"")</f>
        <v>Non nécessaire / nicht nötig</v>
      </c>
      <c r="E149" t="str">
        <f>IF('[1]Revitalisation-Revitalisierung'!L37="b",'[1]Revitalisation-Revitalisierung'!K37,"")</f>
        <v/>
      </c>
    </row>
    <row r="150" spans="2:5" x14ac:dyDescent="0.25">
      <c r="B150" t="str">
        <f>IF('[1]Charriage - Geschiebehaushalt'!P38="a",'[1]Charriage - Geschiebehaushalt'!O38,"")</f>
        <v>81 -100%</v>
      </c>
      <c r="C150" t="str">
        <f>IF('[1]Charriage - Geschiebehaushalt'!P38="b",'[1]Charriage - Geschiebehaushalt'!O38,"")</f>
        <v/>
      </c>
      <c r="D150" t="str">
        <f>IF('[1]Revitalisation-Revitalisierung'!L38="a",'[1]Revitalisation-Revitalisierung'!K38,"")</f>
        <v/>
      </c>
      <c r="E150" t="str">
        <f>IF('[1]Revitalisation-Revitalisierung'!L38="b",'[1]Revitalisation-Revitalisierung'!K38,"")</f>
        <v>Partiellement nécessaire, facile / teilweise nötig, einfach</v>
      </c>
    </row>
    <row r="151" spans="2:5" x14ac:dyDescent="0.25">
      <c r="B151" t="str">
        <f>IF('[1]Charriage - Geschiebehaushalt'!P39="a",'[1]Charriage - Geschiebehaushalt'!O39,"")</f>
        <v/>
      </c>
      <c r="C151" t="str">
        <f>IF('[1]Charriage - Geschiebehaushalt'!P39="b",'[1]Charriage - Geschiebehaushalt'!O39,"")</f>
        <v>Problème lié à un manque de charriage ou à un manque de remobilisation des sédiments / Problem aufgrund Geschiebemangels bzw. mangelnder Mobilisierung von Geschiebe</v>
      </c>
      <c r="D151" t="str">
        <f>IF('[1]Revitalisation-Revitalisierung'!L39="a",'[1]Revitalisation-Revitalisierung'!K39,"")</f>
        <v>Très nécessaire, facile / unbedingt nötig, einfach</v>
      </c>
      <c r="E151" t="str">
        <f>IF('[1]Revitalisation-Revitalisierung'!L39="b",'[1]Revitalisation-Revitalisierung'!K39,"")</f>
        <v/>
      </c>
    </row>
    <row r="152" spans="2:5" x14ac:dyDescent="0.25">
      <c r="B152" t="str">
        <f>IF('[1]Charriage - Geschiebehaushalt'!P40="a",'[1]Charriage - Geschiebehaushalt'!O40,"")</f>
        <v/>
      </c>
      <c r="C152" t="str">
        <f>IF('[1]Charriage - Geschiebehaushalt'!P40="b",'[1]Charriage - Geschiebehaushalt'!O40,"")</f>
        <v>La remobilisation des sédiments est perturbée / Mobilisierung von Geschiebe beeinträchtigt</v>
      </c>
      <c r="D152" t="str">
        <f>IF('[1]Revitalisation-Revitalisierung'!L40="a",'[1]Revitalisation-Revitalisierung'!K40,"")</f>
        <v/>
      </c>
      <c r="E152" t="str">
        <f>IF('[1]Revitalisation-Revitalisierung'!L40="b",'[1]Revitalisation-Revitalisierung'!K40,"")</f>
        <v>Très nécessaire, facile / unbedingt nötig, einfach</v>
      </c>
    </row>
    <row r="153" spans="2:5" x14ac:dyDescent="0.25">
      <c r="B153" t="str">
        <f>IF('[1]Charriage - Geschiebehaushalt'!P41="a",'[1]Charriage - Geschiebehaushalt'!O41,"")</f>
        <v>0-20%</v>
      </c>
      <c r="C153" t="str">
        <f>IF('[1]Charriage - Geschiebehaushalt'!P41="b",'[1]Charriage - Geschiebehaushalt'!O41,"")</f>
        <v/>
      </c>
      <c r="D153" t="str">
        <f>IF('[1]Revitalisation-Revitalisierung'!L41="a",'[1]Revitalisation-Revitalisierung'!K41,"")</f>
        <v>Non nécessaire / nicht nötig</v>
      </c>
      <c r="E153" t="str">
        <f>IF('[1]Revitalisation-Revitalisierung'!L41="b",'[1]Revitalisation-Revitalisierung'!K41,"")</f>
        <v/>
      </c>
    </row>
    <row r="154" spans="2:5" x14ac:dyDescent="0.25">
      <c r="B154" t="str">
        <f>IF('[1]Charriage - Geschiebehaushalt'!P42="a",'[1]Charriage - Geschiebehaushalt'!O42,"")</f>
        <v>0-20%</v>
      </c>
      <c r="C154" t="str">
        <f>IF('[1]Charriage - Geschiebehaushalt'!P42="b",'[1]Charriage - Geschiebehaushalt'!O42,"")</f>
        <v/>
      </c>
      <c r="D154" t="str">
        <f>IF('[1]Revitalisation-Revitalisierung'!L42="a",'[1]Revitalisation-Revitalisierung'!K42,"")</f>
        <v>Partiellement nécessaire, difficile / teilweise nötig, schwierig</v>
      </c>
      <c r="E154" t="str">
        <f>IF('[1]Revitalisation-Revitalisierung'!L42="b",'[1]Revitalisation-Revitalisierung'!K42,"")</f>
        <v/>
      </c>
    </row>
    <row r="155" spans="2:5" x14ac:dyDescent="0.25">
      <c r="B155" t="str">
        <f>IF('[1]Charriage - Geschiebehaushalt'!P43="a",'[1]Charriage - Geschiebehaushalt'!O43,"")</f>
        <v>51-80%</v>
      </c>
      <c r="C155" t="str">
        <f>IF('[1]Charriage - Geschiebehaushalt'!P43="b",'[1]Charriage - Geschiebehaushalt'!O43,"")</f>
        <v/>
      </c>
      <c r="D155" t="str">
        <f>IF('[1]Revitalisation-Revitalisierung'!L43="a",'[1]Revitalisation-Revitalisierung'!K43,"")</f>
        <v>Très nécessaire, facile / unbedingt nötig, einfach</v>
      </c>
      <c r="E155" t="str">
        <f>IF('[1]Revitalisation-Revitalisierung'!L43="b",'[1]Revitalisation-Revitalisierung'!K43,"")</f>
        <v/>
      </c>
    </row>
    <row r="156" spans="2:5" x14ac:dyDescent="0.25">
      <c r="B156" t="str">
        <f>IF('[1]Charriage - Geschiebehaushalt'!P44="a",'[1]Charriage - Geschiebehaushalt'!O44,"")</f>
        <v/>
      </c>
      <c r="C156" t="str">
        <f>IF('[1]Charriage - Geschiebehaushalt'!P44="b",'[1]Charriage - Geschiebehaushalt'!O44,"")</f>
        <v>Charriage présumé faiblement perturbé / Geschiebe vermutlich leicht beeinträchtigt</v>
      </c>
      <c r="D156" t="str">
        <f>IF('[1]Revitalisation-Revitalisierung'!L44="a",'[1]Revitalisation-Revitalisierung'!K44,"")</f>
        <v/>
      </c>
      <c r="E156" t="str">
        <f>IF('[1]Revitalisation-Revitalisierung'!L44="b",'[1]Revitalisation-Revitalisierung'!K44,"")</f>
        <v>Non nécessaire / nicht nötig</v>
      </c>
    </row>
    <row r="157" spans="2:5" x14ac:dyDescent="0.25">
      <c r="B157" t="str">
        <f>IF('[1]Charriage - Geschiebehaushalt'!P45="a",'[1]Charriage - Geschiebehaushalt'!O45,"")</f>
        <v/>
      </c>
      <c r="C157" t="str">
        <f>IF('[1]Charriage - Geschiebehaushalt'!P45="b",'[1]Charriage - Geschiebehaushalt'!O45,"")</f>
        <v>Charriage présumé naturel / Geschiebehaushalt vermutlich natürlich</v>
      </c>
      <c r="D157" t="str">
        <f>IF('[1]Revitalisation-Revitalisierung'!L45="a",'[1]Revitalisation-Revitalisierung'!K45,"")</f>
        <v>Partiellement nécessaire, facile / teilweise nötig, einfach</v>
      </c>
      <c r="E157" t="str">
        <f>IF('[1]Revitalisation-Revitalisierung'!L45="b",'[1]Revitalisation-Revitalisierung'!K45,"")</f>
        <v/>
      </c>
    </row>
    <row r="158" spans="2:5" x14ac:dyDescent="0.25">
      <c r="B158" t="str">
        <f>IF('[1]Charriage - Geschiebehaushalt'!P46="a",'[1]Charriage - Geschiebehaushalt'!O46,"")</f>
        <v>81 -100%</v>
      </c>
      <c r="C158" t="str">
        <f>IF('[1]Charriage - Geschiebehaushalt'!P46="b",'[1]Charriage - Geschiebehaushalt'!O46,"")</f>
        <v/>
      </c>
      <c r="D158" t="str">
        <f>IF('[1]Revitalisation-Revitalisierung'!L46="a",'[1]Revitalisation-Revitalisierung'!K46,"")</f>
        <v>Non nécessaire / nicht nötig</v>
      </c>
      <c r="E158" t="str">
        <f>IF('[1]Revitalisation-Revitalisierung'!L46="b",'[1]Revitalisation-Revitalisierung'!K46,"")</f>
        <v/>
      </c>
    </row>
    <row r="159" spans="2:5" x14ac:dyDescent="0.25">
      <c r="B159" t="str">
        <f>IF('[1]Charriage - Geschiebehaushalt'!P47="a",'[1]Charriage - Geschiebehaushalt'!O47,"")</f>
        <v>81 -100%</v>
      </c>
      <c r="C159" t="str">
        <f>IF('[1]Charriage - Geschiebehaushalt'!P47="b",'[1]Charriage - Geschiebehaushalt'!O47,"")</f>
        <v/>
      </c>
      <c r="D159" t="str">
        <f>IF('[1]Revitalisation-Revitalisierung'!L47="a",'[1]Revitalisation-Revitalisierung'!K47,"")</f>
        <v/>
      </c>
      <c r="E159" t="str">
        <f>IF('[1]Revitalisation-Revitalisierung'!L47="b",'[1]Revitalisation-Revitalisierung'!K47,"")</f>
        <v>Partiellement nécessaire, facile / teilweise nötig, einfach</v>
      </c>
    </row>
    <row r="160" spans="2:5" x14ac:dyDescent="0.25">
      <c r="B160" t="str">
        <f>IF('[1]Charriage - Geschiebehaushalt'!P48="a",'[1]Charriage - Geschiebehaushalt'!O48,"")</f>
        <v/>
      </c>
      <c r="C160" t="str">
        <f>IF('[1]Charriage - Geschiebehaushalt'!P48="b",'[1]Charriage - Geschiebehaushalt'!O48,"")</f>
        <v>Charriage présumé perturbé / Geschiebehaushalt vermutlich beeinträchtigt</v>
      </c>
      <c r="D160" t="str">
        <f>IF('[1]Revitalisation-Revitalisierung'!L48="a",'[1]Revitalisation-Revitalisierung'!K48,"")</f>
        <v>Partiellement nécessaire, facile / teilweise nötig, einfach</v>
      </c>
      <c r="E160" t="str">
        <f>IF('[1]Revitalisation-Revitalisierung'!L48="b",'[1]Revitalisation-Revitalisierung'!K48,"")</f>
        <v/>
      </c>
    </row>
    <row r="161" spans="2:5" x14ac:dyDescent="0.25">
      <c r="B161" t="str">
        <f>IF('[1]Charriage - Geschiebehaushalt'!P49="a",'[1]Charriage - Geschiebehaushalt'!O49,"")</f>
        <v>Problème lié à un manque de charriage ou à un manque de remobilisation des sédiments / Problem aufgrund Geschiebemangels bzw. mangelnder Mobilisierung von Geschiebe</v>
      </c>
      <c r="C161" t="str">
        <f>IF('[1]Charriage - Geschiebehaushalt'!P49="b",'[1]Charriage - Geschiebehaushalt'!O49,"")</f>
        <v/>
      </c>
      <c r="D161" t="str">
        <f>IF('[1]Revitalisation-Revitalisierung'!L49="a",'[1]Revitalisation-Revitalisierung'!K49,"")</f>
        <v>Très nécessaire, facile / unbedingt nötig, einfach</v>
      </c>
      <c r="E161" t="str">
        <f>IF('[1]Revitalisation-Revitalisierung'!L49="b",'[1]Revitalisation-Revitalisierung'!K49,"")</f>
        <v/>
      </c>
    </row>
    <row r="162" spans="2:5" x14ac:dyDescent="0.25">
      <c r="B162" t="str">
        <f>IF('[1]Charriage - Geschiebehaushalt'!P50="a",'[1]Charriage - Geschiebehaushalt'!O50,"")</f>
        <v>Problème lié à un manque de charriage ou à un manque de remobilisation des sédiments / Problem aufgrund Geschiebemangels bzw. mangelnder Mobilisierung von Geschiebe</v>
      </c>
      <c r="C162" t="str">
        <f>IF('[1]Charriage - Geschiebehaushalt'!P50="b",'[1]Charriage - Geschiebehaushalt'!O50,"")</f>
        <v/>
      </c>
      <c r="D162" t="str">
        <f>IF('[1]Revitalisation-Revitalisierung'!L50="a",'[1]Revitalisation-Revitalisierung'!K50,"")</f>
        <v>Très nécessaire, facile / unbedingt nötig, einfach</v>
      </c>
      <c r="E162" t="str">
        <f>IF('[1]Revitalisation-Revitalisierung'!L50="b",'[1]Revitalisation-Revitalisierung'!K50,"")</f>
        <v/>
      </c>
    </row>
    <row r="163" spans="2:5" x14ac:dyDescent="0.25">
      <c r="B163" t="str">
        <f>IF('[1]Charriage - Geschiebehaushalt'!P51="a",'[1]Charriage - Geschiebehaushalt'!O51,"")</f>
        <v/>
      </c>
      <c r="C163" t="str">
        <f>IF('[1]Charriage - Geschiebehaushalt'!P51="b",'[1]Charriage - Geschiebehaushalt'!O51,"")</f>
        <v>Déficit non apparent en charriage ou en remobilisation des sédiments / kein sichtbares Defizit beim Geschiebehaushalt bzw. bei der Mobilisierung von Geschiebe</v>
      </c>
      <c r="D163" t="str">
        <f>IF('[1]Revitalisation-Revitalisierung'!L51="a",'[1]Revitalisation-Revitalisierung'!K51,"")</f>
        <v>Partiellement nécessaire, facile / teilweise nötig, einfach</v>
      </c>
      <c r="E163" t="str">
        <f>IF('[1]Revitalisation-Revitalisierung'!L51="b",'[1]Revitalisation-Revitalisierung'!K51,"")</f>
        <v/>
      </c>
    </row>
    <row r="164" spans="2:5" x14ac:dyDescent="0.25">
      <c r="B164" t="str">
        <f>IF('[1]Charriage - Geschiebehaushalt'!P52="a",'[1]Charriage - Geschiebehaushalt'!O52,"")</f>
        <v>21-50%</v>
      </c>
      <c r="C164" t="str">
        <f>IF('[1]Charriage - Geschiebehaushalt'!P52="b",'[1]Charriage - Geschiebehaushalt'!O52,"")</f>
        <v/>
      </c>
      <c r="D164" t="str">
        <f>IF('[1]Revitalisation-Revitalisierung'!L52="a",'[1]Revitalisation-Revitalisierung'!K52,"")</f>
        <v>Très nécessaire, difficile / unbedingt nötig, schwierig</v>
      </c>
      <c r="E164" t="str">
        <f>IF('[1]Revitalisation-Revitalisierung'!L52="b",'[1]Revitalisation-Revitalisierung'!K52,"")</f>
        <v/>
      </c>
    </row>
    <row r="165" spans="2:5" x14ac:dyDescent="0.25">
      <c r="B165" t="str">
        <f>IF('[1]Charriage - Geschiebehaushalt'!P53="a",'[1]Charriage - Geschiebehaushalt'!O53,"")</f>
        <v>51-80%</v>
      </c>
      <c r="C165" t="str">
        <f>IF('[1]Charriage - Geschiebehaushalt'!P53="b",'[1]Charriage - Geschiebehaushalt'!O53,"")</f>
        <v/>
      </c>
      <c r="D165" t="str">
        <f>IF('[1]Revitalisation-Revitalisierung'!L53="a",'[1]Revitalisation-Revitalisierung'!K53,"")</f>
        <v/>
      </c>
      <c r="E165" t="str">
        <f>IF('[1]Revitalisation-Revitalisierung'!L53="b",'[1]Revitalisation-Revitalisierung'!K53,"")</f>
        <v>Très nécessaire, facile / unbedingt nötig, einfach</v>
      </c>
    </row>
    <row r="166" spans="2:5" x14ac:dyDescent="0.25">
      <c r="B166" t="str">
        <f>IF('[1]Charriage - Geschiebehaushalt'!P54="a",'[1]Charriage - Geschiebehaushalt'!O54,"")</f>
        <v>51-80%</v>
      </c>
      <c r="C166" t="str">
        <f>IF('[1]Charriage - Geschiebehaushalt'!P54="b",'[1]Charriage - Geschiebehaushalt'!O54,"")</f>
        <v/>
      </c>
      <c r="D166" t="str">
        <f>IF('[1]Revitalisation-Revitalisierung'!L54="a",'[1]Revitalisation-Revitalisierung'!K54,"")</f>
        <v/>
      </c>
      <c r="E166" t="str">
        <f>IF('[1]Revitalisation-Revitalisierung'!L54="b",'[1]Revitalisation-Revitalisierung'!K54,"")</f>
        <v>Non nécessaire / nicht nötig</v>
      </c>
    </row>
    <row r="167" spans="2:5" x14ac:dyDescent="0.25">
      <c r="B167" t="str">
        <f>IF('[1]Charriage - Geschiebehaushalt'!P55="a",'[1]Charriage - Geschiebehaushalt'!O55,"")</f>
        <v>81 -100%</v>
      </c>
      <c r="C167" t="str">
        <f>IF('[1]Charriage - Geschiebehaushalt'!P55="b",'[1]Charriage - Geschiebehaushalt'!O55,"")</f>
        <v/>
      </c>
      <c r="D167" t="str">
        <f>IF('[1]Revitalisation-Revitalisierung'!L55="a",'[1]Revitalisation-Revitalisierung'!K55,"")</f>
        <v/>
      </c>
      <c r="E167" t="str">
        <f>IF('[1]Revitalisation-Revitalisierung'!L55="b",'[1]Revitalisation-Revitalisierung'!K55,"")</f>
        <v>Très nécessaire, facile / unbedingt nötig, einfach</v>
      </c>
    </row>
    <row r="168" spans="2:5" x14ac:dyDescent="0.25">
      <c r="B168" t="str">
        <f>IF('[1]Charriage - Geschiebehaushalt'!P56="a",'[1]Charriage - Geschiebehaushalt'!O56,"")</f>
        <v>0-20%</v>
      </c>
      <c r="C168" t="str">
        <f>IF('[1]Charriage - Geschiebehaushalt'!P56="b",'[1]Charriage - Geschiebehaushalt'!O56,"")</f>
        <v/>
      </c>
      <c r="D168" t="str">
        <f>IF('[1]Revitalisation-Revitalisierung'!L56="a",'[1]Revitalisation-Revitalisierung'!K56,"")</f>
        <v/>
      </c>
      <c r="E168" t="str">
        <f>IF('[1]Revitalisation-Revitalisierung'!L56="b",'[1]Revitalisation-Revitalisierung'!K56,"")</f>
        <v>Non nécessaire / nicht nötig</v>
      </c>
    </row>
    <row r="169" spans="2:5" x14ac:dyDescent="0.25">
      <c r="B169" t="str">
        <f>IF('[1]Charriage - Geschiebehaushalt'!P57="a",'[1]Charriage - Geschiebehaushalt'!O57,"")</f>
        <v>21-50%</v>
      </c>
      <c r="C169" t="str">
        <f>IF('[1]Charriage - Geschiebehaushalt'!P57="b",'[1]Charriage - Geschiebehaushalt'!O57,"")</f>
        <v/>
      </c>
      <c r="D169" t="str">
        <f>IF('[1]Revitalisation-Revitalisierung'!L57="a",'[1]Revitalisation-Revitalisierung'!K57,"")</f>
        <v>Très nécessaire, facile / unbedingt nötig, einfach</v>
      </c>
      <c r="E169" t="str">
        <f>IF('[1]Revitalisation-Revitalisierung'!L57="b",'[1]Revitalisation-Revitalisierung'!K57,"")</f>
        <v/>
      </c>
    </row>
    <row r="170" spans="2:5" x14ac:dyDescent="0.25">
      <c r="B170" t="str">
        <f>IF('[1]Charriage - Geschiebehaushalt'!P58="a",'[1]Charriage - Geschiebehaushalt'!O58,"")</f>
        <v>21-50%</v>
      </c>
      <c r="C170" t="str">
        <f>IF('[1]Charriage - Geschiebehaushalt'!P58="b",'[1]Charriage - Geschiebehaushalt'!O58,"")</f>
        <v/>
      </c>
      <c r="D170" t="str">
        <f>IF('[1]Revitalisation-Revitalisierung'!L58="a",'[1]Revitalisation-Revitalisierung'!K58,"")</f>
        <v>Très nécessaire, facile / unbedingt nötig, einfach</v>
      </c>
      <c r="E170" t="str">
        <f>IF('[1]Revitalisation-Revitalisierung'!L58="b",'[1]Revitalisation-Revitalisierung'!K58,"")</f>
        <v/>
      </c>
    </row>
    <row r="171" spans="2:5" x14ac:dyDescent="0.25">
      <c r="B171" t="str">
        <f>IF('[1]Charriage - Geschiebehaushalt'!P59="a",'[1]Charriage - Geschiebehaushalt'!O59,"")</f>
        <v>21-50%</v>
      </c>
      <c r="C171" t="str">
        <f>IF('[1]Charriage - Geschiebehaushalt'!P59="b",'[1]Charriage - Geschiebehaushalt'!O59,"")</f>
        <v/>
      </c>
      <c r="D171" t="str">
        <f>IF('[1]Revitalisation-Revitalisierung'!L59="a",'[1]Revitalisation-Revitalisierung'!K59,"")</f>
        <v>Partiellement nécessaire, facile / teilweise nötig, einfach</v>
      </c>
      <c r="E171" t="str">
        <f>IF('[1]Revitalisation-Revitalisierung'!L59="b",'[1]Revitalisation-Revitalisierung'!K59,"")</f>
        <v/>
      </c>
    </row>
    <row r="172" spans="2:5" x14ac:dyDescent="0.25">
      <c r="B172" t="str">
        <f>IF('[1]Charriage - Geschiebehaushalt'!P60="a",'[1]Charriage - Geschiebehaushalt'!O60,"")</f>
        <v>0-20%</v>
      </c>
      <c r="C172" t="str">
        <f>IF('[1]Charriage - Geschiebehaushalt'!P60="b",'[1]Charriage - Geschiebehaushalt'!O60,"")</f>
        <v/>
      </c>
      <c r="D172" t="str">
        <f>IF('[1]Revitalisation-Revitalisierung'!L60="a",'[1]Revitalisation-Revitalisierung'!K60,"")</f>
        <v>Partiellement nécessaire, facile / teilweise nötig, einfach</v>
      </c>
      <c r="E172" t="str">
        <f>IF('[1]Revitalisation-Revitalisierung'!L60="b",'[1]Revitalisation-Revitalisierung'!K60,"")</f>
        <v/>
      </c>
    </row>
    <row r="173" spans="2:5" x14ac:dyDescent="0.25">
      <c r="B173" t="str">
        <f>IF('[1]Charriage - Geschiebehaushalt'!P61="a",'[1]Charriage - Geschiebehaushalt'!O61,"")</f>
        <v/>
      </c>
      <c r="C173" t="str">
        <f>IF('[1]Charriage - Geschiebehaushalt'!P61="b",'[1]Charriage - Geschiebehaushalt'!O61,"")</f>
        <v>La remobilisation des sédiments est perturbée / Mobilisierung von Geschiebe beeinträchtigt</v>
      </c>
      <c r="D173" t="str">
        <f>IF('[1]Revitalisation-Revitalisierung'!L61="a",'[1]Revitalisation-Revitalisierung'!K61,"")</f>
        <v>Très nécessaire, facile / unbedingt nötig, einfach</v>
      </c>
      <c r="E173" t="str">
        <f>IF('[1]Revitalisation-Revitalisierung'!L61="b",'[1]Revitalisation-Revitalisierung'!K61,"")</f>
        <v/>
      </c>
    </row>
    <row r="174" spans="2:5" x14ac:dyDescent="0.25">
      <c r="B174" t="str">
        <f>IF('[1]Charriage - Geschiebehaushalt'!P62="a",'[1]Charriage - Geschiebehaushalt'!O62,"")</f>
        <v>non pertinent / nicht relevant</v>
      </c>
      <c r="C174" t="str">
        <f>IF('[1]Charriage - Geschiebehaushalt'!P62="b",'[1]Charriage - Geschiebehaushalt'!O62,"")</f>
        <v/>
      </c>
      <c r="D174" t="str">
        <f>IF('[1]Revitalisation-Revitalisierung'!L62="a",'[1]Revitalisation-Revitalisierung'!K62,"")</f>
        <v/>
      </c>
      <c r="E174" t="str">
        <f>IF('[1]Revitalisation-Revitalisierung'!L62="b",'[1]Revitalisation-Revitalisierung'!K62,"")</f>
        <v>Non nécessaire / nicht nötig</v>
      </c>
    </row>
    <row r="175" spans="2:5" x14ac:dyDescent="0.25">
      <c r="B175" t="str">
        <f>IF('[1]Charriage - Geschiebehaushalt'!P63="a",'[1]Charriage - Geschiebehaushalt'!O63,"")</f>
        <v/>
      </c>
      <c r="C175" t="str">
        <f>IF('[1]Charriage - Geschiebehaushalt'!P63="b",'[1]Charriage - Geschiebehaushalt'!O63,"")</f>
        <v>La remobilisation des sédiments est perturbée / Mobilisierung von Geschiebe beeinträchtigt</v>
      </c>
      <c r="D175" t="str">
        <f>IF('[1]Revitalisation-Revitalisierung'!L63="a",'[1]Revitalisation-Revitalisierung'!K63,"")</f>
        <v/>
      </c>
      <c r="E175" t="str">
        <f>IF('[1]Revitalisation-Revitalisierung'!L63="b",'[1]Revitalisation-Revitalisierung'!K63,"")</f>
        <v>Très nécessaire, difficile / unbedingt nötig, schwierig</v>
      </c>
    </row>
    <row r="176" spans="2:5" x14ac:dyDescent="0.25">
      <c r="B176" t="str">
        <f>IF('[1]Charriage - Geschiebehaushalt'!P64="a",'[1]Charriage - Geschiebehaushalt'!O64,"")</f>
        <v>51-80%</v>
      </c>
      <c r="C176" t="str">
        <f>IF('[1]Charriage - Geschiebehaushalt'!P64="b",'[1]Charriage - Geschiebehaushalt'!O64,"")</f>
        <v/>
      </c>
      <c r="D176" t="str">
        <f>IF('[1]Revitalisation-Revitalisierung'!L64="a",'[1]Revitalisation-Revitalisierung'!K64,"")</f>
        <v>Très nécessaire, facile / unbedingt nötig, einfach</v>
      </c>
      <c r="E176" t="str">
        <f>IF('[1]Revitalisation-Revitalisierung'!L64="b",'[1]Revitalisation-Revitalisierung'!K64,"")</f>
        <v/>
      </c>
    </row>
    <row r="177" spans="2:5" x14ac:dyDescent="0.25">
      <c r="B177" t="str">
        <f>IF('[1]Charriage - Geschiebehaushalt'!P65="a",'[1]Charriage - Geschiebehaushalt'!O65,"")</f>
        <v>non pertinent / nicht relevant</v>
      </c>
      <c r="C177" t="str">
        <f>IF('[1]Charriage - Geschiebehaushalt'!P65="b",'[1]Charriage - Geschiebehaushalt'!O65,"")</f>
        <v/>
      </c>
      <c r="D177" t="str">
        <f>IF('[1]Revitalisation-Revitalisierung'!L65="a",'[1]Revitalisation-Revitalisierung'!K65,"")</f>
        <v>Non nécessaire / nicht nötig</v>
      </c>
      <c r="E177" t="str">
        <f>IF('[1]Revitalisation-Revitalisierung'!L65="b",'[1]Revitalisation-Revitalisierung'!K65,"")</f>
        <v/>
      </c>
    </row>
    <row r="178" spans="2:5" x14ac:dyDescent="0.25">
      <c r="B178" t="str">
        <f>IF('[1]Charriage - Geschiebehaushalt'!P66="a",'[1]Charriage - Geschiebehaushalt'!O66,"")</f>
        <v>21-50%</v>
      </c>
      <c r="C178" t="str">
        <f>IF('[1]Charriage - Geschiebehaushalt'!P66="b",'[1]Charriage - Geschiebehaushalt'!O66,"")</f>
        <v/>
      </c>
      <c r="D178" t="str">
        <f>IF('[1]Revitalisation-Revitalisierung'!L66="a",'[1]Revitalisation-Revitalisierung'!K66,"")</f>
        <v/>
      </c>
      <c r="E178" t="str">
        <f>IF('[1]Revitalisation-Revitalisierung'!L66="b",'[1]Revitalisation-Revitalisierung'!K66,"")</f>
        <v>Très nécessaire, difficile / unbedingt nötig, schwierig</v>
      </c>
    </row>
    <row r="179" spans="2:5" x14ac:dyDescent="0.25">
      <c r="B179" t="str">
        <f>IF('[1]Charriage - Geschiebehaushalt'!P67="a",'[1]Charriage - Geschiebehaushalt'!O67,"")</f>
        <v>Déficit non apparent en charriage ou en remobilisation des sédiments / kein sichtbares Defizit beim Geschiebehaushalt bzw. bei der Mobilisierung von Geschiebe</v>
      </c>
      <c r="C179" t="str">
        <f>IF('[1]Charriage - Geschiebehaushalt'!P67="b",'[1]Charriage - Geschiebehaushalt'!O67,"")</f>
        <v/>
      </c>
      <c r="D179" t="str">
        <f>IF('[1]Revitalisation-Revitalisierung'!L67="a",'[1]Revitalisation-Revitalisierung'!K67,"")</f>
        <v/>
      </c>
      <c r="E179" t="str">
        <f>IF('[1]Revitalisation-Revitalisierung'!L67="b",'[1]Revitalisation-Revitalisierung'!K67,"")</f>
        <v>Très nécessaire, facile / unbedingt nötig, einfach</v>
      </c>
    </row>
    <row r="180" spans="2:5" x14ac:dyDescent="0.25">
      <c r="B180" t="str">
        <f>IF('[1]Charriage - Geschiebehaushalt'!P68="a",'[1]Charriage - Geschiebehaushalt'!O68,"")</f>
        <v>81 -100%</v>
      </c>
      <c r="C180" t="str">
        <f>IF('[1]Charriage - Geschiebehaushalt'!P68="b",'[1]Charriage - Geschiebehaushalt'!O68,"")</f>
        <v/>
      </c>
      <c r="D180" t="str">
        <f>IF('[1]Revitalisation-Revitalisierung'!L68="a",'[1]Revitalisation-Revitalisierung'!K68,"")</f>
        <v/>
      </c>
      <c r="E180" t="str">
        <f>IF('[1]Revitalisation-Revitalisierung'!L68="b",'[1]Revitalisation-Revitalisierung'!K68,"")</f>
        <v>Très nécessaire, facile / unbedingt nötig, einfach</v>
      </c>
    </row>
    <row r="181" spans="2:5" x14ac:dyDescent="0.25">
      <c r="B181" t="str">
        <f>IF('[1]Charriage - Geschiebehaushalt'!P69="a",'[1]Charriage - Geschiebehaushalt'!O69,"")</f>
        <v>81 -100%</v>
      </c>
      <c r="C181" t="str">
        <f>IF('[1]Charriage - Geschiebehaushalt'!P69="b",'[1]Charriage - Geschiebehaushalt'!O69,"")</f>
        <v/>
      </c>
      <c r="D181" t="str">
        <f>IF('[1]Revitalisation-Revitalisierung'!L69="a",'[1]Revitalisation-Revitalisierung'!K69,"")</f>
        <v/>
      </c>
      <c r="E181" t="str">
        <f>IF('[1]Revitalisation-Revitalisierung'!L69="b",'[1]Revitalisation-Revitalisierung'!K69,"")</f>
        <v>Très nécessaire, difficile / unbedingt nötig, schwierig</v>
      </c>
    </row>
    <row r="182" spans="2:5" x14ac:dyDescent="0.25">
      <c r="B182" t="str">
        <f>IF('[1]Charriage - Geschiebehaushalt'!P70="a",'[1]Charriage - Geschiebehaushalt'!O70,"")</f>
        <v>51-80%</v>
      </c>
      <c r="C182" t="str">
        <f>IF('[1]Charriage - Geschiebehaushalt'!P70="b",'[1]Charriage - Geschiebehaushalt'!O70,"")</f>
        <v/>
      </c>
      <c r="D182" t="str">
        <f>IF('[1]Revitalisation-Revitalisierung'!L70="a",'[1]Revitalisation-Revitalisierung'!K70,"")</f>
        <v>Très nécessaire, facile / unbedingt nötig, einfach</v>
      </c>
      <c r="E182" t="str">
        <f>IF('[1]Revitalisation-Revitalisierung'!L70="b",'[1]Revitalisation-Revitalisierung'!K70,"")</f>
        <v/>
      </c>
    </row>
    <row r="183" spans="2:5" x14ac:dyDescent="0.25">
      <c r="B183" t="str">
        <f>IF('[1]Charriage - Geschiebehaushalt'!P71="a",'[1]Charriage - Geschiebehaushalt'!O71,"")</f>
        <v>51-80%</v>
      </c>
      <c r="C183" t="str">
        <f>IF('[1]Charriage - Geschiebehaushalt'!P71="b",'[1]Charriage - Geschiebehaushalt'!O71,"")</f>
        <v/>
      </c>
      <c r="D183" t="str">
        <f>IF('[1]Revitalisation-Revitalisierung'!L71="a",'[1]Revitalisation-Revitalisierung'!K71,"")</f>
        <v/>
      </c>
      <c r="E183" t="str">
        <f>IF('[1]Revitalisation-Revitalisierung'!L71="b",'[1]Revitalisation-Revitalisierung'!K71,"")</f>
        <v>Très nécessaire, facile / unbedingt nötig, einfach</v>
      </c>
    </row>
    <row r="184" spans="2:5" x14ac:dyDescent="0.25">
      <c r="B184" t="str">
        <f>IF('[1]Charriage - Geschiebehaushalt'!P72="a",'[1]Charriage - Geschiebehaushalt'!O72,"")</f>
        <v>51-80%</v>
      </c>
      <c r="C184" t="str">
        <f>IF('[1]Charriage - Geschiebehaushalt'!P72="b",'[1]Charriage - Geschiebehaushalt'!O72,"")</f>
        <v/>
      </c>
      <c r="D184" t="str">
        <f>IF('[1]Revitalisation-Revitalisierung'!L72="a",'[1]Revitalisation-Revitalisierung'!K72,"")</f>
        <v/>
      </c>
      <c r="E184" t="str">
        <f>IF('[1]Revitalisation-Revitalisierung'!L72="b",'[1]Revitalisation-Revitalisierung'!K72,"")</f>
        <v>Très nécessaire, facile / unbedingt nötig, einfach</v>
      </c>
    </row>
    <row r="185" spans="2:5" x14ac:dyDescent="0.25">
      <c r="B185" t="str">
        <f>IF('[1]Charriage - Geschiebehaushalt'!P73="a",'[1]Charriage - Geschiebehaushalt'!O73,"")</f>
        <v/>
      </c>
      <c r="C185" t="str">
        <f>IF('[1]Charriage - Geschiebehaushalt'!P73="b",'[1]Charriage - Geschiebehaushalt'!O73,"")</f>
        <v>Charriage présumé perturbé / Geschiebehaushalt vermutlich beeinträchtigt</v>
      </c>
      <c r="D185" t="str">
        <f>IF('[1]Revitalisation-Revitalisierung'!L73="a",'[1]Revitalisation-Revitalisierung'!K73,"")</f>
        <v>Non nécessaire / nicht nötig</v>
      </c>
      <c r="E185" t="str">
        <f>IF('[1]Revitalisation-Revitalisierung'!L73="b",'[1]Revitalisation-Revitalisierung'!K73,"")</f>
        <v/>
      </c>
    </row>
    <row r="186" spans="2:5" x14ac:dyDescent="0.25">
      <c r="B186" t="str">
        <f>IF('[1]Charriage - Geschiebehaushalt'!P74="a",'[1]Charriage - Geschiebehaushalt'!O74,"")</f>
        <v>0-20%</v>
      </c>
      <c r="C186" t="str">
        <f>IF('[1]Charriage - Geschiebehaushalt'!P74="b",'[1]Charriage - Geschiebehaushalt'!O74,"")</f>
        <v/>
      </c>
      <c r="D186" t="str">
        <f>IF('[1]Revitalisation-Revitalisierung'!L74="a",'[1]Revitalisation-Revitalisierung'!K74,"")</f>
        <v>Partiellement nécessaire, facile / teilweise nötig, einfach</v>
      </c>
      <c r="E186" t="str">
        <f>IF('[1]Revitalisation-Revitalisierung'!L74="b",'[1]Revitalisation-Revitalisierung'!K74,"")</f>
        <v/>
      </c>
    </row>
    <row r="187" spans="2:5" x14ac:dyDescent="0.25">
      <c r="B187" t="str">
        <f>IF('[1]Charriage - Geschiebehaushalt'!P75="a",'[1]Charriage - Geschiebehaushalt'!O75,"")</f>
        <v/>
      </c>
      <c r="C187" t="str">
        <f>IF('[1]Charriage - Geschiebehaushalt'!P75="b",'[1]Charriage - Geschiebehaushalt'!O75,"")</f>
        <v>La remobilisation des sédiments est perturbée / Mobilisierung von Geschiebe beeinträchtigt</v>
      </c>
      <c r="D187" t="str">
        <f>IF('[1]Revitalisation-Revitalisierung'!L75="a",'[1]Revitalisation-Revitalisierung'!K75,"")</f>
        <v>Partiellement nécessaire, facile / teilweise nötig, einfach</v>
      </c>
      <c r="E187" t="str">
        <f>IF('[1]Revitalisation-Revitalisierung'!L75="b",'[1]Revitalisation-Revitalisierung'!K75,"")</f>
        <v/>
      </c>
    </row>
    <row r="188" spans="2:5" x14ac:dyDescent="0.25">
      <c r="B188" t="str">
        <f>IF('[1]Charriage - Geschiebehaushalt'!P76="a",'[1]Charriage - Geschiebehaushalt'!O76,"")</f>
        <v>non pertinent / nicht relevant</v>
      </c>
      <c r="C188" t="str">
        <f>IF('[1]Charriage - Geschiebehaushalt'!P76="b",'[1]Charriage - Geschiebehaushalt'!O76,"")</f>
        <v/>
      </c>
      <c r="D188" t="str">
        <f>IF('[1]Revitalisation-Revitalisierung'!L76="a",'[1]Revitalisation-Revitalisierung'!K76,"")</f>
        <v/>
      </c>
      <c r="E188" t="str">
        <f>IF('[1]Revitalisation-Revitalisierung'!L76="b",'[1]Revitalisation-Revitalisierung'!K76,"")</f>
        <v>Très nécessaire, facile / unbedingt nötig, einfach</v>
      </c>
    </row>
    <row r="189" spans="2:5" x14ac:dyDescent="0.25">
      <c r="B189" t="str">
        <f>IF('[1]Charriage - Geschiebehaushalt'!P77="a",'[1]Charriage - Geschiebehaushalt'!O77,"")</f>
        <v>La remobilisation des sédiments est perturbée / Mobilisierung von Geschiebe beeinträchtigt</v>
      </c>
      <c r="C189" t="str">
        <f>IF('[1]Charriage - Geschiebehaushalt'!P77="b",'[1]Charriage - Geschiebehaushalt'!O77,"")</f>
        <v/>
      </c>
      <c r="D189" t="str">
        <f>IF('[1]Revitalisation-Revitalisierung'!L77="a",'[1]Revitalisation-Revitalisierung'!K77,"")</f>
        <v/>
      </c>
      <c r="E189" t="str">
        <f>IF('[1]Revitalisation-Revitalisierung'!L77="b",'[1]Revitalisation-Revitalisierung'!K77,"")</f>
        <v>Très nécessaire, difficile / unbedingt nötig, schwierig</v>
      </c>
    </row>
    <row r="190" spans="2:5" x14ac:dyDescent="0.25">
      <c r="B190" t="str">
        <f>IF('[1]Charriage - Geschiebehaushalt'!P78="a",'[1]Charriage - Geschiebehaushalt'!O78,"")</f>
        <v>La remobilisation des sédiments est perturbée / Mobilisierung von Geschiebe beeinträchtigt</v>
      </c>
      <c r="C190" t="str">
        <f>IF('[1]Charriage - Geschiebehaushalt'!P78="b",'[1]Charriage - Geschiebehaushalt'!O78,"")</f>
        <v/>
      </c>
      <c r="D190" t="str">
        <f>IF('[1]Revitalisation-Revitalisierung'!L78="a",'[1]Revitalisation-Revitalisierung'!K78,"")</f>
        <v/>
      </c>
      <c r="E190" t="str">
        <f>IF('[1]Revitalisation-Revitalisierung'!L78="b",'[1]Revitalisation-Revitalisierung'!K78,"")</f>
        <v>Très nécessaire, difficile / unbedingt nötig, schwierig</v>
      </c>
    </row>
    <row r="191" spans="2:5" x14ac:dyDescent="0.25">
      <c r="B191" t="str">
        <f>IF('[1]Charriage - Geschiebehaushalt'!P79="a",'[1]Charriage - Geschiebehaushalt'!O79,"")</f>
        <v/>
      </c>
      <c r="C191" t="str">
        <f>IF('[1]Charriage - Geschiebehaushalt'!P79="b",'[1]Charriage - Geschiebehaushalt'!O79,"")</f>
        <v>La remobilisation des sédiments est perturbée / Mobilisierung von Geschiebe beeinträchtigt</v>
      </c>
      <c r="D191" t="str">
        <f>IF('[1]Revitalisation-Revitalisierung'!L79="a",'[1]Revitalisation-Revitalisierung'!K79,"")</f>
        <v/>
      </c>
      <c r="E191" t="str">
        <f>IF('[1]Revitalisation-Revitalisierung'!L79="b",'[1]Revitalisation-Revitalisierung'!K79,"")</f>
        <v>Non nécessaire / nicht nötig</v>
      </c>
    </row>
    <row r="192" spans="2:5" x14ac:dyDescent="0.25">
      <c r="B192" t="str">
        <f>IF('[1]Charriage - Geschiebehaushalt'!P80="a",'[1]Charriage - Geschiebehaushalt'!O80,"")</f>
        <v>51-80%</v>
      </c>
      <c r="C192" t="str">
        <f>IF('[1]Charriage - Geschiebehaushalt'!P80="b",'[1]Charriage - Geschiebehaushalt'!O80,"")</f>
        <v/>
      </c>
      <c r="D192" t="str">
        <f>IF('[1]Revitalisation-Revitalisierung'!L80="a",'[1]Revitalisation-Revitalisierung'!K80,"")</f>
        <v/>
      </c>
      <c r="E192" t="str">
        <f>IF('[1]Revitalisation-Revitalisierung'!L80="b",'[1]Revitalisation-Revitalisierung'!K80,"")</f>
        <v>Non nécessaire / nicht nötig</v>
      </c>
    </row>
    <row r="193" spans="2:5" x14ac:dyDescent="0.25">
      <c r="B193" t="str">
        <f>IF('[1]Charriage - Geschiebehaushalt'!P81="a",'[1]Charriage - Geschiebehaushalt'!O81,"")</f>
        <v>non pertinent / nicht relevant</v>
      </c>
      <c r="C193" t="str">
        <f>IF('[1]Charriage - Geschiebehaushalt'!P81="b",'[1]Charriage - Geschiebehaushalt'!O81,"")</f>
        <v/>
      </c>
      <c r="D193" t="str">
        <f>IF('[1]Revitalisation-Revitalisierung'!L81="a",'[1]Revitalisation-Revitalisierung'!K81,"")</f>
        <v/>
      </c>
      <c r="E193" t="str">
        <f>IF('[1]Revitalisation-Revitalisierung'!L81="b",'[1]Revitalisation-Revitalisierung'!K81,"")</f>
        <v>Non nécessaire / nicht nötig</v>
      </c>
    </row>
    <row r="194" spans="2:5" x14ac:dyDescent="0.25">
      <c r="B194" t="str">
        <f>IF('[1]Charriage - Geschiebehaushalt'!P82="a",'[1]Charriage - Geschiebehaushalt'!O82,"")</f>
        <v>0-20%</v>
      </c>
      <c r="C194" t="str">
        <f>IF('[1]Charriage - Geschiebehaushalt'!P82="b",'[1]Charriage - Geschiebehaushalt'!O82,"")</f>
        <v/>
      </c>
      <c r="D194" t="str">
        <f>IF('[1]Revitalisation-Revitalisierung'!L82="a",'[1]Revitalisation-Revitalisierung'!K82,"")</f>
        <v>Non nécessaire / nicht nötig</v>
      </c>
      <c r="E194" t="str">
        <f>IF('[1]Revitalisation-Revitalisierung'!L82="b",'[1]Revitalisation-Revitalisierung'!K82,"")</f>
        <v/>
      </c>
    </row>
    <row r="195" spans="2:5" x14ac:dyDescent="0.25">
      <c r="B195" t="str">
        <f>IF('[1]Charriage - Geschiebehaushalt'!P83="a",'[1]Charriage - Geschiebehaushalt'!O83,"")</f>
        <v>0-20%</v>
      </c>
      <c r="C195" t="str">
        <f>IF('[1]Charriage - Geschiebehaushalt'!P83="b",'[1]Charriage - Geschiebehaushalt'!O83,"")</f>
        <v/>
      </c>
      <c r="D195" t="str">
        <f>IF('[1]Revitalisation-Revitalisierung'!L83="a",'[1]Revitalisation-Revitalisierung'!K83,"")</f>
        <v/>
      </c>
      <c r="E195" t="str">
        <f>IF('[1]Revitalisation-Revitalisierung'!L83="b",'[1]Revitalisation-Revitalisierung'!K83,"")</f>
        <v>Très nécessaire, facile / unbedingt nötig, einfach</v>
      </c>
    </row>
    <row r="196" spans="2:5" x14ac:dyDescent="0.25">
      <c r="B196" t="str">
        <f>IF('[1]Charriage - Geschiebehaushalt'!P84="a",'[1]Charriage - Geschiebehaushalt'!O84,"")</f>
        <v/>
      </c>
      <c r="C196" t="str">
        <f>IF('[1]Charriage - Geschiebehaushalt'!P84="b",'[1]Charriage - Geschiebehaushalt'!O84,"")</f>
        <v>Déficit non apparent en charriage ou en remobilisation des sédiments / kein sichtbares Defizit beim Geschiebehaushalt bzw. bei der Mobilisierung von Geschiebe</v>
      </c>
      <c r="D196" t="str">
        <f>IF('[1]Revitalisation-Revitalisierung'!L84="a",'[1]Revitalisation-Revitalisierung'!K84,"")</f>
        <v>Non nécessaire / nicht nötig</v>
      </c>
      <c r="E196" t="str">
        <f>IF('[1]Revitalisation-Revitalisierung'!L84="b",'[1]Revitalisation-Revitalisierung'!K84,"")</f>
        <v/>
      </c>
    </row>
    <row r="197" spans="2:5" x14ac:dyDescent="0.25">
      <c r="B197" t="str">
        <f>IF('[1]Charriage - Geschiebehaushalt'!P85="a",'[1]Charriage - Geschiebehaushalt'!O85,"")</f>
        <v/>
      </c>
      <c r="C197" t="str">
        <f>IF('[1]Charriage - Geschiebehaushalt'!P85="b",'[1]Charriage - Geschiebehaushalt'!O85,"")</f>
        <v>Déficit non apparent en charriage ou en remobilisation des sédiments / kein sichtbares Defizit beim Geschiebehaushalt bzw. bei der Mobilisierung von Geschiebe</v>
      </c>
      <c r="D197" t="str">
        <f>IF('[1]Revitalisation-Revitalisierung'!L85="a",'[1]Revitalisation-Revitalisierung'!K85,"")</f>
        <v/>
      </c>
      <c r="E197" t="str">
        <f>IF('[1]Revitalisation-Revitalisierung'!L85="b",'[1]Revitalisation-Revitalisierung'!K85,"")</f>
        <v>Partiellement nécessaire, facile / teilweise nötig, einfach</v>
      </c>
    </row>
    <row r="198" spans="2:5" x14ac:dyDescent="0.25">
      <c r="B198" t="str">
        <f>IF('[1]Charriage - Geschiebehaushalt'!P86="a",'[1]Charriage - Geschiebehaushalt'!O86,"")</f>
        <v/>
      </c>
      <c r="C198" t="str">
        <f>IF('[1]Charriage - Geschiebehaushalt'!P86="b",'[1]Charriage - Geschiebehaushalt'!O86,"")</f>
        <v>Déficit non apparent en charriage ou en remobilisation des sédiments / kein sichtbares Defizit beim Geschiebehaushalt bzw. bei der Mobilisierung von Geschiebe</v>
      </c>
      <c r="D198" t="str">
        <f>IF('[1]Revitalisation-Revitalisierung'!L86="a",'[1]Revitalisation-Revitalisierung'!K86,"")</f>
        <v>Non nécessaire / nicht nötig</v>
      </c>
      <c r="E198" t="str">
        <f>IF('[1]Revitalisation-Revitalisierung'!L86="b",'[1]Revitalisation-Revitalisierung'!K86,"")</f>
        <v/>
      </c>
    </row>
    <row r="199" spans="2:5" x14ac:dyDescent="0.25">
      <c r="B199" t="str">
        <f>IF('[1]Charriage - Geschiebehaushalt'!P87="a",'[1]Charriage - Geschiebehaushalt'!O87,"")</f>
        <v/>
      </c>
      <c r="C199" t="str">
        <f>IF('[1]Charriage - Geschiebehaushalt'!P87="b",'[1]Charriage - Geschiebehaushalt'!O87,"")</f>
        <v>Charriage présumé faiblement perturbé / Geschiebe vermutlich leicht beeinträchtigt</v>
      </c>
      <c r="D199" t="str">
        <f>IF('[1]Revitalisation-Revitalisierung'!L87="a",'[1]Revitalisation-Revitalisierung'!K87,"")</f>
        <v/>
      </c>
      <c r="E199" t="str">
        <f>IF('[1]Revitalisation-Revitalisierung'!L87="b",'[1]Revitalisation-Revitalisierung'!K87,"")</f>
        <v>Très nécessaire, facile / unbedingt nötig, einfach</v>
      </c>
    </row>
    <row r="200" spans="2:5" x14ac:dyDescent="0.25">
      <c r="B200" t="str">
        <f>IF('[1]Charriage - Geschiebehaushalt'!P88="a",'[1]Charriage - Geschiebehaushalt'!O88,"")</f>
        <v/>
      </c>
      <c r="C200" t="str">
        <f>IF('[1]Charriage - Geschiebehaushalt'!P88="b",'[1]Charriage - Geschiebehaushalt'!O88,"")</f>
        <v>La remobilisation des sédiments est perturbée / Mobilisierung von Geschiebe beeinträchtigt</v>
      </c>
      <c r="D200" t="str">
        <f>IF('[1]Revitalisation-Revitalisierung'!L88="a",'[1]Revitalisation-Revitalisierung'!K88,"")</f>
        <v/>
      </c>
      <c r="E200" t="str">
        <f>IF('[1]Revitalisation-Revitalisierung'!L88="b",'[1]Revitalisation-Revitalisierung'!K88,"")</f>
        <v>Non nécessaire / nicht nötig</v>
      </c>
    </row>
    <row r="201" spans="2:5" x14ac:dyDescent="0.25">
      <c r="B201" t="str">
        <f>IF('[1]Charriage - Geschiebehaushalt'!P89="a",'[1]Charriage - Geschiebehaushalt'!O89,"")</f>
        <v>81 -100%</v>
      </c>
      <c r="C201" t="str">
        <f>IF('[1]Charriage - Geschiebehaushalt'!P89="b",'[1]Charriage - Geschiebehaushalt'!O89,"")</f>
        <v/>
      </c>
      <c r="D201" t="str">
        <f>IF('[1]Revitalisation-Revitalisierung'!L89="a",'[1]Revitalisation-Revitalisierung'!K89,"")</f>
        <v/>
      </c>
      <c r="E201" t="str">
        <f>IF('[1]Revitalisation-Revitalisierung'!L89="b",'[1]Revitalisation-Revitalisierung'!K89,"")</f>
        <v>Partiellement nécessaire, difficile / teilweise nötig, schwierig</v>
      </c>
    </row>
    <row r="202" spans="2:5" x14ac:dyDescent="0.25">
      <c r="B202" t="str">
        <f>IF('[1]Charriage - Geschiebehaushalt'!P90="a",'[1]Charriage - Geschiebehaushalt'!O90,"")</f>
        <v/>
      </c>
      <c r="C202" t="str">
        <f>IF('[1]Charriage - Geschiebehaushalt'!P90="b",'[1]Charriage - Geschiebehaushalt'!O90,"")</f>
        <v>Charriage présumé naturel / Geschiebehaushalt vermutlich natürlich</v>
      </c>
      <c r="D202" t="str">
        <f>IF('[1]Revitalisation-Revitalisierung'!L90="a",'[1]Revitalisation-Revitalisierung'!K90,"")</f>
        <v/>
      </c>
      <c r="E202" t="str">
        <f>IF('[1]Revitalisation-Revitalisierung'!L90="b",'[1]Revitalisation-Revitalisierung'!K90,"")</f>
        <v>Très nécessaire, facile / unbedingt nötig, einfach</v>
      </c>
    </row>
    <row r="203" spans="2:5" x14ac:dyDescent="0.25">
      <c r="B203" t="str">
        <f>IF('[1]Charriage - Geschiebehaushalt'!P91="a",'[1]Charriage - Geschiebehaushalt'!O91,"")</f>
        <v/>
      </c>
      <c r="C203" t="str">
        <f>IF('[1]Charriage - Geschiebehaushalt'!P91="b",'[1]Charriage - Geschiebehaushalt'!O91,"")</f>
        <v>Déficit non apparent en charriage ou en remobilisation des sédiments / kein sichtbares Defizit beim Geschiebehaushalt bzw. bei der Mobilisierung von Geschiebe</v>
      </c>
      <c r="D203" t="str">
        <f>IF('[1]Revitalisation-Revitalisierung'!L91="a",'[1]Revitalisation-Revitalisierung'!K91,"")</f>
        <v>Non nécessaire / nicht nötig</v>
      </c>
      <c r="E203" t="str">
        <f>IF('[1]Revitalisation-Revitalisierung'!L91="b",'[1]Revitalisation-Revitalisierung'!K91,"")</f>
        <v/>
      </c>
    </row>
    <row r="204" spans="2:5" x14ac:dyDescent="0.25">
      <c r="B204" t="str">
        <f>IF('[1]Charriage - Geschiebehaushalt'!P92="a",'[1]Charriage - Geschiebehaushalt'!O92,"")</f>
        <v/>
      </c>
      <c r="C204" t="str">
        <f>IF('[1]Charriage - Geschiebehaushalt'!P92="b",'[1]Charriage - Geschiebehaushalt'!O92,"")</f>
        <v>Problème lié à un manque de charriage ou à un manque de remobilisation des sédiments / Problem aufgrund Geschiebemangels bzw. mangelnder Mobilisierung von Geschiebe</v>
      </c>
      <c r="D204" t="str">
        <f>IF('[1]Revitalisation-Revitalisierung'!L92="a",'[1]Revitalisation-Revitalisierung'!K92,"")</f>
        <v>Très nécessaire, facile / unbedingt nötig, einfach</v>
      </c>
      <c r="E204" t="str">
        <f>IF('[1]Revitalisation-Revitalisierung'!L92="b",'[1]Revitalisation-Revitalisierung'!K92,"")</f>
        <v/>
      </c>
    </row>
    <row r="205" spans="2:5" x14ac:dyDescent="0.25">
      <c r="B205" t="str">
        <f>IF('[1]Charriage - Geschiebehaushalt'!P93="a",'[1]Charriage - Geschiebehaushalt'!O93,"")</f>
        <v/>
      </c>
      <c r="C205" t="str">
        <f>IF('[1]Charriage - Geschiebehaushalt'!P93="b",'[1]Charriage - Geschiebehaushalt'!O93,"")</f>
        <v>Charriage présumé faiblement perturbé / Geschiebe vermutlich leicht beeinträchtigt</v>
      </c>
      <c r="D205" t="str">
        <f>IF('[1]Revitalisation-Revitalisierung'!L93="a",'[1]Revitalisation-Revitalisierung'!K93,"")</f>
        <v>Partiellement nécessaire, facile / teilweise nötig, einfach</v>
      </c>
      <c r="E205" t="str">
        <f>IF('[1]Revitalisation-Revitalisierung'!L93="b",'[1]Revitalisation-Revitalisierung'!K93,"")</f>
        <v/>
      </c>
    </row>
    <row r="206" spans="2:5" x14ac:dyDescent="0.25">
      <c r="B206" t="str">
        <f>IF('[1]Charriage - Geschiebehaushalt'!P94="a",'[1]Charriage - Geschiebehaushalt'!O94,"")</f>
        <v>non pertinent / nicht relevant</v>
      </c>
      <c r="C206" t="str">
        <f>IF('[1]Charriage - Geschiebehaushalt'!P94="b",'[1]Charriage - Geschiebehaushalt'!O94,"")</f>
        <v/>
      </c>
      <c r="D206" t="str">
        <f>IF('[1]Revitalisation-Revitalisierung'!L94="a",'[1]Revitalisation-Revitalisierung'!K94,"")</f>
        <v/>
      </c>
      <c r="E206" t="str">
        <f>IF('[1]Revitalisation-Revitalisierung'!L94="b",'[1]Revitalisation-Revitalisierung'!K94,"")</f>
        <v>Non nécessaire / nicht nötig</v>
      </c>
    </row>
    <row r="207" spans="2:5" x14ac:dyDescent="0.25">
      <c r="B207" t="str">
        <f>IF('[1]Charriage - Geschiebehaushalt'!P95="a",'[1]Charriage - Geschiebehaushalt'!O95,"")</f>
        <v/>
      </c>
      <c r="C207" t="str">
        <f>IF('[1]Charriage - Geschiebehaushalt'!P95="b",'[1]Charriage - Geschiebehaushalt'!O95,"")</f>
        <v>Charriage présumé naturel / Geschiebehaushalt vermutlich natürlich</v>
      </c>
      <c r="D207" t="str">
        <f>IF('[1]Revitalisation-Revitalisierung'!L95="a",'[1]Revitalisation-Revitalisierung'!K95,"")</f>
        <v>Non nécessaire / nicht nötig</v>
      </c>
      <c r="E207" t="str">
        <f>IF('[1]Revitalisation-Revitalisierung'!L95="b",'[1]Revitalisation-Revitalisierung'!K95,"")</f>
        <v/>
      </c>
    </row>
    <row r="208" spans="2:5" x14ac:dyDescent="0.25">
      <c r="B208" t="str">
        <f>IF('[1]Charriage - Geschiebehaushalt'!P96="a",'[1]Charriage - Geschiebehaushalt'!O96,"")</f>
        <v/>
      </c>
      <c r="C208" t="str">
        <f>IF('[1]Charriage - Geschiebehaushalt'!P96="b",'[1]Charriage - Geschiebehaushalt'!O96,"")</f>
        <v>Charriage présumé naturel / Geschiebehaushalt vermutlich natürlich</v>
      </c>
      <c r="D208" t="str">
        <f>IF('[1]Revitalisation-Revitalisierung'!L96="a",'[1]Revitalisation-Revitalisierung'!K96,"")</f>
        <v/>
      </c>
      <c r="E208" t="str">
        <f>IF('[1]Revitalisation-Revitalisierung'!L96="b",'[1]Revitalisation-Revitalisierung'!K96,"")</f>
        <v>Partiellement nécessaire, facile / teilweise nötig, einfach</v>
      </c>
    </row>
    <row r="209" spans="2:5" x14ac:dyDescent="0.25">
      <c r="B209" t="str">
        <f>IF('[1]Charriage - Geschiebehaushalt'!P97="a",'[1]Charriage - Geschiebehaushalt'!O97,"")</f>
        <v/>
      </c>
      <c r="C209" t="str">
        <f>IF('[1]Charriage - Geschiebehaushalt'!P97="b",'[1]Charriage - Geschiebehaushalt'!O97,"")</f>
        <v>Charriage présumé perturbé / Geschiebehaushalt vermutlich beeinträchtigt</v>
      </c>
      <c r="D209" t="str">
        <f>IF('[1]Revitalisation-Revitalisierung'!L97="a",'[1]Revitalisation-Revitalisierung'!K97,"")</f>
        <v/>
      </c>
      <c r="E209" t="str">
        <f>IF('[1]Revitalisation-Revitalisierung'!L97="b",'[1]Revitalisation-Revitalisierung'!K97,"")</f>
        <v>Très nécessaire, facile / unbedingt nötig, einfach</v>
      </c>
    </row>
    <row r="210" spans="2:5" x14ac:dyDescent="0.25">
      <c r="B210" t="str">
        <f>IF('[1]Charriage - Geschiebehaushalt'!P98="a",'[1]Charriage - Geschiebehaushalt'!O98,"")</f>
        <v>21-50%</v>
      </c>
      <c r="C210" t="str">
        <f>IF('[1]Charriage - Geschiebehaushalt'!P98="b",'[1]Charriage - Geschiebehaushalt'!O98,"")</f>
        <v/>
      </c>
      <c r="D210" t="str">
        <f>IF('[1]Revitalisation-Revitalisierung'!L98="a",'[1]Revitalisation-Revitalisierung'!K98,"")</f>
        <v>Très nécessaire, facile / unbedingt nötig, einfach</v>
      </c>
      <c r="E210" t="str">
        <f>IF('[1]Revitalisation-Revitalisierung'!L98="b",'[1]Revitalisation-Revitalisierung'!K98,"")</f>
        <v/>
      </c>
    </row>
    <row r="211" spans="2:5" x14ac:dyDescent="0.25">
      <c r="B211" t="str">
        <f>IF('[1]Charriage - Geschiebehaushalt'!P99="a",'[1]Charriage - Geschiebehaushalt'!O99,"")</f>
        <v>21-50%</v>
      </c>
      <c r="C211" t="str">
        <f>IF('[1]Charriage - Geschiebehaushalt'!P99="b",'[1]Charriage - Geschiebehaushalt'!O99,"")</f>
        <v/>
      </c>
      <c r="D211" t="str">
        <f>IF('[1]Revitalisation-Revitalisierung'!L99="a",'[1]Revitalisation-Revitalisierung'!K99,"")</f>
        <v>Très nécessaire, facile / unbedingt nötig, einfach</v>
      </c>
      <c r="E211" t="str">
        <f>IF('[1]Revitalisation-Revitalisierung'!L99="b",'[1]Revitalisation-Revitalisierung'!K99,"")</f>
        <v/>
      </c>
    </row>
    <row r="212" spans="2:5" x14ac:dyDescent="0.25">
      <c r="B212" t="str">
        <f>IF('[1]Charriage - Geschiebehaushalt'!P100="a",'[1]Charriage - Geschiebehaushalt'!O100,"")</f>
        <v>non pertinent / nicht relevant</v>
      </c>
      <c r="C212" t="str">
        <f>IF('[1]Charriage - Geschiebehaushalt'!P100="b",'[1]Charriage - Geschiebehaushalt'!O100,"")</f>
        <v/>
      </c>
      <c r="D212" t="str">
        <f>IF('[1]Revitalisation-Revitalisierung'!L100="a",'[1]Revitalisation-Revitalisierung'!K100,"")</f>
        <v>Non nécessaire / nicht nötig</v>
      </c>
      <c r="E212" t="str">
        <f>IF('[1]Revitalisation-Revitalisierung'!L100="b",'[1]Revitalisation-Revitalisierung'!K100,"")</f>
        <v/>
      </c>
    </row>
    <row r="213" spans="2:5" x14ac:dyDescent="0.25">
      <c r="B213" t="str">
        <f>IF('[1]Charriage - Geschiebehaushalt'!P101="a",'[1]Charriage - Geschiebehaushalt'!O101,"")</f>
        <v>21-50%</v>
      </c>
      <c r="C213" t="str">
        <f>IF('[1]Charriage - Geschiebehaushalt'!P101="b",'[1]Charriage - Geschiebehaushalt'!O101,"")</f>
        <v/>
      </c>
      <c r="D213" t="str">
        <f>IF('[1]Revitalisation-Revitalisierung'!L101="a",'[1]Revitalisation-Revitalisierung'!K101,"")</f>
        <v>Très nécessaire, facile / unbedingt nötig, einfach</v>
      </c>
      <c r="E213" t="str">
        <f>IF('[1]Revitalisation-Revitalisierung'!L101="b",'[1]Revitalisation-Revitalisierung'!K101,"")</f>
        <v/>
      </c>
    </row>
    <row r="214" spans="2:5" x14ac:dyDescent="0.25">
      <c r="B214" t="str">
        <f>IF('[1]Charriage - Geschiebehaushalt'!P102="a",'[1]Charriage - Geschiebehaushalt'!O102,"")</f>
        <v/>
      </c>
      <c r="C214" t="str">
        <f>IF('[1]Charriage - Geschiebehaushalt'!P102="b",'[1]Charriage - Geschiebehaushalt'!O102,"")</f>
        <v>Charriage présumé naturel / Geschiebehaushalt vermutlich natürlich</v>
      </c>
      <c r="D214" t="str">
        <f>IF('[1]Revitalisation-Revitalisierung'!L102="a",'[1]Revitalisation-Revitalisierung'!K102,"")</f>
        <v/>
      </c>
      <c r="E214" t="str">
        <f>IF('[1]Revitalisation-Revitalisierung'!L102="b",'[1]Revitalisation-Revitalisierung'!K102,"")</f>
        <v>Non nécessaire / nicht nötig</v>
      </c>
    </row>
    <row r="215" spans="2:5" x14ac:dyDescent="0.25">
      <c r="B215" t="str">
        <f>IF('[1]Charriage - Geschiebehaushalt'!P103="a",'[1]Charriage - Geschiebehaushalt'!O103,"")</f>
        <v>La remobilisation des sédiments est perturbée / Mobilisierung von Geschiebe beeinträchtigt</v>
      </c>
      <c r="C215" t="str">
        <f>IF('[1]Charriage - Geschiebehaushalt'!P103="b",'[1]Charriage - Geschiebehaushalt'!O103,"")</f>
        <v/>
      </c>
      <c r="D215" t="str">
        <f>IF('[1]Revitalisation-Revitalisierung'!L103="a",'[1]Revitalisation-Revitalisierung'!K103,"")</f>
        <v>Très nécessaire, facile / unbedingt nötig, einfach</v>
      </c>
      <c r="E215" t="str">
        <f>IF('[1]Revitalisation-Revitalisierung'!L103="b",'[1]Revitalisation-Revitalisierung'!K103,"")</f>
        <v/>
      </c>
    </row>
    <row r="216" spans="2:5" x14ac:dyDescent="0.25">
      <c r="B216" t="str">
        <f>IF('[1]Charriage - Geschiebehaushalt'!P104="a",'[1]Charriage - Geschiebehaushalt'!O104,"")</f>
        <v>Charriage présumé naturel / Geschiebehaushalt vermutlich natürlich</v>
      </c>
      <c r="C216" t="str">
        <f>IF('[1]Charriage - Geschiebehaushalt'!P104="b",'[1]Charriage - Geschiebehaushalt'!O104,"")</f>
        <v/>
      </c>
      <c r="D216" t="str">
        <f>IF('[1]Revitalisation-Revitalisierung'!L104="a",'[1]Revitalisation-Revitalisierung'!K104,"")</f>
        <v>Non nécessaire / nicht nötig</v>
      </c>
      <c r="E216" t="str">
        <f>IF('[1]Revitalisation-Revitalisierung'!L104="b",'[1]Revitalisation-Revitalisierung'!K104,"")</f>
        <v/>
      </c>
    </row>
    <row r="217" spans="2:5" x14ac:dyDescent="0.25">
      <c r="B217" t="str">
        <f>IF('[1]Charriage - Geschiebehaushalt'!P105="a",'[1]Charriage - Geschiebehaushalt'!O105,"")</f>
        <v/>
      </c>
      <c r="C217" t="str">
        <f>IF('[1]Charriage - Geschiebehaushalt'!P105="b",'[1]Charriage - Geschiebehaushalt'!O105,"")</f>
        <v>Charriage présumé naturel / Geschiebehaushalt vermutlich natürlich</v>
      </c>
      <c r="D217" t="str">
        <f>IF('[1]Revitalisation-Revitalisierung'!L105="a",'[1]Revitalisation-Revitalisierung'!K105,"")</f>
        <v/>
      </c>
      <c r="E217" t="str">
        <f>IF('[1]Revitalisation-Revitalisierung'!L105="b",'[1]Revitalisation-Revitalisierung'!K105,"")</f>
        <v>Non nécessaire / nicht nötig</v>
      </c>
    </row>
    <row r="218" spans="2:5" x14ac:dyDescent="0.25">
      <c r="B218" t="str">
        <f>IF('[1]Charriage - Geschiebehaushalt'!P106="a",'[1]Charriage - Geschiebehaushalt'!O106,"")</f>
        <v/>
      </c>
      <c r="C218" t="str">
        <f>IF('[1]Charriage - Geschiebehaushalt'!P106="b",'[1]Charriage - Geschiebehaushalt'!O106,"")</f>
        <v>Déficit non apparent en charriage ou en remobilisation des sédiments / kein sichtbares Defizit beim Geschiebehaushalt bzw. bei der Mobilisierung von Geschiebe</v>
      </c>
      <c r="D218" t="str">
        <f>IF('[1]Revitalisation-Revitalisierung'!L106="a",'[1]Revitalisation-Revitalisierung'!K106,"")</f>
        <v/>
      </c>
      <c r="E218" t="str">
        <f>IF('[1]Revitalisation-Revitalisierung'!L106="b",'[1]Revitalisation-Revitalisierung'!K106,"")</f>
        <v>Non nécessaire / nicht nötig</v>
      </c>
    </row>
    <row r="219" spans="2:5" x14ac:dyDescent="0.25">
      <c r="B219" t="str">
        <f>IF('[1]Charriage - Geschiebehaushalt'!P107="a",'[1]Charriage - Geschiebehaushalt'!O107,"")</f>
        <v/>
      </c>
      <c r="C219" t="str">
        <f>IF('[1]Charriage - Geschiebehaushalt'!P107="b",'[1]Charriage - Geschiebehaushalt'!O107,"")</f>
        <v>Déficit non apparent en charriage ou en remobilisation des sédiments / kein sichtbares Defizit beim Geschiebehaushalt bzw. bei der Mobilisierung von Geschiebe</v>
      </c>
      <c r="D219" t="str">
        <f>IF('[1]Revitalisation-Revitalisierung'!L107="a",'[1]Revitalisation-Revitalisierung'!K107,"")</f>
        <v/>
      </c>
      <c r="E219" t="str">
        <f>IF('[1]Revitalisation-Revitalisierung'!L107="b",'[1]Revitalisation-Revitalisierung'!K107,"")</f>
        <v>Non nécessaire / nicht nötig</v>
      </c>
    </row>
    <row r="220" spans="2:5" x14ac:dyDescent="0.25">
      <c r="B220" t="str">
        <f>IF('[1]Charriage - Geschiebehaushalt'!P108="a",'[1]Charriage - Geschiebehaushalt'!O108,"")</f>
        <v>Déficit non apparent en charriage ou en remobilisation des sédiments / kein sichtbares Defizit beim Geschiebehaushalt bzw. bei der Mobilisierung von Geschiebe</v>
      </c>
      <c r="C220" t="str">
        <f>IF('[1]Charriage - Geschiebehaushalt'!P108="b",'[1]Charriage - Geschiebehaushalt'!O108,"")</f>
        <v/>
      </c>
      <c r="D220" t="str">
        <f>IF('[1]Revitalisation-Revitalisierung'!L108="a",'[1]Revitalisation-Revitalisierung'!K108,"")</f>
        <v>Non nécessaire / nicht nötig</v>
      </c>
      <c r="E220" t="str">
        <f>IF('[1]Revitalisation-Revitalisierung'!L108="b",'[1]Revitalisation-Revitalisierung'!K108,"")</f>
        <v/>
      </c>
    </row>
    <row r="221" spans="2:5" x14ac:dyDescent="0.25">
      <c r="B221" t="str">
        <f>IF('[1]Charriage - Geschiebehaushalt'!P109="a",'[1]Charriage - Geschiebehaushalt'!O109,"")</f>
        <v>51-80%</v>
      </c>
      <c r="C221" t="str">
        <f>IF('[1]Charriage - Geschiebehaushalt'!P109="b",'[1]Charriage - Geschiebehaushalt'!O109,"")</f>
        <v/>
      </c>
      <c r="D221" t="str">
        <f>IF('[1]Revitalisation-Revitalisierung'!L109="a",'[1]Revitalisation-Revitalisierung'!K109,"")</f>
        <v/>
      </c>
      <c r="E221" t="str">
        <f>IF('[1]Revitalisation-Revitalisierung'!L109="b",'[1]Revitalisation-Revitalisierung'!K109,"")</f>
        <v>Très nécessaire, facile / unbedingt nötig, einfach</v>
      </c>
    </row>
    <row r="222" spans="2:5" x14ac:dyDescent="0.25">
      <c r="B222" t="str">
        <f>IF('[1]Charriage - Geschiebehaushalt'!P110="a",'[1]Charriage - Geschiebehaushalt'!O110,"")</f>
        <v>Charriage présumé naturel / Geschiebehaushalt vermutlich natürlich</v>
      </c>
      <c r="C222" t="str">
        <f>IF('[1]Charriage - Geschiebehaushalt'!P110="b",'[1]Charriage - Geschiebehaushalt'!O110,"")</f>
        <v/>
      </c>
      <c r="D222" t="str">
        <f>IF('[1]Revitalisation-Revitalisierung'!L110="a",'[1]Revitalisation-Revitalisierung'!K110,"")</f>
        <v/>
      </c>
      <c r="E222" t="str">
        <f>IF('[1]Revitalisation-Revitalisierung'!L110="b",'[1]Revitalisation-Revitalisierung'!K110,"")</f>
        <v>Très nécessaire, facile / unbedingt nötig, einfach</v>
      </c>
    </row>
    <row r="223" spans="2:5" x14ac:dyDescent="0.25">
      <c r="B223" t="str">
        <f>IF('[1]Charriage - Geschiebehaushalt'!P111="a",'[1]Charriage - Geschiebehaushalt'!O111,"")</f>
        <v>Charriage présumé naturel / Geschiebehaushalt vermutlich natürlich</v>
      </c>
      <c r="C223" t="str">
        <f>IF('[1]Charriage - Geschiebehaushalt'!P111="b",'[1]Charriage - Geschiebehaushalt'!O111,"")</f>
        <v/>
      </c>
      <c r="D223" t="str">
        <f>IF('[1]Revitalisation-Revitalisierung'!L111="a",'[1]Revitalisation-Revitalisierung'!K111,"")</f>
        <v>Partiellement nécessaire, facile / teilweise nötig, einfach</v>
      </c>
      <c r="E223" t="str">
        <f>IF('[1]Revitalisation-Revitalisierung'!L111="b",'[1]Revitalisation-Revitalisierung'!K111,"")</f>
        <v/>
      </c>
    </row>
    <row r="224" spans="2:5" x14ac:dyDescent="0.25">
      <c r="B224" t="str">
        <f>IF('[1]Charriage - Geschiebehaushalt'!P112="a",'[1]Charriage - Geschiebehaushalt'!O112,"")</f>
        <v/>
      </c>
      <c r="C224" t="str">
        <f>IF('[1]Charriage - Geschiebehaushalt'!P112="b",'[1]Charriage - Geschiebehaushalt'!O112,"")</f>
        <v>Charriage présumé naturel / Geschiebehaushalt vermutlich natürlich</v>
      </c>
      <c r="D224" t="str">
        <f>IF('[1]Revitalisation-Revitalisierung'!L112="a",'[1]Revitalisation-Revitalisierung'!K112,"")</f>
        <v>Non nécessaire / nicht nötig</v>
      </c>
      <c r="E224" t="str">
        <f>IF('[1]Revitalisation-Revitalisierung'!L112="b",'[1]Revitalisation-Revitalisierung'!K112,"")</f>
        <v/>
      </c>
    </row>
    <row r="225" spans="2:5" x14ac:dyDescent="0.25">
      <c r="B225" t="str">
        <f>IF('[1]Charriage - Geschiebehaushalt'!P113="a",'[1]Charriage - Geschiebehaushalt'!O113,"")</f>
        <v>51-80%</v>
      </c>
      <c r="C225" t="str">
        <f>IF('[1]Charriage - Geschiebehaushalt'!P113="b",'[1]Charriage - Geschiebehaushalt'!O113,"")</f>
        <v/>
      </c>
      <c r="D225" t="str">
        <f>IF('[1]Revitalisation-Revitalisierung'!L113="a",'[1]Revitalisation-Revitalisierung'!K113,"")</f>
        <v/>
      </c>
      <c r="E225" t="str">
        <f>IF('[1]Revitalisation-Revitalisierung'!L113="b",'[1]Revitalisation-Revitalisierung'!K113,"")</f>
        <v>Très nécessaire, difficile / unbedingt nötig, schwierig</v>
      </c>
    </row>
    <row r="226" spans="2:5" x14ac:dyDescent="0.25">
      <c r="B226" t="str">
        <f>IF('[1]Charriage - Geschiebehaushalt'!P114="a",'[1]Charriage - Geschiebehaushalt'!O114,"")</f>
        <v>21-50%</v>
      </c>
      <c r="C226" t="str">
        <f>IF('[1]Charriage - Geschiebehaushalt'!P114="b",'[1]Charriage - Geschiebehaushalt'!O114,"")</f>
        <v/>
      </c>
      <c r="D226" t="str">
        <f>IF('[1]Revitalisation-Revitalisierung'!L114="a",'[1]Revitalisation-Revitalisierung'!K114,"")</f>
        <v/>
      </c>
      <c r="E226" t="str">
        <f>IF('[1]Revitalisation-Revitalisierung'!L114="b",'[1]Revitalisation-Revitalisierung'!K114,"")</f>
        <v>Très nécessaire, facile / unbedingt nötig, einfach</v>
      </c>
    </row>
    <row r="227" spans="2:5" x14ac:dyDescent="0.25">
      <c r="B227" t="str">
        <f>IF('[1]Charriage - Geschiebehaushalt'!P115="a",'[1]Charriage - Geschiebehaushalt'!O115,"")</f>
        <v>21-50%</v>
      </c>
      <c r="C227" t="str">
        <f>IF('[1]Charriage - Geschiebehaushalt'!P115="b",'[1]Charriage - Geschiebehaushalt'!O115,"")</f>
        <v/>
      </c>
      <c r="D227" t="str">
        <f>IF('[1]Revitalisation-Revitalisierung'!L115="a",'[1]Revitalisation-Revitalisierung'!K115,"")</f>
        <v>Très nécessaire, facile / unbedingt nötig, einfach</v>
      </c>
      <c r="E227" t="str">
        <f>IF('[1]Revitalisation-Revitalisierung'!L115="b",'[1]Revitalisation-Revitalisierung'!K115,"")</f>
        <v/>
      </c>
    </row>
    <row r="228" spans="2:5" x14ac:dyDescent="0.25">
      <c r="B228" t="str">
        <f>IF('[1]Charriage - Geschiebehaushalt'!P116="a",'[1]Charriage - Geschiebehaushalt'!O116,"")</f>
        <v>21-50%</v>
      </c>
      <c r="C228" t="str">
        <f>IF('[1]Charriage - Geschiebehaushalt'!P116="b",'[1]Charriage - Geschiebehaushalt'!O116,"")</f>
        <v/>
      </c>
      <c r="D228" t="str">
        <f>IF('[1]Revitalisation-Revitalisierung'!L116="a",'[1]Revitalisation-Revitalisierung'!K116,"")</f>
        <v/>
      </c>
      <c r="E228" t="str">
        <f>IF('[1]Revitalisation-Revitalisierung'!L116="b",'[1]Revitalisation-Revitalisierung'!K116,"")</f>
        <v>Très nécessaire, difficile / unbedingt nötig, schwierig</v>
      </c>
    </row>
    <row r="229" spans="2:5" x14ac:dyDescent="0.25">
      <c r="B229" t="str">
        <f>IF('[1]Charriage - Geschiebehaushalt'!P117="a",'[1]Charriage - Geschiebehaushalt'!O117,"")</f>
        <v/>
      </c>
      <c r="C229" t="str">
        <f>IF('[1]Charriage - Geschiebehaushalt'!P117="b",'[1]Charriage - Geschiebehaushalt'!O117,"")</f>
        <v>La remobilisation des sédiments est perturbée / Mobilisierung von Geschiebe beeinträchtigt</v>
      </c>
      <c r="D229" t="str">
        <f>IF('[1]Revitalisation-Revitalisierung'!L117="a",'[1]Revitalisation-Revitalisierung'!K117,"")</f>
        <v>Partiellement nécessaire, facile / teilweise nötig, einfach</v>
      </c>
      <c r="E229" t="str">
        <f>IF('[1]Revitalisation-Revitalisierung'!L117="b",'[1]Revitalisation-Revitalisierung'!K117,"")</f>
        <v/>
      </c>
    </row>
    <row r="230" spans="2:5" x14ac:dyDescent="0.25">
      <c r="B230" t="str">
        <f>IF('[1]Charriage - Geschiebehaushalt'!P118="a",'[1]Charriage - Geschiebehaushalt'!O118,"")</f>
        <v/>
      </c>
      <c r="C230" t="str">
        <f>IF('[1]Charriage - Geschiebehaushalt'!P118="b",'[1]Charriage - Geschiebehaushalt'!O118,"")</f>
        <v>La remobilisation des sédiments est perturbée / Mobilisierung von Geschiebe beeinträchtigt</v>
      </c>
      <c r="D230" t="str">
        <f>IF('[1]Revitalisation-Revitalisierung'!L118="a",'[1]Revitalisation-Revitalisierung'!K118,"")</f>
        <v>Non nécessaire / nicht nötig</v>
      </c>
      <c r="E230" t="str">
        <f>IF('[1]Revitalisation-Revitalisierung'!L118="b",'[1]Revitalisation-Revitalisierung'!K118,"")</f>
        <v/>
      </c>
    </row>
    <row r="231" spans="2:5" x14ac:dyDescent="0.25">
      <c r="B231" t="str">
        <f>IF('[1]Charriage - Geschiebehaushalt'!P119="a",'[1]Charriage - Geschiebehaushalt'!O119,"")</f>
        <v>La remobilisation des sédiments est perturbée / Mobilisierung von Geschiebe beeinträchtigt</v>
      </c>
      <c r="C231" t="str">
        <f>IF('[1]Charriage - Geschiebehaushalt'!P119="b",'[1]Charriage - Geschiebehaushalt'!O119,"")</f>
        <v/>
      </c>
      <c r="D231" t="str">
        <f>IF('[1]Revitalisation-Revitalisierung'!L119="a",'[1]Revitalisation-Revitalisierung'!K119,"")</f>
        <v>Très nécessaire, difficile / unbedingt nötig, schwierig</v>
      </c>
      <c r="E231" t="str">
        <f>IF('[1]Revitalisation-Revitalisierung'!L119="b",'[1]Revitalisation-Revitalisierung'!K119,"")</f>
        <v/>
      </c>
    </row>
    <row r="232" spans="2:5" x14ac:dyDescent="0.25">
      <c r="B232" t="str">
        <f>IF('[1]Charriage - Geschiebehaushalt'!P120="a",'[1]Charriage - Geschiebehaushalt'!O120,"")</f>
        <v/>
      </c>
      <c r="C232" t="str">
        <f>IF('[1]Charriage - Geschiebehaushalt'!P120="b",'[1]Charriage - Geschiebehaushalt'!O120,"")</f>
        <v>Déficit non apparent en charriage ou en remobilisation des sédiments / kein sichtbares Defizit beim Geschiebehaushalt bzw. bei der Mobilisierung von Geschiebe</v>
      </c>
      <c r="D232" t="str">
        <f>IF('[1]Revitalisation-Revitalisierung'!L120="a",'[1]Revitalisation-Revitalisierung'!K120,"")</f>
        <v>Non nécessaire / nicht nötig</v>
      </c>
      <c r="E232" t="str">
        <f>IF('[1]Revitalisation-Revitalisierung'!L120="b",'[1]Revitalisation-Revitalisierung'!K120,"")</f>
        <v/>
      </c>
    </row>
    <row r="233" spans="2:5" x14ac:dyDescent="0.25">
      <c r="B233" t="str">
        <f>IF('[1]Charriage - Geschiebehaushalt'!P121="a",'[1]Charriage - Geschiebehaushalt'!O121,"")</f>
        <v>La remobilisation des sédiments est perturbée / Mobilisierung von Geschiebe beeinträchtigt</v>
      </c>
      <c r="C233" t="str">
        <f>IF('[1]Charriage - Geschiebehaushalt'!P121="b",'[1]Charriage - Geschiebehaushalt'!O121,"")</f>
        <v/>
      </c>
      <c r="D233" t="str">
        <f>IF('[1]Revitalisation-Revitalisierung'!L121="a",'[1]Revitalisation-Revitalisierung'!K121,"")</f>
        <v>Très nécessaire, facile / unbedingt nötig, einfach</v>
      </c>
      <c r="E233" t="str">
        <f>IF('[1]Revitalisation-Revitalisierung'!L121="b",'[1]Revitalisation-Revitalisierung'!K121,"")</f>
        <v/>
      </c>
    </row>
    <row r="234" spans="2:5" x14ac:dyDescent="0.25">
      <c r="B234" t="str">
        <f>IF('[1]Charriage - Geschiebehaushalt'!P122="a",'[1]Charriage - Geschiebehaushalt'!O122,"")</f>
        <v/>
      </c>
      <c r="C234" t="str">
        <f>IF('[1]Charriage - Geschiebehaushalt'!P122="b",'[1]Charriage - Geschiebehaushalt'!O122,"")</f>
        <v>Déficit non apparent en charriage ou en remobilisation des sédiments / kein sichtbares Defizit beim Geschiebehaushalt bzw. bei der Mobilisierung von Geschiebe</v>
      </c>
      <c r="D234" t="str">
        <f>IF('[1]Revitalisation-Revitalisierung'!L122="a",'[1]Revitalisation-Revitalisierung'!K122,"")</f>
        <v>Non nécessaire / nicht nötig</v>
      </c>
      <c r="E234" t="str">
        <f>IF('[1]Revitalisation-Revitalisierung'!L122="b",'[1]Revitalisation-Revitalisierung'!K122,"")</f>
        <v/>
      </c>
    </row>
    <row r="235" spans="2:5" x14ac:dyDescent="0.25">
      <c r="B235" t="str">
        <f>IF('[1]Charriage - Geschiebehaushalt'!P123="a",'[1]Charriage - Geschiebehaushalt'!O123,"")</f>
        <v>21-50%</v>
      </c>
      <c r="C235" t="str">
        <f>IF('[1]Charriage - Geschiebehaushalt'!P123="b",'[1]Charriage - Geschiebehaushalt'!O123,"")</f>
        <v/>
      </c>
      <c r="D235" t="str">
        <f>IF('[1]Revitalisation-Revitalisierung'!L123="a",'[1]Revitalisation-Revitalisierung'!K123,"")</f>
        <v>Très nécessaire, facile / unbedingt nötig, einfach</v>
      </c>
      <c r="E235" t="str">
        <f>IF('[1]Revitalisation-Revitalisierung'!L123="b",'[1]Revitalisation-Revitalisierung'!K123,"")</f>
        <v/>
      </c>
    </row>
    <row r="236" spans="2:5" x14ac:dyDescent="0.25">
      <c r="B236" t="str">
        <f>IF('[1]Charriage - Geschiebehaushalt'!P124="a",'[1]Charriage - Geschiebehaushalt'!O124,"")</f>
        <v>21-50%</v>
      </c>
      <c r="C236" t="str">
        <f>IF('[1]Charriage - Geschiebehaushalt'!P124="b",'[1]Charriage - Geschiebehaushalt'!O124,"")</f>
        <v/>
      </c>
      <c r="D236" t="str">
        <f>IF('[1]Revitalisation-Revitalisierung'!L124="a",'[1]Revitalisation-Revitalisierung'!K124,"")</f>
        <v>Partiellement nécessaire, facile / teilweise nötig, einfach</v>
      </c>
      <c r="E236" t="str">
        <f>IF('[1]Revitalisation-Revitalisierung'!L124="b",'[1]Revitalisation-Revitalisierung'!K124,"")</f>
        <v/>
      </c>
    </row>
    <row r="237" spans="2:5" x14ac:dyDescent="0.25">
      <c r="B237" t="str">
        <f>IF('[1]Charriage - Geschiebehaushalt'!P125="a",'[1]Charriage - Geschiebehaushalt'!O125,"")</f>
        <v>21-50%</v>
      </c>
      <c r="C237" t="str">
        <f>IF('[1]Charriage - Geschiebehaushalt'!P125="b",'[1]Charriage - Geschiebehaushalt'!O125,"")</f>
        <v/>
      </c>
      <c r="D237" t="str">
        <f>IF('[1]Revitalisation-Revitalisierung'!L125="a",'[1]Revitalisation-Revitalisierung'!K125,"")</f>
        <v>Partiellement nécessaire, difficile / teilweise nötig, schwierig</v>
      </c>
      <c r="E237" t="str">
        <f>IF('[1]Revitalisation-Revitalisierung'!L125="b",'[1]Revitalisation-Revitalisierung'!K125,"")</f>
        <v/>
      </c>
    </row>
    <row r="238" spans="2:5" x14ac:dyDescent="0.25">
      <c r="B238" t="str">
        <f>IF('[1]Charriage - Geschiebehaushalt'!P126="a",'[1]Charriage - Geschiebehaushalt'!O126,"")</f>
        <v/>
      </c>
      <c r="C238" t="str">
        <f>IF('[1]Charriage - Geschiebehaushalt'!P126="b",'[1]Charriage - Geschiebehaushalt'!O126,"")</f>
        <v>Déficit non apparent en charriage ou en remobilisation des sédiments / kein sichtbares Defizit beim Geschiebehaushalt bzw. bei der Mobilisierung von Geschiebe</v>
      </c>
      <c r="D238" t="str">
        <f>IF('[1]Revitalisation-Revitalisierung'!L126="a",'[1]Revitalisation-Revitalisierung'!K126,"")</f>
        <v>Non nécessaire / nicht nötig</v>
      </c>
      <c r="E238" t="str">
        <f>IF('[1]Revitalisation-Revitalisierung'!L126="b",'[1]Revitalisation-Revitalisierung'!K126,"")</f>
        <v/>
      </c>
    </row>
    <row r="239" spans="2:5" x14ac:dyDescent="0.25">
      <c r="B239" t="str">
        <f>IF('[1]Charriage - Geschiebehaushalt'!P127="a",'[1]Charriage - Geschiebehaushalt'!O127,"")</f>
        <v/>
      </c>
      <c r="C239" t="str">
        <f>IF('[1]Charriage - Geschiebehaushalt'!P127="b",'[1]Charriage - Geschiebehaushalt'!O127,"")</f>
        <v>Charriage présumé perturbé / Geschiebehaushalt vermutlich beeinträchtigt</v>
      </c>
      <c r="D239" t="str">
        <f>IF('[1]Revitalisation-Revitalisierung'!L127="a",'[1]Revitalisation-Revitalisierung'!K127,"")</f>
        <v/>
      </c>
      <c r="E239" t="str">
        <f>IF('[1]Revitalisation-Revitalisierung'!L127="b",'[1]Revitalisation-Revitalisierung'!K127,"")</f>
        <v>Très nécessaire, facile / unbedingt nötig, einfach</v>
      </c>
    </row>
    <row r="240" spans="2:5" x14ac:dyDescent="0.25">
      <c r="B240" t="str">
        <f>IF('[1]Charriage - Geschiebehaushalt'!P128="a",'[1]Charriage - Geschiebehaushalt'!O128,"")</f>
        <v/>
      </c>
      <c r="C240" t="str">
        <f>IF('[1]Charriage - Geschiebehaushalt'!P128="b",'[1]Charriage - Geschiebehaushalt'!O128,"")</f>
        <v>Charriage présumé perturbé / Geschiebehaushalt vermutlich beeinträchtigt</v>
      </c>
      <c r="D240" t="str">
        <f>IF('[1]Revitalisation-Revitalisierung'!L128="a",'[1]Revitalisation-Revitalisierung'!K128,"")</f>
        <v/>
      </c>
      <c r="E240" t="str">
        <f>IF('[1]Revitalisation-Revitalisierung'!L128="b",'[1]Revitalisation-Revitalisierung'!K128,"")</f>
        <v>Très nécessaire, difficile / unbedingt nötig, schwierig</v>
      </c>
    </row>
    <row r="241" spans="2:5" x14ac:dyDescent="0.25">
      <c r="B241" t="str">
        <f>IF('[1]Charriage - Geschiebehaushalt'!P129="a",'[1]Charriage - Geschiebehaushalt'!O129,"")</f>
        <v/>
      </c>
      <c r="C241" t="str">
        <f>IF('[1]Charriage - Geschiebehaushalt'!P129="b",'[1]Charriage - Geschiebehaushalt'!O129,"")</f>
        <v>La remobilisation des sédiments est perturbée / Mobilisierung von Geschiebe beeinträchtigt</v>
      </c>
      <c r="D241" t="str">
        <f>IF('[1]Revitalisation-Revitalisierung'!L129="a",'[1]Revitalisation-Revitalisierung'!K129,"")</f>
        <v/>
      </c>
      <c r="E241" t="str">
        <f>IF('[1]Revitalisation-Revitalisierung'!L129="b",'[1]Revitalisation-Revitalisierung'!K129,"")</f>
        <v>Très nécessaire, facile / unbedingt nötig, einfach</v>
      </c>
    </row>
    <row r="242" spans="2:5" x14ac:dyDescent="0.25">
      <c r="B242" t="str">
        <f>IF('[1]Charriage - Geschiebehaushalt'!P130="a",'[1]Charriage - Geschiebehaushalt'!O130,"")</f>
        <v/>
      </c>
      <c r="C242" t="str">
        <f>IF('[1]Charriage - Geschiebehaushalt'!P130="b",'[1]Charriage - Geschiebehaushalt'!O130,"")</f>
        <v>Problème lié à un manque de charriage ou à un manque de remobilisation des sédiments / Problem aufgrund Geschiebemangels bzw. mangelnder Mobilisierung von Geschiebe</v>
      </c>
      <c r="D242" t="str">
        <f>IF('[1]Revitalisation-Revitalisierung'!L130="a",'[1]Revitalisation-Revitalisierung'!K130,"")</f>
        <v/>
      </c>
      <c r="E242" t="str">
        <f>IF('[1]Revitalisation-Revitalisierung'!L130="b",'[1]Revitalisation-Revitalisierung'!K130,"")</f>
        <v>Non nécessaire / nicht nötig</v>
      </c>
    </row>
    <row r="243" spans="2:5" x14ac:dyDescent="0.25">
      <c r="B243" t="str">
        <f>IF('[1]Charriage - Geschiebehaushalt'!P131="a",'[1]Charriage - Geschiebehaushalt'!O131,"")</f>
        <v/>
      </c>
      <c r="C243" t="str">
        <f>IF('[1]Charriage - Geschiebehaushalt'!P131="b",'[1]Charriage - Geschiebehaushalt'!O131,"")</f>
        <v>Problème lié à un manque de charriage ou à un manque de remobilisation des sédiments / Problem aufgrund Geschiebemangels bzw. mangelnder Mobilisierung von Geschiebe</v>
      </c>
      <c r="D243" t="str">
        <f>IF('[1]Revitalisation-Revitalisierung'!L131="a",'[1]Revitalisation-Revitalisierung'!K131,"")</f>
        <v/>
      </c>
      <c r="E243" t="str">
        <f>IF('[1]Revitalisation-Revitalisierung'!L131="b",'[1]Revitalisation-Revitalisierung'!K131,"")</f>
        <v>Très nécessaire, facile / unbedingt nötig, einfach</v>
      </c>
    </row>
    <row r="244" spans="2:5" x14ac:dyDescent="0.25">
      <c r="B244" t="str">
        <f>IF('[1]Charriage - Geschiebehaushalt'!P132="a",'[1]Charriage - Geschiebehaushalt'!O132,"")</f>
        <v/>
      </c>
      <c r="C244" t="str">
        <f>IF('[1]Charriage - Geschiebehaushalt'!P132="b",'[1]Charriage - Geschiebehaushalt'!O132,"")</f>
        <v>La remobilisation des sédiments est perturbée / Mobilisierung von Geschiebe beeinträchtigt</v>
      </c>
      <c r="D244" t="str">
        <f>IF('[1]Revitalisation-Revitalisierung'!L132="a",'[1]Revitalisation-Revitalisierung'!K132,"")</f>
        <v/>
      </c>
      <c r="E244" t="str">
        <f>IF('[1]Revitalisation-Revitalisierung'!L132="b",'[1]Revitalisation-Revitalisierung'!K132,"")</f>
        <v>Très nécessaire, facile / unbedingt nötig, einfach</v>
      </c>
    </row>
    <row r="245" spans="2:5" x14ac:dyDescent="0.25">
      <c r="B245" t="str">
        <f>IF('[1]Charriage - Geschiebehaushalt'!P133="a",'[1]Charriage - Geschiebehaushalt'!O133,"")</f>
        <v/>
      </c>
      <c r="C245" t="str">
        <f>IF('[1]Charriage - Geschiebehaushalt'!P133="b",'[1]Charriage - Geschiebehaushalt'!O133,"")</f>
        <v>Charriage présumé faiblement perturbé / Geschiebe vermutlich leicht beeinträchtigt</v>
      </c>
      <c r="D245" t="str">
        <f>IF('[1]Revitalisation-Revitalisierung'!L133="a",'[1]Revitalisation-Revitalisierung'!K133,"")</f>
        <v>Non nécessaire / nicht nötig</v>
      </c>
      <c r="E245" t="str">
        <f>IF('[1]Revitalisation-Revitalisierung'!L133="b",'[1]Revitalisation-Revitalisierung'!K133,"")</f>
        <v/>
      </c>
    </row>
    <row r="246" spans="2:5" x14ac:dyDescent="0.25">
      <c r="B246" t="str">
        <f>IF('[1]Charriage - Geschiebehaushalt'!P134="a",'[1]Charriage - Geschiebehaushalt'!O134,"")</f>
        <v/>
      </c>
      <c r="C246" t="str">
        <f>IF('[1]Charriage - Geschiebehaushalt'!P134="b",'[1]Charriage - Geschiebehaushalt'!O134,"")</f>
        <v>La remobilisation des sédiments est perturbée / Mobilisierung von Geschiebe beeinträchtigt</v>
      </c>
      <c r="D246" t="str">
        <f>IF('[1]Revitalisation-Revitalisierung'!L134="a",'[1]Revitalisation-Revitalisierung'!K134,"")</f>
        <v>Très nécessaire, difficile / unbedingt nötig, schwierig</v>
      </c>
      <c r="E246" t="str">
        <f>IF('[1]Revitalisation-Revitalisierung'!L134="b",'[1]Revitalisation-Revitalisierung'!K134,"")</f>
        <v/>
      </c>
    </row>
    <row r="247" spans="2:5" x14ac:dyDescent="0.25">
      <c r="B247" t="str">
        <f>IF('[1]Charriage - Geschiebehaushalt'!P135="a",'[1]Charriage - Geschiebehaushalt'!O135,"")</f>
        <v/>
      </c>
      <c r="C247" t="str">
        <f>IF('[1]Charriage - Geschiebehaushalt'!P135="b",'[1]Charriage - Geschiebehaushalt'!O135,"")</f>
        <v>Charriage présumé perturbé / Geschiebehaushalt vermutlich beeinträchtigt</v>
      </c>
      <c r="D247" t="str">
        <f>IF('[1]Revitalisation-Revitalisierung'!L135="a",'[1]Revitalisation-Revitalisierung'!K135,"")</f>
        <v>Très nécessaire, facile / unbedingt nötig, einfach</v>
      </c>
      <c r="E247" t="str">
        <f>IF('[1]Revitalisation-Revitalisierung'!L135="b",'[1]Revitalisation-Revitalisierung'!K135,"")</f>
        <v/>
      </c>
    </row>
    <row r="248" spans="2:5" x14ac:dyDescent="0.25">
      <c r="B248" t="str">
        <f>IF('[1]Charriage - Geschiebehaushalt'!P136="a",'[1]Charriage - Geschiebehaushalt'!O136,"")</f>
        <v/>
      </c>
      <c r="C248" t="str">
        <f>IF('[1]Charriage - Geschiebehaushalt'!P136="b",'[1]Charriage - Geschiebehaushalt'!O136,"")</f>
        <v>Charriage présumé perturbé / Geschiebehaushalt vermutlich beeinträchtigt</v>
      </c>
      <c r="D248" t="str">
        <f>IF('[1]Revitalisation-Revitalisierung'!L136="a",'[1]Revitalisation-Revitalisierung'!K136,"")</f>
        <v>Très nécessaire, facile / unbedingt nötig, einfach</v>
      </c>
      <c r="E248" t="str">
        <f>IF('[1]Revitalisation-Revitalisierung'!L136="b",'[1]Revitalisation-Revitalisierung'!K136,"")</f>
        <v/>
      </c>
    </row>
    <row r="249" spans="2:5" x14ac:dyDescent="0.25">
      <c r="B249" t="str">
        <f>IF('[1]Charriage - Geschiebehaushalt'!P137="a",'[1]Charriage - Geschiebehaushalt'!O137,"")</f>
        <v/>
      </c>
      <c r="C249" t="str">
        <f>IF('[1]Charriage - Geschiebehaushalt'!P137="b",'[1]Charriage - Geschiebehaushalt'!O137,"")</f>
        <v>Charriage présumé perturbé / Geschiebehaushalt vermutlich beeinträchtigt</v>
      </c>
      <c r="D249" t="str">
        <f>IF('[1]Revitalisation-Revitalisierung'!L137="a",'[1]Revitalisation-Revitalisierung'!K137,"")</f>
        <v>Non nécessaire / nicht nötig</v>
      </c>
      <c r="E249" t="str">
        <f>IF('[1]Revitalisation-Revitalisierung'!L137="b",'[1]Revitalisation-Revitalisierung'!K137,"")</f>
        <v/>
      </c>
    </row>
    <row r="250" spans="2:5" x14ac:dyDescent="0.25">
      <c r="B250" t="str">
        <f>IF('[1]Charriage - Geschiebehaushalt'!P138="a",'[1]Charriage - Geschiebehaushalt'!O138,"")</f>
        <v/>
      </c>
      <c r="C250" t="str">
        <f>IF('[1]Charriage - Geschiebehaushalt'!P138="b",'[1]Charriage - Geschiebehaushalt'!O138,"")</f>
        <v>Charriage présumé perturbé / Geschiebehaushalt vermutlich beeinträchtigt</v>
      </c>
      <c r="D250" t="str">
        <f>IF('[1]Revitalisation-Revitalisierung'!L138="a",'[1]Revitalisation-Revitalisierung'!K138,"")</f>
        <v/>
      </c>
      <c r="E250" t="str">
        <f>IF('[1]Revitalisation-Revitalisierung'!L138="b",'[1]Revitalisation-Revitalisierung'!K138,"")</f>
        <v>Très nécessaire, facile / unbedingt nötig, einfach</v>
      </c>
    </row>
    <row r="251" spans="2:5" x14ac:dyDescent="0.25">
      <c r="B251" t="str">
        <f>IF('[1]Charriage - Geschiebehaushalt'!P139="a",'[1]Charriage - Geschiebehaushalt'!O139,"")</f>
        <v/>
      </c>
      <c r="C251" t="str">
        <f>IF('[1]Charriage - Geschiebehaushalt'!P139="b",'[1]Charriage - Geschiebehaushalt'!O139,"")</f>
        <v>Charriage présumé perturbé / Geschiebehaushalt vermutlich beeinträchtigt</v>
      </c>
      <c r="D251" t="str">
        <f>IF('[1]Revitalisation-Revitalisierung'!L139="a",'[1]Revitalisation-Revitalisierung'!K139,"")</f>
        <v/>
      </c>
      <c r="E251" t="str">
        <f>IF('[1]Revitalisation-Revitalisierung'!L139="b",'[1]Revitalisation-Revitalisierung'!K139,"")</f>
        <v>Très nécessaire, facile / unbedingt nötig, einfach</v>
      </c>
    </row>
    <row r="252" spans="2:5" x14ac:dyDescent="0.25">
      <c r="B252" t="str">
        <f>IF('[1]Charriage - Geschiebehaushalt'!P140="a",'[1]Charriage - Geschiebehaushalt'!O140,"")</f>
        <v/>
      </c>
      <c r="C252" t="str">
        <f>IF('[1]Charriage - Geschiebehaushalt'!P140="b",'[1]Charriage - Geschiebehaushalt'!O140,"")</f>
        <v>Charriage présumé perturbé / Geschiebehaushalt vermutlich beeinträchtigt</v>
      </c>
      <c r="D252" t="str">
        <f>IF('[1]Revitalisation-Revitalisierung'!L140="a",'[1]Revitalisation-Revitalisierung'!K140,"")</f>
        <v>Partiellement nécessaire, difficile / teilweise nötig, schwierig</v>
      </c>
      <c r="E252" t="str">
        <f>IF('[1]Revitalisation-Revitalisierung'!L140="b",'[1]Revitalisation-Revitalisierung'!K140,"")</f>
        <v/>
      </c>
    </row>
    <row r="253" spans="2:5" x14ac:dyDescent="0.25">
      <c r="B253" t="str">
        <f>IF('[1]Charriage - Geschiebehaushalt'!P141="a",'[1]Charriage - Geschiebehaushalt'!O141,"")</f>
        <v/>
      </c>
      <c r="C253" t="str">
        <f>IF('[1]Charriage - Geschiebehaushalt'!P141="b",'[1]Charriage - Geschiebehaushalt'!O141,"")</f>
        <v>Charriage présumé perturbé / Geschiebehaushalt vermutlich beeinträchtigt</v>
      </c>
      <c r="D253" t="str">
        <f>IF('[1]Revitalisation-Revitalisierung'!L141="a",'[1]Revitalisation-Revitalisierung'!K141,"")</f>
        <v>Partiellement nécessaire, facile / teilweise nötig, einfach</v>
      </c>
      <c r="E253" t="str">
        <f>IF('[1]Revitalisation-Revitalisierung'!L141="b",'[1]Revitalisation-Revitalisierung'!K141,"")</f>
        <v/>
      </c>
    </row>
    <row r="254" spans="2:5" x14ac:dyDescent="0.25">
      <c r="B254" t="str">
        <f>IF('[1]Charriage - Geschiebehaushalt'!P142="a",'[1]Charriage - Geschiebehaushalt'!O142,"")</f>
        <v/>
      </c>
      <c r="C254" t="str">
        <f>IF('[1]Charriage - Geschiebehaushalt'!P142="b",'[1]Charriage - Geschiebehaushalt'!O142,"")</f>
        <v>Charriage présumé naturel / Geschiebehaushalt vermutlich natürlich</v>
      </c>
      <c r="D254" t="str">
        <f>IF('[1]Revitalisation-Revitalisierung'!L142="a",'[1]Revitalisation-Revitalisierung'!K142,"")</f>
        <v/>
      </c>
      <c r="E254" t="str">
        <f>IF('[1]Revitalisation-Revitalisierung'!L142="b",'[1]Revitalisation-Revitalisierung'!K142,"")</f>
        <v>Non nécessaire / nicht nötig</v>
      </c>
    </row>
    <row r="255" spans="2:5" x14ac:dyDescent="0.25">
      <c r="B255" t="str">
        <f>IF('[1]Charriage - Geschiebehaushalt'!P143="a",'[1]Charriage - Geschiebehaushalt'!O143,"")</f>
        <v/>
      </c>
      <c r="C255" t="str">
        <f>IF('[1]Charriage - Geschiebehaushalt'!P143="b",'[1]Charriage - Geschiebehaushalt'!O143,"")</f>
        <v>Déficit non apparent en charriage ou en remobilisation des sédiments / kein sichtbares Defizit beim Geschiebehaushalt bzw. bei der Mobilisierung von Geschiebe</v>
      </c>
      <c r="D255" t="str">
        <f>IF('[1]Revitalisation-Revitalisierung'!L143="a",'[1]Revitalisation-Revitalisierung'!K143,"")</f>
        <v>Non nécessaire / nicht nötig</v>
      </c>
      <c r="E255" t="str">
        <f>IF('[1]Revitalisation-Revitalisierung'!L143="b",'[1]Revitalisation-Revitalisierung'!K143,"")</f>
        <v/>
      </c>
    </row>
    <row r="256" spans="2:5" x14ac:dyDescent="0.25">
      <c r="B256" t="str">
        <f>IF('[1]Charriage - Geschiebehaushalt'!P144="a",'[1]Charriage - Geschiebehaushalt'!O144,"")</f>
        <v/>
      </c>
      <c r="C256" t="str">
        <f>IF('[1]Charriage - Geschiebehaushalt'!P144="b",'[1]Charriage - Geschiebehaushalt'!O144,"")</f>
        <v>Charriage présumé perturbé / Geschiebehaushalt vermutlich beeinträchtigt</v>
      </c>
      <c r="D256" t="str">
        <f>IF('[1]Revitalisation-Revitalisierung'!L144="a",'[1]Revitalisation-Revitalisierung'!K144,"")</f>
        <v>Non nécessaire / nicht nötig</v>
      </c>
      <c r="E256" t="str">
        <f>IF('[1]Revitalisation-Revitalisierung'!L144="b",'[1]Revitalisation-Revitalisierung'!K144,"")</f>
        <v/>
      </c>
    </row>
    <row r="257" spans="2:5" x14ac:dyDescent="0.25">
      <c r="B257" t="str">
        <f>IF('[1]Charriage - Geschiebehaushalt'!P145="a",'[1]Charriage - Geschiebehaushalt'!O145,"")</f>
        <v/>
      </c>
      <c r="C257" t="str">
        <f>IF('[1]Charriage - Geschiebehaushalt'!P145="b",'[1]Charriage - Geschiebehaushalt'!O145,"")</f>
        <v>Charriage présumé faiblement perturbé / Geschiebe vermutlich leicht beeinträchtigt</v>
      </c>
      <c r="D257" t="str">
        <f>IF('[1]Revitalisation-Revitalisierung'!L145="a",'[1]Revitalisation-Revitalisierung'!K145,"")</f>
        <v>Non nécessaire / nicht nötig</v>
      </c>
      <c r="E257" t="str">
        <f>IF('[1]Revitalisation-Revitalisierung'!L145="b",'[1]Revitalisation-Revitalisierung'!K145,"")</f>
        <v/>
      </c>
    </row>
    <row r="258" spans="2:5" x14ac:dyDescent="0.25">
      <c r="B258" t="str">
        <f>IF('[1]Charriage - Geschiebehaushalt'!P146="a",'[1]Charriage - Geschiebehaushalt'!O146,"")</f>
        <v/>
      </c>
      <c r="C258" t="str">
        <f>IF('[1]Charriage - Geschiebehaushalt'!P146="b",'[1]Charriage - Geschiebehaushalt'!O146,"")</f>
        <v>Charriage présumé faiblement perturbé / Geschiebe vermutlich leicht beeinträchtigt</v>
      </c>
      <c r="D258" t="str">
        <f>IF('[1]Revitalisation-Revitalisierung'!L146="a",'[1]Revitalisation-Revitalisierung'!K146,"")</f>
        <v>Non nécessaire / nicht nötig</v>
      </c>
      <c r="E258" t="str">
        <f>IF('[1]Revitalisation-Revitalisierung'!L146="b",'[1]Revitalisation-Revitalisierung'!K146,"")</f>
        <v/>
      </c>
    </row>
    <row r="259" spans="2:5" x14ac:dyDescent="0.25">
      <c r="B259" t="str">
        <f>IF('[1]Charriage - Geschiebehaushalt'!P147="a",'[1]Charriage - Geschiebehaushalt'!O147,"")</f>
        <v/>
      </c>
      <c r="C259" t="str">
        <f>IF('[1]Charriage - Geschiebehaushalt'!P147="b",'[1]Charriage - Geschiebehaushalt'!O147,"")</f>
        <v>Charriage présumé perturbé / Geschiebehaushalt vermutlich beeinträchtigt</v>
      </c>
      <c r="D259" t="str">
        <f>IF('[1]Revitalisation-Revitalisierung'!L147="a",'[1]Revitalisation-Revitalisierung'!K147,"")</f>
        <v>Partiellement nécessaire, facile / teilweise nötig, einfach</v>
      </c>
      <c r="E259" t="str">
        <f>IF('[1]Revitalisation-Revitalisierung'!L147="b",'[1]Revitalisation-Revitalisierung'!K147,"")</f>
        <v/>
      </c>
    </row>
    <row r="260" spans="2:5" x14ac:dyDescent="0.25">
      <c r="B260" t="str">
        <f>IF('[1]Charriage - Geschiebehaushalt'!P148="a",'[1]Charriage - Geschiebehaushalt'!O148,"")</f>
        <v>0-20%</v>
      </c>
      <c r="C260" t="str">
        <f>IF('[1]Charriage - Geschiebehaushalt'!P148="b",'[1]Charriage - Geschiebehaushalt'!O148,"")</f>
        <v/>
      </c>
      <c r="D260" t="str">
        <f>IF('[1]Revitalisation-Revitalisierung'!L148="a",'[1]Revitalisation-Revitalisierung'!K148,"")</f>
        <v/>
      </c>
      <c r="E260" t="str">
        <f>IF('[1]Revitalisation-Revitalisierung'!L148="b",'[1]Revitalisation-Revitalisierung'!K148,"")</f>
        <v>Non nécessaire / nicht nötig</v>
      </c>
    </row>
    <row r="261" spans="2:5" x14ac:dyDescent="0.25">
      <c r="B261" t="str">
        <f>IF('[1]Charriage - Geschiebehaushalt'!P149="a",'[1]Charriage - Geschiebehaushalt'!O149,"")</f>
        <v>0-20%</v>
      </c>
      <c r="C261" t="str">
        <f>IF('[1]Charriage - Geschiebehaushalt'!P149="b",'[1]Charriage - Geschiebehaushalt'!O149,"")</f>
        <v/>
      </c>
      <c r="D261" t="str">
        <f>IF('[1]Revitalisation-Revitalisierung'!L149="a",'[1]Revitalisation-Revitalisierung'!K149,"")</f>
        <v/>
      </c>
      <c r="E261" t="str">
        <f>IF('[1]Revitalisation-Revitalisierung'!L149="b",'[1]Revitalisation-Revitalisierung'!K149,"")</f>
        <v>Très nécessaire, facile / unbedingt nötig, einfach</v>
      </c>
    </row>
    <row r="262" spans="2:5" x14ac:dyDescent="0.25">
      <c r="B262" t="str">
        <f>IF('[1]Charriage - Geschiebehaushalt'!P150="a",'[1]Charriage - Geschiebehaushalt'!O150,"")</f>
        <v>51-80%</v>
      </c>
      <c r="C262" t="str">
        <f>IF('[1]Charriage - Geschiebehaushalt'!P150="b",'[1]Charriage - Geschiebehaushalt'!O150,"")</f>
        <v/>
      </c>
      <c r="D262" t="str">
        <f>IF('[1]Revitalisation-Revitalisierung'!L150="a",'[1]Revitalisation-Revitalisierung'!K150,"")</f>
        <v>Très nécessaire, facile / unbedingt nötig, einfach</v>
      </c>
      <c r="E262" t="str">
        <f>IF('[1]Revitalisation-Revitalisierung'!L150="b",'[1]Revitalisation-Revitalisierung'!K150,"")</f>
        <v/>
      </c>
    </row>
    <row r="263" spans="2:5" x14ac:dyDescent="0.25">
      <c r="B263" t="str">
        <f>IF('[1]Charriage - Geschiebehaushalt'!P151="a",'[1]Charriage - Geschiebehaushalt'!O151,"")</f>
        <v/>
      </c>
      <c r="C263" t="str">
        <f>IF('[1]Charriage - Geschiebehaushalt'!P151="b",'[1]Charriage - Geschiebehaushalt'!O151,"")</f>
        <v>La remobilisation des sédiments est perturbée / Mobilisierung von Geschiebe beeinträchtigt</v>
      </c>
      <c r="D263" t="str">
        <f>IF('[1]Revitalisation-Revitalisierung'!L151="a",'[1]Revitalisation-Revitalisierung'!K151,"")</f>
        <v>Très nécessaire, difficile / unbedingt nötig, schwierig</v>
      </c>
      <c r="E263" t="str">
        <f>IF('[1]Revitalisation-Revitalisierung'!L151="b",'[1]Revitalisation-Revitalisierung'!K151,"")</f>
        <v/>
      </c>
    </row>
    <row r="264" spans="2:5" x14ac:dyDescent="0.25">
      <c r="B264" t="str">
        <f>IF('[1]Charriage - Geschiebehaushalt'!P152="a",'[1]Charriage - Geschiebehaushalt'!O152,"")</f>
        <v>non pertinent / nicht relevant</v>
      </c>
      <c r="C264" t="str">
        <f>IF('[1]Charriage - Geschiebehaushalt'!P152="b",'[1]Charriage - Geschiebehaushalt'!O152,"")</f>
        <v/>
      </c>
      <c r="D264" t="str">
        <f>IF('[1]Revitalisation-Revitalisierung'!L152="a",'[1]Revitalisation-Revitalisierung'!K152,"")</f>
        <v>non pertinent / nicht relevant</v>
      </c>
      <c r="E264" t="str">
        <f>IF('[1]Revitalisation-Revitalisierung'!L152="b",'[1]Revitalisation-Revitalisierung'!K152,"")</f>
        <v/>
      </c>
    </row>
    <row r="265" spans="2:5" x14ac:dyDescent="0.25">
      <c r="B265" t="str">
        <f>IF('[1]Charriage - Geschiebehaushalt'!P153="a",'[1]Charriage - Geschiebehaushalt'!O153,"")</f>
        <v>non pertinent / nicht relevant</v>
      </c>
      <c r="C265" t="str">
        <f>IF('[1]Charriage - Geschiebehaushalt'!P153="b",'[1]Charriage - Geschiebehaushalt'!O153,"")</f>
        <v/>
      </c>
      <c r="D265" t="str">
        <f>IF('[1]Revitalisation-Revitalisierung'!L153="a",'[1]Revitalisation-Revitalisierung'!K153,"")</f>
        <v>non pertinent / nicht relevant</v>
      </c>
      <c r="E265" t="str">
        <f>IF('[1]Revitalisation-Revitalisierung'!L153="b",'[1]Revitalisation-Revitalisierung'!K153,"")</f>
        <v/>
      </c>
    </row>
    <row r="266" spans="2:5" x14ac:dyDescent="0.25">
      <c r="B266" t="str">
        <f>IF('[1]Charriage - Geschiebehaushalt'!P154="a",'[1]Charriage - Geschiebehaushalt'!O154,"")</f>
        <v>non pertinent / nicht relevant</v>
      </c>
      <c r="C266" t="str">
        <f>IF('[1]Charriage - Geschiebehaushalt'!P154="b",'[1]Charriage - Geschiebehaushalt'!O154,"")</f>
        <v/>
      </c>
      <c r="D266" t="str">
        <f>IF('[1]Revitalisation-Revitalisierung'!L154="a",'[1]Revitalisation-Revitalisierung'!K154,"")</f>
        <v>non pertinent / nicht relevant</v>
      </c>
      <c r="E266" t="str">
        <f>IF('[1]Revitalisation-Revitalisierung'!L154="b",'[1]Revitalisation-Revitalisierung'!K154,"")</f>
        <v/>
      </c>
    </row>
    <row r="267" spans="2:5" x14ac:dyDescent="0.25">
      <c r="B267" t="str">
        <f>IF('[1]Charriage - Geschiebehaushalt'!P155="a",'[1]Charriage - Geschiebehaushalt'!O155,"")</f>
        <v>non pertinent / nicht relevant</v>
      </c>
      <c r="C267" t="str">
        <f>IF('[1]Charriage - Geschiebehaushalt'!P155="b",'[1]Charriage - Geschiebehaushalt'!O155,"")</f>
        <v/>
      </c>
      <c r="D267" t="str">
        <f>IF('[1]Revitalisation-Revitalisierung'!L155="a",'[1]Revitalisation-Revitalisierung'!K155,"")</f>
        <v>non pertinent / nicht relevant</v>
      </c>
      <c r="E267" t="str">
        <f>IF('[1]Revitalisation-Revitalisierung'!L155="b",'[1]Revitalisation-Revitalisierung'!K155,"")</f>
        <v/>
      </c>
    </row>
    <row r="268" spans="2:5" x14ac:dyDescent="0.25">
      <c r="B268" t="str">
        <f>IF('[1]Charriage - Geschiebehaushalt'!P156="a",'[1]Charriage - Geschiebehaushalt'!O156,"")</f>
        <v>non pertinent / nicht relevant</v>
      </c>
      <c r="C268" t="str">
        <f>IF('[1]Charriage - Geschiebehaushalt'!P156="b",'[1]Charriage - Geschiebehaushalt'!O156,"")</f>
        <v/>
      </c>
      <c r="D268" t="str">
        <f>IF('[1]Revitalisation-Revitalisierung'!L156="a",'[1]Revitalisation-Revitalisierung'!K156,"")</f>
        <v>non pertinent / nicht relevant</v>
      </c>
      <c r="E268" t="str">
        <f>IF('[1]Revitalisation-Revitalisierung'!L156="b",'[1]Revitalisation-Revitalisierung'!K156,"")</f>
        <v/>
      </c>
    </row>
    <row r="269" spans="2:5" x14ac:dyDescent="0.25">
      <c r="B269" t="str">
        <f>IF('[1]Charriage - Geschiebehaushalt'!P157="a",'[1]Charriage - Geschiebehaushalt'!O157,"")</f>
        <v>non pertinent / nicht relevant</v>
      </c>
      <c r="C269" t="str">
        <f>IF('[1]Charriage - Geschiebehaushalt'!P157="b",'[1]Charriage - Geschiebehaushalt'!O157,"")</f>
        <v/>
      </c>
      <c r="D269" t="str">
        <f>IF('[1]Revitalisation-Revitalisierung'!L157="a",'[1]Revitalisation-Revitalisierung'!K157,"")</f>
        <v>non pertinent / nicht relevant</v>
      </c>
      <c r="E269" t="str">
        <f>IF('[1]Revitalisation-Revitalisierung'!L157="b",'[1]Revitalisation-Revitalisierung'!K157,"")</f>
        <v/>
      </c>
    </row>
    <row r="270" spans="2:5" x14ac:dyDescent="0.25">
      <c r="B270" t="str">
        <f>IF('[1]Charriage - Geschiebehaushalt'!P158="a",'[1]Charriage - Geschiebehaushalt'!O158,"")</f>
        <v>non pertinent / nicht relevant</v>
      </c>
      <c r="C270" t="str">
        <f>IF('[1]Charriage - Geschiebehaushalt'!P158="b",'[1]Charriage - Geschiebehaushalt'!O158,"")</f>
        <v/>
      </c>
      <c r="D270" t="str">
        <f>IF('[1]Revitalisation-Revitalisierung'!L158="a",'[1]Revitalisation-Revitalisierung'!K158,"")</f>
        <v>non pertinent / nicht relevant</v>
      </c>
      <c r="E270" t="str">
        <f>IF('[1]Revitalisation-Revitalisierung'!L158="b",'[1]Revitalisation-Revitalisierung'!K158,"")</f>
        <v/>
      </c>
    </row>
    <row r="271" spans="2:5" x14ac:dyDescent="0.25">
      <c r="B271" t="str">
        <f>IF('[1]Charriage - Geschiebehaushalt'!P159="a",'[1]Charriage - Geschiebehaushalt'!O159,"")</f>
        <v>non pertinent / nicht relevant</v>
      </c>
      <c r="C271" t="str">
        <f>IF('[1]Charriage - Geschiebehaushalt'!P159="b",'[1]Charriage - Geschiebehaushalt'!O159,"")</f>
        <v/>
      </c>
      <c r="D271" t="str">
        <f>IF('[1]Revitalisation-Revitalisierung'!L159="a",'[1]Revitalisation-Revitalisierung'!K159,"")</f>
        <v>non pertinent / nicht relevant</v>
      </c>
      <c r="E271" t="str">
        <f>IF('[1]Revitalisation-Revitalisierung'!L159="b",'[1]Revitalisation-Revitalisierung'!K159,"")</f>
        <v/>
      </c>
    </row>
    <row r="272" spans="2:5" x14ac:dyDescent="0.25">
      <c r="B272" t="str">
        <f>IF('[1]Charriage - Geschiebehaushalt'!P160="a",'[1]Charriage - Geschiebehaushalt'!O160,"")</f>
        <v>non pertinent / nicht relevant</v>
      </c>
      <c r="C272" t="str">
        <f>IF('[1]Charriage - Geschiebehaushalt'!P160="b",'[1]Charriage - Geschiebehaushalt'!O160,"")</f>
        <v/>
      </c>
      <c r="D272" t="str">
        <f>IF('[1]Revitalisation-Revitalisierung'!L160="a",'[1]Revitalisation-Revitalisierung'!K160,"")</f>
        <v>non pertinent / nicht relevant</v>
      </c>
      <c r="E272" t="str">
        <f>IF('[1]Revitalisation-Revitalisierung'!L160="b",'[1]Revitalisation-Revitalisierung'!K160,"")</f>
        <v/>
      </c>
    </row>
    <row r="273" spans="2:5" x14ac:dyDescent="0.25">
      <c r="B273" t="str">
        <f>IF('[1]Charriage - Geschiebehaushalt'!P161="a",'[1]Charriage - Geschiebehaushalt'!O161,"")</f>
        <v>non pertinent / nicht relevant</v>
      </c>
      <c r="C273" t="str">
        <f>IF('[1]Charriage - Geschiebehaushalt'!P161="b",'[1]Charriage - Geschiebehaushalt'!O161,"")</f>
        <v/>
      </c>
      <c r="D273" t="str">
        <f>IF('[1]Revitalisation-Revitalisierung'!L161="a",'[1]Revitalisation-Revitalisierung'!K161,"")</f>
        <v>non pertinent / nicht relevant</v>
      </c>
      <c r="E273" t="str">
        <f>IF('[1]Revitalisation-Revitalisierung'!L161="b",'[1]Revitalisation-Revitalisierung'!K161,"")</f>
        <v/>
      </c>
    </row>
    <row r="274" spans="2:5" x14ac:dyDescent="0.25">
      <c r="B274" t="str">
        <f>IF('[1]Charriage - Geschiebehaushalt'!P162="a",'[1]Charriage - Geschiebehaushalt'!O162,"")</f>
        <v>non pertinent / nicht relevant</v>
      </c>
      <c r="C274" t="str">
        <f>IF('[1]Charriage - Geschiebehaushalt'!P162="b",'[1]Charriage - Geschiebehaushalt'!O162,"")</f>
        <v/>
      </c>
      <c r="D274" t="str">
        <f>IF('[1]Revitalisation-Revitalisierung'!L162="a",'[1]Revitalisation-Revitalisierung'!K162,"")</f>
        <v>non pertinent / nicht relevant</v>
      </c>
      <c r="E274" t="str">
        <f>IF('[1]Revitalisation-Revitalisierung'!L162="b",'[1]Revitalisation-Revitalisierung'!K162,"")</f>
        <v/>
      </c>
    </row>
    <row r="275" spans="2:5" x14ac:dyDescent="0.25">
      <c r="B275" t="str">
        <f>IF('[1]Charriage - Geschiebehaushalt'!P163="a",'[1]Charriage - Geschiebehaushalt'!O163,"")</f>
        <v/>
      </c>
      <c r="C275" t="str">
        <f>IF('[1]Charriage - Geschiebehaushalt'!P163="b",'[1]Charriage - Geschiebehaushalt'!O163,"")</f>
        <v>Déficit non apparent en charriage ou en remobilisation des sédiments / kein sichtbares Defizit beim Geschiebehaushalt bzw. bei der Mobilisierung von Geschiebe</v>
      </c>
      <c r="D275" t="str">
        <f>IF('[1]Revitalisation-Revitalisierung'!L163="a",'[1]Revitalisation-Revitalisierung'!K163,"")</f>
        <v>Non nécessaire / nicht nötig</v>
      </c>
      <c r="E275" t="str">
        <f>IF('[1]Revitalisation-Revitalisierung'!L163="b",'[1]Revitalisation-Revitalisierung'!K163,"")</f>
        <v/>
      </c>
    </row>
    <row r="276" spans="2:5" x14ac:dyDescent="0.25">
      <c r="B276" t="str">
        <f>IF('[1]Charriage - Geschiebehaushalt'!P164="a",'[1]Charriage - Geschiebehaushalt'!O164,"")</f>
        <v/>
      </c>
      <c r="C276" t="str">
        <f>IF('[1]Charriage - Geschiebehaushalt'!P164="b",'[1]Charriage - Geschiebehaushalt'!O164,"")</f>
        <v>Charriage présumé naturel / Geschiebehaushalt vermutlich natürlich</v>
      </c>
      <c r="D276" t="str">
        <f>IF('[1]Revitalisation-Revitalisierung'!L164="a",'[1]Revitalisation-Revitalisierung'!K164,"")</f>
        <v/>
      </c>
      <c r="E276" t="str">
        <f>IF('[1]Revitalisation-Revitalisierung'!L164="b",'[1]Revitalisation-Revitalisierung'!K164,"")</f>
        <v>Non nécessaire / nicht nötig</v>
      </c>
    </row>
    <row r="277" spans="2:5" x14ac:dyDescent="0.25">
      <c r="B277" t="str">
        <f>IF('[1]Charriage - Geschiebehaushalt'!P165="a",'[1]Charriage - Geschiebehaushalt'!O165,"")</f>
        <v/>
      </c>
      <c r="C277" t="str">
        <f>IF('[1]Charriage - Geschiebehaushalt'!P165="b",'[1]Charriage - Geschiebehaushalt'!O165,"")</f>
        <v>Charriage présumé naturel / Geschiebehaushalt vermutlich natürlich</v>
      </c>
      <c r="D277" t="str">
        <f>IF('[1]Revitalisation-Revitalisierung'!L165="a",'[1]Revitalisation-Revitalisierung'!K165,"")</f>
        <v>Non nécessaire / nicht nötig</v>
      </c>
      <c r="E277" t="str">
        <f>IF('[1]Revitalisation-Revitalisierung'!L165="b",'[1]Revitalisation-Revitalisierung'!K165,"")</f>
        <v/>
      </c>
    </row>
    <row r="278" spans="2:5" x14ac:dyDescent="0.25">
      <c r="B278" t="str">
        <f>IF('[1]Charriage - Geschiebehaushalt'!P166="a",'[1]Charriage - Geschiebehaushalt'!O166,"")</f>
        <v>81 -100%</v>
      </c>
      <c r="C278" t="str">
        <f>IF('[1]Charriage - Geschiebehaushalt'!P166="b",'[1]Charriage - Geschiebehaushalt'!O166,"")</f>
        <v/>
      </c>
      <c r="D278" t="str">
        <f>IF('[1]Revitalisation-Revitalisierung'!L166="a",'[1]Revitalisation-Revitalisierung'!K166,"")</f>
        <v/>
      </c>
      <c r="E278" t="str">
        <f>IF('[1]Revitalisation-Revitalisierung'!L166="b",'[1]Revitalisation-Revitalisierung'!K166,"")</f>
        <v>Très nécessaire, facile / unbedingt nötig, einfach</v>
      </c>
    </row>
    <row r="279" spans="2:5" x14ac:dyDescent="0.25">
      <c r="B279" t="str">
        <f>IF('[1]Charriage - Geschiebehaushalt'!P167="a",'[1]Charriage - Geschiebehaushalt'!O167,"")</f>
        <v>non pertinent / nicht relevant</v>
      </c>
      <c r="C279" t="str">
        <f>IF('[1]Charriage - Geschiebehaushalt'!P167="b",'[1]Charriage - Geschiebehaushalt'!O167,"")</f>
        <v/>
      </c>
      <c r="D279" t="str">
        <f>IF('[1]Revitalisation-Revitalisierung'!L167="a",'[1]Revitalisation-Revitalisierung'!K167,"")</f>
        <v/>
      </c>
      <c r="E279" t="str">
        <f>IF('[1]Revitalisation-Revitalisierung'!L167="b",'[1]Revitalisation-Revitalisierung'!K167,"")</f>
        <v>Non nécessaire / nicht nötig</v>
      </c>
    </row>
    <row r="280" spans="2:5" x14ac:dyDescent="0.25">
      <c r="B280" t="str">
        <f>IF('[1]Charriage - Geschiebehaushalt'!P168="a",'[1]Charriage - Geschiebehaushalt'!O168,"")</f>
        <v>81 -100%</v>
      </c>
      <c r="C280" t="str">
        <f>IF('[1]Charriage - Geschiebehaushalt'!P168="b",'[1]Charriage - Geschiebehaushalt'!O168,"")</f>
        <v/>
      </c>
      <c r="D280" t="str">
        <f>IF('[1]Revitalisation-Revitalisierung'!L168="a",'[1]Revitalisation-Revitalisierung'!K168,"")</f>
        <v>Très nécessaire, facile / unbedingt nötig, einfach</v>
      </c>
      <c r="E280" t="str">
        <f>IF('[1]Revitalisation-Revitalisierung'!L168="b",'[1]Revitalisation-Revitalisierung'!K168,"")</f>
        <v/>
      </c>
    </row>
    <row r="281" spans="2:5" x14ac:dyDescent="0.25">
      <c r="B281" t="str">
        <f>IF('[1]Charriage - Geschiebehaushalt'!P169="a",'[1]Charriage - Geschiebehaushalt'!O169,"")</f>
        <v/>
      </c>
      <c r="C281" t="str">
        <f>IF('[1]Charriage - Geschiebehaushalt'!P169="b",'[1]Charriage - Geschiebehaushalt'!O169,"")</f>
        <v>Charriage présumé perturbé / Geschiebehaushalt vermutlich beeinträchtigt</v>
      </c>
      <c r="D281" t="str">
        <f>IF('[1]Revitalisation-Revitalisierung'!L169="a",'[1]Revitalisation-Revitalisierung'!K169,"")</f>
        <v/>
      </c>
      <c r="E281" t="str">
        <f>IF('[1]Revitalisation-Revitalisierung'!L169="b",'[1]Revitalisation-Revitalisierung'!K169,"")</f>
        <v>Très nécessaire, difficile / unbedingt nötig, schwierig</v>
      </c>
    </row>
    <row r="282" spans="2:5" x14ac:dyDescent="0.25">
      <c r="B282" t="str">
        <f>IF('[1]Charriage - Geschiebehaushalt'!P170="a",'[1]Charriage - Geschiebehaushalt'!O170,"")</f>
        <v>non pertinent / nicht relevant</v>
      </c>
      <c r="C282" t="str">
        <f>IF('[1]Charriage - Geschiebehaushalt'!P170="b",'[1]Charriage - Geschiebehaushalt'!O170,"")</f>
        <v/>
      </c>
      <c r="D282" t="str">
        <f>IF('[1]Revitalisation-Revitalisierung'!L170="a",'[1]Revitalisation-Revitalisierung'!K170,"")</f>
        <v>non pertinent / nicht relevant</v>
      </c>
      <c r="E282" t="str">
        <f>IF('[1]Revitalisation-Revitalisierung'!L170="b",'[1]Revitalisation-Revitalisierung'!K170,"")</f>
        <v/>
      </c>
    </row>
    <row r="283" spans="2:5" x14ac:dyDescent="0.25">
      <c r="B283" t="str">
        <f>IF('[1]Charriage - Geschiebehaushalt'!P171="a",'[1]Charriage - Geschiebehaushalt'!O171,"")</f>
        <v>81 -100%</v>
      </c>
      <c r="C283" t="str">
        <f>IF('[1]Charriage - Geschiebehaushalt'!P171="b",'[1]Charriage - Geschiebehaushalt'!O171,"")</f>
        <v/>
      </c>
      <c r="D283" t="str">
        <f>IF('[1]Revitalisation-Revitalisierung'!L171="a",'[1]Revitalisation-Revitalisierung'!K171,"")</f>
        <v>Non nécessaire / nicht nötig</v>
      </c>
      <c r="E283" t="str">
        <f>IF('[1]Revitalisation-Revitalisierung'!L171="b",'[1]Revitalisation-Revitalisierung'!K171,"")</f>
        <v/>
      </c>
    </row>
    <row r="284" spans="2:5" x14ac:dyDescent="0.25">
      <c r="B284" t="str">
        <f>IF('[1]Charriage - Geschiebehaushalt'!P172="a",'[1]Charriage - Geschiebehaushalt'!O172,"")</f>
        <v>non pertinent / nicht relevant</v>
      </c>
      <c r="C284" t="str">
        <f>IF('[1]Charriage - Geschiebehaushalt'!P172="b",'[1]Charriage - Geschiebehaushalt'!O172,"")</f>
        <v/>
      </c>
      <c r="D284" t="str">
        <f>IF('[1]Revitalisation-Revitalisierung'!L172="a",'[1]Revitalisation-Revitalisierung'!K172,"")</f>
        <v>non pertinent / nicht relevant</v>
      </c>
      <c r="E284" t="str">
        <f>IF('[1]Revitalisation-Revitalisierung'!L172="b",'[1]Revitalisation-Revitalisierung'!K172,"")</f>
        <v/>
      </c>
    </row>
    <row r="285" spans="2:5" x14ac:dyDescent="0.25">
      <c r="B285" t="str">
        <f>IF('[1]Charriage - Geschiebehaushalt'!P173="a",'[1]Charriage - Geschiebehaushalt'!O173,"")</f>
        <v/>
      </c>
      <c r="C285" t="str">
        <f>IF('[1]Charriage - Geschiebehaushalt'!P173="b",'[1]Charriage - Geschiebehaushalt'!O173,"")</f>
        <v>La remobilisation des sédiments est perturbée / Mobilisierung von Geschiebe beeinträchtigt</v>
      </c>
      <c r="D285" t="str">
        <f>IF('[1]Revitalisation-Revitalisierung'!L173="a",'[1]Revitalisation-Revitalisierung'!K173,"")</f>
        <v>Très nécessaire, facile / unbedingt nötig, einfach</v>
      </c>
      <c r="E285" t="str">
        <f>IF('[1]Revitalisation-Revitalisierung'!L173="b",'[1]Revitalisation-Revitalisierung'!K173,"")</f>
        <v/>
      </c>
    </row>
    <row r="286" spans="2:5" x14ac:dyDescent="0.25">
      <c r="B286" t="str">
        <f>IF('[1]Charriage - Geschiebehaushalt'!P174="a",'[1]Charriage - Geschiebehaushalt'!O174,"")</f>
        <v/>
      </c>
      <c r="C286" t="str">
        <f>IF('[1]Charriage - Geschiebehaushalt'!P174="b",'[1]Charriage - Geschiebehaushalt'!O174,"")</f>
        <v>La remobilisation des sédiments est perturbée / Mobilisierung von Geschiebe beeinträchtigt</v>
      </c>
      <c r="D286" t="str">
        <f>IF('[1]Revitalisation-Revitalisierung'!L174="a",'[1]Revitalisation-Revitalisierung'!K174,"")</f>
        <v/>
      </c>
      <c r="E286" t="str">
        <f>IF('[1]Revitalisation-Revitalisierung'!L174="b",'[1]Revitalisation-Revitalisierung'!K174,"")</f>
        <v>Très nécessaire, facile / unbedingt nötig, einfach</v>
      </c>
    </row>
    <row r="287" spans="2:5" x14ac:dyDescent="0.25">
      <c r="B287" t="str">
        <f>IF('[1]Charriage - Geschiebehaushalt'!P175="a",'[1]Charriage - Geschiebehaushalt'!O175,"")</f>
        <v>Charriage présumé naturel / Geschiebehaushalt vermutlich natürlich</v>
      </c>
      <c r="C287" t="str">
        <f>IF('[1]Charriage - Geschiebehaushalt'!P175="b",'[1]Charriage - Geschiebehaushalt'!O175,"")</f>
        <v/>
      </c>
      <c r="D287" t="str">
        <f>IF('[1]Revitalisation-Revitalisierung'!L175="a",'[1]Revitalisation-Revitalisierung'!K175,"")</f>
        <v/>
      </c>
      <c r="E287" t="str">
        <f>IF('[1]Revitalisation-Revitalisierung'!L175="b",'[1]Revitalisation-Revitalisierung'!K175,"")</f>
        <v>Très nécessaire, facile / unbedingt nötig, einfach</v>
      </c>
    </row>
    <row r="288" spans="2:5" x14ac:dyDescent="0.25">
      <c r="B288" t="str">
        <f>IF('[1]Charriage - Geschiebehaushalt'!P176="a",'[1]Charriage - Geschiebehaushalt'!O176,"")</f>
        <v/>
      </c>
      <c r="C288" t="str">
        <f>IF('[1]Charriage - Geschiebehaushalt'!P176="b",'[1]Charriage - Geschiebehaushalt'!O176,"")</f>
        <v>Charriage présumé perturbé / Geschiebehaushalt vermutlich beeinträchtigt</v>
      </c>
      <c r="D288" t="str">
        <f>IF('[1]Revitalisation-Revitalisierung'!L176="a",'[1]Revitalisation-Revitalisierung'!K176,"")</f>
        <v>Non nécessaire / nicht nötig</v>
      </c>
      <c r="E288" t="str">
        <f>IF('[1]Revitalisation-Revitalisierung'!L176="b",'[1]Revitalisation-Revitalisierung'!K176,"")</f>
        <v/>
      </c>
    </row>
    <row r="289" spans="2:5" x14ac:dyDescent="0.25">
      <c r="B289" t="str">
        <f>IF('[1]Charriage - Geschiebehaushalt'!P177="a",'[1]Charriage - Geschiebehaushalt'!O177,"")</f>
        <v/>
      </c>
      <c r="C289" t="str">
        <f>IF('[1]Charriage - Geschiebehaushalt'!P177="b",'[1]Charriage - Geschiebehaushalt'!O177,"")</f>
        <v>Déficit non apparent en charriage ou en remobilisation des sédiments / kein sichtbares Defizit beim Geschiebehaushalt bzw. bei der Mobilisierung von Geschiebe</v>
      </c>
      <c r="D289" t="str">
        <f>IF('[1]Revitalisation-Revitalisierung'!L177="a",'[1]Revitalisation-Revitalisierung'!K177,"")</f>
        <v/>
      </c>
      <c r="E289" t="str">
        <f>IF('[1]Revitalisation-Revitalisierung'!L177="b",'[1]Revitalisation-Revitalisierung'!K177,"")</f>
        <v>Très nécessaire, facile / unbedingt nötig, einfach</v>
      </c>
    </row>
    <row r="290" spans="2:5" x14ac:dyDescent="0.25">
      <c r="B290" t="str">
        <f>IF('[1]Charriage - Geschiebehaushalt'!P178="a",'[1]Charriage - Geschiebehaushalt'!O178,"")</f>
        <v/>
      </c>
      <c r="C290" t="str">
        <f>IF('[1]Charriage - Geschiebehaushalt'!P178="b",'[1]Charriage - Geschiebehaushalt'!O178,"")</f>
        <v>Charriage présumé naturel / Geschiebehaushalt vermutlich natürlich</v>
      </c>
      <c r="D290" t="str">
        <f>IF('[1]Revitalisation-Revitalisierung'!L178="a",'[1]Revitalisation-Revitalisierung'!K178,"")</f>
        <v>Non nécessaire / nicht nötig</v>
      </c>
      <c r="E290" t="str">
        <f>IF('[1]Revitalisation-Revitalisierung'!L178="b",'[1]Revitalisation-Revitalisierung'!K178,"")</f>
        <v/>
      </c>
    </row>
    <row r="291" spans="2:5" x14ac:dyDescent="0.25">
      <c r="B291" t="str">
        <f>IF('[1]Charriage - Geschiebehaushalt'!P179="a",'[1]Charriage - Geschiebehaushalt'!O179,"")</f>
        <v/>
      </c>
      <c r="C291" t="str">
        <f>IF('[1]Charriage - Geschiebehaushalt'!P179="b",'[1]Charriage - Geschiebehaushalt'!O179,"")</f>
        <v>Charriage présumé naturel / Geschiebehaushalt vermutlich natürlich</v>
      </c>
      <c r="D291" t="str">
        <f>IF('[1]Revitalisation-Revitalisierung'!L179="a",'[1]Revitalisation-Revitalisierung'!K179,"")</f>
        <v>Non nécessaire / nicht nötig</v>
      </c>
      <c r="E291" t="str">
        <f>IF('[1]Revitalisation-Revitalisierung'!L179="b",'[1]Revitalisation-Revitalisierung'!K179,"")</f>
        <v/>
      </c>
    </row>
    <row r="292" spans="2:5" x14ac:dyDescent="0.25">
      <c r="B292" t="str">
        <f>IF('[1]Charriage - Geschiebehaushalt'!P180="a",'[1]Charriage - Geschiebehaushalt'!O180,"")</f>
        <v/>
      </c>
      <c r="C292" t="str">
        <f>IF('[1]Charriage - Geschiebehaushalt'!P180="b",'[1]Charriage - Geschiebehaushalt'!O180,"")</f>
        <v>Charriage présumé naturel / Geschiebehaushalt vermutlich natürlich</v>
      </c>
      <c r="D292" t="str">
        <f>IF('[1]Revitalisation-Revitalisierung'!L180="a",'[1]Revitalisation-Revitalisierung'!K180,"")</f>
        <v>Partiellement nécessaire, facile / teilweise nötig, einfach</v>
      </c>
      <c r="E292" t="str">
        <f>IF('[1]Revitalisation-Revitalisierung'!L180="b",'[1]Revitalisation-Revitalisierung'!K180,"")</f>
        <v/>
      </c>
    </row>
    <row r="293" spans="2:5" x14ac:dyDescent="0.25">
      <c r="B293" t="str">
        <f>IF('[1]Charriage - Geschiebehaushalt'!P181="a",'[1]Charriage - Geschiebehaushalt'!O181,"")</f>
        <v>Charriage présumé naturel / Geschiebehaushalt vermutlich natürlich</v>
      </c>
      <c r="C293" t="str">
        <f>IF('[1]Charriage - Geschiebehaushalt'!P181="b",'[1]Charriage - Geschiebehaushalt'!O181,"")</f>
        <v/>
      </c>
      <c r="D293" t="str">
        <f>IF('[1]Revitalisation-Revitalisierung'!L181="a",'[1]Revitalisation-Revitalisierung'!K181,"")</f>
        <v/>
      </c>
      <c r="E293" t="str">
        <f>IF('[1]Revitalisation-Revitalisierung'!L181="b",'[1]Revitalisation-Revitalisierung'!K181,"")</f>
        <v>Très nécessaire, facile / unbedingt nötig, einfach</v>
      </c>
    </row>
    <row r="294" spans="2:5" x14ac:dyDescent="0.25">
      <c r="B294" t="str">
        <f>IF('[1]Charriage - Geschiebehaushalt'!P182="a",'[1]Charriage - Geschiebehaushalt'!O182,"")</f>
        <v/>
      </c>
      <c r="C294" t="str">
        <f>IF('[1]Charriage - Geschiebehaushalt'!P182="b",'[1]Charriage - Geschiebehaushalt'!O182,"")</f>
        <v>Déficit non apparent en charriage ou en remobilisation des sédiments / kein sichtbares Defizit beim Geschiebehaushalt bzw. bei der Mobilisierung von Geschiebe</v>
      </c>
      <c r="D294" t="str">
        <f>IF('[1]Revitalisation-Revitalisierung'!L182="a",'[1]Revitalisation-Revitalisierung'!K182,"")</f>
        <v>Très nécessaire, facile / unbedingt nötig, einfach</v>
      </c>
      <c r="E294" t="str">
        <f>IF('[1]Revitalisation-Revitalisierung'!L182="b",'[1]Revitalisation-Revitalisierung'!K182,"")</f>
        <v/>
      </c>
    </row>
    <row r="295" spans="2:5" x14ac:dyDescent="0.25">
      <c r="B295" t="str">
        <f>IF('[1]Charriage - Geschiebehaushalt'!P183="a",'[1]Charriage - Geschiebehaushalt'!O183,"")</f>
        <v/>
      </c>
      <c r="C295" t="str">
        <f>IF('[1]Charriage - Geschiebehaushalt'!P183="b",'[1]Charriage - Geschiebehaushalt'!O183,"")</f>
        <v>Charriage présumé naturel / Geschiebehaushalt vermutlich natürlich</v>
      </c>
      <c r="D295" t="str">
        <f>IF('[1]Revitalisation-Revitalisierung'!L183="a",'[1]Revitalisation-Revitalisierung'!K183,"")</f>
        <v/>
      </c>
      <c r="E295" t="str">
        <f>IF('[1]Revitalisation-Revitalisierung'!L183="b",'[1]Revitalisation-Revitalisierung'!K183,"")</f>
        <v>Non nécessaire / nicht nötig</v>
      </c>
    </row>
    <row r="296" spans="2:5" x14ac:dyDescent="0.25">
      <c r="B296" t="str">
        <f>IF('[1]Charriage - Geschiebehaushalt'!P184="a",'[1]Charriage - Geschiebehaushalt'!O184,"")</f>
        <v>non pertinent / nicht relevant</v>
      </c>
      <c r="C296" t="str">
        <f>IF('[1]Charriage - Geschiebehaushalt'!P184="b",'[1]Charriage - Geschiebehaushalt'!O184,"")</f>
        <v/>
      </c>
      <c r="D296" t="str">
        <f>IF('[1]Revitalisation-Revitalisierung'!L184="a",'[1]Revitalisation-Revitalisierung'!K184,"")</f>
        <v>non pertinent / nicht relevant</v>
      </c>
      <c r="E296" t="str">
        <f>IF('[1]Revitalisation-Revitalisierung'!L184="b",'[1]Revitalisation-Revitalisierung'!K184,"")</f>
        <v/>
      </c>
    </row>
    <row r="297" spans="2:5" x14ac:dyDescent="0.25">
      <c r="B297" t="str">
        <f>IF('[1]Charriage - Geschiebehaushalt'!P185="a",'[1]Charriage - Geschiebehaushalt'!O185,"")</f>
        <v>non pertinent / nicht relevant</v>
      </c>
      <c r="C297" t="str">
        <f>IF('[1]Charriage - Geschiebehaushalt'!P185="b",'[1]Charriage - Geschiebehaushalt'!O185,"")</f>
        <v/>
      </c>
      <c r="D297" t="str">
        <f>IF('[1]Revitalisation-Revitalisierung'!L185="a",'[1]Revitalisation-Revitalisierung'!K185,"")</f>
        <v>Non nécessaire / nicht nötig</v>
      </c>
      <c r="E297" t="str">
        <f>IF('[1]Revitalisation-Revitalisierung'!L185="b",'[1]Revitalisation-Revitalisierung'!K185,"")</f>
        <v/>
      </c>
    </row>
    <row r="298" spans="2:5" x14ac:dyDescent="0.25">
      <c r="B298" t="str">
        <f>IF('[1]Charriage - Geschiebehaushalt'!P186="a",'[1]Charriage - Geschiebehaushalt'!O186,"")</f>
        <v>Charriage présumé perturbé / Geschiebehaushalt vermutlich beeinträchtigt</v>
      </c>
      <c r="C298" t="str">
        <f>IF('[1]Charriage - Geschiebehaushalt'!P186="b",'[1]Charriage - Geschiebehaushalt'!O186,"")</f>
        <v/>
      </c>
      <c r="D298" t="str">
        <f>IF('[1]Revitalisation-Revitalisierung'!L186="a",'[1]Revitalisation-Revitalisierung'!K186,"")</f>
        <v/>
      </c>
      <c r="E298" t="str">
        <f>IF('[1]Revitalisation-Revitalisierung'!L186="b",'[1]Revitalisation-Revitalisierung'!K186,"")</f>
        <v>Très nécessaire, difficile / unbedingt nötig, schwierig</v>
      </c>
    </row>
    <row r="299" spans="2:5" x14ac:dyDescent="0.25">
      <c r="B299" t="str">
        <f>IF('[1]Charriage - Geschiebehaushalt'!P187="a",'[1]Charriage - Geschiebehaushalt'!O187,"")</f>
        <v>Charriage présumé naturel / Geschiebehaushalt vermutlich natürlich</v>
      </c>
      <c r="C299" t="str">
        <f>IF('[1]Charriage - Geschiebehaushalt'!P187="b",'[1]Charriage - Geschiebehaushalt'!O187,"")</f>
        <v/>
      </c>
      <c r="D299" t="str">
        <f>IF('[1]Revitalisation-Revitalisierung'!L187="a",'[1]Revitalisation-Revitalisierung'!K187,"")</f>
        <v>Non nécessaire / nicht nötig</v>
      </c>
      <c r="E299" t="str">
        <f>IF('[1]Revitalisation-Revitalisierung'!L187="b",'[1]Revitalisation-Revitalisierung'!K187,"")</f>
        <v/>
      </c>
    </row>
    <row r="300" spans="2:5" x14ac:dyDescent="0.25">
      <c r="B300" t="str">
        <f>IF('[1]Charriage - Geschiebehaushalt'!P188="a",'[1]Charriage - Geschiebehaushalt'!O188,"")</f>
        <v/>
      </c>
      <c r="C300" t="str">
        <f>IF('[1]Charriage - Geschiebehaushalt'!P188="b",'[1]Charriage - Geschiebehaushalt'!O188,"")</f>
        <v>Charriage présumé naturel / Geschiebehaushalt vermutlich natürlich</v>
      </c>
      <c r="D300" t="str">
        <f>IF('[1]Revitalisation-Revitalisierung'!L188="a",'[1]Revitalisation-Revitalisierung'!K188,"")</f>
        <v>Non nécessaire / nicht nötig</v>
      </c>
      <c r="E300" t="str">
        <f>IF('[1]Revitalisation-Revitalisierung'!L188="b",'[1]Revitalisation-Revitalisierung'!K188,"")</f>
        <v/>
      </c>
    </row>
    <row r="301" spans="2:5" x14ac:dyDescent="0.25">
      <c r="B301" t="str">
        <f>IF('[1]Charriage - Geschiebehaushalt'!P189="a",'[1]Charriage - Geschiebehaushalt'!O189,"")</f>
        <v/>
      </c>
      <c r="C301" t="str">
        <f>IF('[1]Charriage - Geschiebehaushalt'!P189="b",'[1]Charriage - Geschiebehaushalt'!O189,"")</f>
        <v>Charriage présumé naturel / Geschiebehaushalt vermutlich natürlich</v>
      </c>
      <c r="D301" t="str">
        <f>IF('[1]Revitalisation-Revitalisierung'!L189="a",'[1]Revitalisation-Revitalisierung'!K189,"")</f>
        <v>Non nécessaire / nicht nötig</v>
      </c>
      <c r="E301" t="str">
        <f>IF('[1]Revitalisation-Revitalisierung'!L189="b",'[1]Revitalisation-Revitalisierung'!K189,"")</f>
        <v/>
      </c>
    </row>
    <row r="302" spans="2:5" x14ac:dyDescent="0.25">
      <c r="B302" t="str">
        <f>IF('[1]Charriage - Geschiebehaushalt'!P190="a",'[1]Charriage - Geschiebehaushalt'!O190,"")</f>
        <v>0-20%</v>
      </c>
      <c r="C302" t="str">
        <f>IF('[1]Charriage - Geschiebehaushalt'!P190="b",'[1]Charriage - Geschiebehaushalt'!O190,"")</f>
        <v/>
      </c>
      <c r="D302" t="str">
        <f>IF('[1]Revitalisation-Revitalisierung'!L190="a",'[1]Revitalisation-Revitalisierung'!K190,"")</f>
        <v>Partiellement nécessaire, facile / teilweise nötig, einfach</v>
      </c>
      <c r="E302" t="str">
        <f>IF('[1]Revitalisation-Revitalisierung'!L190="b",'[1]Revitalisation-Revitalisierung'!K190,"")</f>
        <v/>
      </c>
    </row>
    <row r="303" spans="2:5" x14ac:dyDescent="0.25">
      <c r="B303" t="str">
        <f>IF('[1]Charriage - Geschiebehaushalt'!P191="a",'[1]Charriage - Geschiebehaushalt'!O191,"")</f>
        <v>21-50%</v>
      </c>
      <c r="C303" t="str">
        <f>IF('[1]Charriage - Geschiebehaushalt'!P191="b",'[1]Charriage - Geschiebehaushalt'!O191,"")</f>
        <v/>
      </c>
      <c r="D303" t="str">
        <f>IF('[1]Revitalisation-Revitalisierung'!L191="a",'[1]Revitalisation-Revitalisierung'!K191,"")</f>
        <v>Partiellement nécessaire, facile / teilweise nötig, einfach</v>
      </c>
      <c r="E303" t="str">
        <f>IF('[1]Revitalisation-Revitalisierung'!L191="b",'[1]Revitalisation-Revitalisierung'!K191,"")</f>
        <v/>
      </c>
    </row>
    <row r="304" spans="2:5" x14ac:dyDescent="0.25">
      <c r="B304" t="str">
        <f>IF('[1]Charriage - Geschiebehaushalt'!P192="a",'[1]Charriage - Geschiebehaushalt'!O192,"")</f>
        <v>0-20%</v>
      </c>
      <c r="C304" t="str">
        <f>IF('[1]Charriage - Geschiebehaushalt'!P192="b",'[1]Charriage - Geschiebehaushalt'!O192,"")</f>
        <v/>
      </c>
      <c r="D304" t="str">
        <f>IF('[1]Revitalisation-Revitalisierung'!L192="a",'[1]Revitalisation-Revitalisierung'!K192,"")</f>
        <v/>
      </c>
      <c r="E304" t="str">
        <f>IF('[1]Revitalisation-Revitalisierung'!L192="b",'[1]Revitalisation-Revitalisierung'!K192,"")</f>
        <v>Non nécessaire / nicht nötig</v>
      </c>
    </row>
    <row r="305" spans="2:5" x14ac:dyDescent="0.25">
      <c r="B305" t="str">
        <f>IF('[1]Charriage - Geschiebehaushalt'!P193="a",'[1]Charriage - Geschiebehaushalt'!O193,"")</f>
        <v/>
      </c>
      <c r="C305" t="str">
        <f>IF('[1]Charriage - Geschiebehaushalt'!P193="b",'[1]Charriage - Geschiebehaushalt'!O193,"")</f>
        <v>Charriage présumé naturel / Geschiebehaushalt vermutlich natürlich</v>
      </c>
      <c r="D305" t="str">
        <f>IF('[1]Revitalisation-Revitalisierung'!L193="a",'[1]Revitalisation-Revitalisierung'!K193,"")</f>
        <v>Non nécessaire / nicht nötig</v>
      </c>
      <c r="E305" t="str">
        <f>IF('[1]Revitalisation-Revitalisierung'!L193="b",'[1]Revitalisation-Revitalisierung'!K193,"")</f>
        <v/>
      </c>
    </row>
    <row r="306" spans="2:5" x14ac:dyDescent="0.25">
      <c r="B306" t="str">
        <f>IF('[1]Charriage - Geschiebehaushalt'!P194="a",'[1]Charriage - Geschiebehaushalt'!O194,"")</f>
        <v>51-80%</v>
      </c>
      <c r="C306" t="str">
        <f>IF('[1]Charriage - Geschiebehaushalt'!P194="b",'[1]Charriage - Geschiebehaushalt'!O194,"")</f>
        <v/>
      </c>
      <c r="D306" t="str">
        <f>IF('[1]Revitalisation-Revitalisierung'!L194="a",'[1]Revitalisation-Revitalisierung'!K194,"")</f>
        <v>Non nécessaire / nicht nötig</v>
      </c>
      <c r="E306" t="str">
        <f>IF('[1]Revitalisation-Revitalisierung'!L194="b",'[1]Revitalisation-Revitalisierung'!K194,"")</f>
        <v/>
      </c>
    </row>
    <row r="307" spans="2:5" x14ac:dyDescent="0.25">
      <c r="B307" t="str">
        <f>IF('[1]Charriage - Geschiebehaushalt'!P195="a",'[1]Charriage - Geschiebehaushalt'!O195,"")</f>
        <v>21-50%</v>
      </c>
      <c r="C307" t="str">
        <f>IF('[1]Charriage - Geschiebehaushalt'!P195="b",'[1]Charriage - Geschiebehaushalt'!O195,"")</f>
        <v/>
      </c>
      <c r="D307" t="str">
        <f>IF('[1]Revitalisation-Revitalisierung'!L195="a",'[1]Revitalisation-Revitalisierung'!K195,"")</f>
        <v>Non nécessaire / nicht nötig</v>
      </c>
      <c r="E307" t="str">
        <f>IF('[1]Revitalisation-Revitalisierung'!L195="b",'[1]Revitalisation-Revitalisierung'!K195,"")</f>
        <v/>
      </c>
    </row>
    <row r="308" spans="2:5" x14ac:dyDescent="0.25">
      <c r="B308" t="str">
        <f>IF('[1]Charriage - Geschiebehaushalt'!P196="a",'[1]Charriage - Geschiebehaushalt'!O196,"")</f>
        <v>21-50%</v>
      </c>
      <c r="C308" t="str">
        <f>IF('[1]Charriage - Geschiebehaushalt'!P196="b",'[1]Charriage - Geschiebehaushalt'!O196,"")</f>
        <v/>
      </c>
      <c r="D308" t="str">
        <f>IF('[1]Revitalisation-Revitalisierung'!L196="a",'[1]Revitalisation-Revitalisierung'!K196,"")</f>
        <v>Non nécessaire / nicht nötig</v>
      </c>
      <c r="E308" t="str">
        <f>IF('[1]Revitalisation-Revitalisierung'!L196="b",'[1]Revitalisation-Revitalisierung'!K196,"")</f>
        <v/>
      </c>
    </row>
    <row r="309" spans="2:5" x14ac:dyDescent="0.25">
      <c r="B309" t="str">
        <f>IF('[1]Charriage - Geschiebehaushalt'!P197="a",'[1]Charriage - Geschiebehaushalt'!O197,"")</f>
        <v>21-50%</v>
      </c>
      <c r="C309" t="str">
        <f>IF('[1]Charriage - Geschiebehaushalt'!P197="b",'[1]Charriage - Geschiebehaushalt'!O197,"")</f>
        <v/>
      </c>
      <c r="D309" t="str">
        <f>IF('[1]Revitalisation-Revitalisierung'!L197="a",'[1]Revitalisation-Revitalisierung'!K197,"")</f>
        <v>Non nécessaire / nicht nötig</v>
      </c>
      <c r="E309" t="str">
        <f>IF('[1]Revitalisation-Revitalisierung'!L197="b",'[1]Revitalisation-Revitalisierung'!K197,"")</f>
        <v/>
      </c>
    </row>
    <row r="310" spans="2:5" x14ac:dyDescent="0.25">
      <c r="B310" t="str">
        <f>IF('[1]Charriage - Geschiebehaushalt'!P198="a",'[1]Charriage - Geschiebehaushalt'!O198,"")</f>
        <v>0-20%</v>
      </c>
      <c r="C310" t="str">
        <f>IF('[1]Charriage - Geschiebehaushalt'!P198="b",'[1]Charriage - Geschiebehaushalt'!O198,"")</f>
        <v/>
      </c>
      <c r="D310" t="str">
        <f>IF('[1]Revitalisation-Revitalisierung'!L198="a",'[1]Revitalisation-Revitalisierung'!K198,"")</f>
        <v/>
      </c>
      <c r="E310" t="str">
        <f>IF('[1]Revitalisation-Revitalisierung'!L198="b",'[1]Revitalisation-Revitalisierung'!K198,"")</f>
        <v>Non nécessaire / nicht nötig</v>
      </c>
    </row>
    <row r="311" spans="2:5" x14ac:dyDescent="0.25">
      <c r="B311" t="str">
        <f>IF('[1]Charriage - Geschiebehaushalt'!P199="a",'[1]Charriage - Geschiebehaushalt'!O199,"")</f>
        <v/>
      </c>
      <c r="C311" t="str">
        <f>IF('[1]Charriage - Geschiebehaushalt'!P199="b",'[1]Charriage - Geschiebehaushalt'!O199,"")</f>
        <v>Charriage présumé naturel / Geschiebehaushalt vermutlich natürlich</v>
      </c>
      <c r="D311" t="str">
        <f>IF('[1]Revitalisation-Revitalisierung'!L199="a",'[1]Revitalisation-Revitalisierung'!K199,"")</f>
        <v>Partiellement nécessaire, facile / teilweise nötig, einfach</v>
      </c>
      <c r="E311" t="str">
        <f>IF('[1]Revitalisation-Revitalisierung'!L199="b",'[1]Revitalisation-Revitalisierung'!K199,"")</f>
        <v/>
      </c>
    </row>
    <row r="312" spans="2:5" x14ac:dyDescent="0.25">
      <c r="B312" t="str">
        <f>IF('[1]Charriage - Geschiebehaushalt'!P200="a",'[1]Charriage - Geschiebehaushalt'!O200,"")</f>
        <v/>
      </c>
      <c r="C312" t="str">
        <f>IF('[1]Charriage - Geschiebehaushalt'!P200="b",'[1]Charriage - Geschiebehaushalt'!O200,"")</f>
        <v>Charriage présumé naturel / Geschiebehaushalt vermutlich natürlich</v>
      </c>
      <c r="D312" t="str">
        <f>IF('[1]Revitalisation-Revitalisierung'!L200="a",'[1]Revitalisation-Revitalisierung'!K200,"")</f>
        <v>Partiellement nécessaire, facile / teilweise nötig, einfach</v>
      </c>
      <c r="E312" t="str">
        <f>IF('[1]Revitalisation-Revitalisierung'!L200="b",'[1]Revitalisation-Revitalisierung'!K200,"")</f>
        <v/>
      </c>
    </row>
    <row r="313" spans="2:5" x14ac:dyDescent="0.25">
      <c r="B313" t="str">
        <f>IF('[1]Charriage - Geschiebehaushalt'!P201="a",'[1]Charriage - Geschiebehaushalt'!O201,"")</f>
        <v>0-20%</v>
      </c>
      <c r="C313" t="str">
        <f>IF('[1]Charriage - Geschiebehaushalt'!P201="b",'[1]Charriage - Geschiebehaushalt'!O201,"")</f>
        <v/>
      </c>
      <c r="D313" t="str">
        <f>IF('[1]Revitalisation-Revitalisierung'!L201="a",'[1]Revitalisation-Revitalisierung'!K201,"")</f>
        <v/>
      </c>
      <c r="E313" t="str">
        <f>IF('[1]Revitalisation-Revitalisierung'!L201="b",'[1]Revitalisation-Revitalisierung'!K201,"")</f>
        <v>Non nécessaire / nicht nötig</v>
      </c>
    </row>
    <row r="314" spans="2:5" x14ac:dyDescent="0.25">
      <c r="B314" t="str">
        <f>IF('[1]Charriage - Geschiebehaushalt'!P202="a",'[1]Charriage - Geschiebehaushalt'!O202,"")</f>
        <v/>
      </c>
      <c r="C314" t="str">
        <f>IF('[1]Charriage - Geschiebehaushalt'!P202="b",'[1]Charriage - Geschiebehaushalt'!O202,"")</f>
        <v>Charriage présumé naturel / Geschiebehaushalt vermutlich natürlich</v>
      </c>
      <c r="D314" t="str">
        <f>IF('[1]Revitalisation-Revitalisierung'!L202="a",'[1]Revitalisation-Revitalisierung'!K202,"")</f>
        <v/>
      </c>
      <c r="E314" t="str">
        <f>IF('[1]Revitalisation-Revitalisierung'!L202="b",'[1]Revitalisation-Revitalisierung'!K202,"")</f>
        <v>Non nécessaire / nicht nötig</v>
      </c>
    </row>
    <row r="315" spans="2:5" x14ac:dyDescent="0.25">
      <c r="B315" t="str">
        <f>IF('[1]Charriage - Geschiebehaushalt'!P203="a",'[1]Charriage - Geschiebehaushalt'!O203,"")</f>
        <v/>
      </c>
      <c r="C315" t="str">
        <f>IF('[1]Charriage - Geschiebehaushalt'!P203="b",'[1]Charriage - Geschiebehaushalt'!O203,"")</f>
        <v>Charriage présumé naturel / Geschiebehaushalt vermutlich natürlich</v>
      </c>
      <c r="D315" t="str">
        <f>IF('[1]Revitalisation-Revitalisierung'!L203="a",'[1]Revitalisation-Revitalisierung'!K203,"")</f>
        <v>Non nécessaire / nicht nötig</v>
      </c>
      <c r="E315" t="str">
        <f>IF('[1]Revitalisation-Revitalisierung'!L203="b",'[1]Revitalisation-Revitalisierung'!K203,"")</f>
        <v/>
      </c>
    </row>
    <row r="316" spans="2:5" x14ac:dyDescent="0.25">
      <c r="B316" t="str">
        <f>IF('[1]Charriage - Geschiebehaushalt'!P204="a",'[1]Charriage - Geschiebehaushalt'!O204,"")</f>
        <v/>
      </c>
      <c r="C316" t="str">
        <f>IF('[1]Charriage - Geschiebehaushalt'!P204="b",'[1]Charriage - Geschiebehaushalt'!O204,"")</f>
        <v>Charriage présumé naturel / Geschiebehaushalt vermutlich natürlich</v>
      </c>
      <c r="D316" t="str">
        <f>IF('[1]Revitalisation-Revitalisierung'!L204="a",'[1]Revitalisation-Revitalisierung'!K204,"")</f>
        <v>Non nécessaire / nicht nötig</v>
      </c>
      <c r="E316" t="str">
        <f>IF('[1]Revitalisation-Revitalisierung'!L204="b",'[1]Revitalisation-Revitalisierung'!K204,"")</f>
        <v/>
      </c>
    </row>
    <row r="317" spans="2:5" x14ac:dyDescent="0.25">
      <c r="B317" t="str">
        <f>IF('[1]Charriage - Geschiebehaushalt'!P205="a",'[1]Charriage - Geschiebehaushalt'!O205,"")</f>
        <v/>
      </c>
      <c r="C317" t="str">
        <f>IF('[1]Charriage - Geschiebehaushalt'!P205="b",'[1]Charriage - Geschiebehaushalt'!O205,"")</f>
        <v>Charriage présumé naturel / Geschiebehaushalt vermutlich natürlich</v>
      </c>
      <c r="D317" t="str">
        <f>IF('[1]Revitalisation-Revitalisierung'!L205="a",'[1]Revitalisation-Revitalisierung'!K205,"")</f>
        <v>Non nécessaire / nicht nötig</v>
      </c>
      <c r="E317" t="str">
        <f>IF('[1]Revitalisation-Revitalisierung'!L205="b",'[1]Revitalisation-Revitalisierung'!K205,"")</f>
        <v/>
      </c>
    </row>
    <row r="318" spans="2:5" x14ac:dyDescent="0.25">
      <c r="B318" t="str">
        <f>IF('[1]Charriage - Geschiebehaushalt'!P206="a",'[1]Charriage - Geschiebehaushalt'!O206,"")</f>
        <v>Charriage présumé naturel / Geschiebehaushalt vermutlich natürlich</v>
      </c>
      <c r="C318" t="str">
        <f>IF('[1]Charriage - Geschiebehaushalt'!P206="b",'[1]Charriage - Geschiebehaushalt'!O206,"")</f>
        <v/>
      </c>
      <c r="D318" t="str">
        <f>IF('[1]Revitalisation-Revitalisierung'!L206="a",'[1]Revitalisation-Revitalisierung'!K206,"")</f>
        <v>Non nécessaire / nicht nötig</v>
      </c>
      <c r="E318" t="str">
        <f>IF('[1]Revitalisation-Revitalisierung'!L206="b",'[1]Revitalisation-Revitalisierung'!K206,"")</f>
        <v/>
      </c>
    </row>
    <row r="319" spans="2:5" x14ac:dyDescent="0.25">
      <c r="B319" t="str">
        <f>IF('[1]Charriage - Geschiebehaushalt'!P207="a",'[1]Charriage - Geschiebehaushalt'!O207,"")</f>
        <v/>
      </c>
      <c r="C319" t="str">
        <f>IF('[1]Charriage - Geschiebehaushalt'!P207="b",'[1]Charriage - Geschiebehaushalt'!O207,"")</f>
        <v>Charriage présumé naturel / Geschiebehaushalt vermutlich natürlich</v>
      </c>
      <c r="D319" t="str">
        <f>IF('[1]Revitalisation-Revitalisierung'!L207="a",'[1]Revitalisation-Revitalisierung'!K207,"")</f>
        <v>Non nécessaire / nicht nötig</v>
      </c>
      <c r="E319" t="str">
        <f>IF('[1]Revitalisation-Revitalisierung'!L207="b",'[1]Revitalisation-Revitalisierung'!K207,"")</f>
        <v/>
      </c>
    </row>
    <row r="320" spans="2:5" x14ac:dyDescent="0.25">
      <c r="B320" t="str">
        <f>IF('[1]Charriage - Geschiebehaushalt'!P208="a",'[1]Charriage - Geschiebehaushalt'!O208,"")</f>
        <v/>
      </c>
      <c r="C320" t="str">
        <f>IF('[1]Charriage - Geschiebehaushalt'!P208="b",'[1]Charriage - Geschiebehaushalt'!O208,"")</f>
        <v>Charriage présumé naturel / Geschiebehaushalt vermutlich natürlich</v>
      </c>
      <c r="D320" t="str">
        <f>IF('[1]Revitalisation-Revitalisierung'!L208="a",'[1]Revitalisation-Revitalisierung'!K208,"")</f>
        <v>Non nécessaire / nicht nötig</v>
      </c>
      <c r="E320" t="str">
        <f>IF('[1]Revitalisation-Revitalisierung'!L208="b",'[1]Revitalisation-Revitalisierung'!K208,"")</f>
        <v/>
      </c>
    </row>
    <row r="321" spans="2:5" x14ac:dyDescent="0.25">
      <c r="B321" t="str">
        <f>IF('[1]Charriage - Geschiebehaushalt'!P209="a",'[1]Charriage - Geschiebehaushalt'!O209,"")</f>
        <v>Charriage présumé naturel / Geschiebehaushalt vermutlich natürlich</v>
      </c>
      <c r="C321" t="str">
        <f>IF('[1]Charriage - Geschiebehaushalt'!P209="b",'[1]Charriage - Geschiebehaushalt'!O209,"")</f>
        <v/>
      </c>
      <c r="D321" t="str">
        <f>IF('[1]Revitalisation-Revitalisierung'!L209="a",'[1]Revitalisation-Revitalisierung'!K209,"")</f>
        <v/>
      </c>
      <c r="E321" t="str">
        <f>IF('[1]Revitalisation-Revitalisierung'!L209="b",'[1]Revitalisation-Revitalisierung'!K209,"")</f>
        <v>Très nécessaire, facile / unbedingt nötig, einfach</v>
      </c>
    </row>
    <row r="322" spans="2:5" x14ac:dyDescent="0.25">
      <c r="B322" t="str">
        <f>IF('[1]Charriage - Geschiebehaushalt'!P210="a",'[1]Charriage - Geschiebehaushalt'!O210,"")</f>
        <v>Charriage présumé naturel / Geschiebehaushalt vermutlich natürlich</v>
      </c>
      <c r="C322" t="str">
        <f>IF('[1]Charriage - Geschiebehaushalt'!P210="b",'[1]Charriage - Geschiebehaushalt'!O210,"")</f>
        <v/>
      </c>
      <c r="D322" t="str">
        <f>IF('[1]Revitalisation-Revitalisierung'!L210="a",'[1]Revitalisation-Revitalisierung'!K210,"")</f>
        <v/>
      </c>
      <c r="E322" t="str">
        <f>IF('[1]Revitalisation-Revitalisierung'!L210="b",'[1]Revitalisation-Revitalisierung'!K210,"")</f>
        <v>Très nécessaire, facile / unbedingt nötig, einfach</v>
      </c>
    </row>
    <row r="323" spans="2:5" x14ac:dyDescent="0.25">
      <c r="B323" t="str">
        <f>IF('[1]Charriage - Geschiebehaushalt'!P211="a",'[1]Charriage - Geschiebehaushalt'!O211,"")</f>
        <v>Charriage présumé naturel / Geschiebehaushalt vermutlich natürlich</v>
      </c>
      <c r="C323" t="str">
        <f>IF('[1]Charriage - Geschiebehaushalt'!P211="b",'[1]Charriage - Geschiebehaushalt'!O211,"")</f>
        <v/>
      </c>
      <c r="D323" t="str">
        <f>IF('[1]Revitalisation-Revitalisierung'!L211="a",'[1]Revitalisation-Revitalisierung'!K211,"")</f>
        <v>Très nécessaire, facile / unbedingt nötig, einfach</v>
      </c>
      <c r="E323" t="str">
        <f>IF('[1]Revitalisation-Revitalisierung'!L211="b",'[1]Revitalisation-Revitalisierung'!K211,"")</f>
        <v/>
      </c>
    </row>
    <row r="324" spans="2:5" x14ac:dyDescent="0.25">
      <c r="B324" t="str">
        <f>IF('[1]Charriage - Geschiebehaushalt'!P212="a",'[1]Charriage - Geschiebehaushalt'!O212,"")</f>
        <v/>
      </c>
      <c r="C324" t="str">
        <f>IF('[1]Charriage - Geschiebehaushalt'!P212="b",'[1]Charriage - Geschiebehaushalt'!O212,"")</f>
        <v>Charriage présumé naturel / Geschiebehaushalt vermutlich natürlich</v>
      </c>
      <c r="D324" t="str">
        <f>IF('[1]Revitalisation-Revitalisierung'!L212="a",'[1]Revitalisation-Revitalisierung'!K212,"")</f>
        <v>Non nécessaire / nicht nötig</v>
      </c>
      <c r="E324" t="str">
        <f>IF('[1]Revitalisation-Revitalisierung'!L212="b",'[1]Revitalisation-Revitalisierung'!K212,"")</f>
        <v/>
      </c>
    </row>
    <row r="325" spans="2:5" x14ac:dyDescent="0.25">
      <c r="B325" t="str">
        <f>IF('[1]Charriage - Geschiebehaushalt'!P213="a",'[1]Charriage - Geschiebehaushalt'!O213,"")</f>
        <v/>
      </c>
      <c r="C325" t="str">
        <f>IF('[1]Charriage - Geschiebehaushalt'!P213="b",'[1]Charriage - Geschiebehaushalt'!O213,"")</f>
        <v>Charriage présumé naturel / Geschiebehaushalt vermutlich natürlich</v>
      </c>
      <c r="D325" t="str">
        <f>IF('[1]Revitalisation-Revitalisierung'!L213="a",'[1]Revitalisation-Revitalisierung'!K213,"")</f>
        <v/>
      </c>
      <c r="E325" t="str">
        <f>IF('[1]Revitalisation-Revitalisierung'!L213="b",'[1]Revitalisation-Revitalisierung'!K213,"")</f>
        <v>Partiellement nécessaire, facile / teilweise nötig, einfach</v>
      </c>
    </row>
    <row r="326" spans="2:5" x14ac:dyDescent="0.25">
      <c r="B326" t="str">
        <f>IF('[1]Charriage - Geschiebehaushalt'!P214="a",'[1]Charriage - Geschiebehaushalt'!O214,"")</f>
        <v/>
      </c>
      <c r="C326" t="str">
        <f>IF('[1]Charriage - Geschiebehaushalt'!P214="b",'[1]Charriage - Geschiebehaushalt'!O214,"")</f>
        <v>La remobilisation des sédiments est perturbée / Mobilisierung von Geschiebe beeinträchtigt</v>
      </c>
      <c r="D326" t="str">
        <f>IF('[1]Revitalisation-Revitalisierung'!L214="a",'[1]Revitalisation-Revitalisierung'!K214,"")</f>
        <v>Très nécessaire, difficile / unbedingt nötig, schwierig</v>
      </c>
      <c r="E326" t="str">
        <f>IF('[1]Revitalisation-Revitalisierung'!L214="b",'[1]Revitalisation-Revitalisierung'!K214,"")</f>
        <v/>
      </c>
    </row>
    <row r="327" spans="2:5" x14ac:dyDescent="0.25">
      <c r="B327" t="str">
        <f>IF('[1]Charriage - Geschiebehaushalt'!P215="a",'[1]Charriage - Geschiebehaushalt'!O215,"")</f>
        <v/>
      </c>
      <c r="C327" t="str">
        <f>IF('[1]Charriage - Geschiebehaushalt'!P215="b",'[1]Charriage - Geschiebehaushalt'!O215,"")</f>
        <v>Charriage présumé naturel / Geschiebehaushalt vermutlich natürlich</v>
      </c>
      <c r="D327" t="str">
        <f>IF('[1]Revitalisation-Revitalisierung'!L215="a",'[1]Revitalisation-Revitalisierung'!K215,"")</f>
        <v/>
      </c>
      <c r="E327" t="str">
        <f>IF('[1]Revitalisation-Revitalisierung'!L215="b",'[1]Revitalisation-Revitalisierung'!K215,"")</f>
        <v>Très nécessaire, facile / unbedingt nötig, einfach</v>
      </c>
    </row>
    <row r="328" spans="2:5" x14ac:dyDescent="0.25">
      <c r="B328" t="str">
        <f>IF('[1]Charriage - Geschiebehaushalt'!P216="a",'[1]Charriage - Geschiebehaushalt'!O216,"")</f>
        <v/>
      </c>
      <c r="C328" t="str">
        <f>IF('[1]Charriage - Geschiebehaushalt'!P216="b",'[1]Charriage - Geschiebehaushalt'!O216,"")</f>
        <v>Charriage présumé naturel / Geschiebehaushalt vermutlich natürlich</v>
      </c>
      <c r="D328" t="str">
        <f>IF('[1]Revitalisation-Revitalisierung'!L216="a",'[1]Revitalisation-Revitalisierung'!K216,"")</f>
        <v/>
      </c>
      <c r="E328" t="str">
        <f>IF('[1]Revitalisation-Revitalisierung'!L216="b",'[1]Revitalisation-Revitalisierung'!K216,"")</f>
        <v>Partiellement nécessaire, facile / teilweise nötig, einfach</v>
      </c>
    </row>
    <row r="329" spans="2:5" x14ac:dyDescent="0.25">
      <c r="B329" t="str">
        <f>IF('[1]Charriage - Geschiebehaushalt'!P217="a",'[1]Charriage - Geschiebehaushalt'!O217,"")</f>
        <v/>
      </c>
      <c r="C329" t="str">
        <f>IF('[1]Charriage - Geschiebehaushalt'!P217="b",'[1]Charriage - Geschiebehaushalt'!O217,"")</f>
        <v>Charriage présumé naturel / Geschiebehaushalt vermutlich natürlich</v>
      </c>
      <c r="D329" t="str">
        <f>IF('[1]Revitalisation-Revitalisierung'!L217="a",'[1]Revitalisation-Revitalisierung'!K217,"")</f>
        <v>Non nécessaire / nicht nötig</v>
      </c>
      <c r="E329" t="str">
        <f>IF('[1]Revitalisation-Revitalisierung'!L217="b",'[1]Revitalisation-Revitalisierung'!K217,"")</f>
        <v/>
      </c>
    </row>
    <row r="330" spans="2:5" x14ac:dyDescent="0.25">
      <c r="B330" t="str">
        <f>IF('[1]Charriage - Geschiebehaushalt'!P218="a",'[1]Charriage - Geschiebehaushalt'!O218,"")</f>
        <v/>
      </c>
      <c r="C330" t="str">
        <f>IF('[1]Charriage - Geschiebehaushalt'!P218="b",'[1]Charriage - Geschiebehaushalt'!O218,"")</f>
        <v>La remobilisation des sédiments est perturbée / Mobilisierung von Geschiebe beeinträchtigt</v>
      </c>
      <c r="D330" t="str">
        <f>IF('[1]Revitalisation-Revitalisierung'!L218="a",'[1]Revitalisation-Revitalisierung'!K218,"")</f>
        <v>Très nécessaire, difficile / unbedingt nötig, schwierig</v>
      </c>
      <c r="E330" t="str">
        <f>IF('[1]Revitalisation-Revitalisierung'!L218="b",'[1]Revitalisation-Revitalisierung'!K218,"")</f>
        <v/>
      </c>
    </row>
    <row r="331" spans="2:5" x14ac:dyDescent="0.25">
      <c r="B331" t="str">
        <f>IF('[1]Charriage - Geschiebehaushalt'!P219="a",'[1]Charriage - Geschiebehaushalt'!O219,"")</f>
        <v/>
      </c>
      <c r="C331" t="str">
        <f>IF('[1]Charriage - Geschiebehaushalt'!P219="b",'[1]Charriage - Geschiebehaushalt'!O219,"")</f>
        <v>Déficit non apparent en charriage ou en remobilisation des sédiments / kein sichtbares Defizit beim Geschiebehaushalt bzw. bei der Mobilisierung von Geschiebe</v>
      </c>
      <c r="D331" t="str">
        <f>IF('[1]Revitalisation-Revitalisierung'!L219="a",'[1]Revitalisation-Revitalisierung'!K219,"")</f>
        <v>Partiellement nécessaire, facile / teilweise nötig, einfach</v>
      </c>
      <c r="E331" t="str">
        <f>IF('[1]Revitalisation-Revitalisierung'!L219="b",'[1]Revitalisation-Revitalisierung'!K219,"")</f>
        <v/>
      </c>
    </row>
    <row r="332" spans="2:5" x14ac:dyDescent="0.25">
      <c r="B332" t="str">
        <f>IF('[1]Charriage - Geschiebehaushalt'!P220="a",'[1]Charriage - Geschiebehaushalt'!O220,"")</f>
        <v/>
      </c>
      <c r="C332" t="str">
        <f>IF('[1]Charriage - Geschiebehaushalt'!P220="b",'[1]Charriage - Geschiebehaushalt'!O220,"")</f>
        <v>Charriage présumé faiblement perturbé / Geschiebe vermutlich leicht beeinträchtigt</v>
      </c>
      <c r="D332" t="str">
        <f>IF('[1]Revitalisation-Revitalisierung'!L220="a",'[1]Revitalisation-Revitalisierung'!K220,"")</f>
        <v>Partiellement nécessaire, facile / teilweise nötig, einfach</v>
      </c>
      <c r="E332" t="str">
        <f>IF('[1]Revitalisation-Revitalisierung'!L220="b",'[1]Revitalisation-Revitalisierung'!K220,"")</f>
        <v/>
      </c>
    </row>
    <row r="333" spans="2:5" x14ac:dyDescent="0.25">
      <c r="B333" t="str">
        <f>IF('[1]Charriage - Geschiebehaushalt'!P221="a",'[1]Charriage - Geschiebehaushalt'!O221,"")</f>
        <v/>
      </c>
      <c r="C333" t="str">
        <f>IF('[1]Charriage - Geschiebehaushalt'!P221="b",'[1]Charriage - Geschiebehaushalt'!O221,"")</f>
        <v>Charriage présumé faiblement perturbé / Geschiebe vermutlich leicht beeinträchtigt</v>
      </c>
      <c r="D333" t="str">
        <f>IF('[1]Revitalisation-Revitalisierung'!L221="a",'[1]Revitalisation-Revitalisierung'!K221,"")</f>
        <v>Non nécessaire / nicht nötig</v>
      </c>
      <c r="E333" t="str">
        <f>IF('[1]Revitalisation-Revitalisierung'!L221="b",'[1]Revitalisation-Revitalisierung'!K221,"")</f>
        <v/>
      </c>
    </row>
    <row r="334" spans="2:5" x14ac:dyDescent="0.25">
      <c r="B334" t="str">
        <f>IF('[1]Charriage - Geschiebehaushalt'!P222="a",'[1]Charriage - Geschiebehaushalt'!O222,"")</f>
        <v/>
      </c>
      <c r="C334" t="str">
        <f>IF('[1]Charriage - Geschiebehaushalt'!P222="b",'[1]Charriage - Geschiebehaushalt'!O222,"")</f>
        <v>La remobilisation des sédiments est perturbée / Mobilisierung von Geschiebe beeinträchtigt</v>
      </c>
      <c r="D334" t="str">
        <f>IF('[1]Revitalisation-Revitalisierung'!L222="a",'[1]Revitalisation-Revitalisierung'!K222,"")</f>
        <v/>
      </c>
      <c r="E334" t="str">
        <f>IF('[1]Revitalisation-Revitalisierung'!L222="b",'[1]Revitalisation-Revitalisierung'!K222,"")</f>
        <v>Très nécessaire, difficile / unbedingt nötig, schwierig</v>
      </c>
    </row>
    <row r="335" spans="2:5" x14ac:dyDescent="0.25">
      <c r="B335" t="str">
        <f>IF('[1]Charriage - Geschiebehaushalt'!P223="a",'[1]Charriage - Geschiebehaushalt'!O223,"")</f>
        <v/>
      </c>
      <c r="C335" t="str">
        <f>IF('[1]Charriage - Geschiebehaushalt'!P223="b",'[1]Charriage - Geschiebehaushalt'!O223,"")</f>
        <v>Charriage présumé perturbé / Geschiebehaushalt vermutlich beeinträchtigt</v>
      </c>
      <c r="D335" t="str">
        <f>IF('[1]Revitalisation-Revitalisierung'!L223="a",'[1]Revitalisation-Revitalisierung'!K223,"")</f>
        <v/>
      </c>
      <c r="E335" t="str">
        <f>IF('[1]Revitalisation-Revitalisierung'!L223="b",'[1]Revitalisation-Revitalisierung'!K223,"")</f>
        <v>Très nécessaire, difficile / unbedingt nötig, schwierig</v>
      </c>
    </row>
    <row r="336" spans="2:5" x14ac:dyDescent="0.25">
      <c r="B336" t="str">
        <f>IF('[1]Charriage - Geschiebehaushalt'!P224="a",'[1]Charriage - Geschiebehaushalt'!O224,"")</f>
        <v/>
      </c>
      <c r="C336" t="str">
        <f>IF('[1]Charriage - Geschiebehaushalt'!P224="b",'[1]Charriage - Geschiebehaushalt'!O224,"")</f>
        <v>Charriage présumé naturel / Geschiebehaushalt vermutlich natürlich</v>
      </c>
      <c r="D336" t="str">
        <f>IF('[1]Revitalisation-Revitalisierung'!L224="a",'[1]Revitalisation-Revitalisierung'!K224,"")</f>
        <v/>
      </c>
      <c r="E336" t="str">
        <f>IF('[1]Revitalisation-Revitalisierung'!L224="b",'[1]Revitalisation-Revitalisierung'!K224,"")</f>
        <v>Non nécessaire / nicht nötig</v>
      </c>
    </row>
    <row r="337" spans="2:5" x14ac:dyDescent="0.25">
      <c r="B337" t="str">
        <f>IF('[1]Charriage - Geschiebehaushalt'!P225="a",'[1]Charriage - Geschiebehaushalt'!O225,"")</f>
        <v>21-50%</v>
      </c>
      <c r="C337" t="str">
        <f>IF('[1]Charriage - Geschiebehaushalt'!P225="b",'[1]Charriage - Geschiebehaushalt'!O225,"")</f>
        <v/>
      </c>
      <c r="D337" t="str">
        <f>IF('[1]Revitalisation-Revitalisierung'!L225="a",'[1]Revitalisation-Revitalisierung'!K225,"")</f>
        <v>Très nécessaire, difficile / unbedingt nötig, schwierig</v>
      </c>
      <c r="E337" t="str">
        <f>IF('[1]Revitalisation-Revitalisierung'!L225="b",'[1]Revitalisation-Revitalisierung'!K225,"")</f>
        <v/>
      </c>
    </row>
    <row r="338" spans="2:5" x14ac:dyDescent="0.25">
      <c r="B338" t="str">
        <f>IF('[1]Charriage - Geschiebehaushalt'!P226="a",'[1]Charriage - Geschiebehaushalt'!O226,"")</f>
        <v/>
      </c>
      <c r="C338" t="str">
        <f>IF('[1]Charriage - Geschiebehaushalt'!P226="b",'[1]Charriage - Geschiebehaushalt'!O226,"")</f>
        <v>Charriage présumé naturel / Geschiebehaushalt vermutlich natürlich</v>
      </c>
      <c r="D338" t="str">
        <f>IF('[1]Revitalisation-Revitalisierung'!L226="a",'[1]Revitalisation-Revitalisierung'!K226,"")</f>
        <v>Partiellement nécessaire, facile / teilweise nötig, einfach</v>
      </c>
      <c r="E338" t="str">
        <f>IF('[1]Revitalisation-Revitalisierung'!L226="b",'[1]Revitalisation-Revitalisierung'!K226,"")</f>
        <v/>
      </c>
    </row>
    <row r="339" spans="2:5" x14ac:dyDescent="0.25">
      <c r="B339" t="str">
        <f>IF('[1]Charriage - Geschiebehaushalt'!P227="a",'[1]Charriage - Geschiebehaushalt'!O227,"")</f>
        <v/>
      </c>
      <c r="C339" t="str">
        <f>IF('[1]Charriage - Geschiebehaushalt'!P227="b",'[1]Charriage - Geschiebehaushalt'!O227,"")</f>
        <v>La remobilisation des sédiments est perturbée / Mobilisierung von Geschiebe beeinträchtigt</v>
      </c>
      <c r="D339" t="str">
        <f>IF('[1]Revitalisation-Revitalisierung'!L227="a",'[1]Revitalisation-Revitalisierung'!K227,"")</f>
        <v>Très nécessaire, facile / unbedingt nötig, einfach</v>
      </c>
      <c r="E339" t="str">
        <f>IF('[1]Revitalisation-Revitalisierung'!L227="b",'[1]Revitalisation-Revitalisierung'!K227,"")</f>
        <v/>
      </c>
    </row>
    <row r="340" spans="2:5" x14ac:dyDescent="0.25">
      <c r="B340" t="str">
        <f>IF('[1]Charriage - Geschiebehaushalt'!P228="a",'[1]Charriage - Geschiebehaushalt'!O228,"")</f>
        <v>21-50%</v>
      </c>
      <c r="C340" t="str">
        <f>IF('[1]Charriage - Geschiebehaushalt'!P228="b",'[1]Charriage - Geschiebehaushalt'!O228,"")</f>
        <v/>
      </c>
      <c r="D340" t="str">
        <f>IF('[1]Revitalisation-Revitalisierung'!L228="a",'[1]Revitalisation-Revitalisierung'!K228,"")</f>
        <v>Partiellement nécessaire, facile / teilweise nötig, einfach</v>
      </c>
      <c r="E340" t="str">
        <f>IF('[1]Revitalisation-Revitalisierung'!L228="b",'[1]Revitalisation-Revitalisierung'!K228,"")</f>
        <v/>
      </c>
    </row>
    <row r="341" spans="2:5" x14ac:dyDescent="0.25">
      <c r="B341" t="str">
        <f>IF('[1]Charriage - Geschiebehaushalt'!P229="a",'[1]Charriage - Geschiebehaushalt'!O229,"")</f>
        <v/>
      </c>
      <c r="C341" t="str">
        <f>IF('[1]Charriage - Geschiebehaushalt'!P229="b",'[1]Charriage - Geschiebehaushalt'!O229,"")</f>
        <v>Déficit non apparent en charriage ou en remobilisation des sédiments / kein sichtbares Defizit beim Geschiebehaushalt bzw. bei der Mobilisierung von Geschiebe</v>
      </c>
      <c r="D341" t="str">
        <f>IF('[1]Revitalisation-Revitalisierung'!L229="a",'[1]Revitalisation-Revitalisierung'!K229,"")</f>
        <v/>
      </c>
      <c r="E341" t="str">
        <f>IF('[1]Revitalisation-Revitalisierung'!L229="b",'[1]Revitalisation-Revitalisierung'!K229,"")</f>
        <v>Partiellement nécessaire, facile / teilweise nötig, einfach</v>
      </c>
    </row>
    <row r="342" spans="2:5" x14ac:dyDescent="0.25">
      <c r="B342" t="str">
        <f>IF('[1]Charriage - Geschiebehaushalt'!P230="a",'[1]Charriage - Geschiebehaushalt'!O230,"")</f>
        <v/>
      </c>
      <c r="C342" t="str">
        <f>IF('[1]Charriage - Geschiebehaushalt'!P230="b",'[1]Charriage - Geschiebehaushalt'!O230,"")</f>
        <v>Charriage présumé naturel / Geschiebehaushalt vermutlich natürlich</v>
      </c>
      <c r="D342" t="str">
        <f>IF('[1]Revitalisation-Revitalisierung'!L230="a",'[1]Revitalisation-Revitalisierung'!K230,"")</f>
        <v>Non nécessaire / nicht nötig</v>
      </c>
      <c r="E342" t="str">
        <f>IF('[1]Revitalisation-Revitalisierung'!L230="b",'[1]Revitalisation-Revitalisierung'!K230,"")</f>
        <v/>
      </c>
    </row>
    <row r="343" spans="2:5" x14ac:dyDescent="0.25">
      <c r="B343" t="str">
        <f>IF('[1]Charriage - Geschiebehaushalt'!P231="a",'[1]Charriage - Geschiebehaushalt'!O231,"")</f>
        <v/>
      </c>
      <c r="C343" t="str">
        <f>IF('[1]Charriage - Geschiebehaushalt'!P231="b",'[1]Charriage - Geschiebehaushalt'!O231,"")</f>
        <v>Charriage présumé naturel / Geschiebehaushalt vermutlich natürlich</v>
      </c>
      <c r="D343" t="str">
        <f>IF('[1]Revitalisation-Revitalisierung'!L231="a",'[1]Revitalisation-Revitalisierung'!K231,"")</f>
        <v>Partiellement nécessaire, facile / teilweise nötig, einfach</v>
      </c>
      <c r="E343" t="str">
        <f>IF('[1]Revitalisation-Revitalisierung'!L231="b",'[1]Revitalisation-Revitalisierung'!K231,"")</f>
        <v/>
      </c>
    </row>
    <row r="344" spans="2:5" x14ac:dyDescent="0.25">
      <c r="B344" t="str">
        <f>IF('[1]Charriage - Geschiebehaushalt'!P232="a",'[1]Charriage - Geschiebehaushalt'!O232,"")</f>
        <v>0-20%</v>
      </c>
      <c r="C344" t="str">
        <f>IF('[1]Charriage - Geschiebehaushalt'!P232="b",'[1]Charriage - Geschiebehaushalt'!O232,"")</f>
        <v/>
      </c>
      <c r="D344" t="str">
        <f>IF('[1]Revitalisation-Revitalisierung'!L232="a",'[1]Revitalisation-Revitalisierung'!K232,"")</f>
        <v>Non nécessaire / nicht nötig</v>
      </c>
      <c r="E344" t="str">
        <f>IF('[1]Revitalisation-Revitalisierung'!L232="b",'[1]Revitalisation-Revitalisierung'!K232,"")</f>
        <v/>
      </c>
    </row>
    <row r="345" spans="2:5" x14ac:dyDescent="0.25">
      <c r="B345" t="str">
        <f>IF('[1]Charriage - Geschiebehaushalt'!P233="a",'[1]Charriage - Geschiebehaushalt'!O233,"")</f>
        <v/>
      </c>
      <c r="C345" t="str">
        <f>IF('[1]Charriage - Geschiebehaushalt'!P233="b",'[1]Charriage - Geschiebehaushalt'!O233,"")</f>
        <v>La remobilisation des sédiments est perturbée / Mobilisierung von Geschiebe beeinträchtigt</v>
      </c>
      <c r="D345" t="str">
        <f>IF('[1]Revitalisation-Revitalisierung'!L233="a",'[1]Revitalisation-Revitalisierung'!K233,"")</f>
        <v>Très nécessaire, facile / unbedingt nötig, einfach</v>
      </c>
      <c r="E345" t="str">
        <f>IF('[1]Revitalisation-Revitalisierung'!L233="b",'[1]Revitalisation-Revitalisierung'!K233,"")</f>
        <v/>
      </c>
    </row>
    <row r="346" spans="2:5" x14ac:dyDescent="0.25">
      <c r="B346" t="str">
        <f>IF('[1]Charriage - Geschiebehaushalt'!P234="a",'[1]Charriage - Geschiebehaushalt'!O234,"")</f>
        <v/>
      </c>
      <c r="C346" t="str">
        <f>IF('[1]Charriage - Geschiebehaushalt'!P234="b",'[1]Charriage - Geschiebehaushalt'!O234,"")</f>
        <v>La remobilisation des sédiments est perturbée / Mobilisierung von Geschiebe beeinträchtigt</v>
      </c>
      <c r="D346" t="str">
        <f>IF('[1]Revitalisation-Revitalisierung'!L234="a",'[1]Revitalisation-Revitalisierung'!K234,"")</f>
        <v/>
      </c>
      <c r="E346" t="str">
        <f>IF('[1]Revitalisation-Revitalisierung'!L234="b",'[1]Revitalisation-Revitalisierung'!K234,"")</f>
        <v>Très nécessaire, facile / unbedingt nötig, einfach</v>
      </c>
    </row>
    <row r="347" spans="2:5" x14ac:dyDescent="0.25">
      <c r="B347" t="str">
        <f>IF('[1]Charriage - Geschiebehaushalt'!P235="a",'[1]Charriage - Geschiebehaushalt'!O235,"")</f>
        <v/>
      </c>
      <c r="C347" t="str">
        <f>IF('[1]Charriage - Geschiebehaushalt'!P235="b",'[1]Charriage - Geschiebehaushalt'!O235,"")</f>
        <v>Charriage présumé perturbé / Geschiebehaushalt vermutlich beeinträchtigt</v>
      </c>
      <c r="D347" t="str">
        <f>IF('[1]Revitalisation-Revitalisierung'!L235="a",'[1]Revitalisation-Revitalisierung'!K235,"")</f>
        <v>Partiellement nécessaire, difficile / teilweise nötig, schwierig</v>
      </c>
      <c r="E347" t="str">
        <f>IF('[1]Revitalisation-Revitalisierung'!L235="b",'[1]Revitalisation-Revitalisierung'!K235,"")</f>
        <v/>
      </c>
    </row>
    <row r="348" spans="2:5" x14ac:dyDescent="0.25">
      <c r="B348" t="str">
        <f>IF('[1]Charriage - Geschiebehaushalt'!P236="a",'[1]Charriage - Geschiebehaushalt'!O236,"")</f>
        <v/>
      </c>
      <c r="C348" t="str">
        <f>IF('[1]Charriage - Geschiebehaushalt'!P236="b",'[1]Charriage - Geschiebehaushalt'!O236,"")</f>
        <v>Charriage présumé perturbé / Geschiebehaushalt vermutlich beeinträchtigt</v>
      </c>
      <c r="D348" t="str">
        <f>IF('[1]Revitalisation-Revitalisierung'!L236="a",'[1]Revitalisation-Revitalisierung'!K236,"")</f>
        <v>Partiellement nécessaire, facile / teilweise nötig, einfach</v>
      </c>
      <c r="E348" t="str">
        <f>IF('[1]Revitalisation-Revitalisierung'!L236="b",'[1]Revitalisation-Revitalisierung'!K236,"")</f>
        <v/>
      </c>
    </row>
    <row r="349" spans="2:5" x14ac:dyDescent="0.25">
      <c r="B349" t="str">
        <f>IF('[1]Charriage - Geschiebehaushalt'!P237="a",'[1]Charriage - Geschiebehaushalt'!O237,"")</f>
        <v/>
      </c>
      <c r="C349" t="str">
        <f>IF('[1]Charriage - Geschiebehaushalt'!P237="b",'[1]Charriage - Geschiebehaushalt'!O237,"")</f>
        <v>Charriage présumé naturel / Geschiebehaushalt vermutlich natürlich</v>
      </c>
      <c r="D349" t="str">
        <f>IF('[1]Revitalisation-Revitalisierung'!L237="a",'[1]Revitalisation-Revitalisierung'!K237,"")</f>
        <v>Non nécessaire / nicht nötig</v>
      </c>
      <c r="E349" t="str">
        <f>IF('[1]Revitalisation-Revitalisierung'!L237="b",'[1]Revitalisation-Revitalisierung'!K237,"")</f>
        <v/>
      </c>
    </row>
    <row r="350" spans="2:5" x14ac:dyDescent="0.25">
      <c r="B350" t="str">
        <f>IF('[1]Charriage - Geschiebehaushalt'!P238="a",'[1]Charriage - Geschiebehaushalt'!O238,"")</f>
        <v/>
      </c>
      <c r="C350" t="str">
        <f>IF('[1]Charriage - Geschiebehaushalt'!P238="b",'[1]Charriage - Geschiebehaushalt'!O238,"")</f>
        <v>Charriage présumé naturel / Geschiebehaushalt vermutlich natürlich</v>
      </c>
      <c r="D350" t="str">
        <f>IF('[1]Revitalisation-Revitalisierung'!L238="a",'[1]Revitalisation-Revitalisierung'!K238,"")</f>
        <v>Non nécessaire / nicht nötig</v>
      </c>
      <c r="E350" t="str">
        <f>IF('[1]Revitalisation-Revitalisierung'!L238="b",'[1]Revitalisation-Revitalisierung'!K238,"")</f>
        <v/>
      </c>
    </row>
    <row r="351" spans="2:5" x14ac:dyDescent="0.25">
      <c r="B351" t="str">
        <f>IF('[1]Charriage - Geschiebehaushalt'!P239="a",'[1]Charriage - Geschiebehaushalt'!O239,"")</f>
        <v/>
      </c>
      <c r="C351" t="str">
        <f>IF('[1]Charriage - Geschiebehaushalt'!P239="b",'[1]Charriage - Geschiebehaushalt'!O239,"")</f>
        <v>Charriage présumé naturel / Geschiebehaushalt vermutlich natürlich</v>
      </c>
      <c r="D351" t="str">
        <f>IF('[1]Revitalisation-Revitalisierung'!L239="a",'[1]Revitalisation-Revitalisierung'!K239,"")</f>
        <v>Non nécessaire / nicht nötig</v>
      </c>
      <c r="E351" t="str">
        <f>IF('[1]Revitalisation-Revitalisierung'!L239="b",'[1]Revitalisation-Revitalisierung'!K239,"")</f>
        <v/>
      </c>
    </row>
    <row r="352" spans="2:5" x14ac:dyDescent="0.25">
      <c r="B352" t="str">
        <f>IF('[1]Charriage - Geschiebehaushalt'!P240="a",'[1]Charriage - Geschiebehaushalt'!O240,"")</f>
        <v/>
      </c>
      <c r="C352" t="str">
        <f>IF('[1]Charriage - Geschiebehaushalt'!P240="b",'[1]Charriage - Geschiebehaushalt'!O240,"")</f>
        <v>Déficit non apparent en charriage ou en remobilisation des sédiments / kein sichtbares Defizit beim Geschiebehaushalt bzw. bei der Mobilisierung von Geschiebe</v>
      </c>
      <c r="D352" t="str">
        <f>IF('[1]Revitalisation-Revitalisierung'!L240="a",'[1]Revitalisation-Revitalisierung'!K240,"")</f>
        <v/>
      </c>
      <c r="E352" t="str">
        <f>IF('[1]Revitalisation-Revitalisierung'!L240="b",'[1]Revitalisation-Revitalisierung'!K240,"")</f>
        <v>Non nécessaire / nicht nötig</v>
      </c>
    </row>
    <row r="353" spans="2:5" x14ac:dyDescent="0.25">
      <c r="B353" t="str">
        <f>IF('[1]Charriage - Geschiebehaushalt'!P241="a",'[1]Charriage - Geschiebehaushalt'!O241,"")</f>
        <v/>
      </c>
      <c r="C353" t="str">
        <f>IF('[1]Charriage - Geschiebehaushalt'!P241="b",'[1]Charriage - Geschiebehaushalt'!O241,"")</f>
        <v>La remobilisation des sédiments est perturbée / Mobilisierung von Geschiebe beeinträchtigt</v>
      </c>
      <c r="D353" t="str">
        <f>IF('[1]Revitalisation-Revitalisierung'!L241="a",'[1]Revitalisation-Revitalisierung'!K241,"")</f>
        <v>Très nécessaire, facile / unbedingt nötig, einfach</v>
      </c>
      <c r="E353" t="str">
        <f>IF('[1]Revitalisation-Revitalisierung'!L241="b",'[1]Revitalisation-Revitalisierung'!K241,"")</f>
        <v/>
      </c>
    </row>
    <row r="354" spans="2:5" x14ac:dyDescent="0.25">
      <c r="B354" t="str">
        <f>IF('[1]Charriage - Geschiebehaushalt'!P242="a",'[1]Charriage - Geschiebehaushalt'!O242,"")</f>
        <v/>
      </c>
      <c r="C354" t="str">
        <f>IF('[1]Charriage - Geschiebehaushalt'!P242="b",'[1]Charriage - Geschiebehaushalt'!O242,"")</f>
        <v>Charriage présumé naturel / Geschiebehaushalt vermutlich natürlich</v>
      </c>
      <c r="D354" t="str">
        <f>IF('[1]Revitalisation-Revitalisierung'!L242="a",'[1]Revitalisation-Revitalisierung'!K242,"")</f>
        <v>Non nécessaire / nicht nötig</v>
      </c>
      <c r="E354" t="str">
        <f>IF('[1]Revitalisation-Revitalisierung'!L242="b",'[1]Revitalisation-Revitalisierung'!K242,"")</f>
        <v/>
      </c>
    </row>
    <row r="355" spans="2:5" x14ac:dyDescent="0.25">
      <c r="B355" t="str">
        <f>IF('[1]Charriage - Geschiebehaushalt'!P243="a",'[1]Charriage - Geschiebehaushalt'!O243,"")</f>
        <v/>
      </c>
      <c r="C355" t="str">
        <f>IF('[1]Charriage - Geschiebehaushalt'!P243="b",'[1]Charriage - Geschiebehaushalt'!O243,"")</f>
        <v>Charriage présumé naturel / Geschiebehaushalt vermutlich natürlich</v>
      </c>
      <c r="D355" t="str">
        <f>IF('[1]Revitalisation-Revitalisierung'!L243="a",'[1]Revitalisation-Revitalisierung'!K243,"")</f>
        <v>Non nécessaire / nicht nötig</v>
      </c>
      <c r="E355" t="str">
        <f>IF('[1]Revitalisation-Revitalisierung'!L243="b",'[1]Revitalisation-Revitalisierung'!K243,"")</f>
        <v/>
      </c>
    </row>
    <row r="356" spans="2:5" x14ac:dyDescent="0.25">
      <c r="B356" t="str">
        <f>IF('[1]Charriage - Geschiebehaushalt'!P244="a",'[1]Charriage - Geschiebehaushalt'!O244,"")</f>
        <v/>
      </c>
      <c r="C356" t="str">
        <f>IF('[1]Charriage - Geschiebehaushalt'!P244="b",'[1]Charriage - Geschiebehaushalt'!O244,"")</f>
        <v>La remobilisation des sédiments est perturbée / Mobilisierung von Geschiebe beeinträchtigt</v>
      </c>
      <c r="D356" t="str">
        <f>IF('[1]Revitalisation-Revitalisierung'!L244="a",'[1]Revitalisation-Revitalisierung'!K244,"")</f>
        <v/>
      </c>
      <c r="E356" t="str">
        <f>IF('[1]Revitalisation-Revitalisierung'!L244="b",'[1]Revitalisation-Revitalisierung'!K244,"")</f>
        <v>Très nécessaire, facile / unbedingt nötig, einfach</v>
      </c>
    </row>
    <row r="357" spans="2:5" x14ac:dyDescent="0.25">
      <c r="B357" t="str">
        <f>IF('[1]Charriage - Geschiebehaushalt'!P245="a",'[1]Charriage - Geschiebehaushalt'!O245,"")</f>
        <v/>
      </c>
      <c r="C357" t="str">
        <f>IF('[1]Charriage - Geschiebehaushalt'!P245="b",'[1]Charriage - Geschiebehaushalt'!O245,"")</f>
        <v>Charriage présumé naturel / Geschiebehaushalt vermutlich natürlich</v>
      </c>
      <c r="D357" t="str">
        <f>IF('[1]Revitalisation-Revitalisierung'!L245="a",'[1]Revitalisation-Revitalisierung'!K245,"")</f>
        <v>Très nécessaire, facile / unbedingt nötig, einfach</v>
      </c>
      <c r="E357" t="str">
        <f>IF('[1]Revitalisation-Revitalisierung'!L245="b",'[1]Revitalisation-Revitalisierung'!K245,"")</f>
        <v/>
      </c>
    </row>
    <row r="358" spans="2:5" x14ac:dyDescent="0.25">
      <c r="B358" t="str">
        <f>IF('[1]Charriage - Geschiebehaushalt'!P246="a",'[1]Charriage - Geschiebehaushalt'!O246,"")</f>
        <v/>
      </c>
      <c r="C358" t="str">
        <f>IF('[1]Charriage - Geschiebehaushalt'!P246="b",'[1]Charriage - Geschiebehaushalt'!O246,"")</f>
        <v>Charriage présumé naturel / Geschiebehaushalt vermutlich natürlich</v>
      </c>
      <c r="D358" t="str">
        <f>IF('[1]Revitalisation-Revitalisierung'!L246="a",'[1]Revitalisation-Revitalisierung'!K246,"")</f>
        <v/>
      </c>
      <c r="E358" t="str">
        <f>IF('[1]Revitalisation-Revitalisierung'!L246="b",'[1]Revitalisation-Revitalisierung'!K246,"")</f>
        <v>Partiellement nécessaire, difficile / teilweise nötig, schwierig</v>
      </c>
    </row>
    <row r="359" spans="2:5" x14ac:dyDescent="0.25">
      <c r="B359" t="str">
        <f>IF('[1]Charriage - Geschiebehaushalt'!P247="a",'[1]Charriage - Geschiebehaushalt'!O247,"")</f>
        <v>0-20%</v>
      </c>
      <c r="C359" t="str">
        <f>IF('[1]Charriage - Geschiebehaushalt'!P247="b",'[1]Charriage - Geschiebehaushalt'!O247,"")</f>
        <v/>
      </c>
      <c r="D359" t="str">
        <f>IF('[1]Revitalisation-Revitalisierung'!L247="a",'[1]Revitalisation-Revitalisierung'!K247,"")</f>
        <v>Non nécessaire / nicht nötig</v>
      </c>
      <c r="E359" t="str">
        <f>IF('[1]Revitalisation-Revitalisierung'!L247="b",'[1]Revitalisation-Revitalisierung'!K247,"")</f>
        <v/>
      </c>
    </row>
    <row r="360" spans="2:5" x14ac:dyDescent="0.25">
      <c r="B360" t="str">
        <f>IF('[1]Charriage - Geschiebehaushalt'!P248="a",'[1]Charriage - Geschiebehaushalt'!O248,"")</f>
        <v>Charriage présumé naturel / Geschiebehaushalt vermutlich natürlich</v>
      </c>
      <c r="C360" t="str">
        <f>IF('[1]Charriage - Geschiebehaushalt'!P248="b",'[1]Charriage - Geschiebehaushalt'!O248,"")</f>
        <v/>
      </c>
      <c r="D360" t="str">
        <f>IF('[1]Revitalisation-Revitalisierung'!L248="a",'[1]Revitalisation-Revitalisierung'!K248,"")</f>
        <v>Non nécessaire / nicht nötig</v>
      </c>
      <c r="E360" t="str">
        <f>IF('[1]Revitalisation-Revitalisierung'!L248="b",'[1]Revitalisation-Revitalisierung'!K248,"")</f>
        <v/>
      </c>
    </row>
    <row r="361" spans="2:5" x14ac:dyDescent="0.25">
      <c r="B361" t="str">
        <f>IF('[1]Charriage - Geschiebehaushalt'!P249="a",'[1]Charriage - Geschiebehaushalt'!O249,"")</f>
        <v/>
      </c>
      <c r="C361" t="str">
        <f>IF('[1]Charriage - Geschiebehaushalt'!P249="b",'[1]Charriage - Geschiebehaushalt'!O249,"")</f>
        <v>Déficit non apparent en charriage ou en remobilisation des sédiments / kein sichtbares Defizit beim Geschiebehaushalt bzw. bei der Mobilisierung von Geschiebe</v>
      </c>
      <c r="D361" t="str">
        <f>IF('[1]Revitalisation-Revitalisierung'!L249="a",'[1]Revitalisation-Revitalisierung'!K249,"")</f>
        <v/>
      </c>
      <c r="E361" t="str">
        <f>IF('[1]Revitalisation-Revitalisierung'!L249="b",'[1]Revitalisation-Revitalisierung'!K249,"")</f>
        <v>Non nécessaire / nicht nötig</v>
      </c>
    </row>
    <row r="362" spans="2:5" x14ac:dyDescent="0.25">
      <c r="B362" t="str">
        <f>IF('[1]Charriage - Geschiebehaushalt'!P250="a",'[1]Charriage - Geschiebehaushalt'!O250,"")</f>
        <v>21-50%</v>
      </c>
      <c r="C362" t="str">
        <f>IF('[1]Charriage - Geschiebehaushalt'!P250="b",'[1]Charriage - Geschiebehaushalt'!O250,"")</f>
        <v/>
      </c>
      <c r="D362" t="str">
        <f>IF('[1]Revitalisation-Revitalisierung'!L250="a",'[1]Revitalisation-Revitalisierung'!K250,"")</f>
        <v/>
      </c>
      <c r="E362" t="str">
        <f>IF('[1]Revitalisation-Revitalisierung'!L250="b",'[1]Revitalisation-Revitalisierung'!K250,"")</f>
        <v>Très nécessaire, facile / unbedingt nötig, einfach</v>
      </c>
    </row>
    <row r="363" spans="2:5" x14ac:dyDescent="0.25">
      <c r="B363" t="str">
        <f>IF('[1]Charriage - Geschiebehaushalt'!P251="a",'[1]Charriage - Geschiebehaushalt'!O251,"")</f>
        <v>51-80%</v>
      </c>
      <c r="C363" t="str">
        <f>IF('[1]Charriage - Geschiebehaushalt'!P251="b",'[1]Charriage - Geschiebehaushalt'!O251,"")</f>
        <v/>
      </c>
      <c r="D363" t="str">
        <f>IF('[1]Revitalisation-Revitalisierung'!L251="a",'[1]Revitalisation-Revitalisierung'!K251,"")</f>
        <v>Très nécessaire, facile / unbedingt nötig, einfach</v>
      </c>
      <c r="E363" t="str">
        <f>IF('[1]Revitalisation-Revitalisierung'!L251="b",'[1]Revitalisation-Revitalisierung'!K251,"")</f>
        <v/>
      </c>
    </row>
    <row r="364" spans="2:5" x14ac:dyDescent="0.25">
      <c r="B364" t="str">
        <f>IF('[1]Charriage - Geschiebehaushalt'!P252="a",'[1]Charriage - Geschiebehaushalt'!O252,"")</f>
        <v>51-80%</v>
      </c>
      <c r="C364" t="str">
        <f>IF('[1]Charriage - Geschiebehaushalt'!P252="b",'[1]Charriage - Geschiebehaushalt'!O252,"")</f>
        <v/>
      </c>
      <c r="D364" t="str">
        <f>IF('[1]Revitalisation-Revitalisierung'!L252="a",'[1]Revitalisation-Revitalisierung'!K252,"")</f>
        <v>Très nécessaire, facile / unbedingt nötig, einfach</v>
      </c>
      <c r="E364" t="str">
        <f>IF('[1]Revitalisation-Revitalisierung'!L252="b",'[1]Revitalisation-Revitalisierung'!K252,"")</f>
        <v/>
      </c>
    </row>
    <row r="365" spans="2:5" x14ac:dyDescent="0.25">
      <c r="B365" t="str">
        <f>IF('[1]Charriage - Geschiebehaushalt'!P253="a",'[1]Charriage - Geschiebehaushalt'!O253,"")</f>
        <v>Charriage présumé naturel / Geschiebehaushalt vermutlich natürlich</v>
      </c>
      <c r="C365" t="str">
        <f>IF('[1]Charriage - Geschiebehaushalt'!P253="b",'[1]Charriage - Geschiebehaushalt'!O253,"")</f>
        <v/>
      </c>
      <c r="D365" t="str">
        <f>IF('[1]Revitalisation-Revitalisierung'!L253="a",'[1]Revitalisation-Revitalisierung'!K253,"")</f>
        <v>Non nécessaire / nicht nötig</v>
      </c>
      <c r="E365" t="str">
        <f>IF('[1]Revitalisation-Revitalisierung'!L253="b",'[1]Revitalisation-Revitalisierung'!K253,"")</f>
        <v/>
      </c>
    </row>
    <row r="366" spans="2:5" x14ac:dyDescent="0.25">
      <c r="B366" t="str">
        <f>IF('[1]Charriage - Geschiebehaushalt'!P254="a",'[1]Charriage - Geschiebehaushalt'!O254,"")</f>
        <v>0-20%</v>
      </c>
      <c r="C366" t="str">
        <f>IF('[1]Charriage - Geschiebehaushalt'!P254="b",'[1]Charriage - Geschiebehaushalt'!O254,"")</f>
        <v/>
      </c>
      <c r="D366" t="str">
        <f>IF('[1]Revitalisation-Revitalisierung'!L254="a",'[1]Revitalisation-Revitalisierung'!K254,"")</f>
        <v>Non nécessaire / nicht nötig</v>
      </c>
      <c r="E366" t="str">
        <f>IF('[1]Revitalisation-Revitalisierung'!L254="b",'[1]Revitalisation-Revitalisierung'!K254,"")</f>
        <v/>
      </c>
    </row>
    <row r="367" spans="2:5" x14ac:dyDescent="0.25">
      <c r="B367" t="str">
        <f>IF('[1]Charriage - Geschiebehaushalt'!P255="a",'[1]Charriage - Geschiebehaushalt'!O255,"")</f>
        <v>21-50%</v>
      </c>
      <c r="C367" t="str">
        <f>IF('[1]Charriage - Geschiebehaushalt'!P255="b",'[1]Charriage - Geschiebehaushalt'!O255,"")</f>
        <v/>
      </c>
      <c r="D367" t="str">
        <f>IF('[1]Revitalisation-Revitalisierung'!L255="a",'[1]Revitalisation-Revitalisierung'!K255,"")</f>
        <v>Très nécessaire, difficile / unbedingt nötig, schwierig</v>
      </c>
      <c r="E367" t="str">
        <f>IF('[1]Revitalisation-Revitalisierung'!L255="b",'[1]Revitalisation-Revitalisierung'!K255,"")</f>
        <v/>
      </c>
    </row>
    <row r="368" spans="2:5" x14ac:dyDescent="0.25">
      <c r="B368" t="str">
        <f>IF('[1]Charriage - Geschiebehaushalt'!P256="a",'[1]Charriage - Geschiebehaushalt'!O256,"")</f>
        <v>0-20%</v>
      </c>
      <c r="C368" t="str">
        <f>IF('[1]Charriage - Geschiebehaushalt'!P256="b",'[1]Charriage - Geschiebehaushalt'!O256,"")</f>
        <v/>
      </c>
      <c r="D368" t="str">
        <f>IF('[1]Revitalisation-Revitalisierung'!L256="a",'[1]Revitalisation-Revitalisierung'!K256,"")</f>
        <v>Non nécessaire / nicht nötig</v>
      </c>
      <c r="E368" t="str">
        <f>IF('[1]Revitalisation-Revitalisierung'!L256="b",'[1]Revitalisation-Revitalisierung'!K256,"")</f>
        <v/>
      </c>
    </row>
    <row r="369" spans="2:5" x14ac:dyDescent="0.25">
      <c r="B369" t="str">
        <f>IF('[1]Charriage - Geschiebehaushalt'!P257="a",'[1]Charriage - Geschiebehaushalt'!O257,"")</f>
        <v>0-20%</v>
      </c>
      <c r="C369" t="str">
        <f>IF('[1]Charriage - Geschiebehaushalt'!P257="b",'[1]Charriage - Geschiebehaushalt'!O257,"")</f>
        <v/>
      </c>
      <c r="D369" t="str">
        <f>IF('[1]Revitalisation-Revitalisierung'!L257="a",'[1]Revitalisation-Revitalisierung'!K257,"")</f>
        <v>Non nécessaire / nicht nötig</v>
      </c>
      <c r="E369" t="str">
        <f>IF('[1]Revitalisation-Revitalisierung'!L257="b",'[1]Revitalisation-Revitalisierung'!K257,"")</f>
        <v/>
      </c>
    </row>
    <row r="370" spans="2:5" x14ac:dyDescent="0.25">
      <c r="B370" t="str">
        <f>IF('[1]Charriage - Geschiebehaushalt'!P258="a",'[1]Charriage - Geschiebehaushalt'!O258,"")</f>
        <v>0-20%</v>
      </c>
      <c r="C370" t="str">
        <f>IF('[1]Charriage - Geschiebehaushalt'!P258="b",'[1]Charriage - Geschiebehaushalt'!O258,"")</f>
        <v/>
      </c>
      <c r="D370" t="str">
        <f>IF('[1]Revitalisation-Revitalisierung'!L258="a",'[1]Revitalisation-Revitalisierung'!K258,"")</f>
        <v/>
      </c>
      <c r="E370" t="str">
        <f>IF('[1]Revitalisation-Revitalisierung'!L258="b",'[1]Revitalisation-Revitalisierung'!K258,"")</f>
        <v>Très nécessaire, difficile / unbedingt nötig, schwierig</v>
      </c>
    </row>
    <row r="371" spans="2:5" x14ac:dyDescent="0.25">
      <c r="B371" t="str">
        <f>IF('[1]Charriage - Geschiebehaushalt'!P259="a",'[1]Charriage - Geschiebehaushalt'!O259,"")</f>
        <v>0-20%</v>
      </c>
      <c r="C371" t="str">
        <f>IF('[1]Charriage - Geschiebehaushalt'!P259="b",'[1]Charriage - Geschiebehaushalt'!O259,"")</f>
        <v/>
      </c>
      <c r="D371" t="str">
        <f>IF('[1]Revitalisation-Revitalisierung'!L259="a",'[1]Revitalisation-Revitalisierung'!K259,"")</f>
        <v/>
      </c>
      <c r="E371" t="str">
        <f>IF('[1]Revitalisation-Revitalisierung'!L259="b",'[1]Revitalisation-Revitalisierung'!K259,"")</f>
        <v>Partiellement nécessaire, difficile / teilweise nötig, schwierig</v>
      </c>
    </row>
    <row r="372" spans="2:5" x14ac:dyDescent="0.25">
      <c r="B372" t="str">
        <f>IF('[1]Charriage - Geschiebehaushalt'!P260="a",'[1]Charriage - Geschiebehaushalt'!O260,"")</f>
        <v>0-20%</v>
      </c>
      <c r="C372" t="str">
        <f>IF('[1]Charriage - Geschiebehaushalt'!P260="b",'[1]Charriage - Geschiebehaushalt'!O260,"")</f>
        <v/>
      </c>
      <c r="D372" t="str">
        <f>IF('[1]Revitalisation-Revitalisierung'!L260="a",'[1]Revitalisation-Revitalisierung'!K260,"")</f>
        <v>Non nécessaire / nicht nötig</v>
      </c>
      <c r="E372" t="str">
        <f>IF('[1]Revitalisation-Revitalisierung'!L260="b",'[1]Revitalisation-Revitalisierung'!K260,"")</f>
        <v/>
      </c>
    </row>
    <row r="373" spans="2:5" x14ac:dyDescent="0.25">
      <c r="B373" t="str">
        <f>IF('[1]Charriage - Geschiebehaushalt'!P261="a",'[1]Charriage - Geschiebehaushalt'!O261,"")</f>
        <v>0-20%</v>
      </c>
      <c r="C373" t="str">
        <f>IF('[1]Charriage - Geschiebehaushalt'!P261="b",'[1]Charriage - Geschiebehaushalt'!O261,"")</f>
        <v/>
      </c>
      <c r="D373" t="str">
        <f>IF('[1]Revitalisation-Revitalisierung'!L261="a",'[1]Revitalisation-Revitalisierung'!K261,"")</f>
        <v>Non nécessaire / nicht nötig</v>
      </c>
      <c r="E373" t="str">
        <f>IF('[1]Revitalisation-Revitalisierung'!L261="b",'[1]Revitalisation-Revitalisierung'!K261,"")</f>
        <v/>
      </c>
    </row>
    <row r="374" spans="2:5" x14ac:dyDescent="0.25">
      <c r="B374" t="str">
        <f>IF('[1]Charriage - Geschiebehaushalt'!P262="a",'[1]Charriage - Geschiebehaushalt'!O262,"")</f>
        <v>0-20%</v>
      </c>
      <c r="C374" t="str">
        <f>IF('[1]Charriage - Geschiebehaushalt'!P262="b",'[1]Charriage - Geschiebehaushalt'!O262,"")</f>
        <v/>
      </c>
      <c r="D374" t="str">
        <f>IF('[1]Revitalisation-Revitalisierung'!L262="a",'[1]Revitalisation-Revitalisierung'!K262,"")</f>
        <v>Non nécessaire / nicht nötig</v>
      </c>
      <c r="E374" t="str">
        <f>IF('[1]Revitalisation-Revitalisierung'!L262="b",'[1]Revitalisation-Revitalisierung'!K262,"")</f>
        <v/>
      </c>
    </row>
    <row r="375" spans="2:5" x14ac:dyDescent="0.25">
      <c r="B375" t="str">
        <f>IF('[1]Charriage - Geschiebehaushalt'!P263="a",'[1]Charriage - Geschiebehaushalt'!O263,"")</f>
        <v>0-20%</v>
      </c>
      <c r="C375" t="str">
        <f>IF('[1]Charriage - Geschiebehaushalt'!P263="b",'[1]Charriage - Geschiebehaushalt'!O263,"")</f>
        <v/>
      </c>
      <c r="D375" t="str">
        <f>IF('[1]Revitalisation-Revitalisierung'!L263="a",'[1]Revitalisation-Revitalisierung'!K263,"")</f>
        <v/>
      </c>
      <c r="E375" t="str">
        <f>IF('[1]Revitalisation-Revitalisierung'!L263="b",'[1]Revitalisation-Revitalisierung'!K263,"")</f>
        <v>Partiellement nécessaire, facile / teilweise nötig, einfach</v>
      </c>
    </row>
    <row r="376" spans="2:5" x14ac:dyDescent="0.25">
      <c r="B376" t="str">
        <f>IF('[1]Charriage - Geschiebehaushalt'!P264="a",'[1]Charriage - Geschiebehaushalt'!O264,"")</f>
        <v/>
      </c>
      <c r="C376" t="str">
        <f>IF('[1]Charriage - Geschiebehaushalt'!P264="b",'[1]Charriage - Geschiebehaushalt'!O264,"")</f>
        <v>Déficit non apparent en charriage ou en remobilisation des sédiments / kein sichtbares Defizit beim Geschiebehaushalt bzw. bei der Mobilisierung von Geschiebe</v>
      </c>
      <c r="D376" t="str">
        <f>IF('[1]Revitalisation-Revitalisierung'!L264="a",'[1]Revitalisation-Revitalisierung'!K264,"")</f>
        <v>Non nécessaire / nicht nötig</v>
      </c>
      <c r="E376" t="str">
        <f>IF('[1]Revitalisation-Revitalisierung'!L264="b",'[1]Revitalisation-Revitalisierung'!K264,"")</f>
        <v/>
      </c>
    </row>
    <row r="377" spans="2:5" x14ac:dyDescent="0.25">
      <c r="B377" t="str">
        <f>IF('[1]Charriage - Geschiebehaushalt'!P265="a",'[1]Charriage - Geschiebehaushalt'!O265,"")</f>
        <v/>
      </c>
      <c r="C377" t="str">
        <f>IF('[1]Charriage - Geschiebehaushalt'!P265="b",'[1]Charriage - Geschiebehaushalt'!O265,"")</f>
        <v>La remobilisation des sédiments est perturbée / Mobilisierung von Geschiebe beeinträchtigt</v>
      </c>
      <c r="D377" t="str">
        <f>IF('[1]Revitalisation-Revitalisierung'!L265="a",'[1]Revitalisation-Revitalisierung'!K265,"")</f>
        <v/>
      </c>
      <c r="E377" t="str">
        <f>IF('[1]Revitalisation-Revitalisierung'!L265="b",'[1]Revitalisation-Revitalisierung'!K265,"")</f>
        <v>Partiellement nécessaire, difficile / teilweise nötig, schwierig</v>
      </c>
    </row>
    <row r="378" spans="2:5" x14ac:dyDescent="0.25">
      <c r="B378" t="str">
        <f>IF('[1]Charriage - Geschiebehaushalt'!P266="a",'[1]Charriage - Geschiebehaushalt'!O266,"")</f>
        <v>0-20%</v>
      </c>
      <c r="C378" t="str">
        <f>IF('[1]Charriage - Geschiebehaushalt'!P266="b",'[1]Charriage - Geschiebehaushalt'!O266,"")</f>
        <v/>
      </c>
      <c r="D378" t="str">
        <f>IF('[1]Revitalisation-Revitalisierung'!L266="a",'[1]Revitalisation-Revitalisierung'!K266,"")</f>
        <v/>
      </c>
      <c r="E378" t="str">
        <f>IF('[1]Revitalisation-Revitalisierung'!L266="b",'[1]Revitalisation-Revitalisierung'!K266,"")</f>
        <v>Partiellement nécessaire, difficile / teilweise nötig, schwierig</v>
      </c>
    </row>
    <row r="379" spans="2:5" x14ac:dyDescent="0.25">
      <c r="B379" t="str">
        <f>IF('[1]Charriage - Geschiebehaushalt'!P267="a",'[1]Charriage - Geschiebehaushalt'!O267,"")</f>
        <v/>
      </c>
      <c r="C379" t="str">
        <f>IF('[1]Charriage - Geschiebehaushalt'!P267="b",'[1]Charriage - Geschiebehaushalt'!O267,"")</f>
        <v>Déficit non apparent en charriage ou en remobilisation des sédiments / kein sichtbares Defizit beim Geschiebehaushalt bzw. bei der Mobilisierung von Geschiebe</v>
      </c>
      <c r="D379" t="str">
        <f>IF('[1]Revitalisation-Revitalisierung'!L267="a",'[1]Revitalisation-Revitalisierung'!K267,"")</f>
        <v>Non nécessaire / nicht nötig</v>
      </c>
      <c r="E379" t="str">
        <f>IF('[1]Revitalisation-Revitalisierung'!L267="b",'[1]Revitalisation-Revitalisierung'!K267,"")</f>
        <v/>
      </c>
    </row>
    <row r="380" spans="2:5" x14ac:dyDescent="0.25">
      <c r="B380" t="str">
        <f>IF('[1]Charriage - Geschiebehaushalt'!P268="a",'[1]Charriage - Geschiebehaushalt'!O268,"")</f>
        <v/>
      </c>
      <c r="C380" t="str">
        <f>IF('[1]Charriage - Geschiebehaushalt'!P268="b",'[1]Charriage - Geschiebehaushalt'!O268,"")</f>
        <v>La remobilisation des sédiments est perturbée / Mobilisierung von Geschiebe beeinträchtigt</v>
      </c>
      <c r="D380" t="str">
        <f>IF('[1]Revitalisation-Revitalisierung'!L268="a",'[1]Revitalisation-Revitalisierung'!K268,"")</f>
        <v>Très nécessaire, facile / unbedingt nötig, einfach</v>
      </c>
      <c r="E380" t="str">
        <f>IF('[1]Revitalisation-Revitalisierung'!L268="b",'[1]Revitalisation-Revitalisierung'!K268,"")</f>
        <v/>
      </c>
    </row>
    <row r="381" spans="2:5" x14ac:dyDescent="0.25">
      <c r="B381" t="str">
        <f>IF('[1]Charriage - Geschiebehaushalt'!P269="a",'[1]Charriage - Geschiebehaushalt'!O269,"")</f>
        <v/>
      </c>
      <c r="C381" t="str">
        <f>IF('[1]Charriage - Geschiebehaushalt'!P269="b",'[1]Charriage - Geschiebehaushalt'!O269,"")</f>
        <v>Charriage présumé naturel / Geschiebehaushalt vermutlich natürlich</v>
      </c>
      <c r="D381" t="str">
        <f>IF('[1]Revitalisation-Revitalisierung'!L269="a",'[1]Revitalisation-Revitalisierung'!K269,"")</f>
        <v>Non nécessaire / nicht nötig</v>
      </c>
      <c r="E381" t="str">
        <f>IF('[1]Revitalisation-Revitalisierung'!L269="b",'[1]Revitalisation-Revitalisierung'!K269,"")</f>
        <v/>
      </c>
    </row>
    <row r="382" spans="2:5" x14ac:dyDescent="0.25">
      <c r="B382" t="str">
        <f>IF('[1]Charriage - Geschiebehaushalt'!P270="a",'[1]Charriage - Geschiebehaushalt'!O270,"")</f>
        <v/>
      </c>
      <c r="C382" t="str">
        <f>IF('[1]Charriage - Geschiebehaushalt'!P270="b",'[1]Charriage - Geschiebehaushalt'!O270,"")</f>
        <v>Charriage présumé naturel / Geschiebehaushalt vermutlich natürlich</v>
      </c>
      <c r="D382" t="str">
        <f>IF('[1]Revitalisation-Revitalisierung'!L270="a",'[1]Revitalisation-Revitalisierung'!K270,"")</f>
        <v>Non nécessaire / nicht nötig</v>
      </c>
      <c r="E382" t="str">
        <f>IF('[1]Revitalisation-Revitalisierung'!L270="b",'[1]Revitalisation-Revitalisierung'!K270,"")</f>
        <v/>
      </c>
    </row>
    <row r="383" spans="2:5" x14ac:dyDescent="0.25">
      <c r="B383" t="str">
        <f>IF('[1]Charriage - Geschiebehaushalt'!P271="a",'[1]Charriage - Geschiebehaushalt'!O271,"")</f>
        <v/>
      </c>
      <c r="C383" t="str">
        <f>IF('[1]Charriage - Geschiebehaushalt'!P271="b",'[1]Charriage - Geschiebehaushalt'!O271,"")</f>
        <v>Charriage présumé naturel / Geschiebehaushalt vermutlich natürlich</v>
      </c>
      <c r="D383" t="str">
        <f>IF('[1]Revitalisation-Revitalisierung'!L271="a",'[1]Revitalisation-Revitalisierung'!K271,"")</f>
        <v/>
      </c>
      <c r="E383" t="str">
        <f>IF('[1]Revitalisation-Revitalisierung'!L271="b",'[1]Revitalisation-Revitalisierung'!K271,"")</f>
        <v>Non nécessaire / nicht nötig</v>
      </c>
    </row>
    <row r="384" spans="2:5" x14ac:dyDescent="0.25">
      <c r="B384" t="str">
        <f>IF('[1]Charriage - Geschiebehaushalt'!P272="a",'[1]Charriage - Geschiebehaushalt'!O272,"")</f>
        <v/>
      </c>
      <c r="C384" t="str">
        <f>IF('[1]Charriage - Geschiebehaushalt'!P272="b",'[1]Charriage - Geschiebehaushalt'!O272,"")</f>
        <v>La remobilisation des sédiments est perturbée / Mobilisierung von Geschiebe beeinträchtigt</v>
      </c>
      <c r="D384" t="str">
        <f>IF('[1]Revitalisation-Revitalisierung'!L272="a",'[1]Revitalisation-Revitalisierung'!K272,"")</f>
        <v>Très nécessaire, facile / unbedingt nötig, einfach</v>
      </c>
      <c r="E384" t="str">
        <f>IF('[1]Revitalisation-Revitalisierung'!L272="b",'[1]Revitalisation-Revitalisierung'!K272,"")</f>
        <v/>
      </c>
    </row>
    <row r="385" spans="2:5" x14ac:dyDescent="0.25">
      <c r="B385" t="str">
        <f>IF('[1]Charriage - Geschiebehaushalt'!P297="a",'[1]Charriage - Geschiebehaushalt'!O297,"")</f>
        <v/>
      </c>
      <c r="C385" t="str">
        <f>IF('[1]Charriage - Geschiebehaushalt'!P297="b",'[1]Charriage - Geschiebehaushalt'!O297,"")</f>
        <v/>
      </c>
      <c r="D385" t="str">
        <f>IF('[1]Revitalisation-Revitalisierung'!L297="a",'[1]Revitalisation-Revitalisierung'!K297,"")</f>
        <v/>
      </c>
      <c r="E385" t="str">
        <f>IF('[1]Revitalisation-Revitalisierung'!L297="b",'[1]Revitalisation-Revitalisierung'!K297,"")</f>
        <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B254891A765584ABEE9BD689178708C" ma:contentTypeVersion="9" ma:contentTypeDescription="Ein neues Dokument erstellen." ma:contentTypeScope="" ma:versionID="9d1fac89311c94561d9f606c88a77e0b">
  <xsd:schema xmlns:xsd="http://www.w3.org/2001/XMLSchema" xmlns:xs="http://www.w3.org/2001/XMLSchema" xmlns:p="http://schemas.microsoft.com/office/2006/metadata/properties" targetNamespace="http://schemas.microsoft.com/office/2006/metadata/properties" ma:root="true" ma:fieldsID="092215983d03bc9224a15dcad9e4abb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820DAE-32FE-4281-A132-3AAEC3E6C80F}">
  <ds:schemaRefs>
    <ds:schemaRef ds:uri="http://schemas.microsoft.com/sharepoint/v3/contenttype/forms"/>
  </ds:schemaRefs>
</ds:datastoreItem>
</file>

<file path=customXml/itemProps2.xml><?xml version="1.0" encoding="utf-8"?>
<ds:datastoreItem xmlns:ds="http://schemas.openxmlformats.org/officeDocument/2006/customXml" ds:itemID="{206AF270-944B-408C-AF71-C1AB88078C2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A5B745A6-BC12-4F49-B7E8-1419CB8C5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vt:i4>
      </vt:variant>
    </vt:vector>
  </HeadingPairs>
  <TitlesOfParts>
    <vt:vector size="19" baseType="lpstr">
      <vt:lpstr>Legende</vt:lpstr>
      <vt:lpstr>Données de base - Grunddaten</vt:lpstr>
      <vt:lpstr>Charriage - Geschiebehaushalt</vt:lpstr>
      <vt:lpstr>Débit - Abfluss</vt:lpstr>
      <vt:lpstr>Eclusée - Schwall-Sunk</vt:lpstr>
      <vt:lpstr>Revitalisation-Revitalisierung</vt:lpstr>
      <vt:lpstr>Tableau général - Gesamttabelle</vt:lpstr>
      <vt:lpstr>Synthèse 2018</vt:lpstr>
      <vt:lpstr>Graphiques - Grafiken FINAL a-b</vt:lpstr>
      <vt:lpstr>Graphiques - Grafiken FINAL a-e</vt:lpstr>
      <vt:lpstr>_______________________________</vt:lpstr>
      <vt:lpstr>Graphiques - Grafiken 2014</vt:lpstr>
      <vt:lpstr>Synthèse 2014</vt:lpstr>
      <vt:lpstr>Synthèse TOTAL</vt:lpstr>
      <vt:lpstr>Table Conversion Charriage</vt:lpstr>
      <vt:lpstr>RestwasserAuen_Datenbank</vt:lpstr>
      <vt:lpstr>Strat_Plan_Revit</vt:lpstr>
      <vt:lpstr>'Tableau général - Gesamttabelle'!Druckbereich</vt:lpstr>
      <vt:lpstr>'Tableau général - Gesamttabelle'!Drucktitel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2021-03-15T15:37:53Z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SD_MD_Domaine0">
    <vt:lpwstr>|74ae5617-e387-4465-b22b-7198de22c059</vt:lpwstr>
  </property>
  <property fmtid="{D5CDD505-2E9C-101B-9397-08002B2CF9AE}" pid="3" name="CSD_MD_Succursale">
    <vt:lpwstr>1;#Environnement Vaud|a9ea9bc7-ac0f-419e-aab8-f94c1fb00ca9</vt:lpwstr>
  </property>
  <property fmtid="{D5CDD505-2E9C-101B-9397-08002B2CF9AE}" pid="4" name="CSD_MD_NoProjetOffre">
    <vt:lpwstr>VD07119.100</vt:lpwstr>
  </property>
  <property fmtid="{D5CDD505-2E9C-101B-9397-08002B2CF9AE}" pid="5" name="CSD_MD_NomProjet">
    <vt:lpwstr>BIOP 2017 - 2021</vt:lpwstr>
  </property>
  <property fmtid="{D5CDD505-2E9C-101B-9397-08002B2CF9AE}" pid="6" name="CSD_MD_ObjetTitre">
    <vt:lpwstr>BIOP 2017 - 2021</vt:lpwstr>
  </property>
  <property fmtid="{D5CDD505-2E9C-101B-9397-08002B2CF9AE}" pid="7" name="CSD_MD_Coreferent">
    <vt:lpwstr>20</vt:lpwstr>
  </property>
  <property fmtid="{D5CDD505-2E9C-101B-9397-08002B2CF9AE}" pid="8" name="CSD_MD_Activite">
    <vt:lpwstr>3;#A36|bd00b19d-31c2-4c3a-88dc-f91540e38a7f</vt:lpwstr>
  </property>
  <property fmtid="{D5CDD505-2E9C-101B-9397-08002B2CF9AE}" pid="9" name="CSD_MD_ChefProjet">
    <vt:lpwstr>21</vt:lpwstr>
  </property>
  <property fmtid="{D5CDD505-2E9C-101B-9397-08002B2CF9AE}" pid="10" name="ContentTypeId">
    <vt:lpwstr>0x0101004B254891A765584ABEE9BD689178708C</vt:lpwstr>
  </property>
  <property fmtid="{D5CDD505-2E9C-101B-9397-08002B2CF9AE}" pid="11" name="CSD_MD_Date">
    <vt:filetime>2017-09-25T08:00:00Z</vt:filetime>
  </property>
  <property fmtid="{D5CDD505-2E9C-101B-9397-08002B2CF9AE}" pid="12" name="CSD_MD_ChefProjet_Text">
    <vt:lpwstr>ROULIER Christian</vt:lpwstr>
  </property>
  <property fmtid="{D5CDD505-2E9C-101B-9397-08002B2CF9AE}" pid="13" name="CSD_MD_Coreferent_Text">
    <vt:lpwstr>DEVANTHERY Julien</vt:lpwstr>
  </property>
  <property fmtid="{D5CDD505-2E9C-101B-9397-08002B2CF9AE}" pid="14" name="CSD_MD_Domaine">
    <vt:lpwstr>2;#|74ae5617-e387-4465-b22b-7198de22c059</vt:lpwstr>
  </property>
  <property fmtid="{D5CDD505-2E9C-101B-9397-08002B2CF9AE}" pid="15" name="TaxCatchAll">
    <vt:lpwstr>3;#A36|bd00b19d-31c2-4c3a-88dc-f91540e38a7f;#2;#|74ae5617-e387-4465-b22b-7198de22c059;#1;#Environnement Vaud|a9ea9bc7-ac0f-419e-aab8-f94c1fb00ca9</vt:lpwstr>
  </property>
  <property fmtid="{D5CDD505-2E9C-101B-9397-08002B2CF9AE}" pid="16" name="CSD_MD_NomAdrClient">
    <vt:lpwstr>Office fédéral de l'environnement OFEV, Division  Espèces, écosystème, paysage
Worblentalstrasse 68
Ittigen, 3003 Berne</vt:lpwstr>
  </property>
  <property fmtid="{D5CDD505-2E9C-101B-9397-08002B2CF9AE}" pid="17" name="CSD_MD_Activite0">
    <vt:lpwstr>A36|bd00b19d-31c2-4c3a-88dc-f91540e38a7f</vt:lpwstr>
  </property>
  <property fmtid="{D5CDD505-2E9C-101B-9397-08002B2CF9AE}" pid="18" name="CSD_MD_Succursale0">
    <vt:lpwstr>Environnement Vaud|a9ea9bc7-ac0f-419e-aab8-f94c1fb00ca9</vt:lpwstr>
  </property>
</Properties>
</file>